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8. 31 มี.ค. 66\"/>
    </mc:Choice>
  </mc:AlternateContent>
  <xr:revisionPtr revIDLastSave="0" documentId="13_ncr:1_{A9382777-BD39-4A8C-958E-5504AB7537CC}" xr6:coauthVersionLast="45" xr6:coauthVersionMax="45" xr10:uidLastSave="{00000000-0000-0000-0000-000000000000}"/>
  <bookViews>
    <workbookView xWindow="23880" yWindow="-120" windowWidth="24240" windowHeight="13020" xr2:uid="{00000000-000D-0000-FFFF-FFFF00000000}"/>
  </bookViews>
  <sheets>
    <sheet name="S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externalReferences>
    <externalReference r:id="rId16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828" i="15" l="1"/>
  <c r="I828" i="15"/>
  <c r="K828" i="15" s="1"/>
  <c r="J827" i="15"/>
  <c r="I827" i="15"/>
  <c r="K827" i="15" s="1"/>
  <c r="J826" i="15"/>
  <c r="I826" i="15"/>
  <c r="K826" i="15" s="1"/>
  <c r="J825" i="15"/>
  <c r="I825" i="15"/>
  <c r="K825" i="15" s="1"/>
  <c r="J824" i="15"/>
  <c r="I824" i="15"/>
  <c r="J823" i="15"/>
  <c r="I823" i="15"/>
  <c r="K823" i="15" s="1"/>
  <c r="J822" i="15"/>
  <c r="I822" i="15"/>
  <c r="K822" i="15" s="1"/>
  <c r="J821" i="15"/>
  <c r="I821" i="15"/>
  <c r="K821" i="15" s="1"/>
  <c r="H820" i="15"/>
  <c r="P817" i="15"/>
  <c r="O817" i="15"/>
  <c r="P816" i="15"/>
  <c r="O816" i="15"/>
  <c r="P815" i="15"/>
  <c r="N815" i="15"/>
  <c r="M815" i="15"/>
  <c r="L815" i="15"/>
  <c r="O815" i="15" s="1"/>
  <c r="P810" i="15"/>
  <c r="O810" i="15"/>
  <c r="N810" i="15"/>
  <c r="N807" i="15" s="1"/>
  <c r="N805" i="15" s="1"/>
  <c r="P809" i="15"/>
  <c r="O809" i="15"/>
  <c r="P808" i="15"/>
  <c r="N808" i="15"/>
  <c r="M808" i="15"/>
  <c r="L808" i="15"/>
  <c r="O808" i="15" s="1"/>
  <c r="O807" i="15"/>
  <c r="M807" i="15"/>
  <c r="L807" i="15"/>
  <c r="P806" i="15"/>
  <c r="N806" i="15"/>
  <c r="M806" i="15"/>
  <c r="L806" i="15"/>
  <c r="K804" i="15"/>
  <c r="J804" i="15"/>
  <c r="K802" i="15"/>
  <c r="J801" i="15"/>
  <c r="J800" i="15"/>
  <c r="I800" i="15"/>
  <c r="K800" i="15" s="1"/>
  <c r="P798" i="15"/>
  <c r="O798" i="15"/>
  <c r="P797" i="15"/>
  <c r="O797" i="15"/>
  <c r="O796" i="15"/>
  <c r="N796" i="15"/>
  <c r="M796" i="15"/>
  <c r="P796" i="15" s="1"/>
  <c r="L796" i="15"/>
  <c r="P791" i="15"/>
  <c r="N791" i="15"/>
  <c r="N788" i="15" s="1"/>
  <c r="N786" i="15" s="1"/>
  <c r="L791" i="15"/>
  <c r="O791" i="15" s="1"/>
  <c r="P790" i="15"/>
  <c r="O790" i="15"/>
  <c r="P789" i="15"/>
  <c r="N789" i="15"/>
  <c r="M789" i="15"/>
  <c r="L789" i="15"/>
  <c r="O789" i="15" s="1"/>
  <c r="O788" i="15"/>
  <c r="M788" i="15"/>
  <c r="L788" i="15"/>
  <c r="P787" i="15"/>
  <c r="N787" i="15"/>
  <c r="M787" i="15"/>
  <c r="L787" i="15"/>
  <c r="J785" i="15"/>
  <c r="P782" i="15"/>
  <c r="O782" i="15"/>
  <c r="P781" i="15"/>
  <c r="O781" i="15"/>
  <c r="O780" i="15"/>
  <c r="N780" i="15"/>
  <c r="M780" i="15"/>
  <c r="P780" i="15" s="1"/>
  <c r="L780" i="15"/>
  <c r="P775" i="15"/>
  <c r="O775" i="15"/>
  <c r="N775" i="15"/>
  <c r="N773" i="15" s="1"/>
  <c r="P774" i="15"/>
  <c r="O774" i="15"/>
  <c r="O773" i="15"/>
  <c r="M773" i="15"/>
  <c r="P773" i="15" s="1"/>
  <c r="L773" i="15"/>
  <c r="P772" i="15"/>
  <c r="M772" i="15"/>
  <c r="L772" i="15"/>
  <c r="O772" i="15" s="1"/>
  <c r="O771" i="15"/>
  <c r="N771" i="15"/>
  <c r="M771" i="15"/>
  <c r="L771" i="15"/>
  <c r="L770" i="15"/>
  <c r="O770" i="15" s="1"/>
  <c r="K769" i="15"/>
  <c r="J769" i="15"/>
  <c r="P766" i="15"/>
  <c r="O766" i="15"/>
  <c r="P765" i="15"/>
  <c r="O765" i="15"/>
  <c r="O764" i="15"/>
  <c r="N764" i="15"/>
  <c r="M764" i="15"/>
  <c r="P764" i="15" s="1"/>
  <c r="L764" i="15"/>
  <c r="P759" i="15"/>
  <c r="O759" i="15"/>
  <c r="N759" i="15"/>
  <c r="N757" i="15" s="1"/>
  <c r="P758" i="15"/>
  <c r="O758" i="15"/>
  <c r="O757" i="15"/>
  <c r="M757" i="15"/>
  <c r="P757" i="15" s="1"/>
  <c r="L757" i="15"/>
  <c r="P756" i="15"/>
  <c r="N756" i="15"/>
  <c r="N754" i="15" s="1"/>
  <c r="M756" i="15"/>
  <c r="L756" i="15"/>
  <c r="O756" i="15" s="1"/>
  <c r="O755" i="15"/>
  <c r="N755" i="15"/>
  <c r="M755" i="15"/>
  <c r="L755" i="15"/>
  <c r="L754" i="15"/>
  <c r="O754" i="15" s="1"/>
  <c r="K753" i="15"/>
  <c r="J753" i="15"/>
  <c r="P749" i="15"/>
  <c r="O749" i="15"/>
  <c r="P748" i="15"/>
  <c r="O748" i="15"/>
  <c r="O747" i="15"/>
  <c r="N747" i="15"/>
  <c r="M747" i="15"/>
  <c r="P747" i="15" s="1"/>
  <c r="L747" i="15"/>
  <c r="P742" i="15"/>
  <c r="O742" i="15"/>
  <c r="N742" i="15"/>
  <c r="N740" i="15" s="1"/>
  <c r="P741" i="15"/>
  <c r="O741" i="15"/>
  <c r="O740" i="15"/>
  <c r="M740" i="15"/>
  <c r="P740" i="15" s="1"/>
  <c r="L740" i="15"/>
  <c r="P739" i="15"/>
  <c r="N739" i="15"/>
  <c r="N737" i="15" s="1"/>
  <c r="M739" i="15"/>
  <c r="L739" i="15"/>
  <c r="O739" i="15" s="1"/>
  <c r="O738" i="15"/>
  <c r="N738" i="15"/>
  <c r="M738" i="15"/>
  <c r="L738" i="15"/>
  <c r="K736" i="15"/>
  <c r="J736" i="15"/>
  <c r="K729" i="15"/>
  <c r="J729" i="15"/>
  <c r="I729" i="15"/>
  <c r="K728" i="15"/>
  <c r="J728" i="15"/>
  <c r="I728" i="15"/>
  <c r="J727" i="15"/>
  <c r="J726" i="15"/>
  <c r="I726" i="15"/>
  <c r="K726" i="15" s="1"/>
  <c r="J725" i="15"/>
  <c r="J722" i="15" s="1"/>
  <c r="I725" i="15"/>
  <c r="K725" i="15" s="1"/>
  <c r="J724" i="15"/>
  <c r="J723" i="15"/>
  <c r="I723" i="15"/>
  <c r="K723" i="15" s="1"/>
  <c r="K722" i="15"/>
  <c r="I722" i="15"/>
  <c r="J721" i="15"/>
  <c r="I721" i="15"/>
  <c r="K721" i="15" s="1"/>
  <c r="K720" i="15"/>
  <c r="J720" i="15"/>
  <c r="I720" i="15"/>
  <c r="J719" i="15"/>
  <c r="J718" i="15"/>
  <c r="J708" i="15"/>
  <c r="I708" i="15"/>
  <c r="K708" i="15" s="1"/>
  <c r="I707" i="15"/>
  <c r="I704" i="15"/>
  <c r="K701" i="15"/>
  <c r="J701" i="15"/>
  <c r="I701" i="15"/>
  <c r="K700" i="15"/>
  <c r="J700" i="15"/>
  <c r="I700" i="15"/>
  <c r="K699" i="15"/>
  <c r="J699" i="15"/>
  <c r="I699" i="15"/>
  <c r="P697" i="15"/>
  <c r="O697" i="15"/>
  <c r="P696" i="15"/>
  <c r="O696" i="15"/>
  <c r="O695" i="15"/>
  <c r="N695" i="15"/>
  <c r="M695" i="15"/>
  <c r="P695" i="15" s="1"/>
  <c r="L695" i="15"/>
  <c r="P690" i="15"/>
  <c r="N690" i="15"/>
  <c r="L690" i="15"/>
  <c r="O690" i="15" s="1"/>
  <c r="P688" i="15"/>
  <c r="M688" i="15"/>
  <c r="L688" i="15"/>
  <c r="O688" i="15" s="1"/>
  <c r="M687" i="15"/>
  <c r="P686" i="15"/>
  <c r="N686" i="15"/>
  <c r="M686" i="15"/>
  <c r="L686" i="15"/>
  <c r="J679" i="15"/>
  <c r="J678" i="15" s="1"/>
  <c r="I678" i="15"/>
  <c r="K678" i="15" s="1"/>
  <c r="J675" i="15"/>
  <c r="K674" i="15"/>
  <c r="K672" i="15"/>
  <c r="K671" i="15"/>
  <c r="I671" i="15"/>
  <c r="I670" i="15"/>
  <c r="K670" i="15" s="1"/>
  <c r="J669" i="15"/>
  <c r="J654" i="15" s="1"/>
  <c r="I669" i="15"/>
  <c r="K673" i="15" s="1"/>
  <c r="P667" i="15"/>
  <c r="O667" i="15"/>
  <c r="P666" i="15"/>
  <c r="O666" i="15"/>
  <c r="P665" i="15"/>
  <c r="N665" i="15"/>
  <c r="M665" i="15"/>
  <c r="L665" i="15"/>
  <c r="O665" i="15" s="1"/>
  <c r="P660" i="15"/>
  <c r="O660" i="15"/>
  <c r="N660" i="15"/>
  <c r="L660" i="15"/>
  <c r="L658" i="15" s="1"/>
  <c r="O658" i="15" s="1"/>
  <c r="P659" i="15"/>
  <c r="O659" i="15"/>
  <c r="N658" i="15"/>
  <c r="M658" i="15"/>
  <c r="P658" i="15" s="1"/>
  <c r="P657" i="15"/>
  <c r="N657" i="15"/>
  <c r="M657" i="15"/>
  <c r="L657" i="15"/>
  <c r="O657" i="15" s="1"/>
  <c r="O656" i="15"/>
  <c r="N656" i="15"/>
  <c r="M656" i="15"/>
  <c r="L656" i="15"/>
  <c r="N655" i="15"/>
  <c r="L655" i="15"/>
  <c r="O655" i="15" s="1"/>
  <c r="K652" i="15"/>
  <c r="J652" i="15"/>
  <c r="K651" i="15"/>
  <c r="J651" i="15"/>
  <c r="I651" i="15"/>
  <c r="I628" i="15" s="1"/>
  <c r="K628" i="15" s="1"/>
  <c r="K650" i="15"/>
  <c r="J650" i="15"/>
  <c r="J649" i="15"/>
  <c r="I649" i="15"/>
  <c r="K649" i="15" s="1"/>
  <c r="K648" i="15"/>
  <c r="J648" i="15"/>
  <c r="K647" i="15"/>
  <c r="J647" i="15"/>
  <c r="I647" i="15"/>
  <c r="K646" i="15"/>
  <c r="J646" i="15"/>
  <c r="K645" i="15"/>
  <c r="J645" i="15"/>
  <c r="I644" i="15"/>
  <c r="K644" i="15" s="1"/>
  <c r="K643" i="15"/>
  <c r="I643" i="15"/>
  <c r="P641" i="15"/>
  <c r="O641" i="15"/>
  <c r="L641" i="15"/>
  <c r="P640" i="15"/>
  <c r="O640" i="15"/>
  <c r="P639" i="15"/>
  <c r="N639" i="15"/>
  <c r="M639" i="15"/>
  <c r="L639" i="15"/>
  <c r="O639" i="15" s="1"/>
  <c r="P634" i="15"/>
  <c r="N634" i="15"/>
  <c r="L634" i="15"/>
  <c r="L631" i="15" s="1"/>
  <c r="P633" i="15"/>
  <c r="O633" i="15"/>
  <c r="N632" i="15"/>
  <c r="M632" i="15"/>
  <c r="P632" i="15" s="1"/>
  <c r="P631" i="15"/>
  <c r="N631" i="15"/>
  <c r="M631" i="15"/>
  <c r="O630" i="15"/>
  <c r="N630" i="15"/>
  <c r="M630" i="15"/>
  <c r="P630" i="15" s="1"/>
  <c r="L630" i="15"/>
  <c r="P629" i="15"/>
  <c r="N629" i="15"/>
  <c r="M629" i="15"/>
  <c r="J628" i="15"/>
  <c r="K621" i="15"/>
  <c r="J621" i="15"/>
  <c r="I621" i="15"/>
  <c r="J620" i="15"/>
  <c r="I620" i="15"/>
  <c r="K620" i="15" s="1"/>
  <c r="K613" i="15"/>
  <c r="J613" i="15"/>
  <c r="K612" i="15"/>
  <c r="J612" i="15"/>
  <c r="K611" i="15"/>
  <c r="J611" i="15"/>
  <c r="J604" i="15"/>
  <c r="J603" i="15"/>
  <c r="J593" i="15" s="1"/>
  <c r="J596" i="15"/>
  <c r="J594" i="15" s="1"/>
  <c r="K594" i="15" s="1"/>
  <c r="J595" i="15"/>
  <c r="I594" i="15"/>
  <c r="I593" i="15"/>
  <c r="I592" i="15"/>
  <c r="J583" i="15"/>
  <c r="J582" i="15"/>
  <c r="J577" i="15"/>
  <c r="I577" i="15"/>
  <c r="K576" i="15"/>
  <c r="J576" i="15"/>
  <c r="I576" i="15"/>
  <c r="I559" i="15" s="1"/>
  <c r="J569" i="15"/>
  <c r="I569" i="15"/>
  <c r="K568" i="15"/>
  <c r="J568" i="15"/>
  <c r="I568" i="15"/>
  <c r="J561" i="15"/>
  <c r="I561" i="15"/>
  <c r="K561" i="15" s="1"/>
  <c r="K560" i="15"/>
  <c r="J560" i="15"/>
  <c r="I560" i="15"/>
  <c r="J559" i="15"/>
  <c r="P557" i="15"/>
  <c r="O557" i="15"/>
  <c r="L557" i="15"/>
  <c r="L555" i="15" s="1"/>
  <c r="P556" i="15"/>
  <c r="O556" i="15"/>
  <c r="O555" i="15"/>
  <c r="N555" i="15"/>
  <c r="M555" i="15"/>
  <c r="P555" i="15" s="1"/>
  <c r="N553" i="15"/>
  <c r="N549" i="15" s="1"/>
  <c r="N552" i="15"/>
  <c r="L549" i="15"/>
  <c r="P548" i="15"/>
  <c r="O548" i="15"/>
  <c r="O545" i="15"/>
  <c r="N545" i="15"/>
  <c r="M545" i="15"/>
  <c r="P545" i="15" s="1"/>
  <c r="L545" i="15"/>
  <c r="J543" i="15"/>
  <c r="K542" i="15"/>
  <c r="I542" i="15"/>
  <c r="K541" i="15"/>
  <c r="I541" i="15"/>
  <c r="K540" i="15"/>
  <c r="I540" i="15"/>
  <c r="K539" i="15"/>
  <c r="I539" i="15"/>
  <c r="J537" i="15" s="1"/>
  <c r="J522" i="15" s="1"/>
  <c r="K538" i="15"/>
  <c r="I538" i="15"/>
  <c r="I537" i="15"/>
  <c r="P535" i="15"/>
  <c r="O535" i="15"/>
  <c r="L535" i="15"/>
  <c r="P534" i="15"/>
  <c r="O534" i="15"/>
  <c r="P533" i="15"/>
  <c r="N533" i="15"/>
  <c r="M533" i="15"/>
  <c r="L533" i="15"/>
  <c r="O533" i="15" s="1"/>
  <c r="N532" i="15"/>
  <c r="N530" i="15"/>
  <c r="N528" i="15" s="1"/>
  <c r="N529" i="15"/>
  <c r="L528" i="15"/>
  <c r="P527" i="15"/>
  <c r="O527" i="15"/>
  <c r="O524" i="15"/>
  <c r="N524" i="15"/>
  <c r="M524" i="15"/>
  <c r="L524" i="15"/>
  <c r="K517" i="15"/>
  <c r="J517" i="15"/>
  <c r="K516" i="15"/>
  <c r="P514" i="15"/>
  <c r="O514" i="15"/>
  <c r="P513" i="15"/>
  <c r="O513" i="15"/>
  <c r="O512" i="15"/>
  <c r="N512" i="15"/>
  <c r="M512" i="15"/>
  <c r="P512" i="15" s="1"/>
  <c r="L512" i="15"/>
  <c r="P507" i="15"/>
  <c r="O507" i="15"/>
  <c r="N507" i="15"/>
  <c r="P506" i="15"/>
  <c r="O506" i="15"/>
  <c r="O505" i="15"/>
  <c r="M505" i="15"/>
  <c r="P505" i="15" s="1"/>
  <c r="L505" i="15"/>
  <c r="P504" i="15"/>
  <c r="M504" i="15"/>
  <c r="L504" i="15"/>
  <c r="O503" i="15"/>
  <c r="N503" i="15"/>
  <c r="M503" i="15"/>
  <c r="P503" i="15" s="1"/>
  <c r="L503" i="15"/>
  <c r="P502" i="15"/>
  <c r="M502" i="15"/>
  <c r="K501" i="15"/>
  <c r="J501" i="15"/>
  <c r="K500" i="15"/>
  <c r="J500" i="15"/>
  <c r="K498" i="15"/>
  <c r="I498" i="15"/>
  <c r="I495" i="15"/>
  <c r="K495" i="15" s="1"/>
  <c r="I492" i="15"/>
  <c r="K492" i="15" s="1"/>
  <c r="K489" i="15"/>
  <c r="I489" i="15"/>
  <c r="I487" i="15"/>
  <c r="K487" i="15" s="1"/>
  <c r="I485" i="15"/>
  <c r="K485" i="15" s="1"/>
  <c r="K483" i="15"/>
  <c r="I483" i="15"/>
  <c r="P479" i="15"/>
  <c r="O479" i="15"/>
  <c r="L479" i="15"/>
  <c r="P478" i="15"/>
  <c r="O478" i="15"/>
  <c r="P477" i="15"/>
  <c r="N477" i="15"/>
  <c r="M477" i="15"/>
  <c r="L477" i="15"/>
  <c r="O477" i="15" s="1"/>
  <c r="N476" i="15"/>
  <c r="N472" i="15"/>
  <c r="N470" i="15" s="1"/>
  <c r="L472" i="15"/>
  <c r="P471" i="15"/>
  <c r="O471" i="15"/>
  <c r="N469" i="15"/>
  <c r="N467" i="15" s="1"/>
  <c r="L469" i="15"/>
  <c r="O468" i="15"/>
  <c r="N468" i="15"/>
  <c r="M468" i="15"/>
  <c r="L468" i="15"/>
  <c r="L467" i="15"/>
  <c r="J466" i="15"/>
  <c r="I466" i="15"/>
  <c r="K466" i="15" s="1"/>
  <c r="J465" i="15"/>
  <c r="I465" i="15"/>
  <c r="K465" i="15" s="1"/>
  <c r="I464" i="15"/>
  <c r="I463" i="15"/>
  <c r="K462" i="15"/>
  <c r="I462" i="15"/>
  <c r="I460" i="15"/>
  <c r="K458" i="15"/>
  <c r="P456" i="15"/>
  <c r="O456" i="15"/>
  <c r="L456" i="15"/>
  <c r="L446" i="15" s="1"/>
  <c r="P455" i="15"/>
  <c r="O455" i="15"/>
  <c r="N454" i="15"/>
  <c r="M454" i="15"/>
  <c r="P454" i="15" s="1"/>
  <c r="N453" i="15"/>
  <c r="N452" i="15"/>
  <c r="N450" i="15"/>
  <c r="M449" i="15"/>
  <c r="L449" i="15"/>
  <c r="P448" i="15"/>
  <c r="O448" i="15"/>
  <c r="L447" i="15"/>
  <c r="M446" i="15"/>
  <c r="P445" i="15"/>
  <c r="N445" i="15"/>
  <c r="M445" i="15"/>
  <c r="L445" i="15"/>
  <c r="K443" i="15"/>
  <c r="J443" i="15"/>
  <c r="I443" i="15"/>
  <c r="J442" i="15"/>
  <c r="K441" i="15"/>
  <c r="I441" i="15"/>
  <c r="K440" i="15"/>
  <c r="I440" i="15"/>
  <c r="K439" i="15"/>
  <c r="I439" i="15"/>
  <c r="K438" i="15"/>
  <c r="I438" i="15"/>
  <c r="K437" i="15"/>
  <c r="I437" i="15"/>
  <c r="J433" i="15" s="1"/>
  <c r="K435" i="15"/>
  <c r="I435" i="15"/>
  <c r="K434" i="15"/>
  <c r="J434" i="15"/>
  <c r="I434" i="15"/>
  <c r="I418" i="15" s="1"/>
  <c r="K418" i="15" s="1"/>
  <c r="I433" i="15"/>
  <c r="P431" i="15"/>
  <c r="L431" i="15"/>
  <c r="P430" i="15"/>
  <c r="O430" i="15"/>
  <c r="N429" i="15"/>
  <c r="M429" i="15"/>
  <c r="P429" i="15" s="1"/>
  <c r="N428" i="15"/>
  <c r="N425" i="15"/>
  <c r="N424" i="15"/>
  <c r="M424" i="15"/>
  <c r="M422" i="15" s="1"/>
  <c r="L424" i="15"/>
  <c r="P423" i="15"/>
  <c r="O423" i="15"/>
  <c r="P421" i="15"/>
  <c r="N421" i="15"/>
  <c r="M421" i="15"/>
  <c r="O420" i="15"/>
  <c r="N420" i="15"/>
  <c r="M420" i="15"/>
  <c r="L420" i="15"/>
  <c r="N419" i="15"/>
  <c r="J418" i="15"/>
  <c r="I417" i="15"/>
  <c r="K413" i="15"/>
  <c r="K412" i="15"/>
  <c r="P410" i="15"/>
  <c r="N410" i="15"/>
  <c r="N408" i="15" s="1"/>
  <c r="M410" i="15"/>
  <c r="L410" i="15"/>
  <c r="P409" i="15"/>
  <c r="O409" i="15"/>
  <c r="M408" i="15"/>
  <c r="P408" i="15" s="1"/>
  <c r="P407" i="15"/>
  <c r="N407" i="15"/>
  <c r="M407" i="15"/>
  <c r="L407" i="15"/>
  <c r="P406" i="15"/>
  <c r="O406" i="15"/>
  <c r="M405" i="15"/>
  <c r="P405" i="15" s="1"/>
  <c r="P404" i="15"/>
  <c r="M404" i="15"/>
  <c r="L404" i="15"/>
  <c r="O404" i="15" s="1"/>
  <c r="O403" i="15"/>
  <c r="N403" i="15"/>
  <c r="M403" i="15"/>
  <c r="L403" i="15"/>
  <c r="J401" i="15"/>
  <c r="I401" i="15"/>
  <c r="K401" i="15" s="1"/>
  <c r="K400" i="15"/>
  <c r="K399" i="15"/>
  <c r="P397" i="15"/>
  <c r="N397" i="15"/>
  <c r="N395" i="15" s="1"/>
  <c r="M397" i="15"/>
  <c r="M395" i="15" s="1"/>
  <c r="P395" i="15" s="1"/>
  <c r="L397" i="15"/>
  <c r="O397" i="15" s="1"/>
  <c r="P396" i="15"/>
  <c r="O396" i="15"/>
  <c r="P394" i="15"/>
  <c r="N394" i="15"/>
  <c r="N392" i="15" s="1"/>
  <c r="M394" i="15"/>
  <c r="M392" i="15" s="1"/>
  <c r="P392" i="15" s="1"/>
  <c r="L394" i="15"/>
  <c r="O394" i="15" s="1"/>
  <c r="P393" i="15"/>
  <c r="O393" i="15"/>
  <c r="P391" i="15"/>
  <c r="N391" i="15"/>
  <c r="N389" i="15" s="1"/>
  <c r="M391" i="15"/>
  <c r="L391" i="15"/>
  <c r="O391" i="15" s="1"/>
  <c r="O390" i="15"/>
  <c r="N390" i="15"/>
  <c r="M390" i="15"/>
  <c r="L390" i="15"/>
  <c r="L389" i="15"/>
  <c r="O389" i="15" s="1"/>
  <c r="K388" i="15"/>
  <c r="J388" i="15"/>
  <c r="I388" i="15"/>
  <c r="K385" i="15"/>
  <c r="J385" i="15"/>
  <c r="I385" i="15"/>
  <c r="K382" i="15"/>
  <c r="J382" i="15"/>
  <c r="J381" i="15"/>
  <c r="J374" i="15" s="1"/>
  <c r="I381" i="15"/>
  <c r="K381" i="15" s="1"/>
  <c r="K380" i="15"/>
  <c r="J380" i="15"/>
  <c r="J379" i="15"/>
  <c r="I379" i="15"/>
  <c r="K379" i="15" s="1"/>
  <c r="J378" i="15"/>
  <c r="I378" i="15"/>
  <c r="K378" i="15" s="1"/>
  <c r="K377" i="15"/>
  <c r="J377" i="15"/>
  <c r="I374" i="15"/>
  <c r="K374" i="15" s="1"/>
  <c r="K373" i="15"/>
  <c r="J373" i="15"/>
  <c r="J372" i="15"/>
  <c r="J365" i="15" s="1"/>
  <c r="J364" i="15" s="1"/>
  <c r="I372" i="15"/>
  <c r="K371" i="15"/>
  <c r="J371" i="15"/>
  <c r="J370" i="15"/>
  <c r="I370" i="15"/>
  <c r="K370" i="15" s="1"/>
  <c r="J369" i="15"/>
  <c r="I369" i="15"/>
  <c r="K368" i="15"/>
  <c r="J368" i="15"/>
  <c r="I365" i="15"/>
  <c r="K363" i="15"/>
  <c r="J363" i="15"/>
  <c r="K362" i="15"/>
  <c r="J362" i="15"/>
  <c r="I362" i="15"/>
  <c r="K361" i="15"/>
  <c r="J361" i="15"/>
  <c r="J360" i="15"/>
  <c r="I360" i="15"/>
  <c r="K360" i="15" s="1"/>
  <c r="J359" i="15"/>
  <c r="I359" i="15"/>
  <c r="K359" i="15" s="1"/>
  <c r="K358" i="15"/>
  <c r="J358" i="15"/>
  <c r="K355" i="15"/>
  <c r="J355" i="15"/>
  <c r="I355" i="15"/>
  <c r="P353" i="15"/>
  <c r="N353" i="15"/>
  <c r="M353" i="15"/>
  <c r="L353" i="15"/>
  <c r="P352" i="15"/>
  <c r="O352" i="15"/>
  <c r="N351" i="15"/>
  <c r="M351" i="15"/>
  <c r="P351" i="15" s="1"/>
  <c r="N350" i="15"/>
  <c r="M350" i="15"/>
  <c r="M347" i="15" s="1"/>
  <c r="L350" i="15"/>
  <c r="P349" i="15"/>
  <c r="O349" i="15"/>
  <c r="N348" i="15"/>
  <c r="M348" i="15"/>
  <c r="P348" i="15" s="1"/>
  <c r="P347" i="15"/>
  <c r="N347" i="15"/>
  <c r="N346" i="15"/>
  <c r="M346" i="15"/>
  <c r="L346" i="15"/>
  <c r="O346" i="15" s="1"/>
  <c r="N345" i="15"/>
  <c r="J343" i="15"/>
  <c r="J342" i="15"/>
  <c r="J341" i="15"/>
  <c r="K340" i="15"/>
  <c r="J340" i="15"/>
  <c r="I340" i="15"/>
  <c r="K338" i="15"/>
  <c r="J338" i="15"/>
  <c r="I338" i="15"/>
  <c r="P336" i="15"/>
  <c r="N336" i="15"/>
  <c r="N330" i="15" s="1"/>
  <c r="N328" i="15" s="1"/>
  <c r="M336" i="15"/>
  <c r="M334" i="15" s="1"/>
  <c r="P334" i="15" s="1"/>
  <c r="L336" i="15"/>
  <c r="L334" i="15" s="1"/>
  <c r="P335" i="15"/>
  <c r="O335" i="15"/>
  <c r="O334" i="15"/>
  <c r="O333" i="15"/>
  <c r="N333" i="15"/>
  <c r="M333" i="15"/>
  <c r="L333" i="15"/>
  <c r="L331" i="15" s="1"/>
  <c r="P332" i="15"/>
  <c r="O332" i="15"/>
  <c r="N331" i="15"/>
  <c r="P331" i="15" s="1"/>
  <c r="M331" i="15"/>
  <c r="L330" i="15"/>
  <c r="O329" i="15"/>
  <c r="N329" i="15"/>
  <c r="M329" i="15"/>
  <c r="P329" i="15" s="1"/>
  <c r="L329" i="15"/>
  <c r="I327" i="15"/>
  <c r="K325" i="15"/>
  <c r="I325" i="15"/>
  <c r="N323" i="15"/>
  <c r="M323" i="15"/>
  <c r="P323" i="15" s="1"/>
  <c r="L323" i="15"/>
  <c r="L321" i="15" s="1"/>
  <c r="O321" i="15" s="1"/>
  <c r="P322" i="15"/>
  <c r="O322" i="15"/>
  <c r="N321" i="15"/>
  <c r="M321" i="15"/>
  <c r="P321" i="15" s="1"/>
  <c r="O320" i="15"/>
  <c r="N320" i="15"/>
  <c r="M320" i="15"/>
  <c r="P320" i="15" s="1"/>
  <c r="L320" i="15"/>
  <c r="L318" i="15" s="1"/>
  <c r="P319" i="15"/>
  <c r="O319" i="15"/>
  <c r="N318" i="15"/>
  <c r="P318" i="15" s="1"/>
  <c r="M318" i="15"/>
  <c r="N317" i="15"/>
  <c r="L317" i="15"/>
  <c r="O317" i="15" s="1"/>
  <c r="P316" i="15"/>
  <c r="N316" i="15"/>
  <c r="N315" i="15" s="1"/>
  <c r="M316" i="15"/>
  <c r="L316" i="15"/>
  <c r="K314" i="15"/>
  <c r="J314" i="15"/>
  <c r="I314" i="15"/>
  <c r="I312" i="15"/>
  <c r="K312" i="15" s="1"/>
  <c r="I311" i="15"/>
  <c r="K311" i="15" s="1"/>
  <c r="K310" i="15"/>
  <c r="I310" i="15"/>
  <c r="I309" i="15"/>
  <c r="K309" i="15" s="1"/>
  <c r="O306" i="15"/>
  <c r="N306" i="15"/>
  <c r="N304" i="15" s="1"/>
  <c r="M306" i="15"/>
  <c r="P306" i="15" s="1"/>
  <c r="L306" i="15"/>
  <c r="P305" i="15"/>
  <c r="O305" i="15"/>
  <c r="P304" i="15"/>
  <c r="O304" i="15"/>
  <c r="M304" i="15"/>
  <c r="L304" i="15"/>
  <c r="O303" i="15"/>
  <c r="N303" i="15"/>
  <c r="N301" i="15" s="1"/>
  <c r="M303" i="15"/>
  <c r="L303" i="15"/>
  <c r="P302" i="15"/>
  <c r="O302" i="15"/>
  <c r="P301" i="15"/>
  <c r="M301" i="15"/>
  <c r="L301" i="15"/>
  <c r="O301" i="15" s="1"/>
  <c r="M300" i="15"/>
  <c r="L300" i="15"/>
  <c r="N299" i="15"/>
  <c r="M299" i="15"/>
  <c r="L299" i="15"/>
  <c r="O299" i="15" s="1"/>
  <c r="L298" i="15"/>
  <c r="J297" i="15"/>
  <c r="I297" i="15"/>
  <c r="K297" i="15" s="1"/>
  <c r="I294" i="15"/>
  <c r="K294" i="15" s="1"/>
  <c r="K293" i="15"/>
  <c r="I293" i="15"/>
  <c r="I291" i="15"/>
  <c r="K291" i="15" s="1"/>
  <c r="I290" i="15"/>
  <c r="K290" i="15" s="1"/>
  <c r="K288" i="15"/>
  <c r="I288" i="15"/>
  <c r="J288" i="15" s="1"/>
  <c r="J275" i="15" s="1"/>
  <c r="K287" i="15"/>
  <c r="I287" i="15"/>
  <c r="P285" i="15"/>
  <c r="O285" i="15"/>
  <c r="N285" i="15"/>
  <c r="M285" i="15"/>
  <c r="L285" i="15"/>
  <c r="L283" i="15" s="1"/>
  <c r="O283" i="15" s="1"/>
  <c r="P284" i="15"/>
  <c r="O284" i="15"/>
  <c r="P283" i="15"/>
  <c r="N283" i="15"/>
  <c r="M283" i="15"/>
  <c r="P282" i="15"/>
  <c r="N282" i="15"/>
  <c r="M282" i="15"/>
  <c r="L282" i="15"/>
  <c r="P281" i="15"/>
  <c r="O281" i="15"/>
  <c r="N280" i="15"/>
  <c r="M280" i="15"/>
  <c r="P280" i="15" s="1"/>
  <c r="P279" i="15"/>
  <c r="N279" i="15"/>
  <c r="M279" i="15"/>
  <c r="O278" i="15"/>
  <c r="N278" i="15"/>
  <c r="N277" i="15" s="1"/>
  <c r="M278" i="15"/>
  <c r="P278" i="15" s="1"/>
  <c r="L278" i="15"/>
  <c r="M277" i="15"/>
  <c r="J276" i="15"/>
  <c r="K276" i="15" s="1"/>
  <c r="I276" i="15"/>
  <c r="I271" i="15"/>
  <c r="K271" i="15" s="1"/>
  <c r="O269" i="15"/>
  <c r="N269" i="15"/>
  <c r="M269" i="15"/>
  <c r="P269" i="15" s="1"/>
  <c r="L269" i="15"/>
  <c r="P268" i="15"/>
  <c r="O268" i="15"/>
  <c r="P267" i="15"/>
  <c r="O267" i="15"/>
  <c r="M267" i="15"/>
  <c r="L267" i="15"/>
  <c r="O266" i="15"/>
  <c r="N266" i="15"/>
  <c r="N264" i="15" s="1"/>
  <c r="M266" i="15"/>
  <c r="P266" i="15" s="1"/>
  <c r="L266" i="15"/>
  <c r="P265" i="15"/>
  <c r="O265" i="15"/>
  <c r="P264" i="15"/>
  <c r="M264" i="15"/>
  <c r="L264" i="15"/>
  <c r="O264" i="15" s="1"/>
  <c r="M263" i="15"/>
  <c r="P263" i="15" s="1"/>
  <c r="L263" i="15"/>
  <c r="P262" i="15"/>
  <c r="N262" i="15"/>
  <c r="M262" i="15"/>
  <c r="M261" i="15" s="1"/>
  <c r="P261" i="15" s="1"/>
  <c r="L262" i="15"/>
  <c r="O262" i="15" s="1"/>
  <c r="L261" i="15"/>
  <c r="J260" i="15"/>
  <c r="I260" i="15"/>
  <c r="K260" i="15" s="1"/>
  <c r="K258" i="15"/>
  <c r="K257" i="15"/>
  <c r="K255" i="15"/>
  <c r="I255" i="15"/>
  <c r="L253" i="15"/>
  <c r="L252" i="15"/>
  <c r="L251" i="15"/>
  <c r="L250" i="15"/>
  <c r="L228" i="15" s="1"/>
  <c r="P249" i="15"/>
  <c r="N249" i="15"/>
  <c r="L249" i="15"/>
  <c r="O249" i="15" s="1"/>
  <c r="J248" i="15"/>
  <c r="I248" i="15"/>
  <c r="K248" i="15" s="1"/>
  <c r="K247" i="15"/>
  <c r="K246" i="15"/>
  <c r="K244" i="15"/>
  <c r="I244" i="15"/>
  <c r="L242" i="15"/>
  <c r="L231" i="15" s="1"/>
  <c r="L241" i="15"/>
  <c r="L230" i="15" s="1"/>
  <c r="L240" i="15"/>
  <c r="L239" i="15"/>
  <c r="P238" i="15"/>
  <c r="N238" i="15"/>
  <c r="N227" i="15" s="1"/>
  <c r="J237" i="15"/>
  <c r="I237" i="15"/>
  <c r="J236" i="15"/>
  <c r="I236" i="15"/>
  <c r="K236" i="15" s="1"/>
  <c r="J235" i="15"/>
  <c r="I235" i="15"/>
  <c r="K235" i="15" s="1"/>
  <c r="J233" i="15"/>
  <c r="I233" i="15"/>
  <c r="K233" i="15" s="1"/>
  <c r="N231" i="15"/>
  <c r="N230" i="15"/>
  <c r="N229" i="15"/>
  <c r="L229" i="15"/>
  <c r="N228" i="15"/>
  <c r="J226" i="15"/>
  <c r="J180" i="15" s="1"/>
  <c r="I225" i="15"/>
  <c r="I224" i="15"/>
  <c r="K224" i="15" s="1"/>
  <c r="K223" i="15"/>
  <c r="I223" i="15"/>
  <c r="L220" i="15"/>
  <c r="L219" i="15"/>
  <c r="L217" i="15" s="1"/>
  <c r="L218" i="15"/>
  <c r="P217" i="15"/>
  <c r="O217" i="15"/>
  <c r="N217" i="15"/>
  <c r="J216" i="15"/>
  <c r="I216" i="15"/>
  <c r="K216" i="15" s="1"/>
  <c r="K215" i="15"/>
  <c r="I215" i="15"/>
  <c r="I214" i="15"/>
  <c r="K214" i="15" s="1"/>
  <c r="L212" i="15"/>
  <c r="L211" i="15"/>
  <c r="L210" i="15"/>
  <c r="L209" i="15" s="1"/>
  <c r="O209" i="15" s="1"/>
  <c r="P209" i="15"/>
  <c r="N209" i="15"/>
  <c r="K208" i="15"/>
  <c r="J208" i="15"/>
  <c r="I208" i="15"/>
  <c r="K207" i="15"/>
  <c r="K206" i="15"/>
  <c r="I204" i="15"/>
  <c r="L202" i="15"/>
  <c r="L201" i="15"/>
  <c r="L200" i="15"/>
  <c r="L199" i="15"/>
  <c r="L198" i="15" s="1"/>
  <c r="O198" i="15" s="1"/>
  <c r="P198" i="15"/>
  <c r="N198" i="15"/>
  <c r="J197" i="15"/>
  <c r="J194" i="15"/>
  <c r="K193" i="15"/>
  <c r="I193" i="15"/>
  <c r="P191" i="15"/>
  <c r="O191" i="15"/>
  <c r="L191" i="15"/>
  <c r="J190" i="15"/>
  <c r="K190" i="15" s="1"/>
  <c r="I190" i="15"/>
  <c r="O189" i="15"/>
  <c r="N189" i="15"/>
  <c r="M189" i="15"/>
  <c r="P189" i="15" s="1"/>
  <c r="L189" i="15"/>
  <c r="L187" i="15" s="1"/>
  <c r="O187" i="15" s="1"/>
  <c r="P188" i="15"/>
  <c r="O188" i="15"/>
  <c r="P187" i="15"/>
  <c r="N187" i="15"/>
  <c r="M187" i="15"/>
  <c r="N186" i="15"/>
  <c r="M186" i="15"/>
  <c r="P186" i="15" s="1"/>
  <c r="L186" i="15"/>
  <c r="L184" i="15" s="1"/>
  <c r="P185" i="15"/>
  <c r="O185" i="15"/>
  <c r="N184" i="15"/>
  <c r="P184" i="15" s="1"/>
  <c r="M184" i="15"/>
  <c r="N183" i="15"/>
  <c r="P182" i="15"/>
  <c r="N182" i="15"/>
  <c r="N181" i="15" s="1"/>
  <c r="M182" i="15"/>
  <c r="L182" i="15"/>
  <c r="J177" i="15"/>
  <c r="K176" i="15"/>
  <c r="I176" i="15"/>
  <c r="J174" i="15"/>
  <c r="I174" i="15"/>
  <c r="O173" i="15"/>
  <c r="N173" i="15"/>
  <c r="M173" i="15"/>
  <c r="P173" i="15" s="1"/>
  <c r="L173" i="15"/>
  <c r="L171" i="15" s="1"/>
  <c r="O171" i="15" s="1"/>
  <c r="P172" i="15"/>
  <c r="O172" i="15"/>
  <c r="P171" i="15"/>
  <c r="N171" i="15"/>
  <c r="M171" i="15"/>
  <c r="N170" i="15"/>
  <c r="M170" i="15"/>
  <c r="P170" i="15" s="1"/>
  <c r="L170" i="15"/>
  <c r="L168" i="15" s="1"/>
  <c r="P169" i="15"/>
  <c r="O169" i="15"/>
  <c r="N168" i="15"/>
  <c r="P168" i="15" s="1"/>
  <c r="M168" i="15"/>
  <c r="N167" i="15"/>
  <c r="P166" i="15"/>
  <c r="N166" i="15"/>
  <c r="N165" i="15" s="1"/>
  <c r="M166" i="15"/>
  <c r="L166" i="15"/>
  <c r="I164" i="15"/>
  <c r="I159" i="15"/>
  <c r="K159" i="15" s="1"/>
  <c r="O157" i="15"/>
  <c r="N157" i="15"/>
  <c r="N155" i="15" s="1"/>
  <c r="M157" i="15"/>
  <c r="P157" i="15" s="1"/>
  <c r="L157" i="15"/>
  <c r="P156" i="15"/>
  <c r="O156" i="15"/>
  <c r="L155" i="15"/>
  <c r="O155" i="15" s="1"/>
  <c r="N154" i="15"/>
  <c r="N152" i="15" s="1"/>
  <c r="M154" i="15"/>
  <c r="L154" i="15"/>
  <c r="P153" i="15"/>
  <c r="O153" i="15"/>
  <c r="O152" i="15"/>
  <c r="L152" i="15"/>
  <c r="M151" i="15"/>
  <c r="L151" i="15"/>
  <c r="P150" i="15"/>
  <c r="N150" i="15"/>
  <c r="M150" i="15"/>
  <c r="L150" i="15"/>
  <c r="O150" i="15" s="1"/>
  <c r="M149" i="15"/>
  <c r="L149" i="15"/>
  <c r="J148" i="15"/>
  <c r="I146" i="15"/>
  <c r="K146" i="15" s="1"/>
  <c r="K145" i="15"/>
  <c r="I145" i="15"/>
  <c r="I144" i="15"/>
  <c r="K144" i="15" s="1"/>
  <c r="I143" i="15"/>
  <c r="N140" i="15"/>
  <c r="M140" i="15"/>
  <c r="L140" i="15"/>
  <c r="P139" i="15"/>
  <c r="O139" i="15"/>
  <c r="M138" i="15"/>
  <c r="L138" i="15"/>
  <c r="N137" i="15"/>
  <c r="N134" i="15" s="1"/>
  <c r="M137" i="15"/>
  <c r="L137" i="15"/>
  <c r="P136" i="15"/>
  <c r="O136" i="15"/>
  <c r="M135" i="15"/>
  <c r="L135" i="15"/>
  <c r="M134" i="15"/>
  <c r="L134" i="15"/>
  <c r="P133" i="15"/>
  <c r="O133" i="15"/>
  <c r="N133" i="15"/>
  <c r="M133" i="15"/>
  <c r="M132" i="15" s="1"/>
  <c r="L133" i="15"/>
  <c r="I131" i="15"/>
  <c r="J130" i="15"/>
  <c r="I130" i="15"/>
  <c r="K130" i="15" s="1"/>
  <c r="O127" i="15"/>
  <c r="N127" i="15"/>
  <c r="N125" i="15" s="1"/>
  <c r="M127" i="15"/>
  <c r="P127" i="15" s="1"/>
  <c r="L127" i="15"/>
  <c r="P126" i="15"/>
  <c r="O126" i="15"/>
  <c r="P125" i="15"/>
  <c r="O125" i="15"/>
  <c r="M125" i="15"/>
  <c r="L125" i="15"/>
  <c r="O124" i="15"/>
  <c r="N124" i="15"/>
  <c r="N122" i="15" s="1"/>
  <c r="M124" i="15"/>
  <c r="P124" i="15" s="1"/>
  <c r="L124" i="15"/>
  <c r="P123" i="15"/>
  <c r="O123" i="15"/>
  <c r="P122" i="15"/>
  <c r="O122" i="15"/>
  <c r="M122" i="15"/>
  <c r="L122" i="15"/>
  <c r="O121" i="15"/>
  <c r="M121" i="15"/>
  <c r="P121" i="15" s="1"/>
  <c r="L121" i="15"/>
  <c r="P120" i="15"/>
  <c r="N120" i="15"/>
  <c r="M120" i="15"/>
  <c r="L120" i="15"/>
  <c r="O120" i="15" s="1"/>
  <c r="O119" i="15"/>
  <c r="M119" i="15"/>
  <c r="P119" i="15" s="1"/>
  <c r="L119" i="15"/>
  <c r="K118" i="15"/>
  <c r="J118" i="15"/>
  <c r="K116" i="15"/>
  <c r="I116" i="15"/>
  <c r="K115" i="15"/>
  <c r="I115" i="15"/>
  <c r="K114" i="15"/>
  <c r="I114" i="15"/>
  <c r="K113" i="15"/>
  <c r="I113" i="15"/>
  <c r="K112" i="15"/>
  <c r="J112" i="15"/>
  <c r="I112" i="15"/>
  <c r="K111" i="15"/>
  <c r="J111" i="15"/>
  <c r="I111" i="15"/>
  <c r="K110" i="15"/>
  <c r="I110" i="15"/>
  <c r="K109" i="15"/>
  <c r="I109" i="15"/>
  <c r="K107" i="15"/>
  <c r="I107" i="15"/>
  <c r="K106" i="15"/>
  <c r="I106" i="15"/>
  <c r="K104" i="15"/>
  <c r="I104" i="15"/>
  <c r="K103" i="15"/>
  <c r="I103" i="15"/>
  <c r="K102" i="15"/>
  <c r="I102" i="15"/>
  <c r="K100" i="15"/>
  <c r="J100" i="15"/>
  <c r="I100" i="15"/>
  <c r="J99" i="15"/>
  <c r="J87" i="15" s="1"/>
  <c r="I99" i="15"/>
  <c r="J98" i="15"/>
  <c r="K98" i="15" s="1"/>
  <c r="I98" i="15"/>
  <c r="N96" i="15"/>
  <c r="N90" i="15" s="1"/>
  <c r="M96" i="15"/>
  <c r="L96" i="15"/>
  <c r="O96" i="15" s="1"/>
  <c r="P95" i="15"/>
  <c r="O95" i="15"/>
  <c r="N94" i="15"/>
  <c r="L94" i="15"/>
  <c r="O94" i="15" s="1"/>
  <c r="N93" i="15"/>
  <c r="M93" i="15"/>
  <c r="P93" i="15" s="1"/>
  <c r="L93" i="15"/>
  <c r="P92" i="15"/>
  <c r="O92" i="15"/>
  <c r="N91" i="15"/>
  <c r="M91" i="15"/>
  <c r="P91" i="15" s="1"/>
  <c r="P89" i="15"/>
  <c r="N89" i="15"/>
  <c r="M89" i="15"/>
  <c r="L89" i="15"/>
  <c r="O89" i="15" s="1"/>
  <c r="I86" i="15"/>
  <c r="I84" i="15"/>
  <c r="K84" i="15" s="1"/>
  <c r="K83" i="15"/>
  <c r="I83" i="15"/>
  <c r="I82" i="15"/>
  <c r="I81" i="15"/>
  <c r="K81" i="15" s="1"/>
  <c r="K80" i="15"/>
  <c r="I80" i="15"/>
  <c r="I79" i="15"/>
  <c r="I78" i="15"/>
  <c r="K78" i="15" s="1"/>
  <c r="J77" i="15"/>
  <c r="J76" i="15"/>
  <c r="J64" i="15" s="1"/>
  <c r="N74" i="15"/>
  <c r="M74" i="15"/>
  <c r="L74" i="15"/>
  <c r="O74" i="15" s="1"/>
  <c r="P73" i="15"/>
  <c r="O73" i="15"/>
  <c r="N72" i="15"/>
  <c r="L72" i="15"/>
  <c r="O72" i="15" s="1"/>
  <c r="N71" i="15"/>
  <c r="M71" i="15"/>
  <c r="M68" i="15" s="1"/>
  <c r="P68" i="15" s="1"/>
  <c r="L71" i="15"/>
  <c r="O71" i="15" s="1"/>
  <c r="P70" i="15"/>
  <c r="O70" i="15"/>
  <c r="N69" i="15"/>
  <c r="L69" i="15"/>
  <c r="N68" i="15"/>
  <c r="N66" i="15" s="1"/>
  <c r="L68" i="15"/>
  <c r="O68" i="15" s="1"/>
  <c r="P67" i="15"/>
  <c r="N67" i="15"/>
  <c r="M67" i="15"/>
  <c r="L67" i="15"/>
  <c r="J65" i="15"/>
  <c r="P61" i="15"/>
  <c r="N61" i="15"/>
  <c r="O61" i="15" s="1"/>
  <c r="M61" i="15"/>
  <c r="M59" i="15" s="1"/>
  <c r="L61" i="15"/>
  <c r="P60" i="15"/>
  <c r="O60" i="15"/>
  <c r="L59" i="15"/>
  <c r="P58" i="15"/>
  <c r="N58" i="15"/>
  <c r="O58" i="15" s="1"/>
  <c r="M58" i="15"/>
  <c r="M56" i="15" s="1"/>
  <c r="L58" i="15"/>
  <c r="P57" i="15"/>
  <c r="O57" i="15"/>
  <c r="L56" i="15"/>
  <c r="P55" i="15"/>
  <c r="N55" i="15"/>
  <c r="O55" i="15" s="1"/>
  <c r="M55" i="15"/>
  <c r="L55" i="15"/>
  <c r="O54" i="15"/>
  <c r="N54" i="15"/>
  <c r="M54" i="15"/>
  <c r="M53" i="15" s="1"/>
  <c r="P53" i="15" s="1"/>
  <c r="L54" i="15"/>
  <c r="N53" i="15"/>
  <c r="L53" i="15"/>
  <c r="O53" i="15" s="1"/>
  <c r="N49" i="15"/>
  <c r="M49" i="15"/>
  <c r="L49" i="15"/>
  <c r="O49" i="15" s="1"/>
  <c r="P48" i="15"/>
  <c r="O48" i="15"/>
  <c r="N47" i="15"/>
  <c r="L47" i="15"/>
  <c r="O47" i="15" s="1"/>
  <c r="N46" i="15"/>
  <c r="N23" i="15" s="1"/>
  <c r="M46" i="15"/>
  <c r="M43" i="15" s="1"/>
  <c r="P43" i="15" s="1"/>
  <c r="L46" i="15"/>
  <c r="P45" i="15"/>
  <c r="O45" i="15"/>
  <c r="N44" i="15"/>
  <c r="L44" i="15"/>
  <c r="O44" i="15" s="1"/>
  <c r="N43" i="15"/>
  <c r="N41" i="15" s="1"/>
  <c r="L43" i="15"/>
  <c r="O43" i="15" s="1"/>
  <c r="P42" i="15"/>
  <c r="N42" i="15"/>
  <c r="M42" i="15"/>
  <c r="L42" i="15"/>
  <c r="O36" i="15"/>
  <c r="N36" i="15"/>
  <c r="M36" i="15"/>
  <c r="P36" i="15" s="1"/>
  <c r="L36" i="15"/>
  <c r="N35" i="15"/>
  <c r="N34" i="15" s="1"/>
  <c r="M35" i="15"/>
  <c r="P35" i="15" s="1"/>
  <c r="L35" i="15"/>
  <c r="L34" i="15" s="1"/>
  <c r="O34" i="15" s="1"/>
  <c r="M34" i="15"/>
  <c r="P34" i="15" s="1"/>
  <c r="L33" i="15"/>
  <c r="P32" i="15"/>
  <c r="O32" i="15"/>
  <c r="N32" i="15"/>
  <c r="M32" i="15"/>
  <c r="L32" i="15"/>
  <c r="N29" i="15"/>
  <c r="M29" i="15"/>
  <c r="P29" i="15" s="1"/>
  <c r="L29" i="15"/>
  <c r="L26" i="15"/>
  <c r="P25" i="15"/>
  <c r="O25" i="15"/>
  <c r="N25" i="15"/>
  <c r="M25" i="15"/>
  <c r="L25" i="15"/>
  <c r="N22" i="15"/>
  <c r="M22" i="15"/>
  <c r="P22" i="15" s="1"/>
  <c r="L22" i="15"/>
  <c r="M15" i="15"/>
  <c r="P15" i="15" s="1"/>
  <c r="L15" i="15"/>
  <c r="J828" i="14"/>
  <c r="I828" i="14"/>
  <c r="J827" i="14"/>
  <c r="I827" i="14"/>
  <c r="J826" i="14"/>
  <c r="I826" i="14"/>
  <c r="K826" i="14" s="1"/>
  <c r="J825" i="14"/>
  <c r="I825" i="14"/>
  <c r="K825" i="14" s="1"/>
  <c r="J824" i="14"/>
  <c r="I824" i="14"/>
  <c r="K824" i="14" s="1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O815" i="14"/>
  <c r="N815" i="14"/>
  <c r="M815" i="14"/>
  <c r="L815" i="14"/>
  <c r="P810" i="14"/>
  <c r="O810" i="14"/>
  <c r="N810" i="14"/>
  <c r="P809" i="14"/>
  <c r="O809" i="14"/>
  <c r="O808" i="14"/>
  <c r="N808" i="14"/>
  <c r="M808" i="14"/>
  <c r="P808" i="14" s="1"/>
  <c r="L808" i="14"/>
  <c r="N807" i="14"/>
  <c r="N805" i="14" s="1"/>
  <c r="M807" i="14"/>
  <c r="P807" i="14" s="1"/>
  <c r="L807" i="14"/>
  <c r="O807" i="14" s="1"/>
  <c r="N806" i="14"/>
  <c r="M806" i="14"/>
  <c r="L806" i="14"/>
  <c r="O806" i="14" s="1"/>
  <c r="L805" i="14"/>
  <c r="O805" i="14" s="1"/>
  <c r="K804" i="14"/>
  <c r="J804" i="14"/>
  <c r="K802" i="14"/>
  <c r="J801" i="14"/>
  <c r="J800" i="14"/>
  <c r="J785" i="14" s="1"/>
  <c r="I800" i="14"/>
  <c r="P798" i="14"/>
  <c r="O798" i="14"/>
  <c r="P797" i="14"/>
  <c r="O797" i="14"/>
  <c r="P796" i="14"/>
  <c r="O796" i="14"/>
  <c r="N796" i="14"/>
  <c r="M796" i="14"/>
  <c r="L796" i="14"/>
  <c r="P791" i="14"/>
  <c r="N791" i="14"/>
  <c r="L791" i="14"/>
  <c r="L789" i="14" s="1"/>
  <c r="O789" i="14" s="1"/>
  <c r="P790" i="14"/>
  <c r="O790" i="14"/>
  <c r="M789" i="14"/>
  <c r="P789" i="14" s="1"/>
  <c r="M788" i="14"/>
  <c r="P788" i="14" s="1"/>
  <c r="L788" i="14"/>
  <c r="O788" i="14" s="1"/>
  <c r="N787" i="14"/>
  <c r="M787" i="14"/>
  <c r="L787" i="14"/>
  <c r="P782" i="14"/>
  <c r="O782" i="14"/>
  <c r="P781" i="14"/>
  <c r="O781" i="14"/>
  <c r="P780" i="14"/>
  <c r="N780" i="14"/>
  <c r="M780" i="14"/>
  <c r="L780" i="14"/>
  <c r="O780" i="14" s="1"/>
  <c r="P775" i="14"/>
  <c r="O775" i="14"/>
  <c r="N775" i="14"/>
  <c r="P774" i="14"/>
  <c r="O774" i="14"/>
  <c r="P773" i="14"/>
  <c r="O773" i="14"/>
  <c r="N773" i="14"/>
  <c r="M773" i="14"/>
  <c r="L773" i="14"/>
  <c r="O772" i="14"/>
  <c r="N772" i="14"/>
  <c r="M772" i="14"/>
  <c r="P772" i="14" s="1"/>
  <c r="L772" i="14"/>
  <c r="N771" i="14"/>
  <c r="N770" i="14" s="1"/>
  <c r="M771" i="14"/>
  <c r="P771" i="14" s="1"/>
  <c r="L771" i="14"/>
  <c r="O771" i="14" s="1"/>
  <c r="L770" i="14"/>
  <c r="O770" i="14" s="1"/>
  <c r="K769" i="14"/>
  <c r="J769" i="14"/>
  <c r="P766" i="14"/>
  <c r="O766" i="14"/>
  <c r="P765" i="14"/>
  <c r="O765" i="14"/>
  <c r="P764" i="14"/>
  <c r="N764" i="14"/>
  <c r="M764" i="14"/>
  <c r="L764" i="14"/>
  <c r="O764" i="14" s="1"/>
  <c r="P759" i="14"/>
  <c r="O759" i="14"/>
  <c r="N759" i="14"/>
  <c r="P758" i="14"/>
  <c r="O758" i="14"/>
  <c r="P757" i="14"/>
  <c r="O757" i="14"/>
  <c r="N757" i="14"/>
  <c r="M757" i="14"/>
  <c r="L757" i="14"/>
  <c r="O756" i="14"/>
  <c r="N756" i="14"/>
  <c r="M756" i="14"/>
  <c r="P756" i="14" s="1"/>
  <c r="L756" i="14"/>
  <c r="N755" i="14"/>
  <c r="M755" i="14"/>
  <c r="P755" i="14" s="1"/>
  <c r="L755" i="14"/>
  <c r="O755" i="14" s="1"/>
  <c r="M754" i="14"/>
  <c r="P754" i="14" s="1"/>
  <c r="L754" i="14"/>
  <c r="O754" i="14" s="1"/>
  <c r="K753" i="14"/>
  <c r="J753" i="14"/>
  <c r="P749" i="14"/>
  <c r="O749" i="14"/>
  <c r="P748" i="14"/>
  <c r="O748" i="14"/>
  <c r="P747" i="14"/>
  <c r="N747" i="14"/>
  <c r="M747" i="14"/>
  <c r="L747" i="14"/>
  <c r="O747" i="14" s="1"/>
  <c r="P742" i="14"/>
  <c r="O742" i="14"/>
  <c r="N742" i="14"/>
  <c r="P741" i="14"/>
  <c r="O741" i="14"/>
  <c r="P740" i="14"/>
  <c r="O740" i="14"/>
  <c r="N740" i="14"/>
  <c r="M740" i="14"/>
  <c r="L740" i="14"/>
  <c r="O739" i="14"/>
  <c r="N739" i="14"/>
  <c r="M739" i="14"/>
  <c r="P739" i="14" s="1"/>
  <c r="L739" i="14"/>
  <c r="N738" i="14"/>
  <c r="M738" i="14"/>
  <c r="L738" i="14"/>
  <c r="O738" i="14" s="1"/>
  <c r="L737" i="14"/>
  <c r="O737" i="14" s="1"/>
  <c r="K736" i="14"/>
  <c r="J736" i="14"/>
  <c r="J729" i="14"/>
  <c r="I729" i="14"/>
  <c r="K729" i="14" s="1"/>
  <c r="K728" i="14"/>
  <c r="J728" i="14"/>
  <c r="I728" i="14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K722" i="14"/>
  <c r="I722" i="14"/>
  <c r="J721" i="14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K699" i="14"/>
  <c r="J699" i="14"/>
  <c r="I699" i="14"/>
  <c r="P697" i="14"/>
  <c r="O697" i="14"/>
  <c r="P696" i="14"/>
  <c r="O696" i="14"/>
  <c r="P695" i="14"/>
  <c r="N695" i="14"/>
  <c r="M695" i="14"/>
  <c r="L695" i="14"/>
  <c r="O695" i="14" s="1"/>
  <c r="P690" i="14"/>
  <c r="N690" i="14"/>
  <c r="L690" i="14"/>
  <c r="O690" i="14" s="1"/>
  <c r="N688" i="14"/>
  <c r="M688" i="14"/>
  <c r="P688" i="14" s="1"/>
  <c r="N687" i="14"/>
  <c r="N685" i="14" s="1"/>
  <c r="M687" i="14"/>
  <c r="P687" i="14" s="1"/>
  <c r="N686" i="14"/>
  <c r="M686" i="14"/>
  <c r="L686" i="14"/>
  <c r="O686" i="14" s="1"/>
  <c r="J679" i="14"/>
  <c r="J678" i="14" s="1"/>
  <c r="I678" i="14"/>
  <c r="K678" i="14" s="1"/>
  <c r="J675" i="14"/>
  <c r="J669" i="14" s="1"/>
  <c r="J654" i="14" s="1"/>
  <c r="I671" i="14"/>
  <c r="K671" i="14" s="1"/>
  <c r="I670" i="14"/>
  <c r="K670" i="14" s="1"/>
  <c r="I669" i="14"/>
  <c r="K673" i="14" s="1"/>
  <c r="P667" i="14"/>
  <c r="O667" i="14"/>
  <c r="P666" i="14"/>
  <c r="O666" i="14"/>
  <c r="N665" i="14"/>
  <c r="M665" i="14"/>
  <c r="P665" i="14" s="1"/>
  <c r="L665" i="14"/>
  <c r="O665" i="14" s="1"/>
  <c r="P660" i="14"/>
  <c r="N660" i="14"/>
  <c r="N657" i="14" s="1"/>
  <c r="L660" i="14"/>
  <c r="O660" i="14" s="1"/>
  <c r="P659" i="14"/>
  <c r="O659" i="14"/>
  <c r="P658" i="14"/>
  <c r="N658" i="14"/>
  <c r="M658" i="14"/>
  <c r="L658" i="14"/>
  <c r="O658" i="14" s="1"/>
  <c r="P657" i="14"/>
  <c r="M657" i="14"/>
  <c r="M655" i="14" s="1"/>
  <c r="P655" i="14" s="1"/>
  <c r="P656" i="14"/>
  <c r="O656" i="14"/>
  <c r="N656" i="14"/>
  <c r="M656" i="14"/>
  <c r="L656" i="14"/>
  <c r="N655" i="14"/>
  <c r="I654" i="14"/>
  <c r="K654" i="14" s="1"/>
  <c r="K652" i="14"/>
  <c r="J652" i="14"/>
  <c r="J651" i="14"/>
  <c r="I651" i="14"/>
  <c r="K651" i="14" s="1"/>
  <c r="K650" i="14"/>
  <c r="J650" i="14"/>
  <c r="J649" i="14"/>
  <c r="I649" i="14"/>
  <c r="K649" i="14" s="1"/>
  <c r="K648" i="14"/>
  <c r="J648" i="14"/>
  <c r="J647" i="14"/>
  <c r="I647" i="14"/>
  <c r="K647" i="14" s="1"/>
  <c r="K646" i="14"/>
  <c r="J646" i="14"/>
  <c r="K645" i="14"/>
  <c r="J645" i="14"/>
  <c r="I644" i="14"/>
  <c r="K644" i="14" s="1"/>
  <c r="I643" i="14"/>
  <c r="K643" i="14" s="1"/>
  <c r="P641" i="14"/>
  <c r="L641" i="14"/>
  <c r="O641" i="14" s="1"/>
  <c r="P640" i="14"/>
  <c r="O640" i="14"/>
  <c r="N639" i="14"/>
  <c r="M639" i="14"/>
  <c r="P639" i="14" s="1"/>
  <c r="P634" i="14"/>
  <c r="N634" i="14"/>
  <c r="L634" i="14"/>
  <c r="P633" i="14"/>
  <c r="O633" i="14"/>
  <c r="M632" i="14"/>
  <c r="P632" i="14" s="1"/>
  <c r="M631" i="14"/>
  <c r="P630" i="14"/>
  <c r="N630" i="14"/>
  <c r="M630" i="14"/>
  <c r="L630" i="14"/>
  <c r="J628" i="14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5" i="14"/>
  <c r="J593" i="14" s="1"/>
  <c r="J592" i="14" s="1"/>
  <c r="J594" i="14"/>
  <c r="I594" i="14"/>
  <c r="K594" i="14" s="1"/>
  <c r="I593" i="14"/>
  <c r="J583" i="14"/>
  <c r="J582" i="14"/>
  <c r="J577" i="14"/>
  <c r="I577" i="14"/>
  <c r="K577" i="14" s="1"/>
  <c r="J576" i="14"/>
  <c r="I576" i="14"/>
  <c r="J569" i="14"/>
  <c r="I569" i="14"/>
  <c r="J568" i="14"/>
  <c r="I568" i="14"/>
  <c r="J561" i="14"/>
  <c r="I561" i="14"/>
  <c r="J560" i="14"/>
  <c r="I560" i="14"/>
  <c r="J559" i="14"/>
  <c r="J543" i="14" s="1"/>
  <c r="I559" i="14"/>
  <c r="I543" i="14" s="1"/>
  <c r="K543" i="14" s="1"/>
  <c r="P557" i="14"/>
  <c r="O557" i="14"/>
  <c r="L557" i="14"/>
  <c r="P556" i="14"/>
  <c r="O556" i="14"/>
  <c r="P555" i="14"/>
  <c r="N555" i="14"/>
  <c r="M555" i="14"/>
  <c r="L555" i="14"/>
  <c r="O555" i="14" s="1"/>
  <c r="N553" i="14"/>
  <c r="N552" i="14"/>
  <c r="L549" i="14"/>
  <c r="P548" i="14"/>
  <c r="O548" i="14"/>
  <c r="P545" i="14"/>
  <c r="N545" i="14"/>
  <c r="M545" i="14"/>
  <c r="L545" i="14"/>
  <c r="I542" i="14"/>
  <c r="K542" i="14" s="1"/>
  <c r="I541" i="14"/>
  <c r="K541" i="14" s="1"/>
  <c r="I540" i="14"/>
  <c r="K540" i="14" s="1"/>
  <c r="I539" i="14"/>
  <c r="K539" i="14" s="1"/>
  <c r="I538" i="14"/>
  <c r="I537" i="14"/>
  <c r="K537" i="14" s="1"/>
  <c r="P535" i="14"/>
  <c r="L535" i="14"/>
  <c r="P534" i="14"/>
  <c r="O534" i="14"/>
  <c r="N533" i="14"/>
  <c r="M533" i="14"/>
  <c r="P533" i="14" s="1"/>
  <c r="P528" i="14"/>
  <c r="O528" i="14"/>
  <c r="N528" i="14"/>
  <c r="N525" i="14" s="1"/>
  <c r="L528" i="14"/>
  <c r="P527" i="14"/>
  <c r="O527" i="14"/>
  <c r="P526" i="14"/>
  <c r="N526" i="14"/>
  <c r="M526" i="14"/>
  <c r="L526" i="14"/>
  <c r="O526" i="14" s="1"/>
  <c r="P525" i="14"/>
  <c r="M525" i="14"/>
  <c r="M523" i="14" s="1"/>
  <c r="P523" i="14" s="1"/>
  <c r="P524" i="14"/>
  <c r="O524" i="14"/>
  <c r="N524" i="14"/>
  <c r="M524" i="14"/>
  <c r="L524" i="14"/>
  <c r="N523" i="14"/>
  <c r="K517" i="14"/>
  <c r="J517" i="14"/>
  <c r="K516" i="14"/>
  <c r="P514" i="14"/>
  <c r="O514" i="14"/>
  <c r="P513" i="14"/>
  <c r="O513" i="14"/>
  <c r="P512" i="14"/>
  <c r="N512" i="14"/>
  <c r="M512" i="14"/>
  <c r="L512" i="14"/>
  <c r="O512" i="14" s="1"/>
  <c r="P507" i="14"/>
  <c r="O507" i="14"/>
  <c r="N507" i="14"/>
  <c r="P506" i="14"/>
  <c r="O506" i="14"/>
  <c r="P505" i="14"/>
  <c r="O505" i="14"/>
  <c r="N505" i="14"/>
  <c r="M505" i="14"/>
  <c r="L505" i="14"/>
  <c r="O504" i="14"/>
  <c r="N504" i="14"/>
  <c r="M504" i="14"/>
  <c r="P504" i="14" s="1"/>
  <c r="L504" i="14"/>
  <c r="N503" i="14"/>
  <c r="M503" i="14"/>
  <c r="P503" i="14" s="1"/>
  <c r="L503" i="14"/>
  <c r="O503" i="14" s="1"/>
  <c r="M502" i="14"/>
  <c r="P502" i="14" s="1"/>
  <c r="L502" i="14"/>
  <c r="O502" i="14" s="1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O479" i="14" s="1"/>
  <c r="P478" i="14"/>
  <c r="O478" i="14"/>
  <c r="P477" i="14"/>
  <c r="N477" i="14"/>
  <c r="M477" i="14"/>
  <c r="N476" i="14"/>
  <c r="N472" i="14" s="1"/>
  <c r="L472" i="14"/>
  <c r="M472" i="14" s="1"/>
  <c r="P471" i="14"/>
  <c r="O471" i="14"/>
  <c r="L470" i="14"/>
  <c r="P468" i="14"/>
  <c r="O468" i="14"/>
  <c r="N468" i="14"/>
  <c r="M468" i="14"/>
  <c r="L468" i="14"/>
  <c r="J466" i="14"/>
  <c r="I466" i="14"/>
  <c r="K466" i="14" s="1"/>
  <c r="J465" i="14"/>
  <c r="I465" i="14"/>
  <c r="K465" i="14" s="1"/>
  <c r="I464" i="14"/>
  <c r="I463" i="14"/>
  <c r="I462" i="14"/>
  <c r="I460" i="14"/>
  <c r="K460" i="14" s="1"/>
  <c r="K458" i="14"/>
  <c r="P456" i="14"/>
  <c r="L456" i="14"/>
  <c r="P455" i="14"/>
  <c r="O455" i="14"/>
  <c r="N454" i="14"/>
  <c r="M454" i="14"/>
  <c r="P454" i="14" s="1"/>
  <c r="P449" i="14"/>
  <c r="N449" i="14"/>
  <c r="L449" i="14"/>
  <c r="O449" i="14" s="1"/>
  <c r="P448" i="14"/>
  <c r="O448" i="14"/>
  <c r="N447" i="14"/>
  <c r="M447" i="14"/>
  <c r="P447" i="14" s="1"/>
  <c r="P446" i="14"/>
  <c r="N446" i="14"/>
  <c r="N444" i="14" s="1"/>
  <c r="M446" i="14"/>
  <c r="P445" i="14"/>
  <c r="O445" i="14"/>
  <c r="N445" i="14"/>
  <c r="M445" i="14"/>
  <c r="M444" i="14" s="1"/>
  <c r="P444" i="14" s="1"/>
  <c r="L445" i="14"/>
  <c r="J443" i="14"/>
  <c r="J442" i="14"/>
  <c r="I442" i="14"/>
  <c r="K442" i="14" s="1"/>
  <c r="I441" i="14"/>
  <c r="K441" i="14" s="1"/>
  <c r="K440" i="14"/>
  <c r="I440" i="14"/>
  <c r="I439" i="14"/>
  <c r="K439" i="14" s="1"/>
  <c r="I438" i="14"/>
  <c r="K438" i="14" s="1"/>
  <c r="K437" i="14"/>
  <c r="I437" i="14"/>
  <c r="I435" i="14"/>
  <c r="K435" i="14" s="1"/>
  <c r="J434" i="14"/>
  <c r="J418" i="14" s="1"/>
  <c r="P431" i="14"/>
  <c r="L431" i="14"/>
  <c r="L429" i="14" s="1"/>
  <c r="O429" i="14" s="1"/>
  <c r="P430" i="14"/>
  <c r="O430" i="14"/>
  <c r="N429" i="14"/>
  <c r="M429" i="14"/>
  <c r="P429" i="14" s="1"/>
  <c r="N424" i="14"/>
  <c r="L424" i="14"/>
  <c r="P423" i="14"/>
  <c r="O423" i="14"/>
  <c r="N422" i="14"/>
  <c r="N421" i="14"/>
  <c r="P420" i="14"/>
  <c r="N420" i="14"/>
  <c r="N419" i="14" s="1"/>
  <c r="M420" i="14"/>
  <c r="L420" i="14"/>
  <c r="K413" i="14"/>
  <c r="K412" i="14"/>
  <c r="N410" i="14"/>
  <c r="N404" i="14" s="1"/>
  <c r="N402" i="14" s="1"/>
  <c r="M410" i="14"/>
  <c r="M408" i="14" s="1"/>
  <c r="P408" i="14" s="1"/>
  <c r="L410" i="14"/>
  <c r="O410" i="14" s="1"/>
  <c r="P409" i="14"/>
  <c r="O409" i="14"/>
  <c r="L408" i="14"/>
  <c r="O408" i="14" s="1"/>
  <c r="P407" i="14"/>
  <c r="N407" i="14"/>
  <c r="M407" i="14"/>
  <c r="M405" i="14" s="1"/>
  <c r="P405" i="14" s="1"/>
  <c r="L407" i="14"/>
  <c r="O407" i="14" s="1"/>
  <c r="P406" i="14"/>
  <c r="O406" i="14"/>
  <c r="N405" i="14"/>
  <c r="M404" i="14"/>
  <c r="M402" i="14" s="1"/>
  <c r="P402" i="14" s="1"/>
  <c r="P403" i="14"/>
  <c r="O403" i="14"/>
  <c r="N403" i="14"/>
  <c r="M403" i="14"/>
  <c r="L403" i="14"/>
  <c r="J401" i="14"/>
  <c r="I401" i="14"/>
  <c r="K401" i="14" s="1"/>
  <c r="K400" i="14"/>
  <c r="K399" i="14"/>
  <c r="N397" i="14"/>
  <c r="N395" i="14" s="1"/>
  <c r="M397" i="14"/>
  <c r="L397" i="14"/>
  <c r="P396" i="14"/>
  <c r="O396" i="14"/>
  <c r="N394" i="14"/>
  <c r="M394" i="14"/>
  <c r="P394" i="14" s="1"/>
  <c r="L394" i="14"/>
  <c r="L391" i="14" s="1"/>
  <c r="O391" i="14" s="1"/>
  <c r="P393" i="14"/>
  <c r="O393" i="14"/>
  <c r="M392" i="14"/>
  <c r="P392" i="14" s="1"/>
  <c r="P390" i="14"/>
  <c r="N390" i="14"/>
  <c r="M390" i="14"/>
  <c r="L390" i="14"/>
  <c r="K388" i="14"/>
  <c r="J388" i="14"/>
  <c r="I388" i="14"/>
  <c r="J385" i="14"/>
  <c r="I385" i="14"/>
  <c r="K382" i="14"/>
  <c r="J382" i="14"/>
  <c r="J381" i="14"/>
  <c r="I381" i="14"/>
  <c r="K380" i="14"/>
  <c r="J380" i="14"/>
  <c r="J379" i="14"/>
  <c r="K379" i="14" s="1"/>
  <c r="I379" i="14"/>
  <c r="J378" i="14"/>
  <c r="I378" i="14"/>
  <c r="K377" i="14"/>
  <c r="J377" i="14"/>
  <c r="J374" i="14"/>
  <c r="K374" i="14" s="1"/>
  <c r="I374" i="14"/>
  <c r="K373" i="14"/>
  <c r="J373" i="14"/>
  <c r="J372" i="14"/>
  <c r="I372" i="14"/>
  <c r="K372" i="14" s="1"/>
  <c r="K371" i="14"/>
  <c r="J371" i="14"/>
  <c r="J370" i="14"/>
  <c r="I370" i="14"/>
  <c r="K370" i="14" s="1"/>
  <c r="J369" i="14"/>
  <c r="I369" i="14"/>
  <c r="K368" i="14"/>
  <c r="J368" i="14"/>
  <c r="J365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M353" i="14"/>
  <c r="L353" i="14"/>
  <c r="P352" i="14"/>
  <c r="O352" i="14"/>
  <c r="N351" i="14"/>
  <c r="N350" i="14"/>
  <c r="N347" i="14" s="1"/>
  <c r="N345" i="14" s="1"/>
  <c r="M350" i="14"/>
  <c r="M348" i="14" s="1"/>
  <c r="L350" i="14"/>
  <c r="P349" i="14"/>
  <c r="O349" i="14"/>
  <c r="N348" i="14"/>
  <c r="L347" i="14"/>
  <c r="P346" i="14"/>
  <c r="N346" i="14"/>
  <c r="M346" i="14"/>
  <c r="L346" i="14"/>
  <c r="J343" i="14"/>
  <c r="J342" i="14"/>
  <c r="J341" i="14"/>
  <c r="K340" i="14"/>
  <c r="J340" i="14"/>
  <c r="I340" i="14"/>
  <c r="J338" i="14"/>
  <c r="I338" i="14"/>
  <c r="N336" i="14"/>
  <c r="M336" i="14"/>
  <c r="P336" i="14" s="1"/>
  <c r="L336" i="14"/>
  <c r="P335" i="14"/>
  <c r="O335" i="14"/>
  <c r="N334" i="14"/>
  <c r="N333" i="14"/>
  <c r="M333" i="14"/>
  <c r="L333" i="14"/>
  <c r="P332" i="14"/>
  <c r="O332" i="14"/>
  <c r="N331" i="14"/>
  <c r="N330" i="14"/>
  <c r="P329" i="14"/>
  <c r="N329" i="14"/>
  <c r="M329" i="14"/>
  <c r="L329" i="14"/>
  <c r="N328" i="14"/>
  <c r="I327" i="14"/>
  <c r="I325" i="14"/>
  <c r="K325" i="14" s="1"/>
  <c r="N323" i="14"/>
  <c r="N321" i="14" s="1"/>
  <c r="M323" i="14"/>
  <c r="P323" i="14" s="1"/>
  <c r="L323" i="14"/>
  <c r="O323" i="14" s="1"/>
  <c r="P322" i="14"/>
  <c r="O322" i="14"/>
  <c r="N320" i="14"/>
  <c r="N318" i="14" s="1"/>
  <c r="M320" i="14"/>
  <c r="P320" i="14" s="1"/>
  <c r="L320" i="14"/>
  <c r="L318" i="14" s="1"/>
  <c r="O318" i="14" s="1"/>
  <c r="P319" i="14"/>
  <c r="O319" i="14"/>
  <c r="M318" i="14"/>
  <c r="P318" i="14" s="1"/>
  <c r="N316" i="14"/>
  <c r="M316" i="14"/>
  <c r="P316" i="14" s="1"/>
  <c r="L316" i="14"/>
  <c r="O316" i="14" s="1"/>
  <c r="K314" i="14"/>
  <c r="J314" i="14"/>
  <c r="I314" i="14"/>
  <c r="I312" i="14"/>
  <c r="K312" i="14" s="1"/>
  <c r="I311" i="14"/>
  <c r="K311" i="14" s="1"/>
  <c r="K310" i="14"/>
  <c r="I310" i="14"/>
  <c r="I309" i="14"/>
  <c r="K309" i="14" s="1"/>
  <c r="N306" i="14"/>
  <c r="N304" i="14" s="1"/>
  <c r="M306" i="14"/>
  <c r="P306" i="14" s="1"/>
  <c r="L306" i="14"/>
  <c r="O306" i="14" s="1"/>
  <c r="P305" i="14"/>
  <c r="O305" i="14"/>
  <c r="N303" i="14"/>
  <c r="N301" i="14" s="1"/>
  <c r="M303" i="14"/>
  <c r="P303" i="14" s="1"/>
  <c r="L303" i="14"/>
  <c r="O303" i="14" s="1"/>
  <c r="P302" i="14"/>
  <c r="O302" i="14"/>
  <c r="L301" i="14"/>
  <c r="O301" i="14" s="1"/>
  <c r="P299" i="14"/>
  <c r="O299" i="14"/>
  <c r="N299" i="14"/>
  <c r="M299" i="14"/>
  <c r="L299" i="14"/>
  <c r="J297" i="14"/>
  <c r="I297" i="14"/>
  <c r="K297" i="14" s="1"/>
  <c r="I294" i="14"/>
  <c r="K294" i="14" s="1"/>
  <c r="K293" i="14"/>
  <c r="I293" i="14"/>
  <c r="I291" i="14"/>
  <c r="K291" i="14" s="1"/>
  <c r="I290" i="14"/>
  <c r="K290" i="14" s="1"/>
  <c r="K288" i="14"/>
  <c r="J288" i="14"/>
  <c r="I288" i="14"/>
  <c r="I287" i="14"/>
  <c r="K287" i="14" s="1"/>
  <c r="N285" i="14"/>
  <c r="M285" i="14"/>
  <c r="P285" i="14" s="1"/>
  <c r="L285" i="14"/>
  <c r="O285" i="14" s="1"/>
  <c r="P284" i="14"/>
  <c r="O284" i="14"/>
  <c r="N282" i="14"/>
  <c r="N280" i="14" s="1"/>
  <c r="M282" i="14"/>
  <c r="P282" i="14" s="1"/>
  <c r="L282" i="14"/>
  <c r="O282" i="14" s="1"/>
  <c r="P281" i="14"/>
  <c r="O281" i="14"/>
  <c r="N278" i="14"/>
  <c r="M278" i="14"/>
  <c r="L278" i="14"/>
  <c r="O278" i="14" s="1"/>
  <c r="J276" i="14"/>
  <c r="K275" i="14"/>
  <c r="J275" i="14"/>
  <c r="I275" i="14"/>
  <c r="I271" i="14"/>
  <c r="I260" i="14" s="1"/>
  <c r="N269" i="14"/>
  <c r="N267" i="14" s="1"/>
  <c r="M269" i="14"/>
  <c r="P269" i="14" s="1"/>
  <c r="L269" i="14"/>
  <c r="P268" i="14"/>
  <c r="O268" i="14"/>
  <c r="O266" i="14"/>
  <c r="N266" i="14"/>
  <c r="M266" i="14"/>
  <c r="P266" i="14" s="1"/>
  <c r="L266" i="14"/>
  <c r="L264" i="14" s="1"/>
  <c r="P265" i="14"/>
  <c r="O265" i="14"/>
  <c r="P264" i="14"/>
  <c r="N264" i="14"/>
  <c r="M264" i="14"/>
  <c r="N262" i="14"/>
  <c r="M262" i="14"/>
  <c r="P262" i="14" s="1"/>
  <c r="L262" i="14"/>
  <c r="J260" i="14"/>
  <c r="K258" i="14"/>
  <c r="K257" i="14"/>
  <c r="I255" i="14"/>
  <c r="K255" i="14" s="1"/>
  <c r="L253" i="14"/>
  <c r="L252" i="14"/>
  <c r="L251" i="14"/>
  <c r="L250" i="14"/>
  <c r="P249" i="14"/>
  <c r="N249" i="14"/>
  <c r="J248" i="14"/>
  <c r="K247" i="14"/>
  <c r="K246" i="14"/>
  <c r="I244" i="14"/>
  <c r="K244" i="14" s="1"/>
  <c r="L242" i="14"/>
  <c r="L231" i="14" s="1"/>
  <c r="L241" i="14"/>
  <c r="L240" i="14"/>
  <c r="L239" i="14"/>
  <c r="P238" i="14"/>
  <c r="N238" i="14"/>
  <c r="J237" i="14"/>
  <c r="J236" i="14"/>
  <c r="I236" i="14"/>
  <c r="K236" i="14" s="1"/>
  <c r="K235" i="14"/>
  <c r="J235" i="14"/>
  <c r="I235" i="14"/>
  <c r="J233" i="14"/>
  <c r="N231" i="14"/>
  <c r="N230" i="14"/>
  <c r="N229" i="14"/>
  <c r="N228" i="14"/>
  <c r="I225" i="14"/>
  <c r="K225" i="14" s="1"/>
  <c r="I224" i="14"/>
  <c r="K224" i="14" s="1"/>
  <c r="I223" i="14"/>
  <c r="K223" i="14" s="1"/>
  <c r="L220" i="14"/>
  <c r="L219" i="14"/>
  <c r="L218" i="14"/>
  <c r="P217" i="14"/>
  <c r="N217" i="14"/>
  <c r="J216" i="14"/>
  <c r="I215" i="14"/>
  <c r="K215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L202" i="14"/>
  <c r="L201" i="14"/>
  <c r="L200" i="14"/>
  <c r="L199" i="14"/>
  <c r="P198" i="14"/>
  <c r="N198" i="14"/>
  <c r="J197" i="14"/>
  <c r="J194" i="14"/>
  <c r="I193" i="14"/>
  <c r="K193" i="14" s="1"/>
  <c r="P191" i="14"/>
  <c r="L191" i="14"/>
  <c r="O191" i="14" s="1"/>
  <c r="J190" i="14"/>
  <c r="N189" i="14"/>
  <c r="N187" i="14" s="1"/>
  <c r="M189" i="14"/>
  <c r="M187" i="14" s="1"/>
  <c r="P187" i="14" s="1"/>
  <c r="L189" i="14"/>
  <c r="O189" i="14" s="1"/>
  <c r="P188" i="14"/>
  <c r="O188" i="14"/>
  <c r="N186" i="14"/>
  <c r="N183" i="14" s="1"/>
  <c r="N181" i="14" s="1"/>
  <c r="M186" i="14"/>
  <c r="M184" i="14" s="1"/>
  <c r="L186" i="14"/>
  <c r="L183" i="14" s="1"/>
  <c r="P185" i="14"/>
  <c r="O185" i="14"/>
  <c r="P182" i="14"/>
  <c r="N182" i="14"/>
  <c r="M182" i="14"/>
  <c r="L182" i="14"/>
  <c r="J177" i="14"/>
  <c r="J164" i="14" s="1"/>
  <c r="I176" i="14"/>
  <c r="I174" i="14" s="1"/>
  <c r="J174" i="14"/>
  <c r="N173" i="14"/>
  <c r="N167" i="14" s="1"/>
  <c r="N165" i="14" s="1"/>
  <c r="M173" i="14"/>
  <c r="M171" i="14" s="1"/>
  <c r="P171" i="14" s="1"/>
  <c r="L173" i="14"/>
  <c r="O173" i="14" s="1"/>
  <c r="P172" i="14"/>
  <c r="O172" i="14"/>
  <c r="N171" i="14"/>
  <c r="N170" i="14"/>
  <c r="M170" i="14"/>
  <c r="M168" i="14" s="1"/>
  <c r="L170" i="14"/>
  <c r="O170" i="14" s="1"/>
  <c r="P169" i="14"/>
  <c r="O169" i="14"/>
  <c r="N168" i="14"/>
  <c r="P166" i="14"/>
  <c r="O166" i="14"/>
  <c r="N166" i="14"/>
  <c r="M166" i="14"/>
  <c r="L166" i="14"/>
  <c r="I159" i="14"/>
  <c r="I148" i="14" s="1"/>
  <c r="K148" i="14" s="1"/>
  <c r="N157" i="14"/>
  <c r="N155" i="14" s="1"/>
  <c r="M157" i="14"/>
  <c r="P157" i="14" s="1"/>
  <c r="L157" i="14"/>
  <c r="P156" i="14"/>
  <c r="O156" i="14"/>
  <c r="M155" i="14"/>
  <c r="P155" i="14" s="1"/>
  <c r="O154" i="14"/>
  <c r="N154" i="14"/>
  <c r="M154" i="14"/>
  <c r="L154" i="14"/>
  <c r="L152" i="14" s="1"/>
  <c r="O152" i="14" s="1"/>
  <c r="P153" i="14"/>
  <c r="O153" i="14"/>
  <c r="N152" i="14"/>
  <c r="P152" i="14" s="1"/>
  <c r="M152" i="14"/>
  <c r="N150" i="14"/>
  <c r="M150" i="14"/>
  <c r="P150" i="14" s="1"/>
  <c r="L150" i="14"/>
  <c r="J148" i="14"/>
  <c r="I146" i="14"/>
  <c r="I145" i="14"/>
  <c r="K145" i="14" s="1"/>
  <c r="I144" i="14"/>
  <c r="J143" i="14" s="1"/>
  <c r="J131" i="14" s="1"/>
  <c r="P140" i="14"/>
  <c r="N140" i="14"/>
  <c r="M140" i="14"/>
  <c r="M138" i="14" s="1"/>
  <c r="P138" i="14" s="1"/>
  <c r="L140" i="14"/>
  <c r="P139" i="14"/>
  <c r="O139" i="14"/>
  <c r="N138" i="14"/>
  <c r="P137" i="14"/>
  <c r="N137" i="14"/>
  <c r="M137" i="14"/>
  <c r="L137" i="14"/>
  <c r="L135" i="14" s="1"/>
  <c r="O135" i="14" s="1"/>
  <c r="P136" i="14"/>
  <c r="O136" i="14"/>
  <c r="N135" i="14"/>
  <c r="M135" i="14"/>
  <c r="P135" i="14" s="1"/>
  <c r="P133" i="14"/>
  <c r="O133" i="14"/>
  <c r="N133" i="14"/>
  <c r="M133" i="14"/>
  <c r="L133" i="14"/>
  <c r="J130" i="14"/>
  <c r="N127" i="14"/>
  <c r="M127" i="14"/>
  <c r="P127" i="14" s="1"/>
  <c r="L127" i="14"/>
  <c r="L125" i="14" s="1"/>
  <c r="O125" i="14" s="1"/>
  <c r="P126" i="14"/>
  <c r="O126" i="14"/>
  <c r="N125" i="14"/>
  <c r="M125" i="14"/>
  <c r="P125" i="14" s="1"/>
  <c r="N124" i="14"/>
  <c r="M124" i="14"/>
  <c r="P124" i="14" s="1"/>
  <c r="L124" i="14"/>
  <c r="P123" i="14"/>
  <c r="O123" i="14"/>
  <c r="M122" i="14"/>
  <c r="P122" i="14" s="1"/>
  <c r="N120" i="14"/>
  <c r="M120" i="14"/>
  <c r="P120" i="14" s="1"/>
  <c r="L120" i="14"/>
  <c r="I116" i="14"/>
  <c r="K116" i="14" s="1"/>
  <c r="I115" i="14"/>
  <c r="K115" i="14" s="1"/>
  <c r="K114" i="14"/>
  <c r="I114" i="14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I99" i="14"/>
  <c r="K99" i="14" s="1"/>
  <c r="K98" i="14"/>
  <c r="J98" i="14"/>
  <c r="J86" i="14" s="1"/>
  <c r="I98" i="14"/>
  <c r="I86" i="14" s="1"/>
  <c r="K86" i="14" s="1"/>
  <c r="N96" i="14"/>
  <c r="N94" i="14" s="1"/>
  <c r="M96" i="14"/>
  <c r="M94" i="14" s="1"/>
  <c r="P94" i="14" s="1"/>
  <c r="L96" i="14"/>
  <c r="O96" i="14" s="1"/>
  <c r="P95" i="14"/>
  <c r="O95" i="14"/>
  <c r="N93" i="14"/>
  <c r="N90" i="14" s="1"/>
  <c r="N88" i="14" s="1"/>
  <c r="M93" i="14"/>
  <c r="M91" i="14" s="1"/>
  <c r="L93" i="14"/>
  <c r="L90" i="14" s="1"/>
  <c r="P92" i="14"/>
  <c r="O92" i="14"/>
  <c r="P89" i="14"/>
  <c r="N89" i="14"/>
  <c r="M89" i="14"/>
  <c r="L89" i="14"/>
  <c r="J87" i="14"/>
  <c r="I84" i="14"/>
  <c r="K84" i="14" s="1"/>
  <c r="K83" i="14"/>
  <c r="I83" i="14"/>
  <c r="I82" i="14"/>
  <c r="K82" i="14" s="1"/>
  <c r="I81" i="14"/>
  <c r="K81" i="14" s="1"/>
  <c r="I80" i="14"/>
  <c r="I79" i="14"/>
  <c r="K79" i="14" s="1"/>
  <c r="K78" i="14"/>
  <c r="I78" i="14"/>
  <c r="J77" i="14"/>
  <c r="J76" i="14"/>
  <c r="O74" i="14"/>
  <c r="N74" i="14"/>
  <c r="M74" i="14"/>
  <c r="P74" i="14" s="1"/>
  <c r="L74" i="14"/>
  <c r="L72" i="14" s="1"/>
  <c r="O72" i="14" s="1"/>
  <c r="P73" i="14"/>
  <c r="O73" i="14"/>
  <c r="P72" i="14"/>
  <c r="N72" i="14"/>
  <c r="M72" i="14"/>
  <c r="N71" i="14"/>
  <c r="M71" i="14"/>
  <c r="L71" i="14"/>
  <c r="P70" i="14"/>
  <c r="O70" i="14"/>
  <c r="M69" i="14"/>
  <c r="P69" i="14" s="1"/>
  <c r="P67" i="14"/>
  <c r="O67" i="14"/>
  <c r="N67" i="14"/>
  <c r="M67" i="14"/>
  <c r="L67" i="14"/>
  <c r="J65" i="14"/>
  <c r="J64" i="14"/>
  <c r="N61" i="14"/>
  <c r="N59" i="14" s="1"/>
  <c r="M61" i="14"/>
  <c r="L61" i="14"/>
  <c r="L59" i="14" s="1"/>
  <c r="O59" i="14" s="1"/>
  <c r="P60" i="14"/>
  <c r="O60" i="14"/>
  <c r="N58" i="14"/>
  <c r="N56" i="14" s="1"/>
  <c r="M58" i="14"/>
  <c r="L58" i="14"/>
  <c r="L56" i="14" s="1"/>
  <c r="P57" i="14"/>
  <c r="O57" i="14"/>
  <c r="M56" i="14"/>
  <c r="P54" i="14"/>
  <c r="N54" i="14"/>
  <c r="M54" i="14"/>
  <c r="L54" i="14"/>
  <c r="P49" i="14"/>
  <c r="N49" i="14"/>
  <c r="N47" i="14" s="1"/>
  <c r="M49" i="14"/>
  <c r="L49" i="14"/>
  <c r="P48" i="14"/>
  <c r="O48" i="14"/>
  <c r="P47" i="14"/>
  <c r="M47" i="14"/>
  <c r="N46" i="14"/>
  <c r="N44" i="14" s="1"/>
  <c r="M46" i="14"/>
  <c r="M43" i="14" s="1"/>
  <c r="L46" i="14"/>
  <c r="L44" i="14" s="1"/>
  <c r="P45" i="14"/>
  <c r="O45" i="14"/>
  <c r="M44" i="14"/>
  <c r="P44" i="14" s="1"/>
  <c r="O42" i="14"/>
  <c r="N42" i="14"/>
  <c r="M42" i="14"/>
  <c r="P42" i="14" s="1"/>
  <c r="L42" i="14"/>
  <c r="P36" i="14"/>
  <c r="N36" i="14"/>
  <c r="M36" i="14"/>
  <c r="O35" i="14"/>
  <c r="N35" i="14"/>
  <c r="M35" i="14"/>
  <c r="M29" i="14" s="1"/>
  <c r="L35" i="14"/>
  <c r="N32" i="14"/>
  <c r="M32" i="14"/>
  <c r="P32" i="14" s="1"/>
  <c r="L32" i="14"/>
  <c r="O32" i="14" s="1"/>
  <c r="P25" i="14"/>
  <c r="N25" i="14"/>
  <c r="M25" i="14"/>
  <c r="L25" i="14"/>
  <c r="O25" i="14" s="1"/>
  <c r="O22" i="14"/>
  <c r="N22" i="14"/>
  <c r="M22" i="14"/>
  <c r="L22" i="14"/>
  <c r="L19" i="14"/>
  <c r="N12" i="14"/>
  <c r="L12" i="14"/>
  <c r="O12" i="14" s="1"/>
  <c r="J828" i="13"/>
  <c r="I828" i="13"/>
  <c r="K828" i="13" s="1"/>
  <c r="J827" i="13"/>
  <c r="I827" i="13"/>
  <c r="J826" i="13"/>
  <c r="I826" i="13"/>
  <c r="K826" i="13" s="1"/>
  <c r="J825" i="13"/>
  <c r="I825" i="13"/>
  <c r="K825" i="13" s="1"/>
  <c r="J824" i="13"/>
  <c r="I824" i="13"/>
  <c r="J823" i="13"/>
  <c r="I823" i="13"/>
  <c r="J822" i="13"/>
  <c r="I822" i="13"/>
  <c r="K822" i="13" s="1"/>
  <c r="J821" i="13"/>
  <c r="I821" i="13"/>
  <c r="H820" i="13"/>
  <c r="P817" i="13"/>
  <c r="O817" i="13"/>
  <c r="P816" i="13"/>
  <c r="O816" i="13"/>
  <c r="P815" i="13"/>
  <c r="O815" i="13"/>
  <c r="N815" i="13"/>
  <c r="M815" i="13"/>
  <c r="L815" i="13"/>
  <c r="P810" i="13"/>
  <c r="O810" i="13"/>
  <c r="N810" i="13"/>
  <c r="P809" i="13"/>
  <c r="O809" i="13"/>
  <c r="O808" i="13"/>
  <c r="N808" i="13"/>
  <c r="M808" i="13"/>
  <c r="P808" i="13" s="1"/>
  <c r="L808" i="13"/>
  <c r="N807" i="13"/>
  <c r="N805" i="13" s="1"/>
  <c r="M807" i="13"/>
  <c r="P807" i="13" s="1"/>
  <c r="L807" i="13"/>
  <c r="O807" i="13" s="1"/>
  <c r="N806" i="13"/>
  <c r="M806" i="13"/>
  <c r="L806" i="13"/>
  <c r="O806" i="13" s="1"/>
  <c r="L805" i="13"/>
  <c r="O805" i="13" s="1"/>
  <c r="K804" i="13"/>
  <c r="J804" i="13"/>
  <c r="K802" i="13"/>
  <c r="J801" i="13"/>
  <c r="J800" i="13"/>
  <c r="J785" i="13" s="1"/>
  <c r="I800" i="13"/>
  <c r="P798" i="13"/>
  <c r="O798" i="13"/>
  <c r="P797" i="13"/>
  <c r="O797" i="13"/>
  <c r="P796" i="13"/>
  <c r="O796" i="13"/>
  <c r="N796" i="13"/>
  <c r="M796" i="13"/>
  <c r="L796" i="13"/>
  <c r="P791" i="13"/>
  <c r="N791" i="13"/>
  <c r="L791" i="13"/>
  <c r="P790" i="13"/>
  <c r="O790" i="13"/>
  <c r="M789" i="13"/>
  <c r="P789" i="13" s="1"/>
  <c r="M788" i="13"/>
  <c r="P788" i="13" s="1"/>
  <c r="L788" i="13"/>
  <c r="O788" i="13" s="1"/>
  <c r="N787" i="13"/>
  <c r="M787" i="13"/>
  <c r="L787" i="13"/>
  <c r="P782" i="13"/>
  <c r="O782" i="13"/>
  <c r="P781" i="13"/>
  <c r="O781" i="13"/>
  <c r="P780" i="13"/>
  <c r="N780" i="13"/>
  <c r="M780" i="13"/>
  <c r="L780" i="13"/>
  <c r="O780" i="13" s="1"/>
  <c r="P775" i="13"/>
  <c r="O775" i="13"/>
  <c r="N775" i="13"/>
  <c r="N773" i="13" s="1"/>
  <c r="P774" i="13"/>
  <c r="O774" i="13"/>
  <c r="P773" i="13"/>
  <c r="O773" i="13"/>
  <c r="M773" i="13"/>
  <c r="L773" i="13"/>
  <c r="O772" i="13"/>
  <c r="N772" i="13"/>
  <c r="M772" i="13"/>
  <c r="P772" i="13" s="1"/>
  <c r="L772" i="13"/>
  <c r="N771" i="13"/>
  <c r="N770" i="13" s="1"/>
  <c r="M771" i="13"/>
  <c r="P771" i="13" s="1"/>
  <c r="L771" i="13"/>
  <c r="O771" i="13" s="1"/>
  <c r="M770" i="13"/>
  <c r="P770" i="13" s="1"/>
  <c r="L770" i="13"/>
  <c r="O770" i="13" s="1"/>
  <c r="K769" i="13"/>
  <c r="J769" i="13"/>
  <c r="P766" i="13"/>
  <c r="O766" i="13"/>
  <c r="P765" i="13"/>
  <c r="O765" i="13"/>
  <c r="P764" i="13"/>
  <c r="N764" i="13"/>
  <c r="M764" i="13"/>
  <c r="L764" i="13"/>
  <c r="O764" i="13" s="1"/>
  <c r="P759" i="13"/>
  <c r="O759" i="13"/>
  <c r="N759" i="13"/>
  <c r="N757" i="13" s="1"/>
  <c r="P758" i="13"/>
  <c r="O758" i="13"/>
  <c r="P757" i="13"/>
  <c r="O757" i="13"/>
  <c r="M757" i="13"/>
  <c r="L757" i="13"/>
  <c r="O756" i="13"/>
  <c r="N756" i="13"/>
  <c r="M756" i="13"/>
  <c r="P756" i="13" s="1"/>
  <c r="L756" i="13"/>
  <c r="N755" i="13"/>
  <c r="M755" i="13"/>
  <c r="L755" i="13"/>
  <c r="O755" i="13" s="1"/>
  <c r="L754" i="13"/>
  <c r="O754" i="13" s="1"/>
  <c r="K753" i="13"/>
  <c r="J753" i="13"/>
  <c r="P749" i="13"/>
  <c r="O749" i="13"/>
  <c r="P748" i="13"/>
  <c r="O748" i="13"/>
  <c r="P747" i="13"/>
  <c r="N747" i="13"/>
  <c r="M747" i="13"/>
  <c r="L747" i="13"/>
  <c r="O747" i="13" s="1"/>
  <c r="P742" i="13"/>
  <c r="O742" i="13"/>
  <c r="N742" i="13"/>
  <c r="N740" i="13" s="1"/>
  <c r="P741" i="13"/>
  <c r="O741" i="13"/>
  <c r="P740" i="13"/>
  <c r="O740" i="13"/>
  <c r="M740" i="13"/>
  <c r="L740" i="13"/>
  <c r="O739" i="13"/>
  <c r="N739" i="13"/>
  <c r="M739" i="13"/>
  <c r="P739" i="13" s="1"/>
  <c r="L739" i="13"/>
  <c r="N738" i="13"/>
  <c r="N737" i="13" s="1"/>
  <c r="M738" i="13"/>
  <c r="P738" i="13" s="1"/>
  <c r="L738" i="13"/>
  <c r="O738" i="13" s="1"/>
  <c r="M737" i="13"/>
  <c r="P737" i="13" s="1"/>
  <c r="L737" i="13"/>
  <c r="O737" i="13" s="1"/>
  <c r="K736" i="13"/>
  <c r="J736" i="13"/>
  <c r="J729" i="13"/>
  <c r="I729" i="13"/>
  <c r="K729" i="13" s="1"/>
  <c r="K728" i="13"/>
  <c r="J728" i="13"/>
  <c r="I728" i="13"/>
  <c r="J727" i="13"/>
  <c r="J726" i="13"/>
  <c r="J721" i="13" s="1"/>
  <c r="I726" i="13"/>
  <c r="K726" i="13" s="1"/>
  <c r="J725" i="13"/>
  <c r="I725" i="13"/>
  <c r="K725" i="13" s="1"/>
  <c r="J724" i="13"/>
  <c r="J723" i="13"/>
  <c r="I723" i="13"/>
  <c r="K723" i="13" s="1"/>
  <c r="I722" i="13"/>
  <c r="K722" i="13" s="1"/>
  <c r="K721" i="13"/>
  <c r="I721" i="13"/>
  <c r="J720" i="13"/>
  <c r="I720" i="13"/>
  <c r="K720" i="13" s="1"/>
  <c r="J719" i="13"/>
  <c r="J718" i="13"/>
  <c r="J708" i="13"/>
  <c r="I708" i="13"/>
  <c r="K708" i="13" s="1"/>
  <c r="I707" i="13"/>
  <c r="I704" i="13"/>
  <c r="K701" i="13"/>
  <c r="J701" i="13"/>
  <c r="I701" i="13"/>
  <c r="J700" i="13"/>
  <c r="I700" i="13"/>
  <c r="K700" i="13" s="1"/>
  <c r="J699" i="13"/>
  <c r="I699" i="13"/>
  <c r="K699" i="13" s="1"/>
  <c r="P697" i="13"/>
  <c r="O697" i="13"/>
  <c r="P696" i="13"/>
  <c r="O696" i="13"/>
  <c r="P695" i="13"/>
  <c r="N695" i="13"/>
  <c r="M695" i="13"/>
  <c r="L695" i="13"/>
  <c r="O695" i="13" s="1"/>
  <c r="P690" i="13"/>
  <c r="N690" i="13"/>
  <c r="L690" i="13"/>
  <c r="O690" i="13" s="1"/>
  <c r="N688" i="13"/>
  <c r="M688" i="13"/>
  <c r="P688" i="13" s="1"/>
  <c r="N687" i="13"/>
  <c r="N685" i="13" s="1"/>
  <c r="M687" i="13"/>
  <c r="P687" i="13" s="1"/>
  <c r="N686" i="13"/>
  <c r="M686" i="13"/>
  <c r="L686" i="13"/>
  <c r="J679" i="13"/>
  <c r="J678" i="13" s="1"/>
  <c r="K678" i="13"/>
  <c r="I678" i="13"/>
  <c r="J675" i="13"/>
  <c r="J669" i="13" s="1"/>
  <c r="I671" i="13"/>
  <c r="K671" i="13" s="1"/>
  <c r="I670" i="13"/>
  <c r="K670" i="13" s="1"/>
  <c r="I669" i="13"/>
  <c r="K673" i="13" s="1"/>
  <c r="P667" i="13"/>
  <c r="O667" i="13"/>
  <c r="P666" i="13"/>
  <c r="O666" i="13"/>
  <c r="N665" i="13"/>
  <c r="M665" i="13"/>
  <c r="P665" i="13" s="1"/>
  <c r="L665" i="13"/>
  <c r="O665" i="13" s="1"/>
  <c r="N660" i="13"/>
  <c r="N658" i="13" s="1"/>
  <c r="L660" i="13"/>
  <c r="L657" i="13" s="1"/>
  <c r="P659" i="13"/>
  <c r="O659" i="13"/>
  <c r="N657" i="13"/>
  <c r="P656" i="13"/>
  <c r="O656" i="13"/>
  <c r="N656" i="13"/>
  <c r="N655" i="13" s="1"/>
  <c r="M656" i="13"/>
  <c r="L656" i="13"/>
  <c r="J654" i="13"/>
  <c r="K652" i="13"/>
  <c r="J652" i="13"/>
  <c r="J651" i="13"/>
  <c r="J628" i="13" s="1"/>
  <c r="I651" i="13"/>
  <c r="K650" i="13"/>
  <c r="J650" i="13"/>
  <c r="J649" i="13"/>
  <c r="I649" i="13"/>
  <c r="K648" i="13"/>
  <c r="J648" i="13"/>
  <c r="J647" i="13"/>
  <c r="I647" i="13"/>
  <c r="K646" i="13"/>
  <c r="J646" i="13"/>
  <c r="K645" i="13"/>
  <c r="J645" i="13"/>
  <c r="I644" i="13"/>
  <c r="K644" i="13" s="1"/>
  <c r="I643" i="13"/>
  <c r="K643" i="13" s="1"/>
  <c r="P641" i="13"/>
  <c r="L641" i="13"/>
  <c r="O641" i="13" s="1"/>
  <c r="P640" i="13"/>
  <c r="O640" i="13"/>
  <c r="P639" i="13"/>
  <c r="N639" i="13"/>
  <c r="M639" i="13"/>
  <c r="N634" i="13"/>
  <c r="L634" i="13"/>
  <c r="P633" i="13"/>
  <c r="O633" i="13"/>
  <c r="N630" i="13"/>
  <c r="M630" i="13"/>
  <c r="P630" i="13" s="1"/>
  <c r="L630" i="13"/>
  <c r="O630" i="13" s="1"/>
  <c r="J621" i="13"/>
  <c r="I621" i="13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4" i="13" s="1"/>
  <c r="J595" i="13"/>
  <c r="I594" i="13"/>
  <c r="K594" i="13" s="1"/>
  <c r="J593" i="13"/>
  <c r="I593" i="13"/>
  <c r="I592" i="13" s="1"/>
  <c r="J583" i="13"/>
  <c r="J577" i="13" s="1"/>
  <c r="J582" i="13"/>
  <c r="J576" i="13" s="1"/>
  <c r="J559" i="13" s="1"/>
  <c r="J543" i="13" s="1"/>
  <c r="I577" i="13"/>
  <c r="I576" i="13"/>
  <c r="J569" i="13"/>
  <c r="I569" i="13"/>
  <c r="J568" i="13"/>
  <c r="I568" i="13"/>
  <c r="K568" i="13" s="1"/>
  <c r="J561" i="13"/>
  <c r="I561" i="13"/>
  <c r="J560" i="13"/>
  <c r="I560" i="13"/>
  <c r="P557" i="13"/>
  <c r="L557" i="13"/>
  <c r="L555" i="13" s="1"/>
  <c r="O555" i="13" s="1"/>
  <c r="P556" i="13"/>
  <c r="O556" i="13"/>
  <c r="N555" i="13"/>
  <c r="N545" i="13" s="1"/>
  <c r="M555" i="13"/>
  <c r="N549" i="13"/>
  <c r="L549" i="13"/>
  <c r="L546" i="13" s="1"/>
  <c r="O546" i="13" s="1"/>
  <c r="P548" i="13"/>
  <c r="O548" i="13"/>
  <c r="N547" i="13"/>
  <c r="N546" i="13"/>
  <c r="O545" i="13"/>
  <c r="L545" i="13"/>
  <c r="N544" i="13"/>
  <c r="I542" i="13"/>
  <c r="K542" i="13" s="1"/>
  <c r="I541" i="13"/>
  <c r="K541" i="13" s="1"/>
  <c r="I540" i="13"/>
  <c r="K540" i="13" s="1"/>
  <c r="I539" i="13"/>
  <c r="K539" i="13" s="1"/>
  <c r="I538" i="13"/>
  <c r="I537" i="13"/>
  <c r="P535" i="13"/>
  <c r="L535" i="13"/>
  <c r="O535" i="13" s="1"/>
  <c r="P534" i="13"/>
  <c r="O534" i="13"/>
  <c r="P533" i="13"/>
  <c r="N533" i="13"/>
  <c r="M533" i="13"/>
  <c r="L533" i="13"/>
  <c r="O533" i="13" s="1"/>
  <c r="N528" i="13"/>
  <c r="N526" i="13" s="1"/>
  <c r="L528" i="13"/>
  <c r="P527" i="13"/>
  <c r="O527" i="13"/>
  <c r="N525" i="13"/>
  <c r="P524" i="13"/>
  <c r="O524" i="13"/>
  <c r="N524" i="13"/>
  <c r="N523" i="13" s="1"/>
  <c r="M524" i="13"/>
  <c r="L524" i="13"/>
  <c r="K517" i="13"/>
  <c r="J517" i="13"/>
  <c r="J501" i="13" s="1"/>
  <c r="K516" i="13"/>
  <c r="P514" i="13"/>
  <c r="O514" i="13"/>
  <c r="P513" i="13"/>
  <c r="O513" i="13"/>
  <c r="N512" i="13"/>
  <c r="M512" i="13"/>
  <c r="P512" i="13" s="1"/>
  <c r="L512" i="13"/>
  <c r="O512" i="13" s="1"/>
  <c r="P507" i="13"/>
  <c r="O507" i="13"/>
  <c r="N507" i="13"/>
  <c r="N504" i="13" s="1"/>
  <c r="P506" i="13"/>
  <c r="O506" i="13"/>
  <c r="P505" i="13"/>
  <c r="O505" i="13"/>
  <c r="N505" i="13"/>
  <c r="M505" i="13"/>
  <c r="L505" i="13"/>
  <c r="O504" i="13"/>
  <c r="M504" i="13"/>
  <c r="P504" i="13" s="1"/>
  <c r="L504" i="13"/>
  <c r="O503" i="13"/>
  <c r="N503" i="13"/>
  <c r="N502" i="13" s="1"/>
  <c r="M503" i="13"/>
  <c r="P503" i="13" s="1"/>
  <c r="L503" i="13"/>
  <c r="L502" i="13" s="1"/>
  <c r="O502" i="13" s="1"/>
  <c r="M502" i="13"/>
  <c r="P502" i="13" s="1"/>
  <c r="K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P478" i="13"/>
  <c r="O478" i="13"/>
  <c r="P477" i="13"/>
  <c r="N477" i="13"/>
  <c r="M477" i="13"/>
  <c r="L477" i="13"/>
  <c r="O477" i="13" s="1"/>
  <c r="N472" i="13"/>
  <c r="L472" i="13"/>
  <c r="M472" i="13" s="1"/>
  <c r="P471" i="13"/>
  <c r="O471" i="13"/>
  <c r="N469" i="13"/>
  <c r="O468" i="13"/>
  <c r="N468" i="13"/>
  <c r="M468" i="13"/>
  <c r="L468" i="13"/>
  <c r="J466" i="13"/>
  <c r="I466" i="13"/>
  <c r="K466" i="13" s="1"/>
  <c r="J465" i="13"/>
  <c r="I465" i="13"/>
  <c r="K465" i="13" s="1"/>
  <c r="I464" i="13"/>
  <c r="I463" i="13"/>
  <c r="I462" i="13"/>
  <c r="I460" i="13"/>
  <c r="K458" i="13"/>
  <c r="P456" i="13"/>
  <c r="L456" i="13"/>
  <c r="P455" i="13"/>
  <c r="O455" i="13"/>
  <c r="N454" i="13"/>
  <c r="M454" i="13"/>
  <c r="P454" i="13" s="1"/>
  <c r="N449" i="13"/>
  <c r="L449" i="13"/>
  <c r="M449" i="13" s="1"/>
  <c r="P448" i="13"/>
  <c r="O448" i="13"/>
  <c r="N447" i="13"/>
  <c r="N446" i="13"/>
  <c r="P445" i="13"/>
  <c r="N445" i="13"/>
  <c r="M445" i="13"/>
  <c r="L445" i="13"/>
  <c r="N444" i="13"/>
  <c r="J443" i="13"/>
  <c r="J442" i="13"/>
  <c r="I441" i="13"/>
  <c r="K441" i="13" s="1"/>
  <c r="I440" i="13"/>
  <c r="K440" i="13" s="1"/>
  <c r="I439" i="13"/>
  <c r="K439" i="13" s="1"/>
  <c r="I438" i="13"/>
  <c r="K438" i="13" s="1"/>
  <c r="I437" i="13"/>
  <c r="I435" i="13"/>
  <c r="J434" i="13"/>
  <c r="J418" i="13" s="1"/>
  <c r="P431" i="13"/>
  <c r="L431" i="13"/>
  <c r="P430" i="13"/>
  <c r="O430" i="13"/>
  <c r="N429" i="13"/>
  <c r="M429" i="13"/>
  <c r="P429" i="13" s="1"/>
  <c r="N424" i="13"/>
  <c r="L424" i="13"/>
  <c r="P423" i="13"/>
  <c r="O423" i="13"/>
  <c r="N420" i="13"/>
  <c r="M420" i="13"/>
  <c r="L420" i="13"/>
  <c r="O420" i="13" s="1"/>
  <c r="K413" i="13"/>
  <c r="K412" i="13"/>
  <c r="N410" i="13"/>
  <c r="M410" i="13"/>
  <c r="P410" i="13" s="1"/>
  <c r="L410" i="13"/>
  <c r="O410" i="13" s="1"/>
  <c r="P409" i="13"/>
  <c r="O409" i="13"/>
  <c r="N407" i="13"/>
  <c r="N405" i="13" s="1"/>
  <c r="M407" i="13"/>
  <c r="M404" i="13" s="1"/>
  <c r="L407" i="13"/>
  <c r="O407" i="13" s="1"/>
  <c r="P406" i="13"/>
  <c r="O406" i="13"/>
  <c r="P403" i="13"/>
  <c r="O403" i="13"/>
  <c r="N403" i="13"/>
  <c r="M403" i="13"/>
  <c r="L403" i="13"/>
  <c r="J401" i="13"/>
  <c r="I401" i="13"/>
  <c r="K401" i="13" s="1"/>
  <c r="K400" i="13"/>
  <c r="K399" i="13"/>
  <c r="N397" i="13"/>
  <c r="N395" i="13" s="1"/>
  <c r="M397" i="13"/>
  <c r="P397" i="13" s="1"/>
  <c r="L397" i="13"/>
  <c r="O397" i="13" s="1"/>
  <c r="P396" i="13"/>
  <c r="O396" i="13"/>
  <c r="N394" i="13"/>
  <c r="N392" i="13" s="1"/>
  <c r="M394" i="13"/>
  <c r="L394" i="13"/>
  <c r="L392" i="13" s="1"/>
  <c r="O392" i="13" s="1"/>
  <c r="P393" i="13"/>
  <c r="O393" i="13"/>
  <c r="N390" i="13"/>
  <c r="M390" i="13"/>
  <c r="P390" i="13" s="1"/>
  <c r="L390" i="13"/>
  <c r="O390" i="13" s="1"/>
  <c r="J388" i="13"/>
  <c r="I388" i="13"/>
  <c r="K388" i="13" s="1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4" i="13" s="1"/>
  <c r="K373" i="13"/>
  <c r="J373" i="13"/>
  <c r="J372" i="13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N351" i="13" s="1"/>
  <c r="M353" i="13"/>
  <c r="M351" i="13" s="1"/>
  <c r="L353" i="13"/>
  <c r="L351" i="13" s="1"/>
  <c r="P352" i="13"/>
  <c r="O352" i="13"/>
  <c r="N350" i="13"/>
  <c r="M350" i="13"/>
  <c r="M348" i="13" s="1"/>
  <c r="L350" i="13"/>
  <c r="P349" i="13"/>
  <c r="O349" i="13"/>
  <c r="N348" i="13"/>
  <c r="P346" i="13"/>
  <c r="O346" i="13"/>
  <c r="N346" i="13"/>
  <c r="M346" i="13"/>
  <c r="L346" i="13"/>
  <c r="J343" i="13"/>
  <c r="J342" i="13"/>
  <c r="J341" i="13"/>
  <c r="J340" i="13"/>
  <c r="I340" i="13"/>
  <c r="J338" i="13"/>
  <c r="I338" i="13"/>
  <c r="N336" i="13"/>
  <c r="N334" i="13" s="1"/>
  <c r="M336" i="13"/>
  <c r="P336" i="13" s="1"/>
  <c r="L336" i="13"/>
  <c r="O336" i="13" s="1"/>
  <c r="P335" i="13"/>
  <c r="O335" i="13"/>
  <c r="N333" i="13"/>
  <c r="N330" i="13" s="1"/>
  <c r="M333" i="13"/>
  <c r="L333" i="13"/>
  <c r="P332" i="13"/>
  <c r="O332" i="13"/>
  <c r="P329" i="13"/>
  <c r="O329" i="13"/>
  <c r="N329" i="13"/>
  <c r="M329" i="13"/>
  <c r="L329" i="13"/>
  <c r="I327" i="13"/>
  <c r="I325" i="13"/>
  <c r="N323" i="13"/>
  <c r="N321" i="13" s="1"/>
  <c r="M323" i="13"/>
  <c r="L323" i="13"/>
  <c r="O323" i="13" s="1"/>
  <c r="P322" i="13"/>
  <c r="O322" i="13"/>
  <c r="N320" i="13"/>
  <c r="N318" i="13" s="1"/>
  <c r="M320" i="13"/>
  <c r="L320" i="13"/>
  <c r="P319" i="13"/>
  <c r="O319" i="13"/>
  <c r="O316" i="13"/>
  <c r="N316" i="13"/>
  <c r="M316" i="13"/>
  <c r="L316" i="13"/>
  <c r="J314" i="13"/>
  <c r="I312" i="13"/>
  <c r="K312" i="13" s="1"/>
  <c r="I311" i="13"/>
  <c r="K311" i="13" s="1"/>
  <c r="I310" i="13"/>
  <c r="K310" i="13" s="1"/>
  <c r="K309" i="13"/>
  <c r="I309" i="13"/>
  <c r="N306" i="13"/>
  <c r="N304" i="13" s="1"/>
  <c r="M306" i="13"/>
  <c r="P306" i="13" s="1"/>
  <c r="L306" i="13"/>
  <c r="L304" i="13" s="1"/>
  <c r="O304" i="13" s="1"/>
  <c r="P305" i="13"/>
  <c r="O305" i="13"/>
  <c r="N303" i="13"/>
  <c r="M303" i="13"/>
  <c r="M301" i="13" s="1"/>
  <c r="L303" i="13"/>
  <c r="P302" i="13"/>
  <c r="O302" i="13"/>
  <c r="O299" i="13"/>
  <c r="N299" i="13"/>
  <c r="M299" i="13"/>
  <c r="P299" i="13" s="1"/>
  <c r="L299" i="13"/>
  <c r="J297" i="13"/>
  <c r="I297" i="13"/>
  <c r="I294" i="13"/>
  <c r="K294" i="13" s="1"/>
  <c r="I293" i="13"/>
  <c r="K293" i="13" s="1"/>
  <c r="I291" i="13"/>
  <c r="K291" i="13" s="1"/>
  <c r="I290" i="13"/>
  <c r="K290" i="13" s="1"/>
  <c r="I288" i="13"/>
  <c r="K288" i="13" s="1"/>
  <c r="I287" i="13"/>
  <c r="K287" i="13" s="1"/>
  <c r="N285" i="13"/>
  <c r="N283" i="13" s="1"/>
  <c r="M285" i="13"/>
  <c r="L285" i="13"/>
  <c r="O285" i="13" s="1"/>
  <c r="P284" i="13"/>
  <c r="O284" i="13"/>
  <c r="N282" i="13"/>
  <c r="M282" i="13"/>
  <c r="M280" i="13" s="1"/>
  <c r="P280" i="13" s="1"/>
  <c r="L282" i="13"/>
  <c r="P281" i="13"/>
  <c r="O281" i="13"/>
  <c r="N280" i="13"/>
  <c r="N278" i="13"/>
  <c r="M278" i="13"/>
  <c r="L278" i="13"/>
  <c r="J276" i="13"/>
  <c r="I271" i="13"/>
  <c r="K271" i="13" s="1"/>
  <c r="N269" i="13"/>
  <c r="M269" i="13"/>
  <c r="P269" i="13" s="1"/>
  <c r="L269" i="13"/>
  <c r="L267" i="13" s="1"/>
  <c r="O267" i="13" s="1"/>
  <c r="P268" i="13"/>
  <c r="O268" i="13"/>
  <c r="N267" i="13"/>
  <c r="N266" i="13"/>
  <c r="N263" i="13" s="1"/>
  <c r="M266" i="13"/>
  <c r="L266" i="13"/>
  <c r="P265" i="13"/>
  <c r="O265" i="13"/>
  <c r="N262" i="13"/>
  <c r="M262" i="13"/>
  <c r="P262" i="13" s="1"/>
  <c r="L262" i="13"/>
  <c r="O262" i="13" s="1"/>
  <c r="J260" i="13"/>
  <c r="K258" i="13"/>
  <c r="K257" i="13"/>
  <c r="I255" i="13"/>
  <c r="L253" i="13"/>
  <c r="L252" i="13"/>
  <c r="L251" i="13"/>
  <c r="L250" i="13"/>
  <c r="P249" i="13"/>
  <c r="N249" i="13"/>
  <c r="J248" i="13"/>
  <c r="K247" i="13"/>
  <c r="K246" i="13"/>
  <c r="I244" i="13"/>
  <c r="L242" i="13"/>
  <c r="L241" i="13"/>
  <c r="L230" i="13" s="1"/>
  <c r="L240" i="13"/>
  <c r="L239" i="13"/>
  <c r="P238" i="13"/>
  <c r="N238" i="13"/>
  <c r="J237" i="13"/>
  <c r="J236" i="13"/>
  <c r="I236" i="13"/>
  <c r="K236" i="13" s="1"/>
  <c r="K235" i="13"/>
  <c r="J235" i="13"/>
  <c r="I235" i="13"/>
  <c r="J233" i="13"/>
  <c r="N231" i="13"/>
  <c r="N230" i="13"/>
  <c r="N229" i="13"/>
  <c r="N228" i="13"/>
  <c r="J226" i="13"/>
  <c r="J180" i="13" s="1"/>
  <c r="K225" i="13"/>
  <c r="I225" i="13"/>
  <c r="I224" i="13"/>
  <c r="I216" i="13" s="1"/>
  <c r="I223" i="13"/>
  <c r="K223" i="13" s="1"/>
  <c r="L220" i="13"/>
  <c r="L219" i="13"/>
  <c r="L218" i="13"/>
  <c r="P217" i="13"/>
  <c r="N217" i="13"/>
  <c r="J216" i="13"/>
  <c r="I215" i="13"/>
  <c r="K215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I197" i="13" s="1"/>
  <c r="K197" i="13" s="1"/>
  <c r="L202" i="13"/>
  <c r="L201" i="13"/>
  <c r="L200" i="13"/>
  <c r="L199" i="13"/>
  <c r="P198" i="13"/>
  <c r="N198" i="13"/>
  <c r="J197" i="13"/>
  <c r="J194" i="13"/>
  <c r="I193" i="13"/>
  <c r="P191" i="13"/>
  <c r="L191" i="13"/>
  <c r="O191" i="13" s="1"/>
  <c r="J190" i="13"/>
  <c r="N189" i="13"/>
  <c r="M189" i="13"/>
  <c r="P189" i="13" s="1"/>
  <c r="L189" i="13"/>
  <c r="O189" i="13" s="1"/>
  <c r="P188" i="13"/>
  <c r="O188" i="13"/>
  <c r="N186" i="13"/>
  <c r="N184" i="13" s="1"/>
  <c r="M186" i="13"/>
  <c r="M184" i="13" s="1"/>
  <c r="L186" i="13"/>
  <c r="L184" i="13" s="1"/>
  <c r="P185" i="13"/>
  <c r="O185" i="13"/>
  <c r="O182" i="13"/>
  <c r="N182" i="13"/>
  <c r="M182" i="13"/>
  <c r="L182" i="13"/>
  <c r="J177" i="13"/>
  <c r="I176" i="13"/>
  <c r="J174" i="13"/>
  <c r="N173" i="13"/>
  <c r="N171" i="13" s="1"/>
  <c r="M173" i="13"/>
  <c r="P173" i="13" s="1"/>
  <c r="L173" i="13"/>
  <c r="O173" i="13" s="1"/>
  <c r="P172" i="13"/>
  <c r="O172" i="13"/>
  <c r="L171" i="13"/>
  <c r="O171" i="13" s="1"/>
  <c r="N170" i="13"/>
  <c r="M170" i="13"/>
  <c r="P170" i="13" s="1"/>
  <c r="L170" i="13"/>
  <c r="P169" i="13"/>
  <c r="O169" i="13"/>
  <c r="N168" i="13"/>
  <c r="L168" i="13"/>
  <c r="P166" i="13"/>
  <c r="O166" i="13"/>
  <c r="N166" i="13"/>
  <c r="M166" i="13"/>
  <c r="L166" i="13"/>
  <c r="J164" i="13"/>
  <c r="I159" i="13"/>
  <c r="K159" i="13" s="1"/>
  <c r="N157" i="13"/>
  <c r="N155" i="13" s="1"/>
  <c r="M157" i="13"/>
  <c r="M155" i="13" s="1"/>
  <c r="P155" i="13" s="1"/>
  <c r="L157" i="13"/>
  <c r="L155" i="13" s="1"/>
  <c r="O155" i="13" s="1"/>
  <c r="P156" i="13"/>
  <c r="O156" i="13"/>
  <c r="N154" i="13"/>
  <c r="N152" i="13" s="1"/>
  <c r="M154" i="13"/>
  <c r="P154" i="13" s="1"/>
  <c r="L154" i="13"/>
  <c r="L152" i="13" s="1"/>
  <c r="O152" i="13" s="1"/>
  <c r="P153" i="13"/>
  <c r="O153" i="13"/>
  <c r="N150" i="13"/>
  <c r="M150" i="13"/>
  <c r="L150" i="13"/>
  <c r="J148" i="13"/>
  <c r="I148" i="13"/>
  <c r="K148" i="13" s="1"/>
  <c r="I146" i="13"/>
  <c r="I130" i="13" s="1"/>
  <c r="K130" i="13" s="1"/>
  <c r="I145" i="13"/>
  <c r="I144" i="13"/>
  <c r="K144" i="13" s="1"/>
  <c r="N140" i="13"/>
  <c r="M140" i="13"/>
  <c r="L140" i="13"/>
  <c r="O140" i="13" s="1"/>
  <c r="P139" i="13"/>
  <c r="O139" i="13"/>
  <c r="N137" i="13"/>
  <c r="M137" i="13"/>
  <c r="P137" i="13" s="1"/>
  <c r="L137" i="13"/>
  <c r="P136" i="13"/>
  <c r="O136" i="13"/>
  <c r="N135" i="13"/>
  <c r="P133" i="13"/>
  <c r="N133" i="13"/>
  <c r="M133" i="13"/>
  <c r="L133" i="13"/>
  <c r="J130" i="13"/>
  <c r="N127" i="13"/>
  <c r="N125" i="13" s="1"/>
  <c r="M127" i="13"/>
  <c r="L127" i="13"/>
  <c r="L125" i="13" s="1"/>
  <c r="O125" i="13" s="1"/>
  <c r="P126" i="13"/>
  <c r="O126" i="13"/>
  <c r="N124" i="13"/>
  <c r="N122" i="13" s="1"/>
  <c r="M124" i="13"/>
  <c r="L124" i="13"/>
  <c r="L122" i="13" s="1"/>
  <c r="O122" i="13" s="1"/>
  <c r="P123" i="13"/>
  <c r="O123" i="13"/>
  <c r="N120" i="13"/>
  <c r="M120" i="13"/>
  <c r="P120" i="13" s="1"/>
  <c r="L120" i="13"/>
  <c r="O120" i="13" s="1"/>
  <c r="I116" i="13"/>
  <c r="K116" i="13" s="1"/>
  <c r="I115" i="13"/>
  <c r="K115" i="13" s="1"/>
  <c r="I114" i="13"/>
  <c r="K114" i="13" s="1"/>
  <c r="K113" i="13"/>
  <c r="I113" i="13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I99" i="13"/>
  <c r="I87" i="13" s="1"/>
  <c r="K87" i="13" s="1"/>
  <c r="J98" i="13"/>
  <c r="J86" i="13" s="1"/>
  <c r="I98" i="13"/>
  <c r="K98" i="13" s="1"/>
  <c r="N96" i="13"/>
  <c r="N94" i="13" s="1"/>
  <c r="M96" i="13"/>
  <c r="L96" i="13"/>
  <c r="L94" i="13" s="1"/>
  <c r="O94" i="13" s="1"/>
  <c r="P95" i="13"/>
  <c r="O95" i="13"/>
  <c r="N93" i="13"/>
  <c r="M93" i="13"/>
  <c r="M91" i="13" s="1"/>
  <c r="L93" i="13"/>
  <c r="L91" i="13" s="1"/>
  <c r="P92" i="13"/>
  <c r="O92" i="13"/>
  <c r="N91" i="13"/>
  <c r="N89" i="13"/>
  <c r="M89" i="13"/>
  <c r="P89" i="13" s="1"/>
  <c r="L89" i="13"/>
  <c r="O89" i="13" s="1"/>
  <c r="J87" i="13"/>
  <c r="I86" i="13"/>
  <c r="K86" i="13" s="1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K79" i="13" s="1"/>
  <c r="I78" i="13"/>
  <c r="J77" i="13"/>
  <c r="J76" i="13"/>
  <c r="N74" i="13"/>
  <c r="N72" i="13" s="1"/>
  <c r="M74" i="13"/>
  <c r="P74" i="13" s="1"/>
  <c r="L74" i="13"/>
  <c r="O74" i="13" s="1"/>
  <c r="P73" i="13"/>
  <c r="O73" i="13"/>
  <c r="N71" i="13"/>
  <c r="N69" i="13" s="1"/>
  <c r="M71" i="13"/>
  <c r="P71" i="13" s="1"/>
  <c r="L71" i="13"/>
  <c r="O71" i="13" s="1"/>
  <c r="P70" i="13"/>
  <c r="O70" i="13"/>
  <c r="P67" i="13"/>
  <c r="N67" i="13"/>
  <c r="M67" i="13"/>
  <c r="L67" i="13"/>
  <c r="O67" i="13" s="1"/>
  <c r="J65" i="13"/>
  <c r="J64" i="13"/>
  <c r="N61" i="13"/>
  <c r="M61" i="13"/>
  <c r="M59" i="13" s="1"/>
  <c r="L61" i="13"/>
  <c r="P60" i="13"/>
  <c r="O60" i="13"/>
  <c r="N58" i="13"/>
  <c r="M58" i="13"/>
  <c r="M56" i="13" s="1"/>
  <c r="L58" i="13"/>
  <c r="L56" i="13" s="1"/>
  <c r="P57" i="13"/>
  <c r="O57" i="13"/>
  <c r="O54" i="13"/>
  <c r="N54" i="13"/>
  <c r="M54" i="13"/>
  <c r="P54" i="13" s="1"/>
  <c r="L54" i="13"/>
  <c r="N49" i="13"/>
  <c r="N47" i="13" s="1"/>
  <c r="M49" i="13"/>
  <c r="P49" i="13" s="1"/>
  <c r="L49" i="13"/>
  <c r="P48" i="13"/>
  <c r="O48" i="13"/>
  <c r="N46" i="13"/>
  <c r="N44" i="13" s="1"/>
  <c r="M46" i="13"/>
  <c r="M44" i="13" s="1"/>
  <c r="P44" i="13" s="1"/>
  <c r="L46" i="13"/>
  <c r="P45" i="13"/>
  <c r="O45" i="13"/>
  <c r="N42" i="13"/>
  <c r="M42" i="13"/>
  <c r="P42" i="13" s="1"/>
  <c r="L42" i="13"/>
  <c r="O42" i="13" s="1"/>
  <c r="N36" i="13"/>
  <c r="N34" i="13" s="1"/>
  <c r="M36" i="13"/>
  <c r="P36" i="13" s="1"/>
  <c r="N35" i="13"/>
  <c r="M35" i="13"/>
  <c r="M34" i="13" s="1"/>
  <c r="P34" i="13" s="1"/>
  <c r="L35" i="13"/>
  <c r="O35" i="13" s="1"/>
  <c r="N33" i="13"/>
  <c r="N30" i="13" s="1"/>
  <c r="N32" i="13"/>
  <c r="M32" i="13"/>
  <c r="L32" i="13"/>
  <c r="L29" i="13" s="1"/>
  <c r="N29" i="13"/>
  <c r="N28" i="13" s="1"/>
  <c r="P25" i="13"/>
  <c r="O25" i="13"/>
  <c r="N25" i="13"/>
  <c r="M25" i="13"/>
  <c r="L25" i="13"/>
  <c r="P22" i="13"/>
  <c r="O22" i="13"/>
  <c r="N22" i="13"/>
  <c r="N19" i="13" s="1"/>
  <c r="M22" i="13"/>
  <c r="L22" i="13"/>
  <c r="M19" i="13"/>
  <c r="P19" i="13" s="1"/>
  <c r="N15" i="13"/>
  <c r="M15" i="13"/>
  <c r="P15" i="13" s="1"/>
  <c r="N12" i="13"/>
  <c r="N9" i="13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O815" i="12"/>
  <c r="N815" i="12"/>
  <c r="M815" i="12"/>
  <c r="L815" i="12"/>
  <c r="P810" i="12"/>
  <c r="O810" i="12"/>
  <c r="N810" i="12"/>
  <c r="P809" i="12"/>
  <c r="O809" i="12"/>
  <c r="O808" i="12"/>
  <c r="N808" i="12"/>
  <c r="M808" i="12"/>
  <c r="P808" i="12" s="1"/>
  <c r="L808" i="12"/>
  <c r="N807" i="12"/>
  <c r="N805" i="12" s="1"/>
  <c r="M807" i="12"/>
  <c r="P807" i="12" s="1"/>
  <c r="L807" i="12"/>
  <c r="O807" i="12" s="1"/>
  <c r="N806" i="12"/>
  <c r="M806" i="12"/>
  <c r="L806" i="12"/>
  <c r="O806" i="12" s="1"/>
  <c r="L805" i="12"/>
  <c r="O805" i="12" s="1"/>
  <c r="K804" i="12"/>
  <c r="J804" i="12"/>
  <c r="K802" i="12"/>
  <c r="J801" i="12"/>
  <c r="J800" i="12"/>
  <c r="J785" i="12" s="1"/>
  <c r="I800" i="12"/>
  <c r="P798" i="12"/>
  <c r="O798" i="12"/>
  <c r="P797" i="12"/>
  <c r="O797" i="12"/>
  <c r="P796" i="12"/>
  <c r="O796" i="12"/>
  <c r="N796" i="12"/>
  <c r="M796" i="12"/>
  <c r="L796" i="12"/>
  <c r="P791" i="12"/>
  <c r="N791" i="12"/>
  <c r="L791" i="12"/>
  <c r="P790" i="12"/>
  <c r="O790" i="12"/>
  <c r="M789" i="12"/>
  <c r="P789" i="12" s="1"/>
  <c r="M788" i="12"/>
  <c r="P788" i="12" s="1"/>
  <c r="N787" i="12"/>
  <c r="M787" i="12"/>
  <c r="L787" i="12"/>
  <c r="O787" i="12" s="1"/>
  <c r="P782" i="12"/>
  <c r="O782" i="12"/>
  <c r="P781" i="12"/>
  <c r="O781" i="12"/>
  <c r="P780" i="12"/>
  <c r="N780" i="12"/>
  <c r="M780" i="12"/>
  <c r="L780" i="12"/>
  <c r="O780" i="12" s="1"/>
  <c r="P775" i="12"/>
  <c r="O775" i="12"/>
  <c r="N775" i="12"/>
  <c r="N773" i="12" s="1"/>
  <c r="P774" i="12"/>
  <c r="O774" i="12"/>
  <c r="P773" i="12"/>
  <c r="O773" i="12"/>
  <c r="M773" i="12"/>
  <c r="L773" i="12"/>
  <c r="O772" i="12"/>
  <c r="N772" i="12"/>
  <c r="M772" i="12"/>
  <c r="P772" i="12" s="1"/>
  <c r="L772" i="12"/>
  <c r="N771" i="12"/>
  <c r="N770" i="12" s="1"/>
  <c r="M771" i="12"/>
  <c r="P771" i="12" s="1"/>
  <c r="L771" i="12"/>
  <c r="O771" i="12" s="1"/>
  <c r="L770" i="12"/>
  <c r="O770" i="12" s="1"/>
  <c r="K769" i="12"/>
  <c r="J769" i="12"/>
  <c r="P766" i="12"/>
  <c r="O766" i="12"/>
  <c r="P765" i="12"/>
  <c r="O765" i="12"/>
  <c r="P764" i="12"/>
  <c r="N764" i="12"/>
  <c r="M764" i="12"/>
  <c r="L764" i="12"/>
  <c r="O764" i="12" s="1"/>
  <c r="P759" i="12"/>
  <c r="O759" i="12"/>
  <c r="N759" i="12"/>
  <c r="N757" i="12" s="1"/>
  <c r="P758" i="12"/>
  <c r="O758" i="12"/>
  <c r="P757" i="12"/>
  <c r="O757" i="12"/>
  <c r="M757" i="12"/>
  <c r="L757" i="12"/>
  <c r="O756" i="12"/>
  <c r="N756" i="12"/>
  <c r="M756" i="12"/>
  <c r="P756" i="12" s="1"/>
  <c r="L756" i="12"/>
  <c r="N755" i="12"/>
  <c r="M755" i="12"/>
  <c r="L755" i="12"/>
  <c r="O755" i="12" s="1"/>
  <c r="L754" i="12"/>
  <c r="O754" i="12" s="1"/>
  <c r="K753" i="12"/>
  <c r="J753" i="12"/>
  <c r="P749" i="12"/>
  <c r="O749" i="12"/>
  <c r="P748" i="12"/>
  <c r="O748" i="12"/>
  <c r="P747" i="12"/>
  <c r="N747" i="12"/>
  <c r="M747" i="12"/>
  <c r="L747" i="12"/>
  <c r="O747" i="12" s="1"/>
  <c r="P742" i="12"/>
  <c r="O742" i="12"/>
  <c r="N742" i="12"/>
  <c r="N740" i="12" s="1"/>
  <c r="P741" i="12"/>
  <c r="O741" i="12"/>
  <c r="P740" i="12"/>
  <c r="O740" i="12"/>
  <c r="M740" i="12"/>
  <c r="L740" i="12"/>
  <c r="O739" i="12"/>
  <c r="N739" i="12"/>
  <c r="M739" i="12"/>
  <c r="P739" i="12" s="1"/>
  <c r="L739" i="12"/>
  <c r="N738" i="12"/>
  <c r="M738" i="12"/>
  <c r="P738" i="12" s="1"/>
  <c r="L738" i="12"/>
  <c r="O738" i="12" s="1"/>
  <c r="M737" i="12"/>
  <c r="P737" i="12" s="1"/>
  <c r="L737" i="12"/>
  <c r="O737" i="12" s="1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K700" i="12" s="1"/>
  <c r="J699" i="12"/>
  <c r="I699" i="12"/>
  <c r="K699" i="12" s="1"/>
  <c r="P697" i="12"/>
  <c r="O697" i="12"/>
  <c r="P696" i="12"/>
  <c r="O696" i="12"/>
  <c r="P695" i="12"/>
  <c r="N695" i="12"/>
  <c r="M695" i="12"/>
  <c r="L695" i="12"/>
  <c r="O695" i="12" s="1"/>
  <c r="P690" i="12"/>
  <c r="N690" i="12"/>
  <c r="L690" i="12"/>
  <c r="O690" i="12" s="1"/>
  <c r="N688" i="12"/>
  <c r="M688" i="12"/>
  <c r="P688" i="12" s="1"/>
  <c r="N687" i="12"/>
  <c r="N685" i="12" s="1"/>
  <c r="M687" i="12"/>
  <c r="P687" i="12" s="1"/>
  <c r="N686" i="12"/>
  <c r="M686" i="12"/>
  <c r="L686" i="12"/>
  <c r="O686" i="12" s="1"/>
  <c r="J679" i="12"/>
  <c r="J678" i="12" s="1"/>
  <c r="I678" i="12"/>
  <c r="K678" i="12" s="1"/>
  <c r="J675" i="12"/>
  <c r="J669" i="12" s="1"/>
  <c r="J654" i="12" s="1"/>
  <c r="I671" i="12"/>
  <c r="K671" i="12" s="1"/>
  <c r="I670" i="12"/>
  <c r="K670" i="12" s="1"/>
  <c r="I669" i="12"/>
  <c r="K673" i="12" s="1"/>
  <c r="P667" i="12"/>
  <c r="O667" i="12"/>
  <c r="P666" i="12"/>
  <c r="O666" i="12"/>
  <c r="N665" i="12"/>
  <c r="M665" i="12"/>
  <c r="P665" i="12" s="1"/>
  <c r="L665" i="12"/>
  <c r="O665" i="12" s="1"/>
  <c r="P660" i="12"/>
  <c r="N660" i="12"/>
  <c r="N657" i="12" s="1"/>
  <c r="L660" i="12"/>
  <c r="O660" i="12" s="1"/>
  <c r="P659" i="12"/>
  <c r="O659" i="12"/>
  <c r="P658" i="12"/>
  <c r="N658" i="12"/>
  <c r="M658" i="12"/>
  <c r="L658" i="12"/>
  <c r="O658" i="12" s="1"/>
  <c r="P657" i="12"/>
  <c r="M657" i="12"/>
  <c r="P656" i="12"/>
  <c r="O656" i="12"/>
  <c r="N656" i="12"/>
  <c r="M656" i="12"/>
  <c r="M655" i="12" s="1"/>
  <c r="P655" i="12" s="1"/>
  <c r="L656" i="12"/>
  <c r="N655" i="12"/>
  <c r="K652" i="12"/>
  <c r="J652" i="12"/>
  <c r="J651" i="12"/>
  <c r="J628" i="12" s="1"/>
  <c r="I651" i="12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O641" i="12" s="1"/>
  <c r="P640" i="12"/>
  <c r="O640" i="12"/>
  <c r="N639" i="12"/>
  <c r="M639" i="12"/>
  <c r="P639" i="12" s="1"/>
  <c r="N634" i="12"/>
  <c r="N631" i="12" s="1"/>
  <c r="N629" i="12" s="1"/>
  <c r="L634" i="12"/>
  <c r="M634" i="12" s="1"/>
  <c r="M631" i="12" s="1"/>
  <c r="P631" i="12" s="1"/>
  <c r="P633" i="12"/>
  <c r="O633" i="12"/>
  <c r="N632" i="12"/>
  <c r="N630" i="12"/>
  <c r="M630" i="12"/>
  <c r="L630" i="12"/>
  <c r="O630" i="12" s="1"/>
  <c r="I628" i="12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4" i="12" s="1"/>
  <c r="J595" i="12"/>
  <c r="J593" i="12" s="1"/>
  <c r="J592" i="12" s="1"/>
  <c r="I594" i="12"/>
  <c r="I593" i="12"/>
  <c r="J583" i="12"/>
  <c r="J582" i="12"/>
  <c r="J576" i="12" s="1"/>
  <c r="J559" i="12" s="1"/>
  <c r="J543" i="12" s="1"/>
  <c r="J577" i="12"/>
  <c r="I577" i="12"/>
  <c r="K577" i="12" s="1"/>
  <c r="I576" i="12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P557" i="12"/>
  <c r="L557" i="12"/>
  <c r="O557" i="12" s="1"/>
  <c r="P556" i="12"/>
  <c r="O556" i="12"/>
  <c r="N555" i="12"/>
  <c r="M555" i="12"/>
  <c r="N549" i="12"/>
  <c r="N547" i="12" s="1"/>
  <c r="L549" i="12"/>
  <c r="L547" i="12" s="1"/>
  <c r="O547" i="12" s="1"/>
  <c r="P548" i="12"/>
  <c r="O548" i="12"/>
  <c r="N546" i="12"/>
  <c r="O545" i="12"/>
  <c r="N545" i="12"/>
  <c r="N544" i="12" s="1"/>
  <c r="L545" i="12"/>
  <c r="I542" i="12"/>
  <c r="K542" i="12" s="1"/>
  <c r="I541" i="12"/>
  <c r="K541" i="12" s="1"/>
  <c r="I540" i="12"/>
  <c r="K540" i="12" s="1"/>
  <c r="I539" i="12"/>
  <c r="K539" i="12" s="1"/>
  <c r="I538" i="12"/>
  <c r="K538" i="12" s="1"/>
  <c r="I537" i="12"/>
  <c r="I522" i="12" s="1"/>
  <c r="K522" i="12" s="1"/>
  <c r="P535" i="12"/>
  <c r="L535" i="12"/>
  <c r="O535" i="12" s="1"/>
  <c r="P534" i="12"/>
  <c r="O534" i="12"/>
  <c r="P533" i="12"/>
  <c r="N533" i="12"/>
  <c r="M533" i="12"/>
  <c r="L533" i="12"/>
  <c r="O533" i="12" s="1"/>
  <c r="P528" i="12"/>
  <c r="N528" i="12"/>
  <c r="N525" i="12" s="1"/>
  <c r="L528" i="12"/>
  <c r="O528" i="12" s="1"/>
  <c r="P527" i="12"/>
  <c r="O527" i="12"/>
  <c r="P526" i="12"/>
  <c r="N526" i="12"/>
  <c r="M526" i="12"/>
  <c r="P525" i="12"/>
  <c r="M525" i="12"/>
  <c r="O524" i="12"/>
  <c r="N524" i="12"/>
  <c r="N523" i="12" s="1"/>
  <c r="M524" i="12"/>
  <c r="P524" i="12" s="1"/>
  <c r="L524" i="12"/>
  <c r="M523" i="12"/>
  <c r="P523" i="12" s="1"/>
  <c r="K517" i="12"/>
  <c r="J517" i="12"/>
  <c r="J501" i="12" s="1"/>
  <c r="K516" i="12"/>
  <c r="P514" i="12"/>
  <c r="O514" i="12"/>
  <c r="P513" i="12"/>
  <c r="O513" i="12"/>
  <c r="P512" i="12"/>
  <c r="O512" i="12"/>
  <c r="N512" i="12"/>
  <c r="M512" i="12"/>
  <c r="L512" i="12"/>
  <c r="P507" i="12"/>
  <c r="O507" i="12"/>
  <c r="N507" i="12"/>
  <c r="P506" i="12"/>
  <c r="O506" i="12"/>
  <c r="O505" i="12"/>
  <c r="N505" i="12"/>
  <c r="M505" i="12"/>
  <c r="P505" i="12" s="1"/>
  <c r="L505" i="12"/>
  <c r="N504" i="12"/>
  <c r="N502" i="12" s="1"/>
  <c r="M504" i="12"/>
  <c r="P504" i="12" s="1"/>
  <c r="L504" i="12"/>
  <c r="O504" i="12" s="1"/>
  <c r="N503" i="12"/>
  <c r="M503" i="12"/>
  <c r="M502" i="12" s="1"/>
  <c r="P502" i="12" s="1"/>
  <c r="L503" i="12"/>
  <c r="O503" i="12" s="1"/>
  <c r="L502" i="12"/>
  <c r="O502" i="12" s="1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P478" i="12"/>
  <c r="O478" i="12"/>
  <c r="P477" i="12"/>
  <c r="N477" i="12"/>
  <c r="M477" i="12"/>
  <c r="N472" i="12"/>
  <c r="L472" i="12"/>
  <c r="P471" i="12"/>
  <c r="O471" i="12"/>
  <c r="N468" i="12"/>
  <c r="M468" i="12"/>
  <c r="P468" i="12" s="1"/>
  <c r="L468" i="12"/>
  <c r="O468" i="12" s="1"/>
  <c r="J466" i="12"/>
  <c r="I466" i="12"/>
  <c r="K466" i="12" s="1"/>
  <c r="J465" i="12"/>
  <c r="I465" i="12"/>
  <c r="I464" i="12"/>
  <c r="I463" i="12"/>
  <c r="I462" i="12"/>
  <c r="I443" i="12" s="1"/>
  <c r="K443" i="12" s="1"/>
  <c r="I460" i="12"/>
  <c r="K460" i="12" s="1"/>
  <c r="K458" i="12"/>
  <c r="P456" i="12"/>
  <c r="L456" i="12"/>
  <c r="O456" i="12" s="1"/>
  <c r="P455" i="12"/>
  <c r="O455" i="12"/>
  <c r="P454" i="12"/>
  <c r="N454" i="12"/>
  <c r="M454" i="12"/>
  <c r="L454" i="12"/>
  <c r="O454" i="12" s="1"/>
  <c r="N449" i="12"/>
  <c r="L449" i="12"/>
  <c r="L447" i="12" s="1"/>
  <c r="O447" i="12" s="1"/>
  <c r="P448" i="12"/>
  <c r="O448" i="12"/>
  <c r="N447" i="12"/>
  <c r="P445" i="12"/>
  <c r="N445" i="12"/>
  <c r="M445" i="12"/>
  <c r="L445" i="12"/>
  <c r="J443" i="12"/>
  <c r="J442" i="12"/>
  <c r="I441" i="12"/>
  <c r="K441" i="12" s="1"/>
  <c r="I440" i="12"/>
  <c r="I439" i="12"/>
  <c r="K439" i="12" s="1"/>
  <c r="I438" i="12"/>
  <c r="K438" i="12" s="1"/>
  <c r="I437" i="12"/>
  <c r="K437" i="12" s="1"/>
  <c r="I435" i="12"/>
  <c r="I433" i="12" s="1"/>
  <c r="J434" i="12"/>
  <c r="P431" i="12"/>
  <c r="L431" i="12"/>
  <c r="O431" i="12" s="1"/>
  <c r="P430" i="12"/>
  <c r="O430" i="12"/>
  <c r="N429" i="12"/>
  <c r="M429" i="12"/>
  <c r="P429" i="12" s="1"/>
  <c r="N424" i="12"/>
  <c r="N422" i="12" s="1"/>
  <c r="L424" i="12"/>
  <c r="P423" i="12"/>
  <c r="O423" i="12"/>
  <c r="N421" i="12"/>
  <c r="O420" i="12"/>
  <c r="N420" i="12"/>
  <c r="N419" i="12" s="1"/>
  <c r="M420" i="12"/>
  <c r="P420" i="12" s="1"/>
  <c r="L420" i="12"/>
  <c r="J418" i="12"/>
  <c r="K413" i="12"/>
  <c r="K412" i="12"/>
  <c r="N410" i="12"/>
  <c r="N408" i="12" s="1"/>
  <c r="M410" i="12"/>
  <c r="P410" i="12" s="1"/>
  <c r="L410" i="12"/>
  <c r="L408" i="12" s="1"/>
  <c r="O408" i="12" s="1"/>
  <c r="P409" i="12"/>
  <c r="O409" i="12"/>
  <c r="N407" i="12"/>
  <c r="N405" i="12" s="1"/>
  <c r="M407" i="12"/>
  <c r="P407" i="12" s="1"/>
  <c r="L407" i="12"/>
  <c r="P406" i="12"/>
  <c r="O406" i="12"/>
  <c r="M404" i="12"/>
  <c r="M402" i="12" s="1"/>
  <c r="P402" i="12" s="1"/>
  <c r="N403" i="12"/>
  <c r="M403" i="12"/>
  <c r="P403" i="12" s="1"/>
  <c r="L403" i="12"/>
  <c r="O403" i="12" s="1"/>
  <c r="K401" i="12"/>
  <c r="J401" i="12"/>
  <c r="I401" i="12"/>
  <c r="K400" i="12"/>
  <c r="K399" i="12"/>
  <c r="N397" i="12"/>
  <c r="N395" i="12" s="1"/>
  <c r="M397" i="12"/>
  <c r="M395" i="12" s="1"/>
  <c r="P395" i="12" s="1"/>
  <c r="L397" i="12"/>
  <c r="O397" i="12" s="1"/>
  <c r="P396" i="12"/>
  <c r="O396" i="12"/>
  <c r="N394" i="12"/>
  <c r="M394" i="12"/>
  <c r="L394" i="12"/>
  <c r="P393" i="12"/>
  <c r="O393" i="12"/>
  <c r="P390" i="12"/>
  <c r="O390" i="12"/>
  <c r="N390" i="12"/>
  <c r="M390" i="12"/>
  <c r="L390" i="12"/>
  <c r="J388" i="12"/>
  <c r="I388" i="12"/>
  <c r="K388" i="12" s="1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I362" i="12"/>
  <c r="K362" i="12" s="1"/>
  <c r="K361" i="12"/>
  <c r="J361" i="12"/>
  <c r="J360" i="12"/>
  <c r="I360" i="12"/>
  <c r="J359" i="12"/>
  <c r="I359" i="12"/>
  <c r="K358" i="12"/>
  <c r="J358" i="12"/>
  <c r="J355" i="12"/>
  <c r="I355" i="12"/>
  <c r="N353" i="12"/>
  <c r="N351" i="12" s="1"/>
  <c r="M353" i="12"/>
  <c r="M351" i="12" s="1"/>
  <c r="P351" i="12" s="1"/>
  <c r="L353" i="12"/>
  <c r="P352" i="12"/>
  <c r="O352" i="12"/>
  <c r="N350" i="12"/>
  <c r="N348" i="12" s="1"/>
  <c r="M350" i="12"/>
  <c r="L350" i="12"/>
  <c r="P349" i="12"/>
  <c r="O349" i="12"/>
  <c r="P346" i="12"/>
  <c r="O346" i="12"/>
  <c r="N346" i="12"/>
  <c r="M346" i="12"/>
  <c r="L346" i="12"/>
  <c r="J343" i="12"/>
  <c r="J342" i="12"/>
  <c r="J341" i="12"/>
  <c r="J340" i="12"/>
  <c r="I340" i="12"/>
  <c r="J338" i="12"/>
  <c r="I338" i="12"/>
  <c r="N336" i="12"/>
  <c r="N334" i="12" s="1"/>
  <c r="M336" i="12"/>
  <c r="P336" i="12" s="1"/>
  <c r="L336" i="12"/>
  <c r="L334" i="12" s="1"/>
  <c r="O334" i="12" s="1"/>
  <c r="P335" i="12"/>
  <c r="O335" i="12"/>
  <c r="N333" i="12"/>
  <c r="N331" i="12" s="1"/>
  <c r="M333" i="12"/>
  <c r="L333" i="12"/>
  <c r="L331" i="12" s="1"/>
  <c r="P332" i="12"/>
  <c r="O332" i="12"/>
  <c r="P329" i="12"/>
  <c r="O329" i="12"/>
  <c r="N329" i="12"/>
  <c r="M329" i="12"/>
  <c r="L329" i="12"/>
  <c r="I327" i="12"/>
  <c r="I325" i="12"/>
  <c r="K325" i="12" s="1"/>
  <c r="N323" i="12"/>
  <c r="N321" i="12" s="1"/>
  <c r="M323" i="12"/>
  <c r="M321" i="12" s="1"/>
  <c r="P321" i="12" s="1"/>
  <c r="L323" i="12"/>
  <c r="O323" i="12" s="1"/>
  <c r="P322" i="12"/>
  <c r="O322" i="12"/>
  <c r="N320" i="12"/>
  <c r="M320" i="12"/>
  <c r="M318" i="12" s="1"/>
  <c r="P318" i="12" s="1"/>
  <c r="L320" i="12"/>
  <c r="O320" i="12" s="1"/>
  <c r="P319" i="12"/>
  <c r="O319" i="12"/>
  <c r="N316" i="12"/>
  <c r="M316" i="12"/>
  <c r="P316" i="12" s="1"/>
  <c r="L316" i="12"/>
  <c r="O316" i="12" s="1"/>
  <c r="J314" i="12"/>
  <c r="I312" i="12"/>
  <c r="K312" i="12" s="1"/>
  <c r="I311" i="12"/>
  <c r="K311" i="12" s="1"/>
  <c r="I310" i="12"/>
  <c r="K310" i="12" s="1"/>
  <c r="I309" i="12"/>
  <c r="I297" i="12" s="1"/>
  <c r="K297" i="12" s="1"/>
  <c r="N306" i="12"/>
  <c r="N304" i="12" s="1"/>
  <c r="M306" i="12"/>
  <c r="P306" i="12" s="1"/>
  <c r="L306" i="12"/>
  <c r="L304" i="12" s="1"/>
  <c r="O304" i="12" s="1"/>
  <c r="P305" i="12"/>
  <c r="O305" i="12"/>
  <c r="N303" i="12"/>
  <c r="N301" i="12" s="1"/>
  <c r="M303" i="12"/>
  <c r="L303" i="12"/>
  <c r="P302" i="12"/>
  <c r="O302" i="12"/>
  <c r="O299" i="12"/>
  <c r="N299" i="12"/>
  <c r="M299" i="12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J288" i="12" s="1"/>
  <c r="J275" i="12" s="1"/>
  <c r="I287" i="12"/>
  <c r="K287" i="12" s="1"/>
  <c r="N285" i="12"/>
  <c r="N283" i="12" s="1"/>
  <c r="M285" i="12"/>
  <c r="P285" i="12" s="1"/>
  <c r="L285" i="12"/>
  <c r="L283" i="12" s="1"/>
  <c r="O283" i="12" s="1"/>
  <c r="P284" i="12"/>
  <c r="O284" i="12"/>
  <c r="N282" i="12"/>
  <c r="N280" i="12" s="1"/>
  <c r="M282" i="12"/>
  <c r="L282" i="12"/>
  <c r="O282" i="12" s="1"/>
  <c r="P281" i="12"/>
  <c r="O281" i="12"/>
  <c r="P278" i="12"/>
  <c r="O278" i="12"/>
  <c r="N278" i="12"/>
  <c r="M278" i="12"/>
  <c r="L278" i="12"/>
  <c r="J276" i="12"/>
  <c r="I271" i="12"/>
  <c r="K271" i="12" s="1"/>
  <c r="N269" i="12"/>
  <c r="N267" i="12" s="1"/>
  <c r="M269" i="12"/>
  <c r="M267" i="12" s="1"/>
  <c r="P267" i="12" s="1"/>
  <c r="L269" i="12"/>
  <c r="O269" i="12" s="1"/>
  <c r="P268" i="12"/>
  <c r="O268" i="12"/>
  <c r="N266" i="12"/>
  <c r="M266" i="12"/>
  <c r="M264" i="12" s="1"/>
  <c r="P264" i="12" s="1"/>
  <c r="L266" i="12"/>
  <c r="L264" i="12" s="1"/>
  <c r="P265" i="12"/>
  <c r="O265" i="12"/>
  <c r="O262" i="12"/>
  <c r="N262" i="12"/>
  <c r="M262" i="12"/>
  <c r="L262" i="12"/>
  <c r="J260" i="12"/>
  <c r="K258" i="12"/>
  <c r="K257" i="12"/>
  <c r="I255" i="12"/>
  <c r="I248" i="12" s="1"/>
  <c r="K248" i="12" s="1"/>
  <c r="L253" i="12"/>
  <c r="L252" i="12"/>
  <c r="L251" i="12"/>
  <c r="L250" i="12"/>
  <c r="P249" i="12"/>
  <c r="N249" i="12"/>
  <c r="J248" i="12"/>
  <c r="K247" i="12"/>
  <c r="K246" i="12"/>
  <c r="I244" i="12"/>
  <c r="L242" i="12"/>
  <c r="L241" i="12"/>
  <c r="L240" i="12"/>
  <c r="L239" i="12"/>
  <c r="P238" i="12"/>
  <c r="N238" i="12"/>
  <c r="J237" i="12"/>
  <c r="J236" i="12"/>
  <c r="I236" i="12"/>
  <c r="K236" i="12" s="1"/>
  <c r="J235" i="12"/>
  <c r="I235" i="12"/>
  <c r="K235" i="12" s="1"/>
  <c r="J233" i="12"/>
  <c r="N231" i="12"/>
  <c r="N230" i="12"/>
  <c r="N229" i="12"/>
  <c r="N228" i="12"/>
  <c r="N227" i="12"/>
  <c r="J226" i="12"/>
  <c r="I225" i="12"/>
  <c r="K225" i="12" s="1"/>
  <c r="I224" i="12"/>
  <c r="K224" i="12" s="1"/>
  <c r="I223" i="12"/>
  <c r="K223" i="12" s="1"/>
  <c r="L220" i="12"/>
  <c r="L219" i="12"/>
  <c r="L218" i="12"/>
  <c r="P217" i="12"/>
  <c r="N217" i="12"/>
  <c r="J216" i="12"/>
  <c r="I215" i="12"/>
  <c r="K215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K204" i="12" s="1"/>
  <c r="L202" i="12"/>
  <c r="L201" i="12"/>
  <c r="L200" i="12"/>
  <c r="L199" i="12"/>
  <c r="P198" i="12"/>
  <c r="N198" i="12"/>
  <c r="J197" i="12"/>
  <c r="J194" i="12"/>
  <c r="I193" i="12"/>
  <c r="I190" i="12" s="1"/>
  <c r="P191" i="12"/>
  <c r="L191" i="12"/>
  <c r="O191" i="12" s="1"/>
  <c r="J190" i="12"/>
  <c r="N189" i="12"/>
  <c r="N187" i="12" s="1"/>
  <c r="M189" i="12"/>
  <c r="P189" i="12" s="1"/>
  <c r="L189" i="12"/>
  <c r="P188" i="12"/>
  <c r="O188" i="12"/>
  <c r="N186" i="12"/>
  <c r="N184" i="12" s="1"/>
  <c r="M186" i="12"/>
  <c r="M184" i="12" s="1"/>
  <c r="L186" i="12"/>
  <c r="L183" i="12" s="1"/>
  <c r="P185" i="12"/>
  <c r="O185" i="12"/>
  <c r="N182" i="12"/>
  <c r="M182" i="12"/>
  <c r="L182" i="12"/>
  <c r="O182" i="12" s="1"/>
  <c r="J180" i="12"/>
  <c r="J177" i="12"/>
  <c r="I176" i="12"/>
  <c r="J174" i="12"/>
  <c r="J164" i="12" s="1"/>
  <c r="N173" i="12"/>
  <c r="N171" i="12" s="1"/>
  <c r="M173" i="12"/>
  <c r="P173" i="12" s="1"/>
  <c r="L173" i="12"/>
  <c r="P172" i="12"/>
  <c r="O172" i="12"/>
  <c r="N170" i="12"/>
  <c r="N168" i="12" s="1"/>
  <c r="M170" i="12"/>
  <c r="M168" i="12" s="1"/>
  <c r="L170" i="12"/>
  <c r="P169" i="12"/>
  <c r="O169" i="12"/>
  <c r="N166" i="12"/>
  <c r="M166" i="12"/>
  <c r="L166" i="12"/>
  <c r="O166" i="12" s="1"/>
  <c r="I159" i="12"/>
  <c r="K159" i="12" s="1"/>
  <c r="N157" i="12"/>
  <c r="N155" i="12" s="1"/>
  <c r="M157" i="12"/>
  <c r="M155" i="12" s="1"/>
  <c r="P155" i="12" s="1"/>
  <c r="L157" i="12"/>
  <c r="L155" i="12" s="1"/>
  <c r="O155" i="12" s="1"/>
  <c r="P156" i="12"/>
  <c r="O156" i="12"/>
  <c r="N154" i="12"/>
  <c r="N152" i="12" s="1"/>
  <c r="M154" i="12"/>
  <c r="M152" i="12" s="1"/>
  <c r="P152" i="12" s="1"/>
  <c r="L154" i="12"/>
  <c r="P153" i="12"/>
  <c r="O153" i="12"/>
  <c r="P150" i="12"/>
  <c r="O150" i="12"/>
  <c r="N150" i="12"/>
  <c r="M150" i="12"/>
  <c r="L150" i="12"/>
  <c r="J148" i="12"/>
  <c r="I146" i="12"/>
  <c r="I130" i="12" s="1"/>
  <c r="K130" i="12" s="1"/>
  <c r="I145" i="12"/>
  <c r="I143" i="12" s="1"/>
  <c r="I131" i="12" s="1"/>
  <c r="K131" i="12" s="1"/>
  <c r="I144" i="12"/>
  <c r="N140" i="12"/>
  <c r="N138" i="12" s="1"/>
  <c r="M140" i="12"/>
  <c r="L140" i="12"/>
  <c r="O140" i="12" s="1"/>
  <c r="P139" i="12"/>
  <c r="O139" i="12"/>
  <c r="N137" i="12"/>
  <c r="N135" i="12" s="1"/>
  <c r="M137" i="12"/>
  <c r="L137" i="12"/>
  <c r="O137" i="12" s="1"/>
  <c r="P136" i="12"/>
  <c r="O136" i="12"/>
  <c r="P133" i="12"/>
  <c r="O133" i="12"/>
  <c r="N133" i="12"/>
  <c r="M133" i="12"/>
  <c r="L133" i="12"/>
  <c r="J130" i="12"/>
  <c r="N127" i="12"/>
  <c r="M127" i="12"/>
  <c r="M125" i="12" s="1"/>
  <c r="P125" i="12" s="1"/>
  <c r="L127" i="12"/>
  <c r="L125" i="12" s="1"/>
  <c r="O125" i="12" s="1"/>
  <c r="P126" i="12"/>
  <c r="O126" i="12"/>
  <c r="P124" i="12"/>
  <c r="N124" i="12"/>
  <c r="N122" i="12" s="1"/>
  <c r="M124" i="12"/>
  <c r="M122" i="12" s="1"/>
  <c r="P122" i="12" s="1"/>
  <c r="L124" i="12"/>
  <c r="L121" i="12" s="1"/>
  <c r="O121" i="12" s="1"/>
  <c r="P123" i="12"/>
  <c r="O123" i="12"/>
  <c r="N120" i="12"/>
  <c r="M120" i="12"/>
  <c r="L120" i="12"/>
  <c r="O120" i="12" s="1"/>
  <c r="I116" i="12"/>
  <c r="K116" i="12" s="1"/>
  <c r="I115" i="12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I99" i="12"/>
  <c r="K99" i="12" s="1"/>
  <c r="J98" i="12"/>
  <c r="I98" i="12"/>
  <c r="N96" i="12"/>
  <c r="N94" i="12" s="1"/>
  <c r="M96" i="12"/>
  <c r="P96" i="12" s="1"/>
  <c r="L96" i="12"/>
  <c r="O96" i="12" s="1"/>
  <c r="P95" i="12"/>
  <c r="O95" i="12"/>
  <c r="L94" i="12"/>
  <c r="O94" i="12" s="1"/>
  <c r="N93" i="12"/>
  <c r="N91" i="12" s="1"/>
  <c r="M93" i="12"/>
  <c r="M90" i="12" s="1"/>
  <c r="L93" i="12"/>
  <c r="P92" i="12"/>
  <c r="O92" i="12"/>
  <c r="N89" i="12"/>
  <c r="M89" i="12"/>
  <c r="P89" i="12" s="1"/>
  <c r="L89" i="12"/>
  <c r="O89" i="12" s="1"/>
  <c r="J87" i="12"/>
  <c r="J86" i="12"/>
  <c r="I86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K79" i="12" s="1"/>
  <c r="I78" i="12"/>
  <c r="J77" i="12"/>
  <c r="J76" i="12"/>
  <c r="J64" i="12" s="1"/>
  <c r="N74" i="12"/>
  <c r="N72" i="12" s="1"/>
  <c r="M74" i="12"/>
  <c r="M72" i="12" s="1"/>
  <c r="P72" i="12" s="1"/>
  <c r="L74" i="12"/>
  <c r="O74" i="12" s="1"/>
  <c r="P73" i="12"/>
  <c r="O73" i="12"/>
  <c r="N71" i="12"/>
  <c r="N69" i="12" s="1"/>
  <c r="M71" i="12"/>
  <c r="M69" i="12" s="1"/>
  <c r="P69" i="12" s="1"/>
  <c r="L71" i="12"/>
  <c r="O71" i="12" s="1"/>
  <c r="P70" i="12"/>
  <c r="O70" i="12"/>
  <c r="P67" i="12"/>
  <c r="N67" i="12"/>
  <c r="M67" i="12"/>
  <c r="L67" i="12"/>
  <c r="O67" i="12" s="1"/>
  <c r="J65" i="12"/>
  <c r="N61" i="12"/>
  <c r="N59" i="12" s="1"/>
  <c r="M61" i="12"/>
  <c r="M59" i="12" s="1"/>
  <c r="P59" i="12" s="1"/>
  <c r="L61" i="12"/>
  <c r="L59" i="12" s="1"/>
  <c r="O59" i="12" s="1"/>
  <c r="P60" i="12"/>
  <c r="O60" i="12"/>
  <c r="N58" i="12"/>
  <c r="M58" i="12"/>
  <c r="M56" i="12" s="1"/>
  <c r="L58" i="12"/>
  <c r="L56" i="12" s="1"/>
  <c r="P57" i="12"/>
  <c r="O57" i="12"/>
  <c r="P54" i="12"/>
  <c r="N54" i="12"/>
  <c r="M54" i="12"/>
  <c r="L54" i="12"/>
  <c r="O54" i="12" s="1"/>
  <c r="N49" i="12"/>
  <c r="N47" i="12" s="1"/>
  <c r="M49" i="12"/>
  <c r="M47" i="12" s="1"/>
  <c r="P47" i="12" s="1"/>
  <c r="L49" i="12"/>
  <c r="O49" i="12" s="1"/>
  <c r="P48" i="12"/>
  <c r="O48" i="12"/>
  <c r="N46" i="12"/>
  <c r="N43" i="12" s="1"/>
  <c r="N41" i="12" s="1"/>
  <c r="M46" i="12"/>
  <c r="M44" i="12" s="1"/>
  <c r="L46" i="12"/>
  <c r="L44" i="12" s="1"/>
  <c r="P45" i="12"/>
  <c r="O45" i="12"/>
  <c r="P42" i="12"/>
  <c r="N42" i="12"/>
  <c r="M42" i="12"/>
  <c r="L42" i="12"/>
  <c r="O42" i="12" s="1"/>
  <c r="P36" i="12"/>
  <c r="N36" i="12"/>
  <c r="M36" i="12"/>
  <c r="O35" i="12"/>
  <c r="N35" i="12"/>
  <c r="N34" i="12" s="1"/>
  <c r="M35" i="12"/>
  <c r="P35" i="12" s="1"/>
  <c r="L35" i="12"/>
  <c r="M34" i="12"/>
  <c r="P34" i="12" s="1"/>
  <c r="P32" i="12"/>
  <c r="O32" i="12"/>
  <c r="N32" i="12"/>
  <c r="M32" i="12"/>
  <c r="L32" i="12"/>
  <c r="L29" i="12" s="1"/>
  <c r="N29" i="12"/>
  <c r="M29" i="12"/>
  <c r="P29" i="12" s="1"/>
  <c r="P25" i="12"/>
  <c r="O25" i="12"/>
  <c r="N25" i="12"/>
  <c r="N19" i="12" s="1"/>
  <c r="M25" i="12"/>
  <c r="L25" i="12"/>
  <c r="N22" i="12"/>
  <c r="M22" i="12"/>
  <c r="L22" i="12"/>
  <c r="L12" i="12" s="1"/>
  <c r="M15" i="12"/>
  <c r="P15" i="12" s="1"/>
  <c r="N12" i="12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N815" i="11"/>
  <c r="M815" i="11"/>
  <c r="L815" i="11"/>
  <c r="O815" i="11" s="1"/>
  <c r="P810" i="11"/>
  <c r="O810" i="11"/>
  <c r="N810" i="11"/>
  <c r="N807" i="11" s="1"/>
  <c r="P809" i="11"/>
  <c r="O809" i="11"/>
  <c r="P808" i="11"/>
  <c r="N808" i="11"/>
  <c r="M808" i="11"/>
  <c r="L808" i="11"/>
  <c r="O808" i="11" s="1"/>
  <c r="O807" i="11"/>
  <c r="M807" i="11"/>
  <c r="L807" i="11"/>
  <c r="N806" i="11"/>
  <c r="N805" i="11" s="1"/>
  <c r="M806" i="11"/>
  <c r="P806" i="11" s="1"/>
  <c r="L806" i="11"/>
  <c r="K804" i="11"/>
  <c r="J804" i="11"/>
  <c r="K802" i="11"/>
  <c r="J801" i="11"/>
  <c r="J800" i="11"/>
  <c r="J785" i="11" s="1"/>
  <c r="I800" i="11"/>
  <c r="P798" i="11"/>
  <c r="O798" i="11"/>
  <c r="P797" i="11"/>
  <c r="O797" i="11"/>
  <c r="O796" i="11"/>
  <c r="N796" i="11"/>
  <c r="M796" i="11"/>
  <c r="P796" i="11" s="1"/>
  <c r="L796" i="11"/>
  <c r="P791" i="11"/>
  <c r="N791" i="11"/>
  <c r="L791" i="11"/>
  <c r="L789" i="11" s="1"/>
  <c r="O789" i="11" s="1"/>
  <c r="P790" i="11"/>
  <c r="O790" i="11"/>
  <c r="P789" i="11"/>
  <c r="M789" i="11"/>
  <c r="M788" i="11"/>
  <c r="P787" i="11"/>
  <c r="N787" i="11"/>
  <c r="M787" i="11"/>
  <c r="L787" i="11"/>
  <c r="P782" i="11"/>
  <c r="O782" i="11"/>
  <c r="P781" i="11"/>
  <c r="O781" i="11"/>
  <c r="N780" i="11"/>
  <c r="M780" i="11"/>
  <c r="P780" i="11" s="1"/>
  <c r="L780" i="11"/>
  <c r="O780" i="11" s="1"/>
  <c r="P775" i="11"/>
  <c r="O775" i="11"/>
  <c r="N775" i="11"/>
  <c r="P774" i="11"/>
  <c r="O774" i="11"/>
  <c r="O773" i="11"/>
  <c r="N773" i="11"/>
  <c r="M773" i="11"/>
  <c r="P773" i="11" s="1"/>
  <c r="L773" i="11"/>
  <c r="P772" i="11"/>
  <c r="N772" i="11"/>
  <c r="N770" i="11" s="1"/>
  <c r="M772" i="11"/>
  <c r="L772" i="11"/>
  <c r="O772" i="11" s="1"/>
  <c r="O771" i="11"/>
  <c r="N771" i="11"/>
  <c r="M771" i="11"/>
  <c r="L771" i="11"/>
  <c r="L770" i="11"/>
  <c r="O770" i="11" s="1"/>
  <c r="K769" i="11"/>
  <c r="J769" i="11"/>
  <c r="P766" i="11"/>
  <c r="O766" i="11"/>
  <c r="P765" i="11"/>
  <c r="O765" i="11"/>
  <c r="O764" i="11"/>
  <c r="N764" i="11"/>
  <c r="M764" i="11"/>
  <c r="P764" i="11" s="1"/>
  <c r="L764" i="11"/>
  <c r="P759" i="11"/>
  <c r="O759" i="11"/>
  <c r="N759" i="11"/>
  <c r="P758" i="11"/>
  <c r="O758" i="11"/>
  <c r="O757" i="11"/>
  <c r="N757" i="11"/>
  <c r="M757" i="11"/>
  <c r="P757" i="11" s="1"/>
  <c r="L757" i="11"/>
  <c r="P756" i="11"/>
  <c r="N756" i="11"/>
  <c r="N754" i="11" s="1"/>
  <c r="M756" i="11"/>
  <c r="L756" i="11"/>
  <c r="O756" i="11" s="1"/>
  <c r="O755" i="11"/>
  <c r="N755" i="11"/>
  <c r="M755" i="11"/>
  <c r="L755" i="11"/>
  <c r="L754" i="11"/>
  <c r="O754" i="11" s="1"/>
  <c r="K753" i="11"/>
  <c r="J753" i="11"/>
  <c r="P749" i="11"/>
  <c r="O749" i="11"/>
  <c r="P748" i="11"/>
  <c r="O748" i="11"/>
  <c r="O747" i="11"/>
  <c r="N747" i="11"/>
  <c r="M747" i="11"/>
  <c r="P747" i="11" s="1"/>
  <c r="L747" i="11"/>
  <c r="P742" i="11"/>
  <c r="O742" i="11"/>
  <c r="N742" i="11"/>
  <c r="P741" i="11"/>
  <c r="O741" i="11"/>
  <c r="O740" i="11"/>
  <c r="N740" i="11"/>
  <c r="M740" i="11"/>
  <c r="P740" i="11" s="1"/>
  <c r="L740" i="11"/>
  <c r="P739" i="11"/>
  <c r="N739" i="11"/>
  <c r="N737" i="11" s="1"/>
  <c r="M739" i="11"/>
  <c r="L739" i="11"/>
  <c r="O739" i="11" s="1"/>
  <c r="O738" i="11"/>
  <c r="N738" i="11"/>
  <c r="M738" i="11"/>
  <c r="L738" i="11"/>
  <c r="L737" i="11"/>
  <c r="O737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O695" i="11"/>
  <c r="N695" i="11"/>
  <c r="M695" i="11"/>
  <c r="P695" i="11" s="1"/>
  <c r="L695" i="11"/>
  <c r="P690" i="11"/>
  <c r="N690" i="11"/>
  <c r="N687" i="11" s="1"/>
  <c r="L690" i="11"/>
  <c r="O690" i="11" s="1"/>
  <c r="P688" i="11"/>
  <c r="N688" i="11"/>
  <c r="M688" i="11"/>
  <c r="M687" i="11"/>
  <c r="P686" i="11"/>
  <c r="N686" i="11"/>
  <c r="M686" i="11"/>
  <c r="L686" i="11"/>
  <c r="J679" i="11"/>
  <c r="J678" i="11" s="1"/>
  <c r="I678" i="11"/>
  <c r="K678" i="11" s="1"/>
  <c r="J675" i="11"/>
  <c r="I671" i="11"/>
  <c r="K671" i="11" s="1"/>
  <c r="I670" i="11"/>
  <c r="K670" i="11" s="1"/>
  <c r="J669" i="11"/>
  <c r="I669" i="11"/>
  <c r="K672" i="11" s="1"/>
  <c r="P667" i="11"/>
  <c r="O667" i="11"/>
  <c r="P666" i="11"/>
  <c r="O666" i="11"/>
  <c r="P665" i="11"/>
  <c r="N665" i="11"/>
  <c r="M665" i="11"/>
  <c r="L665" i="11"/>
  <c r="O665" i="11" s="1"/>
  <c r="N660" i="11"/>
  <c r="L660" i="11"/>
  <c r="L658" i="11" s="1"/>
  <c r="O658" i="11" s="1"/>
  <c r="P659" i="11"/>
  <c r="O659" i="11"/>
  <c r="N658" i="11"/>
  <c r="N657" i="11"/>
  <c r="P656" i="11"/>
  <c r="N656" i="11"/>
  <c r="M656" i="11"/>
  <c r="L656" i="11"/>
  <c r="O656" i="11" s="1"/>
  <c r="N655" i="11"/>
  <c r="J654" i="11"/>
  <c r="K652" i="11"/>
  <c r="J652" i="11"/>
  <c r="J651" i="11"/>
  <c r="J628" i="11" s="1"/>
  <c r="I651" i="1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O641" i="11" s="1"/>
  <c r="P640" i="11"/>
  <c r="O640" i="11"/>
  <c r="N639" i="11"/>
  <c r="M639" i="11"/>
  <c r="P639" i="11" s="1"/>
  <c r="N634" i="11"/>
  <c r="N631" i="11" s="1"/>
  <c r="L634" i="11"/>
  <c r="O634" i="11" s="1"/>
  <c r="P633" i="11"/>
  <c r="O633" i="11"/>
  <c r="O630" i="11"/>
  <c r="N630" i="11"/>
  <c r="M630" i="11"/>
  <c r="L630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4" i="11" s="1"/>
  <c r="J595" i="11"/>
  <c r="I594" i="11"/>
  <c r="J593" i="11"/>
  <c r="J592" i="11" s="1"/>
  <c r="I593" i="11"/>
  <c r="I592" i="11" s="1"/>
  <c r="J583" i="11"/>
  <c r="J582" i="11"/>
  <c r="J576" i="11" s="1"/>
  <c r="J559" i="11" s="1"/>
  <c r="J543" i="11" s="1"/>
  <c r="J577" i="11"/>
  <c r="I577" i="11"/>
  <c r="K577" i="11" s="1"/>
  <c r="I576" i="11"/>
  <c r="J569" i="11"/>
  <c r="I569" i="11"/>
  <c r="K569" i="11" s="1"/>
  <c r="J568" i="11"/>
  <c r="I568" i="11"/>
  <c r="K568" i="11" s="1"/>
  <c r="J561" i="11"/>
  <c r="I561" i="11"/>
  <c r="K561" i="11" s="1"/>
  <c r="J560" i="11"/>
  <c r="I560" i="11"/>
  <c r="K560" i="11" s="1"/>
  <c r="P557" i="11"/>
  <c r="L557" i="11"/>
  <c r="P556" i="11"/>
  <c r="O556" i="11"/>
  <c r="N555" i="11"/>
  <c r="M555" i="11"/>
  <c r="N549" i="11"/>
  <c r="N547" i="11" s="1"/>
  <c r="L549" i="11"/>
  <c r="P548" i="11"/>
  <c r="O548" i="11"/>
  <c r="N546" i="11"/>
  <c r="N545" i="11"/>
  <c r="N544" i="11" s="1"/>
  <c r="L545" i="11"/>
  <c r="O545" i="11" s="1"/>
  <c r="I542" i="11"/>
  <c r="K542" i="11" s="1"/>
  <c r="I541" i="11"/>
  <c r="K541" i="11" s="1"/>
  <c r="I540" i="11"/>
  <c r="K540" i="11" s="1"/>
  <c r="I539" i="11"/>
  <c r="K539" i="11" s="1"/>
  <c r="I538" i="11"/>
  <c r="K538" i="11" s="1"/>
  <c r="I537" i="11"/>
  <c r="K537" i="11" s="1"/>
  <c r="P535" i="11"/>
  <c r="L535" i="11"/>
  <c r="O535" i="11" s="1"/>
  <c r="P534" i="11"/>
  <c r="O534" i="11"/>
  <c r="N533" i="11"/>
  <c r="M533" i="11"/>
  <c r="P533" i="11" s="1"/>
  <c r="P528" i="11"/>
  <c r="N528" i="11"/>
  <c r="L528" i="11"/>
  <c r="O528" i="11" s="1"/>
  <c r="P527" i="11"/>
  <c r="O527" i="11"/>
  <c r="N526" i="11"/>
  <c r="M526" i="11"/>
  <c r="P526" i="11" s="1"/>
  <c r="P525" i="11"/>
  <c r="N525" i="11"/>
  <c r="M525" i="11"/>
  <c r="O524" i="11"/>
  <c r="N524" i="11"/>
  <c r="M524" i="11"/>
  <c r="P524" i="11" s="1"/>
  <c r="L524" i="11"/>
  <c r="P523" i="11"/>
  <c r="N523" i="11"/>
  <c r="M523" i="11"/>
  <c r="K517" i="11"/>
  <c r="J517" i="11"/>
  <c r="J501" i="11" s="1"/>
  <c r="K516" i="11"/>
  <c r="P514" i="11"/>
  <c r="O514" i="11"/>
  <c r="P513" i="11"/>
  <c r="O513" i="11"/>
  <c r="N512" i="11"/>
  <c r="M512" i="11"/>
  <c r="P512" i="11" s="1"/>
  <c r="L512" i="11"/>
  <c r="O512" i="11" s="1"/>
  <c r="P507" i="11"/>
  <c r="O507" i="11"/>
  <c r="N507" i="11"/>
  <c r="P506" i="11"/>
  <c r="O506" i="11"/>
  <c r="O505" i="11"/>
  <c r="N505" i="11"/>
  <c r="M505" i="11"/>
  <c r="P505" i="11" s="1"/>
  <c r="L505" i="11"/>
  <c r="P504" i="11"/>
  <c r="N504" i="11"/>
  <c r="N502" i="11" s="1"/>
  <c r="M504" i="11"/>
  <c r="L504" i="11"/>
  <c r="O504" i="11" s="1"/>
  <c r="O503" i="11"/>
  <c r="N503" i="11"/>
  <c r="M503" i="11"/>
  <c r="L503" i="11"/>
  <c r="L502" i="11"/>
  <c r="O502" i="11" s="1"/>
  <c r="K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O479" i="11" s="1"/>
  <c r="P478" i="11"/>
  <c r="O478" i="11"/>
  <c r="P477" i="11"/>
  <c r="N477" i="11"/>
  <c r="M477" i="11"/>
  <c r="L477" i="11"/>
  <c r="O477" i="11" s="1"/>
  <c r="N472" i="11"/>
  <c r="N470" i="11" s="1"/>
  <c r="L472" i="11"/>
  <c r="M472" i="11" s="1"/>
  <c r="P471" i="11"/>
  <c r="O471" i="11"/>
  <c r="N469" i="11"/>
  <c r="P468" i="11"/>
  <c r="O468" i="11"/>
  <c r="N468" i="11"/>
  <c r="N467" i="11" s="1"/>
  <c r="M468" i="11"/>
  <c r="L468" i="11"/>
  <c r="J466" i="11"/>
  <c r="I466" i="11"/>
  <c r="K466" i="11" s="1"/>
  <c r="J465" i="11"/>
  <c r="I465" i="11"/>
  <c r="I464" i="11"/>
  <c r="I463" i="11"/>
  <c r="I462" i="11"/>
  <c r="K462" i="11" s="1"/>
  <c r="I460" i="11"/>
  <c r="I442" i="11" s="1"/>
  <c r="K442" i="11" s="1"/>
  <c r="K458" i="11"/>
  <c r="P456" i="11"/>
  <c r="L456" i="11"/>
  <c r="O456" i="11" s="1"/>
  <c r="P455" i="11"/>
  <c r="O455" i="11"/>
  <c r="N454" i="11"/>
  <c r="M454" i="11"/>
  <c r="P454" i="11" s="1"/>
  <c r="P449" i="11"/>
  <c r="N449" i="11"/>
  <c r="L449" i="11"/>
  <c r="O449" i="11" s="1"/>
  <c r="P448" i="11"/>
  <c r="O448" i="11"/>
  <c r="N447" i="11"/>
  <c r="M447" i="11"/>
  <c r="P447" i="11" s="1"/>
  <c r="P446" i="11"/>
  <c r="N446" i="11"/>
  <c r="M446" i="11"/>
  <c r="O445" i="11"/>
  <c r="N445" i="11"/>
  <c r="M445" i="11"/>
  <c r="P445" i="11" s="1"/>
  <c r="L445" i="11"/>
  <c r="P444" i="11"/>
  <c r="N444" i="11"/>
  <c r="M444" i="11"/>
  <c r="J443" i="11"/>
  <c r="J442" i="11"/>
  <c r="I441" i="11"/>
  <c r="K441" i="11" s="1"/>
  <c r="I440" i="11"/>
  <c r="K440" i="11" s="1"/>
  <c r="I439" i="11"/>
  <c r="K439" i="11" s="1"/>
  <c r="I438" i="11"/>
  <c r="K438" i="11" s="1"/>
  <c r="I437" i="11"/>
  <c r="I435" i="11"/>
  <c r="K435" i="11" s="1"/>
  <c r="J434" i="11"/>
  <c r="J418" i="11" s="1"/>
  <c r="P431" i="11"/>
  <c r="L431" i="11"/>
  <c r="O431" i="11" s="1"/>
  <c r="P430" i="11"/>
  <c r="O430" i="11"/>
  <c r="N429" i="11"/>
  <c r="M429" i="11"/>
  <c r="P429" i="11" s="1"/>
  <c r="N424" i="11"/>
  <c r="L424" i="11"/>
  <c r="O424" i="11" s="1"/>
  <c r="P423" i="11"/>
  <c r="O423" i="11"/>
  <c r="N422" i="11"/>
  <c r="N421" i="11"/>
  <c r="P420" i="11"/>
  <c r="N420" i="11"/>
  <c r="M420" i="11"/>
  <c r="L420" i="11"/>
  <c r="O420" i="11" s="1"/>
  <c r="N419" i="11"/>
  <c r="K413" i="11"/>
  <c r="K412" i="11"/>
  <c r="N410" i="11"/>
  <c r="N408" i="11" s="1"/>
  <c r="M410" i="11"/>
  <c r="P410" i="11" s="1"/>
  <c r="L410" i="11"/>
  <c r="O410" i="11" s="1"/>
  <c r="P409" i="11"/>
  <c r="O409" i="11"/>
  <c r="N407" i="11"/>
  <c r="N405" i="11" s="1"/>
  <c r="M407" i="11"/>
  <c r="L407" i="11"/>
  <c r="P406" i="11"/>
  <c r="O406" i="11"/>
  <c r="P403" i="11"/>
  <c r="N403" i="11"/>
  <c r="M403" i="11"/>
  <c r="L403" i="11"/>
  <c r="O403" i="11" s="1"/>
  <c r="J401" i="11"/>
  <c r="I401" i="11"/>
  <c r="K401" i="11" s="1"/>
  <c r="K400" i="11"/>
  <c r="K399" i="11"/>
  <c r="N397" i="11"/>
  <c r="N395" i="11" s="1"/>
  <c r="M397" i="11"/>
  <c r="P397" i="11" s="1"/>
  <c r="L397" i="11"/>
  <c r="O397" i="11" s="1"/>
  <c r="P396" i="11"/>
  <c r="O396" i="11"/>
  <c r="N394" i="11"/>
  <c r="M394" i="11"/>
  <c r="P394" i="11" s="1"/>
  <c r="L394" i="11"/>
  <c r="O394" i="11" s="1"/>
  <c r="P393" i="11"/>
  <c r="O393" i="11"/>
  <c r="P390" i="11"/>
  <c r="N390" i="11"/>
  <c r="M390" i="11"/>
  <c r="L390" i="11"/>
  <c r="O390" i="11" s="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L353" i="11"/>
  <c r="P352" i="11"/>
  <c r="O352" i="11"/>
  <c r="N350" i="11"/>
  <c r="N348" i="11" s="1"/>
  <c r="M350" i="11"/>
  <c r="L350" i="11"/>
  <c r="L348" i="11" s="1"/>
  <c r="P349" i="11"/>
  <c r="O349" i="11"/>
  <c r="P346" i="11"/>
  <c r="N346" i="11"/>
  <c r="M346" i="11"/>
  <c r="L346" i="11"/>
  <c r="J343" i="11"/>
  <c r="J342" i="11"/>
  <c r="J341" i="11"/>
  <c r="J340" i="11"/>
  <c r="I340" i="11"/>
  <c r="J338" i="11"/>
  <c r="I338" i="11"/>
  <c r="N336" i="11"/>
  <c r="N334" i="11" s="1"/>
  <c r="M336" i="11"/>
  <c r="L336" i="11"/>
  <c r="O336" i="11" s="1"/>
  <c r="P335" i="11"/>
  <c r="O335" i="11"/>
  <c r="N333" i="11"/>
  <c r="N331" i="11" s="1"/>
  <c r="M333" i="11"/>
  <c r="L333" i="11"/>
  <c r="P332" i="11"/>
  <c r="O332" i="11"/>
  <c r="P329" i="11"/>
  <c r="N329" i="11"/>
  <c r="M329" i="11"/>
  <c r="L329" i="11"/>
  <c r="I327" i="11"/>
  <c r="I325" i="11"/>
  <c r="I314" i="11" s="1"/>
  <c r="K314" i="11" s="1"/>
  <c r="N323" i="11"/>
  <c r="N321" i="11" s="1"/>
  <c r="M323" i="11"/>
  <c r="P323" i="11" s="1"/>
  <c r="L323" i="11"/>
  <c r="L321" i="11" s="1"/>
  <c r="O321" i="11" s="1"/>
  <c r="P322" i="11"/>
  <c r="O322" i="11"/>
  <c r="N320" i="11"/>
  <c r="N318" i="11" s="1"/>
  <c r="M320" i="11"/>
  <c r="P320" i="11" s="1"/>
  <c r="L320" i="11"/>
  <c r="L318" i="11" s="1"/>
  <c r="O318" i="11" s="1"/>
  <c r="P319" i="11"/>
  <c r="O319" i="11"/>
  <c r="N316" i="11"/>
  <c r="M316" i="11"/>
  <c r="P316" i="11" s="1"/>
  <c r="L316" i="11"/>
  <c r="O316" i="11" s="1"/>
  <c r="J314" i="11"/>
  <c r="I312" i="11"/>
  <c r="K312" i="11" s="1"/>
  <c r="I311" i="11"/>
  <c r="K311" i="11" s="1"/>
  <c r="I310" i="11"/>
  <c r="K310" i="11" s="1"/>
  <c r="I309" i="11"/>
  <c r="K309" i="11" s="1"/>
  <c r="N306" i="11"/>
  <c r="M306" i="11"/>
  <c r="L306" i="11"/>
  <c r="O306" i="11" s="1"/>
  <c r="P305" i="11"/>
  <c r="O305" i="11"/>
  <c r="N303" i="11"/>
  <c r="N301" i="11" s="1"/>
  <c r="M303" i="11"/>
  <c r="M301" i="11" s="1"/>
  <c r="P301" i="11" s="1"/>
  <c r="L303" i="11"/>
  <c r="O303" i="11" s="1"/>
  <c r="P302" i="11"/>
  <c r="O302" i="11"/>
  <c r="P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K288" i="11" s="1"/>
  <c r="I287" i="11"/>
  <c r="N285" i="11"/>
  <c r="N283" i="11" s="1"/>
  <c r="M285" i="11"/>
  <c r="L285" i="11"/>
  <c r="O285" i="11" s="1"/>
  <c r="P284" i="11"/>
  <c r="O284" i="11"/>
  <c r="N282" i="11"/>
  <c r="N280" i="11" s="1"/>
  <c r="M282" i="11"/>
  <c r="P282" i="11" s="1"/>
  <c r="L282" i="11"/>
  <c r="O282" i="11" s="1"/>
  <c r="P281" i="11"/>
  <c r="O281" i="11"/>
  <c r="O278" i="11"/>
  <c r="N278" i="11"/>
  <c r="M278" i="11"/>
  <c r="L278" i="11"/>
  <c r="J276" i="11"/>
  <c r="I271" i="11"/>
  <c r="K271" i="11" s="1"/>
  <c r="N269" i="11"/>
  <c r="N267" i="11" s="1"/>
  <c r="M269" i="11"/>
  <c r="M267" i="11" s="1"/>
  <c r="P267" i="11" s="1"/>
  <c r="L269" i="11"/>
  <c r="O269" i="11" s="1"/>
  <c r="P268" i="11"/>
  <c r="O268" i="11"/>
  <c r="N266" i="11"/>
  <c r="M266" i="11"/>
  <c r="M264" i="11" s="1"/>
  <c r="L266" i="11"/>
  <c r="L264" i="11" s="1"/>
  <c r="P265" i="11"/>
  <c r="O265" i="11"/>
  <c r="P262" i="11"/>
  <c r="N262" i="11"/>
  <c r="M262" i="11"/>
  <c r="L262" i="11"/>
  <c r="J260" i="11"/>
  <c r="K258" i="11"/>
  <c r="K257" i="11"/>
  <c r="I255" i="11"/>
  <c r="L253" i="11"/>
  <c r="L252" i="11"/>
  <c r="L251" i="11"/>
  <c r="L250" i="11"/>
  <c r="P249" i="11"/>
  <c r="N249" i="11"/>
  <c r="J248" i="11"/>
  <c r="K247" i="11"/>
  <c r="K246" i="11"/>
  <c r="I244" i="11"/>
  <c r="I237" i="11" s="1"/>
  <c r="K237" i="11" s="1"/>
  <c r="L242" i="11"/>
  <c r="L241" i="11"/>
  <c r="L240" i="11"/>
  <c r="L239" i="11"/>
  <c r="P238" i="11"/>
  <c r="N238" i="11"/>
  <c r="N227" i="11" s="1"/>
  <c r="J237" i="11"/>
  <c r="K236" i="11"/>
  <c r="J236" i="11"/>
  <c r="I236" i="11"/>
  <c r="J235" i="11"/>
  <c r="I235" i="11"/>
  <c r="K235" i="11" s="1"/>
  <c r="J233" i="11"/>
  <c r="N231" i="11"/>
  <c r="N230" i="11"/>
  <c r="N229" i="11"/>
  <c r="N228" i="11"/>
  <c r="I225" i="11"/>
  <c r="I224" i="11"/>
  <c r="K224" i="11" s="1"/>
  <c r="I223" i="11"/>
  <c r="K223" i="11" s="1"/>
  <c r="L220" i="11"/>
  <c r="L219" i="11"/>
  <c r="L218" i="11"/>
  <c r="P217" i="11"/>
  <c r="N217" i="11"/>
  <c r="J216" i="11"/>
  <c r="I215" i="11"/>
  <c r="K215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K204" i="11" s="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N187" i="11" s="1"/>
  <c r="M189" i="11"/>
  <c r="M187" i="11" s="1"/>
  <c r="P187" i="11" s="1"/>
  <c r="L189" i="11"/>
  <c r="O189" i="11" s="1"/>
  <c r="P188" i="11"/>
  <c r="O188" i="11"/>
  <c r="N186" i="11"/>
  <c r="M186" i="11"/>
  <c r="M184" i="11" s="1"/>
  <c r="L186" i="11"/>
  <c r="L184" i="11" s="1"/>
  <c r="P185" i="11"/>
  <c r="O185" i="11"/>
  <c r="P182" i="11"/>
  <c r="N182" i="11"/>
  <c r="M182" i="11"/>
  <c r="L182" i="11"/>
  <c r="O182" i="11" s="1"/>
  <c r="J177" i="11"/>
  <c r="J164" i="11" s="1"/>
  <c r="I176" i="11"/>
  <c r="K176" i="11" s="1"/>
  <c r="J174" i="11"/>
  <c r="N173" i="11"/>
  <c r="N171" i="11" s="1"/>
  <c r="M173" i="11"/>
  <c r="L173" i="11"/>
  <c r="O173" i="11" s="1"/>
  <c r="P172" i="11"/>
  <c r="O172" i="11"/>
  <c r="N170" i="11"/>
  <c r="M170" i="11"/>
  <c r="M168" i="11" s="1"/>
  <c r="L170" i="11"/>
  <c r="L168" i="11" s="1"/>
  <c r="P169" i="11"/>
  <c r="O169" i="11"/>
  <c r="P166" i="11"/>
  <c r="N166" i="11"/>
  <c r="M166" i="11"/>
  <c r="L166" i="11"/>
  <c r="O166" i="11" s="1"/>
  <c r="I159" i="11"/>
  <c r="N157" i="11"/>
  <c r="N155" i="11" s="1"/>
  <c r="M157" i="11"/>
  <c r="P157" i="11" s="1"/>
  <c r="L157" i="11"/>
  <c r="O157" i="11" s="1"/>
  <c r="P156" i="11"/>
  <c r="O156" i="11"/>
  <c r="N154" i="11"/>
  <c r="N152" i="11" s="1"/>
  <c r="M154" i="11"/>
  <c r="L154" i="11"/>
  <c r="O154" i="11" s="1"/>
  <c r="P153" i="11"/>
  <c r="O153" i="11"/>
  <c r="P150" i="11"/>
  <c r="N150" i="11"/>
  <c r="M150" i="11"/>
  <c r="L150" i="11"/>
  <c r="O150" i="11" s="1"/>
  <c r="J148" i="11"/>
  <c r="I146" i="11"/>
  <c r="I130" i="11" s="1"/>
  <c r="K130" i="11" s="1"/>
  <c r="I145" i="11"/>
  <c r="I144" i="11"/>
  <c r="K144" i="11" s="1"/>
  <c r="N140" i="11"/>
  <c r="N138" i="11" s="1"/>
  <c r="M140" i="11"/>
  <c r="P140" i="11" s="1"/>
  <c r="L140" i="11"/>
  <c r="L138" i="11" s="1"/>
  <c r="O138" i="11" s="1"/>
  <c r="P139" i="11"/>
  <c r="O139" i="11"/>
  <c r="N137" i="11"/>
  <c r="M137" i="11"/>
  <c r="M135" i="11" s="1"/>
  <c r="P135" i="11" s="1"/>
  <c r="L137" i="11"/>
  <c r="L135" i="11" s="1"/>
  <c r="O135" i="11" s="1"/>
  <c r="P136" i="11"/>
  <c r="O136" i="11"/>
  <c r="O133" i="11"/>
  <c r="N133" i="11"/>
  <c r="M133" i="11"/>
  <c r="P133" i="11" s="1"/>
  <c r="L133" i="11"/>
  <c r="J130" i="11"/>
  <c r="N127" i="11"/>
  <c r="N125" i="11" s="1"/>
  <c r="M127" i="11"/>
  <c r="M125" i="11" s="1"/>
  <c r="P125" i="11" s="1"/>
  <c r="L127" i="11"/>
  <c r="O127" i="11" s="1"/>
  <c r="P126" i="11"/>
  <c r="O126" i="11"/>
  <c r="N124" i="11"/>
  <c r="M124" i="11"/>
  <c r="P124" i="11" s="1"/>
  <c r="L124" i="11"/>
  <c r="L122" i="11" s="1"/>
  <c r="O122" i="11" s="1"/>
  <c r="P123" i="11"/>
  <c r="O123" i="11"/>
  <c r="P120" i="11"/>
  <c r="N120" i="11"/>
  <c r="M120" i="11"/>
  <c r="L120" i="11"/>
  <c r="I116" i="11"/>
  <c r="K116" i="11" s="1"/>
  <c r="I115" i="1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J87" i="11" s="1"/>
  <c r="I99" i="11"/>
  <c r="I87" i="11" s="1"/>
  <c r="K87" i="11" s="1"/>
  <c r="J98" i="11"/>
  <c r="I98" i="11"/>
  <c r="K98" i="11" s="1"/>
  <c r="N96" i="11"/>
  <c r="N94" i="11" s="1"/>
  <c r="M96" i="11"/>
  <c r="L96" i="11"/>
  <c r="O96" i="11" s="1"/>
  <c r="P95" i="11"/>
  <c r="O95" i="11"/>
  <c r="N93" i="11"/>
  <c r="M93" i="11"/>
  <c r="M91" i="11" s="1"/>
  <c r="L93" i="11"/>
  <c r="L91" i="11" s="1"/>
  <c r="P92" i="11"/>
  <c r="O92" i="11"/>
  <c r="P89" i="11"/>
  <c r="N89" i="11"/>
  <c r="M89" i="11"/>
  <c r="L89" i="11"/>
  <c r="O89" i="11" s="1"/>
  <c r="J86" i="11"/>
  <c r="I84" i="11"/>
  <c r="K84" i="11" s="1"/>
  <c r="I83" i="11"/>
  <c r="K83" i="11" s="1"/>
  <c r="I82" i="11"/>
  <c r="K82" i="11" s="1"/>
  <c r="I81" i="11"/>
  <c r="K81" i="11" s="1"/>
  <c r="I80" i="11"/>
  <c r="K80" i="11" s="1"/>
  <c r="I79" i="11"/>
  <c r="K79" i="11" s="1"/>
  <c r="I78" i="11"/>
  <c r="K78" i="11" s="1"/>
  <c r="J77" i="11"/>
  <c r="J76" i="11"/>
  <c r="J64" i="11" s="1"/>
  <c r="N74" i="11"/>
  <c r="N72" i="11" s="1"/>
  <c r="M74" i="11"/>
  <c r="L74" i="11"/>
  <c r="L72" i="11" s="1"/>
  <c r="O72" i="11" s="1"/>
  <c r="P73" i="11"/>
  <c r="O73" i="11"/>
  <c r="N71" i="11"/>
  <c r="M71" i="11"/>
  <c r="P71" i="11" s="1"/>
  <c r="L71" i="11"/>
  <c r="P70" i="11"/>
  <c r="O70" i="11"/>
  <c r="O67" i="11"/>
  <c r="N67" i="11"/>
  <c r="M67" i="11"/>
  <c r="P67" i="11" s="1"/>
  <c r="L67" i="11"/>
  <c r="J65" i="11"/>
  <c r="N61" i="11"/>
  <c r="M61" i="11"/>
  <c r="M59" i="11" s="1"/>
  <c r="L61" i="11"/>
  <c r="L59" i="11" s="1"/>
  <c r="P60" i="11"/>
  <c r="O60" i="11"/>
  <c r="N58" i="11"/>
  <c r="N56" i="11" s="1"/>
  <c r="M58" i="11"/>
  <c r="M55" i="11" s="1"/>
  <c r="L58" i="11"/>
  <c r="L56" i="11" s="1"/>
  <c r="P57" i="11"/>
  <c r="O57" i="11"/>
  <c r="P54" i="11"/>
  <c r="N54" i="11"/>
  <c r="M54" i="11"/>
  <c r="L54" i="11"/>
  <c r="O54" i="11" s="1"/>
  <c r="N49" i="11"/>
  <c r="N47" i="11" s="1"/>
  <c r="M49" i="11"/>
  <c r="P49" i="11" s="1"/>
  <c r="L49" i="11"/>
  <c r="L47" i="11" s="1"/>
  <c r="O47" i="11" s="1"/>
  <c r="P48" i="11"/>
  <c r="O48" i="11"/>
  <c r="N46" i="11"/>
  <c r="M46" i="11"/>
  <c r="M44" i="11" s="1"/>
  <c r="L46" i="11"/>
  <c r="L44" i="11" s="1"/>
  <c r="P45" i="11"/>
  <c r="O45" i="11"/>
  <c r="O42" i="11"/>
  <c r="N42" i="11"/>
  <c r="M42" i="11"/>
  <c r="L42" i="11"/>
  <c r="P36" i="11"/>
  <c r="N36" i="11"/>
  <c r="N34" i="11" s="1"/>
  <c r="M36" i="11"/>
  <c r="O35" i="11"/>
  <c r="N35" i="11"/>
  <c r="M35" i="11"/>
  <c r="L35" i="11"/>
  <c r="N32" i="11"/>
  <c r="M32" i="11"/>
  <c r="L32" i="11"/>
  <c r="O25" i="11"/>
  <c r="N25" i="11"/>
  <c r="M25" i="11"/>
  <c r="P25" i="11" s="1"/>
  <c r="L25" i="11"/>
  <c r="P22" i="11"/>
  <c r="N22" i="11"/>
  <c r="M22" i="11"/>
  <c r="L22" i="11"/>
  <c r="O22" i="11" s="1"/>
  <c r="M19" i="11"/>
  <c r="P19" i="11" s="1"/>
  <c r="N15" i="11"/>
  <c r="L15" i="11"/>
  <c r="O15" i="11" s="1"/>
  <c r="M12" i="11"/>
  <c r="P12" i="11" s="1"/>
  <c r="J828" i="10"/>
  <c r="I828" i="10"/>
  <c r="J827" i="10"/>
  <c r="I827" i="10"/>
  <c r="J826" i="10"/>
  <c r="I826" i="10"/>
  <c r="K826" i="10" s="1"/>
  <c r="J825" i="10"/>
  <c r="I825" i="10"/>
  <c r="K825" i="10" s="1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N815" i="10"/>
  <c r="M815" i="10"/>
  <c r="L815" i="10"/>
  <c r="O815" i="10" s="1"/>
  <c r="P810" i="10"/>
  <c r="O810" i="10"/>
  <c r="N810" i="10"/>
  <c r="P809" i="10"/>
  <c r="O809" i="10"/>
  <c r="P808" i="10"/>
  <c r="O808" i="10"/>
  <c r="N808" i="10"/>
  <c r="M808" i="10"/>
  <c r="L808" i="10"/>
  <c r="O807" i="10"/>
  <c r="N807" i="10"/>
  <c r="M807" i="10"/>
  <c r="P807" i="10" s="1"/>
  <c r="L807" i="10"/>
  <c r="N806" i="10"/>
  <c r="N805" i="10" s="1"/>
  <c r="M806" i="10"/>
  <c r="L806" i="10"/>
  <c r="O806" i="10" s="1"/>
  <c r="L805" i="10"/>
  <c r="O805" i="10" s="1"/>
  <c r="K804" i="10"/>
  <c r="J804" i="10"/>
  <c r="K802" i="10"/>
  <c r="J801" i="10"/>
  <c r="J800" i="10"/>
  <c r="J785" i="10" s="1"/>
  <c r="I800" i="10"/>
  <c r="I785" i="10" s="1"/>
  <c r="K785" i="10" s="1"/>
  <c r="P798" i="10"/>
  <c r="O798" i="10"/>
  <c r="P797" i="10"/>
  <c r="O797" i="10"/>
  <c r="P796" i="10"/>
  <c r="O796" i="10"/>
  <c r="N796" i="10"/>
  <c r="M796" i="10"/>
  <c r="L796" i="10"/>
  <c r="P791" i="10"/>
  <c r="N791" i="10"/>
  <c r="L791" i="10"/>
  <c r="L789" i="10" s="1"/>
  <c r="O789" i="10" s="1"/>
  <c r="P790" i="10"/>
  <c r="O790" i="10"/>
  <c r="P789" i="10"/>
  <c r="N789" i="10"/>
  <c r="M789" i="10"/>
  <c r="N788" i="10"/>
  <c r="M788" i="10"/>
  <c r="P788" i="10" s="1"/>
  <c r="N787" i="10"/>
  <c r="M787" i="10"/>
  <c r="L787" i="10"/>
  <c r="P782" i="10"/>
  <c r="O782" i="10"/>
  <c r="P781" i="10"/>
  <c r="O781" i="10"/>
  <c r="N780" i="10"/>
  <c r="M780" i="10"/>
  <c r="P780" i="10" s="1"/>
  <c r="L780" i="10"/>
  <c r="O780" i="10" s="1"/>
  <c r="P775" i="10"/>
  <c r="O775" i="10"/>
  <c r="N775" i="10"/>
  <c r="P774" i="10"/>
  <c r="O774" i="10"/>
  <c r="P773" i="10"/>
  <c r="O773" i="10"/>
  <c r="N773" i="10"/>
  <c r="M773" i="10"/>
  <c r="L773" i="10"/>
  <c r="P772" i="10"/>
  <c r="O772" i="10"/>
  <c r="N772" i="10"/>
  <c r="N770" i="10" s="1"/>
  <c r="M772" i="10"/>
  <c r="L772" i="10"/>
  <c r="O771" i="10"/>
  <c r="N771" i="10"/>
  <c r="M771" i="10"/>
  <c r="P771" i="10" s="1"/>
  <c r="L771" i="10"/>
  <c r="M770" i="10"/>
  <c r="P770" i="10" s="1"/>
  <c r="L770" i="10"/>
  <c r="O770" i="10" s="1"/>
  <c r="K769" i="10"/>
  <c r="J769" i="10"/>
  <c r="P766" i="10"/>
  <c r="O766" i="10"/>
  <c r="P765" i="10"/>
  <c r="O765" i="10"/>
  <c r="N764" i="10"/>
  <c r="M764" i="10"/>
  <c r="P764" i="10" s="1"/>
  <c r="L764" i="10"/>
  <c r="O764" i="10" s="1"/>
  <c r="P759" i="10"/>
  <c r="O759" i="10"/>
  <c r="N759" i="10"/>
  <c r="P758" i="10"/>
  <c r="O758" i="10"/>
  <c r="P757" i="10"/>
  <c r="O757" i="10"/>
  <c r="N757" i="10"/>
  <c r="M757" i="10"/>
  <c r="L757" i="10"/>
  <c r="P756" i="10"/>
  <c r="O756" i="10"/>
  <c r="N756" i="10"/>
  <c r="N754" i="10" s="1"/>
  <c r="M756" i="10"/>
  <c r="L756" i="10"/>
  <c r="O755" i="10"/>
  <c r="N755" i="10"/>
  <c r="M755" i="10"/>
  <c r="L755" i="10"/>
  <c r="L754" i="10"/>
  <c r="O754" i="10" s="1"/>
  <c r="K753" i="10"/>
  <c r="J753" i="10"/>
  <c r="P749" i="10"/>
  <c r="O749" i="10"/>
  <c r="P748" i="10"/>
  <c r="O748" i="10"/>
  <c r="N747" i="10"/>
  <c r="M747" i="10"/>
  <c r="P747" i="10" s="1"/>
  <c r="L747" i="10"/>
  <c r="O747" i="10" s="1"/>
  <c r="P742" i="10"/>
  <c r="O742" i="10"/>
  <c r="N742" i="10"/>
  <c r="P741" i="10"/>
  <c r="O741" i="10"/>
  <c r="P740" i="10"/>
  <c r="O740" i="10"/>
  <c r="N740" i="10"/>
  <c r="M740" i="10"/>
  <c r="L740" i="10"/>
  <c r="P739" i="10"/>
  <c r="O739" i="10"/>
  <c r="N739" i="10"/>
  <c r="M739" i="10"/>
  <c r="L739" i="10"/>
  <c r="O738" i="10"/>
  <c r="N738" i="10"/>
  <c r="N737" i="10" s="1"/>
  <c r="M738" i="10"/>
  <c r="L738" i="10"/>
  <c r="L737" i="10"/>
  <c r="O737" i="10" s="1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N695" i="10"/>
  <c r="M695" i="10"/>
  <c r="P695" i="10" s="1"/>
  <c r="L695" i="10"/>
  <c r="O695" i="10" s="1"/>
  <c r="P690" i="10"/>
  <c r="N690" i="10"/>
  <c r="L690" i="10"/>
  <c r="O690" i="10" s="1"/>
  <c r="P688" i="10"/>
  <c r="N688" i="10"/>
  <c r="M688" i="10"/>
  <c r="N687" i="10"/>
  <c r="M687" i="10"/>
  <c r="P687" i="10" s="1"/>
  <c r="N686" i="10"/>
  <c r="M686" i="10"/>
  <c r="L686" i="10"/>
  <c r="J679" i="10"/>
  <c r="J678" i="10" s="1"/>
  <c r="I678" i="10"/>
  <c r="K678" i="10" s="1"/>
  <c r="J675" i="10"/>
  <c r="J669" i="10" s="1"/>
  <c r="J654" i="10" s="1"/>
  <c r="I671" i="10"/>
  <c r="K671" i="10" s="1"/>
  <c r="I670" i="10"/>
  <c r="K670" i="10" s="1"/>
  <c r="I669" i="10"/>
  <c r="K673" i="10" s="1"/>
  <c r="P667" i="10"/>
  <c r="O667" i="10"/>
  <c r="P666" i="10"/>
  <c r="O666" i="10"/>
  <c r="N665" i="10"/>
  <c r="M665" i="10"/>
  <c r="P665" i="10" s="1"/>
  <c r="L665" i="10"/>
  <c r="O665" i="10" s="1"/>
  <c r="P660" i="10"/>
  <c r="N660" i="10"/>
  <c r="L660" i="10"/>
  <c r="O660" i="10" s="1"/>
  <c r="P659" i="10"/>
  <c r="O659" i="10"/>
  <c r="N658" i="10"/>
  <c r="M658" i="10"/>
  <c r="P658" i="10" s="1"/>
  <c r="P657" i="10"/>
  <c r="N657" i="10"/>
  <c r="M657" i="10"/>
  <c r="P656" i="10"/>
  <c r="O656" i="10"/>
  <c r="N656" i="10"/>
  <c r="M656" i="10"/>
  <c r="L656" i="10"/>
  <c r="P655" i="10"/>
  <c r="N655" i="10"/>
  <c r="M655" i="10"/>
  <c r="K652" i="10"/>
  <c r="J652" i="10"/>
  <c r="J651" i="10"/>
  <c r="J628" i="10" s="1"/>
  <c r="I651" i="10"/>
  <c r="K650" i="10"/>
  <c r="J650" i="10"/>
  <c r="J649" i="10"/>
  <c r="I649" i="10"/>
  <c r="K649" i="10" s="1"/>
  <c r="K648" i="10"/>
  <c r="J648" i="10"/>
  <c r="J647" i="10"/>
  <c r="I647" i="10"/>
  <c r="K647" i="10" s="1"/>
  <c r="K646" i="10"/>
  <c r="J646" i="10"/>
  <c r="K645" i="10"/>
  <c r="J645" i="10"/>
  <c r="I644" i="10"/>
  <c r="K644" i="10" s="1"/>
  <c r="I643" i="10"/>
  <c r="K643" i="10" s="1"/>
  <c r="P641" i="10"/>
  <c r="L641" i="10"/>
  <c r="L639" i="10" s="1"/>
  <c r="O639" i="10" s="1"/>
  <c r="P640" i="10"/>
  <c r="O640" i="10"/>
  <c r="P639" i="10"/>
  <c r="N639" i="10"/>
  <c r="M639" i="10"/>
  <c r="P634" i="10"/>
  <c r="N634" i="10"/>
  <c r="L634" i="10"/>
  <c r="L632" i="10" s="1"/>
  <c r="O632" i="10" s="1"/>
  <c r="P633" i="10"/>
  <c r="O633" i="10"/>
  <c r="M632" i="10"/>
  <c r="P632" i="10" s="1"/>
  <c r="M631" i="10"/>
  <c r="P631" i="10" s="1"/>
  <c r="N630" i="10"/>
  <c r="M630" i="10"/>
  <c r="L630" i="10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4" i="10" s="1"/>
  <c r="J595" i="10"/>
  <c r="J593" i="10" s="1"/>
  <c r="J592" i="10" s="1"/>
  <c r="I594" i="10"/>
  <c r="I593" i="10"/>
  <c r="J583" i="10"/>
  <c r="J582" i="10"/>
  <c r="J576" i="10" s="1"/>
  <c r="J577" i="10"/>
  <c r="I577" i="10"/>
  <c r="K577" i="10" s="1"/>
  <c r="I576" i="10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J559" i="10"/>
  <c r="J543" i="10" s="1"/>
  <c r="P557" i="10"/>
  <c r="L557" i="10"/>
  <c r="O557" i="10" s="1"/>
  <c r="P556" i="10"/>
  <c r="O556" i="10"/>
  <c r="N555" i="10"/>
  <c r="M555" i="10"/>
  <c r="N549" i="10"/>
  <c r="N547" i="10" s="1"/>
  <c r="L549" i="10"/>
  <c r="L546" i="10" s="1"/>
  <c r="P548" i="10"/>
  <c r="O548" i="10"/>
  <c r="N546" i="10"/>
  <c r="O545" i="10"/>
  <c r="N545" i="10"/>
  <c r="L545" i="10"/>
  <c r="N544" i="10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I522" i="10" s="1"/>
  <c r="K522" i="10" s="1"/>
  <c r="P535" i="10"/>
  <c r="L535" i="10"/>
  <c r="O535" i="10" s="1"/>
  <c r="P534" i="10"/>
  <c r="O534" i="10"/>
  <c r="P533" i="10"/>
  <c r="N533" i="10"/>
  <c r="M533" i="10"/>
  <c r="L533" i="10"/>
  <c r="O533" i="10" s="1"/>
  <c r="P528" i="10"/>
  <c r="N528" i="10"/>
  <c r="L528" i="10"/>
  <c r="L526" i="10" s="1"/>
  <c r="O526" i="10" s="1"/>
  <c r="P527" i="10"/>
  <c r="O527" i="10"/>
  <c r="P526" i="10"/>
  <c r="N526" i="10"/>
  <c r="M526" i="10"/>
  <c r="P525" i="10"/>
  <c r="N525" i="10"/>
  <c r="M525" i="10"/>
  <c r="O524" i="10"/>
  <c r="N524" i="10"/>
  <c r="N523" i="10" s="1"/>
  <c r="M524" i="10"/>
  <c r="L524" i="10"/>
  <c r="K517" i="10"/>
  <c r="J517" i="10"/>
  <c r="J501" i="10" s="1"/>
  <c r="K516" i="10"/>
  <c r="P514" i="10"/>
  <c r="O514" i="10"/>
  <c r="P513" i="10"/>
  <c r="O513" i="10"/>
  <c r="P512" i="10"/>
  <c r="O512" i="10"/>
  <c r="N512" i="10"/>
  <c r="M512" i="10"/>
  <c r="L512" i="10"/>
  <c r="P507" i="10"/>
  <c r="O507" i="10"/>
  <c r="N507" i="10"/>
  <c r="N504" i="10" s="1"/>
  <c r="N502" i="10" s="1"/>
  <c r="P506" i="10"/>
  <c r="O506" i="10"/>
  <c r="O505" i="10"/>
  <c r="N505" i="10"/>
  <c r="M505" i="10"/>
  <c r="P505" i="10" s="1"/>
  <c r="L505" i="10"/>
  <c r="M504" i="10"/>
  <c r="P504" i="10" s="1"/>
  <c r="L504" i="10"/>
  <c r="O504" i="10" s="1"/>
  <c r="N503" i="10"/>
  <c r="M503" i="10"/>
  <c r="L503" i="10"/>
  <c r="O503" i="10" s="1"/>
  <c r="K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P478" i="10"/>
  <c r="O478" i="10"/>
  <c r="P477" i="10"/>
  <c r="N477" i="10"/>
  <c r="M477" i="10"/>
  <c r="N472" i="10"/>
  <c r="L472" i="10"/>
  <c r="L470" i="10" s="1"/>
  <c r="P471" i="10"/>
  <c r="O471" i="10"/>
  <c r="N470" i="10"/>
  <c r="N468" i="10"/>
  <c r="M468" i="10"/>
  <c r="L468" i="10"/>
  <c r="O468" i="10" s="1"/>
  <c r="J466" i="10"/>
  <c r="I466" i="10"/>
  <c r="K466" i="10" s="1"/>
  <c r="J465" i="10"/>
  <c r="I465" i="10"/>
  <c r="I464" i="10"/>
  <c r="I463" i="10"/>
  <c r="I462" i="10"/>
  <c r="K462" i="10" s="1"/>
  <c r="I460" i="10"/>
  <c r="I442" i="10" s="1"/>
  <c r="K442" i="10" s="1"/>
  <c r="K458" i="10"/>
  <c r="P456" i="10"/>
  <c r="L456" i="10"/>
  <c r="O456" i="10" s="1"/>
  <c r="P455" i="10"/>
  <c r="O455" i="10"/>
  <c r="P454" i="10"/>
  <c r="N454" i="10"/>
  <c r="M454" i="10"/>
  <c r="L454" i="10"/>
  <c r="O454" i="10" s="1"/>
  <c r="N449" i="10"/>
  <c r="N447" i="10" s="1"/>
  <c r="L449" i="10"/>
  <c r="O449" i="10" s="1"/>
  <c r="P448" i="10"/>
  <c r="O448" i="10"/>
  <c r="N446" i="10"/>
  <c r="P445" i="10"/>
  <c r="O445" i="10"/>
  <c r="N445" i="10"/>
  <c r="N444" i="10" s="1"/>
  <c r="M445" i="10"/>
  <c r="L445" i="10"/>
  <c r="J443" i="10"/>
  <c r="J442" i="10"/>
  <c r="I441" i="10"/>
  <c r="K441" i="10" s="1"/>
  <c r="I440" i="10"/>
  <c r="I439" i="10"/>
  <c r="K439" i="10" s="1"/>
  <c r="I438" i="10"/>
  <c r="K438" i="10" s="1"/>
  <c r="I437" i="10"/>
  <c r="K437" i="10" s="1"/>
  <c r="I435" i="10"/>
  <c r="I433" i="10" s="1"/>
  <c r="I417" i="10" s="1"/>
  <c r="J434" i="10"/>
  <c r="P431" i="10"/>
  <c r="L431" i="10"/>
  <c r="P430" i="10"/>
  <c r="O430" i="10"/>
  <c r="P429" i="10"/>
  <c r="N429" i="10"/>
  <c r="M429" i="10"/>
  <c r="L429" i="10"/>
  <c r="O429" i="10" s="1"/>
  <c r="N424" i="10"/>
  <c r="N422" i="10" s="1"/>
  <c r="L424" i="10"/>
  <c r="M424" i="10" s="1"/>
  <c r="M421" i="10" s="1"/>
  <c r="P421" i="10" s="1"/>
  <c r="P423" i="10"/>
  <c r="O423" i="10"/>
  <c r="N421" i="10"/>
  <c r="P420" i="10"/>
  <c r="O420" i="10"/>
  <c r="N420" i="10"/>
  <c r="N419" i="10" s="1"/>
  <c r="M420" i="10"/>
  <c r="L420" i="10"/>
  <c r="J418" i="10"/>
  <c r="K413" i="10"/>
  <c r="K412" i="10"/>
  <c r="N410" i="10"/>
  <c r="N408" i="10" s="1"/>
  <c r="M410" i="10"/>
  <c r="L410" i="10"/>
  <c r="L408" i="10" s="1"/>
  <c r="O408" i="10" s="1"/>
  <c r="P409" i="10"/>
  <c r="O409" i="10"/>
  <c r="N407" i="10"/>
  <c r="M407" i="10"/>
  <c r="M405" i="10" s="1"/>
  <c r="P405" i="10" s="1"/>
  <c r="L407" i="10"/>
  <c r="L405" i="10" s="1"/>
  <c r="O405" i="10" s="1"/>
  <c r="P406" i="10"/>
  <c r="O406" i="10"/>
  <c r="N403" i="10"/>
  <c r="M403" i="10"/>
  <c r="L403" i="10"/>
  <c r="K401" i="10"/>
  <c r="J401" i="10"/>
  <c r="I401" i="10"/>
  <c r="K400" i="10"/>
  <c r="K399" i="10"/>
  <c r="N397" i="10"/>
  <c r="N395" i="10" s="1"/>
  <c r="M397" i="10"/>
  <c r="P397" i="10" s="1"/>
  <c r="L397" i="10"/>
  <c r="P396" i="10"/>
  <c r="O396" i="10"/>
  <c r="N394" i="10"/>
  <c r="N392" i="10" s="1"/>
  <c r="M394" i="10"/>
  <c r="L394" i="10"/>
  <c r="P393" i="10"/>
  <c r="O393" i="10"/>
  <c r="P390" i="10"/>
  <c r="O390" i="10"/>
  <c r="N390" i="10"/>
  <c r="M390" i="10"/>
  <c r="L390" i="10"/>
  <c r="J388" i="10"/>
  <c r="I388" i="10"/>
  <c r="K388" i="10" s="1"/>
  <c r="J385" i="10"/>
  <c r="I385" i="10"/>
  <c r="K382" i="10"/>
  <c r="J382" i="10"/>
  <c r="J381" i="10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N351" i="10" s="1"/>
  <c r="M353" i="10"/>
  <c r="L353" i="10"/>
  <c r="L351" i="10" s="1"/>
  <c r="P352" i="10"/>
  <c r="O352" i="10"/>
  <c r="N350" i="10"/>
  <c r="N348" i="10" s="1"/>
  <c r="M350" i="10"/>
  <c r="M348" i="10" s="1"/>
  <c r="L350" i="10"/>
  <c r="P349" i="10"/>
  <c r="O349" i="10"/>
  <c r="P346" i="10"/>
  <c r="O346" i="10"/>
  <c r="N346" i="10"/>
  <c r="M346" i="10"/>
  <c r="L346" i="10"/>
  <c r="J343" i="10"/>
  <c r="J342" i="10"/>
  <c r="J341" i="10"/>
  <c r="J340" i="10"/>
  <c r="I340" i="10"/>
  <c r="J338" i="10"/>
  <c r="I338" i="10"/>
  <c r="N336" i="10"/>
  <c r="N334" i="10" s="1"/>
  <c r="M336" i="10"/>
  <c r="M334" i="10" s="1"/>
  <c r="P334" i="10" s="1"/>
  <c r="L336" i="10"/>
  <c r="P335" i="10"/>
  <c r="O335" i="10"/>
  <c r="N333" i="10"/>
  <c r="N331" i="10" s="1"/>
  <c r="M333" i="10"/>
  <c r="L333" i="10"/>
  <c r="L331" i="10" s="1"/>
  <c r="P332" i="10"/>
  <c r="O332" i="10"/>
  <c r="P329" i="10"/>
  <c r="O329" i="10"/>
  <c r="N329" i="10"/>
  <c r="M329" i="10"/>
  <c r="L329" i="10"/>
  <c r="I327" i="10"/>
  <c r="I325" i="10"/>
  <c r="I314" i="10" s="1"/>
  <c r="K314" i="10" s="1"/>
  <c r="N323" i="10"/>
  <c r="N321" i="10" s="1"/>
  <c r="M323" i="10"/>
  <c r="P323" i="10" s="1"/>
  <c r="L323" i="10"/>
  <c r="O323" i="10" s="1"/>
  <c r="P322" i="10"/>
  <c r="O322" i="10"/>
  <c r="N320" i="10"/>
  <c r="M320" i="10"/>
  <c r="P320" i="10" s="1"/>
  <c r="L320" i="10"/>
  <c r="L318" i="10" s="1"/>
  <c r="O318" i="10" s="1"/>
  <c r="P319" i="10"/>
  <c r="O319" i="10"/>
  <c r="N316" i="10"/>
  <c r="M316" i="10"/>
  <c r="L316" i="10"/>
  <c r="O316" i="10" s="1"/>
  <c r="J314" i="10"/>
  <c r="I312" i="10"/>
  <c r="K312" i="10" s="1"/>
  <c r="I311" i="10"/>
  <c r="K311" i="10" s="1"/>
  <c r="I310" i="10"/>
  <c r="K310" i="10" s="1"/>
  <c r="I309" i="10"/>
  <c r="I297" i="10" s="1"/>
  <c r="K297" i="10" s="1"/>
  <c r="N306" i="10"/>
  <c r="N304" i="10" s="1"/>
  <c r="M306" i="10"/>
  <c r="P306" i="10" s="1"/>
  <c r="L306" i="10"/>
  <c r="P305" i="10"/>
  <c r="O305" i="10"/>
  <c r="N303" i="10"/>
  <c r="N301" i="10" s="1"/>
  <c r="M303" i="10"/>
  <c r="P303" i="10" s="1"/>
  <c r="L303" i="10"/>
  <c r="L301" i="10" s="1"/>
  <c r="O301" i="10" s="1"/>
  <c r="P302" i="10"/>
  <c r="O302" i="10"/>
  <c r="N299" i="10"/>
  <c r="M299" i="10"/>
  <c r="P299" i="10" s="1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I287" i="10"/>
  <c r="K287" i="10" s="1"/>
  <c r="N285" i="10"/>
  <c r="N283" i="10" s="1"/>
  <c r="M285" i="10"/>
  <c r="M283" i="10" s="1"/>
  <c r="P283" i="10" s="1"/>
  <c r="L285" i="10"/>
  <c r="O285" i="10" s="1"/>
  <c r="P284" i="10"/>
  <c r="O284" i="10"/>
  <c r="N282" i="10"/>
  <c r="N280" i="10" s="1"/>
  <c r="M282" i="10"/>
  <c r="M280" i="10" s="1"/>
  <c r="P280" i="10" s="1"/>
  <c r="L282" i="10"/>
  <c r="P281" i="10"/>
  <c r="O281" i="10"/>
  <c r="N278" i="10"/>
  <c r="M278" i="10"/>
  <c r="L278" i="10"/>
  <c r="J276" i="10"/>
  <c r="I271" i="10"/>
  <c r="K271" i="10" s="1"/>
  <c r="N269" i="10"/>
  <c r="N267" i="10" s="1"/>
  <c r="M269" i="10"/>
  <c r="P269" i="10" s="1"/>
  <c r="L269" i="10"/>
  <c r="P268" i="10"/>
  <c r="O268" i="10"/>
  <c r="N266" i="10"/>
  <c r="N264" i="10" s="1"/>
  <c r="M266" i="10"/>
  <c r="M264" i="10" s="1"/>
  <c r="P264" i="10" s="1"/>
  <c r="L266" i="10"/>
  <c r="L264" i="10" s="1"/>
  <c r="P265" i="10"/>
  <c r="O265" i="10"/>
  <c r="P262" i="10"/>
  <c r="O262" i="10"/>
  <c r="N262" i="10"/>
  <c r="M262" i="10"/>
  <c r="L262" i="10"/>
  <c r="J260" i="10"/>
  <c r="K258" i="10"/>
  <c r="K257" i="10"/>
  <c r="I255" i="10"/>
  <c r="L253" i="10"/>
  <c r="L252" i="10"/>
  <c r="L251" i="10"/>
  <c r="L250" i="10"/>
  <c r="P249" i="10"/>
  <c r="N249" i="10"/>
  <c r="J248" i="10"/>
  <c r="K247" i="10"/>
  <c r="K246" i="10"/>
  <c r="I244" i="10"/>
  <c r="K244" i="10" s="1"/>
  <c r="L242" i="10"/>
  <c r="L241" i="10"/>
  <c r="L240" i="10"/>
  <c r="L239" i="10"/>
  <c r="P238" i="10"/>
  <c r="N238" i="10"/>
  <c r="J237" i="10"/>
  <c r="J226" i="10" s="1"/>
  <c r="J180" i="10" s="1"/>
  <c r="K236" i="10"/>
  <c r="J236" i="10"/>
  <c r="I236" i="10"/>
  <c r="K235" i="10"/>
  <c r="J235" i="10"/>
  <c r="I235" i="10"/>
  <c r="J233" i="10"/>
  <c r="N231" i="10"/>
  <c r="N230" i="10"/>
  <c r="N229" i="10"/>
  <c r="N228" i="10"/>
  <c r="N227" i="10"/>
  <c r="K225" i="10"/>
  <c r="I225" i="10"/>
  <c r="I224" i="10"/>
  <c r="I216" i="10" s="1"/>
  <c r="K216" i="10" s="1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K204" i="10"/>
  <c r="I204" i="10"/>
  <c r="L202" i="10"/>
  <c r="L201" i="10"/>
  <c r="L200" i="10"/>
  <c r="L199" i="10"/>
  <c r="P198" i="10"/>
  <c r="N198" i="10"/>
  <c r="J197" i="10"/>
  <c r="I197" i="10"/>
  <c r="K197" i="10" s="1"/>
  <c r="J194" i="10"/>
  <c r="I193" i="10"/>
  <c r="P191" i="10"/>
  <c r="L191" i="10"/>
  <c r="O191" i="10" s="1"/>
  <c r="J190" i="10"/>
  <c r="N189" i="10"/>
  <c r="N187" i="10" s="1"/>
  <c r="M189" i="10"/>
  <c r="M187" i="10" s="1"/>
  <c r="P187" i="10" s="1"/>
  <c r="L189" i="10"/>
  <c r="P188" i="10"/>
  <c r="O188" i="10"/>
  <c r="N186" i="10"/>
  <c r="M186" i="10"/>
  <c r="M184" i="10" s="1"/>
  <c r="L186" i="10"/>
  <c r="P185" i="10"/>
  <c r="O185" i="10"/>
  <c r="P182" i="10"/>
  <c r="N182" i="10"/>
  <c r="M182" i="10"/>
  <c r="L182" i="10"/>
  <c r="O182" i="10" s="1"/>
  <c r="J177" i="10"/>
  <c r="I176" i="10"/>
  <c r="I174" i="10" s="1"/>
  <c r="J174" i="10"/>
  <c r="N173" i="10"/>
  <c r="M173" i="10"/>
  <c r="L173" i="10"/>
  <c r="O173" i="10" s="1"/>
  <c r="P172" i="10"/>
  <c r="O172" i="10"/>
  <c r="N170" i="10"/>
  <c r="N168" i="10" s="1"/>
  <c r="M170" i="10"/>
  <c r="L170" i="10"/>
  <c r="P169" i="10"/>
  <c r="O169" i="10"/>
  <c r="P166" i="10"/>
  <c r="N166" i="10"/>
  <c r="M166" i="10"/>
  <c r="L166" i="10"/>
  <c r="O166" i="10" s="1"/>
  <c r="J164" i="10"/>
  <c r="I159" i="10"/>
  <c r="N157" i="10"/>
  <c r="N155" i="10" s="1"/>
  <c r="M157" i="10"/>
  <c r="M155" i="10" s="1"/>
  <c r="P155" i="10" s="1"/>
  <c r="L157" i="10"/>
  <c r="O157" i="10" s="1"/>
  <c r="P156" i="10"/>
  <c r="O156" i="10"/>
  <c r="N154" i="10"/>
  <c r="N152" i="10" s="1"/>
  <c r="M154" i="10"/>
  <c r="L154" i="10"/>
  <c r="P153" i="10"/>
  <c r="O153" i="10"/>
  <c r="N150" i="10"/>
  <c r="M150" i="10"/>
  <c r="L150" i="10"/>
  <c r="O150" i="10" s="1"/>
  <c r="J148" i="10"/>
  <c r="I146" i="10"/>
  <c r="K146" i="10" s="1"/>
  <c r="I145" i="10"/>
  <c r="I144" i="10"/>
  <c r="K144" i="10" s="1"/>
  <c r="N140" i="10"/>
  <c r="M140" i="10"/>
  <c r="P140" i="10" s="1"/>
  <c r="L140" i="10"/>
  <c r="O140" i="10" s="1"/>
  <c r="P139" i="10"/>
  <c r="O139" i="10"/>
  <c r="N137" i="10"/>
  <c r="N135" i="10" s="1"/>
  <c r="M137" i="10"/>
  <c r="L137" i="10"/>
  <c r="L135" i="10" s="1"/>
  <c r="O135" i="10" s="1"/>
  <c r="P136" i="10"/>
  <c r="O136" i="10"/>
  <c r="P133" i="10"/>
  <c r="O133" i="10"/>
  <c r="N133" i="10"/>
  <c r="M133" i="10"/>
  <c r="L133" i="10"/>
  <c r="J130" i="10"/>
  <c r="N127" i="10"/>
  <c r="N125" i="10" s="1"/>
  <c r="M127" i="10"/>
  <c r="L127" i="10"/>
  <c r="P126" i="10"/>
  <c r="O126" i="10"/>
  <c r="N124" i="10"/>
  <c r="M124" i="10"/>
  <c r="L124" i="10"/>
  <c r="O124" i="10" s="1"/>
  <c r="P123" i="10"/>
  <c r="O123" i="10"/>
  <c r="P120" i="10"/>
  <c r="O120" i="10"/>
  <c r="N120" i="10"/>
  <c r="M120" i="10"/>
  <c r="L120" i="10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J87" i="10" s="1"/>
  <c r="I99" i="10"/>
  <c r="J98" i="10"/>
  <c r="J86" i="10" s="1"/>
  <c r="I98" i="10"/>
  <c r="I86" i="10" s="1"/>
  <c r="K86" i="10" s="1"/>
  <c r="N96" i="10"/>
  <c r="N94" i="10" s="1"/>
  <c r="M96" i="10"/>
  <c r="P96" i="10" s="1"/>
  <c r="L96" i="10"/>
  <c r="L94" i="10" s="1"/>
  <c r="O94" i="10" s="1"/>
  <c r="P95" i="10"/>
  <c r="O95" i="10"/>
  <c r="N93" i="10"/>
  <c r="M93" i="10"/>
  <c r="L93" i="10"/>
  <c r="L91" i="10" s="1"/>
  <c r="P92" i="10"/>
  <c r="O92" i="10"/>
  <c r="N89" i="10"/>
  <c r="M89" i="10"/>
  <c r="L89" i="10"/>
  <c r="O89" i="10" s="1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K79" i="10" s="1"/>
  <c r="I78" i="10"/>
  <c r="K78" i="10" s="1"/>
  <c r="J77" i="10"/>
  <c r="J76" i="10"/>
  <c r="J64" i="10" s="1"/>
  <c r="N74" i="10"/>
  <c r="N72" i="10" s="1"/>
  <c r="M74" i="10"/>
  <c r="P74" i="10" s="1"/>
  <c r="L74" i="10"/>
  <c r="P73" i="10"/>
  <c r="O73" i="10"/>
  <c r="N71" i="10"/>
  <c r="M71" i="10"/>
  <c r="P71" i="10" s="1"/>
  <c r="L71" i="10"/>
  <c r="O71" i="10" s="1"/>
  <c r="P70" i="10"/>
  <c r="O70" i="10"/>
  <c r="P67" i="10"/>
  <c r="N67" i="10"/>
  <c r="M67" i="10"/>
  <c r="L67" i="10"/>
  <c r="J65" i="10"/>
  <c r="N61" i="10"/>
  <c r="N59" i="10" s="1"/>
  <c r="M61" i="10"/>
  <c r="L61" i="10"/>
  <c r="P60" i="10"/>
  <c r="O60" i="10"/>
  <c r="N58" i="10"/>
  <c r="N56" i="10" s="1"/>
  <c r="M58" i="10"/>
  <c r="M56" i="10" s="1"/>
  <c r="L58" i="10"/>
  <c r="P57" i="10"/>
  <c r="O57" i="10"/>
  <c r="P54" i="10"/>
  <c r="N54" i="10"/>
  <c r="M54" i="10"/>
  <c r="L54" i="10"/>
  <c r="N49" i="10"/>
  <c r="N47" i="10" s="1"/>
  <c r="M49" i="10"/>
  <c r="L49" i="10"/>
  <c r="L47" i="10" s="1"/>
  <c r="O47" i="10" s="1"/>
  <c r="P48" i="10"/>
  <c r="O48" i="10"/>
  <c r="N46" i="10"/>
  <c r="M46" i="10"/>
  <c r="M44" i="10" s="1"/>
  <c r="L46" i="10"/>
  <c r="L44" i="10" s="1"/>
  <c r="P45" i="10"/>
  <c r="O45" i="10"/>
  <c r="O42" i="10"/>
  <c r="N42" i="10"/>
  <c r="M42" i="10"/>
  <c r="P42" i="10" s="1"/>
  <c r="L42" i="10"/>
  <c r="P36" i="10"/>
  <c r="N36" i="10"/>
  <c r="M36" i="10"/>
  <c r="P35" i="10"/>
  <c r="O35" i="10"/>
  <c r="N35" i="10"/>
  <c r="N34" i="10" s="1"/>
  <c r="M35" i="10"/>
  <c r="M34" i="10" s="1"/>
  <c r="L35" i="10"/>
  <c r="P34" i="10"/>
  <c r="N32" i="10"/>
  <c r="M32" i="10"/>
  <c r="L32" i="10"/>
  <c r="O32" i="10" s="1"/>
  <c r="N25" i="10"/>
  <c r="M25" i="10"/>
  <c r="L25" i="10"/>
  <c r="O25" i="10" s="1"/>
  <c r="P22" i="10"/>
  <c r="O22" i="10"/>
  <c r="N22" i="10"/>
  <c r="M22" i="10"/>
  <c r="L22" i="10"/>
  <c r="N19" i="10"/>
  <c r="M19" i="10"/>
  <c r="P19" i="10" s="1"/>
  <c r="L19" i="10"/>
  <c r="O19" i="10" s="1"/>
  <c r="N12" i="10"/>
  <c r="M12" i="10"/>
  <c r="L12" i="10"/>
  <c r="O12" i="10" s="1"/>
  <c r="J828" i="9"/>
  <c r="I828" i="9"/>
  <c r="J827" i="9"/>
  <c r="I827" i="9"/>
  <c r="J826" i="9"/>
  <c r="I826" i="9"/>
  <c r="K826" i="9" s="1"/>
  <c r="J825" i="9"/>
  <c r="I825" i="9"/>
  <c r="K825" i="9" s="1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N815" i="9"/>
  <c r="M815" i="9"/>
  <c r="L815" i="9"/>
  <c r="O815" i="9" s="1"/>
  <c r="P810" i="9"/>
  <c r="O810" i="9"/>
  <c r="N810" i="9"/>
  <c r="P809" i="9"/>
  <c r="O809" i="9"/>
  <c r="O808" i="9"/>
  <c r="N808" i="9"/>
  <c r="M808" i="9"/>
  <c r="P808" i="9" s="1"/>
  <c r="L808" i="9"/>
  <c r="N807" i="9"/>
  <c r="M807" i="9"/>
  <c r="P807" i="9" s="1"/>
  <c r="L807" i="9"/>
  <c r="O807" i="9" s="1"/>
  <c r="N806" i="9"/>
  <c r="N805" i="9" s="1"/>
  <c r="M806" i="9"/>
  <c r="L806" i="9"/>
  <c r="O806" i="9" s="1"/>
  <c r="L805" i="9"/>
  <c r="O805" i="9" s="1"/>
  <c r="K804" i="9"/>
  <c r="J804" i="9"/>
  <c r="K802" i="9"/>
  <c r="J801" i="9"/>
  <c r="J800" i="9"/>
  <c r="J785" i="9" s="1"/>
  <c r="I800" i="9"/>
  <c r="P798" i="9"/>
  <c r="O798" i="9"/>
  <c r="P797" i="9"/>
  <c r="O797" i="9"/>
  <c r="P796" i="9"/>
  <c r="O796" i="9"/>
  <c r="N796" i="9"/>
  <c r="M796" i="9"/>
  <c r="L796" i="9"/>
  <c r="P791" i="9"/>
  <c r="N791" i="9"/>
  <c r="N789" i="9" s="1"/>
  <c r="L791" i="9"/>
  <c r="L789" i="9" s="1"/>
  <c r="O789" i="9" s="1"/>
  <c r="P790" i="9"/>
  <c r="O790" i="9"/>
  <c r="M789" i="9"/>
  <c r="P789" i="9" s="1"/>
  <c r="N788" i="9"/>
  <c r="M788" i="9"/>
  <c r="P788" i="9" s="1"/>
  <c r="L788" i="9"/>
  <c r="O788" i="9" s="1"/>
  <c r="N787" i="9"/>
  <c r="M787" i="9"/>
  <c r="L787" i="9"/>
  <c r="O787" i="9" s="1"/>
  <c r="P782" i="9"/>
  <c r="O782" i="9"/>
  <c r="P781" i="9"/>
  <c r="O781" i="9"/>
  <c r="P780" i="9"/>
  <c r="N780" i="9"/>
  <c r="M780" i="9"/>
  <c r="L780" i="9"/>
  <c r="O780" i="9" s="1"/>
  <c r="P775" i="9"/>
  <c r="O775" i="9"/>
  <c r="N775" i="9"/>
  <c r="N773" i="9" s="1"/>
  <c r="P774" i="9"/>
  <c r="O774" i="9"/>
  <c r="P773" i="9"/>
  <c r="O773" i="9"/>
  <c r="M773" i="9"/>
  <c r="L773" i="9"/>
  <c r="O772" i="9"/>
  <c r="N772" i="9"/>
  <c r="M772" i="9"/>
  <c r="P772" i="9" s="1"/>
  <c r="L772" i="9"/>
  <c r="N771" i="9"/>
  <c r="M771" i="9"/>
  <c r="L771" i="9"/>
  <c r="O771" i="9" s="1"/>
  <c r="L770" i="9"/>
  <c r="O770" i="9" s="1"/>
  <c r="K769" i="9"/>
  <c r="J769" i="9"/>
  <c r="P766" i="9"/>
  <c r="O766" i="9"/>
  <c r="P765" i="9"/>
  <c r="O765" i="9"/>
  <c r="P764" i="9"/>
  <c r="N764" i="9"/>
  <c r="M764" i="9"/>
  <c r="L764" i="9"/>
  <c r="O764" i="9" s="1"/>
  <c r="P759" i="9"/>
  <c r="O759" i="9"/>
  <c r="N759" i="9"/>
  <c r="N757" i="9" s="1"/>
  <c r="P758" i="9"/>
  <c r="O758" i="9"/>
  <c r="P757" i="9"/>
  <c r="O757" i="9"/>
  <c r="M757" i="9"/>
  <c r="L757" i="9"/>
  <c r="O756" i="9"/>
  <c r="N756" i="9"/>
  <c r="M756" i="9"/>
  <c r="P756" i="9" s="1"/>
  <c r="L756" i="9"/>
  <c r="N755" i="9"/>
  <c r="M755" i="9"/>
  <c r="P755" i="9" s="1"/>
  <c r="L755" i="9"/>
  <c r="O755" i="9" s="1"/>
  <c r="M754" i="9"/>
  <c r="P754" i="9" s="1"/>
  <c r="L754" i="9"/>
  <c r="O754" i="9" s="1"/>
  <c r="K753" i="9"/>
  <c r="J753" i="9"/>
  <c r="P749" i="9"/>
  <c r="O749" i="9"/>
  <c r="P748" i="9"/>
  <c r="O748" i="9"/>
  <c r="N747" i="9"/>
  <c r="M747" i="9"/>
  <c r="P747" i="9" s="1"/>
  <c r="L747" i="9"/>
  <c r="O747" i="9" s="1"/>
  <c r="P742" i="9"/>
  <c r="O742" i="9"/>
  <c r="N742" i="9"/>
  <c r="N740" i="9" s="1"/>
  <c r="P741" i="9"/>
  <c r="O741" i="9"/>
  <c r="P740" i="9"/>
  <c r="O740" i="9"/>
  <c r="M740" i="9"/>
  <c r="L740" i="9"/>
  <c r="O739" i="9"/>
  <c r="N739" i="9"/>
  <c r="M739" i="9"/>
  <c r="P739" i="9" s="1"/>
  <c r="L739" i="9"/>
  <c r="N738" i="9"/>
  <c r="N737" i="9" s="1"/>
  <c r="M738" i="9"/>
  <c r="P738" i="9" s="1"/>
  <c r="L738" i="9"/>
  <c r="O738" i="9" s="1"/>
  <c r="M737" i="9"/>
  <c r="P737" i="9" s="1"/>
  <c r="L737" i="9"/>
  <c r="O737" i="9" s="1"/>
  <c r="K736" i="9"/>
  <c r="J736" i="9"/>
  <c r="J729" i="9"/>
  <c r="I729" i="9"/>
  <c r="K729" i="9" s="1"/>
  <c r="J728" i="9"/>
  <c r="I728" i="9"/>
  <c r="K728" i="9" s="1"/>
  <c r="J727" i="9"/>
  <c r="J726" i="9"/>
  <c r="I726" i="9"/>
  <c r="K726" i="9" s="1"/>
  <c r="J725" i="9"/>
  <c r="I725" i="9"/>
  <c r="K725" i="9" s="1"/>
  <c r="J724" i="9"/>
  <c r="J723" i="9"/>
  <c r="I723" i="9"/>
  <c r="K723" i="9" s="1"/>
  <c r="I722" i="9"/>
  <c r="K722" i="9" s="1"/>
  <c r="I721" i="9"/>
  <c r="K721" i="9" s="1"/>
  <c r="J720" i="9"/>
  <c r="I720" i="9"/>
  <c r="K720" i="9" s="1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N695" i="9"/>
  <c r="M695" i="9"/>
  <c r="P695" i="9" s="1"/>
  <c r="L695" i="9"/>
  <c r="O695" i="9" s="1"/>
  <c r="P690" i="9"/>
  <c r="N690" i="9"/>
  <c r="L690" i="9"/>
  <c r="L687" i="9" s="1"/>
  <c r="O687" i="9" s="1"/>
  <c r="N688" i="9"/>
  <c r="M688" i="9"/>
  <c r="P688" i="9" s="1"/>
  <c r="N687" i="9"/>
  <c r="M687" i="9"/>
  <c r="P687" i="9" s="1"/>
  <c r="N686" i="9"/>
  <c r="M686" i="9"/>
  <c r="L686" i="9"/>
  <c r="O686" i="9" s="1"/>
  <c r="J679" i="9"/>
  <c r="J678" i="9" s="1"/>
  <c r="I678" i="9"/>
  <c r="K678" i="9" s="1"/>
  <c r="J675" i="9"/>
  <c r="I671" i="9"/>
  <c r="K671" i="9" s="1"/>
  <c r="I670" i="9"/>
  <c r="K670" i="9" s="1"/>
  <c r="I669" i="9"/>
  <c r="K674" i="9" s="1"/>
  <c r="P667" i="9"/>
  <c r="O667" i="9"/>
  <c r="P666" i="9"/>
  <c r="O666" i="9"/>
  <c r="N665" i="9"/>
  <c r="M665" i="9"/>
  <c r="P665" i="9" s="1"/>
  <c r="L665" i="9"/>
  <c r="O665" i="9" s="1"/>
  <c r="N660" i="9"/>
  <c r="L660" i="9"/>
  <c r="P659" i="9"/>
  <c r="O659" i="9"/>
  <c r="N658" i="9"/>
  <c r="N657" i="9"/>
  <c r="P656" i="9"/>
  <c r="O656" i="9"/>
  <c r="N656" i="9"/>
  <c r="M656" i="9"/>
  <c r="L656" i="9"/>
  <c r="N655" i="9"/>
  <c r="K652" i="9"/>
  <c r="J652" i="9"/>
  <c r="J651" i="9"/>
  <c r="J628" i="9" s="1"/>
  <c r="I651" i="9"/>
  <c r="K650" i="9"/>
  <c r="J650" i="9"/>
  <c r="J649" i="9"/>
  <c r="I649" i="9"/>
  <c r="K649" i="9" s="1"/>
  <c r="K648" i="9"/>
  <c r="J648" i="9"/>
  <c r="J647" i="9"/>
  <c r="I647" i="9"/>
  <c r="K647" i="9" s="1"/>
  <c r="K646" i="9"/>
  <c r="J646" i="9"/>
  <c r="K645" i="9"/>
  <c r="J645" i="9"/>
  <c r="I644" i="9"/>
  <c r="K644" i="9" s="1"/>
  <c r="I643" i="9"/>
  <c r="K643" i="9" s="1"/>
  <c r="P641" i="9"/>
  <c r="L641" i="9"/>
  <c r="L639" i="9" s="1"/>
  <c r="O639" i="9" s="1"/>
  <c r="P640" i="9"/>
  <c r="O640" i="9"/>
  <c r="P639" i="9"/>
  <c r="N639" i="9"/>
  <c r="M639" i="9"/>
  <c r="P634" i="9"/>
  <c r="N634" i="9"/>
  <c r="L634" i="9"/>
  <c r="P633" i="9"/>
  <c r="O633" i="9"/>
  <c r="N632" i="9"/>
  <c r="M632" i="9"/>
  <c r="P632" i="9" s="1"/>
  <c r="N631" i="9"/>
  <c r="N629" i="9" s="1"/>
  <c r="M631" i="9"/>
  <c r="P631" i="9" s="1"/>
  <c r="N630" i="9"/>
  <c r="M630" i="9"/>
  <c r="L630" i="9"/>
  <c r="O630" i="9" s="1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4" i="9" s="1"/>
  <c r="J595" i="9"/>
  <c r="I594" i="9"/>
  <c r="J593" i="9"/>
  <c r="J592" i="9" s="1"/>
  <c r="I593" i="9"/>
  <c r="J583" i="9"/>
  <c r="J582" i="9"/>
  <c r="J576" i="9" s="1"/>
  <c r="J559" i="9" s="1"/>
  <c r="J543" i="9" s="1"/>
  <c r="J577" i="9"/>
  <c r="I577" i="9"/>
  <c r="K577" i="9" s="1"/>
  <c r="I576" i="9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P557" i="9"/>
  <c r="L557" i="9"/>
  <c r="O557" i="9" s="1"/>
  <c r="P556" i="9"/>
  <c r="O556" i="9"/>
  <c r="N555" i="9"/>
  <c r="M555" i="9"/>
  <c r="N549" i="9"/>
  <c r="L549" i="9"/>
  <c r="P548" i="9"/>
  <c r="O548" i="9"/>
  <c r="N547" i="9"/>
  <c r="N546" i="9"/>
  <c r="O545" i="9"/>
  <c r="N545" i="9"/>
  <c r="L545" i="9"/>
  <c r="N544" i="9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K537" i="9" s="1"/>
  <c r="P535" i="9"/>
  <c r="L535" i="9"/>
  <c r="O535" i="9" s="1"/>
  <c r="P534" i="9"/>
  <c r="O534" i="9"/>
  <c r="P533" i="9"/>
  <c r="N533" i="9"/>
  <c r="M533" i="9"/>
  <c r="L533" i="9"/>
  <c r="O533" i="9" s="1"/>
  <c r="P528" i="9"/>
  <c r="N528" i="9"/>
  <c r="L528" i="9"/>
  <c r="O528" i="9" s="1"/>
  <c r="P527" i="9"/>
  <c r="O527" i="9"/>
  <c r="P526" i="9"/>
  <c r="N526" i="9"/>
  <c r="M526" i="9"/>
  <c r="L526" i="9"/>
  <c r="O526" i="9" s="1"/>
  <c r="P525" i="9"/>
  <c r="N525" i="9"/>
  <c r="M525" i="9"/>
  <c r="O524" i="9"/>
  <c r="N524" i="9"/>
  <c r="M524" i="9"/>
  <c r="P524" i="9" s="1"/>
  <c r="L524" i="9"/>
  <c r="N523" i="9"/>
  <c r="M523" i="9"/>
  <c r="P523" i="9" s="1"/>
  <c r="K517" i="9"/>
  <c r="J517" i="9"/>
  <c r="J501" i="9" s="1"/>
  <c r="K516" i="9"/>
  <c r="P514" i="9"/>
  <c r="O514" i="9"/>
  <c r="P513" i="9"/>
  <c r="O513" i="9"/>
  <c r="P512" i="9"/>
  <c r="O512" i="9"/>
  <c r="N512" i="9"/>
  <c r="M512" i="9"/>
  <c r="L512" i="9"/>
  <c r="P507" i="9"/>
  <c r="O507" i="9"/>
  <c r="N507" i="9"/>
  <c r="P506" i="9"/>
  <c r="O506" i="9"/>
  <c r="O505" i="9"/>
  <c r="N505" i="9"/>
  <c r="M505" i="9"/>
  <c r="P505" i="9" s="1"/>
  <c r="L505" i="9"/>
  <c r="N504" i="9"/>
  <c r="N502" i="9" s="1"/>
  <c r="M504" i="9"/>
  <c r="P504" i="9" s="1"/>
  <c r="L504" i="9"/>
  <c r="O504" i="9" s="1"/>
  <c r="N503" i="9"/>
  <c r="M503" i="9"/>
  <c r="L503" i="9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O479" i="9" s="1"/>
  <c r="P478" i="9"/>
  <c r="O478" i="9"/>
  <c r="P477" i="9"/>
  <c r="N477" i="9"/>
  <c r="M477" i="9"/>
  <c r="N472" i="9"/>
  <c r="N470" i="9" s="1"/>
  <c r="L472" i="9"/>
  <c r="M472" i="9" s="1"/>
  <c r="P471" i="9"/>
  <c r="O471" i="9"/>
  <c r="N468" i="9"/>
  <c r="M468" i="9"/>
  <c r="P468" i="9" s="1"/>
  <c r="L468" i="9"/>
  <c r="O468" i="9" s="1"/>
  <c r="J466" i="9"/>
  <c r="I466" i="9"/>
  <c r="J465" i="9"/>
  <c r="I465" i="9"/>
  <c r="K465" i="9" s="1"/>
  <c r="I464" i="9"/>
  <c r="I463" i="9"/>
  <c r="I462" i="9"/>
  <c r="I443" i="9" s="1"/>
  <c r="K443" i="9" s="1"/>
  <c r="I460" i="9"/>
  <c r="K458" i="9"/>
  <c r="P456" i="9"/>
  <c r="L456" i="9"/>
  <c r="O456" i="9" s="1"/>
  <c r="P455" i="9"/>
  <c r="O455" i="9"/>
  <c r="P454" i="9"/>
  <c r="N454" i="9"/>
  <c r="M454" i="9"/>
  <c r="L454" i="9"/>
  <c r="O454" i="9" s="1"/>
  <c r="N449" i="9"/>
  <c r="L449" i="9"/>
  <c r="P448" i="9"/>
  <c r="O448" i="9"/>
  <c r="N447" i="9"/>
  <c r="N446" i="9"/>
  <c r="P445" i="9"/>
  <c r="O445" i="9"/>
  <c r="N445" i="9"/>
  <c r="M445" i="9"/>
  <c r="L445" i="9"/>
  <c r="N444" i="9"/>
  <c r="J443" i="9"/>
  <c r="J442" i="9"/>
  <c r="I441" i="9"/>
  <c r="K441" i="9" s="1"/>
  <c r="I440" i="9"/>
  <c r="K440" i="9" s="1"/>
  <c r="I439" i="9"/>
  <c r="K439" i="9" s="1"/>
  <c r="I438" i="9"/>
  <c r="K438" i="9" s="1"/>
  <c r="I437" i="9"/>
  <c r="I435" i="9"/>
  <c r="K435" i="9" s="1"/>
  <c r="J434" i="9"/>
  <c r="P431" i="9"/>
  <c r="L431" i="9"/>
  <c r="O431" i="9" s="1"/>
  <c r="P430" i="9"/>
  <c r="O430" i="9"/>
  <c r="N429" i="9"/>
  <c r="M429" i="9"/>
  <c r="P429" i="9" s="1"/>
  <c r="N424" i="9"/>
  <c r="N422" i="9" s="1"/>
  <c r="L424" i="9"/>
  <c r="P423" i="9"/>
  <c r="O423" i="9"/>
  <c r="N421" i="9"/>
  <c r="P420" i="9"/>
  <c r="O420" i="9"/>
  <c r="N420" i="9"/>
  <c r="M420" i="9"/>
  <c r="L420" i="9"/>
  <c r="N419" i="9"/>
  <c r="J418" i="9"/>
  <c r="K413" i="9"/>
  <c r="K412" i="9"/>
  <c r="N410" i="9"/>
  <c r="N408" i="9" s="1"/>
  <c r="M410" i="9"/>
  <c r="P410" i="9" s="1"/>
  <c r="L410" i="9"/>
  <c r="L408" i="9" s="1"/>
  <c r="O408" i="9" s="1"/>
  <c r="P409" i="9"/>
  <c r="O409" i="9"/>
  <c r="N407" i="9"/>
  <c r="N405" i="9" s="1"/>
  <c r="M407" i="9"/>
  <c r="P407" i="9" s="1"/>
  <c r="L407" i="9"/>
  <c r="L405" i="9" s="1"/>
  <c r="O405" i="9" s="1"/>
  <c r="P406" i="9"/>
  <c r="O406" i="9"/>
  <c r="O403" i="9"/>
  <c r="N403" i="9"/>
  <c r="M403" i="9"/>
  <c r="P403" i="9" s="1"/>
  <c r="L403" i="9"/>
  <c r="K401" i="9"/>
  <c r="J401" i="9"/>
  <c r="I401" i="9"/>
  <c r="K400" i="9"/>
  <c r="K399" i="9"/>
  <c r="N397" i="9"/>
  <c r="N395" i="9" s="1"/>
  <c r="M397" i="9"/>
  <c r="P397" i="9" s="1"/>
  <c r="L397" i="9"/>
  <c r="O397" i="9" s="1"/>
  <c r="P396" i="9"/>
  <c r="O396" i="9"/>
  <c r="N394" i="9"/>
  <c r="N392" i="9" s="1"/>
  <c r="M394" i="9"/>
  <c r="L394" i="9"/>
  <c r="O394" i="9" s="1"/>
  <c r="P393" i="9"/>
  <c r="O393" i="9"/>
  <c r="P390" i="9"/>
  <c r="O390" i="9"/>
  <c r="N390" i="9"/>
  <c r="M390" i="9"/>
  <c r="L390" i="9"/>
  <c r="J388" i="9"/>
  <c r="I388" i="9"/>
  <c r="K388" i="9" s="1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M353" i="9"/>
  <c r="M351" i="9" s="1"/>
  <c r="L353" i="9"/>
  <c r="P352" i="9"/>
  <c r="O352" i="9"/>
  <c r="N350" i="9"/>
  <c r="M350" i="9"/>
  <c r="M348" i="9" s="1"/>
  <c r="L350" i="9"/>
  <c r="L348" i="9" s="1"/>
  <c r="P349" i="9"/>
  <c r="O349" i="9"/>
  <c r="P346" i="9"/>
  <c r="O346" i="9"/>
  <c r="N346" i="9"/>
  <c r="M346" i="9"/>
  <c r="L346" i="9"/>
  <c r="J343" i="9"/>
  <c r="J342" i="9"/>
  <c r="J341" i="9"/>
  <c r="J340" i="9"/>
  <c r="I340" i="9"/>
  <c r="J338" i="9"/>
  <c r="I338" i="9"/>
  <c r="N336" i="9"/>
  <c r="N334" i="9" s="1"/>
  <c r="M336" i="9"/>
  <c r="P336" i="9" s="1"/>
  <c r="L336" i="9"/>
  <c r="O336" i="9" s="1"/>
  <c r="P335" i="9"/>
  <c r="O335" i="9"/>
  <c r="N333" i="9"/>
  <c r="M333" i="9"/>
  <c r="L333" i="9"/>
  <c r="L331" i="9" s="1"/>
  <c r="P332" i="9"/>
  <c r="O332" i="9"/>
  <c r="P329" i="9"/>
  <c r="O329" i="9"/>
  <c r="N329" i="9"/>
  <c r="M329" i="9"/>
  <c r="L329" i="9"/>
  <c r="I327" i="9"/>
  <c r="I325" i="9"/>
  <c r="K325" i="9" s="1"/>
  <c r="N323" i="9"/>
  <c r="N321" i="9" s="1"/>
  <c r="M323" i="9"/>
  <c r="L323" i="9"/>
  <c r="L321" i="9" s="1"/>
  <c r="O321" i="9" s="1"/>
  <c r="P322" i="9"/>
  <c r="O322" i="9"/>
  <c r="N320" i="9"/>
  <c r="N318" i="9" s="1"/>
  <c r="M320" i="9"/>
  <c r="L320" i="9"/>
  <c r="L318" i="9" s="1"/>
  <c r="O318" i="9" s="1"/>
  <c r="P319" i="9"/>
  <c r="O319" i="9"/>
  <c r="N316" i="9"/>
  <c r="M316" i="9"/>
  <c r="L316" i="9"/>
  <c r="O316" i="9" s="1"/>
  <c r="J314" i="9"/>
  <c r="I312" i="9"/>
  <c r="K312" i="9" s="1"/>
  <c r="I311" i="9"/>
  <c r="K311" i="9" s="1"/>
  <c r="I310" i="9"/>
  <c r="K310" i="9" s="1"/>
  <c r="I309" i="9"/>
  <c r="N306" i="9"/>
  <c r="N304" i="9" s="1"/>
  <c r="M306" i="9"/>
  <c r="L306" i="9"/>
  <c r="L304" i="9" s="1"/>
  <c r="O304" i="9" s="1"/>
  <c r="P305" i="9"/>
  <c r="O305" i="9"/>
  <c r="N303" i="9"/>
  <c r="N301" i="9" s="1"/>
  <c r="M303" i="9"/>
  <c r="L303" i="9"/>
  <c r="L301" i="9" s="1"/>
  <c r="P302" i="9"/>
  <c r="O302" i="9"/>
  <c r="O299" i="9"/>
  <c r="N299" i="9"/>
  <c r="M299" i="9"/>
  <c r="P299" i="9" s="1"/>
  <c r="L299" i="9"/>
  <c r="J297" i="9"/>
  <c r="I294" i="9"/>
  <c r="K294" i="9" s="1"/>
  <c r="I293" i="9"/>
  <c r="K293" i="9" s="1"/>
  <c r="I291" i="9"/>
  <c r="K291" i="9" s="1"/>
  <c r="I290" i="9"/>
  <c r="K290" i="9" s="1"/>
  <c r="I288" i="9"/>
  <c r="I287" i="9"/>
  <c r="N285" i="9"/>
  <c r="N283" i="9" s="1"/>
  <c r="M285" i="9"/>
  <c r="M283" i="9" s="1"/>
  <c r="P283" i="9" s="1"/>
  <c r="L285" i="9"/>
  <c r="O285" i="9" s="1"/>
  <c r="P284" i="9"/>
  <c r="O284" i="9"/>
  <c r="N282" i="9"/>
  <c r="N280" i="9" s="1"/>
  <c r="M282" i="9"/>
  <c r="M280" i="9" s="1"/>
  <c r="P280" i="9" s="1"/>
  <c r="L282" i="9"/>
  <c r="O282" i="9" s="1"/>
  <c r="P281" i="9"/>
  <c r="O281" i="9"/>
  <c r="O278" i="9"/>
  <c r="N278" i="9"/>
  <c r="M278" i="9"/>
  <c r="L278" i="9"/>
  <c r="J276" i="9"/>
  <c r="I271" i="9"/>
  <c r="K271" i="9" s="1"/>
  <c r="N269" i="9"/>
  <c r="N267" i="9" s="1"/>
  <c r="M269" i="9"/>
  <c r="L269" i="9"/>
  <c r="L267" i="9" s="1"/>
  <c r="O267" i="9" s="1"/>
  <c r="P268" i="9"/>
  <c r="O268" i="9"/>
  <c r="N266" i="9"/>
  <c r="M266" i="9"/>
  <c r="L266" i="9"/>
  <c r="L264" i="9" s="1"/>
  <c r="P265" i="9"/>
  <c r="O265" i="9"/>
  <c r="P262" i="9"/>
  <c r="N262" i="9"/>
  <c r="M262" i="9"/>
  <c r="L262" i="9"/>
  <c r="J260" i="9"/>
  <c r="K258" i="9"/>
  <c r="K257" i="9"/>
  <c r="I255" i="9"/>
  <c r="L253" i="9"/>
  <c r="L252" i="9"/>
  <c r="L251" i="9"/>
  <c r="L250" i="9"/>
  <c r="P249" i="9"/>
  <c r="N249" i="9"/>
  <c r="J248" i="9"/>
  <c r="K247" i="9"/>
  <c r="K246" i="9"/>
  <c r="I244" i="9"/>
  <c r="L242" i="9"/>
  <c r="L241" i="9"/>
  <c r="L240" i="9"/>
  <c r="L239" i="9"/>
  <c r="P238" i="9"/>
  <c r="N238" i="9"/>
  <c r="N227" i="9" s="1"/>
  <c r="J237" i="9"/>
  <c r="K236" i="9"/>
  <c r="J236" i="9"/>
  <c r="I236" i="9"/>
  <c r="K235" i="9"/>
  <c r="J235" i="9"/>
  <c r="I235" i="9"/>
  <c r="J233" i="9"/>
  <c r="N231" i="9"/>
  <c r="N230" i="9"/>
  <c r="N229" i="9"/>
  <c r="N228" i="9"/>
  <c r="I225" i="9"/>
  <c r="K225" i="9" s="1"/>
  <c r="I224" i="9"/>
  <c r="K224" i="9" s="1"/>
  <c r="I223" i="9"/>
  <c r="K223" i="9" s="1"/>
  <c r="L220" i="9"/>
  <c r="L219" i="9"/>
  <c r="L218" i="9"/>
  <c r="P217" i="9"/>
  <c r="N217" i="9"/>
  <c r="J216" i="9"/>
  <c r="I215" i="9"/>
  <c r="K215" i="9" s="1"/>
  <c r="I214" i="9"/>
  <c r="K214" i="9" s="1"/>
  <c r="L212" i="9"/>
  <c r="L211" i="9"/>
  <c r="L210" i="9"/>
  <c r="P209" i="9"/>
  <c r="N209" i="9"/>
  <c r="J208" i="9"/>
  <c r="K207" i="9"/>
  <c r="K206" i="9"/>
  <c r="I204" i="9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M187" i="9" s="1"/>
  <c r="P187" i="9" s="1"/>
  <c r="L189" i="9"/>
  <c r="O189" i="9" s="1"/>
  <c r="P188" i="9"/>
  <c r="O188" i="9"/>
  <c r="N186" i="9"/>
  <c r="N184" i="9" s="1"/>
  <c r="M186" i="9"/>
  <c r="M184" i="9" s="1"/>
  <c r="L186" i="9"/>
  <c r="L184" i="9" s="1"/>
  <c r="P185" i="9"/>
  <c r="O185" i="9"/>
  <c r="P182" i="9"/>
  <c r="N182" i="9"/>
  <c r="M182" i="9"/>
  <c r="L182" i="9"/>
  <c r="J177" i="9"/>
  <c r="J164" i="9" s="1"/>
  <c r="I176" i="9"/>
  <c r="J174" i="9"/>
  <c r="N173" i="9"/>
  <c r="N171" i="9" s="1"/>
  <c r="M173" i="9"/>
  <c r="M171" i="9" s="1"/>
  <c r="P171" i="9" s="1"/>
  <c r="L173" i="9"/>
  <c r="L171" i="9" s="1"/>
  <c r="O171" i="9" s="1"/>
  <c r="P172" i="9"/>
  <c r="O172" i="9"/>
  <c r="N170" i="9"/>
  <c r="N168" i="9" s="1"/>
  <c r="M170" i="9"/>
  <c r="M168" i="9" s="1"/>
  <c r="L170" i="9"/>
  <c r="P169" i="9"/>
  <c r="O169" i="9"/>
  <c r="P166" i="9"/>
  <c r="O166" i="9"/>
  <c r="N166" i="9"/>
  <c r="M166" i="9"/>
  <c r="L166" i="9"/>
  <c r="I159" i="9"/>
  <c r="K159" i="9" s="1"/>
  <c r="N157" i="9"/>
  <c r="N155" i="9" s="1"/>
  <c r="M157" i="9"/>
  <c r="P157" i="9" s="1"/>
  <c r="L157" i="9"/>
  <c r="L155" i="9" s="1"/>
  <c r="O155" i="9" s="1"/>
  <c r="P156" i="9"/>
  <c r="O156" i="9"/>
  <c r="N154" i="9"/>
  <c r="M154" i="9"/>
  <c r="P154" i="9" s="1"/>
  <c r="L154" i="9"/>
  <c r="L152" i="9" s="1"/>
  <c r="O152" i="9" s="1"/>
  <c r="P153" i="9"/>
  <c r="O153" i="9"/>
  <c r="P150" i="9"/>
  <c r="N150" i="9"/>
  <c r="M150" i="9"/>
  <c r="L150" i="9"/>
  <c r="J148" i="9"/>
  <c r="I146" i="9"/>
  <c r="I145" i="9"/>
  <c r="I144" i="9"/>
  <c r="K144" i="9" s="1"/>
  <c r="N140" i="9"/>
  <c r="N138" i="9" s="1"/>
  <c r="M140" i="9"/>
  <c r="L140" i="9"/>
  <c r="L138" i="9" s="1"/>
  <c r="P139" i="9"/>
  <c r="O139" i="9"/>
  <c r="N137" i="9"/>
  <c r="N135" i="9" s="1"/>
  <c r="M137" i="9"/>
  <c r="L137" i="9"/>
  <c r="L135" i="9" s="1"/>
  <c r="P136" i="9"/>
  <c r="O136" i="9"/>
  <c r="O133" i="9"/>
  <c r="N133" i="9"/>
  <c r="M133" i="9"/>
  <c r="P133" i="9" s="1"/>
  <c r="L133" i="9"/>
  <c r="J130" i="9"/>
  <c r="N127" i="9"/>
  <c r="N125" i="9" s="1"/>
  <c r="M127" i="9"/>
  <c r="P127" i="9" s="1"/>
  <c r="L127" i="9"/>
  <c r="L125" i="9" s="1"/>
  <c r="O125" i="9" s="1"/>
  <c r="P126" i="9"/>
  <c r="O126" i="9"/>
  <c r="N124" i="9"/>
  <c r="N122" i="9" s="1"/>
  <c r="M124" i="9"/>
  <c r="P124" i="9" s="1"/>
  <c r="L124" i="9"/>
  <c r="L122" i="9" s="1"/>
  <c r="O122" i="9" s="1"/>
  <c r="P123" i="9"/>
  <c r="O123" i="9"/>
  <c r="P120" i="9"/>
  <c r="N120" i="9"/>
  <c r="M120" i="9"/>
  <c r="L120" i="9"/>
  <c r="I116" i="9"/>
  <c r="I115" i="9"/>
  <c r="K115" i="9" s="1"/>
  <c r="I114" i="9"/>
  <c r="K114" i="9" s="1"/>
  <c r="I113" i="9"/>
  <c r="K113" i="9" s="1"/>
  <c r="J112" i="9"/>
  <c r="J111" i="9"/>
  <c r="I111" i="9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I99" i="9"/>
  <c r="K99" i="9" s="1"/>
  <c r="J98" i="9"/>
  <c r="I98" i="9"/>
  <c r="I86" i="9" s="1"/>
  <c r="K86" i="9" s="1"/>
  <c r="N96" i="9"/>
  <c r="N94" i="9" s="1"/>
  <c r="M96" i="9"/>
  <c r="M94" i="9" s="1"/>
  <c r="P94" i="9" s="1"/>
  <c r="L96" i="9"/>
  <c r="O96" i="9" s="1"/>
  <c r="P95" i="9"/>
  <c r="O95" i="9"/>
  <c r="N93" i="9"/>
  <c r="N91" i="9" s="1"/>
  <c r="M93" i="9"/>
  <c r="M91" i="9" s="1"/>
  <c r="L93" i="9"/>
  <c r="P92" i="9"/>
  <c r="O92" i="9"/>
  <c r="P89" i="9"/>
  <c r="N89" i="9"/>
  <c r="M89" i="9"/>
  <c r="L89" i="9"/>
  <c r="J87" i="9"/>
  <c r="I87" i="9"/>
  <c r="K87" i="9" s="1"/>
  <c r="J86" i="9"/>
  <c r="I84" i="9"/>
  <c r="K84" i="9" s="1"/>
  <c r="I83" i="9"/>
  <c r="I82" i="9"/>
  <c r="K82" i="9" s="1"/>
  <c r="I81" i="9"/>
  <c r="K81" i="9" s="1"/>
  <c r="I80" i="9"/>
  <c r="I79" i="9"/>
  <c r="K79" i="9" s="1"/>
  <c r="I78" i="9"/>
  <c r="K78" i="9" s="1"/>
  <c r="J77" i="9"/>
  <c r="J65" i="9" s="1"/>
  <c r="J76" i="9"/>
  <c r="J64" i="9" s="1"/>
  <c r="N74" i="9"/>
  <c r="N72" i="9" s="1"/>
  <c r="M74" i="9"/>
  <c r="L74" i="9"/>
  <c r="L72" i="9" s="1"/>
  <c r="O72" i="9" s="1"/>
  <c r="P73" i="9"/>
  <c r="O73" i="9"/>
  <c r="N71" i="9"/>
  <c r="N69" i="9" s="1"/>
  <c r="M71" i="9"/>
  <c r="L71" i="9"/>
  <c r="L69" i="9" s="1"/>
  <c r="P70" i="9"/>
  <c r="O70" i="9"/>
  <c r="O67" i="9"/>
  <c r="N67" i="9"/>
  <c r="M67" i="9"/>
  <c r="P67" i="9" s="1"/>
  <c r="L67" i="9"/>
  <c r="N61" i="9"/>
  <c r="N59" i="9" s="1"/>
  <c r="M61" i="9"/>
  <c r="M59" i="9" s="1"/>
  <c r="P59" i="9" s="1"/>
  <c r="L61" i="9"/>
  <c r="L59" i="9" s="1"/>
  <c r="O59" i="9" s="1"/>
  <c r="P60" i="9"/>
  <c r="O60" i="9"/>
  <c r="N58" i="9"/>
  <c r="M58" i="9"/>
  <c r="L58" i="9"/>
  <c r="L56" i="9" s="1"/>
  <c r="P57" i="9"/>
  <c r="O57" i="9"/>
  <c r="N54" i="9"/>
  <c r="M54" i="9"/>
  <c r="P54" i="9" s="1"/>
  <c r="L54" i="9"/>
  <c r="N49" i="9"/>
  <c r="N47" i="9" s="1"/>
  <c r="M49" i="9"/>
  <c r="P49" i="9" s="1"/>
  <c r="L49" i="9"/>
  <c r="P48" i="9"/>
  <c r="O48" i="9"/>
  <c r="N46" i="9"/>
  <c r="N44" i="9" s="1"/>
  <c r="M46" i="9"/>
  <c r="L46" i="9"/>
  <c r="L44" i="9" s="1"/>
  <c r="P45" i="9"/>
  <c r="O45" i="9"/>
  <c r="O42" i="9"/>
  <c r="N42" i="9"/>
  <c r="M42" i="9"/>
  <c r="P42" i="9" s="1"/>
  <c r="L42" i="9"/>
  <c r="N36" i="9"/>
  <c r="M36" i="9"/>
  <c r="P36" i="9" s="1"/>
  <c r="N35" i="9"/>
  <c r="M35" i="9"/>
  <c r="M34" i="9" s="1"/>
  <c r="P34" i="9" s="1"/>
  <c r="L35" i="9"/>
  <c r="O35" i="9" s="1"/>
  <c r="N33" i="9"/>
  <c r="N30" i="9" s="1"/>
  <c r="N32" i="9"/>
  <c r="M32" i="9"/>
  <c r="P32" i="9" s="1"/>
  <c r="L32" i="9"/>
  <c r="O32" i="9" s="1"/>
  <c r="L29" i="9"/>
  <c r="O29" i="9" s="1"/>
  <c r="P25" i="9"/>
  <c r="N25" i="9"/>
  <c r="M25" i="9"/>
  <c r="L25" i="9"/>
  <c r="O25" i="9" s="1"/>
  <c r="P22" i="9"/>
  <c r="N22" i="9"/>
  <c r="M22" i="9"/>
  <c r="L22" i="9"/>
  <c r="O22" i="9" s="1"/>
  <c r="P19" i="9"/>
  <c r="O19" i="9"/>
  <c r="M19" i="9"/>
  <c r="L19" i="9"/>
  <c r="M15" i="9"/>
  <c r="P15" i="9" s="1"/>
  <c r="L15" i="9"/>
  <c r="O15" i="9" s="1"/>
  <c r="P12" i="9"/>
  <c r="O12" i="9"/>
  <c r="N12" i="9"/>
  <c r="M12" i="9"/>
  <c r="L12" i="9"/>
  <c r="M9" i="9"/>
  <c r="P9" i="9" s="1"/>
  <c r="L9" i="9"/>
  <c r="O9" i="9" s="1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N815" i="8"/>
  <c r="M815" i="8"/>
  <c r="L815" i="8"/>
  <c r="O815" i="8" s="1"/>
  <c r="P810" i="8"/>
  <c r="O810" i="8"/>
  <c r="N810" i="8"/>
  <c r="N807" i="8" s="1"/>
  <c r="N805" i="8" s="1"/>
  <c r="P809" i="8"/>
  <c r="O809" i="8"/>
  <c r="P808" i="8"/>
  <c r="N808" i="8"/>
  <c r="M808" i="8"/>
  <c r="L808" i="8"/>
  <c r="O808" i="8" s="1"/>
  <c r="O807" i="8"/>
  <c r="M807" i="8"/>
  <c r="L807" i="8"/>
  <c r="P806" i="8"/>
  <c r="N806" i="8"/>
  <c r="M806" i="8"/>
  <c r="L806" i="8"/>
  <c r="K804" i="8"/>
  <c r="J804" i="8"/>
  <c r="K802" i="8"/>
  <c r="J801" i="8"/>
  <c r="J800" i="8"/>
  <c r="J785" i="8" s="1"/>
  <c r="I800" i="8"/>
  <c r="P798" i="8"/>
  <c r="O798" i="8"/>
  <c r="P797" i="8"/>
  <c r="O797" i="8"/>
  <c r="O796" i="8"/>
  <c r="N796" i="8"/>
  <c r="M796" i="8"/>
  <c r="P796" i="8" s="1"/>
  <c r="L796" i="8"/>
  <c r="P791" i="8"/>
  <c r="N791" i="8"/>
  <c r="N788" i="8" s="1"/>
  <c r="L791" i="8"/>
  <c r="O791" i="8" s="1"/>
  <c r="P790" i="8"/>
  <c r="O790" i="8"/>
  <c r="P789" i="8"/>
  <c r="N789" i="8"/>
  <c r="M789" i="8"/>
  <c r="M788" i="8"/>
  <c r="P787" i="8"/>
  <c r="N787" i="8"/>
  <c r="N786" i="8" s="1"/>
  <c r="M787" i="8"/>
  <c r="L787" i="8"/>
  <c r="P782" i="8"/>
  <c r="O782" i="8"/>
  <c r="P781" i="8"/>
  <c r="O781" i="8"/>
  <c r="O780" i="8"/>
  <c r="N780" i="8"/>
  <c r="M780" i="8"/>
  <c r="P780" i="8" s="1"/>
  <c r="L780" i="8"/>
  <c r="P775" i="8"/>
  <c r="O775" i="8"/>
  <c r="N775" i="8"/>
  <c r="N773" i="8" s="1"/>
  <c r="P774" i="8"/>
  <c r="O774" i="8"/>
  <c r="O773" i="8"/>
  <c r="M773" i="8"/>
  <c r="P773" i="8" s="1"/>
  <c r="L773" i="8"/>
  <c r="P772" i="8"/>
  <c r="N772" i="8"/>
  <c r="N770" i="8" s="1"/>
  <c r="M772" i="8"/>
  <c r="L772" i="8"/>
  <c r="O772" i="8" s="1"/>
  <c r="O771" i="8"/>
  <c r="N771" i="8"/>
  <c r="M771" i="8"/>
  <c r="L771" i="8"/>
  <c r="L770" i="8"/>
  <c r="O770" i="8" s="1"/>
  <c r="K769" i="8"/>
  <c r="J769" i="8"/>
  <c r="P766" i="8"/>
  <c r="O766" i="8"/>
  <c r="P765" i="8"/>
  <c r="O765" i="8"/>
  <c r="O764" i="8"/>
  <c r="N764" i="8"/>
  <c r="M764" i="8"/>
  <c r="P764" i="8" s="1"/>
  <c r="L764" i="8"/>
  <c r="P759" i="8"/>
  <c r="O759" i="8"/>
  <c r="N759" i="8"/>
  <c r="N757" i="8" s="1"/>
  <c r="P758" i="8"/>
  <c r="O758" i="8"/>
  <c r="O757" i="8"/>
  <c r="M757" i="8"/>
  <c r="P757" i="8" s="1"/>
  <c r="L757" i="8"/>
  <c r="P756" i="8"/>
  <c r="N756" i="8"/>
  <c r="N754" i="8" s="1"/>
  <c r="M756" i="8"/>
  <c r="L756" i="8"/>
  <c r="O756" i="8" s="1"/>
  <c r="O755" i="8"/>
  <c r="N755" i="8"/>
  <c r="M755" i="8"/>
  <c r="L755" i="8"/>
  <c r="L754" i="8"/>
  <c r="O754" i="8" s="1"/>
  <c r="K753" i="8"/>
  <c r="J753" i="8"/>
  <c r="P749" i="8"/>
  <c r="O749" i="8"/>
  <c r="P748" i="8"/>
  <c r="O748" i="8"/>
  <c r="O747" i="8"/>
  <c r="N747" i="8"/>
  <c r="M747" i="8"/>
  <c r="P747" i="8" s="1"/>
  <c r="L747" i="8"/>
  <c r="P742" i="8"/>
  <c r="O742" i="8"/>
  <c r="N742" i="8"/>
  <c r="N740" i="8" s="1"/>
  <c r="P741" i="8"/>
  <c r="O741" i="8"/>
  <c r="O740" i="8"/>
  <c r="M740" i="8"/>
  <c r="P740" i="8" s="1"/>
  <c r="L740" i="8"/>
  <c r="P739" i="8"/>
  <c r="N739" i="8"/>
  <c r="N737" i="8" s="1"/>
  <c r="M739" i="8"/>
  <c r="L739" i="8"/>
  <c r="O739" i="8" s="1"/>
  <c r="O738" i="8"/>
  <c r="N738" i="8"/>
  <c r="M738" i="8"/>
  <c r="L738" i="8"/>
  <c r="L737" i="8"/>
  <c r="O737" i="8" s="1"/>
  <c r="K736" i="8"/>
  <c r="J736" i="8"/>
  <c r="J729" i="8"/>
  <c r="I729" i="8"/>
  <c r="K729" i="8" s="1"/>
  <c r="J728" i="8"/>
  <c r="I728" i="8"/>
  <c r="K728" i="8" s="1"/>
  <c r="J727" i="8"/>
  <c r="J726" i="8"/>
  <c r="I726" i="8"/>
  <c r="K726" i="8" s="1"/>
  <c r="J725" i="8"/>
  <c r="I725" i="8"/>
  <c r="K725" i="8" s="1"/>
  <c r="J724" i="8"/>
  <c r="J723" i="8"/>
  <c r="I723" i="8"/>
  <c r="K723" i="8" s="1"/>
  <c r="I722" i="8"/>
  <c r="K722" i="8" s="1"/>
  <c r="I721" i="8"/>
  <c r="K721" i="8" s="1"/>
  <c r="J720" i="8"/>
  <c r="I720" i="8"/>
  <c r="K720" i="8" s="1"/>
  <c r="J719" i="8"/>
  <c r="J718" i="8"/>
  <c r="J708" i="8"/>
  <c r="I708" i="8"/>
  <c r="K708" i="8" s="1"/>
  <c r="I707" i="8"/>
  <c r="I704" i="8"/>
  <c r="J701" i="8"/>
  <c r="I701" i="8"/>
  <c r="K701" i="8" s="1"/>
  <c r="J700" i="8"/>
  <c r="I700" i="8"/>
  <c r="K700" i="8" s="1"/>
  <c r="J699" i="8"/>
  <c r="I699" i="8"/>
  <c r="K699" i="8" s="1"/>
  <c r="P697" i="8"/>
  <c r="O697" i="8"/>
  <c r="P696" i="8"/>
  <c r="O696" i="8"/>
  <c r="O695" i="8"/>
  <c r="N695" i="8"/>
  <c r="M695" i="8"/>
  <c r="P695" i="8" s="1"/>
  <c r="L695" i="8"/>
  <c r="N690" i="8"/>
  <c r="N688" i="8" s="1"/>
  <c r="L690" i="8"/>
  <c r="O690" i="8" s="1"/>
  <c r="N687" i="8"/>
  <c r="N685" i="8" s="1"/>
  <c r="O686" i="8"/>
  <c r="N686" i="8"/>
  <c r="M686" i="8"/>
  <c r="L686" i="8"/>
  <c r="J679" i="8"/>
  <c r="J678" i="8"/>
  <c r="I678" i="8"/>
  <c r="K678" i="8" s="1"/>
  <c r="J675" i="8"/>
  <c r="J669" i="8" s="1"/>
  <c r="J654" i="8" s="1"/>
  <c r="I671" i="8"/>
  <c r="K671" i="8" s="1"/>
  <c r="I670" i="8"/>
  <c r="K670" i="8" s="1"/>
  <c r="I669" i="8"/>
  <c r="K674" i="8" s="1"/>
  <c r="P667" i="8"/>
  <c r="O667" i="8"/>
  <c r="P666" i="8"/>
  <c r="O666" i="8"/>
  <c r="O665" i="8"/>
  <c r="N665" i="8"/>
  <c r="M665" i="8"/>
  <c r="P665" i="8" s="1"/>
  <c r="L665" i="8"/>
  <c r="P660" i="8"/>
  <c r="N660" i="8"/>
  <c r="N657" i="8" s="1"/>
  <c r="L660" i="8"/>
  <c r="L657" i="8" s="1"/>
  <c r="O657" i="8" s="1"/>
  <c r="P659" i="8"/>
  <c r="O659" i="8"/>
  <c r="P658" i="8"/>
  <c r="N658" i="8"/>
  <c r="M658" i="8"/>
  <c r="L658" i="8"/>
  <c r="O658" i="8" s="1"/>
  <c r="M657" i="8"/>
  <c r="P657" i="8" s="1"/>
  <c r="P656" i="8"/>
  <c r="N656" i="8"/>
  <c r="N655" i="8" s="1"/>
  <c r="M656" i="8"/>
  <c r="L656" i="8"/>
  <c r="O656" i="8" s="1"/>
  <c r="K652" i="8"/>
  <c r="J652" i="8"/>
  <c r="J651" i="8"/>
  <c r="J628" i="8" s="1"/>
  <c r="I651" i="8"/>
  <c r="K651" i="8" s="1"/>
  <c r="K650" i="8"/>
  <c r="J650" i="8"/>
  <c r="J649" i="8"/>
  <c r="I649" i="8"/>
  <c r="K649" i="8" s="1"/>
  <c r="K648" i="8"/>
  <c r="J648" i="8"/>
  <c r="J647" i="8"/>
  <c r="I647" i="8"/>
  <c r="K647" i="8" s="1"/>
  <c r="K646" i="8"/>
  <c r="J646" i="8"/>
  <c r="K645" i="8"/>
  <c r="J645" i="8"/>
  <c r="I644" i="8"/>
  <c r="K644" i="8" s="1"/>
  <c r="I643" i="8"/>
  <c r="K643" i="8" s="1"/>
  <c r="P641" i="8"/>
  <c r="L641" i="8"/>
  <c r="O641" i="8" s="1"/>
  <c r="P640" i="8"/>
  <c r="O640" i="8"/>
  <c r="N639" i="8"/>
  <c r="M639" i="8"/>
  <c r="P639" i="8" s="1"/>
  <c r="P634" i="8"/>
  <c r="N634" i="8"/>
  <c r="N631" i="8" s="1"/>
  <c r="L634" i="8"/>
  <c r="O634" i="8" s="1"/>
  <c r="P633" i="8"/>
  <c r="O633" i="8"/>
  <c r="P632" i="8"/>
  <c r="M632" i="8"/>
  <c r="M631" i="8"/>
  <c r="P630" i="8"/>
  <c r="N630" i="8"/>
  <c r="N629" i="8" s="1"/>
  <c r="M630" i="8"/>
  <c r="L630" i="8"/>
  <c r="J621" i="8"/>
  <c r="I621" i="8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5" i="8"/>
  <c r="J593" i="8" s="1"/>
  <c r="J592" i="8" s="1"/>
  <c r="J594" i="8"/>
  <c r="I594" i="8"/>
  <c r="K594" i="8" s="1"/>
  <c r="I593" i="8"/>
  <c r="J583" i="8"/>
  <c r="J577" i="8" s="1"/>
  <c r="J582" i="8"/>
  <c r="I577" i="8"/>
  <c r="K577" i="8" s="1"/>
  <c r="J576" i="8"/>
  <c r="J559" i="8" s="1"/>
  <c r="J543" i="8" s="1"/>
  <c r="I576" i="8"/>
  <c r="I559" i="8" s="1"/>
  <c r="J569" i="8"/>
  <c r="I569" i="8"/>
  <c r="K569" i="8" s="1"/>
  <c r="J568" i="8"/>
  <c r="I568" i="8"/>
  <c r="J561" i="8"/>
  <c r="I561" i="8"/>
  <c r="K561" i="8" s="1"/>
  <c r="J560" i="8"/>
  <c r="I560" i="8"/>
  <c r="P557" i="8"/>
  <c r="L557" i="8"/>
  <c r="P556" i="8"/>
  <c r="O556" i="8"/>
  <c r="P555" i="8"/>
  <c r="N555" i="8"/>
  <c r="M555" i="8"/>
  <c r="L555" i="8"/>
  <c r="O555" i="8" s="1"/>
  <c r="N549" i="8"/>
  <c r="L549" i="8"/>
  <c r="M549" i="8" s="1"/>
  <c r="P549" i="8" s="1"/>
  <c r="P548" i="8"/>
  <c r="O548" i="8"/>
  <c r="N547" i="8"/>
  <c r="N546" i="8"/>
  <c r="P545" i="8"/>
  <c r="N545" i="8"/>
  <c r="N544" i="8" s="1"/>
  <c r="M545" i="8"/>
  <c r="L545" i="8"/>
  <c r="O545" i="8" s="1"/>
  <c r="I542" i="8"/>
  <c r="K542" i="8" s="1"/>
  <c r="I541" i="8"/>
  <c r="K541" i="8" s="1"/>
  <c r="I540" i="8"/>
  <c r="K540" i="8" s="1"/>
  <c r="I539" i="8"/>
  <c r="K539" i="8" s="1"/>
  <c r="I538" i="8"/>
  <c r="K538" i="8" s="1"/>
  <c r="I537" i="8"/>
  <c r="K537" i="8" s="1"/>
  <c r="P535" i="8"/>
  <c r="L535" i="8"/>
  <c r="O535" i="8" s="1"/>
  <c r="P534" i="8"/>
  <c r="O534" i="8"/>
  <c r="N533" i="8"/>
  <c r="M533" i="8"/>
  <c r="P533" i="8" s="1"/>
  <c r="P528" i="8"/>
  <c r="N528" i="8"/>
  <c r="N525" i="8" s="1"/>
  <c r="L528" i="8"/>
  <c r="O528" i="8" s="1"/>
  <c r="P527" i="8"/>
  <c r="O527" i="8"/>
  <c r="P526" i="8"/>
  <c r="N526" i="8"/>
  <c r="M526" i="8"/>
  <c r="L526" i="8"/>
  <c r="O526" i="8" s="1"/>
  <c r="M525" i="8"/>
  <c r="P525" i="8" s="1"/>
  <c r="P524" i="8"/>
  <c r="N524" i="8"/>
  <c r="N523" i="8" s="1"/>
  <c r="M524" i="8"/>
  <c r="L524" i="8"/>
  <c r="M523" i="8"/>
  <c r="P523" i="8" s="1"/>
  <c r="K517" i="8"/>
  <c r="J517" i="8"/>
  <c r="J501" i="8" s="1"/>
  <c r="K516" i="8"/>
  <c r="P514" i="8"/>
  <c r="O514" i="8"/>
  <c r="P513" i="8"/>
  <c r="O513" i="8"/>
  <c r="P512" i="8"/>
  <c r="N512" i="8"/>
  <c r="M512" i="8"/>
  <c r="L512" i="8"/>
  <c r="O512" i="8" s="1"/>
  <c r="P507" i="8"/>
  <c r="O507" i="8"/>
  <c r="N507" i="8"/>
  <c r="N504" i="8" s="1"/>
  <c r="P506" i="8"/>
  <c r="O506" i="8"/>
  <c r="P505" i="8"/>
  <c r="N505" i="8"/>
  <c r="M505" i="8"/>
  <c r="L505" i="8"/>
  <c r="O505" i="8" s="1"/>
  <c r="O504" i="8"/>
  <c r="M504" i="8"/>
  <c r="L504" i="8"/>
  <c r="P503" i="8"/>
  <c r="N503" i="8"/>
  <c r="M503" i="8"/>
  <c r="L503" i="8"/>
  <c r="K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O479" i="8" s="1"/>
  <c r="P478" i="8"/>
  <c r="O478" i="8"/>
  <c r="N477" i="8"/>
  <c r="M477" i="8"/>
  <c r="P477" i="8" s="1"/>
  <c r="N472" i="8"/>
  <c r="L472" i="8"/>
  <c r="M472" i="8" s="1"/>
  <c r="M469" i="8" s="1"/>
  <c r="P471" i="8"/>
  <c r="O471" i="8"/>
  <c r="P468" i="8"/>
  <c r="O468" i="8"/>
  <c r="N468" i="8"/>
  <c r="M468" i="8"/>
  <c r="L468" i="8"/>
  <c r="J466" i="8"/>
  <c r="I466" i="8"/>
  <c r="K466" i="8" s="1"/>
  <c r="J465" i="8"/>
  <c r="I465" i="8"/>
  <c r="K465" i="8" s="1"/>
  <c r="I464" i="8"/>
  <c r="I463" i="8"/>
  <c r="I462" i="8"/>
  <c r="I443" i="8" s="1"/>
  <c r="K443" i="8" s="1"/>
  <c r="I460" i="8"/>
  <c r="K460" i="8" s="1"/>
  <c r="K458" i="8"/>
  <c r="P456" i="8"/>
  <c r="L456" i="8"/>
  <c r="L454" i="8" s="1"/>
  <c r="O454" i="8" s="1"/>
  <c r="P455" i="8"/>
  <c r="O455" i="8"/>
  <c r="N454" i="8"/>
  <c r="M454" i="8"/>
  <c r="P454" i="8" s="1"/>
  <c r="N449" i="8"/>
  <c r="L449" i="8"/>
  <c r="M449" i="8" s="1"/>
  <c r="P448" i="8"/>
  <c r="O448" i="8"/>
  <c r="N447" i="8"/>
  <c r="N446" i="8"/>
  <c r="N444" i="8" s="1"/>
  <c r="N445" i="8"/>
  <c r="M445" i="8"/>
  <c r="L445" i="8"/>
  <c r="J443" i="8"/>
  <c r="J442" i="8"/>
  <c r="I441" i="8"/>
  <c r="K441" i="8" s="1"/>
  <c r="I440" i="8"/>
  <c r="K440" i="8" s="1"/>
  <c r="I439" i="8"/>
  <c r="K439" i="8" s="1"/>
  <c r="I438" i="8"/>
  <c r="I437" i="8"/>
  <c r="K437" i="8" s="1"/>
  <c r="I435" i="8"/>
  <c r="J434" i="8"/>
  <c r="J418" i="8" s="1"/>
  <c r="P431" i="8"/>
  <c r="L431" i="8"/>
  <c r="O431" i="8" s="1"/>
  <c r="P430" i="8"/>
  <c r="O430" i="8"/>
  <c r="P429" i="8"/>
  <c r="N429" i="8"/>
  <c r="M429" i="8"/>
  <c r="L429" i="8"/>
  <c r="O429" i="8" s="1"/>
  <c r="N424" i="8"/>
  <c r="L424" i="8"/>
  <c r="M424" i="8" s="1"/>
  <c r="M422" i="8" s="1"/>
  <c r="P422" i="8" s="1"/>
  <c r="P423" i="8"/>
  <c r="O423" i="8"/>
  <c r="N422" i="8"/>
  <c r="N421" i="8"/>
  <c r="O420" i="8"/>
  <c r="N420" i="8"/>
  <c r="N419" i="8" s="1"/>
  <c r="M420" i="8"/>
  <c r="P420" i="8" s="1"/>
  <c r="L420" i="8"/>
  <c r="K413" i="8"/>
  <c r="K412" i="8"/>
  <c r="N410" i="8"/>
  <c r="N408" i="8" s="1"/>
  <c r="M410" i="8"/>
  <c r="P410" i="8" s="1"/>
  <c r="L410" i="8"/>
  <c r="O410" i="8" s="1"/>
  <c r="P409" i="8"/>
  <c r="O409" i="8"/>
  <c r="N407" i="8"/>
  <c r="M407" i="8"/>
  <c r="P407" i="8" s="1"/>
  <c r="L407" i="8"/>
  <c r="P406" i="8"/>
  <c r="O406" i="8"/>
  <c r="P403" i="8"/>
  <c r="N403" i="8"/>
  <c r="M403" i="8"/>
  <c r="L403" i="8"/>
  <c r="J401" i="8"/>
  <c r="I401" i="8"/>
  <c r="K401" i="8" s="1"/>
  <c r="K400" i="8"/>
  <c r="K399" i="8"/>
  <c r="N397" i="8"/>
  <c r="M397" i="8"/>
  <c r="M395" i="8" s="1"/>
  <c r="P395" i="8" s="1"/>
  <c r="L397" i="8"/>
  <c r="O397" i="8" s="1"/>
  <c r="P396" i="8"/>
  <c r="O396" i="8"/>
  <c r="N394" i="8"/>
  <c r="N392" i="8" s="1"/>
  <c r="M394" i="8"/>
  <c r="L394" i="8"/>
  <c r="P393" i="8"/>
  <c r="O393" i="8"/>
  <c r="O390" i="8"/>
  <c r="N390" i="8"/>
  <c r="M390" i="8"/>
  <c r="P390" i="8" s="1"/>
  <c r="L390" i="8"/>
  <c r="J388" i="8"/>
  <c r="I388" i="8"/>
  <c r="K388" i="8" s="1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I362" i="8"/>
  <c r="K362" i="8" s="1"/>
  <c r="K361" i="8"/>
  <c r="J361" i="8"/>
  <c r="I360" i="8"/>
  <c r="K360" i="8" s="1"/>
  <c r="I359" i="8"/>
  <c r="K359" i="8" s="1"/>
  <c r="K358" i="8"/>
  <c r="J358" i="8"/>
  <c r="J355" i="8"/>
  <c r="I355" i="8"/>
  <c r="K355" i="8" s="1"/>
  <c r="N353" i="8"/>
  <c r="N351" i="8" s="1"/>
  <c r="M353" i="8"/>
  <c r="M351" i="8" s="1"/>
  <c r="L353" i="8"/>
  <c r="P352" i="8"/>
  <c r="O352" i="8"/>
  <c r="N350" i="8"/>
  <c r="M350" i="8"/>
  <c r="L350" i="8"/>
  <c r="L348" i="8" s="1"/>
  <c r="P349" i="8"/>
  <c r="O349" i="8"/>
  <c r="O346" i="8"/>
  <c r="N346" i="8"/>
  <c r="M346" i="8"/>
  <c r="L346" i="8"/>
  <c r="J343" i="8"/>
  <c r="J342" i="8"/>
  <c r="I340" i="8"/>
  <c r="K340" i="8" s="1"/>
  <c r="J338" i="8"/>
  <c r="I338" i="8"/>
  <c r="N336" i="8"/>
  <c r="M336" i="8"/>
  <c r="M334" i="8" s="1"/>
  <c r="P334" i="8" s="1"/>
  <c r="L336" i="8"/>
  <c r="O336" i="8" s="1"/>
  <c r="P335" i="8"/>
  <c r="O335" i="8"/>
  <c r="N333" i="8"/>
  <c r="N331" i="8" s="1"/>
  <c r="M333" i="8"/>
  <c r="L333" i="8"/>
  <c r="P332" i="8"/>
  <c r="O332" i="8"/>
  <c r="O329" i="8"/>
  <c r="N329" i="8"/>
  <c r="M329" i="8"/>
  <c r="P329" i="8" s="1"/>
  <c r="L329" i="8"/>
  <c r="I327" i="8"/>
  <c r="I325" i="8"/>
  <c r="K325" i="8" s="1"/>
  <c r="N323" i="8"/>
  <c r="N321" i="8" s="1"/>
  <c r="M323" i="8"/>
  <c r="P323" i="8" s="1"/>
  <c r="L323" i="8"/>
  <c r="P322" i="8"/>
  <c r="O322" i="8"/>
  <c r="N320" i="8"/>
  <c r="M320" i="8"/>
  <c r="P320" i="8" s="1"/>
  <c r="L320" i="8"/>
  <c r="O320" i="8" s="1"/>
  <c r="P319" i="8"/>
  <c r="O319" i="8"/>
  <c r="O316" i="8"/>
  <c r="N316" i="8"/>
  <c r="M316" i="8"/>
  <c r="L316" i="8"/>
  <c r="J314" i="8"/>
  <c r="I312" i="8"/>
  <c r="K312" i="8" s="1"/>
  <c r="I311" i="8"/>
  <c r="K311" i="8" s="1"/>
  <c r="I310" i="8"/>
  <c r="K310" i="8" s="1"/>
  <c r="I309" i="8"/>
  <c r="K309" i="8" s="1"/>
  <c r="N306" i="8"/>
  <c r="N304" i="8" s="1"/>
  <c r="M306" i="8"/>
  <c r="P306" i="8" s="1"/>
  <c r="L306" i="8"/>
  <c r="P305" i="8"/>
  <c r="O305" i="8"/>
  <c r="N303" i="8"/>
  <c r="N301" i="8" s="1"/>
  <c r="M303" i="8"/>
  <c r="M300" i="8" s="1"/>
  <c r="L303" i="8"/>
  <c r="P302" i="8"/>
  <c r="O302" i="8"/>
  <c r="O299" i="8"/>
  <c r="N299" i="8"/>
  <c r="M299" i="8"/>
  <c r="P299" i="8" s="1"/>
  <c r="L299" i="8"/>
  <c r="J297" i="8"/>
  <c r="I294" i="8"/>
  <c r="K294" i="8" s="1"/>
  <c r="I293" i="8"/>
  <c r="K293" i="8" s="1"/>
  <c r="I291" i="8"/>
  <c r="K291" i="8" s="1"/>
  <c r="I290" i="8"/>
  <c r="K290" i="8" s="1"/>
  <c r="I288" i="8"/>
  <c r="I287" i="8"/>
  <c r="K287" i="8" s="1"/>
  <c r="N285" i="8"/>
  <c r="N283" i="8" s="1"/>
  <c r="M285" i="8"/>
  <c r="L285" i="8"/>
  <c r="O285" i="8" s="1"/>
  <c r="P284" i="8"/>
  <c r="O284" i="8"/>
  <c r="N282" i="8"/>
  <c r="M282" i="8"/>
  <c r="L282" i="8"/>
  <c r="P281" i="8"/>
  <c r="O281" i="8"/>
  <c r="P278" i="8"/>
  <c r="N278" i="8"/>
  <c r="M278" i="8"/>
  <c r="L278" i="8"/>
  <c r="J276" i="8"/>
  <c r="I271" i="8"/>
  <c r="K271" i="8" s="1"/>
  <c r="N269" i="8"/>
  <c r="N267" i="8" s="1"/>
  <c r="M269" i="8"/>
  <c r="P269" i="8" s="1"/>
  <c r="L269" i="8"/>
  <c r="P268" i="8"/>
  <c r="O268" i="8"/>
  <c r="N266" i="8"/>
  <c r="N264" i="8" s="1"/>
  <c r="M266" i="8"/>
  <c r="P266" i="8" s="1"/>
  <c r="L266" i="8"/>
  <c r="P265" i="8"/>
  <c r="O265" i="8"/>
  <c r="O262" i="8"/>
  <c r="N262" i="8"/>
  <c r="M262" i="8"/>
  <c r="P262" i="8" s="1"/>
  <c r="L262" i="8"/>
  <c r="J260" i="8"/>
  <c r="K258" i="8"/>
  <c r="K257" i="8"/>
  <c r="I255" i="8"/>
  <c r="I248" i="8" s="1"/>
  <c r="K248" i="8" s="1"/>
  <c r="L253" i="8"/>
  <c r="L252" i="8"/>
  <c r="L251" i="8"/>
  <c r="L250" i="8"/>
  <c r="P249" i="8"/>
  <c r="N249" i="8"/>
  <c r="J248" i="8"/>
  <c r="K247" i="8"/>
  <c r="K246" i="8"/>
  <c r="I244" i="8"/>
  <c r="K244" i="8" s="1"/>
  <c r="L242" i="8"/>
  <c r="L241" i="8"/>
  <c r="L240" i="8"/>
  <c r="L239" i="8"/>
  <c r="P238" i="8"/>
  <c r="N238" i="8"/>
  <c r="N227" i="8" s="1"/>
  <c r="J237" i="8"/>
  <c r="J236" i="8"/>
  <c r="I236" i="8"/>
  <c r="K236" i="8" s="1"/>
  <c r="J235" i="8"/>
  <c r="I235" i="8"/>
  <c r="K235" i="8" s="1"/>
  <c r="J233" i="8"/>
  <c r="N231" i="8"/>
  <c r="N230" i="8"/>
  <c r="N229" i="8"/>
  <c r="N228" i="8"/>
  <c r="J226" i="8"/>
  <c r="J180" i="8" s="1"/>
  <c r="I225" i="8"/>
  <c r="K225" i="8" s="1"/>
  <c r="I224" i="8"/>
  <c r="K224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I197" i="8" s="1"/>
  <c r="K197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M189" i="8"/>
  <c r="P189" i="8" s="1"/>
  <c r="L189" i="8"/>
  <c r="P188" i="8"/>
  <c r="O188" i="8"/>
  <c r="N186" i="8"/>
  <c r="N184" i="8" s="1"/>
  <c r="M186" i="8"/>
  <c r="L186" i="8"/>
  <c r="P185" i="8"/>
  <c r="O185" i="8"/>
  <c r="N182" i="8"/>
  <c r="M182" i="8"/>
  <c r="L182" i="8"/>
  <c r="O182" i="8" s="1"/>
  <c r="J177" i="8"/>
  <c r="I176" i="8"/>
  <c r="J174" i="8"/>
  <c r="N173" i="8"/>
  <c r="N171" i="8" s="1"/>
  <c r="M173" i="8"/>
  <c r="L173" i="8"/>
  <c r="P172" i="8"/>
  <c r="O172" i="8"/>
  <c r="N170" i="8"/>
  <c r="M170" i="8"/>
  <c r="M168" i="8" s="1"/>
  <c r="L170" i="8"/>
  <c r="P169" i="8"/>
  <c r="O169" i="8"/>
  <c r="O166" i="8"/>
  <c r="N166" i="8"/>
  <c r="M166" i="8"/>
  <c r="L166" i="8"/>
  <c r="J164" i="8"/>
  <c r="I159" i="8"/>
  <c r="I148" i="8" s="1"/>
  <c r="K148" i="8" s="1"/>
  <c r="N157" i="8"/>
  <c r="N155" i="8" s="1"/>
  <c r="M157" i="8"/>
  <c r="P157" i="8" s="1"/>
  <c r="L157" i="8"/>
  <c r="L155" i="8" s="1"/>
  <c r="O155" i="8" s="1"/>
  <c r="P156" i="8"/>
  <c r="O156" i="8"/>
  <c r="N154" i="8"/>
  <c r="N152" i="8" s="1"/>
  <c r="M154" i="8"/>
  <c r="P154" i="8" s="1"/>
  <c r="L154" i="8"/>
  <c r="L152" i="8" s="1"/>
  <c r="O152" i="8" s="1"/>
  <c r="P153" i="8"/>
  <c r="O153" i="8"/>
  <c r="O150" i="8"/>
  <c r="N150" i="8"/>
  <c r="M150" i="8"/>
  <c r="L150" i="8"/>
  <c r="J148" i="8"/>
  <c r="I146" i="8"/>
  <c r="I130" i="8" s="1"/>
  <c r="K130" i="8" s="1"/>
  <c r="I145" i="8"/>
  <c r="I143" i="8" s="1"/>
  <c r="K143" i="8" s="1"/>
  <c r="I144" i="8"/>
  <c r="K144" i="8" s="1"/>
  <c r="N140" i="8"/>
  <c r="N138" i="8" s="1"/>
  <c r="M140" i="8"/>
  <c r="P140" i="8" s="1"/>
  <c r="L140" i="8"/>
  <c r="O140" i="8" s="1"/>
  <c r="P139" i="8"/>
  <c r="O139" i="8"/>
  <c r="N137" i="8"/>
  <c r="M137" i="8"/>
  <c r="P137" i="8" s="1"/>
  <c r="L137" i="8"/>
  <c r="L135" i="8" s="1"/>
  <c r="O135" i="8" s="1"/>
  <c r="P136" i="8"/>
  <c r="O136" i="8"/>
  <c r="P133" i="8"/>
  <c r="N133" i="8"/>
  <c r="M133" i="8"/>
  <c r="L133" i="8"/>
  <c r="J130" i="8"/>
  <c r="N127" i="8"/>
  <c r="N125" i="8" s="1"/>
  <c r="M127" i="8"/>
  <c r="P127" i="8" s="1"/>
  <c r="L127" i="8"/>
  <c r="L125" i="8" s="1"/>
  <c r="O125" i="8" s="1"/>
  <c r="P126" i="8"/>
  <c r="O126" i="8"/>
  <c r="N124" i="8"/>
  <c r="N122" i="8" s="1"/>
  <c r="M124" i="8"/>
  <c r="P124" i="8" s="1"/>
  <c r="L124" i="8"/>
  <c r="P123" i="8"/>
  <c r="O123" i="8"/>
  <c r="O120" i="8"/>
  <c r="N120" i="8"/>
  <c r="M120" i="8"/>
  <c r="P120" i="8" s="1"/>
  <c r="L120" i="8"/>
  <c r="I116" i="8"/>
  <c r="K116" i="8" s="1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I99" i="8"/>
  <c r="I87" i="8" s="1"/>
  <c r="K87" i="8" s="1"/>
  <c r="J98" i="8"/>
  <c r="I98" i="8"/>
  <c r="I86" i="8" s="1"/>
  <c r="K86" i="8" s="1"/>
  <c r="N96" i="8"/>
  <c r="M96" i="8"/>
  <c r="P96" i="8" s="1"/>
  <c r="L96" i="8"/>
  <c r="P95" i="8"/>
  <c r="O95" i="8"/>
  <c r="N93" i="8"/>
  <c r="N91" i="8" s="1"/>
  <c r="M93" i="8"/>
  <c r="L93" i="8"/>
  <c r="L91" i="8" s="1"/>
  <c r="P92" i="8"/>
  <c r="O92" i="8"/>
  <c r="N89" i="8"/>
  <c r="M89" i="8"/>
  <c r="P89" i="8" s="1"/>
  <c r="L89" i="8"/>
  <c r="O89" i="8" s="1"/>
  <c r="J87" i="8"/>
  <c r="J86" i="8"/>
  <c r="I84" i="8"/>
  <c r="K84" i="8" s="1"/>
  <c r="I83" i="8"/>
  <c r="K83" i="8" s="1"/>
  <c r="I82" i="8"/>
  <c r="K82" i="8" s="1"/>
  <c r="I81" i="8"/>
  <c r="K81" i="8" s="1"/>
  <c r="I80" i="8"/>
  <c r="K80" i="8" s="1"/>
  <c r="I79" i="8"/>
  <c r="I78" i="8"/>
  <c r="J77" i="8"/>
  <c r="J76" i="8"/>
  <c r="N74" i="8"/>
  <c r="N72" i="8" s="1"/>
  <c r="M74" i="8"/>
  <c r="P74" i="8" s="1"/>
  <c r="L74" i="8"/>
  <c r="O74" i="8" s="1"/>
  <c r="P73" i="8"/>
  <c r="O73" i="8"/>
  <c r="N71" i="8"/>
  <c r="M71" i="8"/>
  <c r="P71" i="8" s="1"/>
  <c r="L71" i="8"/>
  <c r="O71" i="8" s="1"/>
  <c r="P70" i="8"/>
  <c r="O70" i="8"/>
  <c r="N67" i="8"/>
  <c r="M67" i="8"/>
  <c r="P67" i="8" s="1"/>
  <c r="L67" i="8"/>
  <c r="J65" i="8"/>
  <c r="J64" i="8"/>
  <c r="N61" i="8"/>
  <c r="M61" i="8"/>
  <c r="M59" i="8" s="1"/>
  <c r="L61" i="8"/>
  <c r="L59" i="8" s="1"/>
  <c r="P60" i="8"/>
  <c r="O60" i="8"/>
  <c r="N58" i="8"/>
  <c r="N56" i="8" s="1"/>
  <c r="M58" i="8"/>
  <c r="M56" i="8" s="1"/>
  <c r="L58" i="8"/>
  <c r="P57" i="8"/>
  <c r="O57" i="8"/>
  <c r="O54" i="8"/>
  <c r="N54" i="8"/>
  <c r="M54" i="8"/>
  <c r="P54" i="8" s="1"/>
  <c r="L54" i="8"/>
  <c r="N49" i="8"/>
  <c r="M49" i="8"/>
  <c r="P49" i="8" s="1"/>
  <c r="L49" i="8"/>
  <c r="L47" i="8" s="1"/>
  <c r="O47" i="8" s="1"/>
  <c r="P48" i="8"/>
  <c r="O48" i="8"/>
  <c r="N46" i="8"/>
  <c r="M46" i="8"/>
  <c r="L46" i="8"/>
  <c r="L44" i="8" s="1"/>
  <c r="P45" i="8"/>
  <c r="O45" i="8"/>
  <c r="P42" i="8"/>
  <c r="N42" i="8"/>
  <c r="M42" i="8"/>
  <c r="L42" i="8"/>
  <c r="O42" i="8" s="1"/>
  <c r="N36" i="8"/>
  <c r="M36" i="8"/>
  <c r="P36" i="8" s="1"/>
  <c r="P35" i="8"/>
  <c r="N35" i="8"/>
  <c r="N15" i="8" s="1"/>
  <c r="M35" i="8"/>
  <c r="L35" i="8"/>
  <c r="O35" i="8" s="1"/>
  <c r="N34" i="8"/>
  <c r="N33" i="8"/>
  <c r="N31" i="8" s="1"/>
  <c r="O32" i="8"/>
  <c r="N32" i="8"/>
  <c r="M32" i="8"/>
  <c r="M29" i="8" s="1"/>
  <c r="L32" i="8"/>
  <c r="N30" i="8"/>
  <c r="N29" i="8"/>
  <c r="N28" i="8" s="1"/>
  <c r="L29" i="8"/>
  <c r="O25" i="8"/>
  <c r="N25" i="8"/>
  <c r="M25" i="8"/>
  <c r="L25" i="8"/>
  <c r="L15" i="8" s="1"/>
  <c r="P22" i="8"/>
  <c r="N22" i="8"/>
  <c r="M22" i="8"/>
  <c r="L22" i="8"/>
  <c r="L12" i="8" s="1"/>
  <c r="O19" i="8"/>
  <c r="L19" i="8"/>
  <c r="P12" i="8"/>
  <c r="M12" i="8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N815" i="7"/>
  <c r="M815" i="7"/>
  <c r="L815" i="7"/>
  <c r="O815" i="7" s="1"/>
  <c r="P810" i="7"/>
  <c r="O810" i="7"/>
  <c r="N810" i="7"/>
  <c r="N807" i="7" s="1"/>
  <c r="N805" i="7" s="1"/>
  <c r="P809" i="7"/>
  <c r="O809" i="7"/>
  <c r="P808" i="7"/>
  <c r="N808" i="7"/>
  <c r="M808" i="7"/>
  <c r="L808" i="7"/>
  <c r="O808" i="7" s="1"/>
  <c r="O807" i="7"/>
  <c r="M807" i="7"/>
  <c r="L807" i="7"/>
  <c r="P806" i="7"/>
  <c r="N806" i="7"/>
  <c r="M806" i="7"/>
  <c r="L806" i="7"/>
  <c r="K804" i="7"/>
  <c r="J804" i="7"/>
  <c r="K802" i="7"/>
  <c r="J801" i="7"/>
  <c r="J800" i="7"/>
  <c r="I800" i="7"/>
  <c r="P798" i="7"/>
  <c r="O798" i="7"/>
  <c r="P797" i="7"/>
  <c r="O797" i="7"/>
  <c r="O796" i="7"/>
  <c r="N796" i="7"/>
  <c r="M796" i="7"/>
  <c r="P796" i="7" s="1"/>
  <c r="L796" i="7"/>
  <c r="P791" i="7"/>
  <c r="N791" i="7"/>
  <c r="N788" i="7" s="1"/>
  <c r="N786" i="7" s="1"/>
  <c r="L791" i="7"/>
  <c r="O791" i="7" s="1"/>
  <c r="P790" i="7"/>
  <c r="O790" i="7"/>
  <c r="P789" i="7"/>
  <c r="N789" i="7"/>
  <c r="M789" i="7"/>
  <c r="L789" i="7"/>
  <c r="O789" i="7" s="1"/>
  <c r="M788" i="7"/>
  <c r="P787" i="7"/>
  <c r="N787" i="7"/>
  <c r="M787" i="7"/>
  <c r="L787" i="7"/>
  <c r="J785" i="7"/>
  <c r="P782" i="7"/>
  <c r="O782" i="7"/>
  <c r="P781" i="7"/>
  <c r="O781" i="7"/>
  <c r="O780" i="7"/>
  <c r="N780" i="7"/>
  <c r="M780" i="7"/>
  <c r="P780" i="7" s="1"/>
  <c r="L780" i="7"/>
  <c r="P775" i="7"/>
  <c r="O775" i="7"/>
  <c r="N775" i="7"/>
  <c r="N773" i="7" s="1"/>
  <c r="P774" i="7"/>
  <c r="O774" i="7"/>
  <c r="O773" i="7"/>
  <c r="M773" i="7"/>
  <c r="P773" i="7" s="1"/>
  <c r="L773" i="7"/>
  <c r="P772" i="7"/>
  <c r="N772" i="7"/>
  <c r="N770" i="7" s="1"/>
  <c r="M772" i="7"/>
  <c r="L772" i="7"/>
  <c r="O772" i="7" s="1"/>
  <c r="O771" i="7"/>
  <c r="N771" i="7"/>
  <c r="M771" i="7"/>
  <c r="L771" i="7"/>
  <c r="L770" i="7"/>
  <c r="O770" i="7" s="1"/>
  <c r="K769" i="7"/>
  <c r="J769" i="7"/>
  <c r="P766" i="7"/>
  <c r="O766" i="7"/>
  <c r="P765" i="7"/>
  <c r="O765" i="7"/>
  <c r="O764" i="7"/>
  <c r="N764" i="7"/>
  <c r="M764" i="7"/>
  <c r="P764" i="7" s="1"/>
  <c r="L764" i="7"/>
  <c r="P759" i="7"/>
  <c r="O759" i="7"/>
  <c r="N759" i="7"/>
  <c r="N757" i="7" s="1"/>
  <c r="P758" i="7"/>
  <c r="O758" i="7"/>
  <c r="O757" i="7"/>
  <c r="M757" i="7"/>
  <c r="P757" i="7" s="1"/>
  <c r="L757" i="7"/>
  <c r="P756" i="7"/>
  <c r="N756" i="7"/>
  <c r="N754" i="7" s="1"/>
  <c r="M756" i="7"/>
  <c r="L756" i="7"/>
  <c r="O756" i="7" s="1"/>
  <c r="O755" i="7"/>
  <c r="N755" i="7"/>
  <c r="M755" i="7"/>
  <c r="L755" i="7"/>
  <c r="L754" i="7"/>
  <c r="O754" i="7" s="1"/>
  <c r="K753" i="7"/>
  <c r="J753" i="7"/>
  <c r="P749" i="7"/>
  <c r="O749" i="7"/>
  <c r="P748" i="7"/>
  <c r="O748" i="7"/>
  <c r="O747" i="7"/>
  <c r="N747" i="7"/>
  <c r="M747" i="7"/>
  <c r="P747" i="7" s="1"/>
  <c r="L747" i="7"/>
  <c r="P742" i="7"/>
  <c r="O742" i="7"/>
  <c r="N742" i="7"/>
  <c r="N740" i="7" s="1"/>
  <c r="P741" i="7"/>
  <c r="O741" i="7"/>
  <c r="O740" i="7"/>
  <c r="M740" i="7"/>
  <c r="P740" i="7" s="1"/>
  <c r="L740" i="7"/>
  <c r="P739" i="7"/>
  <c r="N739" i="7"/>
  <c r="N737" i="7" s="1"/>
  <c r="M739" i="7"/>
  <c r="L739" i="7"/>
  <c r="O739" i="7" s="1"/>
  <c r="O738" i="7"/>
  <c r="N738" i="7"/>
  <c r="M738" i="7"/>
  <c r="L738" i="7"/>
  <c r="L737" i="7"/>
  <c r="O737" i="7" s="1"/>
  <c r="K736" i="7"/>
  <c r="J736" i="7"/>
  <c r="J729" i="7"/>
  <c r="I729" i="7"/>
  <c r="K729" i="7" s="1"/>
  <c r="J728" i="7"/>
  <c r="I728" i="7"/>
  <c r="J727" i="7"/>
  <c r="J726" i="7"/>
  <c r="I726" i="7"/>
  <c r="J725" i="7"/>
  <c r="I725" i="7"/>
  <c r="J724" i="7"/>
  <c r="J723" i="7"/>
  <c r="I723" i="7"/>
  <c r="I722" i="7"/>
  <c r="I721" i="7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J699" i="7"/>
  <c r="I699" i="7"/>
  <c r="K699" i="7" s="1"/>
  <c r="P697" i="7"/>
  <c r="O697" i="7"/>
  <c r="P696" i="7"/>
  <c r="O696" i="7"/>
  <c r="O695" i="7"/>
  <c r="N695" i="7"/>
  <c r="M695" i="7"/>
  <c r="P695" i="7" s="1"/>
  <c r="L695" i="7"/>
  <c r="N690" i="7"/>
  <c r="N688" i="7" s="1"/>
  <c r="L690" i="7"/>
  <c r="O690" i="7" s="1"/>
  <c r="N687" i="7"/>
  <c r="N685" i="7" s="1"/>
  <c r="O686" i="7"/>
  <c r="N686" i="7"/>
  <c r="M686" i="7"/>
  <c r="L686" i="7"/>
  <c r="J679" i="7"/>
  <c r="J678" i="7"/>
  <c r="I678" i="7"/>
  <c r="K678" i="7" s="1"/>
  <c r="J675" i="7"/>
  <c r="J669" i="7" s="1"/>
  <c r="I671" i="7"/>
  <c r="K671" i="7" s="1"/>
  <c r="I670" i="7"/>
  <c r="K670" i="7" s="1"/>
  <c r="I669" i="7"/>
  <c r="K674" i="7" s="1"/>
  <c r="P667" i="7"/>
  <c r="O667" i="7"/>
  <c r="P666" i="7"/>
  <c r="O666" i="7"/>
  <c r="O665" i="7"/>
  <c r="N665" i="7"/>
  <c r="M665" i="7"/>
  <c r="P665" i="7" s="1"/>
  <c r="L665" i="7"/>
  <c r="N660" i="7"/>
  <c r="N658" i="7" s="1"/>
  <c r="L660" i="7"/>
  <c r="P659" i="7"/>
  <c r="O659" i="7"/>
  <c r="N657" i="7"/>
  <c r="O656" i="7"/>
  <c r="N656" i="7"/>
  <c r="M656" i="7"/>
  <c r="P656" i="7" s="1"/>
  <c r="L656" i="7"/>
  <c r="N655" i="7"/>
  <c r="K652" i="7"/>
  <c r="J652" i="7"/>
  <c r="J651" i="7"/>
  <c r="J628" i="7" s="1"/>
  <c r="I651" i="7"/>
  <c r="K650" i="7"/>
  <c r="J650" i="7"/>
  <c r="J649" i="7"/>
  <c r="I649" i="7"/>
  <c r="K649" i="7" s="1"/>
  <c r="K648" i="7"/>
  <c r="J648" i="7"/>
  <c r="J647" i="7"/>
  <c r="I647" i="7"/>
  <c r="K647" i="7" s="1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P639" i="7"/>
  <c r="N639" i="7"/>
  <c r="M639" i="7"/>
  <c r="L639" i="7"/>
  <c r="O639" i="7" s="1"/>
  <c r="P634" i="7"/>
  <c r="N634" i="7"/>
  <c r="L634" i="7"/>
  <c r="L632" i="7" s="1"/>
  <c r="O632" i="7" s="1"/>
  <c r="P633" i="7"/>
  <c r="O633" i="7"/>
  <c r="N632" i="7"/>
  <c r="M632" i="7"/>
  <c r="P632" i="7" s="1"/>
  <c r="P631" i="7"/>
  <c r="N631" i="7"/>
  <c r="N629" i="7" s="1"/>
  <c r="M631" i="7"/>
  <c r="O630" i="7"/>
  <c r="N630" i="7"/>
  <c r="M630" i="7"/>
  <c r="L630" i="7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4" i="7" s="1"/>
  <c r="J595" i="7"/>
  <c r="I594" i="7"/>
  <c r="J593" i="7"/>
  <c r="J592" i="7" s="1"/>
  <c r="I593" i="7"/>
  <c r="I592" i="7" s="1"/>
  <c r="J583" i="7"/>
  <c r="J582" i="7"/>
  <c r="J576" i="7" s="1"/>
  <c r="J577" i="7"/>
  <c r="I577" i="7"/>
  <c r="K577" i="7" s="1"/>
  <c r="I576" i="7"/>
  <c r="J569" i="7"/>
  <c r="I569" i="7"/>
  <c r="J568" i="7"/>
  <c r="I568" i="7"/>
  <c r="K568" i="7" s="1"/>
  <c r="J561" i="7"/>
  <c r="I561" i="7"/>
  <c r="J560" i="7"/>
  <c r="I560" i="7"/>
  <c r="K560" i="7" s="1"/>
  <c r="J559" i="7"/>
  <c r="J543" i="7" s="1"/>
  <c r="P557" i="7"/>
  <c r="L557" i="7"/>
  <c r="P556" i="7"/>
  <c r="O556" i="7"/>
  <c r="N555" i="7"/>
  <c r="M555" i="7"/>
  <c r="N549" i="7"/>
  <c r="N547" i="7" s="1"/>
  <c r="L549" i="7"/>
  <c r="P548" i="7"/>
  <c r="O548" i="7"/>
  <c r="N546" i="7"/>
  <c r="O545" i="7"/>
  <c r="N545" i="7"/>
  <c r="L545" i="7"/>
  <c r="N544" i="7"/>
  <c r="I542" i="7"/>
  <c r="K542" i="7" s="1"/>
  <c r="I541" i="7"/>
  <c r="K541" i="7" s="1"/>
  <c r="I540" i="7"/>
  <c r="K540" i="7" s="1"/>
  <c r="I539" i="7"/>
  <c r="I538" i="7"/>
  <c r="K538" i="7" s="1"/>
  <c r="I537" i="7"/>
  <c r="P535" i="7"/>
  <c r="L535" i="7"/>
  <c r="L533" i="7" s="1"/>
  <c r="O533" i="7" s="1"/>
  <c r="P534" i="7"/>
  <c r="O534" i="7"/>
  <c r="P533" i="7"/>
  <c r="N533" i="7"/>
  <c r="M533" i="7"/>
  <c r="P528" i="7"/>
  <c r="N528" i="7"/>
  <c r="L528" i="7"/>
  <c r="L526" i="7" s="1"/>
  <c r="O526" i="7" s="1"/>
  <c r="P527" i="7"/>
  <c r="O527" i="7"/>
  <c r="M526" i="7"/>
  <c r="P526" i="7" s="1"/>
  <c r="M525" i="7"/>
  <c r="P525" i="7" s="1"/>
  <c r="N524" i="7"/>
  <c r="M524" i="7"/>
  <c r="L524" i="7"/>
  <c r="O524" i="7" s="1"/>
  <c r="K517" i="7"/>
  <c r="J517" i="7"/>
  <c r="K516" i="7"/>
  <c r="P514" i="7"/>
  <c r="O514" i="7"/>
  <c r="P513" i="7"/>
  <c r="O513" i="7"/>
  <c r="O512" i="7"/>
  <c r="N512" i="7"/>
  <c r="M512" i="7"/>
  <c r="P512" i="7" s="1"/>
  <c r="L512" i="7"/>
  <c r="P507" i="7"/>
  <c r="O507" i="7"/>
  <c r="N507" i="7"/>
  <c r="N505" i="7" s="1"/>
  <c r="P506" i="7"/>
  <c r="O506" i="7"/>
  <c r="O505" i="7"/>
  <c r="M505" i="7"/>
  <c r="P505" i="7" s="1"/>
  <c r="L505" i="7"/>
  <c r="P504" i="7"/>
  <c r="N504" i="7"/>
  <c r="M504" i="7"/>
  <c r="L504" i="7"/>
  <c r="O503" i="7"/>
  <c r="N503" i="7"/>
  <c r="M503" i="7"/>
  <c r="M502" i="7" s="1"/>
  <c r="L503" i="7"/>
  <c r="P502" i="7"/>
  <c r="N502" i="7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O479" i="7" s="1"/>
  <c r="P478" i="7"/>
  <c r="O478" i="7"/>
  <c r="P477" i="7"/>
  <c r="N477" i="7"/>
  <c r="M477" i="7"/>
  <c r="L477" i="7"/>
  <c r="O477" i="7" s="1"/>
  <c r="N476" i="7"/>
  <c r="N472" i="7"/>
  <c r="N469" i="7" s="1"/>
  <c r="N467" i="7" s="1"/>
  <c r="L472" i="7"/>
  <c r="L470" i="7" s="1"/>
  <c r="P471" i="7"/>
  <c r="O471" i="7"/>
  <c r="O468" i="7"/>
  <c r="N468" i="7"/>
  <c r="M468" i="7"/>
  <c r="L468" i="7"/>
  <c r="J466" i="7"/>
  <c r="I466" i="7"/>
  <c r="K466" i="7" s="1"/>
  <c r="J465" i="7"/>
  <c r="I465" i="7"/>
  <c r="I464" i="7"/>
  <c r="I463" i="7"/>
  <c r="I462" i="7"/>
  <c r="K462" i="7" s="1"/>
  <c r="I460" i="7"/>
  <c r="I442" i="7" s="1"/>
  <c r="K458" i="7"/>
  <c r="P456" i="7"/>
  <c r="L456" i="7"/>
  <c r="O456" i="7" s="1"/>
  <c r="P455" i="7"/>
  <c r="O455" i="7"/>
  <c r="P454" i="7"/>
  <c r="N454" i="7"/>
  <c r="M454" i="7"/>
  <c r="L454" i="7"/>
  <c r="O454" i="7" s="1"/>
  <c r="N449" i="7"/>
  <c r="N447" i="7" s="1"/>
  <c r="L449" i="7"/>
  <c r="P448" i="7"/>
  <c r="O448" i="7"/>
  <c r="N446" i="7"/>
  <c r="O445" i="7"/>
  <c r="N445" i="7"/>
  <c r="M445" i="7"/>
  <c r="L445" i="7"/>
  <c r="N444" i="7"/>
  <c r="J443" i="7"/>
  <c r="J442" i="7"/>
  <c r="I441" i="7"/>
  <c r="K441" i="7" s="1"/>
  <c r="I440" i="7"/>
  <c r="I439" i="7"/>
  <c r="I438" i="7"/>
  <c r="K438" i="7" s="1"/>
  <c r="I437" i="7"/>
  <c r="K437" i="7" s="1"/>
  <c r="I435" i="7"/>
  <c r="I433" i="7" s="1"/>
  <c r="I417" i="7" s="1"/>
  <c r="J434" i="7"/>
  <c r="J418" i="7" s="1"/>
  <c r="P431" i="7"/>
  <c r="L431" i="7"/>
  <c r="P430" i="7"/>
  <c r="O430" i="7"/>
  <c r="N429" i="7"/>
  <c r="M429" i="7"/>
  <c r="P429" i="7" s="1"/>
  <c r="N428" i="7"/>
  <c r="N424" i="7" s="1"/>
  <c r="L424" i="7"/>
  <c r="L422" i="7" s="1"/>
  <c r="P423" i="7"/>
  <c r="O423" i="7"/>
  <c r="O420" i="7"/>
  <c r="N420" i="7"/>
  <c r="M420" i="7"/>
  <c r="P420" i="7" s="1"/>
  <c r="L420" i="7"/>
  <c r="K413" i="7"/>
  <c r="K412" i="7"/>
  <c r="N410" i="7"/>
  <c r="N408" i="7" s="1"/>
  <c r="M410" i="7"/>
  <c r="P410" i="7" s="1"/>
  <c r="L410" i="7"/>
  <c r="O410" i="7" s="1"/>
  <c r="P409" i="7"/>
  <c r="O409" i="7"/>
  <c r="N407" i="7"/>
  <c r="N405" i="7" s="1"/>
  <c r="M407" i="7"/>
  <c r="L407" i="7"/>
  <c r="O407" i="7" s="1"/>
  <c r="P406" i="7"/>
  <c r="O406" i="7"/>
  <c r="P403" i="7"/>
  <c r="O403" i="7"/>
  <c r="N403" i="7"/>
  <c r="M403" i="7"/>
  <c r="L403" i="7"/>
  <c r="J401" i="7"/>
  <c r="I401" i="7"/>
  <c r="K401" i="7" s="1"/>
  <c r="K400" i="7"/>
  <c r="K399" i="7"/>
  <c r="N397" i="7"/>
  <c r="N395" i="7" s="1"/>
  <c r="M397" i="7"/>
  <c r="P397" i="7" s="1"/>
  <c r="L397" i="7"/>
  <c r="O397" i="7" s="1"/>
  <c r="P396" i="7"/>
  <c r="O396" i="7"/>
  <c r="N394" i="7"/>
  <c r="M394" i="7"/>
  <c r="M392" i="7" s="1"/>
  <c r="P392" i="7" s="1"/>
  <c r="L394" i="7"/>
  <c r="O394" i="7" s="1"/>
  <c r="P393" i="7"/>
  <c r="O393" i="7"/>
  <c r="P390" i="7"/>
  <c r="N390" i="7"/>
  <c r="M390" i="7"/>
  <c r="L390" i="7"/>
  <c r="O390" i="7" s="1"/>
  <c r="K388" i="7"/>
  <c r="J388" i="7"/>
  <c r="I388" i="7"/>
  <c r="J385" i="7"/>
  <c r="I385" i="7"/>
  <c r="K385" i="7" s="1"/>
  <c r="K382" i="7"/>
  <c r="J382" i="7"/>
  <c r="J381" i="7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L353" i="7"/>
  <c r="L351" i="7" s="1"/>
  <c r="P352" i="7"/>
  <c r="O352" i="7"/>
  <c r="N350" i="7"/>
  <c r="N348" i="7" s="1"/>
  <c r="M350" i="7"/>
  <c r="M348" i="7" s="1"/>
  <c r="L350" i="7"/>
  <c r="L348" i="7" s="1"/>
  <c r="P349" i="7"/>
  <c r="O349" i="7"/>
  <c r="P346" i="7"/>
  <c r="N346" i="7"/>
  <c r="M346" i="7"/>
  <c r="L346" i="7"/>
  <c r="J343" i="7"/>
  <c r="J342" i="7"/>
  <c r="J341" i="7"/>
  <c r="J340" i="7"/>
  <c r="I340" i="7"/>
  <c r="J338" i="7"/>
  <c r="I338" i="7"/>
  <c r="N336" i="7"/>
  <c r="N334" i="7" s="1"/>
  <c r="M336" i="7"/>
  <c r="L336" i="7"/>
  <c r="O336" i="7" s="1"/>
  <c r="P335" i="7"/>
  <c r="O335" i="7"/>
  <c r="N333" i="7"/>
  <c r="M333" i="7"/>
  <c r="L333" i="7"/>
  <c r="L331" i="7" s="1"/>
  <c r="P332" i="7"/>
  <c r="O332" i="7"/>
  <c r="P329" i="7"/>
  <c r="N329" i="7"/>
  <c r="M329" i="7"/>
  <c r="L329" i="7"/>
  <c r="I327" i="7"/>
  <c r="I325" i="7"/>
  <c r="K325" i="7" s="1"/>
  <c r="N323" i="7"/>
  <c r="N321" i="7" s="1"/>
  <c r="M323" i="7"/>
  <c r="M321" i="7" s="1"/>
  <c r="P321" i="7" s="1"/>
  <c r="L323" i="7"/>
  <c r="P322" i="7"/>
  <c r="O322" i="7"/>
  <c r="N320" i="7"/>
  <c r="M320" i="7"/>
  <c r="M318" i="7" s="1"/>
  <c r="P318" i="7" s="1"/>
  <c r="L320" i="7"/>
  <c r="L318" i="7" s="1"/>
  <c r="O318" i="7" s="1"/>
  <c r="P319" i="7"/>
  <c r="O319" i="7"/>
  <c r="P316" i="7"/>
  <c r="N316" i="7"/>
  <c r="M316" i="7"/>
  <c r="L316" i="7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P306" i="7" s="1"/>
  <c r="L306" i="7"/>
  <c r="O306" i="7" s="1"/>
  <c r="P305" i="7"/>
  <c r="O305" i="7"/>
  <c r="N303" i="7"/>
  <c r="M303" i="7"/>
  <c r="P303" i="7" s="1"/>
  <c r="L303" i="7"/>
  <c r="P302" i="7"/>
  <c r="O302" i="7"/>
  <c r="P299" i="7"/>
  <c r="N299" i="7"/>
  <c r="M299" i="7"/>
  <c r="L299" i="7"/>
  <c r="O299" i="7" s="1"/>
  <c r="J297" i="7"/>
  <c r="I294" i="7"/>
  <c r="K294" i="7" s="1"/>
  <c r="I293" i="7"/>
  <c r="K293" i="7" s="1"/>
  <c r="I291" i="7"/>
  <c r="K291" i="7" s="1"/>
  <c r="I290" i="7"/>
  <c r="K290" i="7" s="1"/>
  <c r="I288" i="7"/>
  <c r="K288" i="7" s="1"/>
  <c r="I287" i="7"/>
  <c r="K287" i="7" s="1"/>
  <c r="N285" i="7"/>
  <c r="N283" i="7" s="1"/>
  <c r="M285" i="7"/>
  <c r="P285" i="7" s="1"/>
  <c r="L285" i="7"/>
  <c r="P284" i="7"/>
  <c r="O284" i="7"/>
  <c r="N282" i="7"/>
  <c r="N280" i="7" s="1"/>
  <c r="M282" i="7"/>
  <c r="L282" i="7"/>
  <c r="P281" i="7"/>
  <c r="O281" i="7"/>
  <c r="O278" i="7"/>
  <c r="N278" i="7"/>
  <c r="M278" i="7"/>
  <c r="P278" i="7" s="1"/>
  <c r="L278" i="7"/>
  <c r="J276" i="7"/>
  <c r="I271" i="7"/>
  <c r="K271" i="7" s="1"/>
  <c r="N269" i="7"/>
  <c r="M269" i="7"/>
  <c r="P269" i="7" s="1"/>
  <c r="L269" i="7"/>
  <c r="O269" i="7" s="1"/>
  <c r="P268" i="7"/>
  <c r="O268" i="7"/>
  <c r="N266" i="7"/>
  <c r="N264" i="7" s="1"/>
  <c r="M266" i="7"/>
  <c r="P266" i="7" s="1"/>
  <c r="L266" i="7"/>
  <c r="L264" i="7" s="1"/>
  <c r="P265" i="7"/>
  <c r="O265" i="7"/>
  <c r="P262" i="7"/>
  <c r="N262" i="7"/>
  <c r="M262" i="7"/>
  <c r="L262" i="7"/>
  <c r="O262" i="7" s="1"/>
  <c r="J260" i="7"/>
  <c r="K258" i="7"/>
  <c r="K257" i="7"/>
  <c r="I255" i="7"/>
  <c r="K255" i="7" s="1"/>
  <c r="L253" i="7"/>
  <c r="L252" i="7"/>
  <c r="L251" i="7"/>
  <c r="L250" i="7"/>
  <c r="P249" i="7"/>
  <c r="N249" i="7"/>
  <c r="J248" i="7"/>
  <c r="J226" i="7" s="1"/>
  <c r="J180" i="7" s="1"/>
  <c r="K247" i="7"/>
  <c r="K246" i="7"/>
  <c r="I244" i="7"/>
  <c r="K244" i="7" s="1"/>
  <c r="L242" i="7"/>
  <c r="L241" i="7"/>
  <c r="L240" i="7"/>
  <c r="L239" i="7"/>
  <c r="P238" i="7"/>
  <c r="N238" i="7"/>
  <c r="J237" i="7"/>
  <c r="J236" i="7"/>
  <c r="I236" i="7"/>
  <c r="K236" i="7" s="1"/>
  <c r="J235" i="7"/>
  <c r="I235" i="7"/>
  <c r="K235" i="7" s="1"/>
  <c r="J233" i="7"/>
  <c r="N231" i="7"/>
  <c r="N230" i="7"/>
  <c r="N229" i="7"/>
  <c r="N228" i="7"/>
  <c r="N227" i="7"/>
  <c r="I225" i="7"/>
  <c r="K225" i="7" s="1"/>
  <c r="I224" i="7"/>
  <c r="K224" i="7" s="1"/>
  <c r="I223" i="7"/>
  <c r="K223" i="7" s="1"/>
  <c r="L220" i="7"/>
  <c r="L219" i="7"/>
  <c r="L218" i="7"/>
  <c r="P217" i="7"/>
  <c r="N217" i="7"/>
  <c r="J216" i="7"/>
  <c r="I215" i="7"/>
  <c r="I214" i="7"/>
  <c r="K214" i="7" s="1"/>
  <c r="L212" i="7"/>
  <c r="L211" i="7"/>
  <c r="L210" i="7"/>
  <c r="P209" i="7"/>
  <c r="N209" i="7"/>
  <c r="J208" i="7"/>
  <c r="K207" i="7"/>
  <c r="K206" i="7"/>
  <c r="I204" i="7"/>
  <c r="K204" i="7" s="1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M187" i="7" s="1"/>
  <c r="P187" i="7" s="1"/>
  <c r="L189" i="7"/>
  <c r="O189" i="7" s="1"/>
  <c r="P188" i="7"/>
  <c r="O188" i="7"/>
  <c r="N186" i="7"/>
  <c r="N184" i="7" s="1"/>
  <c r="M186" i="7"/>
  <c r="M184" i="7" s="1"/>
  <c r="L186" i="7"/>
  <c r="P185" i="7"/>
  <c r="O185" i="7"/>
  <c r="P182" i="7"/>
  <c r="N182" i="7"/>
  <c r="M182" i="7"/>
  <c r="L182" i="7"/>
  <c r="J177" i="7"/>
  <c r="I176" i="7"/>
  <c r="K176" i="7" s="1"/>
  <c r="J174" i="7"/>
  <c r="N173" i="7"/>
  <c r="N171" i="7" s="1"/>
  <c r="M173" i="7"/>
  <c r="L173" i="7"/>
  <c r="O173" i="7" s="1"/>
  <c r="P172" i="7"/>
  <c r="O172" i="7"/>
  <c r="N170" i="7"/>
  <c r="N168" i="7" s="1"/>
  <c r="M170" i="7"/>
  <c r="L170" i="7"/>
  <c r="P169" i="7"/>
  <c r="O169" i="7"/>
  <c r="P166" i="7"/>
  <c r="N166" i="7"/>
  <c r="M166" i="7"/>
  <c r="L166" i="7"/>
  <c r="J164" i="7"/>
  <c r="I159" i="7"/>
  <c r="K159" i="7" s="1"/>
  <c r="N157" i="7"/>
  <c r="N155" i="7" s="1"/>
  <c r="M157" i="7"/>
  <c r="L157" i="7"/>
  <c r="O157" i="7" s="1"/>
  <c r="P156" i="7"/>
  <c r="O156" i="7"/>
  <c r="N154" i="7"/>
  <c r="N152" i="7" s="1"/>
  <c r="M154" i="7"/>
  <c r="L154" i="7"/>
  <c r="O154" i="7" s="1"/>
  <c r="P153" i="7"/>
  <c r="O153" i="7"/>
  <c r="N150" i="7"/>
  <c r="M150" i="7"/>
  <c r="P150" i="7" s="1"/>
  <c r="L150" i="7"/>
  <c r="O150" i="7" s="1"/>
  <c r="J148" i="7"/>
  <c r="I146" i="7"/>
  <c r="K146" i="7" s="1"/>
  <c r="I145" i="7"/>
  <c r="K145" i="7" s="1"/>
  <c r="I144" i="7"/>
  <c r="K144" i="7" s="1"/>
  <c r="N140" i="7"/>
  <c r="N138" i="7" s="1"/>
  <c r="M140" i="7"/>
  <c r="P140" i="7" s="1"/>
  <c r="L140" i="7"/>
  <c r="O140" i="7" s="1"/>
  <c r="P139" i="7"/>
  <c r="O139" i="7"/>
  <c r="N137" i="7"/>
  <c r="N135" i="7" s="1"/>
  <c r="M137" i="7"/>
  <c r="L137" i="7"/>
  <c r="O137" i="7" s="1"/>
  <c r="P136" i="7"/>
  <c r="O136" i="7"/>
  <c r="O133" i="7"/>
  <c r="N133" i="7"/>
  <c r="M133" i="7"/>
  <c r="L133" i="7"/>
  <c r="J130" i="7"/>
  <c r="N127" i="7"/>
  <c r="N125" i="7" s="1"/>
  <c r="M127" i="7"/>
  <c r="L127" i="7"/>
  <c r="O127" i="7" s="1"/>
  <c r="P126" i="7"/>
  <c r="O126" i="7"/>
  <c r="N124" i="7"/>
  <c r="N122" i="7" s="1"/>
  <c r="M124" i="7"/>
  <c r="L124" i="7"/>
  <c r="P123" i="7"/>
  <c r="O123" i="7"/>
  <c r="N120" i="7"/>
  <c r="M120" i="7"/>
  <c r="P120" i="7" s="1"/>
  <c r="L120" i="7"/>
  <c r="O120" i="7" s="1"/>
  <c r="I116" i="7"/>
  <c r="K116" i="7" s="1"/>
  <c r="I115" i="7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I99" i="7"/>
  <c r="K99" i="7" s="1"/>
  <c r="J98" i="7"/>
  <c r="I98" i="7"/>
  <c r="I86" i="7" s="1"/>
  <c r="K86" i="7" s="1"/>
  <c r="N96" i="7"/>
  <c r="N94" i="7" s="1"/>
  <c r="M96" i="7"/>
  <c r="P96" i="7" s="1"/>
  <c r="L96" i="7"/>
  <c r="O96" i="7" s="1"/>
  <c r="P95" i="7"/>
  <c r="O95" i="7"/>
  <c r="N93" i="7"/>
  <c r="N91" i="7" s="1"/>
  <c r="M93" i="7"/>
  <c r="M91" i="7" s="1"/>
  <c r="L93" i="7"/>
  <c r="P92" i="7"/>
  <c r="O92" i="7"/>
  <c r="P89" i="7"/>
  <c r="N89" i="7"/>
  <c r="M89" i="7"/>
  <c r="L89" i="7"/>
  <c r="O89" i="7" s="1"/>
  <c r="J87" i="7"/>
  <c r="J86" i="7"/>
  <c r="I84" i="7"/>
  <c r="K84" i="7" s="1"/>
  <c r="I83" i="7"/>
  <c r="K83" i="7" s="1"/>
  <c r="I82" i="7"/>
  <c r="K82" i="7" s="1"/>
  <c r="I81" i="7"/>
  <c r="K81" i="7" s="1"/>
  <c r="I80" i="7"/>
  <c r="K80" i="7" s="1"/>
  <c r="I79" i="7"/>
  <c r="K79" i="7" s="1"/>
  <c r="I78" i="7"/>
  <c r="K78" i="7" s="1"/>
  <c r="J77" i="7"/>
  <c r="J76" i="7"/>
  <c r="J64" i="7" s="1"/>
  <c r="N74" i="7"/>
  <c r="N72" i="7" s="1"/>
  <c r="M74" i="7"/>
  <c r="P74" i="7" s="1"/>
  <c r="L74" i="7"/>
  <c r="O74" i="7" s="1"/>
  <c r="P73" i="7"/>
  <c r="O73" i="7"/>
  <c r="N71" i="7"/>
  <c r="N69" i="7" s="1"/>
  <c r="M71" i="7"/>
  <c r="M69" i="7" s="1"/>
  <c r="P69" i="7" s="1"/>
  <c r="L71" i="7"/>
  <c r="O71" i="7" s="1"/>
  <c r="P70" i="7"/>
  <c r="O70" i="7"/>
  <c r="P67" i="7"/>
  <c r="N67" i="7"/>
  <c r="M67" i="7"/>
  <c r="L67" i="7"/>
  <c r="O67" i="7" s="1"/>
  <c r="J65" i="7"/>
  <c r="N61" i="7"/>
  <c r="N59" i="7" s="1"/>
  <c r="M61" i="7"/>
  <c r="M59" i="7" s="1"/>
  <c r="P59" i="7" s="1"/>
  <c r="L61" i="7"/>
  <c r="O61" i="7" s="1"/>
  <c r="P60" i="7"/>
  <c r="O60" i="7"/>
  <c r="N58" i="7"/>
  <c r="M58" i="7"/>
  <c r="L58" i="7"/>
  <c r="L56" i="7" s="1"/>
  <c r="P57" i="7"/>
  <c r="O57" i="7"/>
  <c r="O54" i="7"/>
  <c r="N54" i="7"/>
  <c r="M54" i="7"/>
  <c r="P54" i="7" s="1"/>
  <c r="L54" i="7"/>
  <c r="N49" i="7"/>
  <c r="N47" i="7" s="1"/>
  <c r="M49" i="7"/>
  <c r="P49" i="7" s="1"/>
  <c r="L49" i="7"/>
  <c r="O49" i="7" s="1"/>
  <c r="P48" i="7"/>
  <c r="O48" i="7"/>
  <c r="N46" i="7"/>
  <c r="M46" i="7"/>
  <c r="M44" i="7" s="1"/>
  <c r="L46" i="7"/>
  <c r="L44" i="7" s="1"/>
  <c r="P45" i="7"/>
  <c r="O45" i="7"/>
  <c r="P42" i="7"/>
  <c r="N42" i="7"/>
  <c r="M42" i="7"/>
  <c r="L42" i="7"/>
  <c r="O42" i="7" s="1"/>
  <c r="N36" i="7"/>
  <c r="M36" i="7"/>
  <c r="M34" i="7" s="1"/>
  <c r="P34" i="7" s="1"/>
  <c r="O35" i="7"/>
  <c r="N35" i="7"/>
  <c r="N34" i="7" s="1"/>
  <c r="M35" i="7"/>
  <c r="P35" i="7" s="1"/>
  <c r="L35" i="7"/>
  <c r="P32" i="7"/>
  <c r="N32" i="7"/>
  <c r="N29" i="7" s="1"/>
  <c r="M32" i="7"/>
  <c r="L32" i="7"/>
  <c r="M29" i="7"/>
  <c r="P29" i="7" s="1"/>
  <c r="P25" i="7"/>
  <c r="N25" i="7"/>
  <c r="N19" i="7" s="1"/>
  <c r="M25" i="7"/>
  <c r="L25" i="7"/>
  <c r="L15" i="7" s="1"/>
  <c r="O22" i="7"/>
  <c r="N22" i="7"/>
  <c r="M22" i="7"/>
  <c r="L22" i="7"/>
  <c r="L19" i="7"/>
  <c r="M15" i="7"/>
  <c r="P15" i="7" s="1"/>
  <c r="N12" i="7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O815" i="6"/>
  <c r="N815" i="6"/>
  <c r="M815" i="6"/>
  <c r="L815" i="6"/>
  <c r="P810" i="6"/>
  <c r="O810" i="6"/>
  <c r="N810" i="6"/>
  <c r="N807" i="6" s="1"/>
  <c r="N805" i="6" s="1"/>
  <c r="P809" i="6"/>
  <c r="O809" i="6"/>
  <c r="N808" i="6"/>
  <c r="M808" i="6"/>
  <c r="P808" i="6" s="1"/>
  <c r="L808" i="6"/>
  <c r="O808" i="6" s="1"/>
  <c r="M807" i="6"/>
  <c r="L807" i="6"/>
  <c r="O807" i="6" s="1"/>
  <c r="P806" i="6"/>
  <c r="N806" i="6"/>
  <c r="M806" i="6"/>
  <c r="L806" i="6"/>
  <c r="K804" i="6"/>
  <c r="J804" i="6"/>
  <c r="K802" i="6"/>
  <c r="J801" i="6"/>
  <c r="J800" i="6"/>
  <c r="J785" i="6" s="1"/>
  <c r="I800" i="6"/>
  <c r="P798" i="6"/>
  <c r="O798" i="6"/>
  <c r="P797" i="6"/>
  <c r="O797" i="6"/>
  <c r="O796" i="6"/>
  <c r="N796" i="6"/>
  <c r="M796" i="6"/>
  <c r="P796" i="6" s="1"/>
  <c r="L796" i="6"/>
  <c r="P791" i="6"/>
  <c r="N791" i="6"/>
  <c r="N788" i="6" s="1"/>
  <c r="N786" i="6" s="1"/>
  <c r="L791" i="6"/>
  <c r="L789" i="6" s="1"/>
  <c r="O789" i="6" s="1"/>
  <c r="P790" i="6"/>
  <c r="O790" i="6"/>
  <c r="N789" i="6"/>
  <c r="M789" i="6"/>
  <c r="P789" i="6" s="1"/>
  <c r="M788" i="6"/>
  <c r="L788" i="6"/>
  <c r="O788" i="6" s="1"/>
  <c r="P787" i="6"/>
  <c r="N787" i="6"/>
  <c r="M787" i="6"/>
  <c r="L787" i="6"/>
  <c r="P782" i="6"/>
  <c r="O782" i="6"/>
  <c r="P781" i="6"/>
  <c r="O781" i="6"/>
  <c r="P780" i="6"/>
  <c r="O780" i="6"/>
  <c r="N780" i="6"/>
  <c r="M780" i="6"/>
  <c r="L780" i="6"/>
  <c r="P775" i="6"/>
  <c r="O775" i="6"/>
  <c r="N775" i="6"/>
  <c r="P774" i="6"/>
  <c r="O774" i="6"/>
  <c r="O773" i="6"/>
  <c r="N773" i="6"/>
  <c r="M773" i="6"/>
  <c r="P773" i="6" s="1"/>
  <c r="L773" i="6"/>
  <c r="N772" i="6"/>
  <c r="N770" i="6" s="1"/>
  <c r="M772" i="6"/>
  <c r="P772" i="6" s="1"/>
  <c r="L772" i="6"/>
  <c r="O772" i="6" s="1"/>
  <c r="N771" i="6"/>
  <c r="M771" i="6"/>
  <c r="L771" i="6"/>
  <c r="O771" i="6" s="1"/>
  <c r="L770" i="6"/>
  <c r="O770" i="6" s="1"/>
  <c r="K769" i="6"/>
  <c r="J769" i="6"/>
  <c r="P766" i="6"/>
  <c r="O766" i="6"/>
  <c r="P765" i="6"/>
  <c r="O765" i="6"/>
  <c r="P764" i="6"/>
  <c r="O764" i="6"/>
  <c r="N764" i="6"/>
  <c r="M764" i="6"/>
  <c r="L764" i="6"/>
  <c r="P759" i="6"/>
  <c r="O759" i="6"/>
  <c r="N759" i="6"/>
  <c r="P758" i="6"/>
  <c r="O758" i="6"/>
  <c r="O757" i="6"/>
  <c r="N757" i="6"/>
  <c r="M757" i="6"/>
  <c r="P757" i="6" s="1"/>
  <c r="L757" i="6"/>
  <c r="N756" i="6"/>
  <c r="N754" i="6" s="1"/>
  <c r="M756" i="6"/>
  <c r="P756" i="6" s="1"/>
  <c r="L756" i="6"/>
  <c r="O756" i="6" s="1"/>
  <c r="N755" i="6"/>
  <c r="M755" i="6"/>
  <c r="L755" i="6"/>
  <c r="O755" i="6" s="1"/>
  <c r="L754" i="6"/>
  <c r="O754" i="6" s="1"/>
  <c r="K753" i="6"/>
  <c r="J753" i="6"/>
  <c r="P749" i="6"/>
  <c r="O749" i="6"/>
  <c r="P748" i="6"/>
  <c r="O748" i="6"/>
  <c r="P747" i="6"/>
  <c r="O747" i="6"/>
  <c r="N747" i="6"/>
  <c r="M747" i="6"/>
  <c r="L747" i="6"/>
  <c r="P742" i="6"/>
  <c r="O742" i="6"/>
  <c r="N742" i="6"/>
  <c r="P741" i="6"/>
  <c r="O741" i="6"/>
  <c r="O740" i="6"/>
  <c r="N740" i="6"/>
  <c r="M740" i="6"/>
  <c r="P740" i="6" s="1"/>
  <c r="L740" i="6"/>
  <c r="N739" i="6"/>
  <c r="N737" i="6" s="1"/>
  <c r="M739" i="6"/>
  <c r="P739" i="6" s="1"/>
  <c r="L739" i="6"/>
  <c r="O739" i="6" s="1"/>
  <c r="N738" i="6"/>
  <c r="M738" i="6"/>
  <c r="L738" i="6"/>
  <c r="O738" i="6" s="1"/>
  <c r="L737" i="6"/>
  <c r="O737" i="6" s="1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K725" i="6" s="1"/>
  <c r="J724" i="6"/>
  <c r="J723" i="6"/>
  <c r="I723" i="6"/>
  <c r="K723" i="6" s="1"/>
  <c r="I722" i="6"/>
  <c r="K722" i="6" s="1"/>
  <c r="I721" i="6"/>
  <c r="K721" i="6" s="1"/>
  <c r="J720" i="6"/>
  <c r="I720" i="6"/>
  <c r="K720" i="6" s="1"/>
  <c r="J719" i="6"/>
  <c r="J718" i="6"/>
  <c r="J708" i="6"/>
  <c r="I708" i="6"/>
  <c r="K708" i="6" s="1"/>
  <c r="I707" i="6"/>
  <c r="I704" i="6"/>
  <c r="J701" i="6"/>
  <c r="I701" i="6"/>
  <c r="K701" i="6" s="1"/>
  <c r="J700" i="6"/>
  <c r="I700" i="6"/>
  <c r="J699" i="6"/>
  <c r="I699" i="6"/>
  <c r="P697" i="6"/>
  <c r="O697" i="6"/>
  <c r="P696" i="6"/>
  <c r="O696" i="6"/>
  <c r="P695" i="6"/>
  <c r="O695" i="6"/>
  <c r="N695" i="6"/>
  <c r="M695" i="6"/>
  <c r="L695" i="6"/>
  <c r="N694" i="6"/>
  <c r="N690" i="6" s="1"/>
  <c r="L690" i="6"/>
  <c r="M690" i="6" s="1"/>
  <c r="N686" i="6"/>
  <c r="M686" i="6"/>
  <c r="P686" i="6" s="1"/>
  <c r="L686" i="6"/>
  <c r="O686" i="6" s="1"/>
  <c r="J679" i="6"/>
  <c r="J678" i="6" s="1"/>
  <c r="I678" i="6"/>
  <c r="K678" i="6" s="1"/>
  <c r="J675" i="6"/>
  <c r="J669" i="6" s="1"/>
  <c r="I671" i="6"/>
  <c r="K671" i="6" s="1"/>
  <c r="I670" i="6"/>
  <c r="K670" i="6" s="1"/>
  <c r="I669" i="6"/>
  <c r="K672" i="6" s="1"/>
  <c r="P667" i="6"/>
  <c r="O667" i="6"/>
  <c r="P666" i="6"/>
  <c r="O666" i="6"/>
  <c r="N665" i="6"/>
  <c r="M665" i="6"/>
  <c r="P665" i="6" s="1"/>
  <c r="L665" i="6"/>
  <c r="O665" i="6" s="1"/>
  <c r="N664" i="6"/>
  <c r="N660" i="6"/>
  <c r="L660" i="6"/>
  <c r="L658" i="6" s="1"/>
  <c r="P659" i="6"/>
  <c r="O659" i="6"/>
  <c r="N656" i="6"/>
  <c r="M656" i="6"/>
  <c r="L656" i="6"/>
  <c r="O656" i="6" s="1"/>
  <c r="K652" i="6"/>
  <c r="J652" i="6"/>
  <c r="J651" i="6"/>
  <c r="I651" i="6"/>
  <c r="I628" i="6" s="1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O641" i="6" s="1"/>
  <c r="P640" i="6"/>
  <c r="O640" i="6"/>
  <c r="P639" i="6"/>
  <c r="N639" i="6"/>
  <c r="M639" i="6"/>
  <c r="N638" i="6"/>
  <c r="N634" i="6" s="1"/>
  <c r="L634" i="6"/>
  <c r="P633" i="6"/>
  <c r="O633" i="6"/>
  <c r="P630" i="6"/>
  <c r="O630" i="6"/>
  <c r="N630" i="6"/>
  <c r="M630" i="6"/>
  <c r="L630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3" i="6" s="1"/>
  <c r="J596" i="6"/>
  <c r="J595" i="6"/>
  <c r="J594" i="6"/>
  <c r="I594" i="6"/>
  <c r="K594" i="6" s="1"/>
  <c r="I593" i="6"/>
  <c r="I592" i="6" s="1"/>
  <c r="J583" i="6"/>
  <c r="J582" i="6"/>
  <c r="J577" i="6"/>
  <c r="I577" i="6"/>
  <c r="K577" i="6" s="1"/>
  <c r="J576" i="6"/>
  <c r="I576" i="6"/>
  <c r="I559" i="6" s="1"/>
  <c r="K559" i="6" s="1"/>
  <c r="J569" i="6"/>
  <c r="I569" i="6"/>
  <c r="K569" i="6" s="1"/>
  <c r="J568" i="6"/>
  <c r="I568" i="6"/>
  <c r="J561" i="6"/>
  <c r="I561" i="6"/>
  <c r="K561" i="6" s="1"/>
  <c r="J560" i="6"/>
  <c r="I560" i="6"/>
  <c r="J559" i="6"/>
  <c r="P557" i="6"/>
  <c r="L557" i="6"/>
  <c r="L555" i="6" s="1"/>
  <c r="O555" i="6" s="1"/>
  <c r="P556" i="6"/>
  <c r="O556" i="6"/>
  <c r="P555" i="6"/>
  <c r="N555" i="6"/>
  <c r="M555" i="6"/>
  <c r="N553" i="6"/>
  <c r="N552" i="6"/>
  <c r="N549" i="6" s="1"/>
  <c r="L549" i="6"/>
  <c r="P548" i="6"/>
  <c r="O548" i="6"/>
  <c r="P545" i="6"/>
  <c r="O545" i="6"/>
  <c r="N545" i="6"/>
  <c r="M545" i="6"/>
  <c r="L545" i="6"/>
  <c r="J543" i="6"/>
  <c r="I542" i="6"/>
  <c r="K542" i="6" s="1"/>
  <c r="I541" i="6"/>
  <c r="K541" i="6" s="1"/>
  <c r="I540" i="6"/>
  <c r="K540" i="6" s="1"/>
  <c r="I539" i="6"/>
  <c r="K539" i="6" s="1"/>
  <c r="I538" i="6"/>
  <c r="K538" i="6" s="1"/>
  <c r="I537" i="6"/>
  <c r="I522" i="6" s="1"/>
  <c r="K522" i="6" s="1"/>
  <c r="P535" i="6"/>
  <c r="L535" i="6"/>
  <c r="O535" i="6" s="1"/>
  <c r="P534" i="6"/>
  <c r="O534" i="6"/>
  <c r="P533" i="6"/>
  <c r="N533" i="6"/>
  <c r="M533" i="6"/>
  <c r="L533" i="6"/>
  <c r="O533" i="6" s="1"/>
  <c r="P528" i="6"/>
  <c r="N528" i="6"/>
  <c r="N525" i="6" s="1"/>
  <c r="N523" i="6" s="1"/>
  <c r="L528" i="6"/>
  <c r="L526" i="6" s="1"/>
  <c r="O526" i="6" s="1"/>
  <c r="P527" i="6"/>
  <c r="O527" i="6"/>
  <c r="P526" i="6"/>
  <c r="N526" i="6"/>
  <c r="M526" i="6"/>
  <c r="P525" i="6"/>
  <c r="M525" i="6"/>
  <c r="O524" i="6"/>
  <c r="N524" i="6"/>
  <c r="M524" i="6"/>
  <c r="P524" i="6" s="1"/>
  <c r="L524" i="6"/>
  <c r="M523" i="6"/>
  <c r="P523" i="6" s="1"/>
  <c r="K517" i="6"/>
  <c r="J517" i="6"/>
  <c r="J501" i="6" s="1"/>
  <c r="K516" i="6"/>
  <c r="P514" i="6"/>
  <c r="O514" i="6"/>
  <c r="P513" i="6"/>
  <c r="O513" i="6"/>
  <c r="P512" i="6"/>
  <c r="O512" i="6"/>
  <c r="N512" i="6"/>
  <c r="M512" i="6"/>
  <c r="L512" i="6"/>
  <c r="P507" i="6"/>
  <c r="O507" i="6"/>
  <c r="N507" i="6"/>
  <c r="P506" i="6"/>
  <c r="O506" i="6"/>
  <c r="O505" i="6"/>
  <c r="N505" i="6"/>
  <c r="M505" i="6"/>
  <c r="P505" i="6" s="1"/>
  <c r="L505" i="6"/>
  <c r="N504" i="6"/>
  <c r="N502" i="6" s="1"/>
  <c r="M504" i="6"/>
  <c r="P504" i="6" s="1"/>
  <c r="L504" i="6"/>
  <c r="O504" i="6" s="1"/>
  <c r="N503" i="6"/>
  <c r="M503" i="6"/>
  <c r="L503" i="6"/>
  <c r="O503" i="6" s="1"/>
  <c r="L502" i="6"/>
  <c r="O502" i="6" s="1"/>
  <c r="K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O479" i="6" s="1"/>
  <c r="P478" i="6"/>
  <c r="O478" i="6"/>
  <c r="P477" i="6"/>
  <c r="N477" i="6"/>
  <c r="M477" i="6"/>
  <c r="N476" i="6"/>
  <c r="N473" i="6"/>
  <c r="N472" i="6" s="1"/>
  <c r="L472" i="6"/>
  <c r="M472" i="6" s="1"/>
  <c r="P471" i="6"/>
  <c r="O471" i="6"/>
  <c r="P468" i="6"/>
  <c r="O468" i="6"/>
  <c r="N468" i="6"/>
  <c r="M468" i="6"/>
  <c r="L468" i="6"/>
  <c r="J466" i="6"/>
  <c r="I466" i="6"/>
  <c r="K466" i="6" s="1"/>
  <c r="J465" i="6"/>
  <c r="I465" i="6"/>
  <c r="K465" i="6" s="1"/>
  <c r="I464" i="6"/>
  <c r="I463" i="6"/>
  <c r="I462" i="6"/>
  <c r="K462" i="6" s="1"/>
  <c r="I460" i="6"/>
  <c r="K460" i="6" s="1"/>
  <c r="K458" i="6"/>
  <c r="P456" i="6"/>
  <c r="L456" i="6"/>
  <c r="L454" i="6" s="1"/>
  <c r="O454" i="6" s="1"/>
  <c r="P455" i="6"/>
  <c r="O455" i="6"/>
  <c r="N454" i="6"/>
  <c r="M454" i="6"/>
  <c r="P454" i="6" s="1"/>
  <c r="P449" i="6"/>
  <c r="N449" i="6"/>
  <c r="L449" i="6"/>
  <c r="O449" i="6" s="1"/>
  <c r="P448" i="6"/>
  <c r="O448" i="6"/>
  <c r="N447" i="6"/>
  <c r="M447" i="6"/>
  <c r="P447" i="6" s="1"/>
  <c r="P446" i="6"/>
  <c r="N446" i="6"/>
  <c r="M446" i="6"/>
  <c r="P445" i="6"/>
  <c r="O445" i="6"/>
  <c r="N445" i="6"/>
  <c r="N444" i="6" s="1"/>
  <c r="M445" i="6"/>
  <c r="L445" i="6"/>
  <c r="P444" i="6"/>
  <c r="M444" i="6"/>
  <c r="J443" i="6"/>
  <c r="J442" i="6"/>
  <c r="I441" i="6"/>
  <c r="K441" i="6" s="1"/>
  <c r="I440" i="6"/>
  <c r="K440" i="6" s="1"/>
  <c r="I439" i="6"/>
  <c r="K439" i="6" s="1"/>
  <c r="I438" i="6"/>
  <c r="K438" i="6" s="1"/>
  <c r="I437" i="6"/>
  <c r="K437" i="6" s="1"/>
  <c r="I435" i="6"/>
  <c r="I433" i="6" s="1"/>
  <c r="I417" i="6" s="1"/>
  <c r="J434" i="6"/>
  <c r="J418" i="6" s="1"/>
  <c r="P431" i="6"/>
  <c r="L431" i="6"/>
  <c r="O431" i="6" s="1"/>
  <c r="P430" i="6"/>
  <c r="O430" i="6"/>
  <c r="N429" i="6"/>
  <c r="M429" i="6"/>
  <c r="P429" i="6" s="1"/>
  <c r="N425" i="6"/>
  <c r="N424" i="6" s="1"/>
  <c r="L424" i="6"/>
  <c r="L422" i="6" s="1"/>
  <c r="P423" i="6"/>
  <c r="O423" i="6"/>
  <c r="N420" i="6"/>
  <c r="M420" i="6"/>
  <c r="L420" i="6"/>
  <c r="O420" i="6" s="1"/>
  <c r="K413" i="6"/>
  <c r="K412" i="6"/>
  <c r="N410" i="6"/>
  <c r="N408" i="6" s="1"/>
  <c r="M410" i="6"/>
  <c r="M408" i="6" s="1"/>
  <c r="P408" i="6" s="1"/>
  <c r="L410" i="6"/>
  <c r="P409" i="6"/>
  <c r="O409" i="6"/>
  <c r="N407" i="6"/>
  <c r="N405" i="6" s="1"/>
  <c r="M407" i="6"/>
  <c r="P407" i="6" s="1"/>
  <c r="L407" i="6"/>
  <c r="O407" i="6" s="1"/>
  <c r="P406" i="6"/>
  <c r="O406" i="6"/>
  <c r="O403" i="6"/>
  <c r="N403" i="6"/>
  <c r="M403" i="6"/>
  <c r="L403" i="6"/>
  <c r="J401" i="6"/>
  <c r="I401" i="6"/>
  <c r="K401" i="6" s="1"/>
  <c r="K400" i="6"/>
  <c r="K399" i="6"/>
  <c r="N397" i="6"/>
  <c r="M397" i="6"/>
  <c r="P397" i="6" s="1"/>
  <c r="L397" i="6"/>
  <c r="O397" i="6" s="1"/>
  <c r="P396" i="6"/>
  <c r="O396" i="6"/>
  <c r="N394" i="6"/>
  <c r="N392" i="6" s="1"/>
  <c r="M394" i="6"/>
  <c r="M392" i="6" s="1"/>
  <c r="P392" i="6" s="1"/>
  <c r="L394" i="6"/>
  <c r="P393" i="6"/>
  <c r="O393" i="6"/>
  <c r="O390" i="6"/>
  <c r="N390" i="6"/>
  <c r="M390" i="6"/>
  <c r="L390" i="6"/>
  <c r="K388" i="6"/>
  <c r="J388" i="6"/>
  <c r="I388" i="6"/>
  <c r="J385" i="6"/>
  <c r="I385" i="6"/>
  <c r="K385" i="6" s="1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N351" i="6" s="1"/>
  <c r="M353" i="6"/>
  <c r="L353" i="6"/>
  <c r="P352" i="6"/>
  <c r="O352" i="6"/>
  <c r="N350" i="6"/>
  <c r="M350" i="6"/>
  <c r="M348" i="6" s="1"/>
  <c r="L350" i="6"/>
  <c r="P349" i="6"/>
  <c r="O349" i="6"/>
  <c r="O346" i="6"/>
  <c r="N346" i="6"/>
  <c r="M346" i="6"/>
  <c r="L346" i="6"/>
  <c r="J343" i="6"/>
  <c r="J342" i="6"/>
  <c r="J341" i="6"/>
  <c r="J340" i="6"/>
  <c r="I340" i="6"/>
  <c r="J338" i="6"/>
  <c r="I338" i="6"/>
  <c r="N336" i="6"/>
  <c r="N334" i="6" s="1"/>
  <c r="M336" i="6"/>
  <c r="L336" i="6"/>
  <c r="O336" i="6" s="1"/>
  <c r="P335" i="6"/>
  <c r="O335" i="6"/>
  <c r="N333" i="6"/>
  <c r="M333" i="6"/>
  <c r="M331" i="6" s="1"/>
  <c r="L333" i="6"/>
  <c r="L331" i="6" s="1"/>
  <c r="P332" i="6"/>
  <c r="O332" i="6"/>
  <c r="O329" i="6"/>
  <c r="N329" i="6"/>
  <c r="M329" i="6"/>
  <c r="L329" i="6"/>
  <c r="I327" i="6"/>
  <c r="I325" i="6"/>
  <c r="I314" i="6" s="1"/>
  <c r="K314" i="6" s="1"/>
  <c r="N323" i="6"/>
  <c r="N321" i="6" s="1"/>
  <c r="M323" i="6"/>
  <c r="M321" i="6" s="1"/>
  <c r="P321" i="6" s="1"/>
  <c r="L323" i="6"/>
  <c r="O323" i="6" s="1"/>
  <c r="P322" i="6"/>
  <c r="O322" i="6"/>
  <c r="N320" i="6"/>
  <c r="N318" i="6" s="1"/>
  <c r="M320" i="6"/>
  <c r="M318" i="6" s="1"/>
  <c r="P318" i="6" s="1"/>
  <c r="L320" i="6"/>
  <c r="O320" i="6" s="1"/>
  <c r="P319" i="6"/>
  <c r="O319" i="6"/>
  <c r="O316" i="6"/>
  <c r="N316" i="6"/>
  <c r="M316" i="6"/>
  <c r="L316" i="6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L306" i="6"/>
  <c r="P305" i="6"/>
  <c r="O305" i="6"/>
  <c r="N303" i="6"/>
  <c r="N301" i="6" s="1"/>
  <c r="M303" i="6"/>
  <c r="P303" i="6" s="1"/>
  <c r="L303" i="6"/>
  <c r="P302" i="6"/>
  <c r="O302" i="6"/>
  <c r="O299" i="6"/>
  <c r="N299" i="6"/>
  <c r="M299" i="6"/>
  <c r="P299" i="6" s="1"/>
  <c r="L299" i="6"/>
  <c r="J297" i="6"/>
  <c r="I294" i="6"/>
  <c r="K294" i="6" s="1"/>
  <c r="I293" i="6"/>
  <c r="K293" i="6" s="1"/>
  <c r="I291" i="6"/>
  <c r="K291" i="6" s="1"/>
  <c r="I290" i="6"/>
  <c r="K290" i="6" s="1"/>
  <c r="I288" i="6"/>
  <c r="I287" i="6"/>
  <c r="K287" i="6" s="1"/>
  <c r="N285" i="6"/>
  <c r="N283" i="6" s="1"/>
  <c r="M285" i="6"/>
  <c r="L285" i="6"/>
  <c r="O285" i="6" s="1"/>
  <c r="P284" i="6"/>
  <c r="O284" i="6"/>
  <c r="N282" i="6"/>
  <c r="M282" i="6"/>
  <c r="L282" i="6"/>
  <c r="O282" i="6" s="1"/>
  <c r="P281" i="6"/>
  <c r="O281" i="6"/>
  <c r="P278" i="6"/>
  <c r="N278" i="6"/>
  <c r="M278" i="6"/>
  <c r="L278" i="6"/>
  <c r="J276" i="6"/>
  <c r="I271" i="6"/>
  <c r="I260" i="6" s="1"/>
  <c r="N269" i="6"/>
  <c r="N267" i="6" s="1"/>
  <c r="M269" i="6"/>
  <c r="P269" i="6" s="1"/>
  <c r="L269" i="6"/>
  <c r="P268" i="6"/>
  <c r="O268" i="6"/>
  <c r="N266" i="6"/>
  <c r="N264" i="6" s="1"/>
  <c r="M266" i="6"/>
  <c r="P266" i="6" s="1"/>
  <c r="L266" i="6"/>
  <c r="P265" i="6"/>
  <c r="O265" i="6"/>
  <c r="O262" i="6"/>
  <c r="N262" i="6"/>
  <c r="M262" i="6"/>
  <c r="P262" i="6" s="1"/>
  <c r="L262" i="6"/>
  <c r="J260" i="6"/>
  <c r="K258" i="6"/>
  <c r="K257" i="6"/>
  <c r="I255" i="6"/>
  <c r="L253" i="6"/>
  <c r="L252" i="6"/>
  <c r="L251" i="6"/>
  <c r="L250" i="6"/>
  <c r="P249" i="6"/>
  <c r="N249" i="6"/>
  <c r="J248" i="6"/>
  <c r="K247" i="6"/>
  <c r="K246" i="6"/>
  <c r="I244" i="6"/>
  <c r="K244" i="6" s="1"/>
  <c r="L242" i="6"/>
  <c r="L241" i="6"/>
  <c r="L240" i="6"/>
  <c r="L239" i="6"/>
  <c r="P238" i="6"/>
  <c r="N238" i="6"/>
  <c r="J237" i="6"/>
  <c r="J226" i="6" s="1"/>
  <c r="J180" i="6" s="1"/>
  <c r="J236" i="6"/>
  <c r="I236" i="6"/>
  <c r="K236" i="6" s="1"/>
  <c r="J235" i="6"/>
  <c r="I235" i="6"/>
  <c r="K235" i="6" s="1"/>
  <c r="J233" i="6"/>
  <c r="N231" i="6"/>
  <c r="N230" i="6"/>
  <c r="N229" i="6"/>
  <c r="N228" i="6"/>
  <c r="I225" i="6"/>
  <c r="K225" i="6" s="1"/>
  <c r="I224" i="6"/>
  <c r="K224" i="6" s="1"/>
  <c r="I223" i="6"/>
  <c r="K223" i="6" s="1"/>
  <c r="L220" i="6"/>
  <c r="L219" i="6"/>
  <c r="N218" i="6"/>
  <c r="L218" i="6"/>
  <c r="P217" i="6"/>
  <c r="N217" i="6"/>
  <c r="J216" i="6"/>
  <c r="I215" i="6"/>
  <c r="I214" i="6"/>
  <c r="K214" i="6" s="1"/>
  <c r="L212" i="6"/>
  <c r="L211" i="6"/>
  <c r="L210" i="6"/>
  <c r="P209" i="6"/>
  <c r="N209" i="6"/>
  <c r="J208" i="6"/>
  <c r="I204" i="6"/>
  <c r="K204" i="6" s="1"/>
  <c r="L202" i="6"/>
  <c r="L201" i="6"/>
  <c r="L200" i="6"/>
  <c r="L199" i="6"/>
  <c r="P198" i="6"/>
  <c r="N198" i="6"/>
  <c r="J197" i="6"/>
  <c r="J194" i="6"/>
  <c r="I193" i="6"/>
  <c r="P191" i="6"/>
  <c r="N191" i="6"/>
  <c r="L191" i="6"/>
  <c r="J190" i="6"/>
  <c r="N189" i="6"/>
  <c r="N187" i="6" s="1"/>
  <c r="M189" i="6"/>
  <c r="P189" i="6" s="1"/>
  <c r="L189" i="6"/>
  <c r="P188" i="6"/>
  <c r="O188" i="6"/>
  <c r="N186" i="6"/>
  <c r="N184" i="6" s="1"/>
  <c r="M186" i="6"/>
  <c r="L186" i="6"/>
  <c r="P185" i="6"/>
  <c r="O185" i="6"/>
  <c r="O182" i="6"/>
  <c r="N182" i="6"/>
  <c r="M182" i="6"/>
  <c r="L182" i="6"/>
  <c r="J177" i="6"/>
  <c r="I176" i="6"/>
  <c r="K176" i="6" s="1"/>
  <c r="J174" i="6"/>
  <c r="J164" i="6" s="1"/>
  <c r="N173" i="6"/>
  <c r="N171" i="6" s="1"/>
  <c r="M173" i="6"/>
  <c r="P173" i="6" s="1"/>
  <c r="L173" i="6"/>
  <c r="P172" i="6"/>
  <c r="O172" i="6"/>
  <c r="N170" i="6"/>
  <c r="N168" i="6" s="1"/>
  <c r="M170" i="6"/>
  <c r="L170" i="6"/>
  <c r="P169" i="6"/>
  <c r="O169" i="6"/>
  <c r="O166" i="6"/>
  <c r="N166" i="6"/>
  <c r="M166" i="6"/>
  <c r="L166" i="6"/>
  <c r="I159" i="6"/>
  <c r="N157" i="6"/>
  <c r="N155" i="6" s="1"/>
  <c r="M157" i="6"/>
  <c r="P157" i="6" s="1"/>
  <c r="L157" i="6"/>
  <c r="P156" i="6"/>
  <c r="O156" i="6"/>
  <c r="N154" i="6"/>
  <c r="N152" i="6" s="1"/>
  <c r="M154" i="6"/>
  <c r="P154" i="6" s="1"/>
  <c r="L154" i="6"/>
  <c r="P153" i="6"/>
  <c r="O153" i="6"/>
  <c r="O150" i="6"/>
  <c r="N150" i="6"/>
  <c r="M150" i="6"/>
  <c r="L150" i="6"/>
  <c r="J148" i="6"/>
  <c r="I146" i="6"/>
  <c r="I130" i="6" s="1"/>
  <c r="K130" i="6" s="1"/>
  <c r="I145" i="6"/>
  <c r="I143" i="6" s="1"/>
  <c r="K143" i="6" s="1"/>
  <c r="I144" i="6"/>
  <c r="N140" i="6"/>
  <c r="N138" i="6" s="1"/>
  <c r="M140" i="6"/>
  <c r="L140" i="6"/>
  <c r="O140" i="6" s="1"/>
  <c r="P139" i="6"/>
  <c r="O139" i="6"/>
  <c r="N137" i="6"/>
  <c r="M137" i="6"/>
  <c r="P137" i="6" s="1"/>
  <c r="L137" i="6"/>
  <c r="O137" i="6" s="1"/>
  <c r="P136" i="6"/>
  <c r="O136" i="6"/>
  <c r="P133" i="6"/>
  <c r="N133" i="6"/>
  <c r="M133" i="6"/>
  <c r="L133" i="6"/>
  <c r="J130" i="6"/>
  <c r="N127" i="6"/>
  <c r="N125" i="6" s="1"/>
  <c r="M127" i="6"/>
  <c r="P127" i="6" s="1"/>
  <c r="L127" i="6"/>
  <c r="L125" i="6" s="1"/>
  <c r="O125" i="6" s="1"/>
  <c r="P126" i="6"/>
  <c r="O126" i="6"/>
  <c r="N124" i="6"/>
  <c r="N122" i="6" s="1"/>
  <c r="M124" i="6"/>
  <c r="L124" i="6"/>
  <c r="L122" i="6" s="1"/>
  <c r="O122" i="6" s="1"/>
  <c r="P123" i="6"/>
  <c r="O123" i="6"/>
  <c r="O120" i="6"/>
  <c r="N120" i="6"/>
  <c r="M120" i="6"/>
  <c r="P120" i="6" s="1"/>
  <c r="L120" i="6"/>
  <c r="I116" i="6"/>
  <c r="K116" i="6" s="1"/>
  <c r="I115" i="6"/>
  <c r="K115" i="6" s="1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I87" i="6" s="1"/>
  <c r="K87" i="6" s="1"/>
  <c r="J98" i="6"/>
  <c r="I98" i="6"/>
  <c r="K98" i="6" s="1"/>
  <c r="N96" i="6"/>
  <c r="N94" i="6" s="1"/>
  <c r="M96" i="6"/>
  <c r="P96" i="6" s="1"/>
  <c r="L96" i="6"/>
  <c r="P95" i="6"/>
  <c r="O95" i="6"/>
  <c r="N93" i="6"/>
  <c r="N91" i="6" s="1"/>
  <c r="M93" i="6"/>
  <c r="L93" i="6"/>
  <c r="P92" i="6"/>
  <c r="O92" i="6"/>
  <c r="N89" i="6"/>
  <c r="M89" i="6"/>
  <c r="P89" i="6" s="1"/>
  <c r="L89" i="6"/>
  <c r="O89" i="6" s="1"/>
  <c r="J87" i="6"/>
  <c r="J86" i="6"/>
  <c r="I84" i="6"/>
  <c r="K84" i="6" s="1"/>
  <c r="I83" i="6"/>
  <c r="K83" i="6" s="1"/>
  <c r="I82" i="6"/>
  <c r="K82" i="6" s="1"/>
  <c r="I81" i="6"/>
  <c r="K81" i="6" s="1"/>
  <c r="I80" i="6"/>
  <c r="K80" i="6" s="1"/>
  <c r="I79" i="6"/>
  <c r="K79" i="6" s="1"/>
  <c r="I78" i="6"/>
  <c r="K78" i="6" s="1"/>
  <c r="J77" i="6"/>
  <c r="J65" i="6" s="1"/>
  <c r="J76" i="6"/>
  <c r="N74" i="6"/>
  <c r="N72" i="6" s="1"/>
  <c r="M74" i="6"/>
  <c r="P74" i="6" s="1"/>
  <c r="L74" i="6"/>
  <c r="O74" i="6" s="1"/>
  <c r="P73" i="6"/>
  <c r="O73" i="6"/>
  <c r="N71" i="6"/>
  <c r="N69" i="6" s="1"/>
  <c r="M71" i="6"/>
  <c r="P71" i="6" s="1"/>
  <c r="L71" i="6"/>
  <c r="O71" i="6" s="1"/>
  <c r="P70" i="6"/>
  <c r="O70" i="6"/>
  <c r="N67" i="6"/>
  <c r="M67" i="6"/>
  <c r="P67" i="6" s="1"/>
  <c r="L67" i="6"/>
  <c r="O67" i="6" s="1"/>
  <c r="J64" i="6"/>
  <c r="N61" i="6"/>
  <c r="N59" i="6" s="1"/>
  <c r="M61" i="6"/>
  <c r="P61" i="6" s="1"/>
  <c r="L61" i="6"/>
  <c r="O61" i="6" s="1"/>
  <c r="P60" i="6"/>
  <c r="O60" i="6"/>
  <c r="N58" i="6"/>
  <c r="N56" i="6" s="1"/>
  <c r="M58" i="6"/>
  <c r="L58" i="6"/>
  <c r="L56" i="6" s="1"/>
  <c r="P57" i="6"/>
  <c r="O57" i="6"/>
  <c r="O54" i="6"/>
  <c r="N54" i="6"/>
  <c r="M54" i="6"/>
  <c r="L54" i="6"/>
  <c r="N49" i="6"/>
  <c r="M49" i="6"/>
  <c r="P49" i="6" s="1"/>
  <c r="L49" i="6"/>
  <c r="L47" i="6" s="1"/>
  <c r="O47" i="6" s="1"/>
  <c r="P48" i="6"/>
  <c r="O48" i="6"/>
  <c r="N46" i="6"/>
  <c r="N44" i="6" s="1"/>
  <c r="M46" i="6"/>
  <c r="L46" i="6"/>
  <c r="L44" i="6" s="1"/>
  <c r="P45" i="6"/>
  <c r="O45" i="6"/>
  <c r="N42" i="6"/>
  <c r="M42" i="6"/>
  <c r="P42" i="6" s="1"/>
  <c r="L42" i="6"/>
  <c r="O42" i="6" s="1"/>
  <c r="N36" i="6"/>
  <c r="M36" i="6"/>
  <c r="P36" i="6" s="1"/>
  <c r="P35" i="6"/>
  <c r="N35" i="6"/>
  <c r="N29" i="6" s="1"/>
  <c r="N28" i="6" s="1"/>
  <c r="M35" i="6"/>
  <c r="M34" i="6" s="1"/>
  <c r="P34" i="6" s="1"/>
  <c r="L35" i="6"/>
  <c r="L15" i="6" s="1"/>
  <c r="N33" i="6"/>
  <c r="O32" i="6"/>
  <c r="N32" i="6"/>
  <c r="M32" i="6"/>
  <c r="M29" i="6" s="1"/>
  <c r="L32" i="6"/>
  <c r="N31" i="6"/>
  <c r="N30" i="6"/>
  <c r="L29" i="6"/>
  <c r="O29" i="6" s="1"/>
  <c r="O25" i="6"/>
  <c r="N25" i="6"/>
  <c r="M25" i="6"/>
  <c r="M19" i="6" s="1"/>
  <c r="L25" i="6"/>
  <c r="P22" i="6"/>
  <c r="N22" i="6"/>
  <c r="M22" i="6"/>
  <c r="L22" i="6"/>
  <c r="L12" i="6" s="1"/>
  <c r="L19" i="6"/>
  <c r="O19" i="6" s="1"/>
  <c r="M15" i="6"/>
  <c r="P15" i="6" s="1"/>
  <c r="M12" i="6"/>
  <c r="J828" i="5"/>
  <c r="I828" i="5"/>
  <c r="J827" i="5"/>
  <c r="I827" i="5"/>
  <c r="J826" i="5"/>
  <c r="I826" i="5"/>
  <c r="K826" i="5" s="1"/>
  <c r="J825" i="5"/>
  <c r="I825" i="5"/>
  <c r="K825" i="5" s="1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N815" i="5"/>
  <c r="M815" i="5"/>
  <c r="L815" i="5"/>
  <c r="O815" i="5" s="1"/>
  <c r="P810" i="5"/>
  <c r="O810" i="5"/>
  <c r="N810" i="5"/>
  <c r="P809" i="5"/>
  <c r="O809" i="5"/>
  <c r="P808" i="5"/>
  <c r="O808" i="5"/>
  <c r="N808" i="5"/>
  <c r="M808" i="5"/>
  <c r="L808" i="5"/>
  <c r="O807" i="5"/>
  <c r="N807" i="5"/>
  <c r="M807" i="5"/>
  <c r="P807" i="5" s="1"/>
  <c r="L807" i="5"/>
  <c r="N806" i="5"/>
  <c r="N805" i="5" s="1"/>
  <c r="M806" i="5"/>
  <c r="P806" i="5" s="1"/>
  <c r="L806" i="5"/>
  <c r="K804" i="5"/>
  <c r="J804" i="5"/>
  <c r="K802" i="5"/>
  <c r="J801" i="5"/>
  <c r="J800" i="5"/>
  <c r="J785" i="5" s="1"/>
  <c r="I800" i="5"/>
  <c r="P798" i="5"/>
  <c r="O798" i="5"/>
  <c r="P797" i="5"/>
  <c r="O797" i="5"/>
  <c r="P796" i="5"/>
  <c r="O796" i="5"/>
  <c r="N796" i="5"/>
  <c r="M796" i="5"/>
  <c r="L796" i="5"/>
  <c r="P791" i="5"/>
  <c r="N791" i="5"/>
  <c r="L791" i="5"/>
  <c r="L789" i="5" s="1"/>
  <c r="O789" i="5" s="1"/>
  <c r="P790" i="5"/>
  <c r="O790" i="5"/>
  <c r="P789" i="5"/>
  <c r="N789" i="5"/>
  <c r="M789" i="5"/>
  <c r="M788" i="5"/>
  <c r="P788" i="5" s="1"/>
  <c r="N787" i="5"/>
  <c r="M787" i="5"/>
  <c r="P787" i="5" s="1"/>
  <c r="L787" i="5"/>
  <c r="P782" i="5"/>
  <c r="O782" i="5"/>
  <c r="P781" i="5"/>
  <c r="O781" i="5"/>
  <c r="N780" i="5"/>
  <c r="M780" i="5"/>
  <c r="P780" i="5" s="1"/>
  <c r="L780" i="5"/>
  <c r="O780" i="5" s="1"/>
  <c r="P775" i="5"/>
  <c r="O775" i="5"/>
  <c r="N775" i="5"/>
  <c r="N773" i="5" s="1"/>
  <c r="P774" i="5"/>
  <c r="O774" i="5"/>
  <c r="P773" i="5"/>
  <c r="O773" i="5"/>
  <c r="M773" i="5"/>
  <c r="L773" i="5"/>
  <c r="P772" i="5"/>
  <c r="O772" i="5"/>
  <c r="N772" i="5"/>
  <c r="M772" i="5"/>
  <c r="L772" i="5"/>
  <c r="O771" i="5"/>
  <c r="N771" i="5"/>
  <c r="N770" i="5" s="1"/>
  <c r="M771" i="5"/>
  <c r="L771" i="5"/>
  <c r="L770" i="5"/>
  <c r="O770" i="5" s="1"/>
  <c r="K769" i="5"/>
  <c r="J769" i="5"/>
  <c r="P766" i="5"/>
  <c r="O766" i="5"/>
  <c r="P765" i="5"/>
  <c r="O765" i="5"/>
  <c r="N764" i="5"/>
  <c r="M764" i="5"/>
  <c r="P764" i="5" s="1"/>
  <c r="L764" i="5"/>
  <c r="O764" i="5" s="1"/>
  <c r="P759" i="5"/>
  <c r="O759" i="5"/>
  <c r="N759" i="5"/>
  <c r="N757" i="5" s="1"/>
  <c r="P758" i="5"/>
  <c r="O758" i="5"/>
  <c r="P757" i="5"/>
  <c r="O757" i="5"/>
  <c r="M757" i="5"/>
  <c r="L757" i="5"/>
  <c r="P756" i="5"/>
  <c r="O756" i="5"/>
  <c r="N756" i="5"/>
  <c r="M756" i="5"/>
  <c r="L756" i="5"/>
  <c r="O755" i="5"/>
  <c r="N755" i="5"/>
  <c r="N754" i="5" s="1"/>
  <c r="M755" i="5"/>
  <c r="L755" i="5"/>
  <c r="L754" i="5"/>
  <c r="O754" i="5" s="1"/>
  <c r="K753" i="5"/>
  <c r="J753" i="5"/>
  <c r="P749" i="5"/>
  <c r="O749" i="5"/>
  <c r="P748" i="5"/>
  <c r="O748" i="5"/>
  <c r="N747" i="5"/>
  <c r="M747" i="5"/>
  <c r="P747" i="5" s="1"/>
  <c r="L747" i="5"/>
  <c r="O747" i="5" s="1"/>
  <c r="P742" i="5"/>
  <c r="O742" i="5"/>
  <c r="N742" i="5"/>
  <c r="N740" i="5" s="1"/>
  <c r="P741" i="5"/>
  <c r="O741" i="5"/>
  <c r="P740" i="5"/>
  <c r="O740" i="5"/>
  <c r="M740" i="5"/>
  <c r="L740" i="5"/>
  <c r="P739" i="5"/>
  <c r="O739" i="5"/>
  <c r="N739" i="5"/>
  <c r="M739" i="5"/>
  <c r="L739" i="5"/>
  <c r="O738" i="5"/>
  <c r="N738" i="5"/>
  <c r="M738" i="5"/>
  <c r="L738" i="5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N695" i="5"/>
  <c r="M695" i="5"/>
  <c r="P695" i="5" s="1"/>
  <c r="L695" i="5"/>
  <c r="O695" i="5" s="1"/>
  <c r="P690" i="5"/>
  <c r="N690" i="5"/>
  <c r="L690" i="5"/>
  <c r="L687" i="5" s="1"/>
  <c r="O687" i="5" s="1"/>
  <c r="P688" i="5"/>
  <c r="N688" i="5"/>
  <c r="M688" i="5"/>
  <c r="N687" i="5"/>
  <c r="M687" i="5"/>
  <c r="P687" i="5" s="1"/>
  <c r="N686" i="5"/>
  <c r="N685" i="5" s="1"/>
  <c r="M686" i="5"/>
  <c r="P686" i="5" s="1"/>
  <c r="L686" i="5"/>
  <c r="J679" i="5"/>
  <c r="J678" i="5" s="1"/>
  <c r="I678" i="5"/>
  <c r="K678" i="5" s="1"/>
  <c r="J675" i="5"/>
  <c r="J669" i="5" s="1"/>
  <c r="J654" i="5" s="1"/>
  <c r="I671" i="5"/>
  <c r="K671" i="5" s="1"/>
  <c r="I670" i="5"/>
  <c r="K670" i="5" s="1"/>
  <c r="I669" i="5"/>
  <c r="K673" i="5" s="1"/>
  <c r="P667" i="5"/>
  <c r="O667" i="5"/>
  <c r="P666" i="5"/>
  <c r="O666" i="5"/>
  <c r="N665" i="5"/>
  <c r="M665" i="5"/>
  <c r="P665" i="5" s="1"/>
  <c r="L665" i="5"/>
  <c r="O665" i="5" s="1"/>
  <c r="P660" i="5"/>
  <c r="N660" i="5"/>
  <c r="L660" i="5"/>
  <c r="O660" i="5" s="1"/>
  <c r="P659" i="5"/>
  <c r="O659" i="5"/>
  <c r="N658" i="5"/>
  <c r="M658" i="5"/>
  <c r="P658" i="5" s="1"/>
  <c r="P657" i="5"/>
  <c r="N657" i="5"/>
  <c r="M657" i="5"/>
  <c r="P656" i="5"/>
  <c r="O656" i="5"/>
  <c r="N656" i="5"/>
  <c r="M656" i="5"/>
  <c r="L656" i="5"/>
  <c r="P655" i="5"/>
  <c r="N655" i="5"/>
  <c r="M655" i="5"/>
  <c r="K652" i="5"/>
  <c r="J652" i="5"/>
  <c r="J651" i="5"/>
  <c r="J628" i="5" s="1"/>
  <c r="I651" i="5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P640" i="5"/>
  <c r="O640" i="5"/>
  <c r="P639" i="5"/>
  <c r="N639" i="5"/>
  <c r="M639" i="5"/>
  <c r="N634" i="5"/>
  <c r="L634" i="5"/>
  <c r="L632" i="5" s="1"/>
  <c r="P633" i="5"/>
  <c r="O633" i="5"/>
  <c r="N632" i="5"/>
  <c r="N631" i="5"/>
  <c r="N630" i="5"/>
  <c r="N629" i="5" s="1"/>
  <c r="M630" i="5"/>
  <c r="P630" i="5" s="1"/>
  <c r="L630" i="5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4" i="5" s="1"/>
  <c r="J595" i="5"/>
  <c r="J593" i="5" s="1"/>
  <c r="J592" i="5" s="1"/>
  <c r="I594" i="5"/>
  <c r="I593" i="5"/>
  <c r="J583" i="5"/>
  <c r="J577" i="5" s="1"/>
  <c r="J582" i="5"/>
  <c r="J576" i="5" s="1"/>
  <c r="J559" i="5" s="1"/>
  <c r="I577" i="5"/>
  <c r="K577" i="5" s="1"/>
  <c r="I576" i="5"/>
  <c r="I559" i="5" s="1"/>
  <c r="I543" i="5" s="1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P557" i="5"/>
  <c r="L557" i="5"/>
  <c r="P556" i="5"/>
  <c r="O556" i="5"/>
  <c r="N555" i="5"/>
  <c r="M555" i="5"/>
  <c r="M545" i="5" s="1"/>
  <c r="P545" i="5" s="1"/>
  <c r="N553" i="5"/>
  <c r="N552" i="5"/>
  <c r="N551" i="5"/>
  <c r="N550" i="5"/>
  <c r="N549" i="5" s="1"/>
  <c r="L549" i="5"/>
  <c r="M549" i="5" s="1"/>
  <c r="P548" i="5"/>
  <c r="O548" i="5"/>
  <c r="O545" i="5"/>
  <c r="N545" i="5"/>
  <c r="L545" i="5"/>
  <c r="I542" i="5"/>
  <c r="K542" i="5" s="1"/>
  <c r="I541" i="5"/>
  <c r="K541" i="5" s="1"/>
  <c r="I540" i="5"/>
  <c r="K540" i="5" s="1"/>
  <c r="I539" i="5"/>
  <c r="I538" i="5"/>
  <c r="K538" i="5" s="1"/>
  <c r="I537" i="5"/>
  <c r="I522" i="5" s="1"/>
  <c r="K522" i="5" s="1"/>
  <c r="P535" i="5"/>
  <c r="L535" i="5"/>
  <c r="O535" i="5" s="1"/>
  <c r="P534" i="5"/>
  <c r="O534" i="5"/>
  <c r="P533" i="5"/>
  <c r="N533" i="5"/>
  <c r="M533" i="5"/>
  <c r="L533" i="5"/>
  <c r="O533" i="5" s="1"/>
  <c r="P528" i="5"/>
  <c r="N528" i="5"/>
  <c r="N525" i="5" s="1"/>
  <c r="L528" i="5"/>
  <c r="P527" i="5"/>
  <c r="O527" i="5"/>
  <c r="P526" i="5"/>
  <c r="N526" i="5"/>
  <c r="M526" i="5"/>
  <c r="M525" i="5"/>
  <c r="P525" i="5" s="1"/>
  <c r="N524" i="5"/>
  <c r="N523" i="5" s="1"/>
  <c r="M524" i="5"/>
  <c r="P524" i="5" s="1"/>
  <c r="L524" i="5"/>
  <c r="K517" i="5"/>
  <c r="J517" i="5"/>
  <c r="K516" i="5"/>
  <c r="P514" i="5"/>
  <c r="O514" i="5"/>
  <c r="P513" i="5"/>
  <c r="O513" i="5"/>
  <c r="P512" i="5"/>
  <c r="O512" i="5"/>
  <c r="N512" i="5"/>
  <c r="M512" i="5"/>
  <c r="L512" i="5"/>
  <c r="P507" i="5"/>
  <c r="O507" i="5"/>
  <c r="N507" i="5"/>
  <c r="N504" i="5" s="1"/>
  <c r="N502" i="5" s="1"/>
  <c r="P506" i="5"/>
  <c r="O506" i="5"/>
  <c r="M505" i="5"/>
  <c r="P505" i="5" s="1"/>
  <c r="L505" i="5"/>
  <c r="O505" i="5" s="1"/>
  <c r="M504" i="5"/>
  <c r="P504" i="5" s="1"/>
  <c r="L504" i="5"/>
  <c r="O504" i="5" s="1"/>
  <c r="P503" i="5"/>
  <c r="N503" i="5"/>
  <c r="M503" i="5"/>
  <c r="L503" i="5"/>
  <c r="O503" i="5" s="1"/>
  <c r="K501" i="5"/>
  <c r="J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P478" i="5"/>
  <c r="O478" i="5"/>
  <c r="N477" i="5"/>
  <c r="M477" i="5"/>
  <c r="P477" i="5" s="1"/>
  <c r="N476" i="5"/>
  <c r="N473" i="5"/>
  <c r="N472" i="5"/>
  <c r="L472" i="5"/>
  <c r="P471" i="5"/>
  <c r="O471" i="5"/>
  <c r="N469" i="5"/>
  <c r="O468" i="5"/>
  <c r="N468" i="5"/>
  <c r="M468" i="5"/>
  <c r="L468" i="5"/>
  <c r="J466" i="5"/>
  <c r="I466" i="5"/>
  <c r="K466" i="5" s="1"/>
  <c r="J465" i="5"/>
  <c r="I465" i="5"/>
  <c r="K465" i="5" s="1"/>
  <c r="I464" i="5"/>
  <c r="I463" i="5"/>
  <c r="I462" i="5"/>
  <c r="K462" i="5" s="1"/>
  <c r="I460" i="5"/>
  <c r="K458" i="5"/>
  <c r="P456" i="5"/>
  <c r="L456" i="5"/>
  <c r="P455" i="5"/>
  <c r="O455" i="5"/>
  <c r="N454" i="5"/>
  <c r="M454" i="5"/>
  <c r="P454" i="5" s="1"/>
  <c r="P449" i="5"/>
  <c r="N449" i="5"/>
  <c r="N446" i="5" s="1"/>
  <c r="L449" i="5"/>
  <c r="O449" i="5" s="1"/>
  <c r="P448" i="5"/>
  <c r="O448" i="5"/>
  <c r="P447" i="5"/>
  <c r="N447" i="5"/>
  <c r="M447" i="5"/>
  <c r="L447" i="5"/>
  <c r="O447" i="5" s="1"/>
  <c r="P446" i="5"/>
  <c r="M446" i="5"/>
  <c r="P445" i="5"/>
  <c r="O445" i="5"/>
  <c r="N445" i="5"/>
  <c r="N444" i="5" s="1"/>
  <c r="M445" i="5"/>
  <c r="L445" i="5"/>
  <c r="M444" i="5"/>
  <c r="P444" i="5" s="1"/>
  <c r="J443" i="5"/>
  <c r="J442" i="5"/>
  <c r="I441" i="5"/>
  <c r="K441" i="5" s="1"/>
  <c r="I440" i="5"/>
  <c r="K440" i="5" s="1"/>
  <c r="I439" i="5"/>
  <c r="K439" i="5" s="1"/>
  <c r="I438" i="5"/>
  <c r="K438" i="5" s="1"/>
  <c r="I437" i="5"/>
  <c r="K437" i="5" s="1"/>
  <c r="I435" i="5"/>
  <c r="I433" i="5" s="1"/>
  <c r="I417" i="5" s="1"/>
  <c r="J434" i="5"/>
  <c r="P431" i="5"/>
  <c r="L431" i="5"/>
  <c r="P430" i="5"/>
  <c r="O430" i="5"/>
  <c r="N429" i="5"/>
  <c r="M429" i="5"/>
  <c r="P429" i="5" s="1"/>
  <c r="N425" i="5"/>
  <c r="N424" i="5" s="1"/>
  <c r="L424" i="5"/>
  <c r="L422" i="5" s="1"/>
  <c r="P423" i="5"/>
  <c r="O423" i="5"/>
  <c r="P420" i="5"/>
  <c r="N420" i="5"/>
  <c r="M420" i="5"/>
  <c r="L420" i="5"/>
  <c r="O420" i="5" s="1"/>
  <c r="J418" i="5"/>
  <c r="K413" i="5"/>
  <c r="K412" i="5"/>
  <c r="N410" i="5"/>
  <c r="N408" i="5" s="1"/>
  <c r="M410" i="5"/>
  <c r="P410" i="5" s="1"/>
  <c r="L410" i="5"/>
  <c r="O410" i="5" s="1"/>
  <c r="P409" i="5"/>
  <c r="O409" i="5"/>
  <c r="N407" i="5"/>
  <c r="N405" i="5" s="1"/>
  <c r="M407" i="5"/>
  <c r="P407" i="5" s="1"/>
  <c r="L407" i="5"/>
  <c r="O407" i="5" s="1"/>
  <c r="P406" i="5"/>
  <c r="O406" i="5"/>
  <c r="P403" i="5"/>
  <c r="O403" i="5"/>
  <c r="N403" i="5"/>
  <c r="M403" i="5"/>
  <c r="L403" i="5"/>
  <c r="J401" i="5"/>
  <c r="I401" i="5"/>
  <c r="K401" i="5" s="1"/>
  <c r="K400" i="5"/>
  <c r="K399" i="5"/>
  <c r="N397" i="5"/>
  <c r="N395" i="5" s="1"/>
  <c r="M397" i="5"/>
  <c r="P397" i="5" s="1"/>
  <c r="L397" i="5"/>
  <c r="O397" i="5" s="1"/>
  <c r="P396" i="5"/>
  <c r="O396" i="5"/>
  <c r="N394" i="5"/>
  <c r="M394" i="5"/>
  <c r="L394" i="5"/>
  <c r="O394" i="5" s="1"/>
  <c r="P393" i="5"/>
  <c r="O393" i="5"/>
  <c r="P390" i="5"/>
  <c r="N390" i="5"/>
  <c r="M390" i="5"/>
  <c r="L390" i="5"/>
  <c r="O390" i="5" s="1"/>
  <c r="J388" i="5"/>
  <c r="I388" i="5"/>
  <c r="K388" i="5" s="1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L353" i="5"/>
  <c r="L351" i="5" s="1"/>
  <c r="P352" i="5"/>
  <c r="O352" i="5"/>
  <c r="N350" i="5"/>
  <c r="M350" i="5"/>
  <c r="M348" i="5" s="1"/>
  <c r="L350" i="5"/>
  <c r="P349" i="5"/>
  <c r="O349" i="5"/>
  <c r="P346" i="5"/>
  <c r="N346" i="5"/>
  <c r="M346" i="5"/>
  <c r="L346" i="5"/>
  <c r="O346" i="5" s="1"/>
  <c r="J343" i="5"/>
  <c r="J342" i="5"/>
  <c r="J341" i="5"/>
  <c r="J340" i="5"/>
  <c r="I340" i="5"/>
  <c r="J338" i="5"/>
  <c r="I338" i="5"/>
  <c r="N336" i="5"/>
  <c r="M336" i="5"/>
  <c r="P336" i="5" s="1"/>
  <c r="L336" i="5"/>
  <c r="P335" i="5"/>
  <c r="O335" i="5"/>
  <c r="N333" i="5"/>
  <c r="N331" i="5" s="1"/>
  <c r="M333" i="5"/>
  <c r="L333" i="5"/>
  <c r="P332" i="5"/>
  <c r="O332" i="5"/>
  <c r="P329" i="5"/>
  <c r="N329" i="5"/>
  <c r="M329" i="5"/>
  <c r="L329" i="5"/>
  <c r="O329" i="5" s="1"/>
  <c r="I327" i="5"/>
  <c r="I325" i="5"/>
  <c r="K325" i="5" s="1"/>
  <c r="N323" i="5"/>
  <c r="N321" i="5" s="1"/>
  <c r="M323" i="5"/>
  <c r="L323" i="5"/>
  <c r="L321" i="5" s="1"/>
  <c r="O321" i="5" s="1"/>
  <c r="P322" i="5"/>
  <c r="O322" i="5"/>
  <c r="N320" i="5"/>
  <c r="N318" i="5" s="1"/>
  <c r="M320" i="5"/>
  <c r="L320" i="5"/>
  <c r="P319" i="5"/>
  <c r="O319" i="5"/>
  <c r="N316" i="5"/>
  <c r="M316" i="5"/>
  <c r="L316" i="5"/>
  <c r="O316" i="5" s="1"/>
  <c r="J314" i="5"/>
  <c r="I312" i="5"/>
  <c r="K312" i="5" s="1"/>
  <c r="I311" i="5"/>
  <c r="K311" i="5" s="1"/>
  <c r="I310" i="5"/>
  <c r="K310" i="5" s="1"/>
  <c r="I309" i="5"/>
  <c r="N306" i="5"/>
  <c r="N304" i="5" s="1"/>
  <c r="M306" i="5"/>
  <c r="P306" i="5" s="1"/>
  <c r="L306" i="5"/>
  <c r="L304" i="5" s="1"/>
  <c r="O304" i="5" s="1"/>
  <c r="P305" i="5"/>
  <c r="O305" i="5"/>
  <c r="N303" i="5"/>
  <c r="N301" i="5" s="1"/>
  <c r="M303" i="5"/>
  <c r="M301" i="5" s="1"/>
  <c r="L303" i="5"/>
  <c r="P302" i="5"/>
  <c r="O302" i="5"/>
  <c r="O299" i="5"/>
  <c r="N299" i="5"/>
  <c r="M299" i="5"/>
  <c r="L299" i="5"/>
  <c r="J297" i="5"/>
  <c r="I294" i="5"/>
  <c r="K294" i="5" s="1"/>
  <c r="I293" i="5"/>
  <c r="K293" i="5" s="1"/>
  <c r="I291" i="5"/>
  <c r="K291" i="5" s="1"/>
  <c r="I290" i="5"/>
  <c r="K290" i="5" s="1"/>
  <c r="I288" i="5"/>
  <c r="I287" i="5"/>
  <c r="K287" i="5" s="1"/>
  <c r="N285" i="5"/>
  <c r="N283" i="5" s="1"/>
  <c r="M285" i="5"/>
  <c r="M283" i="5" s="1"/>
  <c r="P283" i="5" s="1"/>
  <c r="L285" i="5"/>
  <c r="P284" i="5"/>
  <c r="O284" i="5"/>
  <c r="N282" i="5"/>
  <c r="M282" i="5"/>
  <c r="M280" i="5" s="1"/>
  <c r="P280" i="5" s="1"/>
  <c r="L282" i="5"/>
  <c r="O282" i="5" s="1"/>
  <c r="P281" i="5"/>
  <c r="O281" i="5"/>
  <c r="P278" i="5"/>
  <c r="O278" i="5"/>
  <c r="N278" i="5"/>
  <c r="M278" i="5"/>
  <c r="L278" i="5"/>
  <c r="J276" i="5"/>
  <c r="I271" i="5"/>
  <c r="N269" i="5"/>
  <c r="N267" i="5" s="1"/>
  <c r="M269" i="5"/>
  <c r="L269" i="5"/>
  <c r="O269" i="5" s="1"/>
  <c r="P268" i="5"/>
  <c r="O268" i="5"/>
  <c r="N266" i="5"/>
  <c r="N264" i="5" s="1"/>
  <c r="M266" i="5"/>
  <c r="L266" i="5"/>
  <c r="P265" i="5"/>
  <c r="O265" i="5"/>
  <c r="O262" i="5"/>
  <c r="N262" i="5"/>
  <c r="M262" i="5"/>
  <c r="L262" i="5"/>
  <c r="J260" i="5"/>
  <c r="K258" i="5"/>
  <c r="K257" i="5"/>
  <c r="I255" i="5"/>
  <c r="K255" i="5" s="1"/>
  <c r="L253" i="5"/>
  <c r="L252" i="5"/>
  <c r="L251" i="5"/>
  <c r="L250" i="5"/>
  <c r="P249" i="5"/>
  <c r="N249" i="5"/>
  <c r="J248" i="5"/>
  <c r="J226" i="5" s="1"/>
  <c r="J180" i="5" s="1"/>
  <c r="K247" i="5"/>
  <c r="K246" i="5"/>
  <c r="I244" i="5"/>
  <c r="I237" i="5" s="1"/>
  <c r="L242" i="5"/>
  <c r="L241" i="5"/>
  <c r="L240" i="5"/>
  <c r="N239" i="5"/>
  <c r="N228" i="5" s="1"/>
  <c r="L239" i="5"/>
  <c r="P238" i="5"/>
  <c r="N238" i="5"/>
  <c r="N227" i="5" s="1"/>
  <c r="J237" i="5"/>
  <c r="J236" i="5"/>
  <c r="K236" i="5" s="1"/>
  <c r="I236" i="5"/>
  <c r="K235" i="5"/>
  <c r="J235" i="5"/>
  <c r="I235" i="5"/>
  <c r="J233" i="5"/>
  <c r="N231" i="5"/>
  <c r="N230" i="5"/>
  <c r="N229" i="5"/>
  <c r="I225" i="5"/>
  <c r="K225" i="5" s="1"/>
  <c r="I224" i="5"/>
  <c r="K224" i="5" s="1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L202" i="5"/>
  <c r="L201" i="5"/>
  <c r="N200" i="5"/>
  <c r="L200" i="5"/>
  <c r="L199" i="5"/>
  <c r="P198" i="5"/>
  <c r="N198" i="5"/>
  <c r="J197" i="5"/>
  <c r="J195" i="5"/>
  <c r="J194" i="5"/>
  <c r="I193" i="5"/>
  <c r="K193" i="5" s="1"/>
  <c r="P191" i="5"/>
  <c r="L191" i="5"/>
  <c r="O191" i="5" s="1"/>
  <c r="J190" i="5"/>
  <c r="N189" i="5"/>
  <c r="N187" i="5" s="1"/>
  <c r="M189" i="5"/>
  <c r="L189" i="5"/>
  <c r="O189" i="5" s="1"/>
  <c r="P188" i="5"/>
  <c r="O188" i="5"/>
  <c r="N186" i="5"/>
  <c r="M186" i="5"/>
  <c r="L186" i="5"/>
  <c r="P185" i="5"/>
  <c r="O185" i="5"/>
  <c r="P182" i="5"/>
  <c r="N182" i="5"/>
  <c r="M182" i="5"/>
  <c r="L182" i="5"/>
  <c r="J177" i="5"/>
  <c r="J164" i="5" s="1"/>
  <c r="I176" i="5"/>
  <c r="I174" i="5" s="1"/>
  <c r="I164" i="5" s="1"/>
  <c r="J174" i="5"/>
  <c r="N173" i="5"/>
  <c r="N171" i="5" s="1"/>
  <c r="M173" i="5"/>
  <c r="L173" i="5"/>
  <c r="P172" i="5"/>
  <c r="O172" i="5"/>
  <c r="N170" i="5"/>
  <c r="M170" i="5"/>
  <c r="L170" i="5"/>
  <c r="L168" i="5" s="1"/>
  <c r="P169" i="5"/>
  <c r="O169" i="5"/>
  <c r="P166" i="5"/>
  <c r="N166" i="5"/>
  <c r="M166" i="5"/>
  <c r="L166" i="5"/>
  <c r="I159" i="5"/>
  <c r="K159" i="5" s="1"/>
  <c r="N157" i="5"/>
  <c r="N155" i="5" s="1"/>
  <c r="M157" i="5"/>
  <c r="L157" i="5"/>
  <c r="L155" i="5" s="1"/>
  <c r="O155" i="5" s="1"/>
  <c r="P156" i="5"/>
  <c r="O156" i="5"/>
  <c r="N154" i="5"/>
  <c r="N152" i="5" s="1"/>
  <c r="M154" i="5"/>
  <c r="L154" i="5"/>
  <c r="O154" i="5" s="1"/>
  <c r="P153" i="5"/>
  <c r="O153" i="5"/>
  <c r="P150" i="5"/>
  <c r="N150" i="5"/>
  <c r="M150" i="5"/>
  <c r="L150" i="5"/>
  <c r="J148" i="5"/>
  <c r="I146" i="5"/>
  <c r="I145" i="5"/>
  <c r="I144" i="5"/>
  <c r="K144" i="5" s="1"/>
  <c r="N140" i="5"/>
  <c r="N138" i="5" s="1"/>
  <c r="M140" i="5"/>
  <c r="L140" i="5"/>
  <c r="P139" i="5"/>
  <c r="O139" i="5"/>
  <c r="N137" i="5"/>
  <c r="N135" i="5" s="1"/>
  <c r="M137" i="5"/>
  <c r="L137" i="5"/>
  <c r="P136" i="5"/>
  <c r="O136" i="5"/>
  <c r="O133" i="5"/>
  <c r="N133" i="5"/>
  <c r="M133" i="5"/>
  <c r="L133" i="5"/>
  <c r="J130" i="5"/>
  <c r="N127" i="5"/>
  <c r="N125" i="5" s="1"/>
  <c r="M127" i="5"/>
  <c r="L127" i="5"/>
  <c r="L125" i="5" s="1"/>
  <c r="P126" i="5"/>
  <c r="O126" i="5"/>
  <c r="N124" i="5"/>
  <c r="N122" i="5" s="1"/>
  <c r="M124" i="5"/>
  <c r="L124" i="5"/>
  <c r="O124" i="5" s="1"/>
  <c r="P123" i="5"/>
  <c r="O123" i="5"/>
  <c r="P120" i="5"/>
  <c r="N120" i="5"/>
  <c r="M120" i="5"/>
  <c r="L120" i="5"/>
  <c r="K118" i="5"/>
  <c r="J118" i="5"/>
  <c r="I116" i="5"/>
  <c r="K116" i="5" s="1"/>
  <c r="I115" i="5"/>
  <c r="I114" i="5"/>
  <c r="K114" i="5" s="1"/>
  <c r="I113" i="5"/>
  <c r="K113" i="5" s="1"/>
  <c r="J112" i="5"/>
  <c r="J111" i="5"/>
  <c r="I111" i="5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I99" i="5"/>
  <c r="I87" i="5" s="1"/>
  <c r="J98" i="5"/>
  <c r="I98" i="5"/>
  <c r="N96" i="5"/>
  <c r="N94" i="5" s="1"/>
  <c r="M96" i="5"/>
  <c r="L96" i="5"/>
  <c r="O96" i="5" s="1"/>
  <c r="P95" i="5"/>
  <c r="O95" i="5"/>
  <c r="N93" i="5"/>
  <c r="N91" i="5" s="1"/>
  <c r="M93" i="5"/>
  <c r="L93" i="5"/>
  <c r="L91" i="5" s="1"/>
  <c r="P92" i="5"/>
  <c r="O92" i="5"/>
  <c r="P89" i="5"/>
  <c r="N89" i="5"/>
  <c r="M89" i="5"/>
  <c r="L89" i="5"/>
  <c r="J86" i="5"/>
  <c r="I84" i="5"/>
  <c r="K84" i="5" s="1"/>
  <c r="I83" i="5"/>
  <c r="K83" i="5" s="1"/>
  <c r="I82" i="5"/>
  <c r="I81" i="5"/>
  <c r="K81" i="5" s="1"/>
  <c r="I80" i="5"/>
  <c r="K80" i="5" s="1"/>
  <c r="I79" i="5"/>
  <c r="K79" i="5" s="1"/>
  <c r="I78" i="5"/>
  <c r="K78" i="5" s="1"/>
  <c r="J77" i="5"/>
  <c r="J76" i="5"/>
  <c r="J64" i="5" s="1"/>
  <c r="N74" i="5"/>
  <c r="N72" i="5" s="1"/>
  <c r="M74" i="5"/>
  <c r="P74" i="5" s="1"/>
  <c r="L74" i="5"/>
  <c r="P73" i="5"/>
  <c r="O73" i="5"/>
  <c r="N71" i="5"/>
  <c r="N69" i="5" s="1"/>
  <c r="M71" i="5"/>
  <c r="P71" i="5" s="1"/>
  <c r="L71" i="5"/>
  <c r="P70" i="5"/>
  <c r="O70" i="5"/>
  <c r="O67" i="5"/>
  <c r="N67" i="5"/>
  <c r="M67" i="5"/>
  <c r="L67" i="5"/>
  <c r="J65" i="5"/>
  <c r="N61" i="5"/>
  <c r="N59" i="5" s="1"/>
  <c r="M61" i="5"/>
  <c r="L61" i="5"/>
  <c r="L59" i="5" s="1"/>
  <c r="P60" i="5"/>
  <c r="O60" i="5"/>
  <c r="N58" i="5"/>
  <c r="M58" i="5"/>
  <c r="L58" i="5"/>
  <c r="L56" i="5" s="1"/>
  <c r="P57" i="5"/>
  <c r="O57" i="5"/>
  <c r="P54" i="5"/>
  <c r="N54" i="5"/>
  <c r="M54" i="5"/>
  <c r="L54" i="5"/>
  <c r="N49" i="5"/>
  <c r="M49" i="5"/>
  <c r="L49" i="5"/>
  <c r="P48" i="5"/>
  <c r="O48" i="5"/>
  <c r="N46" i="5"/>
  <c r="N44" i="5" s="1"/>
  <c r="M46" i="5"/>
  <c r="L46" i="5"/>
  <c r="P45" i="5"/>
  <c r="O45" i="5"/>
  <c r="O42" i="5"/>
  <c r="N42" i="5"/>
  <c r="M42" i="5"/>
  <c r="L42" i="5"/>
  <c r="P36" i="5"/>
  <c r="N36" i="5"/>
  <c r="N34" i="5" s="1"/>
  <c r="M36" i="5"/>
  <c r="O35" i="5"/>
  <c r="N35" i="5"/>
  <c r="M35" i="5"/>
  <c r="L35" i="5"/>
  <c r="P32" i="5"/>
  <c r="N32" i="5"/>
  <c r="M32" i="5"/>
  <c r="L32" i="5"/>
  <c r="M29" i="5"/>
  <c r="P25" i="5"/>
  <c r="N25" i="5"/>
  <c r="N19" i="5" s="1"/>
  <c r="M25" i="5"/>
  <c r="L25" i="5"/>
  <c r="O22" i="5"/>
  <c r="N22" i="5"/>
  <c r="M22" i="5"/>
  <c r="L22" i="5"/>
  <c r="P19" i="5"/>
  <c r="M19" i="5"/>
  <c r="L19" i="5"/>
  <c r="O19" i="5" s="1"/>
  <c r="M15" i="5"/>
  <c r="P12" i="5"/>
  <c r="M12" i="5"/>
  <c r="L12" i="5"/>
  <c r="M9" i="5"/>
  <c r="J828" i="4"/>
  <c r="I828" i="4"/>
  <c r="J827" i="4"/>
  <c r="I827" i="4"/>
  <c r="J826" i="4"/>
  <c r="I826" i="4"/>
  <c r="K826" i="4" s="1"/>
  <c r="J825" i="4"/>
  <c r="I825" i="4"/>
  <c r="K825" i="4" s="1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O815" i="4"/>
  <c r="N815" i="4"/>
  <c r="M815" i="4"/>
  <c r="L815" i="4"/>
  <c r="P810" i="4"/>
  <c r="O810" i="4"/>
  <c r="N810" i="4"/>
  <c r="N808" i="4" s="1"/>
  <c r="P809" i="4"/>
  <c r="O809" i="4"/>
  <c r="O808" i="4"/>
  <c r="M808" i="4"/>
  <c r="P808" i="4" s="1"/>
  <c r="L808" i="4"/>
  <c r="N807" i="4"/>
  <c r="N805" i="4" s="1"/>
  <c r="M807" i="4"/>
  <c r="P807" i="4" s="1"/>
  <c r="L807" i="4"/>
  <c r="O807" i="4" s="1"/>
  <c r="N806" i="4"/>
  <c r="M806" i="4"/>
  <c r="L806" i="4"/>
  <c r="O806" i="4" s="1"/>
  <c r="K804" i="4"/>
  <c r="J804" i="4"/>
  <c r="K802" i="4"/>
  <c r="J801" i="4"/>
  <c r="J800" i="4"/>
  <c r="J785" i="4" s="1"/>
  <c r="I800" i="4"/>
  <c r="P798" i="4"/>
  <c r="O798" i="4"/>
  <c r="P797" i="4"/>
  <c r="O797" i="4"/>
  <c r="P796" i="4"/>
  <c r="O796" i="4"/>
  <c r="N796" i="4"/>
  <c r="M796" i="4"/>
  <c r="L796" i="4"/>
  <c r="P791" i="4"/>
  <c r="N791" i="4"/>
  <c r="L791" i="4"/>
  <c r="P790" i="4"/>
  <c r="O790" i="4"/>
  <c r="N789" i="4"/>
  <c r="M789" i="4"/>
  <c r="P789" i="4" s="1"/>
  <c r="N788" i="4"/>
  <c r="N786" i="4" s="1"/>
  <c r="M788" i="4"/>
  <c r="P788" i="4" s="1"/>
  <c r="N787" i="4"/>
  <c r="M787" i="4"/>
  <c r="L787" i="4"/>
  <c r="O787" i="4" s="1"/>
  <c r="P782" i="4"/>
  <c r="O782" i="4"/>
  <c r="P781" i="4"/>
  <c r="O781" i="4"/>
  <c r="P780" i="4"/>
  <c r="N780" i="4"/>
  <c r="M780" i="4"/>
  <c r="L780" i="4"/>
  <c r="O780" i="4" s="1"/>
  <c r="P775" i="4"/>
  <c r="O775" i="4"/>
  <c r="N775" i="4"/>
  <c r="P774" i="4"/>
  <c r="O774" i="4"/>
  <c r="P773" i="4"/>
  <c r="O773" i="4"/>
  <c r="N773" i="4"/>
  <c r="M773" i="4"/>
  <c r="L773" i="4"/>
  <c r="O772" i="4"/>
  <c r="N772" i="4"/>
  <c r="M772" i="4"/>
  <c r="P772" i="4" s="1"/>
  <c r="L772" i="4"/>
  <c r="N771" i="4"/>
  <c r="N770" i="4" s="1"/>
  <c r="M771" i="4"/>
  <c r="P771" i="4" s="1"/>
  <c r="L771" i="4"/>
  <c r="O771" i="4" s="1"/>
  <c r="L770" i="4"/>
  <c r="O770" i="4" s="1"/>
  <c r="K769" i="4"/>
  <c r="J769" i="4"/>
  <c r="P766" i="4"/>
  <c r="O766" i="4"/>
  <c r="P765" i="4"/>
  <c r="O765" i="4"/>
  <c r="P764" i="4"/>
  <c r="N764" i="4"/>
  <c r="M764" i="4"/>
  <c r="L764" i="4"/>
  <c r="O764" i="4" s="1"/>
  <c r="P759" i="4"/>
  <c r="O759" i="4"/>
  <c r="N759" i="4"/>
  <c r="P758" i="4"/>
  <c r="O758" i="4"/>
  <c r="P757" i="4"/>
  <c r="O757" i="4"/>
  <c r="N757" i="4"/>
  <c r="M757" i="4"/>
  <c r="L757" i="4"/>
  <c r="O756" i="4"/>
  <c r="N756" i="4"/>
  <c r="M756" i="4"/>
  <c r="P756" i="4" s="1"/>
  <c r="L756" i="4"/>
  <c r="N755" i="4"/>
  <c r="M755" i="4"/>
  <c r="P755" i="4" s="1"/>
  <c r="L755" i="4"/>
  <c r="O755" i="4" s="1"/>
  <c r="M754" i="4"/>
  <c r="P754" i="4" s="1"/>
  <c r="K753" i="4"/>
  <c r="J753" i="4"/>
  <c r="P749" i="4"/>
  <c r="O749" i="4"/>
  <c r="P748" i="4"/>
  <c r="O748" i="4"/>
  <c r="P747" i="4"/>
  <c r="N747" i="4"/>
  <c r="M747" i="4"/>
  <c r="L747" i="4"/>
  <c r="O747" i="4" s="1"/>
  <c r="P742" i="4"/>
  <c r="O742" i="4"/>
  <c r="N742" i="4"/>
  <c r="P741" i="4"/>
  <c r="O741" i="4"/>
  <c r="P740" i="4"/>
  <c r="O740" i="4"/>
  <c r="N740" i="4"/>
  <c r="M740" i="4"/>
  <c r="L740" i="4"/>
  <c r="O739" i="4"/>
  <c r="N739" i="4"/>
  <c r="M739" i="4"/>
  <c r="P739" i="4" s="1"/>
  <c r="L739" i="4"/>
  <c r="N738" i="4"/>
  <c r="N737" i="4" s="1"/>
  <c r="M738" i="4"/>
  <c r="P738" i="4" s="1"/>
  <c r="L738" i="4"/>
  <c r="O738" i="4" s="1"/>
  <c r="L737" i="4"/>
  <c r="O737" i="4" s="1"/>
  <c r="K736" i="4"/>
  <c r="J736" i="4"/>
  <c r="J729" i="4"/>
  <c r="I729" i="4"/>
  <c r="K729" i="4" s="1"/>
  <c r="J728" i="4"/>
  <c r="I728" i="4"/>
  <c r="K728" i="4" s="1"/>
  <c r="J727" i="4"/>
  <c r="J726" i="4"/>
  <c r="I726" i="4"/>
  <c r="K726" i="4" s="1"/>
  <c r="J725" i="4"/>
  <c r="I725" i="4"/>
  <c r="K725" i="4" s="1"/>
  <c r="J724" i="4"/>
  <c r="J723" i="4"/>
  <c r="I723" i="4"/>
  <c r="K723" i="4" s="1"/>
  <c r="I722" i="4"/>
  <c r="K722" i="4" s="1"/>
  <c r="I721" i="4"/>
  <c r="K721" i="4" s="1"/>
  <c r="J720" i="4"/>
  <c r="I720" i="4"/>
  <c r="K720" i="4" s="1"/>
  <c r="J719" i="4"/>
  <c r="J718" i="4"/>
  <c r="J708" i="4"/>
  <c r="I708" i="4"/>
  <c r="K708" i="4" s="1"/>
  <c r="I707" i="4"/>
  <c r="I704" i="4"/>
  <c r="J701" i="4"/>
  <c r="I701" i="4"/>
  <c r="K701" i="4" s="1"/>
  <c r="J700" i="4"/>
  <c r="I700" i="4"/>
  <c r="K700" i="4" s="1"/>
  <c r="J699" i="4"/>
  <c r="I699" i="4"/>
  <c r="K699" i="4" s="1"/>
  <c r="P697" i="4"/>
  <c r="O697" i="4"/>
  <c r="P696" i="4"/>
  <c r="O696" i="4"/>
  <c r="P695" i="4"/>
  <c r="N695" i="4"/>
  <c r="M695" i="4"/>
  <c r="L695" i="4"/>
  <c r="O695" i="4" s="1"/>
  <c r="P690" i="4"/>
  <c r="N690" i="4"/>
  <c r="L690" i="4"/>
  <c r="O690" i="4" s="1"/>
  <c r="N688" i="4"/>
  <c r="M688" i="4"/>
  <c r="P688" i="4" s="1"/>
  <c r="N687" i="4"/>
  <c r="M687" i="4"/>
  <c r="P687" i="4" s="1"/>
  <c r="N686" i="4"/>
  <c r="N685" i="4" s="1"/>
  <c r="M686" i="4"/>
  <c r="L686" i="4"/>
  <c r="O686" i="4" s="1"/>
  <c r="J679" i="4"/>
  <c r="J678" i="4" s="1"/>
  <c r="I678" i="4"/>
  <c r="K678" i="4" s="1"/>
  <c r="J675" i="4"/>
  <c r="J669" i="4" s="1"/>
  <c r="J654" i="4" s="1"/>
  <c r="I671" i="4"/>
  <c r="K671" i="4" s="1"/>
  <c r="I670" i="4"/>
  <c r="K670" i="4" s="1"/>
  <c r="I669" i="4"/>
  <c r="K673" i="4" s="1"/>
  <c r="P667" i="4"/>
  <c r="O667" i="4"/>
  <c r="P666" i="4"/>
  <c r="O666" i="4"/>
  <c r="N665" i="4"/>
  <c r="M665" i="4"/>
  <c r="P665" i="4" s="1"/>
  <c r="L665" i="4"/>
  <c r="O665" i="4" s="1"/>
  <c r="P660" i="4"/>
  <c r="N660" i="4"/>
  <c r="L660" i="4"/>
  <c r="O660" i="4" s="1"/>
  <c r="P659" i="4"/>
  <c r="O659" i="4"/>
  <c r="P658" i="4"/>
  <c r="N658" i="4"/>
  <c r="M658" i="4"/>
  <c r="L658" i="4"/>
  <c r="O658" i="4" s="1"/>
  <c r="P657" i="4"/>
  <c r="N657" i="4"/>
  <c r="M657" i="4"/>
  <c r="P656" i="4"/>
  <c r="O656" i="4"/>
  <c r="N656" i="4"/>
  <c r="N655" i="4" s="1"/>
  <c r="M656" i="4"/>
  <c r="L656" i="4"/>
  <c r="M655" i="4"/>
  <c r="P655" i="4" s="1"/>
  <c r="K652" i="4"/>
  <c r="J652" i="4"/>
  <c r="J651" i="4"/>
  <c r="J628" i="4" s="1"/>
  <c r="I651" i="4"/>
  <c r="K651" i="4" s="1"/>
  <c r="K650" i="4"/>
  <c r="J650" i="4"/>
  <c r="J649" i="4"/>
  <c r="I649" i="4"/>
  <c r="K649" i="4" s="1"/>
  <c r="K648" i="4"/>
  <c r="J648" i="4"/>
  <c r="J647" i="4"/>
  <c r="I647" i="4"/>
  <c r="K647" i="4" s="1"/>
  <c r="K646" i="4"/>
  <c r="J646" i="4"/>
  <c r="K645" i="4"/>
  <c r="J645" i="4"/>
  <c r="I644" i="4"/>
  <c r="K644" i="4" s="1"/>
  <c r="I643" i="4"/>
  <c r="K643" i="4" s="1"/>
  <c r="P641" i="4"/>
  <c r="L641" i="4"/>
  <c r="L639" i="4" s="1"/>
  <c r="O639" i="4" s="1"/>
  <c r="P640" i="4"/>
  <c r="O640" i="4"/>
  <c r="N639" i="4"/>
  <c r="M639" i="4"/>
  <c r="P639" i="4" s="1"/>
  <c r="P634" i="4"/>
  <c r="N634" i="4"/>
  <c r="N631" i="4" s="1"/>
  <c r="N629" i="4" s="1"/>
  <c r="L634" i="4"/>
  <c r="O634" i="4" s="1"/>
  <c r="P633" i="4"/>
  <c r="O633" i="4"/>
  <c r="N632" i="4"/>
  <c r="M632" i="4"/>
  <c r="P632" i="4" s="1"/>
  <c r="M631" i="4"/>
  <c r="P631" i="4" s="1"/>
  <c r="P630" i="4"/>
  <c r="N630" i="4"/>
  <c r="M630" i="4"/>
  <c r="L630" i="4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6" i="4"/>
  <c r="J595" i="4"/>
  <c r="J593" i="4" s="1"/>
  <c r="J594" i="4"/>
  <c r="I594" i="4"/>
  <c r="I593" i="4"/>
  <c r="J592" i="4"/>
  <c r="J583" i="4"/>
  <c r="J582" i="4"/>
  <c r="J576" i="4" s="1"/>
  <c r="J559" i="4" s="1"/>
  <c r="J577" i="4"/>
  <c r="I577" i="4"/>
  <c r="K577" i="4" s="1"/>
  <c r="I576" i="4"/>
  <c r="I559" i="4" s="1"/>
  <c r="I543" i="4" s="1"/>
  <c r="J569" i="4"/>
  <c r="I569" i="4"/>
  <c r="J568" i="4"/>
  <c r="I568" i="4"/>
  <c r="K568" i="4" s="1"/>
  <c r="J561" i="4"/>
  <c r="I561" i="4"/>
  <c r="K561" i="4" s="1"/>
  <c r="J560" i="4"/>
  <c r="I560" i="4"/>
  <c r="K560" i="4" s="1"/>
  <c r="P557" i="4"/>
  <c r="L557" i="4"/>
  <c r="O557" i="4" s="1"/>
  <c r="P556" i="4"/>
  <c r="O556" i="4"/>
  <c r="P555" i="4"/>
  <c r="N555" i="4"/>
  <c r="M555" i="4"/>
  <c r="M545" i="4" s="1"/>
  <c r="L555" i="4"/>
  <c r="O555" i="4" s="1"/>
  <c r="N553" i="4"/>
  <c r="N549" i="4" s="1"/>
  <c r="L549" i="4"/>
  <c r="P548" i="4"/>
  <c r="O548" i="4"/>
  <c r="O545" i="4"/>
  <c r="N545" i="4"/>
  <c r="L545" i="4"/>
  <c r="I542" i="4"/>
  <c r="K542" i="4" s="1"/>
  <c r="I541" i="4"/>
  <c r="K541" i="4" s="1"/>
  <c r="I540" i="4"/>
  <c r="I539" i="4"/>
  <c r="K539" i="4" s="1"/>
  <c r="I538" i="4"/>
  <c r="K538" i="4" s="1"/>
  <c r="I537" i="4"/>
  <c r="P535" i="4"/>
  <c r="L535" i="4"/>
  <c r="O535" i="4" s="1"/>
  <c r="P534" i="4"/>
  <c r="O534" i="4"/>
  <c r="P533" i="4"/>
  <c r="N533" i="4"/>
  <c r="M533" i="4"/>
  <c r="P528" i="4"/>
  <c r="N528" i="4"/>
  <c r="L528" i="4"/>
  <c r="L526" i="4" s="1"/>
  <c r="O526" i="4" s="1"/>
  <c r="P527" i="4"/>
  <c r="O527" i="4"/>
  <c r="P526" i="4"/>
  <c r="N526" i="4"/>
  <c r="M526" i="4"/>
  <c r="P525" i="4"/>
  <c r="N525" i="4"/>
  <c r="M525" i="4"/>
  <c r="O524" i="4"/>
  <c r="N524" i="4"/>
  <c r="M524" i="4"/>
  <c r="P524" i="4" s="1"/>
  <c r="L524" i="4"/>
  <c r="N523" i="4"/>
  <c r="K517" i="4"/>
  <c r="J517" i="4"/>
  <c r="J501" i="4" s="1"/>
  <c r="K516" i="4"/>
  <c r="P514" i="4"/>
  <c r="O514" i="4"/>
  <c r="P513" i="4"/>
  <c r="O513" i="4"/>
  <c r="P512" i="4"/>
  <c r="O512" i="4"/>
  <c r="N512" i="4"/>
  <c r="M512" i="4"/>
  <c r="L512" i="4"/>
  <c r="P507" i="4"/>
  <c r="O507" i="4"/>
  <c r="N507" i="4"/>
  <c r="N505" i="4" s="1"/>
  <c r="P506" i="4"/>
  <c r="O506" i="4"/>
  <c r="O505" i="4"/>
  <c r="M505" i="4"/>
  <c r="P505" i="4" s="1"/>
  <c r="L505" i="4"/>
  <c r="N504" i="4"/>
  <c r="M504" i="4"/>
  <c r="P504" i="4" s="1"/>
  <c r="L504" i="4"/>
  <c r="O504" i="4" s="1"/>
  <c r="N503" i="4"/>
  <c r="M503" i="4"/>
  <c r="L503" i="4"/>
  <c r="O503" i="4" s="1"/>
  <c r="K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L477" i="4" s="1"/>
  <c r="O477" i="4" s="1"/>
  <c r="P478" i="4"/>
  <c r="O478" i="4"/>
  <c r="P477" i="4"/>
  <c r="N477" i="4"/>
  <c r="M477" i="4"/>
  <c r="N476" i="4"/>
  <c r="N472" i="4"/>
  <c r="N470" i="4" s="1"/>
  <c r="L472" i="4"/>
  <c r="M472" i="4" s="1"/>
  <c r="P471" i="4"/>
  <c r="O471" i="4"/>
  <c r="O468" i="4"/>
  <c r="N468" i="4"/>
  <c r="M468" i="4"/>
  <c r="P468" i="4" s="1"/>
  <c r="L468" i="4"/>
  <c r="J466" i="4"/>
  <c r="I466" i="4"/>
  <c r="K466" i="4" s="1"/>
  <c r="J465" i="4"/>
  <c r="I465" i="4"/>
  <c r="K465" i="4" s="1"/>
  <c r="I464" i="4"/>
  <c r="I463" i="4"/>
  <c r="I462" i="4"/>
  <c r="K462" i="4" s="1"/>
  <c r="I460" i="4"/>
  <c r="I442" i="4" s="1"/>
  <c r="K442" i="4" s="1"/>
  <c r="K458" i="4"/>
  <c r="P456" i="4"/>
  <c r="L456" i="4"/>
  <c r="O456" i="4" s="1"/>
  <c r="P455" i="4"/>
  <c r="O455" i="4"/>
  <c r="N454" i="4"/>
  <c r="M454" i="4"/>
  <c r="P454" i="4" s="1"/>
  <c r="N453" i="4"/>
  <c r="N449" i="4" s="1"/>
  <c r="N446" i="4" s="1"/>
  <c r="L449" i="4"/>
  <c r="P448" i="4"/>
  <c r="O448" i="4"/>
  <c r="P445" i="4"/>
  <c r="N445" i="4"/>
  <c r="M445" i="4"/>
  <c r="L445" i="4"/>
  <c r="J443" i="4"/>
  <c r="I443" i="4"/>
  <c r="K443" i="4" s="1"/>
  <c r="J442" i="4"/>
  <c r="I441" i="4"/>
  <c r="K441" i="4" s="1"/>
  <c r="I440" i="4"/>
  <c r="K440" i="4" s="1"/>
  <c r="I439" i="4"/>
  <c r="K439" i="4" s="1"/>
  <c r="I438" i="4"/>
  <c r="K438" i="4" s="1"/>
  <c r="I437" i="4"/>
  <c r="K437" i="4" s="1"/>
  <c r="I435" i="4"/>
  <c r="K435" i="4" s="1"/>
  <c r="J434" i="4"/>
  <c r="J418" i="4" s="1"/>
  <c r="P431" i="4"/>
  <c r="L431" i="4"/>
  <c r="P430" i="4"/>
  <c r="O430" i="4"/>
  <c r="N429" i="4"/>
  <c r="M429" i="4"/>
  <c r="P429" i="4" s="1"/>
  <c r="N428" i="4"/>
  <c r="N424" i="4"/>
  <c r="L424" i="4"/>
  <c r="L422" i="4" s="1"/>
  <c r="P423" i="4"/>
  <c r="O423" i="4"/>
  <c r="N420" i="4"/>
  <c r="M420" i="4"/>
  <c r="P420" i="4" s="1"/>
  <c r="L420" i="4"/>
  <c r="O420" i="4" s="1"/>
  <c r="K413" i="4"/>
  <c r="K412" i="4"/>
  <c r="N410" i="4"/>
  <c r="M410" i="4"/>
  <c r="L410" i="4"/>
  <c r="O410" i="4" s="1"/>
  <c r="P409" i="4"/>
  <c r="O409" i="4"/>
  <c r="N407" i="4"/>
  <c r="N405" i="4" s="1"/>
  <c r="M407" i="4"/>
  <c r="P407" i="4" s="1"/>
  <c r="L407" i="4"/>
  <c r="O407" i="4" s="1"/>
  <c r="P406" i="4"/>
  <c r="O406" i="4"/>
  <c r="P403" i="4"/>
  <c r="N403" i="4"/>
  <c r="M403" i="4"/>
  <c r="L403" i="4"/>
  <c r="J401" i="4"/>
  <c r="I401" i="4"/>
  <c r="K401" i="4" s="1"/>
  <c r="K400" i="4"/>
  <c r="K399" i="4"/>
  <c r="N397" i="4"/>
  <c r="N395" i="4" s="1"/>
  <c r="M397" i="4"/>
  <c r="L397" i="4"/>
  <c r="O397" i="4" s="1"/>
  <c r="P396" i="4"/>
  <c r="O396" i="4"/>
  <c r="N394" i="4"/>
  <c r="N392" i="4" s="1"/>
  <c r="M394" i="4"/>
  <c r="L394" i="4"/>
  <c r="P393" i="4"/>
  <c r="O393" i="4"/>
  <c r="N390" i="4"/>
  <c r="M390" i="4"/>
  <c r="P390" i="4" s="1"/>
  <c r="L390" i="4"/>
  <c r="O390" i="4" s="1"/>
  <c r="K388" i="4"/>
  <c r="J388" i="4"/>
  <c r="I388" i="4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M353" i="4"/>
  <c r="L353" i="4"/>
  <c r="L351" i="4" s="1"/>
  <c r="P352" i="4"/>
  <c r="O352" i="4"/>
  <c r="N350" i="4"/>
  <c r="M350" i="4"/>
  <c r="L350" i="4"/>
  <c r="L348" i="4" s="1"/>
  <c r="P349" i="4"/>
  <c r="O349" i="4"/>
  <c r="N346" i="4"/>
  <c r="M346" i="4"/>
  <c r="P346" i="4" s="1"/>
  <c r="L346" i="4"/>
  <c r="O346" i="4" s="1"/>
  <c r="J343" i="4"/>
  <c r="J342" i="4"/>
  <c r="J341" i="4"/>
  <c r="J340" i="4"/>
  <c r="I340" i="4"/>
  <c r="J338" i="4"/>
  <c r="I338" i="4"/>
  <c r="N336" i="4"/>
  <c r="N334" i="4" s="1"/>
  <c r="M336" i="4"/>
  <c r="M334" i="4" s="1"/>
  <c r="P334" i="4" s="1"/>
  <c r="L336" i="4"/>
  <c r="P335" i="4"/>
  <c r="O335" i="4"/>
  <c r="N333" i="4"/>
  <c r="M333" i="4"/>
  <c r="L333" i="4"/>
  <c r="L331" i="4" s="1"/>
  <c r="P332" i="4"/>
  <c r="O332" i="4"/>
  <c r="N329" i="4"/>
  <c r="M329" i="4"/>
  <c r="P329" i="4" s="1"/>
  <c r="L329" i="4"/>
  <c r="I327" i="4"/>
  <c r="I325" i="4"/>
  <c r="I314" i="4" s="1"/>
  <c r="K314" i="4" s="1"/>
  <c r="N323" i="4"/>
  <c r="N321" i="4" s="1"/>
  <c r="M323" i="4"/>
  <c r="P323" i="4" s="1"/>
  <c r="L323" i="4"/>
  <c r="P322" i="4"/>
  <c r="O322" i="4"/>
  <c r="N320" i="4"/>
  <c r="N318" i="4" s="1"/>
  <c r="M320" i="4"/>
  <c r="L320" i="4"/>
  <c r="L318" i="4" s="1"/>
  <c r="O318" i="4" s="1"/>
  <c r="P319" i="4"/>
  <c r="O319" i="4"/>
  <c r="P316" i="4"/>
  <c r="O316" i="4"/>
  <c r="N316" i="4"/>
  <c r="M316" i="4"/>
  <c r="L316" i="4"/>
  <c r="J314" i="4"/>
  <c r="I312" i="4"/>
  <c r="K312" i="4" s="1"/>
  <c r="I311" i="4"/>
  <c r="K311" i="4" s="1"/>
  <c r="I310" i="4"/>
  <c r="K310" i="4" s="1"/>
  <c r="I309" i="4"/>
  <c r="I297" i="4" s="1"/>
  <c r="K297" i="4" s="1"/>
  <c r="N306" i="4"/>
  <c r="N304" i="4" s="1"/>
  <c r="M306" i="4"/>
  <c r="P306" i="4" s="1"/>
  <c r="L306" i="4"/>
  <c r="L304" i="4" s="1"/>
  <c r="O304" i="4" s="1"/>
  <c r="P305" i="4"/>
  <c r="O305" i="4"/>
  <c r="N303" i="4"/>
  <c r="N301" i="4" s="1"/>
  <c r="M303" i="4"/>
  <c r="L303" i="4"/>
  <c r="O303" i="4" s="1"/>
  <c r="P302" i="4"/>
  <c r="O302" i="4"/>
  <c r="P299" i="4"/>
  <c r="N299" i="4"/>
  <c r="M299" i="4"/>
  <c r="L299" i="4"/>
  <c r="J297" i="4"/>
  <c r="I294" i="4"/>
  <c r="K294" i="4" s="1"/>
  <c r="I293" i="4"/>
  <c r="K293" i="4" s="1"/>
  <c r="I291" i="4"/>
  <c r="K291" i="4" s="1"/>
  <c r="I290" i="4"/>
  <c r="K290" i="4" s="1"/>
  <c r="I288" i="4"/>
  <c r="K288" i="4" s="1"/>
  <c r="I287" i="4"/>
  <c r="I276" i="4" s="1"/>
  <c r="K276" i="4" s="1"/>
  <c r="N285" i="4"/>
  <c r="N283" i="4" s="1"/>
  <c r="M285" i="4"/>
  <c r="L285" i="4"/>
  <c r="L283" i="4" s="1"/>
  <c r="O283" i="4" s="1"/>
  <c r="P284" i="4"/>
  <c r="O284" i="4"/>
  <c r="N282" i="4"/>
  <c r="M282" i="4"/>
  <c r="P282" i="4" s="1"/>
  <c r="L282" i="4"/>
  <c r="L280" i="4" s="1"/>
  <c r="O280" i="4" s="1"/>
  <c r="P281" i="4"/>
  <c r="O281" i="4"/>
  <c r="O278" i="4"/>
  <c r="N278" i="4"/>
  <c r="M278" i="4"/>
  <c r="L278" i="4"/>
  <c r="J276" i="4"/>
  <c r="I271" i="4"/>
  <c r="K271" i="4" s="1"/>
  <c r="N269" i="4"/>
  <c r="N267" i="4" s="1"/>
  <c r="M269" i="4"/>
  <c r="L269" i="4"/>
  <c r="O269" i="4" s="1"/>
  <c r="P268" i="4"/>
  <c r="O268" i="4"/>
  <c r="N266" i="4"/>
  <c r="N264" i="4" s="1"/>
  <c r="M266" i="4"/>
  <c r="L266" i="4"/>
  <c r="P265" i="4"/>
  <c r="O265" i="4"/>
  <c r="P262" i="4"/>
  <c r="N262" i="4"/>
  <c r="M262" i="4"/>
  <c r="L262" i="4"/>
  <c r="J260" i="4"/>
  <c r="K258" i="4"/>
  <c r="K257" i="4"/>
  <c r="I255" i="4"/>
  <c r="L253" i="4"/>
  <c r="L252" i="4"/>
  <c r="L251" i="4"/>
  <c r="L250" i="4"/>
  <c r="P249" i="4"/>
  <c r="N249" i="4"/>
  <c r="J248" i="4"/>
  <c r="K247" i="4"/>
  <c r="K246" i="4"/>
  <c r="I244" i="4"/>
  <c r="L242" i="4"/>
  <c r="L241" i="4"/>
  <c r="L240" i="4"/>
  <c r="L239" i="4"/>
  <c r="P238" i="4"/>
  <c r="N238" i="4"/>
  <c r="N227" i="4" s="1"/>
  <c r="J237" i="4"/>
  <c r="J226" i="4" s="1"/>
  <c r="J180" i="4" s="1"/>
  <c r="K236" i="4"/>
  <c r="J236" i="4"/>
  <c r="I236" i="4"/>
  <c r="K235" i="4"/>
  <c r="J235" i="4"/>
  <c r="I235" i="4"/>
  <c r="J233" i="4"/>
  <c r="N231" i="4"/>
  <c r="N230" i="4"/>
  <c r="N229" i="4"/>
  <c r="N228" i="4"/>
  <c r="I225" i="4"/>
  <c r="K225" i="4" s="1"/>
  <c r="I224" i="4"/>
  <c r="K224" i="4" s="1"/>
  <c r="I223" i="4"/>
  <c r="K223" i="4" s="1"/>
  <c r="N220" i="4"/>
  <c r="L220" i="4"/>
  <c r="L219" i="4"/>
  <c r="N218" i="4"/>
  <c r="N217" i="4" s="1"/>
  <c r="L218" i="4"/>
  <c r="P217" i="4"/>
  <c r="J216" i="4"/>
  <c r="I215" i="4"/>
  <c r="K215" i="4" s="1"/>
  <c r="I214" i="4"/>
  <c r="K214" i="4" s="1"/>
  <c r="L212" i="4"/>
  <c r="L211" i="4"/>
  <c r="L210" i="4"/>
  <c r="P209" i="4"/>
  <c r="N209" i="4"/>
  <c r="J208" i="4"/>
  <c r="K207" i="4"/>
  <c r="K206" i="4"/>
  <c r="I204" i="4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L189" i="4"/>
  <c r="O189" i="4" s="1"/>
  <c r="P188" i="4"/>
  <c r="O188" i="4"/>
  <c r="N186" i="4"/>
  <c r="M186" i="4"/>
  <c r="L186" i="4"/>
  <c r="L184" i="4" s="1"/>
  <c r="P185" i="4"/>
  <c r="O185" i="4"/>
  <c r="P182" i="4"/>
  <c r="N182" i="4"/>
  <c r="M182" i="4"/>
  <c r="L182" i="4"/>
  <c r="J177" i="4"/>
  <c r="I176" i="4"/>
  <c r="I174" i="4" s="1"/>
  <c r="J174" i="4"/>
  <c r="N173" i="4"/>
  <c r="N171" i="4" s="1"/>
  <c r="M173" i="4"/>
  <c r="L173" i="4"/>
  <c r="O173" i="4" s="1"/>
  <c r="P172" i="4"/>
  <c r="O172" i="4"/>
  <c r="N170" i="4"/>
  <c r="M170" i="4"/>
  <c r="L170" i="4"/>
  <c r="P169" i="4"/>
  <c r="O169" i="4"/>
  <c r="P166" i="4"/>
  <c r="N166" i="4"/>
  <c r="M166" i="4"/>
  <c r="L166" i="4"/>
  <c r="J164" i="4"/>
  <c r="I159" i="4"/>
  <c r="K159" i="4" s="1"/>
  <c r="N157" i="4"/>
  <c r="N155" i="4" s="1"/>
  <c r="M157" i="4"/>
  <c r="M155" i="4" s="1"/>
  <c r="P155" i="4" s="1"/>
  <c r="L157" i="4"/>
  <c r="P156" i="4"/>
  <c r="O156" i="4"/>
  <c r="N154" i="4"/>
  <c r="N152" i="4" s="1"/>
  <c r="M154" i="4"/>
  <c r="M152" i="4" s="1"/>
  <c r="P152" i="4" s="1"/>
  <c r="L154" i="4"/>
  <c r="P153" i="4"/>
  <c r="O153" i="4"/>
  <c r="P150" i="4"/>
  <c r="N150" i="4"/>
  <c r="M150" i="4"/>
  <c r="L150" i="4"/>
  <c r="J148" i="4"/>
  <c r="I146" i="4"/>
  <c r="K146" i="4" s="1"/>
  <c r="I145" i="4"/>
  <c r="K145" i="4" s="1"/>
  <c r="I144" i="4"/>
  <c r="K144" i="4" s="1"/>
  <c r="N140" i="4"/>
  <c r="N138" i="4" s="1"/>
  <c r="M140" i="4"/>
  <c r="P140" i="4" s="1"/>
  <c r="L140" i="4"/>
  <c r="P139" i="4"/>
  <c r="O139" i="4"/>
  <c r="N137" i="4"/>
  <c r="N135" i="4" s="1"/>
  <c r="M137" i="4"/>
  <c r="L137" i="4"/>
  <c r="P136" i="4"/>
  <c r="O136" i="4"/>
  <c r="O133" i="4"/>
  <c r="N133" i="4"/>
  <c r="M133" i="4"/>
  <c r="L133" i="4"/>
  <c r="J130" i="4"/>
  <c r="N127" i="4"/>
  <c r="N125" i="4" s="1"/>
  <c r="M127" i="4"/>
  <c r="P127" i="4" s="1"/>
  <c r="L127" i="4"/>
  <c r="O127" i="4" s="1"/>
  <c r="P126" i="4"/>
  <c r="O126" i="4"/>
  <c r="N124" i="4"/>
  <c r="N122" i="4" s="1"/>
  <c r="M124" i="4"/>
  <c r="M122" i="4" s="1"/>
  <c r="P122" i="4" s="1"/>
  <c r="L124" i="4"/>
  <c r="O124" i="4" s="1"/>
  <c r="P123" i="4"/>
  <c r="O123" i="4"/>
  <c r="P120" i="4"/>
  <c r="O120" i="4"/>
  <c r="N120" i="4"/>
  <c r="M120" i="4"/>
  <c r="L120" i="4"/>
  <c r="I116" i="4"/>
  <c r="K116" i="4" s="1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J87" i="4" s="1"/>
  <c r="I99" i="4"/>
  <c r="K99" i="4" s="1"/>
  <c r="J98" i="4"/>
  <c r="I98" i="4"/>
  <c r="K98" i="4" s="1"/>
  <c r="N96" i="4"/>
  <c r="N94" i="4" s="1"/>
  <c r="M96" i="4"/>
  <c r="L96" i="4"/>
  <c r="O96" i="4" s="1"/>
  <c r="P95" i="4"/>
  <c r="O95" i="4"/>
  <c r="N93" i="4"/>
  <c r="M93" i="4"/>
  <c r="M91" i="4" s="1"/>
  <c r="L93" i="4"/>
  <c r="L91" i="4" s="1"/>
  <c r="P92" i="4"/>
  <c r="O92" i="4"/>
  <c r="N89" i="4"/>
  <c r="M89" i="4"/>
  <c r="P89" i="4" s="1"/>
  <c r="L89" i="4"/>
  <c r="O89" i="4" s="1"/>
  <c r="J86" i="4"/>
  <c r="I84" i="4"/>
  <c r="K84" i="4" s="1"/>
  <c r="I83" i="4"/>
  <c r="K83" i="4" s="1"/>
  <c r="I82" i="4"/>
  <c r="I81" i="4"/>
  <c r="K81" i="4" s="1"/>
  <c r="I80" i="4"/>
  <c r="K80" i="4" s="1"/>
  <c r="I79" i="4"/>
  <c r="K79" i="4" s="1"/>
  <c r="I78" i="4"/>
  <c r="K78" i="4" s="1"/>
  <c r="J77" i="4"/>
  <c r="J76" i="4"/>
  <c r="J64" i="4" s="1"/>
  <c r="N74" i="4"/>
  <c r="N72" i="4" s="1"/>
  <c r="M74" i="4"/>
  <c r="M72" i="4" s="1"/>
  <c r="P72" i="4" s="1"/>
  <c r="L74" i="4"/>
  <c r="O74" i="4" s="1"/>
  <c r="P73" i="4"/>
  <c r="O73" i="4"/>
  <c r="N71" i="4"/>
  <c r="N69" i="4" s="1"/>
  <c r="M71" i="4"/>
  <c r="L71" i="4"/>
  <c r="O71" i="4" s="1"/>
  <c r="P70" i="4"/>
  <c r="O70" i="4"/>
  <c r="P67" i="4"/>
  <c r="N67" i="4"/>
  <c r="M67" i="4"/>
  <c r="L67" i="4"/>
  <c r="O67" i="4" s="1"/>
  <c r="J65" i="4"/>
  <c r="N61" i="4"/>
  <c r="N59" i="4" s="1"/>
  <c r="M61" i="4"/>
  <c r="L61" i="4"/>
  <c r="O61" i="4" s="1"/>
  <c r="P60" i="4"/>
  <c r="O60" i="4"/>
  <c r="N58" i="4"/>
  <c r="M58" i="4"/>
  <c r="M56" i="4" s="1"/>
  <c r="L58" i="4"/>
  <c r="L56" i="4" s="1"/>
  <c r="P57" i="4"/>
  <c r="O57" i="4"/>
  <c r="O54" i="4"/>
  <c r="N54" i="4"/>
  <c r="M54" i="4"/>
  <c r="L54" i="4"/>
  <c r="N49" i="4"/>
  <c r="M49" i="4"/>
  <c r="M47" i="4" s="1"/>
  <c r="P47" i="4" s="1"/>
  <c r="L49" i="4"/>
  <c r="O49" i="4" s="1"/>
  <c r="P48" i="4"/>
  <c r="O48" i="4"/>
  <c r="N46" i="4"/>
  <c r="N44" i="4" s="1"/>
  <c r="M46" i="4"/>
  <c r="M44" i="4" s="1"/>
  <c r="L46" i="4"/>
  <c r="P45" i="4"/>
  <c r="O45" i="4"/>
  <c r="P42" i="4"/>
  <c r="N42" i="4"/>
  <c r="M42" i="4"/>
  <c r="L42" i="4"/>
  <c r="O42" i="4" s="1"/>
  <c r="N36" i="4"/>
  <c r="M36" i="4"/>
  <c r="P36" i="4" s="1"/>
  <c r="N35" i="4"/>
  <c r="N34" i="4" s="1"/>
  <c r="M35" i="4"/>
  <c r="P35" i="4" s="1"/>
  <c r="L35" i="4"/>
  <c r="M34" i="4"/>
  <c r="P34" i="4" s="1"/>
  <c r="P32" i="4"/>
  <c r="O32" i="4"/>
  <c r="N32" i="4"/>
  <c r="M32" i="4"/>
  <c r="L32" i="4"/>
  <c r="M29" i="4"/>
  <c r="P29" i="4" s="1"/>
  <c r="L29" i="4"/>
  <c r="P25" i="4"/>
  <c r="O25" i="4"/>
  <c r="N25" i="4"/>
  <c r="M25" i="4"/>
  <c r="L25" i="4"/>
  <c r="N22" i="4"/>
  <c r="N19" i="4" s="1"/>
  <c r="M22" i="4"/>
  <c r="P22" i="4" s="1"/>
  <c r="L22" i="4"/>
  <c r="N15" i="4"/>
  <c r="M15" i="4"/>
  <c r="P15" i="4" s="1"/>
  <c r="L15" i="4"/>
  <c r="J828" i="3"/>
  <c r="I828" i="3"/>
  <c r="J827" i="3"/>
  <c r="I827" i="3"/>
  <c r="J826" i="3"/>
  <c r="I826" i="3"/>
  <c r="K826" i="3" s="1"/>
  <c r="J825" i="3"/>
  <c r="I825" i="3"/>
  <c r="K825" i="3" s="1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O815" i="3"/>
  <c r="N815" i="3"/>
  <c r="M815" i="3"/>
  <c r="L815" i="3"/>
  <c r="P810" i="3"/>
  <c r="O810" i="3"/>
  <c r="N810" i="3"/>
  <c r="P809" i="3"/>
  <c r="O809" i="3"/>
  <c r="O808" i="3"/>
  <c r="N808" i="3"/>
  <c r="M808" i="3"/>
  <c r="P808" i="3" s="1"/>
  <c r="L808" i="3"/>
  <c r="N807" i="3"/>
  <c r="N805" i="3" s="1"/>
  <c r="M807" i="3"/>
  <c r="P807" i="3" s="1"/>
  <c r="L807" i="3"/>
  <c r="O807" i="3" s="1"/>
  <c r="N806" i="3"/>
  <c r="M806" i="3"/>
  <c r="L806" i="3"/>
  <c r="O806" i="3" s="1"/>
  <c r="L805" i="3"/>
  <c r="O805" i="3" s="1"/>
  <c r="K804" i="3"/>
  <c r="J804" i="3"/>
  <c r="K802" i="3"/>
  <c r="J801" i="3"/>
  <c r="J800" i="3"/>
  <c r="J785" i="3" s="1"/>
  <c r="I800" i="3"/>
  <c r="P798" i="3"/>
  <c r="O798" i="3"/>
  <c r="P797" i="3"/>
  <c r="O797" i="3"/>
  <c r="P796" i="3"/>
  <c r="O796" i="3"/>
  <c r="N796" i="3"/>
  <c r="M796" i="3"/>
  <c r="L796" i="3"/>
  <c r="P791" i="3"/>
  <c r="N791" i="3"/>
  <c r="L791" i="3"/>
  <c r="L789" i="3" s="1"/>
  <c r="O789" i="3" s="1"/>
  <c r="P790" i="3"/>
  <c r="O790" i="3"/>
  <c r="M789" i="3"/>
  <c r="P789" i="3" s="1"/>
  <c r="M788" i="3"/>
  <c r="P788" i="3" s="1"/>
  <c r="N787" i="3"/>
  <c r="M787" i="3"/>
  <c r="L787" i="3"/>
  <c r="P782" i="3"/>
  <c r="O782" i="3"/>
  <c r="P781" i="3"/>
  <c r="O781" i="3"/>
  <c r="P780" i="3"/>
  <c r="N780" i="3"/>
  <c r="M780" i="3"/>
  <c r="L780" i="3"/>
  <c r="O780" i="3" s="1"/>
  <c r="P775" i="3"/>
  <c r="O775" i="3"/>
  <c r="N775" i="3"/>
  <c r="P774" i="3"/>
  <c r="O774" i="3"/>
  <c r="P773" i="3"/>
  <c r="O773" i="3"/>
  <c r="N773" i="3"/>
  <c r="M773" i="3"/>
  <c r="L773" i="3"/>
  <c r="O772" i="3"/>
  <c r="N772" i="3"/>
  <c r="M772" i="3"/>
  <c r="P772" i="3" s="1"/>
  <c r="L772" i="3"/>
  <c r="N771" i="3"/>
  <c r="M771" i="3"/>
  <c r="P771" i="3" s="1"/>
  <c r="L771" i="3"/>
  <c r="O771" i="3" s="1"/>
  <c r="M770" i="3"/>
  <c r="P770" i="3" s="1"/>
  <c r="L770" i="3"/>
  <c r="O770" i="3" s="1"/>
  <c r="K769" i="3"/>
  <c r="J769" i="3"/>
  <c r="P766" i="3"/>
  <c r="O766" i="3"/>
  <c r="P765" i="3"/>
  <c r="O765" i="3"/>
  <c r="P764" i="3"/>
  <c r="N764" i="3"/>
  <c r="M764" i="3"/>
  <c r="L764" i="3"/>
  <c r="O764" i="3" s="1"/>
  <c r="P759" i="3"/>
  <c r="O759" i="3"/>
  <c r="N759" i="3"/>
  <c r="P758" i="3"/>
  <c r="O758" i="3"/>
  <c r="P757" i="3"/>
  <c r="O757" i="3"/>
  <c r="N757" i="3"/>
  <c r="M757" i="3"/>
  <c r="L757" i="3"/>
  <c r="O756" i="3"/>
  <c r="N756" i="3"/>
  <c r="M756" i="3"/>
  <c r="P756" i="3" s="1"/>
  <c r="L756" i="3"/>
  <c r="N755" i="3"/>
  <c r="N754" i="3" s="1"/>
  <c r="M755" i="3"/>
  <c r="P755" i="3" s="1"/>
  <c r="L755" i="3"/>
  <c r="O755" i="3" s="1"/>
  <c r="M754" i="3"/>
  <c r="P754" i="3" s="1"/>
  <c r="L754" i="3"/>
  <c r="O754" i="3" s="1"/>
  <c r="K753" i="3"/>
  <c r="J753" i="3"/>
  <c r="P749" i="3"/>
  <c r="O749" i="3"/>
  <c r="P748" i="3"/>
  <c r="O748" i="3"/>
  <c r="P747" i="3"/>
  <c r="N747" i="3"/>
  <c r="M747" i="3"/>
  <c r="L747" i="3"/>
  <c r="O747" i="3" s="1"/>
  <c r="P742" i="3"/>
  <c r="O742" i="3"/>
  <c r="N742" i="3"/>
  <c r="P741" i="3"/>
  <c r="O741" i="3"/>
  <c r="P740" i="3"/>
  <c r="O740" i="3"/>
  <c r="N740" i="3"/>
  <c r="M740" i="3"/>
  <c r="L740" i="3"/>
  <c r="O739" i="3"/>
  <c r="N739" i="3"/>
  <c r="M739" i="3"/>
  <c r="P739" i="3" s="1"/>
  <c r="L739" i="3"/>
  <c r="N738" i="3"/>
  <c r="N737" i="3" s="1"/>
  <c r="M738" i="3"/>
  <c r="L738" i="3"/>
  <c r="O738" i="3" s="1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K725" i="3" s="1"/>
  <c r="J724" i="3"/>
  <c r="J723" i="3"/>
  <c r="I723" i="3"/>
  <c r="K723" i="3" s="1"/>
  <c r="I722" i="3"/>
  <c r="K722" i="3" s="1"/>
  <c r="I721" i="3"/>
  <c r="K721" i="3" s="1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K701" i="3" s="1"/>
  <c r="J700" i="3"/>
  <c r="I700" i="3"/>
  <c r="K700" i="3" s="1"/>
  <c r="J699" i="3"/>
  <c r="I699" i="3"/>
  <c r="K699" i="3" s="1"/>
  <c r="P697" i="3"/>
  <c r="O697" i="3"/>
  <c r="P696" i="3"/>
  <c r="O696" i="3"/>
  <c r="P695" i="3"/>
  <c r="N695" i="3"/>
  <c r="M695" i="3"/>
  <c r="L695" i="3"/>
  <c r="O695" i="3" s="1"/>
  <c r="P690" i="3"/>
  <c r="N690" i="3"/>
  <c r="L690" i="3"/>
  <c r="O690" i="3" s="1"/>
  <c r="N688" i="3"/>
  <c r="M688" i="3"/>
  <c r="P688" i="3" s="1"/>
  <c r="N687" i="3"/>
  <c r="N685" i="3" s="1"/>
  <c r="M687" i="3"/>
  <c r="P687" i="3" s="1"/>
  <c r="N686" i="3"/>
  <c r="M686" i="3"/>
  <c r="L686" i="3"/>
  <c r="O686" i="3" s="1"/>
  <c r="J679" i="3"/>
  <c r="J678" i="3" s="1"/>
  <c r="I678" i="3"/>
  <c r="K678" i="3" s="1"/>
  <c r="J675" i="3"/>
  <c r="J669" i="3" s="1"/>
  <c r="J654" i="3" s="1"/>
  <c r="I671" i="3"/>
  <c r="K671" i="3" s="1"/>
  <c r="I670" i="3"/>
  <c r="K670" i="3" s="1"/>
  <c r="I669" i="3"/>
  <c r="K673" i="3" s="1"/>
  <c r="P667" i="3"/>
  <c r="O667" i="3"/>
  <c r="P666" i="3"/>
  <c r="O666" i="3"/>
  <c r="N665" i="3"/>
  <c r="M665" i="3"/>
  <c r="P665" i="3" s="1"/>
  <c r="L665" i="3"/>
  <c r="O665" i="3" s="1"/>
  <c r="P660" i="3"/>
  <c r="N660" i="3"/>
  <c r="N657" i="3" s="1"/>
  <c r="L660" i="3"/>
  <c r="O660" i="3" s="1"/>
  <c r="P659" i="3"/>
  <c r="O659" i="3"/>
  <c r="P658" i="3"/>
  <c r="N658" i="3"/>
  <c r="M658" i="3"/>
  <c r="P657" i="3"/>
  <c r="M657" i="3"/>
  <c r="M655" i="3" s="1"/>
  <c r="P655" i="3" s="1"/>
  <c r="P656" i="3"/>
  <c r="O656" i="3"/>
  <c r="N656" i="3"/>
  <c r="M656" i="3"/>
  <c r="L656" i="3"/>
  <c r="N655" i="3"/>
  <c r="K652" i="3"/>
  <c r="J652" i="3"/>
  <c r="J651" i="3"/>
  <c r="J628" i="3" s="1"/>
  <c r="I651" i="3"/>
  <c r="I628" i="3" s="1"/>
  <c r="K628" i="3" s="1"/>
  <c r="K650" i="3"/>
  <c r="J650" i="3"/>
  <c r="J649" i="3"/>
  <c r="I649" i="3"/>
  <c r="K649" i="3" s="1"/>
  <c r="K648" i="3"/>
  <c r="J648" i="3"/>
  <c r="J647" i="3"/>
  <c r="I647" i="3"/>
  <c r="K647" i="3" s="1"/>
  <c r="K646" i="3"/>
  <c r="J646" i="3"/>
  <c r="K645" i="3"/>
  <c r="J645" i="3"/>
  <c r="I644" i="3"/>
  <c r="K644" i="3" s="1"/>
  <c r="I643" i="3"/>
  <c r="K643" i="3" s="1"/>
  <c r="P641" i="3"/>
  <c r="L641" i="3"/>
  <c r="L639" i="3" s="1"/>
  <c r="O639" i="3" s="1"/>
  <c r="P640" i="3"/>
  <c r="O640" i="3"/>
  <c r="N639" i="3"/>
  <c r="M639" i="3"/>
  <c r="P639" i="3" s="1"/>
  <c r="P634" i="3"/>
  <c r="N634" i="3"/>
  <c r="L634" i="3"/>
  <c r="P633" i="3"/>
  <c r="O633" i="3"/>
  <c r="M632" i="3"/>
  <c r="P632" i="3" s="1"/>
  <c r="M631" i="3"/>
  <c r="P630" i="3"/>
  <c r="N630" i="3"/>
  <c r="M630" i="3"/>
  <c r="L630" i="3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5" i="3"/>
  <c r="J593" i="3" s="1"/>
  <c r="J592" i="3" s="1"/>
  <c r="J594" i="3"/>
  <c r="I594" i="3"/>
  <c r="K594" i="3" s="1"/>
  <c r="I593" i="3"/>
  <c r="J583" i="3"/>
  <c r="J582" i="3"/>
  <c r="J577" i="3"/>
  <c r="I577" i="3"/>
  <c r="J576" i="3"/>
  <c r="I576" i="3"/>
  <c r="I559" i="3" s="1"/>
  <c r="I543" i="3" s="1"/>
  <c r="K543" i="3" s="1"/>
  <c r="J569" i="3"/>
  <c r="I569" i="3"/>
  <c r="K569" i="3" s="1"/>
  <c r="J568" i="3"/>
  <c r="I568" i="3"/>
  <c r="J561" i="3"/>
  <c r="I561" i="3"/>
  <c r="J560" i="3"/>
  <c r="I560" i="3"/>
  <c r="J559" i="3"/>
  <c r="P557" i="3"/>
  <c r="L557" i="3"/>
  <c r="O557" i="3" s="1"/>
  <c r="P556" i="3"/>
  <c r="O556" i="3"/>
  <c r="P555" i="3"/>
  <c r="N555" i="3"/>
  <c r="N545" i="3" s="1"/>
  <c r="M555" i="3"/>
  <c r="L555" i="3"/>
  <c r="O555" i="3" s="1"/>
  <c r="N553" i="3"/>
  <c r="N549" i="3" s="1"/>
  <c r="L549" i="3"/>
  <c r="L547" i="3" s="1"/>
  <c r="P548" i="3"/>
  <c r="O548" i="3"/>
  <c r="P545" i="3"/>
  <c r="O545" i="3"/>
  <c r="M545" i="3"/>
  <c r="L545" i="3"/>
  <c r="J543" i="3"/>
  <c r="I542" i="3"/>
  <c r="K542" i="3" s="1"/>
  <c r="I541" i="3"/>
  <c r="K541" i="3" s="1"/>
  <c r="I540" i="3"/>
  <c r="K540" i="3" s="1"/>
  <c r="I539" i="3"/>
  <c r="K539" i="3" s="1"/>
  <c r="I538" i="3"/>
  <c r="K538" i="3" s="1"/>
  <c r="I537" i="3"/>
  <c r="I522" i="3" s="1"/>
  <c r="P535" i="3"/>
  <c r="L535" i="3"/>
  <c r="O535" i="3" s="1"/>
  <c r="P534" i="3"/>
  <c r="O534" i="3"/>
  <c r="P533" i="3"/>
  <c r="N533" i="3"/>
  <c r="M533" i="3"/>
  <c r="L533" i="3"/>
  <c r="O533" i="3" s="1"/>
  <c r="N528" i="3"/>
  <c r="L528" i="3"/>
  <c r="O528" i="3" s="1"/>
  <c r="P527" i="3"/>
  <c r="O527" i="3"/>
  <c r="N526" i="3"/>
  <c r="N525" i="3"/>
  <c r="P524" i="3"/>
  <c r="O524" i="3"/>
  <c r="N524" i="3"/>
  <c r="M524" i="3"/>
  <c r="L524" i="3"/>
  <c r="N523" i="3"/>
  <c r="K517" i="3"/>
  <c r="J517" i="3"/>
  <c r="K516" i="3"/>
  <c r="P514" i="3"/>
  <c r="O514" i="3"/>
  <c r="P513" i="3"/>
  <c r="O513" i="3"/>
  <c r="P512" i="3"/>
  <c r="N512" i="3"/>
  <c r="M512" i="3"/>
  <c r="L512" i="3"/>
  <c r="O512" i="3" s="1"/>
  <c r="P507" i="3"/>
  <c r="O507" i="3"/>
  <c r="N507" i="3"/>
  <c r="P506" i="3"/>
  <c r="O506" i="3"/>
  <c r="P505" i="3"/>
  <c r="O505" i="3"/>
  <c r="N505" i="3"/>
  <c r="M505" i="3"/>
  <c r="L505" i="3"/>
  <c r="O504" i="3"/>
  <c r="N504" i="3"/>
  <c r="M504" i="3"/>
  <c r="P504" i="3" s="1"/>
  <c r="L504" i="3"/>
  <c r="N503" i="3"/>
  <c r="N502" i="3" s="1"/>
  <c r="M503" i="3"/>
  <c r="P503" i="3" s="1"/>
  <c r="L503" i="3"/>
  <c r="O503" i="3" s="1"/>
  <c r="M502" i="3"/>
  <c r="P502" i="3" s="1"/>
  <c r="L502" i="3"/>
  <c r="O502" i="3" s="1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O479" i="3" s="1"/>
  <c r="P478" i="3"/>
  <c r="O478" i="3"/>
  <c r="P477" i="3"/>
  <c r="N477" i="3"/>
  <c r="M477" i="3"/>
  <c r="N474" i="3"/>
  <c r="N472" i="3" s="1"/>
  <c r="L472" i="3"/>
  <c r="L470" i="3" s="1"/>
  <c r="P471" i="3"/>
  <c r="O471" i="3"/>
  <c r="P468" i="3"/>
  <c r="O468" i="3"/>
  <c r="N468" i="3"/>
  <c r="M468" i="3"/>
  <c r="L468" i="3"/>
  <c r="J466" i="3"/>
  <c r="I466" i="3"/>
  <c r="K466" i="3" s="1"/>
  <c r="J465" i="3"/>
  <c r="I465" i="3"/>
  <c r="K465" i="3" s="1"/>
  <c r="I464" i="3"/>
  <c r="I463" i="3"/>
  <c r="I462" i="3"/>
  <c r="I443" i="3" s="1"/>
  <c r="K443" i="3" s="1"/>
  <c r="I460" i="3"/>
  <c r="I442" i="3" s="1"/>
  <c r="K442" i="3" s="1"/>
  <c r="K458" i="3"/>
  <c r="P456" i="3"/>
  <c r="L456" i="3"/>
  <c r="P455" i="3"/>
  <c r="O455" i="3"/>
  <c r="N454" i="3"/>
  <c r="M454" i="3"/>
  <c r="P454" i="3" s="1"/>
  <c r="N449" i="3"/>
  <c r="L449" i="3"/>
  <c r="M449" i="3" s="1"/>
  <c r="P448" i="3"/>
  <c r="O448" i="3"/>
  <c r="N447" i="3"/>
  <c r="N446" i="3"/>
  <c r="P445" i="3"/>
  <c r="N445" i="3"/>
  <c r="N444" i="3" s="1"/>
  <c r="M445" i="3"/>
  <c r="L445" i="3"/>
  <c r="J443" i="3"/>
  <c r="J442" i="3"/>
  <c r="I441" i="3"/>
  <c r="K441" i="3" s="1"/>
  <c r="I440" i="3"/>
  <c r="K440" i="3" s="1"/>
  <c r="I439" i="3"/>
  <c r="K439" i="3" s="1"/>
  <c r="I438" i="3"/>
  <c r="I437" i="3"/>
  <c r="K437" i="3" s="1"/>
  <c r="I435" i="3"/>
  <c r="K435" i="3" s="1"/>
  <c r="J434" i="3"/>
  <c r="J418" i="3" s="1"/>
  <c r="P431" i="3"/>
  <c r="L431" i="3"/>
  <c r="L429" i="3" s="1"/>
  <c r="O429" i="3" s="1"/>
  <c r="P430" i="3"/>
  <c r="O430" i="3"/>
  <c r="N429" i="3"/>
  <c r="M429" i="3"/>
  <c r="P429" i="3" s="1"/>
  <c r="N424" i="3"/>
  <c r="N422" i="3" s="1"/>
  <c r="L424" i="3"/>
  <c r="L422" i="3" s="1"/>
  <c r="P423" i="3"/>
  <c r="O423" i="3"/>
  <c r="N421" i="3"/>
  <c r="N419" i="3" s="1"/>
  <c r="N420" i="3"/>
  <c r="M420" i="3"/>
  <c r="L420" i="3"/>
  <c r="O420" i="3" s="1"/>
  <c r="K413" i="3"/>
  <c r="K412" i="3"/>
  <c r="N410" i="3"/>
  <c r="N408" i="3" s="1"/>
  <c r="M410" i="3"/>
  <c r="P410" i="3" s="1"/>
  <c r="L410" i="3"/>
  <c r="O410" i="3" s="1"/>
  <c r="P409" i="3"/>
  <c r="O409" i="3"/>
  <c r="N407" i="3"/>
  <c r="N405" i="3" s="1"/>
  <c r="M407" i="3"/>
  <c r="L407" i="3"/>
  <c r="P406" i="3"/>
  <c r="O406" i="3"/>
  <c r="P403" i="3"/>
  <c r="O403" i="3"/>
  <c r="N403" i="3"/>
  <c r="M403" i="3"/>
  <c r="L403" i="3"/>
  <c r="J401" i="3"/>
  <c r="I401" i="3"/>
  <c r="K401" i="3" s="1"/>
  <c r="K400" i="3"/>
  <c r="K399" i="3"/>
  <c r="N397" i="3"/>
  <c r="N395" i="3" s="1"/>
  <c r="M397" i="3"/>
  <c r="L397" i="3"/>
  <c r="L395" i="3" s="1"/>
  <c r="O395" i="3" s="1"/>
  <c r="P396" i="3"/>
  <c r="O396" i="3"/>
  <c r="N394" i="3"/>
  <c r="N392" i="3" s="1"/>
  <c r="M394" i="3"/>
  <c r="L394" i="3"/>
  <c r="L392" i="3" s="1"/>
  <c r="O392" i="3" s="1"/>
  <c r="P393" i="3"/>
  <c r="O393" i="3"/>
  <c r="N390" i="3"/>
  <c r="M390" i="3"/>
  <c r="L390" i="3"/>
  <c r="O390" i="3" s="1"/>
  <c r="K388" i="3"/>
  <c r="J388" i="3"/>
  <c r="I388" i="3"/>
  <c r="J385" i="3"/>
  <c r="I385" i="3"/>
  <c r="K382" i="3"/>
  <c r="J382" i="3"/>
  <c r="J381" i="3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L353" i="3"/>
  <c r="L351" i="3" s="1"/>
  <c r="P352" i="3"/>
  <c r="O352" i="3"/>
  <c r="N350" i="3"/>
  <c r="M350" i="3"/>
  <c r="L350" i="3"/>
  <c r="L348" i="3" s="1"/>
  <c r="P349" i="3"/>
  <c r="O349" i="3"/>
  <c r="O346" i="3"/>
  <c r="N346" i="3"/>
  <c r="M346" i="3"/>
  <c r="L346" i="3"/>
  <c r="J343" i="3"/>
  <c r="J342" i="3"/>
  <c r="J341" i="3"/>
  <c r="J340" i="3"/>
  <c r="I340" i="3"/>
  <c r="J338" i="3"/>
  <c r="I338" i="3"/>
  <c r="N336" i="3"/>
  <c r="N334" i="3" s="1"/>
  <c r="M336" i="3"/>
  <c r="P336" i="3" s="1"/>
  <c r="L336" i="3"/>
  <c r="O336" i="3" s="1"/>
  <c r="P335" i="3"/>
  <c r="O335" i="3"/>
  <c r="N333" i="3"/>
  <c r="N331" i="3" s="1"/>
  <c r="M333" i="3"/>
  <c r="M331" i="3" s="1"/>
  <c r="L333" i="3"/>
  <c r="P332" i="3"/>
  <c r="O332" i="3"/>
  <c r="N329" i="3"/>
  <c r="M329" i="3"/>
  <c r="L329" i="3"/>
  <c r="I327" i="3"/>
  <c r="I325" i="3"/>
  <c r="I314" i="3" s="1"/>
  <c r="N323" i="3"/>
  <c r="N321" i="3" s="1"/>
  <c r="M323" i="3"/>
  <c r="L323" i="3"/>
  <c r="L321" i="3" s="1"/>
  <c r="O321" i="3" s="1"/>
  <c r="P322" i="3"/>
  <c r="O322" i="3"/>
  <c r="N320" i="3"/>
  <c r="N318" i="3" s="1"/>
  <c r="M320" i="3"/>
  <c r="L320" i="3"/>
  <c r="P319" i="3"/>
  <c r="O319" i="3"/>
  <c r="N316" i="3"/>
  <c r="M316" i="3"/>
  <c r="P316" i="3" s="1"/>
  <c r="L316" i="3"/>
  <c r="J314" i="3"/>
  <c r="I312" i="3"/>
  <c r="K312" i="3" s="1"/>
  <c r="I311" i="3"/>
  <c r="K311" i="3" s="1"/>
  <c r="I310" i="3"/>
  <c r="K310" i="3" s="1"/>
  <c r="I309" i="3"/>
  <c r="K309" i="3" s="1"/>
  <c r="N306" i="3"/>
  <c r="N304" i="3" s="1"/>
  <c r="M306" i="3"/>
  <c r="L306" i="3"/>
  <c r="L304" i="3" s="1"/>
  <c r="O304" i="3" s="1"/>
  <c r="P305" i="3"/>
  <c r="O305" i="3"/>
  <c r="N303" i="3"/>
  <c r="M303" i="3"/>
  <c r="M301" i="3" s="1"/>
  <c r="L303" i="3"/>
  <c r="L301" i="3" s="1"/>
  <c r="P302" i="3"/>
  <c r="O302" i="3"/>
  <c r="O299" i="3"/>
  <c r="N299" i="3"/>
  <c r="M299" i="3"/>
  <c r="P299" i="3" s="1"/>
  <c r="L299" i="3"/>
  <c r="J297" i="3"/>
  <c r="I294" i="3"/>
  <c r="K294" i="3" s="1"/>
  <c r="I293" i="3"/>
  <c r="K293" i="3" s="1"/>
  <c r="I291" i="3"/>
  <c r="K291" i="3" s="1"/>
  <c r="I290" i="3"/>
  <c r="K290" i="3" s="1"/>
  <c r="I288" i="3"/>
  <c r="J288" i="3" s="1"/>
  <c r="K288" i="3" s="1"/>
  <c r="I287" i="3"/>
  <c r="K287" i="3" s="1"/>
  <c r="N285" i="3"/>
  <c r="N283" i="3" s="1"/>
  <c r="M285" i="3"/>
  <c r="M283" i="3" s="1"/>
  <c r="P283" i="3" s="1"/>
  <c r="L285" i="3"/>
  <c r="L283" i="3" s="1"/>
  <c r="O283" i="3" s="1"/>
  <c r="P284" i="3"/>
  <c r="O284" i="3"/>
  <c r="N282" i="3"/>
  <c r="N280" i="3" s="1"/>
  <c r="M282" i="3"/>
  <c r="M280" i="3" s="1"/>
  <c r="L282" i="3"/>
  <c r="P281" i="3"/>
  <c r="O281" i="3"/>
  <c r="P278" i="3"/>
  <c r="O278" i="3"/>
  <c r="N278" i="3"/>
  <c r="M278" i="3"/>
  <c r="L278" i="3"/>
  <c r="J276" i="3"/>
  <c r="I271" i="3"/>
  <c r="K271" i="3" s="1"/>
  <c r="N269" i="3"/>
  <c r="M269" i="3"/>
  <c r="P269" i="3" s="1"/>
  <c r="L269" i="3"/>
  <c r="L267" i="3" s="1"/>
  <c r="O267" i="3" s="1"/>
  <c r="P268" i="3"/>
  <c r="O268" i="3"/>
  <c r="N266" i="3"/>
  <c r="N264" i="3" s="1"/>
  <c r="M266" i="3"/>
  <c r="L266" i="3"/>
  <c r="L264" i="3" s="1"/>
  <c r="P265" i="3"/>
  <c r="O265" i="3"/>
  <c r="O262" i="3"/>
  <c r="N262" i="3"/>
  <c r="M262" i="3"/>
  <c r="L262" i="3"/>
  <c r="J260" i="3"/>
  <c r="K258" i="3"/>
  <c r="K257" i="3"/>
  <c r="I255" i="3"/>
  <c r="I248" i="3" s="1"/>
  <c r="K248" i="3" s="1"/>
  <c r="L253" i="3"/>
  <c r="L252" i="3"/>
  <c r="L251" i="3"/>
  <c r="L250" i="3"/>
  <c r="P249" i="3"/>
  <c r="N249" i="3"/>
  <c r="J248" i="3"/>
  <c r="K247" i="3"/>
  <c r="K246" i="3"/>
  <c r="I244" i="3"/>
  <c r="K244" i="3" s="1"/>
  <c r="L242" i="3"/>
  <c r="L241" i="3"/>
  <c r="L240" i="3"/>
  <c r="L239" i="3"/>
  <c r="P238" i="3"/>
  <c r="N238" i="3"/>
  <c r="N227" i="3" s="1"/>
  <c r="J237" i="3"/>
  <c r="J236" i="3"/>
  <c r="I236" i="3"/>
  <c r="K236" i="3" s="1"/>
  <c r="J235" i="3"/>
  <c r="I235" i="3"/>
  <c r="K235" i="3" s="1"/>
  <c r="J233" i="3"/>
  <c r="N231" i="3"/>
  <c r="N230" i="3"/>
  <c r="N229" i="3"/>
  <c r="N228" i="3"/>
  <c r="J226" i="3"/>
  <c r="J180" i="3" s="1"/>
  <c r="I225" i="3"/>
  <c r="K225" i="3" s="1"/>
  <c r="I224" i="3"/>
  <c r="K224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L202" i="3"/>
  <c r="L201" i="3"/>
  <c r="L200" i="3"/>
  <c r="L199" i="3"/>
  <c r="P198" i="3"/>
  <c r="N198" i="3"/>
  <c r="J197" i="3"/>
  <c r="J194" i="3"/>
  <c r="I193" i="3"/>
  <c r="P191" i="3"/>
  <c r="L191" i="3"/>
  <c r="O191" i="3" s="1"/>
  <c r="J190" i="3"/>
  <c r="N189" i="3"/>
  <c r="M189" i="3"/>
  <c r="P189" i="3" s="1"/>
  <c r="L189" i="3"/>
  <c r="P188" i="3"/>
  <c r="O188" i="3"/>
  <c r="N186" i="3"/>
  <c r="N184" i="3" s="1"/>
  <c r="M186" i="3"/>
  <c r="L186" i="3"/>
  <c r="P185" i="3"/>
  <c r="O185" i="3"/>
  <c r="N182" i="3"/>
  <c r="M182" i="3"/>
  <c r="P182" i="3" s="1"/>
  <c r="L182" i="3"/>
  <c r="J177" i="3"/>
  <c r="I176" i="3"/>
  <c r="I174" i="3" s="1"/>
  <c r="I164" i="3" s="1"/>
  <c r="K164" i="3" s="1"/>
  <c r="J174" i="3"/>
  <c r="J164" i="3" s="1"/>
  <c r="N173" i="3"/>
  <c r="N171" i="3" s="1"/>
  <c r="M173" i="3"/>
  <c r="L173" i="3"/>
  <c r="P172" i="3"/>
  <c r="O172" i="3"/>
  <c r="N170" i="3"/>
  <c r="N168" i="3" s="1"/>
  <c r="M170" i="3"/>
  <c r="P170" i="3" s="1"/>
  <c r="L170" i="3"/>
  <c r="P169" i="3"/>
  <c r="O169" i="3"/>
  <c r="N166" i="3"/>
  <c r="M166" i="3"/>
  <c r="P166" i="3" s="1"/>
  <c r="L166" i="3"/>
  <c r="I159" i="3"/>
  <c r="K159" i="3" s="1"/>
  <c r="N157" i="3"/>
  <c r="N155" i="3" s="1"/>
  <c r="M157" i="3"/>
  <c r="M155" i="3" s="1"/>
  <c r="P155" i="3" s="1"/>
  <c r="L157" i="3"/>
  <c r="L155" i="3" s="1"/>
  <c r="O155" i="3" s="1"/>
  <c r="P156" i="3"/>
  <c r="O156" i="3"/>
  <c r="N154" i="3"/>
  <c r="M154" i="3"/>
  <c r="M152" i="3" s="1"/>
  <c r="L154" i="3"/>
  <c r="L152" i="3" s="1"/>
  <c r="P153" i="3"/>
  <c r="O153" i="3"/>
  <c r="O150" i="3"/>
  <c r="N150" i="3"/>
  <c r="M150" i="3"/>
  <c r="P150" i="3" s="1"/>
  <c r="L150" i="3"/>
  <c r="J148" i="3"/>
  <c r="I146" i="3"/>
  <c r="I145" i="3"/>
  <c r="I143" i="3" s="1"/>
  <c r="I131" i="3" s="1"/>
  <c r="I144" i="3"/>
  <c r="K144" i="3" s="1"/>
  <c r="N140" i="3"/>
  <c r="N138" i="3" s="1"/>
  <c r="M140" i="3"/>
  <c r="L140" i="3"/>
  <c r="P139" i="3"/>
  <c r="O139" i="3"/>
  <c r="N137" i="3"/>
  <c r="N135" i="3" s="1"/>
  <c r="M137" i="3"/>
  <c r="L137" i="3"/>
  <c r="P136" i="3"/>
  <c r="O136" i="3"/>
  <c r="P133" i="3"/>
  <c r="N133" i="3"/>
  <c r="M133" i="3"/>
  <c r="L133" i="3"/>
  <c r="O133" i="3" s="1"/>
  <c r="J130" i="3"/>
  <c r="N127" i="3"/>
  <c r="M127" i="3"/>
  <c r="M125" i="3" s="1"/>
  <c r="P125" i="3" s="1"/>
  <c r="L127" i="3"/>
  <c r="O127" i="3" s="1"/>
  <c r="P126" i="3"/>
  <c r="O126" i="3"/>
  <c r="N124" i="3"/>
  <c r="N122" i="3" s="1"/>
  <c r="M124" i="3"/>
  <c r="P124" i="3" s="1"/>
  <c r="L124" i="3"/>
  <c r="O124" i="3" s="1"/>
  <c r="P123" i="3"/>
  <c r="O123" i="3"/>
  <c r="O120" i="3"/>
  <c r="N120" i="3"/>
  <c r="M120" i="3"/>
  <c r="L120" i="3"/>
  <c r="J118" i="3"/>
  <c r="K118" i="3" s="1"/>
  <c r="I116" i="3"/>
  <c r="K116" i="3" s="1"/>
  <c r="I115" i="3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J87" i="3" s="1"/>
  <c r="I99" i="3"/>
  <c r="J98" i="3"/>
  <c r="I98" i="3"/>
  <c r="K98" i="3" s="1"/>
  <c r="N96" i="3"/>
  <c r="N94" i="3" s="1"/>
  <c r="M96" i="3"/>
  <c r="P96" i="3" s="1"/>
  <c r="L96" i="3"/>
  <c r="O96" i="3" s="1"/>
  <c r="P95" i="3"/>
  <c r="O95" i="3"/>
  <c r="N93" i="3"/>
  <c r="N91" i="3" s="1"/>
  <c r="M93" i="3"/>
  <c r="L93" i="3"/>
  <c r="P92" i="3"/>
  <c r="O92" i="3"/>
  <c r="N89" i="3"/>
  <c r="M89" i="3"/>
  <c r="L89" i="3"/>
  <c r="O89" i="3" s="1"/>
  <c r="J86" i="3"/>
  <c r="I84" i="3"/>
  <c r="K84" i="3" s="1"/>
  <c r="I83" i="3"/>
  <c r="K83" i="3" s="1"/>
  <c r="I82" i="3"/>
  <c r="K82" i="3" s="1"/>
  <c r="I81" i="3"/>
  <c r="K81" i="3" s="1"/>
  <c r="I80" i="3"/>
  <c r="I79" i="3"/>
  <c r="K79" i="3" s="1"/>
  <c r="I78" i="3"/>
  <c r="K78" i="3" s="1"/>
  <c r="J77" i="3"/>
  <c r="J65" i="3" s="1"/>
  <c r="J76" i="3"/>
  <c r="N74" i="3"/>
  <c r="N72" i="3" s="1"/>
  <c r="M74" i="3"/>
  <c r="L74" i="3"/>
  <c r="O74" i="3" s="1"/>
  <c r="P73" i="3"/>
  <c r="O73" i="3"/>
  <c r="N71" i="3"/>
  <c r="M71" i="3"/>
  <c r="L71" i="3"/>
  <c r="P70" i="3"/>
  <c r="O70" i="3"/>
  <c r="N67" i="3"/>
  <c r="M67" i="3"/>
  <c r="L67" i="3"/>
  <c r="O67" i="3" s="1"/>
  <c r="J64" i="3"/>
  <c r="N61" i="3"/>
  <c r="N59" i="3" s="1"/>
  <c r="M61" i="3"/>
  <c r="L61" i="3"/>
  <c r="L59" i="3" s="1"/>
  <c r="P60" i="3"/>
  <c r="O60" i="3"/>
  <c r="N58" i="3"/>
  <c r="N56" i="3" s="1"/>
  <c r="M58" i="3"/>
  <c r="L58" i="3"/>
  <c r="P57" i="3"/>
  <c r="O57" i="3"/>
  <c r="P54" i="3"/>
  <c r="O54" i="3"/>
  <c r="N54" i="3"/>
  <c r="M54" i="3"/>
  <c r="L54" i="3"/>
  <c r="N49" i="3"/>
  <c r="N47" i="3" s="1"/>
  <c r="M49" i="3"/>
  <c r="L49" i="3"/>
  <c r="P48" i="3"/>
  <c r="O48" i="3"/>
  <c r="N46" i="3"/>
  <c r="N44" i="3" s="1"/>
  <c r="M46" i="3"/>
  <c r="L46" i="3"/>
  <c r="L44" i="3" s="1"/>
  <c r="P45" i="3"/>
  <c r="O45" i="3"/>
  <c r="N42" i="3"/>
  <c r="M42" i="3"/>
  <c r="L42" i="3"/>
  <c r="O42" i="3" s="1"/>
  <c r="P36" i="3"/>
  <c r="N36" i="3"/>
  <c r="M36" i="3"/>
  <c r="P35" i="3"/>
  <c r="O35" i="3"/>
  <c r="N35" i="3"/>
  <c r="N15" i="3" s="1"/>
  <c r="M35" i="3"/>
  <c r="L35" i="3"/>
  <c r="N34" i="3"/>
  <c r="M34" i="3"/>
  <c r="P34" i="3" s="1"/>
  <c r="N32" i="3"/>
  <c r="M32" i="3"/>
  <c r="P32" i="3" s="1"/>
  <c r="L32" i="3"/>
  <c r="L12" i="3" s="1"/>
  <c r="N29" i="3"/>
  <c r="N25" i="3"/>
  <c r="M25" i="3"/>
  <c r="P25" i="3" s="1"/>
  <c r="L25" i="3"/>
  <c r="P22" i="3"/>
  <c r="O22" i="3"/>
  <c r="N22" i="3"/>
  <c r="M22" i="3"/>
  <c r="L22" i="3"/>
  <c r="M19" i="3"/>
  <c r="P19" i="3" s="1"/>
  <c r="L19" i="3"/>
  <c r="M12" i="3"/>
  <c r="P12" i="3" s="1"/>
  <c r="J828" i="2"/>
  <c r="I828" i="2"/>
  <c r="J827" i="2"/>
  <c r="I827" i="2"/>
  <c r="J826" i="2"/>
  <c r="I826" i="2"/>
  <c r="K826" i="2" s="1"/>
  <c r="J825" i="2"/>
  <c r="I825" i="2"/>
  <c r="K825" i="2" s="1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N815" i="2"/>
  <c r="M815" i="2"/>
  <c r="L815" i="2"/>
  <c r="O815" i="2" s="1"/>
  <c r="P810" i="2"/>
  <c r="O810" i="2"/>
  <c r="N810" i="2"/>
  <c r="P809" i="2"/>
  <c r="O809" i="2"/>
  <c r="P808" i="2"/>
  <c r="O808" i="2"/>
  <c r="N808" i="2"/>
  <c r="M808" i="2"/>
  <c r="L808" i="2"/>
  <c r="O807" i="2"/>
  <c r="N807" i="2"/>
  <c r="M807" i="2"/>
  <c r="P807" i="2" s="1"/>
  <c r="L807" i="2"/>
  <c r="N806" i="2"/>
  <c r="M806" i="2"/>
  <c r="L806" i="2"/>
  <c r="O806" i="2" s="1"/>
  <c r="K804" i="2"/>
  <c r="J804" i="2"/>
  <c r="K802" i="2"/>
  <c r="J801" i="2"/>
  <c r="J800" i="2"/>
  <c r="J785" i="2" s="1"/>
  <c r="I800" i="2"/>
  <c r="P798" i="2"/>
  <c r="O798" i="2"/>
  <c r="P797" i="2"/>
  <c r="O797" i="2"/>
  <c r="P796" i="2"/>
  <c r="O796" i="2"/>
  <c r="N796" i="2"/>
  <c r="M796" i="2"/>
  <c r="L796" i="2"/>
  <c r="P791" i="2"/>
  <c r="N791" i="2"/>
  <c r="L791" i="2"/>
  <c r="L788" i="2" s="1"/>
  <c r="P790" i="2"/>
  <c r="O790" i="2"/>
  <c r="P789" i="2"/>
  <c r="N789" i="2"/>
  <c r="M789" i="2"/>
  <c r="N788" i="2"/>
  <c r="M788" i="2"/>
  <c r="P788" i="2" s="1"/>
  <c r="N787" i="2"/>
  <c r="M787" i="2"/>
  <c r="L787" i="2"/>
  <c r="O787" i="2" s="1"/>
  <c r="P782" i="2"/>
  <c r="O782" i="2"/>
  <c r="P781" i="2"/>
  <c r="O781" i="2"/>
  <c r="N780" i="2"/>
  <c r="M780" i="2"/>
  <c r="P780" i="2" s="1"/>
  <c r="L780" i="2"/>
  <c r="O780" i="2" s="1"/>
  <c r="P775" i="2"/>
  <c r="O775" i="2"/>
  <c r="N775" i="2"/>
  <c r="N773" i="2" s="1"/>
  <c r="P774" i="2"/>
  <c r="O774" i="2"/>
  <c r="P773" i="2"/>
  <c r="O773" i="2"/>
  <c r="M773" i="2"/>
  <c r="L773" i="2"/>
  <c r="P772" i="2"/>
  <c r="O772" i="2"/>
  <c r="N772" i="2"/>
  <c r="M772" i="2"/>
  <c r="L772" i="2"/>
  <c r="O771" i="2"/>
  <c r="N771" i="2"/>
  <c r="N770" i="2" s="1"/>
  <c r="M771" i="2"/>
  <c r="P771" i="2" s="1"/>
  <c r="L771" i="2"/>
  <c r="M770" i="2"/>
  <c r="P770" i="2" s="1"/>
  <c r="L770" i="2"/>
  <c r="O770" i="2" s="1"/>
  <c r="K769" i="2"/>
  <c r="J769" i="2"/>
  <c r="P766" i="2"/>
  <c r="O766" i="2"/>
  <c r="P765" i="2"/>
  <c r="O765" i="2"/>
  <c r="N764" i="2"/>
  <c r="M764" i="2"/>
  <c r="P764" i="2" s="1"/>
  <c r="L764" i="2"/>
  <c r="O764" i="2" s="1"/>
  <c r="P759" i="2"/>
  <c r="O759" i="2"/>
  <c r="N759" i="2"/>
  <c r="N757" i="2" s="1"/>
  <c r="P758" i="2"/>
  <c r="O758" i="2"/>
  <c r="P757" i="2"/>
  <c r="O757" i="2"/>
  <c r="M757" i="2"/>
  <c r="L757" i="2"/>
  <c r="P756" i="2"/>
  <c r="O756" i="2"/>
  <c r="N756" i="2"/>
  <c r="M756" i="2"/>
  <c r="L756" i="2"/>
  <c r="O755" i="2"/>
  <c r="N755" i="2"/>
  <c r="M755" i="2"/>
  <c r="L755" i="2"/>
  <c r="L754" i="2"/>
  <c r="O754" i="2" s="1"/>
  <c r="K753" i="2"/>
  <c r="J753" i="2"/>
  <c r="P749" i="2"/>
  <c r="O749" i="2"/>
  <c r="P748" i="2"/>
  <c r="O748" i="2"/>
  <c r="N747" i="2"/>
  <c r="M747" i="2"/>
  <c r="P747" i="2" s="1"/>
  <c r="L747" i="2"/>
  <c r="O747" i="2" s="1"/>
  <c r="P742" i="2"/>
  <c r="O742" i="2"/>
  <c r="N742" i="2"/>
  <c r="N740" i="2" s="1"/>
  <c r="P741" i="2"/>
  <c r="O741" i="2"/>
  <c r="P740" i="2"/>
  <c r="O740" i="2"/>
  <c r="M740" i="2"/>
  <c r="L740" i="2"/>
  <c r="P739" i="2"/>
  <c r="O739" i="2"/>
  <c r="N739" i="2"/>
  <c r="M739" i="2"/>
  <c r="L739" i="2"/>
  <c r="O738" i="2"/>
  <c r="N738" i="2"/>
  <c r="M738" i="2"/>
  <c r="P738" i="2" s="1"/>
  <c r="L738" i="2"/>
  <c r="M737" i="2"/>
  <c r="P737" i="2" s="1"/>
  <c r="L737" i="2"/>
  <c r="O737" i="2" s="1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K725" i="2" s="1"/>
  <c r="J724" i="2"/>
  <c r="J723" i="2"/>
  <c r="I723" i="2"/>
  <c r="K723" i="2" s="1"/>
  <c r="I722" i="2"/>
  <c r="K722" i="2" s="1"/>
  <c r="I721" i="2"/>
  <c r="K721" i="2" s="1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K701" i="2" s="1"/>
  <c r="J700" i="2"/>
  <c r="I700" i="2"/>
  <c r="K700" i="2" s="1"/>
  <c r="J699" i="2"/>
  <c r="I699" i="2"/>
  <c r="K699" i="2" s="1"/>
  <c r="P697" i="2"/>
  <c r="O697" i="2"/>
  <c r="P696" i="2"/>
  <c r="O696" i="2"/>
  <c r="N695" i="2"/>
  <c r="M695" i="2"/>
  <c r="P695" i="2" s="1"/>
  <c r="L695" i="2"/>
  <c r="O695" i="2" s="1"/>
  <c r="P690" i="2"/>
  <c r="N690" i="2"/>
  <c r="L690" i="2"/>
  <c r="L687" i="2" s="1"/>
  <c r="O687" i="2" s="1"/>
  <c r="P688" i="2"/>
  <c r="N688" i="2"/>
  <c r="M688" i="2"/>
  <c r="N687" i="2"/>
  <c r="M687" i="2"/>
  <c r="P687" i="2" s="1"/>
  <c r="N686" i="2"/>
  <c r="N685" i="2" s="1"/>
  <c r="M686" i="2"/>
  <c r="L686" i="2"/>
  <c r="O686" i="2" s="1"/>
  <c r="J679" i="2"/>
  <c r="J678" i="2" s="1"/>
  <c r="I678" i="2"/>
  <c r="K678" i="2" s="1"/>
  <c r="J675" i="2"/>
  <c r="J669" i="2" s="1"/>
  <c r="J654" i="2" s="1"/>
  <c r="I671" i="2"/>
  <c r="K671" i="2" s="1"/>
  <c r="I670" i="2"/>
  <c r="K670" i="2" s="1"/>
  <c r="I669" i="2"/>
  <c r="P667" i="2"/>
  <c r="O667" i="2"/>
  <c r="P666" i="2"/>
  <c r="O666" i="2"/>
  <c r="N665" i="2"/>
  <c r="M665" i="2"/>
  <c r="P665" i="2" s="1"/>
  <c r="L665" i="2"/>
  <c r="O665" i="2" s="1"/>
  <c r="P660" i="2"/>
  <c r="N660" i="2"/>
  <c r="L660" i="2"/>
  <c r="O660" i="2" s="1"/>
  <c r="P659" i="2"/>
  <c r="O659" i="2"/>
  <c r="N658" i="2"/>
  <c r="M658" i="2"/>
  <c r="P658" i="2" s="1"/>
  <c r="P657" i="2"/>
  <c r="N657" i="2"/>
  <c r="M657" i="2"/>
  <c r="P656" i="2"/>
  <c r="O656" i="2"/>
  <c r="N656" i="2"/>
  <c r="M656" i="2"/>
  <c r="M655" i="2" s="1"/>
  <c r="P655" i="2" s="1"/>
  <c r="L656" i="2"/>
  <c r="N655" i="2"/>
  <c r="K652" i="2"/>
  <c r="J652" i="2"/>
  <c r="J651" i="2"/>
  <c r="J628" i="2" s="1"/>
  <c r="I651" i="2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P640" i="2"/>
  <c r="O640" i="2"/>
  <c r="P639" i="2"/>
  <c r="N639" i="2"/>
  <c r="M639" i="2"/>
  <c r="L639" i="2"/>
  <c r="O639" i="2" s="1"/>
  <c r="N634" i="2"/>
  <c r="L634" i="2"/>
  <c r="L632" i="2" s="1"/>
  <c r="P633" i="2"/>
  <c r="O633" i="2"/>
  <c r="N632" i="2"/>
  <c r="N630" i="2"/>
  <c r="M630" i="2"/>
  <c r="L630" i="2"/>
  <c r="O630" i="2" s="1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4" i="2" s="1"/>
  <c r="J595" i="2"/>
  <c r="J593" i="2" s="1"/>
  <c r="J592" i="2" s="1"/>
  <c r="I594" i="2"/>
  <c r="I593" i="2"/>
  <c r="J583" i="2"/>
  <c r="J577" i="2" s="1"/>
  <c r="J582" i="2"/>
  <c r="J576" i="2" s="1"/>
  <c r="J559" i="2" s="1"/>
  <c r="J543" i="2" s="1"/>
  <c r="I577" i="2"/>
  <c r="K577" i="2" s="1"/>
  <c r="I576" i="2"/>
  <c r="J569" i="2"/>
  <c r="I569" i="2"/>
  <c r="K569" i="2" s="1"/>
  <c r="J568" i="2"/>
  <c r="I568" i="2"/>
  <c r="K568" i="2" s="1"/>
  <c r="J561" i="2"/>
  <c r="I561" i="2"/>
  <c r="K561" i="2" s="1"/>
  <c r="J560" i="2"/>
  <c r="I560" i="2"/>
  <c r="K560" i="2" s="1"/>
  <c r="P557" i="2"/>
  <c r="L557" i="2"/>
  <c r="P556" i="2"/>
  <c r="O556" i="2"/>
  <c r="N555" i="2"/>
  <c r="N545" i="2" s="1"/>
  <c r="N544" i="2" s="1"/>
  <c r="M555" i="2"/>
  <c r="N549" i="2"/>
  <c r="L549" i="2"/>
  <c r="L547" i="2" s="1"/>
  <c r="O547" i="2" s="1"/>
  <c r="P548" i="2"/>
  <c r="O548" i="2"/>
  <c r="N547" i="2"/>
  <c r="N546" i="2"/>
  <c r="L545" i="2"/>
  <c r="O545" i="2" s="1"/>
  <c r="I542" i="2"/>
  <c r="K542" i="2" s="1"/>
  <c r="I541" i="2"/>
  <c r="K541" i="2" s="1"/>
  <c r="I540" i="2"/>
  <c r="K540" i="2" s="1"/>
  <c r="I539" i="2"/>
  <c r="K539" i="2" s="1"/>
  <c r="I538" i="2"/>
  <c r="K538" i="2" s="1"/>
  <c r="I537" i="2"/>
  <c r="I522" i="2" s="1"/>
  <c r="P535" i="2"/>
  <c r="L535" i="2"/>
  <c r="O535" i="2" s="1"/>
  <c r="P534" i="2"/>
  <c r="O534" i="2"/>
  <c r="N533" i="2"/>
  <c r="M533" i="2"/>
  <c r="P533" i="2" s="1"/>
  <c r="N528" i="2"/>
  <c r="L528" i="2"/>
  <c r="O528" i="2" s="1"/>
  <c r="P527" i="2"/>
  <c r="O527" i="2"/>
  <c r="N526" i="2"/>
  <c r="N525" i="2"/>
  <c r="P524" i="2"/>
  <c r="O524" i="2"/>
  <c r="N524" i="2"/>
  <c r="M524" i="2"/>
  <c r="L524" i="2"/>
  <c r="N523" i="2"/>
  <c r="K517" i="2"/>
  <c r="J517" i="2"/>
  <c r="K516" i="2"/>
  <c r="P514" i="2"/>
  <c r="O514" i="2"/>
  <c r="P513" i="2"/>
  <c r="O513" i="2"/>
  <c r="N512" i="2"/>
  <c r="M512" i="2"/>
  <c r="P512" i="2" s="1"/>
  <c r="L512" i="2"/>
  <c r="O512" i="2" s="1"/>
  <c r="P507" i="2"/>
  <c r="O507" i="2"/>
  <c r="N507" i="2"/>
  <c r="N505" i="2" s="1"/>
  <c r="P506" i="2"/>
  <c r="O506" i="2"/>
  <c r="P505" i="2"/>
  <c r="O505" i="2"/>
  <c r="M505" i="2"/>
  <c r="L505" i="2"/>
  <c r="P504" i="2"/>
  <c r="O504" i="2"/>
  <c r="N504" i="2"/>
  <c r="M504" i="2"/>
  <c r="L504" i="2"/>
  <c r="O503" i="2"/>
  <c r="N503" i="2"/>
  <c r="M503" i="2"/>
  <c r="P503" i="2" s="1"/>
  <c r="L503" i="2"/>
  <c r="M502" i="2"/>
  <c r="P502" i="2" s="1"/>
  <c r="L502" i="2"/>
  <c r="O502" i="2" s="1"/>
  <c r="K501" i="2"/>
  <c r="J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O479" i="2" s="1"/>
  <c r="P478" i="2"/>
  <c r="O478" i="2"/>
  <c r="P477" i="2"/>
  <c r="N477" i="2"/>
  <c r="M477" i="2"/>
  <c r="N472" i="2"/>
  <c r="L472" i="2"/>
  <c r="M472" i="2" s="1"/>
  <c r="P472" i="2" s="1"/>
  <c r="P471" i="2"/>
  <c r="O471" i="2"/>
  <c r="N470" i="2"/>
  <c r="N469" i="2"/>
  <c r="P468" i="2"/>
  <c r="O468" i="2"/>
  <c r="N468" i="2"/>
  <c r="M468" i="2"/>
  <c r="L468" i="2"/>
  <c r="N467" i="2"/>
  <c r="J466" i="2"/>
  <c r="I466" i="2"/>
  <c r="K466" i="2" s="1"/>
  <c r="J465" i="2"/>
  <c r="I465" i="2"/>
  <c r="I464" i="2"/>
  <c r="I463" i="2"/>
  <c r="I462" i="2"/>
  <c r="I460" i="2"/>
  <c r="K458" i="2"/>
  <c r="P456" i="2"/>
  <c r="L456" i="2"/>
  <c r="O456" i="2" s="1"/>
  <c r="P455" i="2"/>
  <c r="O455" i="2"/>
  <c r="N454" i="2"/>
  <c r="M454" i="2"/>
  <c r="P454" i="2" s="1"/>
  <c r="P449" i="2"/>
  <c r="N449" i="2"/>
  <c r="L449" i="2"/>
  <c r="O449" i="2" s="1"/>
  <c r="P448" i="2"/>
  <c r="O448" i="2"/>
  <c r="N447" i="2"/>
  <c r="M447" i="2"/>
  <c r="P447" i="2" s="1"/>
  <c r="P446" i="2"/>
  <c r="N446" i="2"/>
  <c r="M446" i="2"/>
  <c r="P445" i="2"/>
  <c r="O445" i="2"/>
  <c r="N445" i="2"/>
  <c r="M445" i="2"/>
  <c r="L445" i="2"/>
  <c r="P444" i="2"/>
  <c r="N444" i="2"/>
  <c r="M444" i="2"/>
  <c r="J443" i="2"/>
  <c r="J442" i="2"/>
  <c r="I441" i="2"/>
  <c r="K441" i="2" s="1"/>
  <c r="I440" i="2"/>
  <c r="K440" i="2" s="1"/>
  <c r="I439" i="2"/>
  <c r="K439" i="2" s="1"/>
  <c r="I438" i="2"/>
  <c r="K438" i="2" s="1"/>
  <c r="I437" i="2"/>
  <c r="I435" i="2"/>
  <c r="K435" i="2" s="1"/>
  <c r="J434" i="2"/>
  <c r="J418" i="2" s="1"/>
  <c r="P431" i="2"/>
  <c r="L431" i="2"/>
  <c r="P430" i="2"/>
  <c r="O430" i="2"/>
  <c r="N429" i="2"/>
  <c r="M429" i="2"/>
  <c r="P429" i="2" s="1"/>
  <c r="N424" i="2"/>
  <c r="L424" i="2"/>
  <c r="O424" i="2" s="1"/>
  <c r="P423" i="2"/>
  <c r="O423" i="2"/>
  <c r="N422" i="2"/>
  <c r="N421" i="2"/>
  <c r="P420" i="2"/>
  <c r="N420" i="2"/>
  <c r="M420" i="2"/>
  <c r="L420" i="2"/>
  <c r="N419" i="2"/>
  <c r="K413" i="2"/>
  <c r="K412" i="2"/>
  <c r="N410" i="2"/>
  <c r="M410" i="2"/>
  <c r="L410" i="2"/>
  <c r="L408" i="2" s="1"/>
  <c r="P409" i="2"/>
  <c r="O409" i="2"/>
  <c r="N407" i="2"/>
  <c r="M407" i="2"/>
  <c r="P407" i="2" s="1"/>
  <c r="L407" i="2"/>
  <c r="O407" i="2" s="1"/>
  <c r="P406" i="2"/>
  <c r="O406" i="2"/>
  <c r="P403" i="2"/>
  <c r="O403" i="2"/>
  <c r="N403" i="2"/>
  <c r="M403" i="2"/>
  <c r="L403" i="2"/>
  <c r="J401" i="2"/>
  <c r="I401" i="2"/>
  <c r="K401" i="2" s="1"/>
  <c r="K400" i="2"/>
  <c r="K399" i="2"/>
  <c r="N397" i="2"/>
  <c r="N395" i="2" s="1"/>
  <c r="M397" i="2"/>
  <c r="L397" i="2"/>
  <c r="P396" i="2"/>
  <c r="O396" i="2"/>
  <c r="N394" i="2"/>
  <c r="N392" i="2" s="1"/>
  <c r="M394" i="2"/>
  <c r="P394" i="2" s="1"/>
  <c r="L394" i="2"/>
  <c r="O394" i="2" s="1"/>
  <c r="P393" i="2"/>
  <c r="O393" i="2"/>
  <c r="P390" i="2"/>
  <c r="N390" i="2"/>
  <c r="M390" i="2"/>
  <c r="L390" i="2"/>
  <c r="K388" i="2"/>
  <c r="J388" i="2"/>
  <c r="I388" i="2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M353" i="2"/>
  <c r="M351" i="2" s="1"/>
  <c r="L353" i="2"/>
  <c r="P352" i="2"/>
  <c r="O352" i="2"/>
  <c r="N350" i="2"/>
  <c r="N348" i="2" s="1"/>
  <c r="M350" i="2"/>
  <c r="L350" i="2"/>
  <c r="P349" i="2"/>
  <c r="O349" i="2"/>
  <c r="P346" i="2"/>
  <c r="N346" i="2"/>
  <c r="M346" i="2"/>
  <c r="L346" i="2"/>
  <c r="J343" i="2"/>
  <c r="J342" i="2"/>
  <c r="J341" i="2"/>
  <c r="J340" i="2"/>
  <c r="I340" i="2"/>
  <c r="J338" i="2"/>
  <c r="I338" i="2"/>
  <c r="N336" i="2"/>
  <c r="M336" i="2"/>
  <c r="P336" i="2" s="1"/>
  <c r="L336" i="2"/>
  <c r="O336" i="2" s="1"/>
  <c r="P335" i="2"/>
  <c r="O335" i="2"/>
  <c r="N333" i="2"/>
  <c r="N331" i="2" s="1"/>
  <c r="M333" i="2"/>
  <c r="L333" i="2"/>
  <c r="L331" i="2" s="1"/>
  <c r="P332" i="2"/>
  <c r="O332" i="2"/>
  <c r="P329" i="2"/>
  <c r="N329" i="2"/>
  <c r="M329" i="2"/>
  <c r="L329" i="2"/>
  <c r="I327" i="2"/>
  <c r="I325" i="2"/>
  <c r="K325" i="2" s="1"/>
  <c r="N323" i="2"/>
  <c r="M323" i="2"/>
  <c r="L323" i="2"/>
  <c r="L321" i="2" s="1"/>
  <c r="P322" i="2"/>
  <c r="O322" i="2"/>
  <c r="N320" i="2"/>
  <c r="N318" i="2" s="1"/>
  <c r="M320" i="2"/>
  <c r="L320" i="2"/>
  <c r="P319" i="2"/>
  <c r="O319" i="2"/>
  <c r="N316" i="2"/>
  <c r="M316" i="2"/>
  <c r="L316" i="2"/>
  <c r="O316" i="2" s="1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P306" i="2" s="1"/>
  <c r="L306" i="2"/>
  <c r="O306" i="2" s="1"/>
  <c r="P305" i="2"/>
  <c r="O305" i="2"/>
  <c r="N303" i="2"/>
  <c r="N301" i="2" s="1"/>
  <c r="M303" i="2"/>
  <c r="P303" i="2" s="1"/>
  <c r="L303" i="2"/>
  <c r="L301" i="2" s="1"/>
  <c r="O301" i="2" s="1"/>
  <c r="P302" i="2"/>
  <c r="O302" i="2"/>
  <c r="P299" i="2"/>
  <c r="O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87" i="2"/>
  <c r="K287" i="2" s="1"/>
  <c r="N285" i="2"/>
  <c r="N283" i="2" s="1"/>
  <c r="M285" i="2"/>
  <c r="P285" i="2" s="1"/>
  <c r="L285" i="2"/>
  <c r="O285" i="2" s="1"/>
  <c r="P284" i="2"/>
  <c r="O284" i="2"/>
  <c r="N282" i="2"/>
  <c r="M282" i="2"/>
  <c r="L282" i="2"/>
  <c r="P281" i="2"/>
  <c r="O281" i="2"/>
  <c r="P278" i="2"/>
  <c r="O278" i="2"/>
  <c r="N278" i="2"/>
  <c r="M278" i="2"/>
  <c r="L278" i="2"/>
  <c r="J276" i="2"/>
  <c r="I275" i="2"/>
  <c r="I271" i="2"/>
  <c r="K271" i="2" s="1"/>
  <c r="N269" i="2"/>
  <c r="N267" i="2" s="1"/>
  <c r="M269" i="2"/>
  <c r="M267" i="2" s="1"/>
  <c r="P267" i="2" s="1"/>
  <c r="L269" i="2"/>
  <c r="O269" i="2" s="1"/>
  <c r="P268" i="2"/>
  <c r="O268" i="2"/>
  <c r="N266" i="2"/>
  <c r="N264" i="2" s="1"/>
  <c r="M266" i="2"/>
  <c r="L266" i="2"/>
  <c r="P265" i="2"/>
  <c r="O265" i="2"/>
  <c r="P262" i="2"/>
  <c r="O262" i="2"/>
  <c r="N262" i="2"/>
  <c r="M262" i="2"/>
  <c r="L262" i="2"/>
  <c r="J260" i="2"/>
  <c r="K258" i="2"/>
  <c r="K257" i="2"/>
  <c r="I255" i="2"/>
  <c r="K255" i="2" s="1"/>
  <c r="L253" i="2"/>
  <c r="L252" i="2"/>
  <c r="L251" i="2"/>
  <c r="L250" i="2"/>
  <c r="P249" i="2"/>
  <c r="N249" i="2"/>
  <c r="J248" i="2"/>
  <c r="K247" i="2"/>
  <c r="K246" i="2"/>
  <c r="I244" i="2"/>
  <c r="L242" i="2"/>
  <c r="L241" i="2"/>
  <c r="L240" i="2"/>
  <c r="L239" i="2"/>
  <c r="P238" i="2"/>
  <c r="N238" i="2"/>
  <c r="J237" i="2"/>
  <c r="J226" i="2" s="1"/>
  <c r="J180" i="2" s="1"/>
  <c r="K236" i="2"/>
  <c r="J236" i="2"/>
  <c r="I236" i="2"/>
  <c r="J235" i="2"/>
  <c r="I235" i="2"/>
  <c r="K235" i="2" s="1"/>
  <c r="J233" i="2"/>
  <c r="N231" i="2"/>
  <c r="N230" i="2"/>
  <c r="N229" i="2"/>
  <c r="N228" i="2"/>
  <c r="N227" i="2"/>
  <c r="I225" i="2"/>
  <c r="K225" i="2" s="1"/>
  <c r="I224" i="2"/>
  <c r="I216" i="2" s="1"/>
  <c r="K216" i="2" s="1"/>
  <c r="I223" i="2"/>
  <c r="K223" i="2" s="1"/>
  <c r="L220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K207" i="2"/>
  <c r="K206" i="2"/>
  <c r="I204" i="2"/>
  <c r="I197" i="2" s="1"/>
  <c r="K197" i="2" s="1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M187" i="2" s="1"/>
  <c r="P187" i="2" s="1"/>
  <c r="L189" i="2"/>
  <c r="P188" i="2"/>
  <c r="O188" i="2"/>
  <c r="N186" i="2"/>
  <c r="M186" i="2"/>
  <c r="M184" i="2" s="1"/>
  <c r="L186" i="2"/>
  <c r="L184" i="2" s="1"/>
  <c r="P185" i="2"/>
  <c r="O185" i="2"/>
  <c r="N182" i="2"/>
  <c r="M182" i="2"/>
  <c r="P182" i="2" s="1"/>
  <c r="L182" i="2"/>
  <c r="O182" i="2" s="1"/>
  <c r="J177" i="2"/>
  <c r="J164" i="2" s="1"/>
  <c r="I176" i="2"/>
  <c r="I174" i="2" s="1"/>
  <c r="I164" i="2" s="1"/>
  <c r="K164" i="2" s="1"/>
  <c r="J174" i="2"/>
  <c r="N173" i="2"/>
  <c r="N171" i="2" s="1"/>
  <c r="M173" i="2"/>
  <c r="M171" i="2" s="1"/>
  <c r="P171" i="2" s="1"/>
  <c r="L173" i="2"/>
  <c r="O173" i="2" s="1"/>
  <c r="P172" i="2"/>
  <c r="O172" i="2"/>
  <c r="N170" i="2"/>
  <c r="N168" i="2" s="1"/>
  <c r="M170" i="2"/>
  <c r="M168" i="2" s="1"/>
  <c r="P168" i="2" s="1"/>
  <c r="L170" i="2"/>
  <c r="P169" i="2"/>
  <c r="O169" i="2"/>
  <c r="O166" i="2"/>
  <c r="N166" i="2"/>
  <c r="M166" i="2"/>
  <c r="P166" i="2" s="1"/>
  <c r="L166" i="2"/>
  <c r="I159" i="2"/>
  <c r="K159" i="2" s="1"/>
  <c r="N157" i="2"/>
  <c r="N155" i="2" s="1"/>
  <c r="M157" i="2"/>
  <c r="L157" i="2"/>
  <c r="O157" i="2" s="1"/>
  <c r="P156" i="2"/>
  <c r="O156" i="2"/>
  <c r="N154" i="2"/>
  <c r="M154" i="2"/>
  <c r="M152" i="2" s="1"/>
  <c r="L154" i="2"/>
  <c r="O154" i="2" s="1"/>
  <c r="P153" i="2"/>
  <c r="O153" i="2"/>
  <c r="P150" i="2"/>
  <c r="O150" i="2"/>
  <c r="N150" i="2"/>
  <c r="M150" i="2"/>
  <c r="L150" i="2"/>
  <c r="J148" i="2"/>
  <c r="I146" i="2"/>
  <c r="K146" i="2" s="1"/>
  <c r="I145" i="2"/>
  <c r="K145" i="2" s="1"/>
  <c r="I144" i="2"/>
  <c r="N140" i="2"/>
  <c r="M140" i="2"/>
  <c r="P140" i="2" s="1"/>
  <c r="L140" i="2"/>
  <c r="L138" i="2" s="1"/>
  <c r="O138" i="2" s="1"/>
  <c r="P139" i="2"/>
  <c r="O139" i="2"/>
  <c r="N137" i="2"/>
  <c r="N135" i="2" s="1"/>
  <c r="M137" i="2"/>
  <c r="P137" i="2" s="1"/>
  <c r="L137" i="2"/>
  <c r="L135" i="2" s="1"/>
  <c r="O135" i="2" s="1"/>
  <c r="P136" i="2"/>
  <c r="O136" i="2"/>
  <c r="N133" i="2"/>
  <c r="M133" i="2"/>
  <c r="P133" i="2" s="1"/>
  <c r="L133" i="2"/>
  <c r="O133" i="2" s="1"/>
  <c r="J130" i="2"/>
  <c r="N127" i="2"/>
  <c r="N125" i="2" s="1"/>
  <c r="M127" i="2"/>
  <c r="P127" i="2" s="1"/>
  <c r="L127" i="2"/>
  <c r="O127" i="2" s="1"/>
  <c r="P126" i="2"/>
  <c r="O126" i="2"/>
  <c r="N124" i="2"/>
  <c r="M124" i="2"/>
  <c r="P124" i="2" s="1"/>
  <c r="L124" i="2"/>
  <c r="P123" i="2"/>
  <c r="O123" i="2"/>
  <c r="P120" i="2"/>
  <c r="O120" i="2"/>
  <c r="N120" i="2"/>
  <c r="M120" i="2"/>
  <c r="L120" i="2"/>
  <c r="I116" i="2"/>
  <c r="K116" i="2" s="1"/>
  <c r="I115" i="2"/>
  <c r="K115" i="2" s="1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J87" i="2" s="1"/>
  <c r="I99" i="2"/>
  <c r="I87" i="2" s="1"/>
  <c r="K87" i="2" s="1"/>
  <c r="J98" i="2"/>
  <c r="I98" i="2"/>
  <c r="K98" i="2" s="1"/>
  <c r="N96" i="2"/>
  <c r="N94" i="2" s="1"/>
  <c r="M96" i="2"/>
  <c r="M94" i="2" s="1"/>
  <c r="P94" i="2" s="1"/>
  <c r="L96" i="2"/>
  <c r="O96" i="2" s="1"/>
  <c r="P95" i="2"/>
  <c r="O95" i="2"/>
  <c r="N93" i="2"/>
  <c r="N91" i="2" s="1"/>
  <c r="M93" i="2"/>
  <c r="M91" i="2" s="1"/>
  <c r="L93" i="2"/>
  <c r="P92" i="2"/>
  <c r="O92" i="2"/>
  <c r="O89" i="2"/>
  <c r="N89" i="2"/>
  <c r="M89" i="2"/>
  <c r="P89" i="2" s="1"/>
  <c r="L89" i="2"/>
  <c r="J86" i="2"/>
  <c r="I84" i="2"/>
  <c r="K84" i="2" s="1"/>
  <c r="I83" i="2"/>
  <c r="K83" i="2" s="1"/>
  <c r="I82" i="2"/>
  <c r="K82" i="2" s="1"/>
  <c r="I81" i="2"/>
  <c r="K81" i="2" s="1"/>
  <c r="I80" i="2"/>
  <c r="I79" i="2"/>
  <c r="I78" i="2"/>
  <c r="K78" i="2" s="1"/>
  <c r="J77" i="2"/>
  <c r="J76" i="2"/>
  <c r="N74" i="2"/>
  <c r="N72" i="2" s="1"/>
  <c r="M74" i="2"/>
  <c r="P74" i="2" s="1"/>
  <c r="L74" i="2"/>
  <c r="L72" i="2" s="1"/>
  <c r="O72" i="2" s="1"/>
  <c r="P73" i="2"/>
  <c r="O73" i="2"/>
  <c r="N71" i="2"/>
  <c r="N69" i="2" s="1"/>
  <c r="M71" i="2"/>
  <c r="L71" i="2"/>
  <c r="L69" i="2" s="1"/>
  <c r="P70" i="2"/>
  <c r="O70" i="2"/>
  <c r="N67" i="2"/>
  <c r="M67" i="2"/>
  <c r="P67" i="2" s="1"/>
  <c r="L67" i="2"/>
  <c r="O67" i="2" s="1"/>
  <c r="J65" i="2"/>
  <c r="J64" i="2"/>
  <c r="N61" i="2"/>
  <c r="M61" i="2"/>
  <c r="P61" i="2" s="1"/>
  <c r="L61" i="2"/>
  <c r="O61" i="2" s="1"/>
  <c r="P60" i="2"/>
  <c r="O60" i="2"/>
  <c r="N58" i="2"/>
  <c r="N56" i="2" s="1"/>
  <c r="M58" i="2"/>
  <c r="M56" i="2" s="1"/>
  <c r="L58" i="2"/>
  <c r="P57" i="2"/>
  <c r="O57" i="2"/>
  <c r="P54" i="2"/>
  <c r="O54" i="2"/>
  <c r="N54" i="2"/>
  <c r="M54" i="2"/>
  <c r="L54" i="2"/>
  <c r="N49" i="2"/>
  <c r="N47" i="2" s="1"/>
  <c r="M49" i="2"/>
  <c r="P49" i="2" s="1"/>
  <c r="L49" i="2"/>
  <c r="L47" i="2" s="1"/>
  <c r="O47" i="2" s="1"/>
  <c r="P48" i="2"/>
  <c r="O48" i="2"/>
  <c r="N46" i="2"/>
  <c r="N44" i="2" s="1"/>
  <c r="M46" i="2"/>
  <c r="M44" i="2" s="1"/>
  <c r="L46" i="2"/>
  <c r="L44" i="2" s="1"/>
  <c r="P45" i="2"/>
  <c r="O45" i="2"/>
  <c r="O42" i="2"/>
  <c r="N42" i="2"/>
  <c r="M42" i="2"/>
  <c r="P42" i="2" s="1"/>
  <c r="L42" i="2"/>
  <c r="P36" i="2"/>
  <c r="N36" i="2"/>
  <c r="M36" i="2"/>
  <c r="P35" i="2"/>
  <c r="O35" i="2"/>
  <c r="N35" i="2"/>
  <c r="N34" i="2" s="1"/>
  <c r="M35" i="2"/>
  <c r="M34" i="2" s="1"/>
  <c r="P34" i="2" s="1"/>
  <c r="L35" i="2"/>
  <c r="N33" i="2"/>
  <c r="P32" i="2"/>
  <c r="N32" i="2"/>
  <c r="N31" i="2" s="1"/>
  <c r="M32" i="2"/>
  <c r="L32" i="2"/>
  <c r="N30" i="2"/>
  <c r="P25" i="2"/>
  <c r="N25" i="2"/>
  <c r="M25" i="2"/>
  <c r="L25" i="2"/>
  <c r="O25" i="2" s="1"/>
  <c r="O22" i="2"/>
  <c r="N22" i="2"/>
  <c r="N19" i="2" s="1"/>
  <c r="M22" i="2"/>
  <c r="L22" i="2"/>
  <c r="L12" i="2"/>
  <c r="O12" i="2" s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O815" i="1"/>
  <c r="N815" i="1"/>
  <c r="M815" i="1"/>
  <c r="P815" i="1" s="1"/>
  <c r="L815" i="1"/>
  <c r="P810" i="1"/>
  <c r="O810" i="1"/>
  <c r="N810" i="1"/>
  <c r="N807" i="1" s="1"/>
  <c r="N805" i="1" s="1"/>
  <c r="P809" i="1"/>
  <c r="O809" i="1"/>
  <c r="N808" i="1"/>
  <c r="M808" i="1"/>
  <c r="P808" i="1" s="1"/>
  <c r="L808" i="1"/>
  <c r="O808" i="1" s="1"/>
  <c r="M807" i="1"/>
  <c r="P807" i="1" s="1"/>
  <c r="L807" i="1"/>
  <c r="O807" i="1" s="1"/>
  <c r="P806" i="1"/>
  <c r="N806" i="1"/>
  <c r="M806" i="1"/>
  <c r="L806" i="1"/>
  <c r="K804" i="1"/>
  <c r="J804" i="1"/>
  <c r="K802" i="1"/>
  <c r="J801" i="1"/>
  <c r="J800" i="1"/>
  <c r="J785" i="1" s="1"/>
  <c r="I800" i="1"/>
  <c r="K800" i="1" s="1"/>
  <c r="P798" i="1"/>
  <c r="O798" i="1"/>
  <c r="P797" i="1"/>
  <c r="O797" i="1"/>
  <c r="O796" i="1"/>
  <c r="N796" i="1"/>
  <c r="M796" i="1"/>
  <c r="P796" i="1" s="1"/>
  <c r="L796" i="1"/>
  <c r="N795" i="1"/>
  <c r="N794" i="1"/>
  <c r="N793" i="1"/>
  <c r="N792" i="1"/>
  <c r="P791" i="1"/>
  <c r="L791" i="1"/>
  <c r="L788" i="1" s="1"/>
  <c r="P790" i="1"/>
  <c r="O790" i="1"/>
  <c r="M789" i="1"/>
  <c r="P789" i="1" s="1"/>
  <c r="P788" i="1"/>
  <c r="M788" i="1"/>
  <c r="O787" i="1"/>
  <c r="N787" i="1"/>
  <c r="M787" i="1"/>
  <c r="M786" i="1" s="1"/>
  <c r="P786" i="1" s="1"/>
  <c r="L787" i="1"/>
  <c r="P782" i="1"/>
  <c r="O782" i="1"/>
  <c r="P781" i="1"/>
  <c r="O781" i="1"/>
  <c r="P780" i="1"/>
  <c r="N780" i="1"/>
  <c r="M780" i="1"/>
  <c r="L780" i="1"/>
  <c r="O780" i="1" s="1"/>
  <c r="P775" i="1"/>
  <c r="O775" i="1"/>
  <c r="N775" i="1"/>
  <c r="P774" i="1"/>
  <c r="O774" i="1"/>
  <c r="P773" i="1"/>
  <c r="M773" i="1"/>
  <c r="L773" i="1"/>
  <c r="O773" i="1" s="1"/>
  <c r="M772" i="1"/>
  <c r="P772" i="1" s="1"/>
  <c r="L772" i="1"/>
  <c r="O772" i="1" s="1"/>
  <c r="P771" i="1"/>
  <c r="N771" i="1"/>
  <c r="M771" i="1"/>
  <c r="L771" i="1"/>
  <c r="O771" i="1" s="1"/>
  <c r="M770" i="1"/>
  <c r="P770" i="1" s="1"/>
  <c r="K769" i="1"/>
  <c r="J769" i="1"/>
  <c r="P766" i="1"/>
  <c r="O766" i="1"/>
  <c r="P765" i="1"/>
  <c r="O765" i="1"/>
  <c r="P764" i="1"/>
  <c r="N764" i="1"/>
  <c r="M764" i="1"/>
  <c r="L764" i="1"/>
  <c r="O764" i="1" s="1"/>
  <c r="P759" i="1"/>
  <c r="O759" i="1"/>
  <c r="N759" i="1"/>
  <c r="P758" i="1"/>
  <c r="O758" i="1"/>
  <c r="M757" i="1"/>
  <c r="P757" i="1" s="1"/>
  <c r="L757" i="1"/>
  <c r="O757" i="1" s="1"/>
  <c r="O756" i="1"/>
  <c r="M756" i="1"/>
  <c r="P756" i="1" s="1"/>
  <c r="L756" i="1"/>
  <c r="P755" i="1"/>
  <c r="N755" i="1"/>
  <c r="M755" i="1"/>
  <c r="L755" i="1"/>
  <c r="O755" i="1" s="1"/>
  <c r="M754" i="1"/>
  <c r="P754" i="1" s="1"/>
  <c r="K753" i="1"/>
  <c r="J753" i="1"/>
  <c r="P749" i="1"/>
  <c r="O749" i="1"/>
  <c r="P748" i="1"/>
  <c r="O748" i="1"/>
  <c r="P747" i="1"/>
  <c r="O747" i="1"/>
  <c r="N747" i="1"/>
  <c r="M747" i="1"/>
  <c r="L747" i="1"/>
  <c r="P742" i="1"/>
  <c r="O742" i="1"/>
  <c r="N742" i="1"/>
  <c r="P741" i="1"/>
  <c r="O741" i="1"/>
  <c r="M740" i="1"/>
  <c r="P740" i="1" s="1"/>
  <c r="L740" i="1"/>
  <c r="O740" i="1" s="1"/>
  <c r="O739" i="1"/>
  <c r="M739" i="1"/>
  <c r="P739" i="1" s="1"/>
  <c r="L739" i="1"/>
  <c r="P738" i="1"/>
  <c r="N738" i="1"/>
  <c r="M738" i="1"/>
  <c r="L738" i="1"/>
  <c r="O738" i="1" s="1"/>
  <c r="P737" i="1"/>
  <c r="M737" i="1"/>
  <c r="K736" i="1"/>
  <c r="J736" i="1"/>
  <c r="J735" i="1"/>
  <c r="J734" i="1"/>
  <c r="J733" i="1"/>
  <c r="J732" i="1"/>
  <c r="J731" i="1"/>
  <c r="J730" i="1"/>
  <c r="I729" i="1"/>
  <c r="K729" i="1" s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K720" i="1" s="1"/>
  <c r="J719" i="1"/>
  <c r="J718" i="1"/>
  <c r="J717" i="1"/>
  <c r="J716" i="1"/>
  <c r="J715" i="1"/>
  <c r="J714" i="1"/>
  <c r="J713" i="1"/>
  <c r="J712" i="1"/>
  <c r="J710" i="1"/>
  <c r="J709" i="1"/>
  <c r="I708" i="1"/>
  <c r="K708" i="1" s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N695" i="1"/>
  <c r="M695" i="1"/>
  <c r="L695" i="1"/>
  <c r="O695" i="1" s="1"/>
  <c r="N694" i="1"/>
  <c r="N693" i="1"/>
  <c r="N692" i="1"/>
  <c r="N691" i="1"/>
  <c r="M690" i="1"/>
  <c r="M688" i="1" s="1"/>
  <c r="L690" i="1"/>
  <c r="L688" i="1" s="1"/>
  <c r="P686" i="1"/>
  <c r="O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I654" i="1" s="1"/>
  <c r="P667" i="1"/>
  <c r="O667" i="1"/>
  <c r="P666" i="1"/>
  <c r="O666" i="1"/>
  <c r="P665" i="1"/>
  <c r="O665" i="1"/>
  <c r="N665" i="1"/>
  <c r="M665" i="1"/>
  <c r="L665" i="1"/>
  <c r="N664" i="1"/>
  <c r="N663" i="1"/>
  <c r="N662" i="1"/>
  <c r="N661" i="1"/>
  <c r="M660" i="1"/>
  <c r="M658" i="1" s="1"/>
  <c r="L660" i="1"/>
  <c r="L657" i="1" s="1"/>
  <c r="P659" i="1"/>
  <c r="O659" i="1"/>
  <c r="P656" i="1"/>
  <c r="N656" i="1"/>
  <c r="M656" i="1"/>
  <c r="L656" i="1"/>
  <c r="K652" i="1"/>
  <c r="J652" i="1"/>
  <c r="J651" i="1"/>
  <c r="J628" i="1" s="1"/>
  <c r="I651" i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P640" i="1"/>
  <c r="O640" i="1"/>
  <c r="P639" i="1"/>
  <c r="N639" i="1"/>
  <c r="M639" i="1"/>
  <c r="N638" i="1"/>
  <c r="N637" i="1"/>
  <c r="N636" i="1"/>
  <c r="N635" i="1"/>
  <c r="M634" i="1"/>
  <c r="L634" i="1"/>
  <c r="L632" i="1" s="1"/>
  <c r="P633" i="1"/>
  <c r="O633" i="1"/>
  <c r="O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I543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L555" i="1" s="1"/>
  <c r="O555" i="1" s="1"/>
  <c r="P556" i="1"/>
  <c r="O556" i="1"/>
  <c r="N555" i="1"/>
  <c r="N545" i="1" s="1"/>
  <c r="M555" i="1"/>
  <c r="N554" i="1"/>
  <c r="N553" i="1"/>
  <c r="N552" i="1"/>
  <c r="N551" i="1"/>
  <c r="N550" i="1"/>
  <c r="M549" i="1"/>
  <c r="M547" i="1" s="1"/>
  <c r="L549" i="1"/>
  <c r="L547" i="1" s="1"/>
  <c r="P548" i="1"/>
  <c r="O548" i="1"/>
  <c r="L545" i="1"/>
  <c r="J542" i="1"/>
  <c r="I542" i="1"/>
  <c r="J541" i="1"/>
  <c r="I541" i="1"/>
  <c r="J540" i="1"/>
  <c r="I540" i="1"/>
  <c r="J539" i="1"/>
  <c r="I539" i="1"/>
  <c r="J538" i="1"/>
  <c r="I538" i="1"/>
  <c r="J537" i="1"/>
  <c r="J522" i="1" s="1"/>
  <c r="I537" i="1"/>
  <c r="P535" i="1"/>
  <c r="L535" i="1"/>
  <c r="O535" i="1" s="1"/>
  <c r="P534" i="1"/>
  <c r="O534" i="1"/>
  <c r="P533" i="1"/>
  <c r="N533" i="1"/>
  <c r="M533" i="1"/>
  <c r="N532" i="1"/>
  <c r="N531" i="1"/>
  <c r="N530" i="1"/>
  <c r="N529" i="1"/>
  <c r="M528" i="1"/>
  <c r="M526" i="1" s="1"/>
  <c r="L528" i="1"/>
  <c r="L526" i="1" s="1"/>
  <c r="P527" i="1"/>
  <c r="O527" i="1"/>
  <c r="N524" i="1"/>
  <c r="M524" i="1"/>
  <c r="P524" i="1" s="1"/>
  <c r="L524" i="1"/>
  <c r="K517" i="1"/>
  <c r="J517" i="1"/>
  <c r="J501" i="1" s="1"/>
  <c r="K516" i="1"/>
  <c r="P514" i="1"/>
  <c r="O514" i="1"/>
  <c r="P513" i="1"/>
  <c r="O513" i="1"/>
  <c r="O512" i="1"/>
  <c r="N512" i="1"/>
  <c r="M512" i="1"/>
  <c r="P512" i="1" s="1"/>
  <c r="L512" i="1"/>
  <c r="P507" i="1"/>
  <c r="O507" i="1"/>
  <c r="N507" i="1"/>
  <c r="N504" i="1" s="1"/>
  <c r="N502" i="1" s="1"/>
  <c r="P506" i="1"/>
  <c r="O506" i="1"/>
  <c r="N505" i="1"/>
  <c r="M505" i="1"/>
  <c r="P505" i="1" s="1"/>
  <c r="L505" i="1"/>
  <c r="O505" i="1" s="1"/>
  <c r="M504" i="1"/>
  <c r="P504" i="1" s="1"/>
  <c r="L504" i="1"/>
  <c r="O504" i="1" s="1"/>
  <c r="P503" i="1"/>
  <c r="O503" i="1"/>
  <c r="N503" i="1"/>
  <c r="M503" i="1"/>
  <c r="L503" i="1"/>
  <c r="L502" i="1" s="1"/>
  <c r="O502" i="1"/>
  <c r="K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O479" i="1" s="1"/>
  <c r="P478" i="1"/>
  <c r="O478" i="1"/>
  <c r="N477" i="1"/>
  <c r="M477" i="1"/>
  <c r="P477" i="1" s="1"/>
  <c r="N476" i="1"/>
  <c r="N475" i="1"/>
  <c r="N474" i="1"/>
  <c r="N473" i="1"/>
  <c r="M472" i="1"/>
  <c r="M469" i="1" s="1"/>
  <c r="M467" i="1" s="1"/>
  <c r="L472" i="1"/>
  <c r="L470" i="1" s="1"/>
  <c r="P471" i="1"/>
  <c r="O471" i="1"/>
  <c r="P468" i="1"/>
  <c r="O468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J460" i="1"/>
  <c r="J442" i="1" s="1"/>
  <c r="I460" i="1"/>
  <c r="I442" i="1" s="1"/>
  <c r="K458" i="1"/>
  <c r="P456" i="1"/>
  <c r="L456" i="1"/>
  <c r="P455" i="1"/>
  <c r="O455" i="1"/>
  <c r="P454" i="1"/>
  <c r="N454" i="1"/>
  <c r="M454" i="1"/>
  <c r="N453" i="1"/>
  <c r="N452" i="1"/>
  <c r="N451" i="1"/>
  <c r="N450" i="1"/>
  <c r="M449" i="1"/>
  <c r="M447" i="1" s="1"/>
  <c r="L449" i="1"/>
  <c r="L447" i="1" s="1"/>
  <c r="P448" i="1"/>
  <c r="O448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J433" i="1"/>
  <c r="J417" i="1" s="1"/>
  <c r="P431" i="1"/>
  <c r="L431" i="1"/>
  <c r="L429" i="1" s="1"/>
  <c r="O429" i="1" s="1"/>
  <c r="P430" i="1"/>
  <c r="O430" i="1"/>
  <c r="P429" i="1"/>
  <c r="N429" i="1"/>
  <c r="M429" i="1"/>
  <c r="N428" i="1"/>
  <c r="N427" i="1"/>
  <c r="N426" i="1"/>
  <c r="N425" i="1"/>
  <c r="M424" i="1"/>
  <c r="M422" i="1" s="1"/>
  <c r="L424" i="1"/>
  <c r="P423" i="1"/>
  <c r="O423" i="1"/>
  <c r="N420" i="1"/>
  <c r="M420" i="1"/>
  <c r="L420" i="1"/>
  <c r="O420" i="1" s="1"/>
  <c r="J413" i="1"/>
  <c r="I413" i="1"/>
  <c r="K413" i="1" s="1"/>
  <c r="J412" i="1"/>
  <c r="J401" i="1" s="1"/>
  <c r="I412" i="1"/>
  <c r="N410" i="1"/>
  <c r="N408" i="1" s="1"/>
  <c r="M410" i="1"/>
  <c r="M408" i="1" s="1"/>
  <c r="L410" i="1"/>
  <c r="L408" i="1" s="1"/>
  <c r="P409" i="1"/>
  <c r="O409" i="1"/>
  <c r="N407" i="1"/>
  <c r="N405" i="1" s="1"/>
  <c r="M407" i="1"/>
  <c r="L407" i="1"/>
  <c r="L405" i="1" s="1"/>
  <c r="O405" i="1" s="1"/>
  <c r="P406" i="1"/>
  <c r="O406" i="1"/>
  <c r="O403" i="1"/>
  <c r="N403" i="1"/>
  <c r="M403" i="1"/>
  <c r="L403" i="1"/>
  <c r="J400" i="1"/>
  <c r="J388" i="1" s="1"/>
  <c r="I400" i="1"/>
  <c r="I388" i="1" s="1"/>
  <c r="K388" i="1" s="1"/>
  <c r="J399" i="1"/>
  <c r="I399" i="1"/>
  <c r="K399" i="1" s="1"/>
  <c r="N397" i="1"/>
  <c r="N395" i="1" s="1"/>
  <c r="M397" i="1"/>
  <c r="M395" i="1" s="1"/>
  <c r="L397" i="1"/>
  <c r="L395" i="1" s="1"/>
  <c r="P396" i="1"/>
  <c r="O396" i="1"/>
  <c r="N394" i="1"/>
  <c r="M394" i="1"/>
  <c r="L394" i="1"/>
  <c r="L392" i="1" s="1"/>
  <c r="O392" i="1" s="1"/>
  <c r="P393" i="1"/>
  <c r="O393" i="1"/>
  <c r="O390" i="1"/>
  <c r="N390" i="1"/>
  <c r="M390" i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M351" i="1" s="1"/>
  <c r="L353" i="1"/>
  <c r="P352" i="1"/>
  <c r="O352" i="1"/>
  <c r="N350" i="1"/>
  <c r="N348" i="1" s="1"/>
  <c r="M350" i="1"/>
  <c r="M348" i="1" s="1"/>
  <c r="L350" i="1"/>
  <c r="P349" i="1"/>
  <c r="O349" i="1"/>
  <c r="P346" i="1"/>
  <c r="O346" i="1"/>
  <c r="N346" i="1"/>
  <c r="M346" i="1"/>
  <c r="L346" i="1"/>
  <c r="J343" i="1"/>
  <c r="J342" i="1"/>
  <c r="J341" i="1"/>
  <c r="J340" i="1"/>
  <c r="I340" i="1"/>
  <c r="J338" i="1"/>
  <c r="I338" i="1"/>
  <c r="N336" i="1"/>
  <c r="N334" i="1" s="1"/>
  <c r="M336" i="1"/>
  <c r="P336" i="1" s="1"/>
  <c r="L336" i="1"/>
  <c r="P335" i="1"/>
  <c r="O335" i="1"/>
  <c r="N333" i="1"/>
  <c r="M333" i="1"/>
  <c r="M331" i="1" s="1"/>
  <c r="L333" i="1"/>
  <c r="P332" i="1"/>
  <c r="O332" i="1"/>
  <c r="N329" i="1"/>
  <c r="M329" i="1"/>
  <c r="P329" i="1" s="1"/>
  <c r="L329" i="1"/>
  <c r="I327" i="1"/>
  <c r="J325" i="1"/>
  <c r="J314" i="1" s="1"/>
  <c r="I325" i="1"/>
  <c r="I314" i="1" s="1"/>
  <c r="N323" i="1"/>
  <c r="M323" i="1"/>
  <c r="L323" i="1"/>
  <c r="L321" i="1" s="1"/>
  <c r="P322" i="1"/>
  <c r="O322" i="1"/>
  <c r="N320" i="1"/>
  <c r="N318" i="1" s="1"/>
  <c r="M320" i="1"/>
  <c r="M318" i="1" s="1"/>
  <c r="L320" i="1"/>
  <c r="P319" i="1"/>
  <c r="O319" i="1"/>
  <c r="P316" i="1"/>
  <c r="N316" i="1"/>
  <c r="M316" i="1"/>
  <c r="L316" i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N304" i="1" s="1"/>
  <c r="M306" i="1"/>
  <c r="P306" i="1" s="1"/>
  <c r="L306" i="1"/>
  <c r="O306" i="1" s="1"/>
  <c r="P305" i="1"/>
  <c r="O305" i="1"/>
  <c r="N303" i="1"/>
  <c r="N301" i="1" s="1"/>
  <c r="M303" i="1"/>
  <c r="M301" i="1" s="1"/>
  <c r="L303" i="1"/>
  <c r="P302" i="1"/>
  <c r="O302" i="1"/>
  <c r="O299" i="1"/>
  <c r="N299" i="1"/>
  <c r="M299" i="1"/>
  <c r="L299" i="1"/>
  <c r="J294" i="1"/>
  <c r="I294" i="1"/>
  <c r="J293" i="1"/>
  <c r="I293" i="1"/>
  <c r="J291" i="1"/>
  <c r="I291" i="1"/>
  <c r="J290" i="1"/>
  <c r="I290" i="1"/>
  <c r="J288" i="1"/>
  <c r="J275" i="1" s="1"/>
  <c r="I288" i="1"/>
  <c r="J287" i="1"/>
  <c r="J276" i="1" s="1"/>
  <c r="I287" i="1"/>
  <c r="I276" i="1" s="1"/>
  <c r="N285" i="1"/>
  <c r="N283" i="1" s="1"/>
  <c r="M285" i="1"/>
  <c r="P285" i="1" s="1"/>
  <c r="L285" i="1"/>
  <c r="O285" i="1" s="1"/>
  <c r="P284" i="1"/>
  <c r="O284" i="1"/>
  <c r="N282" i="1"/>
  <c r="M282" i="1"/>
  <c r="M280" i="1" s="1"/>
  <c r="L282" i="1"/>
  <c r="P281" i="1"/>
  <c r="O281" i="1"/>
  <c r="O278" i="1"/>
  <c r="N278" i="1"/>
  <c r="M278" i="1"/>
  <c r="L278" i="1"/>
  <c r="J271" i="1"/>
  <c r="J260" i="1" s="1"/>
  <c r="I271" i="1"/>
  <c r="I260" i="1" s="1"/>
  <c r="N269" i="1"/>
  <c r="N267" i="1" s="1"/>
  <c r="M269" i="1"/>
  <c r="M267" i="1" s="1"/>
  <c r="P267" i="1" s="1"/>
  <c r="L269" i="1"/>
  <c r="O269" i="1" s="1"/>
  <c r="P268" i="1"/>
  <c r="O268" i="1"/>
  <c r="N266" i="1"/>
  <c r="N264" i="1" s="1"/>
  <c r="M266" i="1"/>
  <c r="M264" i="1" s="1"/>
  <c r="L266" i="1"/>
  <c r="P265" i="1"/>
  <c r="O265" i="1"/>
  <c r="O262" i="1"/>
  <c r="N262" i="1"/>
  <c r="M262" i="1"/>
  <c r="L262" i="1"/>
  <c r="J258" i="1"/>
  <c r="I258" i="1"/>
  <c r="K258" i="1" s="1"/>
  <c r="J257" i="1"/>
  <c r="I257" i="1"/>
  <c r="K257" i="1" s="1"/>
  <c r="J255" i="1"/>
  <c r="J248" i="1" s="1"/>
  <c r="I255" i="1"/>
  <c r="I248" i="1" s="1"/>
  <c r="K248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K246" i="1" s="1"/>
  <c r="J244" i="1"/>
  <c r="J237" i="1" s="1"/>
  <c r="I244" i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I215" i="1"/>
  <c r="I208" i="1" s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P191" i="1"/>
  <c r="N191" i="1"/>
  <c r="L191" i="1"/>
  <c r="N189" i="1"/>
  <c r="N187" i="1" s="1"/>
  <c r="M189" i="1"/>
  <c r="P189" i="1" s="1"/>
  <c r="L189" i="1"/>
  <c r="P188" i="1"/>
  <c r="O188" i="1"/>
  <c r="N186" i="1"/>
  <c r="N184" i="1" s="1"/>
  <c r="M186" i="1"/>
  <c r="L186" i="1"/>
  <c r="P185" i="1"/>
  <c r="O185" i="1"/>
  <c r="O182" i="1"/>
  <c r="N182" i="1"/>
  <c r="M182" i="1"/>
  <c r="L182" i="1"/>
  <c r="J177" i="1"/>
  <c r="J176" i="1"/>
  <c r="J174" i="1" s="1"/>
  <c r="J164" i="1" s="1"/>
  <c r="I176" i="1"/>
  <c r="I174" i="1" s="1"/>
  <c r="I164" i="1" s="1"/>
  <c r="N173" i="1"/>
  <c r="N171" i="1" s="1"/>
  <c r="M173" i="1"/>
  <c r="M171" i="1" s="1"/>
  <c r="P171" i="1" s="1"/>
  <c r="L173" i="1"/>
  <c r="O173" i="1" s="1"/>
  <c r="P172" i="1"/>
  <c r="O172" i="1"/>
  <c r="N170" i="1"/>
  <c r="N168" i="1" s="1"/>
  <c r="M170" i="1"/>
  <c r="M168" i="1" s="1"/>
  <c r="L170" i="1"/>
  <c r="L168" i="1" s="1"/>
  <c r="P169" i="1"/>
  <c r="O169" i="1"/>
  <c r="O166" i="1"/>
  <c r="N166" i="1"/>
  <c r="M166" i="1"/>
  <c r="L166" i="1"/>
  <c r="J159" i="1"/>
  <c r="J148" i="1" s="1"/>
  <c r="I159" i="1"/>
  <c r="I148" i="1" s="1"/>
  <c r="N157" i="1"/>
  <c r="N155" i="1" s="1"/>
  <c r="M157" i="1"/>
  <c r="L157" i="1"/>
  <c r="P156" i="1"/>
  <c r="O156" i="1"/>
  <c r="N154" i="1"/>
  <c r="N152" i="1" s="1"/>
  <c r="M154" i="1"/>
  <c r="L154" i="1"/>
  <c r="L152" i="1" s="1"/>
  <c r="P153" i="1"/>
  <c r="O153" i="1"/>
  <c r="P150" i="1"/>
  <c r="N150" i="1"/>
  <c r="M150" i="1"/>
  <c r="L150" i="1"/>
  <c r="O150" i="1" s="1"/>
  <c r="J146" i="1"/>
  <c r="J130" i="1" s="1"/>
  <c r="I146" i="1"/>
  <c r="I130" i="1" s="1"/>
  <c r="J145" i="1"/>
  <c r="I145" i="1"/>
  <c r="J144" i="1"/>
  <c r="I144" i="1"/>
  <c r="J143" i="1"/>
  <c r="J131" i="1" s="1"/>
  <c r="J142" i="1"/>
  <c r="N140" i="1"/>
  <c r="M140" i="1"/>
  <c r="M138" i="1" s="1"/>
  <c r="L140" i="1"/>
  <c r="L138" i="1" s="1"/>
  <c r="P139" i="1"/>
  <c r="O139" i="1"/>
  <c r="N137" i="1"/>
  <c r="M137" i="1"/>
  <c r="M135" i="1" s="1"/>
  <c r="L137" i="1"/>
  <c r="L135" i="1" s="1"/>
  <c r="P136" i="1"/>
  <c r="O136" i="1"/>
  <c r="O133" i="1"/>
  <c r="N133" i="1"/>
  <c r="M133" i="1"/>
  <c r="P133" i="1" s="1"/>
  <c r="L133" i="1"/>
  <c r="N127" i="1"/>
  <c r="N125" i="1" s="1"/>
  <c r="M127" i="1"/>
  <c r="L127" i="1"/>
  <c r="L125" i="1" s="1"/>
  <c r="P126" i="1"/>
  <c r="O126" i="1"/>
  <c r="N124" i="1"/>
  <c r="N122" i="1" s="1"/>
  <c r="M124" i="1"/>
  <c r="P124" i="1" s="1"/>
  <c r="L124" i="1"/>
  <c r="O124" i="1" s="1"/>
  <c r="P123" i="1"/>
  <c r="O123" i="1"/>
  <c r="P120" i="1"/>
  <c r="N120" i="1"/>
  <c r="M120" i="1"/>
  <c r="L120" i="1"/>
  <c r="O120" i="1" s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87" i="1" s="1"/>
  <c r="I98" i="1"/>
  <c r="I86" i="1" s="1"/>
  <c r="N96" i="1"/>
  <c r="N94" i="1" s="1"/>
  <c r="M96" i="1"/>
  <c r="P96" i="1" s="1"/>
  <c r="L96" i="1"/>
  <c r="O96" i="1" s="1"/>
  <c r="P95" i="1"/>
  <c r="O95" i="1"/>
  <c r="N93" i="1"/>
  <c r="N91" i="1" s="1"/>
  <c r="M93" i="1"/>
  <c r="L93" i="1"/>
  <c r="P92" i="1"/>
  <c r="O92" i="1"/>
  <c r="P89" i="1"/>
  <c r="N89" i="1"/>
  <c r="M89" i="1"/>
  <c r="L89" i="1"/>
  <c r="O89" i="1" s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O74" i="1" s="1"/>
  <c r="P73" i="1"/>
  <c r="O73" i="1"/>
  <c r="N71" i="1"/>
  <c r="N69" i="1" s="1"/>
  <c r="M71" i="1"/>
  <c r="M69" i="1" s="1"/>
  <c r="L71" i="1"/>
  <c r="P70" i="1"/>
  <c r="O70" i="1"/>
  <c r="P67" i="1"/>
  <c r="N67" i="1"/>
  <c r="M67" i="1"/>
  <c r="L67" i="1"/>
  <c r="O67" i="1" s="1"/>
  <c r="N61" i="1"/>
  <c r="M61" i="1"/>
  <c r="L61" i="1"/>
  <c r="L59" i="1" s="1"/>
  <c r="P60" i="1"/>
  <c r="O60" i="1"/>
  <c r="N58" i="1"/>
  <c r="M58" i="1"/>
  <c r="M56" i="1" s="1"/>
  <c r="L58" i="1"/>
  <c r="L56" i="1" s="1"/>
  <c r="P57" i="1"/>
  <c r="O57" i="1"/>
  <c r="P54" i="1"/>
  <c r="O54" i="1"/>
  <c r="N54" i="1"/>
  <c r="M54" i="1"/>
  <c r="L54" i="1"/>
  <c r="N49" i="1"/>
  <c r="N47" i="1" s="1"/>
  <c r="M49" i="1"/>
  <c r="P49" i="1" s="1"/>
  <c r="L49" i="1"/>
  <c r="P48" i="1"/>
  <c r="O48" i="1"/>
  <c r="N46" i="1"/>
  <c r="M46" i="1"/>
  <c r="M44" i="1" s="1"/>
  <c r="L46" i="1"/>
  <c r="L44" i="1" s="1"/>
  <c r="P45" i="1"/>
  <c r="O45" i="1"/>
  <c r="N42" i="1"/>
  <c r="M42" i="1"/>
  <c r="P42" i="1" s="1"/>
  <c r="L42" i="1"/>
  <c r="O42" i="1" s="1"/>
  <c r="N36" i="1"/>
  <c r="M36" i="1"/>
  <c r="P36" i="1" s="1"/>
  <c r="N35" i="1"/>
  <c r="N29" i="1" s="1"/>
  <c r="M35" i="1"/>
  <c r="M34" i="1" s="1"/>
  <c r="P34" i="1" s="1"/>
  <c r="L35" i="1"/>
  <c r="O35" i="1" s="1"/>
  <c r="O32" i="1"/>
  <c r="N32" i="1"/>
  <c r="M32" i="1"/>
  <c r="M29" i="1" s="1"/>
  <c r="L32" i="1"/>
  <c r="P25" i="1"/>
  <c r="O25" i="1"/>
  <c r="N25" i="1"/>
  <c r="M25" i="1"/>
  <c r="L25" i="1"/>
  <c r="P22" i="1"/>
  <c r="N22" i="1"/>
  <c r="N19" i="1" s="1"/>
  <c r="M22" i="1"/>
  <c r="L22" i="1"/>
  <c r="L12" i="1" s="1"/>
  <c r="L19" i="1"/>
  <c r="O19" i="1" s="1"/>
  <c r="N15" i="1"/>
  <c r="M15" i="1"/>
  <c r="L15" i="1"/>
  <c r="O15" i="1" s="1"/>
  <c r="I164" i="14" l="1"/>
  <c r="K164" i="14" s="1"/>
  <c r="K174" i="14"/>
  <c r="K647" i="11"/>
  <c r="M300" i="12"/>
  <c r="P300" i="12" s="1"/>
  <c r="M43" i="13"/>
  <c r="M55" i="13"/>
  <c r="M53" i="13" s="1"/>
  <c r="K159" i="14"/>
  <c r="L167" i="14"/>
  <c r="L304" i="14"/>
  <c r="O304" i="14" s="1"/>
  <c r="L321" i="14"/>
  <c r="O321" i="14" s="1"/>
  <c r="I364" i="14"/>
  <c r="K365" i="14"/>
  <c r="L16" i="15"/>
  <c r="L14" i="15" s="1"/>
  <c r="L30" i="15"/>
  <c r="N26" i="15"/>
  <c r="P96" i="15"/>
  <c r="M94" i="15"/>
  <c r="P94" i="15" s="1"/>
  <c r="I364" i="15"/>
  <c r="K364" i="15" s="1"/>
  <c r="K365" i="15"/>
  <c r="P687" i="15"/>
  <c r="M685" i="15"/>
  <c r="P685" i="15" s="1"/>
  <c r="M41" i="15"/>
  <c r="M47" i="15"/>
  <c r="P47" i="15" s="1"/>
  <c r="P49" i="15"/>
  <c r="M26" i="15"/>
  <c r="J164" i="15"/>
  <c r="K164" i="15" s="1"/>
  <c r="K174" i="15"/>
  <c r="N334" i="15"/>
  <c r="O631" i="15"/>
  <c r="L629" i="15"/>
  <c r="O629" i="15" s="1"/>
  <c r="M404" i="11"/>
  <c r="P404" i="11" s="1"/>
  <c r="K379" i="12"/>
  <c r="L391" i="12"/>
  <c r="M47" i="13"/>
  <c r="P47" i="13" s="1"/>
  <c r="L69" i="13"/>
  <c r="O69" i="13" s="1"/>
  <c r="I260" i="13"/>
  <c r="K260" i="13" s="1"/>
  <c r="M330" i="13"/>
  <c r="M328" i="13" s="1"/>
  <c r="M405" i="13"/>
  <c r="P405" i="13" s="1"/>
  <c r="P407" i="13"/>
  <c r="O557" i="13"/>
  <c r="I76" i="14"/>
  <c r="L91" i="14"/>
  <c r="K144" i="14"/>
  <c r="L165" i="14"/>
  <c r="O165" i="14" s="1"/>
  <c r="K176" i="14"/>
  <c r="L184" i="14"/>
  <c r="O184" i="14" s="1"/>
  <c r="I190" i="14"/>
  <c r="K190" i="14" s="1"/>
  <c r="L229" i="14"/>
  <c r="K271" i="14"/>
  <c r="M304" i="14"/>
  <c r="P304" i="14" s="1"/>
  <c r="M321" i="14"/>
  <c r="P321" i="14" s="1"/>
  <c r="J364" i="14"/>
  <c r="K364" i="14" s="1"/>
  <c r="N391" i="14"/>
  <c r="N392" i="14"/>
  <c r="L24" i="15"/>
  <c r="L31" i="15"/>
  <c r="M317" i="15"/>
  <c r="L788" i="11"/>
  <c r="O788" i="11" s="1"/>
  <c r="O350" i="12"/>
  <c r="L72" i="13"/>
  <c r="O72" i="13" s="1"/>
  <c r="L138" i="13"/>
  <c r="K355" i="13"/>
  <c r="O61" i="14"/>
  <c r="M68" i="14"/>
  <c r="M134" i="14"/>
  <c r="M151" i="14"/>
  <c r="P151" i="14" s="1"/>
  <c r="L171" i="14"/>
  <c r="O171" i="14" s="1"/>
  <c r="L230" i="14"/>
  <c r="K359" i="14"/>
  <c r="M470" i="14"/>
  <c r="M469" i="14"/>
  <c r="M467" i="14" s="1"/>
  <c r="L21" i="15"/>
  <c r="O21" i="15" s="1"/>
  <c r="I76" i="15"/>
  <c r="K82" i="15"/>
  <c r="P277" i="15"/>
  <c r="L280" i="15"/>
  <c r="O280" i="15" s="1"/>
  <c r="O282" i="15"/>
  <c r="L279" i="15"/>
  <c r="O279" i="15" s="1"/>
  <c r="O350" i="15"/>
  <c r="L348" i="15"/>
  <c r="O348" i="15" s="1"/>
  <c r="L347" i="15"/>
  <c r="M528" i="15"/>
  <c r="L526" i="15"/>
  <c r="O526" i="15" s="1"/>
  <c r="O528" i="15"/>
  <c r="L525" i="15"/>
  <c r="M298" i="15"/>
  <c r="P299" i="15"/>
  <c r="L138" i="12"/>
  <c r="O138" i="12" s="1"/>
  <c r="P350" i="12"/>
  <c r="K462" i="12"/>
  <c r="N68" i="14"/>
  <c r="N66" i="14" s="1"/>
  <c r="N134" i="14"/>
  <c r="N132" i="14" s="1"/>
  <c r="N151" i="14"/>
  <c r="J327" i="14"/>
  <c r="K327" i="14" s="1"/>
  <c r="N15" i="15"/>
  <c r="L23" i="15"/>
  <c r="P56" i="15"/>
  <c r="O67" i="15"/>
  <c r="L66" i="15"/>
  <c r="O66" i="15" s="1"/>
  <c r="M69" i="15"/>
  <c r="P69" i="15" s="1"/>
  <c r="P71" i="15"/>
  <c r="P134" i="15"/>
  <c r="N132" i="15"/>
  <c r="P132" i="15" s="1"/>
  <c r="N267" i="15"/>
  <c r="N263" i="15"/>
  <c r="O263" i="15" s="1"/>
  <c r="K225" i="15"/>
  <c r="M121" i="14"/>
  <c r="P121" i="14" s="1"/>
  <c r="N121" i="14"/>
  <c r="N119" i="14" s="1"/>
  <c r="N263" i="14"/>
  <c r="M317" i="14"/>
  <c r="N19" i="15"/>
  <c r="N12" i="15"/>
  <c r="N21" i="15"/>
  <c r="O42" i="15"/>
  <c r="L41" i="15"/>
  <c r="M44" i="15"/>
  <c r="P44" i="15" s="1"/>
  <c r="M23" i="15"/>
  <c r="P46" i="15"/>
  <c r="M66" i="15"/>
  <c r="P66" i="15" s="1"/>
  <c r="O69" i="15"/>
  <c r="M72" i="15"/>
  <c r="P72" i="15" s="1"/>
  <c r="P74" i="15"/>
  <c r="K79" i="15"/>
  <c r="I77" i="15"/>
  <c r="L91" i="15"/>
  <c r="O91" i="15" s="1"/>
  <c r="O93" i="15"/>
  <c r="L90" i="15"/>
  <c r="K99" i="15"/>
  <c r="I87" i="15"/>
  <c r="K87" i="15" s="1"/>
  <c r="N405" i="15"/>
  <c r="N404" i="15"/>
  <c r="N402" i="15" s="1"/>
  <c r="K568" i="14"/>
  <c r="L12" i="15"/>
  <c r="O15" i="15"/>
  <c r="L19" i="15"/>
  <c r="O22" i="15"/>
  <c r="O29" i="15"/>
  <c r="O35" i="15"/>
  <c r="P54" i="15"/>
  <c r="J86" i="15"/>
  <c r="K86" i="15" s="1"/>
  <c r="O134" i="15"/>
  <c r="P138" i="15"/>
  <c r="N138" i="15"/>
  <c r="O138" i="15" s="1"/>
  <c r="P140" i="15"/>
  <c r="N151" i="15"/>
  <c r="O151" i="15" s="1"/>
  <c r="L167" i="15"/>
  <c r="O167" i="15" s="1"/>
  <c r="O170" i="15"/>
  <c r="L183" i="15"/>
  <c r="O183" i="15" s="1"/>
  <c r="O186" i="15"/>
  <c r="L315" i="15"/>
  <c r="O315" i="15" s="1"/>
  <c r="O316" i="15"/>
  <c r="O330" i="15"/>
  <c r="P403" i="15"/>
  <c r="M402" i="15"/>
  <c r="P402" i="15" s="1"/>
  <c r="M444" i="15"/>
  <c r="M447" i="15"/>
  <c r="I522" i="15"/>
  <c r="K522" i="15" s="1"/>
  <c r="K537" i="15"/>
  <c r="L547" i="15"/>
  <c r="O549" i="15"/>
  <c r="M549" i="15"/>
  <c r="L546" i="15"/>
  <c r="K385" i="14"/>
  <c r="N389" i="14"/>
  <c r="N408" i="14"/>
  <c r="L631" i="14"/>
  <c r="O631" i="14" s="1"/>
  <c r="M12" i="15"/>
  <c r="M19" i="15"/>
  <c r="O46" i="15"/>
  <c r="M90" i="15"/>
  <c r="I148" i="15"/>
  <c r="K148" i="15" s="1"/>
  <c r="M167" i="15"/>
  <c r="M183" i="15"/>
  <c r="P303" i="15"/>
  <c r="O318" i="15"/>
  <c r="O323" i="15"/>
  <c r="O331" i="15"/>
  <c r="P346" i="15"/>
  <c r="M345" i="15"/>
  <c r="P345" i="15" s="1"/>
  <c r="N526" i="15"/>
  <c r="N525" i="15"/>
  <c r="N523" i="15" s="1"/>
  <c r="O686" i="15"/>
  <c r="K381" i="14"/>
  <c r="K560" i="14"/>
  <c r="K569" i="14"/>
  <c r="N56" i="15"/>
  <c r="O56" i="15" s="1"/>
  <c r="N59" i="15"/>
  <c r="O59" i="15" s="1"/>
  <c r="N121" i="15"/>
  <c r="N119" i="15" s="1"/>
  <c r="O137" i="15"/>
  <c r="J143" i="15"/>
  <c r="J131" i="15" s="1"/>
  <c r="K131" i="15" s="1"/>
  <c r="P154" i="15"/>
  <c r="L165" i="15"/>
  <c r="O165" i="15" s="1"/>
  <c r="O166" i="15"/>
  <c r="L181" i="15"/>
  <c r="O181" i="15" s="1"/>
  <c r="O182" i="15"/>
  <c r="K237" i="15"/>
  <c r="I226" i="15"/>
  <c r="K226" i="15" s="1"/>
  <c r="L328" i="15"/>
  <c r="O328" i="15" s="1"/>
  <c r="M330" i="15"/>
  <c r="P330" i="15" s="1"/>
  <c r="P333" i="15"/>
  <c r="J327" i="15"/>
  <c r="K327" i="15" s="1"/>
  <c r="P350" i="15"/>
  <c r="O353" i="15"/>
  <c r="L351" i="15"/>
  <c r="O351" i="15" s="1"/>
  <c r="N422" i="15"/>
  <c r="P422" i="15" s="1"/>
  <c r="P424" i="15"/>
  <c r="O445" i="15"/>
  <c r="L444" i="15"/>
  <c r="O168" i="15"/>
  <c r="O184" i="15"/>
  <c r="K204" i="15"/>
  <c r="I197" i="15"/>
  <c r="K197" i="15" s="1"/>
  <c r="L277" i="15"/>
  <c r="O277" i="15" s="1"/>
  <c r="P300" i="15"/>
  <c r="L447" i="14"/>
  <c r="O447" i="14" s="1"/>
  <c r="K561" i="14"/>
  <c r="K576" i="14"/>
  <c r="L639" i="14"/>
  <c r="O639" i="14" s="1"/>
  <c r="J722" i="14"/>
  <c r="K823" i="14"/>
  <c r="N88" i="15"/>
  <c r="L132" i="15"/>
  <c r="P135" i="15"/>
  <c r="N135" i="15"/>
  <c r="O135" i="15" s="1"/>
  <c r="P137" i="15"/>
  <c r="O140" i="15"/>
  <c r="O154" i="15"/>
  <c r="L238" i="15"/>
  <c r="N300" i="15"/>
  <c r="O300" i="15" s="1"/>
  <c r="L402" i="15"/>
  <c r="O402" i="15" s="1"/>
  <c r="L408" i="15"/>
  <c r="O408" i="15" s="1"/>
  <c r="O410" i="15"/>
  <c r="L632" i="15"/>
  <c r="O632" i="15" s="1"/>
  <c r="O634" i="15"/>
  <c r="M655" i="15"/>
  <c r="P655" i="15" s="1"/>
  <c r="P656" i="15"/>
  <c r="N687" i="15"/>
  <c r="N685" i="15" s="1"/>
  <c r="N688" i="15"/>
  <c r="L737" i="15"/>
  <c r="O737" i="15" s="1"/>
  <c r="O787" i="15"/>
  <c r="L786" i="15"/>
  <c r="O786" i="15" s="1"/>
  <c r="P807" i="15"/>
  <c r="M805" i="15"/>
  <c r="P805" i="15" s="1"/>
  <c r="M152" i="15"/>
  <c r="P152" i="15" s="1"/>
  <c r="M155" i="15"/>
  <c r="P155" i="15" s="1"/>
  <c r="O431" i="15"/>
  <c r="L429" i="15"/>
  <c r="O429" i="15" s="1"/>
  <c r="L421" i="15"/>
  <c r="N504" i="15"/>
  <c r="N502" i="15" s="1"/>
  <c r="N505" i="15"/>
  <c r="P524" i="15"/>
  <c r="J592" i="15"/>
  <c r="K592" i="15" s="1"/>
  <c r="K593" i="15"/>
  <c r="P738" i="15"/>
  <c r="M737" i="15"/>
  <c r="P737" i="15" s="1"/>
  <c r="O806" i="15"/>
  <c r="L805" i="15"/>
  <c r="O805" i="15" s="1"/>
  <c r="I275" i="15"/>
  <c r="K275" i="15" s="1"/>
  <c r="M328" i="15"/>
  <c r="P328" i="15" s="1"/>
  <c r="K369" i="15"/>
  <c r="K372" i="15"/>
  <c r="L405" i="15"/>
  <c r="O405" i="15" s="1"/>
  <c r="O407" i="15"/>
  <c r="O424" i="15"/>
  <c r="O467" i="15"/>
  <c r="O469" i="15"/>
  <c r="M472" i="15"/>
  <c r="L470" i="15"/>
  <c r="O470" i="15" s="1"/>
  <c r="O472" i="15"/>
  <c r="K577" i="15"/>
  <c r="N772" i="15"/>
  <c r="N770" i="15" s="1"/>
  <c r="I785" i="15"/>
  <c r="K785" i="15" s="1"/>
  <c r="K824" i="15"/>
  <c r="J417" i="15"/>
  <c r="K417" i="15" s="1"/>
  <c r="K433" i="15"/>
  <c r="N546" i="15"/>
  <c r="N544" i="15" s="1"/>
  <c r="N547" i="15"/>
  <c r="K569" i="15"/>
  <c r="P771" i="15"/>
  <c r="M770" i="15"/>
  <c r="P770" i="15" s="1"/>
  <c r="O336" i="15"/>
  <c r="M389" i="15"/>
  <c r="P389" i="15" s="1"/>
  <c r="P390" i="15"/>
  <c r="M419" i="15"/>
  <c r="P420" i="15"/>
  <c r="N449" i="15"/>
  <c r="K460" i="15"/>
  <c r="I442" i="15"/>
  <c r="K442" i="15" s="1"/>
  <c r="P468" i="15"/>
  <c r="O504" i="15"/>
  <c r="L502" i="15"/>
  <c r="O502" i="15" s="1"/>
  <c r="I543" i="15"/>
  <c r="K543" i="15" s="1"/>
  <c r="K559" i="15"/>
  <c r="P755" i="15"/>
  <c r="M754" i="15"/>
  <c r="P754" i="15" s="1"/>
  <c r="P788" i="15"/>
  <c r="M786" i="15"/>
  <c r="P786" i="15" s="1"/>
  <c r="L392" i="15"/>
  <c r="O392" i="15" s="1"/>
  <c r="L395" i="15"/>
  <c r="O395" i="15" s="1"/>
  <c r="L422" i="15"/>
  <c r="L454" i="15"/>
  <c r="O454" i="15" s="1"/>
  <c r="I654" i="15"/>
  <c r="K654" i="15" s="1"/>
  <c r="K675" i="15"/>
  <c r="K669" i="15"/>
  <c r="L687" i="15"/>
  <c r="O687" i="15" s="1"/>
  <c r="P68" i="14"/>
  <c r="M66" i="14"/>
  <c r="P66" i="14" s="1"/>
  <c r="O90" i="14"/>
  <c r="O183" i="14"/>
  <c r="M41" i="14"/>
  <c r="N149" i="14"/>
  <c r="N261" i="14"/>
  <c r="N279" i="8"/>
  <c r="N277" i="8" s="1"/>
  <c r="L639" i="12"/>
  <c r="O639" i="12" s="1"/>
  <c r="M171" i="13"/>
  <c r="P171" i="13" s="1"/>
  <c r="K385" i="13"/>
  <c r="O46" i="14"/>
  <c r="N69" i="14"/>
  <c r="P71" i="14"/>
  <c r="N91" i="14"/>
  <c r="O91" i="14" s="1"/>
  <c r="L94" i="14"/>
  <c r="O94" i="14" s="1"/>
  <c r="N122" i="14"/>
  <c r="L168" i="14"/>
  <c r="O168" i="14" s="1"/>
  <c r="N184" i="14"/>
  <c r="L187" i="14"/>
  <c r="O187" i="14" s="1"/>
  <c r="I216" i="14"/>
  <c r="K216" i="14" s="1"/>
  <c r="L217" i="14"/>
  <c r="O217" i="14" s="1"/>
  <c r="L263" i="14"/>
  <c r="O263" i="14" s="1"/>
  <c r="M267" i="14"/>
  <c r="P267" i="14" s="1"/>
  <c r="I276" i="14"/>
  <c r="K276" i="14" s="1"/>
  <c r="M279" i="14"/>
  <c r="P279" i="14" s="1"/>
  <c r="M283" i="14"/>
  <c r="P283" i="14" s="1"/>
  <c r="L300" i="14"/>
  <c r="M301" i="14"/>
  <c r="P301" i="14" s="1"/>
  <c r="K338" i="14"/>
  <c r="O347" i="14"/>
  <c r="K369" i="14"/>
  <c r="P404" i="14"/>
  <c r="P410" i="14"/>
  <c r="I522" i="14"/>
  <c r="K522" i="14" s="1"/>
  <c r="L657" i="14"/>
  <c r="O657" i="14" s="1"/>
  <c r="O791" i="14"/>
  <c r="M183" i="12"/>
  <c r="K193" i="12"/>
  <c r="M304" i="12"/>
  <c r="P304" i="12" s="1"/>
  <c r="O154" i="13"/>
  <c r="P157" i="13"/>
  <c r="L209" i="13"/>
  <c r="O209" i="13" s="1"/>
  <c r="L231" i="13"/>
  <c r="O333" i="13"/>
  <c r="L469" i="13"/>
  <c r="L467" i="13" s="1"/>
  <c r="O467" i="13" s="1"/>
  <c r="P46" i="14"/>
  <c r="O56" i="14"/>
  <c r="I87" i="14"/>
  <c r="K87" i="14" s="1"/>
  <c r="P96" i="14"/>
  <c r="P170" i="14"/>
  <c r="P189" i="14"/>
  <c r="L198" i="14"/>
  <c r="O198" i="14" s="1"/>
  <c r="I208" i="14"/>
  <c r="K208" i="14" s="1"/>
  <c r="K260" i="14"/>
  <c r="M263" i="14"/>
  <c r="M300" i="14"/>
  <c r="P350" i="14"/>
  <c r="L405" i="14"/>
  <c r="O405" i="14" s="1"/>
  <c r="I433" i="14"/>
  <c r="K559" i="14"/>
  <c r="I628" i="14"/>
  <c r="K628" i="14" s="1"/>
  <c r="L655" i="14"/>
  <c r="O655" i="14" s="1"/>
  <c r="K672" i="10"/>
  <c r="M187" i="12"/>
  <c r="P187" i="12" s="1"/>
  <c r="J722" i="12"/>
  <c r="N26" i="14"/>
  <c r="N24" i="14" s="1"/>
  <c r="N55" i="14"/>
  <c r="N53" i="14" s="1"/>
  <c r="M55" i="14"/>
  <c r="O127" i="14"/>
  <c r="P154" i="14"/>
  <c r="O264" i="14"/>
  <c r="L280" i="14"/>
  <c r="O280" i="14" s="1"/>
  <c r="N300" i="14"/>
  <c r="N298" i="14" s="1"/>
  <c r="O320" i="14"/>
  <c r="P348" i="14"/>
  <c r="K355" i="14"/>
  <c r="L404" i="14"/>
  <c r="O404" i="14" s="1"/>
  <c r="K674" i="14"/>
  <c r="O168" i="13"/>
  <c r="L198" i="13"/>
  <c r="O198" i="13" s="1"/>
  <c r="N23" i="14"/>
  <c r="N43" i="14"/>
  <c r="N41" i="14" s="1"/>
  <c r="O44" i="14"/>
  <c r="P56" i="14"/>
  <c r="M90" i="14"/>
  <c r="M88" i="14" s="1"/>
  <c r="P88" i="14" s="1"/>
  <c r="O93" i="14"/>
  <c r="M183" i="14"/>
  <c r="O186" i="14"/>
  <c r="M280" i="14"/>
  <c r="P280" i="14" s="1"/>
  <c r="L317" i="14"/>
  <c r="K360" i="14"/>
  <c r="K822" i="14"/>
  <c r="K828" i="14"/>
  <c r="M168" i="13"/>
  <c r="P168" i="13" s="1"/>
  <c r="I364" i="13"/>
  <c r="K379" i="13"/>
  <c r="P91" i="14"/>
  <c r="O167" i="14"/>
  <c r="P184" i="14"/>
  <c r="K378" i="14"/>
  <c r="L36" i="14"/>
  <c r="O36" i="14" s="1"/>
  <c r="M53" i="14"/>
  <c r="P29" i="14"/>
  <c r="N15" i="14"/>
  <c r="N19" i="14"/>
  <c r="M121" i="13"/>
  <c r="P121" i="13" s="1"/>
  <c r="M59" i="14"/>
  <c r="P59" i="14" s="1"/>
  <c r="P90" i="14"/>
  <c r="L547" i="14"/>
  <c r="O549" i="14"/>
  <c r="M549" i="14"/>
  <c r="L546" i="14"/>
  <c r="P631" i="14"/>
  <c r="M629" i="14"/>
  <c r="P629" i="14" s="1"/>
  <c r="L134" i="4"/>
  <c r="O134" i="4" s="1"/>
  <c r="M167" i="12"/>
  <c r="M165" i="12" s="1"/>
  <c r="L348" i="12"/>
  <c r="O348" i="12" s="1"/>
  <c r="O350" i="13"/>
  <c r="L348" i="13"/>
  <c r="O348" i="13" s="1"/>
  <c r="L347" i="13"/>
  <c r="L345" i="13" s="1"/>
  <c r="M392" i="13"/>
  <c r="P392" i="13" s="1"/>
  <c r="P394" i="13"/>
  <c r="L155" i="14"/>
  <c r="O155" i="14" s="1"/>
  <c r="O157" i="14"/>
  <c r="M181" i="14"/>
  <c r="P181" i="14" s="1"/>
  <c r="P183" i="14"/>
  <c r="N408" i="13"/>
  <c r="N404" i="13"/>
  <c r="N402" i="13" s="1"/>
  <c r="O787" i="14"/>
  <c r="L786" i="14"/>
  <c r="O786" i="14" s="1"/>
  <c r="O19" i="14"/>
  <c r="L69" i="14"/>
  <c r="O69" i="14" s="1"/>
  <c r="L68" i="14"/>
  <c r="O71" i="14"/>
  <c r="M279" i="12"/>
  <c r="K309" i="12"/>
  <c r="N317" i="12"/>
  <c r="N315" i="12" s="1"/>
  <c r="K378" i="12"/>
  <c r="O791" i="12"/>
  <c r="L788" i="12"/>
  <c r="O788" i="12" s="1"/>
  <c r="L134" i="13"/>
  <c r="O134" i="13" s="1"/>
  <c r="L135" i="13"/>
  <c r="O282" i="13"/>
  <c r="L280" i="13"/>
  <c r="O280" i="13" s="1"/>
  <c r="M283" i="13"/>
  <c r="P283" i="13" s="1"/>
  <c r="P285" i="13"/>
  <c r="M300" i="13"/>
  <c r="M298" i="13" s="1"/>
  <c r="N317" i="13"/>
  <c r="N315" i="13" s="1"/>
  <c r="L181" i="14"/>
  <c r="O181" i="14" s="1"/>
  <c r="O182" i="14"/>
  <c r="M634" i="13"/>
  <c r="O634" i="13"/>
  <c r="K78" i="12"/>
  <c r="I76" i="12"/>
  <c r="K76" i="12" s="1"/>
  <c r="M72" i="13"/>
  <c r="P72" i="13" s="1"/>
  <c r="P140" i="13"/>
  <c r="M138" i="13"/>
  <c r="K224" i="13"/>
  <c r="N300" i="13"/>
  <c r="N298" i="13" s="1"/>
  <c r="P298" i="13" s="1"/>
  <c r="N301" i="13"/>
  <c r="P301" i="13" s="1"/>
  <c r="M334" i="13"/>
  <c r="P334" i="13" s="1"/>
  <c r="K362" i="13"/>
  <c r="I433" i="13"/>
  <c r="I417" i="13" s="1"/>
  <c r="K435" i="13"/>
  <c r="M19" i="14"/>
  <c r="P22" i="14"/>
  <c r="N34" i="14"/>
  <c r="N16" i="14"/>
  <c r="L151" i="14"/>
  <c r="O151" i="14" s="1"/>
  <c r="L267" i="14"/>
  <c r="O267" i="14" s="1"/>
  <c r="O269" i="14"/>
  <c r="P127" i="13"/>
  <c r="M125" i="13"/>
  <c r="P125" i="13" s="1"/>
  <c r="M26" i="14"/>
  <c r="P61" i="14"/>
  <c r="M34" i="14"/>
  <c r="P34" i="14" s="1"/>
  <c r="M15" i="14"/>
  <c r="P35" i="14"/>
  <c r="L47" i="14"/>
  <c r="O47" i="14" s="1"/>
  <c r="L26" i="14"/>
  <c r="O49" i="14"/>
  <c r="L138" i="14"/>
  <c r="O138" i="14" s="1"/>
  <c r="O140" i="14"/>
  <c r="I654" i="10"/>
  <c r="K654" i="10" s="1"/>
  <c r="I434" i="12"/>
  <c r="N23" i="13"/>
  <c r="N13" i="13" s="1"/>
  <c r="P91" i="13"/>
  <c r="P93" i="13"/>
  <c r="M187" i="13"/>
  <c r="P187" i="13" s="1"/>
  <c r="O320" i="13"/>
  <c r="L318" i="13"/>
  <c r="O318" i="13" s="1"/>
  <c r="M424" i="13"/>
  <c r="M421" i="13" s="1"/>
  <c r="M419" i="13" s="1"/>
  <c r="L33" i="13"/>
  <c r="L36" i="13"/>
  <c r="O36" i="13" s="1"/>
  <c r="O791" i="13"/>
  <c r="L789" i="13"/>
  <c r="O789" i="13" s="1"/>
  <c r="K823" i="13"/>
  <c r="M12" i="14"/>
  <c r="L43" i="14"/>
  <c r="L88" i="14"/>
  <c r="O88" i="14" s="1"/>
  <c r="O89" i="14"/>
  <c r="L122" i="14"/>
  <c r="O122" i="14" s="1"/>
  <c r="O124" i="14"/>
  <c r="L121" i="14"/>
  <c r="O121" i="14" s="1"/>
  <c r="L238" i="14"/>
  <c r="L228" i="14"/>
  <c r="O329" i="14"/>
  <c r="M167" i="14"/>
  <c r="J226" i="14"/>
  <c r="J180" i="14" s="1"/>
  <c r="N502" i="14"/>
  <c r="N629" i="14"/>
  <c r="P738" i="14"/>
  <c r="M737" i="14"/>
  <c r="P737" i="14" s="1"/>
  <c r="N788" i="14"/>
  <c r="N786" i="14" s="1"/>
  <c r="N789" i="14"/>
  <c r="I785" i="14"/>
  <c r="K785" i="14" s="1"/>
  <c r="K800" i="14"/>
  <c r="P93" i="11"/>
  <c r="L446" i="12"/>
  <c r="L23" i="13"/>
  <c r="L21" i="13" s="1"/>
  <c r="O58" i="13"/>
  <c r="O61" i="13"/>
  <c r="L68" i="13"/>
  <c r="L66" i="13" s="1"/>
  <c r="O66" i="13" s="1"/>
  <c r="N134" i="13"/>
  <c r="N132" i="13" s="1"/>
  <c r="P348" i="13"/>
  <c r="M408" i="13"/>
  <c r="P408" i="13" s="1"/>
  <c r="K649" i="13"/>
  <c r="N29" i="14"/>
  <c r="K80" i="14"/>
  <c r="P93" i="14"/>
  <c r="L134" i="14"/>
  <c r="P186" i="14"/>
  <c r="N227" i="14"/>
  <c r="L249" i="14"/>
  <c r="O249" i="14" s="1"/>
  <c r="N283" i="14"/>
  <c r="N279" i="14"/>
  <c r="N277" i="14" s="1"/>
  <c r="N317" i="14"/>
  <c r="N315" i="14" s="1"/>
  <c r="O535" i="14"/>
  <c r="L525" i="14"/>
  <c r="O525" i="14" s="1"/>
  <c r="L533" i="14"/>
  <c r="O533" i="14" s="1"/>
  <c r="P686" i="14"/>
  <c r="M685" i="14"/>
  <c r="P685" i="14" s="1"/>
  <c r="M23" i="14"/>
  <c r="M21" i="14" s="1"/>
  <c r="P58" i="14"/>
  <c r="I64" i="14"/>
  <c r="K64" i="14" s="1"/>
  <c r="K76" i="14"/>
  <c r="I112" i="14"/>
  <c r="K112" i="14" s="1"/>
  <c r="I130" i="14"/>
  <c r="K130" i="14" s="1"/>
  <c r="K146" i="14"/>
  <c r="P173" i="14"/>
  <c r="P333" i="14"/>
  <c r="M331" i="14"/>
  <c r="P331" i="14" s="1"/>
  <c r="M330" i="14"/>
  <c r="L422" i="14"/>
  <c r="O422" i="14" s="1"/>
  <c r="O424" i="14"/>
  <c r="L421" i="14"/>
  <c r="O421" i="14" s="1"/>
  <c r="M424" i="14"/>
  <c r="L33" i="14"/>
  <c r="O472" i="14"/>
  <c r="N469" i="14"/>
  <c r="N470" i="14"/>
  <c r="O470" i="14" s="1"/>
  <c r="P472" i="14"/>
  <c r="N754" i="14"/>
  <c r="I233" i="12"/>
  <c r="K233" i="12" s="1"/>
  <c r="N138" i="13"/>
  <c r="K204" i="13"/>
  <c r="I233" i="13"/>
  <c r="K233" i="13" s="1"/>
  <c r="L228" i="13"/>
  <c r="N264" i="13"/>
  <c r="M267" i="13"/>
  <c r="P267" i="13" s="1"/>
  <c r="K370" i="13"/>
  <c r="L23" i="14"/>
  <c r="L55" i="14"/>
  <c r="O58" i="14"/>
  <c r="I77" i="14"/>
  <c r="O137" i="14"/>
  <c r="P168" i="14"/>
  <c r="K204" i="14"/>
  <c r="I197" i="14"/>
  <c r="K197" i="14" s="1"/>
  <c r="N631" i="14"/>
  <c r="N632" i="14"/>
  <c r="O54" i="14"/>
  <c r="P353" i="14"/>
  <c r="M347" i="14"/>
  <c r="M351" i="14"/>
  <c r="P351" i="14" s="1"/>
  <c r="I443" i="14"/>
  <c r="K443" i="14" s="1"/>
  <c r="K462" i="14"/>
  <c r="L167" i="10"/>
  <c r="L165" i="10" s="1"/>
  <c r="I434" i="10"/>
  <c r="K434" i="10" s="1"/>
  <c r="L229" i="12"/>
  <c r="N90" i="13"/>
  <c r="N88" i="13" s="1"/>
  <c r="M90" i="13"/>
  <c r="N167" i="13"/>
  <c r="N165" i="13" s="1"/>
  <c r="L229" i="13"/>
  <c r="K824" i="13"/>
  <c r="L209" i="14"/>
  <c r="O209" i="14" s="1"/>
  <c r="L334" i="14"/>
  <c r="O334" i="14" s="1"/>
  <c r="O336" i="14"/>
  <c r="L330" i="14"/>
  <c r="O330" i="14" s="1"/>
  <c r="P397" i="14"/>
  <c r="M391" i="14"/>
  <c r="M395" i="14"/>
  <c r="P395" i="14" s="1"/>
  <c r="L454" i="14"/>
  <c r="O454" i="14" s="1"/>
  <c r="O456" i="14"/>
  <c r="O120" i="14"/>
  <c r="O150" i="14"/>
  <c r="O262" i="14"/>
  <c r="P278" i="14"/>
  <c r="O420" i="14"/>
  <c r="J537" i="14"/>
  <c r="J522" i="14" s="1"/>
  <c r="K538" i="14"/>
  <c r="I592" i="14"/>
  <c r="K592" i="14" s="1"/>
  <c r="K593" i="14"/>
  <c r="O630" i="14"/>
  <c r="N737" i="14"/>
  <c r="P787" i="14"/>
  <c r="M786" i="14"/>
  <c r="P786" i="14" s="1"/>
  <c r="I237" i="14"/>
  <c r="L279" i="14"/>
  <c r="O279" i="14" s="1"/>
  <c r="L331" i="14"/>
  <c r="O331" i="14" s="1"/>
  <c r="O333" i="14"/>
  <c r="K362" i="14"/>
  <c r="O431" i="14"/>
  <c r="L446" i="14"/>
  <c r="M770" i="14"/>
  <c r="P770" i="14" s="1"/>
  <c r="P806" i="14"/>
  <c r="M805" i="14"/>
  <c r="P805" i="14" s="1"/>
  <c r="K821" i="14"/>
  <c r="K827" i="14"/>
  <c r="L348" i="14"/>
  <c r="O348" i="14" s="1"/>
  <c r="O350" i="14"/>
  <c r="L392" i="14"/>
  <c r="O392" i="14" s="1"/>
  <c r="O394" i="14"/>
  <c r="L15" i="14"/>
  <c r="L29" i="14"/>
  <c r="I143" i="14"/>
  <c r="I233" i="14"/>
  <c r="K233" i="14" s="1"/>
  <c r="I248" i="14"/>
  <c r="K248" i="14" s="1"/>
  <c r="L283" i="14"/>
  <c r="O283" i="14" s="1"/>
  <c r="M334" i="14"/>
  <c r="P334" i="14" s="1"/>
  <c r="O346" i="14"/>
  <c r="L345" i="14"/>
  <c r="O345" i="14" s="1"/>
  <c r="L351" i="14"/>
  <c r="O351" i="14" s="1"/>
  <c r="O353" i="14"/>
  <c r="O390" i="14"/>
  <c r="L389" i="14"/>
  <c r="O389" i="14" s="1"/>
  <c r="L395" i="14"/>
  <c r="O395" i="14" s="1"/>
  <c r="O397" i="14"/>
  <c r="I434" i="14"/>
  <c r="O545" i="14"/>
  <c r="L544" i="14"/>
  <c r="N549" i="14"/>
  <c r="L632" i="14"/>
  <c r="O632" i="14" s="1"/>
  <c r="O634" i="14"/>
  <c r="I417" i="14"/>
  <c r="L469" i="14"/>
  <c r="O469" i="14" s="1"/>
  <c r="L477" i="14"/>
  <c r="O477" i="14" s="1"/>
  <c r="K675" i="14"/>
  <c r="J433" i="14"/>
  <c r="J417" i="14" s="1"/>
  <c r="K672" i="14"/>
  <c r="L688" i="14"/>
  <c r="O688" i="14" s="1"/>
  <c r="K669" i="14"/>
  <c r="L687" i="14"/>
  <c r="P404" i="13"/>
  <c r="M402" i="13"/>
  <c r="P402" i="13" s="1"/>
  <c r="P449" i="13"/>
  <c r="M446" i="13"/>
  <c r="M444" i="13" s="1"/>
  <c r="P444" i="13" s="1"/>
  <c r="M447" i="13"/>
  <c r="P447" i="13" s="1"/>
  <c r="M470" i="13"/>
  <c r="M469" i="13"/>
  <c r="P469" i="13" s="1"/>
  <c r="P472" i="13"/>
  <c r="P184" i="13"/>
  <c r="N261" i="13"/>
  <c r="P330" i="13"/>
  <c r="L55" i="12"/>
  <c r="O61" i="12"/>
  <c r="M68" i="12"/>
  <c r="P68" i="12" s="1"/>
  <c r="M171" i="12"/>
  <c r="P171" i="12" s="1"/>
  <c r="L231" i="12"/>
  <c r="P266" i="12"/>
  <c r="K370" i="12"/>
  <c r="M405" i="12"/>
  <c r="P405" i="12" s="1"/>
  <c r="L44" i="13"/>
  <c r="O44" i="13" s="1"/>
  <c r="P46" i="13"/>
  <c r="M69" i="13"/>
  <c r="P69" i="13" s="1"/>
  <c r="M94" i="13"/>
  <c r="P94" i="13" s="1"/>
  <c r="K99" i="13"/>
  <c r="I112" i="13"/>
  <c r="K112" i="13" s="1"/>
  <c r="M135" i="13"/>
  <c r="K146" i="13"/>
  <c r="L187" i="13"/>
  <c r="O187" i="13" s="1"/>
  <c r="L238" i="13"/>
  <c r="O238" i="13" s="1"/>
  <c r="J288" i="13"/>
  <c r="J275" i="13" s="1"/>
  <c r="M304" i="13"/>
  <c r="P304" i="13" s="1"/>
  <c r="L331" i="13"/>
  <c r="P333" i="13"/>
  <c r="K340" i="13"/>
  <c r="L395" i="13"/>
  <c r="O395" i="13" s="1"/>
  <c r="L408" i="13"/>
  <c r="O408" i="13" s="1"/>
  <c r="L422" i="13"/>
  <c r="L429" i="13"/>
  <c r="O429" i="13" s="1"/>
  <c r="O431" i="13"/>
  <c r="L470" i="13"/>
  <c r="L631" i="13"/>
  <c r="L629" i="13" s="1"/>
  <c r="L687" i="13"/>
  <c r="O687" i="13" s="1"/>
  <c r="M55" i="12"/>
  <c r="L267" i="12"/>
  <c r="O267" i="12" s="1"/>
  <c r="L26" i="13"/>
  <c r="L59" i="13"/>
  <c r="I76" i="13"/>
  <c r="I64" i="13" s="1"/>
  <c r="K64" i="13" s="1"/>
  <c r="L90" i="13"/>
  <c r="O124" i="13"/>
  <c r="P135" i="13"/>
  <c r="O137" i="13"/>
  <c r="N183" i="13"/>
  <c r="N181" i="13" s="1"/>
  <c r="M263" i="13"/>
  <c r="L279" i="13"/>
  <c r="O279" i="13" s="1"/>
  <c r="P282" i="13"/>
  <c r="O306" i="13"/>
  <c r="L321" i="13"/>
  <c r="O321" i="13" s="1"/>
  <c r="N328" i="13"/>
  <c r="P328" i="13" s="1"/>
  <c r="M331" i="13"/>
  <c r="L334" i="13"/>
  <c r="O334" i="13" s="1"/>
  <c r="M395" i="13"/>
  <c r="P395" i="13" s="1"/>
  <c r="M43" i="9"/>
  <c r="P353" i="10"/>
  <c r="O641" i="10"/>
  <c r="P46" i="11"/>
  <c r="K325" i="11"/>
  <c r="L408" i="11"/>
  <c r="O408" i="11" s="1"/>
  <c r="L43" i="12"/>
  <c r="L47" i="12"/>
  <c r="O47" i="12" s="1"/>
  <c r="K146" i="12"/>
  <c r="M330" i="12"/>
  <c r="K385" i="12"/>
  <c r="M391" i="12"/>
  <c r="P391" i="12" s="1"/>
  <c r="I442" i="12"/>
  <c r="K442" i="12" s="1"/>
  <c r="L24" i="13"/>
  <c r="L47" i="13"/>
  <c r="O47" i="13" s="1"/>
  <c r="L151" i="13"/>
  <c r="O151" i="13" s="1"/>
  <c r="N187" i="13"/>
  <c r="M264" i="13"/>
  <c r="P264" i="13" s="1"/>
  <c r="M279" i="13"/>
  <c r="P279" i="13" s="1"/>
  <c r="L283" i="13"/>
  <c r="O283" i="13" s="1"/>
  <c r="K297" i="13"/>
  <c r="K359" i="13"/>
  <c r="M391" i="13"/>
  <c r="P391" i="13" s="1"/>
  <c r="O479" i="13"/>
  <c r="K647" i="13"/>
  <c r="L69" i="10"/>
  <c r="O69" i="10" s="1"/>
  <c r="K360" i="10"/>
  <c r="M283" i="12"/>
  <c r="P283" i="12" s="1"/>
  <c r="K372" i="12"/>
  <c r="L469" i="12"/>
  <c r="L467" i="12" s="1"/>
  <c r="L55" i="13"/>
  <c r="L53" i="13" s="1"/>
  <c r="O138" i="13"/>
  <c r="N151" i="13"/>
  <c r="N149" i="13" s="1"/>
  <c r="P266" i="13"/>
  <c r="O303" i="13"/>
  <c r="L317" i="13"/>
  <c r="J327" i="13"/>
  <c r="K327" i="13" s="1"/>
  <c r="O351" i="13"/>
  <c r="L405" i="13"/>
  <c r="O405" i="13" s="1"/>
  <c r="I654" i="13"/>
  <c r="K654" i="13" s="1"/>
  <c r="K672" i="13"/>
  <c r="L688" i="13"/>
  <c r="O688" i="13" s="1"/>
  <c r="I364" i="11"/>
  <c r="N121" i="12"/>
  <c r="N119" i="12" s="1"/>
  <c r="I654" i="12"/>
  <c r="K654" i="12" s="1"/>
  <c r="J721" i="12"/>
  <c r="K823" i="12"/>
  <c r="O49" i="13"/>
  <c r="M68" i="13"/>
  <c r="M134" i="13"/>
  <c r="O184" i="13"/>
  <c r="L217" i="13"/>
  <c r="O217" i="13" s="1"/>
  <c r="P303" i="13"/>
  <c r="K338" i="13"/>
  <c r="K360" i="13"/>
  <c r="K381" i="13"/>
  <c r="L421" i="13"/>
  <c r="L419" i="13" s="1"/>
  <c r="K674" i="13"/>
  <c r="J722" i="13"/>
  <c r="M88" i="13"/>
  <c r="O29" i="13"/>
  <c r="O150" i="13"/>
  <c r="K176" i="13"/>
  <c r="I174" i="13"/>
  <c r="M321" i="13"/>
  <c r="P321" i="13" s="1"/>
  <c r="P323" i="13"/>
  <c r="P421" i="13"/>
  <c r="N421" i="13"/>
  <c r="N419" i="13" s="1"/>
  <c r="N422" i="13"/>
  <c r="O422" i="13" s="1"/>
  <c r="N788" i="13"/>
  <c r="N786" i="13" s="1"/>
  <c r="N789" i="13"/>
  <c r="I785" i="13"/>
  <c r="K785" i="13" s="1"/>
  <c r="K800" i="13"/>
  <c r="N330" i="7"/>
  <c r="N317" i="8"/>
  <c r="N315" i="8" s="1"/>
  <c r="M317" i="9"/>
  <c r="P317" i="9" s="1"/>
  <c r="I654" i="9"/>
  <c r="J721" i="9"/>
  <c r="I443" i="10"/>
  <c r="K443" i="10" s="1"/>
  <c r="M263" i="11"/>
  <c r="M94" i="12"/>
  <c r="P94" i="12" s="1"/>
  <c r="N125" i="12"/>
  <c r="L135" i="12"/>
  <c r="O135" i="12" s="1"/>
  <c r="K145" i="12"/>
  <c r="L151" i="12"/>
  <c r="L149" i="12" s="1"/>
  <c r="O149" i="12" s="1"/>
  <c r="I276" i="12"/>
  <c r="K276" i="12" s="1"/>
  <c r="M317" i="12"/>
  <c r="P317" i="12" s="1"/>
  <c r="K369" i="12"/>
  <c r="M408" i="12"/>
  <c r="P408" i="12" s="1"/>
  <c r="K628" i="12"/>
  <c r="K647" i="12"/>
  <c r="L789" i="12"/>
  <c r="O789" i="12" s="1"/>
  <c r="M23" i="13"/>
  <c r="M21" i="13" s="1"/>
  <c r="L31" i="13"/>
  <c r="M41" i="13"/>
  <c r="N55" i="13"/>
  <c r="N68" i="13"/>
  <c r="N66" i="13" s="1"/>
  <c r="I77" i="13"/>
  <c r="O91" i="13"/>
  <c r="L121" i="13"/>
  <c r="P150" i="13"/>
  <c r="I208" i="13"/>
  <c r="K208" i="13" s="1"/>
  <c r="O419" i="13"/>
  <c r="N467" i="13"/>
  <c r="I297" i="8"/>
  <c r="K297" i="8" s="1"/>
  <c r="L138" i="10"/>
  <c r="O138" i="10" s="1"/>
  <c r="P137" i="11"/>
  <c r="M279" i="11"/>
  <c r="P279" i="11" s="1"/>
  <c r="M330" i="11"/>
  <c r="L687" i="11"/>
  <c r="O687" i="11" s="1"/>
  <c r="L36" i="12"/>
  <c r="O36" i="12" s="1"/>
  <c r="I77" i="12"/>
  <c r="N134" i="12"/>
  <c r="N132" i="12" s="1"/>
  <c r="I260" i="12"/>
  <c r="K260" i="12" s="1"/>
  <c r="L263" i="12"/>
  <c r="L261" i="12" s="1"/>
  <c r="N263" i="12"/>
  <c r="O263" i="12" s="1"/>
  <c r="N279" i="12"/>
  <c r="N277" i="12" s="1"/>
  <c r="P282" i="12"/>
  <c r="N300" i="12"/>
  <c r="N298" i="12" s="1"/>
  <c r="L318" i="12"/>
  <c r="O318" i="12" s="1"/>
  <c r="P323" i="12"/>
  <c r="O353" i="12"/>
  <c r="L395" i="12"/>
  <c r="O395" i="12" s="1"/>
  <c r="K537" i="12"/>
  <c r="L12" i="13"/>
  <c r="L19" i="13"/>
  <c r="N31" i="13"/>
  <c r="O32" i="13"/>
  <c r="L43" i="13"/>
  <c r="N53" i="13"/>
  <c r="O96" i="13"/>
  <c r="O127" i="13"/>
  <c r="M167" i="13"/>
  <c r="I276" i="13"/>
  <c r="K276" i="13" s="1"/>
  <c r="K325" i="13"/>
  <c r="I314" i="13"/>
  <c r="K314" i="13" s="1"/>
  <c r="J365" i="13"/>
  <c r="J364" i="13" s="1"/>
  <c r="K364" i="13" s="1"/>
  <c r="K372" i="13"/>
  <c r="P468" i="13"/>
  <c r="I522" i="13"/>
  <c r="L33" i="8"/>
  <c r="O157" i="12"/>
  <c r="M12" i="13"/>
  <c r="M26" i="13"/>
  <c r="M24" i="13" s="1"/>
  <c r="P32" i="13"/>
  <c r="P35" i="13"/>
  <c r="O46" i="13"/>
  <c r="N59" i="13"/>
  <c r="P61" i="13"/>
  <c r="P96" i="13"/>
  <c r="M122" i="13"/>
  <c r="P122" i="13" s="1"/>
  <c r="P124" i="13"/>
  <c r="P182" i="13"/>
  <c r="K193" i="13"/>
  <c r="I190" i="13"/>
  <c r="K190" i="13" s="1"/>
  <c r="L264" i="13"/>
  <c r="O266" i="13"/>
  <c r="L263" i="13"/>
  <c r="O263" i="13" s="1"/>
  <c r="O269" i="13"/>
  <c r="O278" i="13"/>
  <c r="N279" i="13"/>
  <c r="N277" i="13" s="1"/>
  <c r="J722" i="9"/>
  <c r="O49" i="10"/>
  <c r="L122" i="10"/>
  <c r="O122" i="10" s="1"/>
  <c r="P333" i="10"/>
  <c r="L90" i="11"/>
  <c r="N121" i="11"/>
  <c r="N119" i="11" s="1"/>
  <c r="I197" i="11"/>
  <c r="K197" i="11" s="1"/>
  <c r="M318" i="11"/>
  <c r="P318" i="11" s="1"/>
  <c r="N317" i="11"/>
  <c r="K372" i="11"/>
  <c r="L639" i="11"/>
  <c r="O639" i="11" s="1"/>
  <c r="K826" i="11"/>
  <c r="P93" i="12"/>
  <c r="M151" i="12"/>
  <c r="P151" i="12" s="1"/>
  <c r="P157" i="12"/>
  <c r="O331" i="12"/>
  <c r="K359" i="12"/>
  <c r="K649" i="12"/>
  <c r="K822" i="12"/>
  <c r="K828" i="12"/>
  <c r="N26" i="13"/>
  <c r="O33" i="13"/>
  <c r="N43" i="13"/>
  <c r="N41" i="13" s="1"/>
  <c r="K78" i="13"/>
  <c r="O93" i="13"/>
  <c r="N121" i="13"/>
  <c r="N119" i="13" s="1"/>
  <c r="O133" i="13"/>
  <c r="O135" i="13"/>
  <c r="O170" i="13"/>
  <c r="L167" i="13"/>
  <c r="O186" i="13"/>
  <c r="L183" i="13"/>
  <c r="N227" i="13"/>
  <c r="K255" i="13"/>
  <c r="I248" i="13"/>
  <c r="K248" i="13" s="1"/>
  <c r="P316" i="13"/>
  <c r="N347" i="13"/>
  <c r="P353" i="13"/>
  <c r="I443" i="13"/>
  <c r="K443" i="13" s="1"/>
  <c r="K462" i="13"/>
  <c r="L230" i="5"/>
  <c r="K338" i="8"/>
  <c r="P350" i="8"/>
  <c r="I364" i="8"/>
  <c r="K340" i="11"/>
  <c r="K360" i="11"/>
  <c r="L238" i="12"/>
  <c r="O238" i="12" s="1"/>
  <c r="M331" i="12"/>
  <c r="P331" i="12" s="1"/>
  <c r="M334" i="12"/>
  <c r="P334" i="12" s="1"/>
  <c r="L15" i="13"/>
  <c r="M29" i="13"/>
  <c r="N56" i="13"/>
  <c r="P56" i="13" s="1"/>
  <c r="P58" i="13"/>
  <c r="J143" i="13"/>
  <c r="J131" i="13" s="1"/>
  <c r="K145" i="13"/>
  <c r="I143" i="13"/>
  <c r="M151" i="13"/>
  <c r="P151" i="13" s="1"/>
  <c r="M152" i="13"/>
  <c r="P152" i="13" s="1"/>
  <c r="P186" i="13"/>
  <c r="M183" i="13"/>
  <c r="P183" i="13" s="1"/>
  <c r="K244" i="13"/>
  <c r="I237" i="13"/>
  <c r="L301" i="13"/>
  <c r="O301" i="13" s="1"/>
  <c r="L300" i="13"/>
  <c r="O300" i="13" s="1"/>
  <c r="P555" i="13"/>
  <c r="M545" i="13"/>
  <c r="O787" i="13"/>
  <c r="L786" i="13"/>
  <c r="O786" i="13" s="1"/>
  <c r="M277" i="13"/>
  <c r="P277" i="13" s="1"/>
  <c r="M318" i="13"/>
  <c r="P318" i="13" s="1"/>
  <c r="P320" i="13"/>
  <c r="K378" i="13"/>
  <c r="O394" i="13"/>
  <c r="L391" i="13"/>
  <c r="L404" i="13"/>
  <c r="K560" i="13"/>
  <c r="K569" i="13"/>
  <c r="N632" i="13"/>
  <c r="N631" i="13"/>
  <c r="P787" i="13"/>
  <c r="M786" i="13"/>
  <c r="P786" i="13" s="1"/>
  <c r="K216" i="13"/>
  <c r="L249" i="13"/>
  <c r="O249" i="13" s="1"/>
  <c r="P350" i="13"/>
  <c r="M347" i="13"/>
  <c r="L454" i="13"/>
  <c r="O454" i="13" s="1"/>
  <c r="L446" i="13"/>
  <c r="O446" i="13" s="1"/>
  <c r="O456" i="13"/>
  <c r="M528" i="13"/>
  <c r="L525" i="13"/>
  <c r="O528" i="13"/>
  <c r="L526" i="13"/>
  <c r="O526" i="13" s="1"/>
  <c r="J592" i="13"/>
  <c r="K592" i="13" s="1"/>
  <c r="K593" i="13"/>
  <c r="O686" i="13"/>
  <c r="P755" i="13"/>
  <c r="M754" i="13"/>
  <c r="P754" i="13" s="1"/>
  <c r="N391" i="13"/>
  <c r="N389" i="13" s="1"/>
  <c r="L547" i="13"/>
  <c r="O547" i="13" s="1"/>
  <c r="O549" i="13"/>
  <c r="P686" i="13"/>
  <c r="M685" i="13"/>
  <c r="P685" i="13" s="1"/>
  <c r="M119" i="13"/>
  <c r="P119" i="13" s="1"/>
  <c r="O157" i="13"/>
  <c r="I275" i="13"/>
  <c r="K275" i="13" s="1"/>
  <c r="P278" i="13"/>
  <c r="M317" i="13"/>
  <c r="P317" i="13" s="1"/>
  <c r="L330" i="13"/>
  <c r="O353" i="13"/>
  <c r="O445" i="13"/>
  <c r="M549" i="13"/>
  <c r="K577" i="13"/>
  <c r="N331" i="13"/>
  <c r="K369" i="13"/>
  <c r="O424" i="13"/>
  <c r="K437" i="13"/>
  <c r="J433" i="13"/>
  <c r="P470" i="13"/>
  <c r="J537" i="13"/>
  <c r="J522" i="13" s="1"/>
  <c r="K538" i="13"/>
  <c r="L544" i="13"/>
  <c r="O544" i="13" s="1"/>
  <c r="K561" i="13"/>
  <c r="I559" i="13"/>
  <c r="K576" i="13"/>
  <c r="K621" i="13"/>
  <c r="K651" i="13"/>
  <c r="I628" i="13"/>
  <c r="K628" i="13" s="1"/>
  <c r="N754" i="13"/>
  <c r="I434" i="13"/>
  <c r="O472" i="13"/>
  <c r="N470" i="13"/>
  <c r="O470" i="13" s="1"/>
  <c r="N629" i="13"/>
  <c r="O657" i="13"/>
  <c r="L655" i="13"/>
  <c r="O655" i="13" s="1"/>
  <c r="O660" i="13"/>
  <c r="M660" i="13"/>
  <c r="P806" i="13"/>
  <c r="M805" i="13"/>
  <c r="P805" i="13" s="1"/>
  <c r="K821" i="13"/>
  <c r="K827" i="13"/>
  <c r="P351" i="13"/>
  <c r="P420" i="13"/>
  <c r="L447" i="13"/>
  <c r="O447" i="13" s="1"/>
  <c r="O449" i="13"/>
  <c r="K460" i="13"/>
  <c r="I442" i="13"/>
  <c r="K442" i="13" s="1"/>
  <c r="M631" i="13"/>
  <c r="M632" i="13"/>
  <c r="P632" i="13" s="1"/>
  <c r="P634" i="13"/>
  <c r="L658" i="13"/>
  <c r="O658" i="13" s="1"/>
  <c r="K675" i="13"/>
  <c r="L632" i="13"/>
  <c r="L639" i="13"/>
  <c r="O639" i="13" s="1"/>
  <c r="K669" i="13"/>
  <c r="M389" i="12"/>
  <c r="P389" i="12" s="1"/>
  <c r="N261" i="12"/>
  <c r="O261" i="12" s="1"/>
  <c r="P279" i="12"/>
  <c r="M277" i="12"/>
  <c r="P277" i="12" s="1"/>
  <c r="L789" i="8"/>
  <c r="O789" i="8" s="1"/>
  <c r="I190" i="11"/>
  <c r="K190" i="11" s="1"/>
  <c r="L26" i="12"/>
  <c r="K288" i="12"/>
  <c r="J537" i="12"/>
  <c r="J522" i="12" s="1"/>
  <c r="N44" i="11"/>
  <c r="P44" i="11" s="1"/>
  <c r="I654" i="11"/>
  <c r="K654" i="11" s="1"/>
  <c r="J721" i="11"/>
  <c r="N44" i="12"/>
  <c r="P44" i="12" s="1"/>
  <c r="O127" i="12"/>
  <c r="K143" i="12"/>
  <c r="I148" i="12"/>
  <c r="K148" i="12" s="1"/>
  <c r="L152" i="12"/>
  <c r="O152" i="12" s="1"/>
  <c r="O154" i="12"/>
  <c r="P184" i="12"/>
  <c r="L230" i="12"/>
  <c r="K255" i="12"/>
  <c r="M263" i="12"/>
  <c r="P263" i="12" s="1"/>
  <c r="P269" i="12"/>
  <c r="L280" i="12"/>
  <c r="O280" i="12" s="1"/>
  <c r="O285" i="12"/>
  <c r="L330" i="12"/>
  <c r="L328" i="12" s="1"/>
  <c r="O336" i="12"/>
  <c r="J327" i="12"/>
  <c r="K327" i="12" s="1"/>
  <c r="L351" i="12"/>
  <c r="O351" i="12" s="1"/>
  <c r="L392" i="12"/>
  <c r="O392" i="12" s="1"/>
  <c r="P397" i="12"/>
  <c r="K440" i="12"/>
  <c r="M449" i="12"/>
  <c r="L546" i="12"/>
  <c r="L544" i="12" s="1"/>
  <c r="O544" i="12" s="1"/>
  <c r="L229" i="6"/>
  <c r="I148" i="9"/>
  <c r="K148" i="9" s="1"/>
  <c r="L68" i="12"/>
  <c r="O68" i="12" s="1"/>
  <c r="L23" i="12"/>
  <c r="L21" i="12" s="1"/>
  <c r="I216" i="12"/>
  <c r="K216" i="12" s="1"/>
  <c r="P404" i="12"/>
  <c r="M72" i="10"/>
  <c r="P72" i="10" s="1"/>
  <c r="I130" i="10"/>
  <c r="K130" i="10" s="1"/>
  <c r="N404" i="10"/>
  <c r="N402" i="10" s="1"/>
  <c r="L631" i="10"/>
  <c r="O631" i="10" s="1"/>
  <c r="N391" i="11"/>
  <c r="N389" i="11" s="1"/>
  <c r="O58" i="12"/>
  <c r="L69" i="12"/>
  <c r="O69" i="12" s="1"/>
  <c r="N68" i="12"/>
  <c r="N66" i="12" s="1"/>
  <c r="I87" i="12"/>
  <c r="K87" i="12" s="1"/>
  <c r="M91" i="12"/>
  <c r="P91" i="12" s="1"/>
  <c r="L122" i="12"/>
  <c r="O122" i="12" s="1"/>
  <c r="P127" i="12"/>
  <c r="L134" i="12"/>
  <c r="P154" i="12"/>
  <c r="L167" i="12"/>
  <c r="L165" i="12" s="1"/>
  <c r="I197" i="12"/>
  <c r="K197" i="12" s="1"/>
  <c r="I208" i="12"/>
  <c r="K208" i="12" s="1"/>
  <c r="L209" i="12"/>
  <c r="O209" i="12" s="1"/>
  <c r="L228" i="12"/>
  <c r="L279" i="12"/>
  <c r="M280" i="12"/>
  <c r="P280" i="12" s="1"/>
  <c r="N318" i="12"/>
  <c r="L321" i="12"/>
  <c r="O321" i="12" s="1"/>
  <c r="O333" i="12"/>
  <c r="K338" i="12"/>
  <c r="M347" i="12"/>
  <c r="M345" i="12" s="1"/>
  <c r="M392" i="12"/>
  <c r="P392" i="12" s="1"/>
  <c r="O449" i="12"/>
  <c r="L525" i="12"/>
  <c r="O525" i="12" s="1"/>
  <c r="L555" i="12"/>
  <c r="O555" i="12" s="1"/>
  <c r="L657" i="12"/>
  <c r="O657" i="12" s="1"/>
  <c r="K824" i="12"/>
  <c r="L231" i="8"/>
  <c r="N23" i="12"/>
  <c r="N21" i="12" s="1"/>
  <c r="P303" i="12"/>
  <c r="L632" i="12"/>
  <c r="O632" i="12" s="1"/>
  <c r="O660" i="8"/>
  <c r="O61" i="9"/>
  <c r="O49" i="11"/>
  <c r="M122" i="11"/>
  <c r="P122" i="11" s="1"/>
  <c r="N151" i="11"/>
  <c r="N149" i="11" s="1"/>
  <c r="L209" i="11"/>
  <c r="O209" i="11" s="1"/>
  <c r="L280" i="11"/>
  <c r="O280" i="11" s="1"/>
  <c r="K378" i="11"/>
  <c r="K381" i="11"/>
  <c r="L391" i="11"/>
  <c r="O391" i="11" s="1"/>
  <c r="K821" i="11"/>
  <c r="K827" i="11"/>
  <c r="N56" i="12"/>
  <c r="O56" i="12" s="1"/>
  <c r="L72" i="12"/>
  <c r="O72" i="12" s="1"/>
  <c r="O124" i="12"/>
  <c r="M134" i="12"/>
  <c r="P134" i="12" s="1"/>
  <c r="L249" i="12"/>
  <c r="O249" i="12" s="1"/>
  <c r="O266" i="12"/>
  <c r="I275" i="12"/>
  <c r="K275" i="12" s="1"/>
  <c r="I314" i="12"/>
  <c r="K314" i="12" s="1"/>
  <c r="L317" i="12"/>
  <c r="O317" i="12" s="1"/>
  <c r="M328" i="12"/>
  <c r="P333" i="12"/>
  <c r="N347" i="12"/>
  <c r="N345" i="12" s="1"/>
  <c r="L347" i="12"/>
  <c r="K381" i="12"/>
  <c r="P394" i="12"/>
  <c r="K674" i="12"/>
  <c r="L151" i="6"/>
  <c r="M68" i="9"/>
  <c r="N300" i="9"/>
  <c r="N298" i="9" s="1"/>
  <c r="L151" i="10"/>
  <c r="O151" i="10" s="1"/>
  <c r="L36" i="11"/>
  <c r="O36" i="11" s="1"/>
  <c r="O74" i="11"/>
  <c r="O186" i="11"/>
  <c r="I208" i="11"/>
  <c r="K208" i="11" s="1"/>
  <c r="L217" i="11"/>
  <c r="O217" i="11" s="1"/>
  <c r="K828" i="11"/>
  <c r="M43" i="12"/>
  <c r="P43" i="12" s="1"/>
  <c r="I64" i="12"/>
  <c r="K64" i="12" s="1"/>
  <c r="I112" i="12"/>
  <c r="K112" i="12" s="1"/>
  <c r="M149" i="12"/>
  <c r="P149" i="12" s="1"/>
  <c r="P168" i="12"/>
  <c r="L217" i="12"/>
  <c r="O217" i="12" s="1"/>
  <c r="M301" i="12"/>
  <c r="P301" i="12" s="1"/>
  <c r="M348" i="12"/>
  <c r="P348" i="12" s="1"/>
  <c r="K360" i="12"/>
  <c r="N404" i="12"/>
  <c r="N402" i="12" s="1"/>
  <c r="L631" i="12"/>
  <c r="O631" i="12" s="1"/>
  <c r="L9" i="12"/>
  <c r="O12" i="12"/>
  <c r="O29" i="12"/>
  <c r="L181" i="12"/>
  <c r="L19" i="12"/>
  <c r="L91" i="12"/>
  <c r="O91" i="12" s="1"/>
  <c r="M138" i="12"/>
  <c r="P138" i="12" s="1"/>
  <c r="P140" i="12"/>
  <c r="N470" i="12"/>
  <c r="N469" i="12"/>
  <c r="I592" i="12"/>
  <c r="K592" i="12" s="1"/>
  <c r="K593" i="12"/>
  <c r="L429" i="9"/>
  <c r="O429" i="9" s="1"/>
  <c r="M449" i="10"/>
  <c r="M447" i="10" s="1"/>
  <c r="O634" i="10"/>
  <c r="L33" i="11"/>
  <c r="L31" i="11" s="1"/>
  <c r="L155" i="11"/>
  <c r="O155" i="11" s="1"/>
  <c r="I174" i="11"/>
  <c r="I164" i="11" s="1"/>
  <c r="K164" i="11" s="1"/>
  <c r="N263" i="11"/>
  <c r="N261" i="11" s="1"/>
  <c r="L392" i="11"/>
  <c r="O392" i="11" s="1"/>
  <c r="L395" i="11"/>
  <c r="O395" i="11" s="1"/>
  <c r="K460" i="11"/>
  <c r="L631" i="11"/>
  <c r="L629" i="11" s="1"/>
  <c r="O629" i="11" s="1"/>
  <c r="M634" i="11"/>
  <c r="N15" i="12"/>
  <c r="P22" i="12"/>
  <c r="M19" i="12"/>
  <c r="M12" i="12"/>
  <c r="M26" i="12"/>
  <c r="N26" i="12"/>
  <c r="M53" i="12"/>
  <c r="N55" i="12"/>
  <c r="P55" i="12" s="1"/>
  <c r="M66" i="12"/>
  <c r="P66" i="12" s="1"/>
  <c r="M88" i="12"/>
  <c r="I174" i="12"/>
  <c r="K176" i="12"/>
  <c r="P182" i="12"/>
  <c r="M181" i="12"/>
  <c r="L198" i="12"/>
  <c r="O198" i="12" s="1"/>
  <c r="K365" i="12"/>
  <c r="I364" i="12"/>
  <c r="O391" i="12"/>
  <c r="L389" i="12"/>
  <c r="O389" i="12" s="1"/>
  <c r="L405" i="12"/>
  <c r="O405" i="12" s="1"/>
  <c r="O407" i="12"/>
  <c r="L404" i="12"/>
  <c r="O404" i="12" s="1"/>
  <c r="M424" i="12"/>
  <c r="L421" i="12"/>
  <c r="O424" i="12"/>
  <c r="I559" i="12"/>
  <c r="K576" i="12"/>
  <c r="I785" i="12"/>
  <c r="K785" i="12" s="1"/>
  <c r="K800" i="12"/>
  <c r="P303" i="9"/>
  <c r="L283" i="10"/>
  <c r="O283" i="10" s="1"/>
  <c r="N330" i="10"/>
  <c r="N328" i="10" s="1"/>
  <c r="M422" i="10"/>
  <c r="P422" i="10" s="1"/>
  <c r="K822" i="10"/>
  <c r="O58" i="11"/>
  <c r="I77" i="11"/>
  <c r="I65" i="11" s="1"/>
  <c r="K65" i="11" s="1"/>
  <c r="L183" i="11"/>
  <c r="L181" i="11" s="1"/>
  <c r="I216" i="11"/>
  <c r="K216" i="11" s="1"/>
  <c r="L228" i="11"/>
  <c r="L230" i="11"/>
  <c r="N264" i="11"/>
  <c r="P264" i="11" s="1"/>
  <c r="I275" i="11"/>
  <c r="K275" i="11" s="1"/>
  <c r="N300" i="11"/>
  <c r="N298" i="11" s="1"/>
  <c r="O333" i="11"/>
  <c r="O353" i="11"/>
  <c r="K362" i="11"/>
  <c r="O472" i="11"/>
  <c r="K651" i="11"/>
  <c r="K824" i="11"/>
  <c r="L33" i="12"/>
  <c r="O46" i="12"/>
  <c r="P49" i="12"/>
  <c r="P74" i="12"/>
  <c r="K86" i="12"/>
  <c r="L90" i="12"/>
  <c r="K98" i="12"/>
  <c r="L119" i="12"/>
  <c r="O119" i="12" s="1"/>
  <c r="L168" i="12"/>
  <c r="O168" i="12" s="1"/>
  <c r="O170" i="12"/>
  <c r="K190" i="12"/>
  <c r="L301" i="12"/>
  <c r="O301" i="12" s="1"/>
  <c r="O303" i="12"/>
  <c r="L300" i="12"/>
  <c r="J364" i="12"/>
  <c r="N392" i="12"/>
  <c r="N391" i="12"/>
  <c r="N389" i="12" s="1"/>
  <c r="P787" i="12"/>
  <c r="M786" i="12"/>
  <c r="P786" i="12" s="1"/>
  <c r="O445" i="12"/>
  <c r="L444" i="12"/>
  <c r="N788" i="12"/>
  <c r="N786" i="12" s="1"/>
  <c r="N789" i="12"/>
  <c r="L447" i="10"/>
  <c r="O447" i="10" s="1"/>
  <c r="N23" i="11"/>
  <c r="N21" i="11" s="1"/>
  <c r="O140" i="11"/>
  <c r="L279" i="11"/>
  <c r="O279" i="11" s="1"/>
  <c r="L304" i="11"/>
  <c r="O304" i="11" s="1"/>
  <c r="L405" i="11"/>
  <c r="O405" i="11" s="1"/>
  <c r="O407" i="11"/>
  <c r="L470" i="11"/>
  <c r="O470" i="11" s="1"/>
  <c r="L632" i="11"/>
  <c r="O22" i="12"/>
  <c r="L41" i="12"/>
  <c r="L53" i="12"/>
  <c r="P61" i="12"/>
  <c r="O93" i="12"/>
  <c r="P120" i="12"/>
  <c r="N151" i="12"/>
  <c r="N149" i="12" s="1"/>
  <c r="N167" i="12"/>
  <c r="P170" i="12"/>
  <c r="L171" i="12"/>
  <c r="O171" i="12" s="1"/>
  <c r="O173" i="12"/>
  <c r="L422" i="12"/>
  <c r="O422" i="12" s="1"/>
  <c r="I417" i="12"/>
  <c r="L90" i="9"/>
  <c r="K440" i="10"/>
  <c r="O56" i="11"/>
  <c r="N184" i="11"/>
  <c r="P184" i="11" s="1"/>
  <c r="P407" i="11"/>
  <c r="M405" i="11"/>
  <c r="P405" i="11" s="1"/>
  <c r="N90" i="12"/>
  <c r="P90" i="12" s="1"/>
  <c r="M135" i="12"/>
  <c r="P135" i="12" s="1"/>
  <c r="P137" i="12"/>
  <c r="J143" i="12"/>
  <c r="J131" i="12" s="1"/>
  <c r="K144" i="12"/>
  <c r="L184" i="12"/>
  <c r="O184" i="12" s="1"/>
  <c r="O186" i="12"/>
  <c r="K434" i="12"/>
  <c r="I418" i="12"/>
  <c r="K418" i="12" s="1"/>
  <c r="P755" i="12"/>
  <c r="M754" i="12"/>
  <c r="P754" i="12" s="1"/>
  <c r="L421" i="9"/>
  <c r="K435" i="10"/>
  <c r="J722" i="10"/>
  <c r="N26" i="11"/>
  <c r="N16" i="11" s="1"/>
  <c r="N14" i="11" s="1"/>
  <c r="L231" i="11"/>
  <c r="J288" i="11"/>
  <c r="J275" i="11" s="1"/>
  <c r="N330" i="11"/>
  <c r="N328" i="11" s="1"/>
  <c r="K338" i="11"/>
  <c r="N347" i="11"/>
  <c r="N345" i="11" s="1"/>
  <c r="K385" i="11"/>
  <c r="L404" i="11"/>
  <c r="L688" i="11"/>
  <c r="O688" i="11" s="1"/>
  <c r="K823" i="11"/>
  <c r="L15" i="12"/>
  <c r="M23" i="12"/>
  <c r="O43" i="12"/>
  <c r="P46" i="12"/>
  <c r="P58" i="12"/>
  <c r="P71" i="12"/>
  <c r="K115" i="12"/>
  <c r="M121" i="12"/>
  <c r="P121" i="12" s="1"/>
  <c r="P166" i="12"/>
  <c r="N183" i="12"/>
  <c r="N181" i="12" s="1"/>
  <c r="P186" i="12"/>
  <c r="L187" i="12"/>
  <c r="O187" i="12" s="1"/>
  <c r="O189" i="12"/>
  <c r="K244" i="12"/>
  <c r="I237" i="12"/>
  <c r="M298" i="12"/>
  <c r="P298" i="12" s="1"/>
  <c r="O472" i="12"/>
  <c r="P262" i="12"/>
  <c r="P299" i="12"/>
  <c r="O306" i="12"/>
  <c r="O394" i="12"/>
  <c r="O410" i="12"/>
  <c r="N446" i="12"/>
  <c r="P555" i="12"/>
  <c r="M545" i="12"/>
  <c r="N754" i="12"/>
  <c r="K822" i="11"/>
  <c r="N33" i="12"/>
  <c r="P353" i="12"/>
  <c r="N467" i="12"/>
  <c r="O479" i="12"/>
  <c r="L477" i="12"/>
  <c r="O477" i="12" s="1"/>
  <c r="K594" i="12"/>
  <c r="O634" i="12"/>
  <c r="P686" i="12"/>
  <c r="M685" i="12"/>
  <c r="P685" i="12" s="1"/>
  <c r="M770" i="12"/>
  <c r="P770" i="12" s="1"/>
  <c r="P806" i="12"/>
  <c r="M805" i="12"/>
  <c r="P805" i="12" s="1"/>
  <c r="K821" i="12"/>
  <c r="K827" i="12"/>
  <c r="N264" i="12"/>
  <c r="O264" i="12" s="1"/>
  <c r="P320" i="12"/>
  <c r="N330" i="12"/>
  <c r="N328" i="12" s="1"/>
  <c r="K340" i="12"/>
  <c r="L429" i="12"/>
  <c r="O429" i="12" s="1"/>
  <c r="M632" i="12"/>
  <c r="P632" i="12" s="1"/>
  <c r="P634" i="12"/>
  <c r="N737" i="12"/>
  <c r="O549" i="12"/>
  <c r="M549" i="12"/>
  <c r="P630" i="12"/>
  <c r="M629" i="12"/>
  <c r="P629" i="12" s="1"/>
  <c r="M315" i="12"/>
  <c r="P315" i="12" s="1"/>
  <c r="K355" i="12"/>
  <c r="K374" i="12"/>
  <c r="K435" i="12"/>
  <c r="J433" i="12"/>
  <c r="J417" i="12" s="1"/>
  <c r="P449" i="12"/>
  <c r="K465" i="12"/>
  <c r="M472" i="12"/>
  <c r="L470" i="12"/>
  <c r="P503" i="12"/>
  <c r="L526" i="12"/>
  <c r="O526" i="12" s="1"/>
  <c r="K675" i="12"/>
  <c r="K651" i="12"/>
  <c r="K672" i="12"/>
  <c r="L688" i="12"/>
  <c r="O688" i="12" s="1"/>
  <c r="K669" i="12"/>
  <c r="L687" i="12"/>
  <c r="L90" i="7"/>
  <c r="L183" i="8"/>
  <c r="L181" i="8" s="1"/>
  <c r="L94" i="9"/>
  <c r="O94" i="9" s="1"/>
  <c r="L43" i="10"/>
  <c r="L41" i="10" s="1"/>
  <c r="I112" i="10"/>
  <c r="K325" i="10"/>
  <c r="K594" i="10"/>
  <c r="N43" i="11"/>
  <c r="N41" i="11" s="1"/>
  <c r="N55" i="11"/>
  <c r="N53" i="11" s="1"/>
  <c r="N59" i="11"/>
  <c r="P59" i="11" s="1"/>
  <c r="O61" i="11"/>
  <c r="M69" i="11"/>
  <c r="P69" i="11" s="1"/>
  <c r="M138" i="11"/>
  <c r="P138" i="11" s="1"/>
  <c r="K146" i="11"/>
  <c r="M155" i="11"/>
  <c r="P155" i="11" s="1"/>
  <c r="K244" i="11"/>
  <c r="L249" i="11"/>
  <c r="O249" i="11" s="1"/>
  <c r="L263" i="11"/>
  <c r="L261" i="11" s="1"/>
  <c r="O266" i="11"/>
  <c r="M280" i="11"/>
  <c r="P280" i="11" s="1"/>
  <c r="L300" i="11"/>
  <c r="O300" i="11" s="1"/>
  <c r="N304" i="11"/>
  <c r="L330" i="11"/>
  <c r="L347" i="11"/>
  <c r="L345" i="11" s="1"/>
  <c r="O345" i="11" s="1"/>
  <c r="O350" i="11"/>
  <c r="K374" i="11"/>
  <c r="N392" i="11"/>
  <c r="M402" i="11"/>
  <c r="P402" i="11" s="1"/>
  <c r="L421" i="11"/>
  <c r="O421" i="11" s="1"/>
  <c r="I433" i="11"/>
  <c r="I417" i="11" s="1"/>
  <c r="I443" i="11"/>
  <c r="K443" i="11" s="1"/>
  <c r="J537" i="11"/>
  <c r="J522" i="11" s="1"/>
  <c r="L657" i="11"/>
  <c r="O657" i="11" s="1"/>
  <c r="K673" i="11"/>
  <c r="J722" i="11"/>
  <c r="M151" i="6"/>
  <c r="P151" i="6" s="1"/>
  <c r="M155" i="6"/>
  <c r="P155" i="6" s="1"/>
  <c r="P157" i="10"/>
  <c r="L171" i="10"/>
  <c r="O171" i="10" s="1"/>
  <c r="N183" i="10"/>
  <c r="I260" i="10"/>
  <c r="K260" i="10" s="1"/>
  <c r="K378" i="10"/>
  <c r="O410" i="10"/>
  <c r="L688" i="10"/>
  <c r="O688" i="10" s="1"/>
  <c r="L26" i="11"/>
  <c r="I86" i="11"/>
  <c r="K86" i="11" s="1"/>
  <c r="L125" i="11"/>
  <c r="O125" i="11" s="1"/>
  <c r="L267" i="11"/>
  <c r="O267" i="11" s="1"/>
  <c r="M283" i="11"/>
  <c r="P283" i="11" s="1"/>
  <c r="P285" i="11"/>
  <c r="I522" i="11"/>
  <c r="K522" i="11" s="1"/>
  <c r="K674" i="11"/>
  <c r="K825" i="11"/>
  <c r="N122" i="11"/>
  <c r="K370" i="9"/>
  <c r="O44" i="11"/>
  <c r="M56" i="11"/>
  <c r="P56" i="11" s="1"/>
  <c r="L152" i="11"/>
  <c r="O152" i="11" s="1"/>
  <c r="M151" i="11"/>
  <c r="L167" i="11"/>
  <c r="L165" i="11" s="1"/>
  <c r="P170" i="11"/>
  <c r="P186" i="11"/>
  <c r="M321" i="11"/>
  <c r="P321" i="11" s="1"/>
  <c r="O348" i="11"/>
  <c r="N404" i="11"/>
  <c r="N402" i="11" s="1"/>
  <c r="M408" i="11"/>
  <c r="P408" i="11" s="1"/>
  <c r="M424" i="11"/>
  <c r="K340" i="10"/>
  <c r="K379" i="10"/>
  <c r="J433" i="10"/>
  <c r="J417" i="10" s="1"/>
  <c r="K417" i="10" s="1"/>
  <c r="M43" i="11"/>
  <c r="P58" i="11"/>
  <c r="L94" i="11"/>
  <c r="O94" i="11" s="1"/>
  <c r="M152" i="11"/>
  <c r="P152" i="11" s="1"/>
  <c r="L171" i="11"/>
  <c r="O171" i="11" s="1"/>
  <c r="L187" i="11"/>
  <c r="O187" i="11" s="1"/>
  <c r="N279" i="11"/>
  <c r="N277" i="11" s="1"/>
  <c r="L301" i="11"/>
  <c r="O301" i="11" s="1"/>
  <c r="N315" i="11"/>
  <c r="O323" i="11"/>
  <c r="L331" i="11"/>
  <c r="O331" i="11" s="1"/>
  <c r="L351" i="11"/>
  <c r="K369" i="11"/>
  <c r="M391" i="11"/>
  <c r="P391" i="11" s="1"/>
  <c r="L422" i="11"/>
  <c r="O422" i="11" s="1"/>
  <c r="L454" i="11"/>
  <c r="O454" i="11" s="1"/>
  <c r="L533" i="11"/>
  <c r="O533" i="11" s="1"/>
  <c r="K649" i="11"/>
  <c r="M660" i="11"/>
  <c r="M658" i="11" s="1"/>
  <c r="P658" i="11" s="1"/>
  <c r="K669" i="11"/>
  <c r="K675" i="11"/>
  <c r="L217" i="9"/>
  <c r="O217" i="9" s="1"/>
  <c r="K673" i="9"/>
  <c r="K822" i="9"/>
  <c r="K828" i="9"/>
  <c r="N121" i="10"/>
  <c r="N119" i="10" s="1"/>
  <c r="L330" i="10"/>
  <c r="L328" i="10" s="1"/>
  <c r="L687" i="10"/>
  <c r="O687" i="10" s="1"/>
  <c r="P61" i="11"/>
  <c r="M134" i="11"/>
  <c r="P134" i="11" s="1"/>
  <c r="P154" i="11"/>
  <c r="N183" i="11"/>
  <c r="L198" i="11"/>
  <c r="O198" i="11" s="1"/>
  <c r="I297" i="11"/>
  <c r="K297" i="11" s="1"/>
  <c r="M317" i="11"/>
  <c r="P317" i="11" s="1"/>
  <c r="L334" i="11"/>
  <c r="O334" i="11" s="1"/>
  <c r="J327" i="11"/>
  <c r="K327" i="11" s="1"/>
  <c r="L429" i="11"/>
  <c r="O429" i="11" s="1"/>
  <c r="L446" i="11"/>
  <c r="O446" i="11" s="1"/>
  <c r="L469" i="11"/>
  <c r="L525" i="11"/>
  <c r="O525" i="11" s="1"/>
  <c r="I628" i="11"/>
  <c r="K628" i="11" s="1"/>
  <c r="O660" i="11"/>
  <c r="M152" i="10"/>
  <c r="P152" i="10" s="1"/>
  <c r="P154" i="10"/>
  <c r="M94" i="11"/>
  <c r="P94" i="11" s="1"/>
  <c r="P96" i="11"/>
  <c r="M90" i="11"/>
  <c r="M88" i="11" s="1"/>
  <c r="M261" i="11"/>
  <c r="P555" i="11"/>
  <c r="M545" i="11"/>
  <c r="N788" i="11"/>
  <c r="N789" i="11"/>
  <c r="N33" i="11"/>
  <c r="N30" i="11" s="1"/>
  <c r="L330" i="3"/>
  <c r="N167" i="9"/>
  <c r="N165" i="9" s="1"/>
  <c r="P173" i="9"/>
  <c r="I190" i="9"/>
  <c r="K190" i="9" s="1"/>
  <c r="M301" i="9"/>
  <c r="P301" i="9" s="1"/>
  <c r="I364" i="9"/>
  <c r="P56" i="10"/>
  <c r="N167" i="10"/>
  <c r="N405" i="10"/>
  <c r="M53" i="11"/>
  <c r="O262" i="11"/>
  <c r="I276" i="11"/>
  <c r="K276" i="11" s="1"/>
  <c r="K287" i="11"/>
  <c r="N19" i="11"/>
  <c r="N12" i="11"/>
  <c r="N629" i="11"/>
  <c r="M187" i="8"/>
  <c r="P187" i="8" s="1"/>
  <c r="M90" i="9"/>
  <c r="M88" i="9" s="1"/>
  <c r="I522" i="9"/>
  <c r="K522" i="9" s="1"/>
  <c r="P49" i="10"/>
  <c r="M47" i="10"/>
  <c r="P47" i="10" s="1"/>
  <c r="O74" i="10"/>
  <c r="L72" i="10"/>
  <c r="O72" i="10" s="1"/>
  <c r="K193" i="10"/>
  <c r="I190" i="10"/>
  <c r="K190" i="10" s="1"/>
  <c r="O282" i="10"/>
  <c r="L280" i="10"/>
  <c r="O280" i="10" s="1"/>
  <c r="L279" i="10"/>
  <c r="O279" i="10" s="1"/>
  <c r="O397" i="10"/>
  <c r="L395" i="10"/>
  <c r="O395" i="10" s="1"/>
  <c r="P35" i="11"/>
  <c r="M34" i="11"/>
  <c r="P34" i="11" s="1"/>
  <c r="M72" i="11"/>
  <c r="P72" i="11" s="1"/>
  <c r="P74" i="11"/>
  <c r="M68" i="11"/>
  <c r="O124" i="11"/>
  <c r="L121" i="11"/>
  <c r="O121" i="11" s="1"/>
  <c r="M347" i="11"/>
  <c r="N391" i="7"/>
  <c r="N389" i="7" s="1"/>
  <c r="N44" i="10"/>
  <c r="P44" i="10" s="1"/>
  <c r="N43" i="10"/>
  <c r="N41" i="10" s="1"/>
  <c r="L68" i="10"/>
  <c r="O68" i="10" s="1"/>
  <c r="M122" i="10"/>
  <c r="P122" i="10" s="1"/>
  <c r="P124" i="10"/>
  <c r="O127" i="10"/>
  <c r="L121" i="10"/>
  <c r="O121" i="10" s="1"/>
  <c r="L347" i="10"/>
  <c r="L345" i="10" s="1"/>
  <c r="O350" i="10"/>
  <c r="L348" i="10"/>
  <c r="O348" i="10" s="1"/>
  <c r="M29" i="11"/>
  <c r="M304" i="11"/>
  <c r="P304" i="11" s="1"/>
  <c r="P306" i="11"/>
  <c r="P353" i="11"/>
  <c r="M351" i="11"/>
  <c r="P351" i="11" s="1"/>
  <c r="O61" i="10"/>
  <c r="L59" i="10"/>
  <c r="O59" i="10" s="1"/>
  <c r="L69" i="11"/>
  <c r="O69" i="11" s="1"/>
  <c r="O71" i="11"/>
  <c r="L23" i="11"/>
  <c r="L68" i="11"/>
  <c r="O68" i="11" s="1"/>
  <c r="I260" i="7"/>
  <c r="K260" i="7" s="1"/>
  <c r="O535" i="7"/>
  <c r="K159" i="8"/>
  <c r="L279" i="8"/>
  <c r="O279" i="8" s="1"/>
  <c r="L446" i="9"/>
  <c r="L444" i="9" s="1"/>
  <c r="O444" i="9" s="1"/>
  <c r="K176" i="10"/>
  <c r="N317" i="10"/>
  <c r="N315" i="10" s="1"/>
  <c r="P394" i="10"/>
  <c r="M392" i="10"/>
  <c r="P392" i="10" s="1"/>
  <c r="M391" i="10"/>
  <c r="M389" i="10" s="1"/>
  <c r="P389" i="10" s="1"/>
  <c r="O431" i="10"/>
  <c r="L36" i="10"/>
  <c r="L34" i="10" s="1"/>
  <c r="O34" i="10" s="1"/>
  <c r="N29" i="11"/>
  <c r="N28" i="11" s="1"/>
  <c r="I148" i="11"/>
  <c r="K148" i="11" s="1"/>
  <c r="K159" i="11"/>
  <c r="K99" i="10"/>
  <c r="I87" i="10"/>
  <c r="K87" i="10" s="1"/>
  <c r="K77" i="11"/>
  <c r="P127" i="11"/>
  <c r="M121" i="11"/>
  <c r="M408" i="7"/>
  <c r="P408" i="7" s="1"/>
  <c r="P168" i="9"/>
  <c r="O301" i="9"/>
  <c r="I314" i="9"/>
  <c r="K314" i="9" s="1"/>
  <c r="K672" i="9"/>
  <c r="O154" i="10"/>
  <c r="L152" i="10"/>
  <c r="O152" i="10" s="1"/>
  <c r="L477" i="10"/>
  <c r="O477" i="10" s="1"/>
  <c r="O479" i="10"/>
  <c r="P42" i="11"/>
  <c r="I112" i="11"/>
  <c r="K112" i="11" s="1"/>
  <c r="K115" i="11"/>
  <c r="N135" i="11"/>
  <c r="N134" i="11"/>
  <c r="N132" i="11" s="1"/>
  <c r="K145" i="11"/>
  <c r="I143" i="11"/>
  <c r="J143" i="11"/>
  <c r="J131" i="11" s="1"/>
  <c r="M171" i="11"/>
  <c r="P171" i="11" s="1"/>
  <c r="P173" i="11"/>
  <c r="M167" i="11"/>
  <c r="M165" i="11" s="1"/>
  <c r="K225" i="11"/>
  <c r="I260" i="11"/>
  <c r="K260" i="11" s="1"/>
  <c r="K98" i="10"/>
  <c r="N181" i="10"/>
  <c r="L209" i="10"/>
  <c r="O209" i="10" s="1"/>
  <c r="L229" i="10"/>
  <c r="L230" i="10"/>
  <c r="M347" i="10"/>
  <c r="M345" i="10" s="1"/>
  <c r="P350" i="10"/>
  <c r="I364" i="10"/>
  <c r="K381" i="10"/>
  <c r="O407" i="10"/>
  <c r="K674" i="10"/>
  <c r="K824" i="10"/>
  <c r="L12" i="11"/>
  <c r="L19" i="11"/>
  <c r="M26" i="11"/>
  <c r="M24" i="11" s="1"/>
  <c r="P32" i="11"/>
  <c r="M47" i="11"/>
  <c r="P47" i="11" s="1"/>
  <c r="N69" i="11"/>
  <c r="I76" i="11"/>
  <c r="N91" i="11"/>
  <c r="P91" i="11" s="1"/>
  <c r="O137" i="11"/>
  <c r="N168" i="11"/>
  <c r="P168" i="11" s="1"/>
  <c r="I233" i="11"/>
  <c r="K233" i="11" s="1"/>
  <c r="P266" i="11"/>
  <c r="P278" i="11"/>
  <c r="O299" i="11"/>
  <c r="K355" i="11"/>
  <c r="K365" i="11"/>
  <c r="J364" i="11"/>
  <c r="K364" i="11" s="1"/>
  <c r="P755" i="11"/>
  <c r="M754" i="11"/>
  <c r="P754" i="11" s="1"/>
  <c r="L231" i="10"/>
  <c r="K359" i="10"/>
  <c r="L525" i="10"/>
  <c r="K669" i="10"/>
  <c r="K675" i="10"/>
  <c r="L43" i="11"/>
  <c r="L55" i="11"/>
  <c r="L53" i="11" s="1"/>
  <c r="N68" i="11"/>
  <c r="N66" i="11" s="1"/>
  <c r="N90" i="11"/>
  <c r="O93" i="11"/>
  <c r="K99" i="11"/>
  <c r="L151" i="11"/>
  <c r="O151" i="11" s="1"/>
  <c r="N167" i="11"/>
  <c r="O170" i="11"/>
  <c r="L238" i="11"/>
  <c r="K255" i="11"/>
  <c r="I248" i="11"/>
  <c r="L283" i="11"/>
  <c r="O283" i="11" s="1"/>
  <c r="M55" i="10"/>
  <c r="M53" i="10" s="1"/>
  <c r="N151" i="10"/>
  <c r="N149" i="10" s="1"/>
  <c r="N279" i="10"/>
  <c r="M304" i="10"/>
  <c r="P304" i="10" s="1"/>
  <c r="O331" i="10"/>
  <c r="O333" i="10"/>
  <c r="O351" i="10"/>
  <c r="O353" i="10"/>
  <c r="K369" i="10"/>
  <c r="K385" i="10"/>
  <c r="O528" i="10"/>
  <c r="L555" i="10"/>
  <c r="O555" i="10" s="1"/>
  <c r="K800" i="10"/>
  <c r="M23" i="11"/>
  <c r="O32" i="11"/>
  <c r="L29" i="11"/>
  <c r="L88" i="11"/>
  <c r="M183" i="11"/>
  <c r="J226" i="11"/>
  <c r="J180" i="11" s="1"/>
  <c r="L229" i="11"/>
  <c r="O264" i="11"/>
  <c r="M300" i="11"/>
  <c r="M328" i="11"/>
  <c r="P328" i="11" s="1"/>
  <c r="P336" i="11"/>
  <c r="M334" i="11"/>
  <c r="P334" i="11" s="1"/>
  <c r="I76" i="10"/>
  <c r="I64" i="10" s="1"/>
  <c r="K64" i="10" s="1"/>
  <c r="I77" i="10"/>
  <c r="O93" i="10"/>
  <c r="L334" i="10"/>
  <c r="O334" i="10" s="1"/>
  <c r="O336" i="10"/>
  <c r="O424" i="10"/>
  <c r="L446" i="10"/>
  <c r="O446" i="10" s="1"/>
  <c r="K823" i="10"/>
  <c r="M15" i="11"/>
  <c r="O46" i="11"/>
  <c r="O120" i="11"/>
  <c r="L134" i="11"/>
  <c r="P189" i="11"/>
  <c r="P269" i="11"/>
  <c r="P303" i="11"/>
  <c r="L317" i="11"/>
  <c r="O320" i="11"/>
  <c r="O346" i="11"/>
  <c r="P350" i="11"/>
  <c r="M348" i="11"/>
  <c r="P348" i="11" s="1"/>
  <c r="K359" i="11"/>
  <c r="K379" i="11"/>
  <c r="O329" i="11"/>
  <c r="P333" i="11"/>
  <c r="M331" i="11"/>
  <c r="P331" i="11" s="1"/>
  <c r="K370" i="11"/>
  <c r="K465" i="11"/>
  <c r="M469" i="11"/>
  <c r="M470" i="11"/>
  <c r="P470" i="11" s="1"/>
  <c r="P472" i="11"/>
  <c r="K594" i="11"/>
  <c r="N685" i="11"/>
  <c r="N786" i="11"/>
  <c r="N414" i="11" s="1"/>
  <c r="P503" i="11"/>
  <c r="M502" i="11"/>
  <c r="P502" i="11" s="1"/>
  <c r="P630" i="11"/>
  <c r="N632" i="11"/>
  <c r="O632" i="11" s="1"/>
  <c r="P634" i="11"/>
  <c r="P738" i="11"/>
  <c r="M737" i="11"/>
  <c r="P737" i="11" s="1"/>
  <c r="P807" i="11"/>
  <c r="M805" i="11"/>
  <c r="P805" i="11" s="1"/>
  <c r="L547" i="11"/>
  <c r="O547" i="11" s="1"/>
  <c r="O549" i="11"/>
  <c r="M549" i="11"/>
  <c r="L555" i="11"/>
  <c r="O555" i="11" s="1"/>
  <c r="O557" i="11"/>
  <c r="I559" i="11"/>
  <c r="K576" i="11"/>
  <c r="K592" i="11"/>
  <c r="P687" i="11"/>
  <c r="M685" i="11"/>
  <c r="P685" i="11" s="1"/>
  <c r="P771" i="11"/>
  <c r="M770" i="11"/>
  <c r="P770" i="11" s="1"/>
  <c r="P788" i="11"/>
  <c r="M786" i="11"/>
  <c r="P786" i="11" s="1"/>
  <c r="I785" i="11"/>
  <c r="K785" i="11" s="1"/>
  <c r="K800" i="11"/>
  <c r="O806" i="11"/>
  <c r="L805" i="11"/>
  <c r="O805" i="11" s="1"/>
  <c r="O351" i="11"/>
  <c r="J433" i="11"/>
  <c r="K437" i="11"/>
  <c r="L546" i="11"/>
  <c r="K593" i="11"/>
  <c r="O686" i="11"/>
  <c r="O787" i="11"/>
  <c r="L786" i="11"/>
  <c r="O786" i="11" s="1"/>
  <c r="M392" i="11"/>
  <c r="P392" i="11" s="1"/>
  <c r="M395" i="11"/>
  <c r="P395" i="11" s="1"/>
  <c r="I434" i="11"/>
  <c r="L447" i="11"/>
  <c r="O447" i="11" s="1"/>
  <c r="L526" i="11"/>
  <c r="O526" i="11" s="1"/>
  <c r="O791" i="11"/>
  <c r="L263" i="4"/>
  <c r="L261" i="4" s="1"/>
  <c r="M90" i="6"/>
  <c r="M88" i="6" s="1"/>
  <c r="K673" i="7"/>
  <c r="O46" i="9"/>
  <c r="M55" i="9"/>
  <c r="M53" i="9" s="1"/>
  <c r="M391" i="9"/>
  <c r="P391" i="9" s="1"/>
  <c r="P58" i="10"/>
  <c r="M68" i="10"/>
  <c r="P68" i="10" s="1"/>
  <c r="N91" i="10"/>
  <c r="O91" i="10" s="1"/>
  <c r="L125" i="10"/>
  <c r="O125" i="10" s="1"/>
  <c r="M138" i="10"/>
  <c r="P138" i="10" s="1"/>
  <c r="N134" i="10"/>
  <c r="N132" i="10" s="1"/>
  <c r="L155" i="10"/>
  <c r="O155" i="10" s="1"/>
  <c r="I233" i="10"/>
  <c r="K233" i="10" s="1"/>
  <c r="M267" i="10"/>
  <c r="P267" i="10" s="1"/>
  <c r="N263" i="10"/>
  <c r="N261" i="10" s="1"/>
  <c r="K309" i="10"/>
  <c r="N318" i="10"/>
  <c r="L321" i="10"/>
  <c r="O321" i="10" s="1"/>
  <c r="M331" i="10"/>
  <c r="P331" i="10" s="1"/>
  <c r="P336" i="10"/>
  <c r="N347" i="10"/>
  <c r="N345" i="10" s="1"/>
  <c r="M351" i="10"/>
  <c r="P351" i="10" s="1"/>
  <c r="K372" i="10"/>
  <c r="N391" i="10"/>
  <c r="N389" i="10" s="1"/>
  <c r="P407" i="10"/>
  <c r="P424" i="10"/>
  <c r="P449" i="10"/>
  <c r="K460" i="10"/>
  <c r="M472" i="10"/>
  <c r="M470" i="10" s="1"/>
  <c r="P470" i="10" s="1"/>
  <c r="L547" i="10"/>
  <c r="M301" i="8"/>
  <c r="P301" i="8" s="1"/>
  <c r="P303" i="8"/>
  <c r="N121" i="9"/>
  <c r="N119" i="9" s="1"/>
  <c r="M330" i="9"/>
  <c r="N347" i="9"/>
  <c r="N345" i="9" s="1"/>
  <c r="M23" i="10"/>
  <c r="M21" i="10" s="1"/>
  <c r="M94" i="10"/>
  <c r="P94" i="10" s="1"/>
  <c r="L149" i="10"/>
  <c r="O149" i="10" s="1"/>
  <c r="L249" i="10"/>
  <c r="O249" i="10" s="1"/>
  <c r="N300" i="10"/>
  <c r="N298" i="10" s="1"/>
  <c r="M330" i="10"/>
  <c r="K338" i="10"/>
  <c r="K370" i="10"/>
  <c r="L404" i="10"/>
  <c r="O404" i="10" s="1"/>
  <c r="M419" i="10"/>
  <c r="P419" i="10" s="1"/>
  <c r="L469" i="10"/>
  <c r="L467" i="10" s="1"/>
  <c r="O791" i="10"/>
  <c r="K827" i="10"/>
  <c r="L279" i="9"/>
  <c r="O279" i="9" s="1"/>
  <c r="M347" i="9"/>
  <c r="L392" i="9"/>
  <c r="O392" i="9" s="1"/>
  <c r="M69" i="10"/>
  <c r="P69" i="10" s="1"/>
  <c r="L198" i="10"/>
  <c r="O198" i="10" s="1"/>
  <c r="I208" i="10"/>
  <c r="K208" i="10" s="1"/>
  <c r="P285" i="10"/>
  <c r="O303" i="10"/>
  <c r="K362" i="10"/>
  <c r="L421" i="10"/>
  <c r="O421" i="10" s="1"/>
  <c r="O470" i="10"/>
  <c r="L788" i="10"/>
  <c r="O788" i="10" s="1"/>
  <c r="M167" i="5"/>
  <c r="M165" i="5" s="1"/>
  <c r="N279" i="5"/>
  <c r="N277" i="5" s="1"/>
  <c r="O56" i="6"/>
  <c r="L421" i="8"/>
  <c r="L419" i="8" s="1"/>
  <c r="O419" i="8" s="1"/>
  <c r="M279" i="9"/>
  <c r="P279" i="9" s="1"/>
  <c r="L317" i="9"/>
  <c r="O317" i="9" s="1"/>
  <c r="M408" i="9"/>
  <c r="P408" i="9" s="1"/>
  <c r="I433" i="9"/>
  <c r="I417" i="9" s="1"/>
  <c r="M43" i="10"/>
  <c r="O46" i="10"/>
  <c r="N55" i="10"/>
  <c r="N53" i="10" s="1"/>
  <c r="O264" i="10"/>
  <c r="K355" i="10"/>
  <c r="L533" i="4"/>
  <c r="O533" i="4" s="1"/>
  <c r="K340" i="7"/>
  <c r="L392" i="7"/>
  <c r="O392" i="7" s="1"/>
  <c r="K372" i="8"/>
  <c r="P46" i="9"/>
  <c r="O173" i="9"/>
  <c r="O306" i="9"/>
  <c r="O410" i="9"/>
  <c r="K823" i="9"/>
  <c r="L33" i="10"/>
  <c r="L31" i="10" s="1"/>
  <c r="O31" i="10" s="1"/>
  <c r="P46" i="10"/>
  <c r="P93" i="10"/>
  <c r="L217" i="10"/>
  <c r="O217" i="10" s="1"/>
  <c r="I276" i="10"/>
  <c r="K276" i="10" s="1"/>
  <c r="P282" i="10"/>
  <c r="M395" i="10"/>
  <c r="P395" i="10" s="1"/>
  <c r="P447" i="10"/>
  <c r="L658" i="10"/>
  <c r="O658" i="10" s="1"/>
  <c r="J721" i="10"/>
  <c r="K821" i="10"/>
  <c r="K828" i="10"/>
  <c r="P503" i="10"/>
  <c r="M502" i="10"/>
  <c r="P502" i="10" s="1"/>
  <c r="M55" i="6"/>
  <c r="M53" i="6" s="1"/>
  <c r="L167" i="7"/>
  <c r="L165" i="7" s="1"/>
  <c r="N55" i="9"/>
  <c r="P55" i="9" s="1"/>
  <c r="P32" i="10"/>
  <c r="M29" i="10"/>
  <c r="N138" i="10"/>
  <c r="O403" i="10"/>
  <c r="L121" i="2"/>
  <c r="O121" i="2" s="1"/>
  <c r="L47" i="7"/>
  <c r="O47" i="7" s="1"/>
  <c r="K700" i="7"/>
  <c r="O549" i="8"/>
  <c r="N23" i="9"/>
  <c r="N21" i="9" s="1"/>
  <c r="N43" i="9"/>
  <c r="P43" i="9" s="1"/>
  <c r="M56" i="9"/>
  <c r="P74" i="9"/>
  <c r="M72" i="9"/>
  <c r="P72" i="9" s="1"/>
  <c r="K288" i="9"/>
  <c r="J288" i="9"/>
  <c r="J275" i="9" s="1"/>
  <c r="I275" i="9"/>
  <c r="K275" i="9" s="1"/>
  <c r="L555" i="9"/>
  <c r="O555" i="9" s="1"/>
  <c r="P25" i="10"/>
  <c r="M15" i="10"/>
  <c r="N29" i="10"/>
  <c r="N31" i="10"/>
  <c r="P89" i="10"/>
  <c r="M125" i="10"/>
  <c r="P125" i="10" s="1"/>
  <c r="P127" i="10"/>
  <c r="M121" i="10"/>
  <c r="O137" i="10"/>
  <c r="L134" i="10"/>
  <c r="O134" i="10" s="1"/>
  <c r="L168" i="10"/>
  <c r="O168" i="10" s="1"/>
  <c r="O170" i="10"/>
  <c r="K174" i="10"/>
  <c r="I164" i="10"/>
  <c r="K164" i="10" s="1"/>
  <c r="P266" i="10"/>
  <c r="M263" i="10"/>
  <c r="O394" i="10"/>
  <c r="L391" i="10"/>
  <c r="L392" i="10"/>
  <c r="O392" i="10" s="1"/>
  <c r="P403" i="10"/>
  <c r="M408" i="10"/>
  <c r="P408" i="10" s="1"/>
  <c r="M404" i="10"/>
  <c r="P404" i="10" s="1"/>
  <c r="P410" i="10"/>
  <c r="N631" i="10"/>
  <c r="N629" i="10" s="1"/>
  <c r="N632" i="10"/>
  <c r="N23" i="10"/>
  <c r="N21" i="10" s="1"/>
  <c r="N68" i="10"/>
  <c r="N66" i="10" s="1"/>
  <c r="N9" i="10"/>
  <c r="O36" i="10"/>
  <c r="L56" i="10"/>
  <c r="O56" i="10" s="1"/>
  <c r="O58" i="10"/>
  <c r="K159" i="10"/>
  <c r="I148" i="10"/>
  <c r="K148" i="10" s="1"/>
  <c r="L304" i="10"/>
  <c r="O304" i="10" s="1"/>
  <c r="L300" i="10"/>
  <c r="O300" i="10" s="1"/>
  <c r="O306" i="10"/>
  <c r="I276" i="7"/>
  <c r="K276" i="7" s="1"/>
  <c r="L547" i="8"/>
  <c r="O547" i="8" s="1"/>
  <c r="K176" i="9"/>
  <c r="I174" i="9"/>
  <c r="K174" i="9" s="1"/>
  <c r="O186" i="9"/>
  <c r="I260" i="9"/>
  <c r="K260" i="9" s="1"/>
  <c r="N15" i="10"/>
  <c r="O54" i="10"/>
  <c r="P137" i="10"/>
  <c r="M134" i="10"/>
  <c r="P134" i="10" s="1"/>
  <c r="P170" i="10"/>
  <c r="M167" i="10"/>
  <c r="O186" i="10"/>
  <c r="L183" i="10"/>
  <c r="J288" i="10"/>
  <c r="J275" i="10" s="1"/>
  <c r="I275" i="10"/>
  <c r="K275" i="10" s="1"/>
  <c r="K288" i="10"/>
  <c r="O299" i="10"/>
  <c r="P316" i="10"/>
  <c r="N171" i="10"/>
  <c r="N469" i="10"/>
  <c r="O472" i="10"/>
  <c r="M44" i="9"/>
  <c r="P44" i="9" s="1"/>
  <c r="O266" i="9"/>
  <c r="N263" i="9"/>
  <c r="N261" i="9" s="1"/>
  <c r="K287" i="9"/>
  <c r="I276" i="9"/>
  <c r="K276" i="9" s="1"/>
  <c r="M321" i="10"/>
  <c r="P321" i="10" s="1"/>
  <c r="P787" i="10"/>
  <c r="M786" i="10"/>
  <c r="P786" i="10" s="1"/>
  <c r="N68" i="8"/>
  <c r="N66" i="8" s="1"/>
  <c r="N134" i="8"/>
  <c r="I216" i="8"/>
  <c r="K216" i="8" s="1"/>
  <c r="L404" i="8"/>
  <c r="O404" i="8" s="1"/>
  <c r="J722" i="8"/>
  <c r="N151" i="9"/>
  <c r="N149" i="9" s="1"/>
  <c r="P186" i="9"/>
  <c r="I297" i="9"/>
  <c r="K297" i="9" s="1"/>
  <c r="K309" i="9"/>
  <c r="L23" i="10"/>
  <c r="N26" i="10"/>
  <c r="N16" i="10" s="1"/>
  <c r="N33" i="10"/>
  <c r="M26" i="10"/>
  <c r="M59" i="10"/>
  <c r="P59" i="10" s="1"/>
  <c r="P61" i="10"/>
  <c r="O67" i="10"/>
  <c r="O96" i="10"/>
  <c r="L26" i="10"/>
  <c r="L90" i="10"/>
  <c r="M135" i="10"/>
  <c r="P135" i="10" s="1"/>
  <c r="J143" i="10"/>
  <c r="J131" i="10" s="1"/>
  <c r="I143" i="10"/>
  <c r="M168" i="10"/>
  <c r="P168" i="10" s="1"/>
  <c r="L187" i="10"/>
  <c r="O187" i="10" s="1"/>
  <c r="O189" i="10"/>
  <c r="L228" i="10"/>
  <c r="O546" i="10"/>
  <c r="L544" i="10"/>
  <c r="O544" i="10" s="1"/>
  <c r="L447" i="9"/>
  <c r="O447" i="9" s="1"/>
  <c r="M449" i="9"/>
  <c r="M446" i="9" s="1"/>
  <c r="P12" i="10"/>
  <c r="M9" i="10"/>
  <c r="N69" i="10"/>
  <c r="P150" i="10"/>
  <c r="P278" i="10"/>
  <c r="O787" i="10"/>
  <c r="M134" i="9"/>
  <c r="M132" i="9" s="1"/>
  <c r="M135" i="9"/>
  <c r="P135" i="9" s="1"/>
  <c r="L632" i="9"/>
  <c r="O632" i="9" s="1"/>
  <c r="O634" i="9"/>
  <c r="L55" i="10"/>
  <c r="K224" i="10"/>
  <c r="O266" i="10"/>
  <c r="L263" i="10"/>
  <c r="M94" i="8"/>
  <c r="P94" i="8" s="1"/>
  <c r="M135" i="8"/>
  <c r="P135" i="8" s="1"/>
  <c r="O154" i="8"/>
  <c r="N347" i="8"/>
  <c r="N345" i="8" s="1"/>
  <c r="I442" i="8"/>
  <c r="K442" i="8" s="1"/>
  <c r="M47" i="9"/>
  <c r="P47" i="9" s="1"/>
  <c r="M152" i="9"/>
  <c r="P152" i="9" s="1"/>
  <c r="L167" i="9"/>
  <c r="L165" i="9" s="1"/>
  <c r="K112" i="10"/>
  <c r="K145" i="10"/>
  <c r="P173" i="10"/>
  <c r="M171" i="10"/>
  <c r="P171" i="10" s="1"/>
  <c r="L184" i="10"/>
  <c r="P189" i="10"/>
  <c r="M183" i="10"/>
  <c r="O278" i="10"/>
  <c r="P348" i="10"/>
  <c r="I76" i="9"/>
  <c r="I64" i="9" s="1"/>
  <c r="K64" i="9" s="1"/>
  <c r="P91" i="9"/>
  <c r="I112" i="9"/>
  <c r="K112" i="9" s="1"/>
  <c r="P140" i="9"/>
  <c r="O154" i="9"/>
  <c r="O170" i="9"/>
  <c r="K360" i="9"/>
  <c r="L9" i="10"/>
  <c r="L15" i="10"/>
  <c r="L29" i="10"/>
  <c r="M91" i="10"/>
  <c r="N122" i="10"/>
  <c r="N184" i="10"/>
  <c r="P184" i="10" s="1"/>
  <c r="P186" i="10"/>
  <c r="N277" i="10"/>
  <c r="M301" i="10"/>
  <c r="P301" i="10" s="1"/>
  <c r="J327" i="10"/>
  <c r="K327" i="10" s="1"/>
  <c r="P555" i="10"/>
  <c r="M545" i="10"/>
  <c r="I559" i="10"/>
  <c r="K576" i="10"/>
  <c r="O686" i="10"/>
  <c r="L229" i="9"/>
  <c r="K340" i="9"/>
  <c r="K372" i="9"/>
  <c r="O449" i="9"/>
  <c r="M317" i="10"/>
  <c r="P317" i="10" s="1"/>
  <c r="O320" i="10"/>
  <c r="L317" i="10"/>
  <c r="P468" i="10"/>
  <c r="I592" i="10"/>
  <c r="K592" i="10" s="1"/>
  <c r="K593" i="10"/>
  <c r="O630" i="10"/>
  <c r="P686" i="10"/>
  <c r="M685" i="10"/>
  <c r="P685" i="10" s="1"/>
  <c r="P755" i="10"/>
  <c r="M754" i="10"/>
  <c r="P754" i="10" s="1"/>
  <c r="M300" i="9"/>
  <c r="M298" i="9" s="1"/>
  <c r="O353" i="9"/>
  <c r="K365" i="9"/>
  <c r="J433" i="9"/>
  <c r="J417" i="9" s="1"/>
  <c r="M90" i="10"/>
  <c r="M88" i="10" s="1"/>
  <c r="L267" i="10"/>
  <c r="O267" i="10" s="1"/>
  <c r="O269" i="10"/>
  <c r="N467" i="10"/>
  <c r="N414" i="10" s="1"/>
  <c r="P524" i="10"/>
  <c r="M523" i="10"/>
  <c r="P523" i="10" s="1"/>
  <c r="P630" i="10"/>
  <c r="M629" i="10"/>
  <c r="P629" i="10" s="1"/>
  <c r="P738" i="10"/>
  <c r="M737" i="10"/>
  <c r="P737" i="10" s="1"/>
  <c r="P806" i="10"/>
  <c r="M805" i="10"/>
  <c r="P805" i="10" s="1"/>
  <c r="N183" i="9"/>
  <c r="N181" i="9" s="1"/>
  <c r="P282" i="9"/>
  <c r="P285" i="9"/>
  <c r="J327" i="9"/>
  <c r="K327" i="9" s="1"/>
  <c r="K359" i="9"/>
  <c r="K362" i="9"/>
  <c r="K378" i="9"/>
  <c r="J364" i="9"/>
  <c r="K437" i="9"/>
  <c r="O472" i="9"/>
  <c r="K824" i="9"/>
  <c r="N90" i="10"/>
  <c r="N88" i="10" s="1"/>
  <c r="M151" i="10"/>
  <c r="P151" i="10" s="1"/>
  <c r="I237" i="10"/>
  <c r="L238" i="10"/>
  <c r="K255" i="10"/>
  <c r="I248" i="10"/>
  <c r="K248" i="10" s="1"/>
  <c r="M279" i="10"/>
  <c r="P279" i="10" s="1"/>
  <c r="M300" i="10"/>
  <c r="M318" i="10"/>
  <c r="P318" i="10" s="1"/>
  <c r="J365" i="10"/>
  <c r="J374" i="10"/>
  <c r="K374" i="10" s="1"/>
  <c r="O549" i="10"/>
  <c r="M549" i="10"/>
  <c r="L657" i="10"/>
  <c r="N685" i="10"/>
  <c r="N786" i="10"/>
  <c r="L502" i="10"/>
  <c r="O502" i="10" s="1"/>
  <c r="L422" i="10"/>
  <c r="O422" i="10" s="1"/>
  <c r="K465" i="10"/>
  <c r="J537" i="10"/>
  <c r="J522" i="10" s="1"/>
  <c r="O547" i="10"/>
  <c r="K537" i="10"/>
  <c r="I628" i="10"/>
  <c r="K628" i="10" s="1"/>
  <c r="K651" i="10"/>
  <c r="M66" i="9"/>
  <c r="K559" i="8"/>
  <c r="I543" i="8"/>
  <c r="K543" i="8" s="1"/>
  <c r="N90" i="6"/>
  <c r="N88" i="6" s="1"/>
  <c r="M47" i="7"/>
  <c r="P47" i="7" s="1"/>
  <c r="M121" i="8"/>
  <c r="P121" i="8" s="1"/>
  <c r="I260" i="8"/>
  <c r="M263" i="8"/>
  <c r="P263" i="8" s="1"/>
  <c r="L334" i="8"/>
  <c r="O334" i="8" s="1"/>
  <c r="J721" i="8"/>
  <c r="N56" i="9"/>
  <c r="M69" i="9"/>
  <c r="P69" i="9" s="1"/>
  <c r="L88" i="9"/>
  <c r="N90" i="9"/>
  <c r="N88" i="9" s="1"/>
  <c r="M122" i="9"/>
  <c r="P122" i="9" s="1"/>
  <c r="P137" i="9"/>
  <c r="L183" i="9"/>
  <c r="L181" i="9" s="1"/>
  <c r="L231" i="9"/>
  <c r="M263" i="9"/>
  <c r="P263" i="9" s="1"/>
  <c r="M304" i="9"/>
  <c r="P304" i="9" s="1"/>
  <c r="N317" i="9"/>
  <c r="N315" i="9" s="1"/>
  <c r="P333" i="9"/>
  <c r="K374" i="9"/>
  <c r="K381" i="9"/>
  <c r="L469" i="9"/>
  <c r="L467" i="9" s="1"/>
  <c r="O467" i="9" s="1"/>
  <c r="M334" i="5"/>
  <c r="P334" i="5" s="1"/>
  <c r="J722" i="7"/>
  <c r="K722" i="7" s="1"/>
  <c r="I76" i="8"/>
  <c r="I64" i="8" s="1"/>
  <c r="K64" i="8" s="1"/>
  <c r="M122" i="8"/>
  <c r="P122" i="8" s="1"/>
  <c r="P336" i="8"/>
  <c r="O353" i="8"/>
  <c r="K378" i="8"/>
  <c r="K381" i="8"/>
  <c r="L405" i="8"/>
  <c r="O405" i="8" s="1"/>
  <c r="L446" i="8"/>
  <c r="L444" i="8" s="1"/>
  <c r="O444" i="8" s="1"/>
  <c r="L632" i="8"/>
  <c r="O632" i="8" s="1"/>
  <c r="N26" i="9"/>
  <c r="N16" i="9" s="1"/>
  <c r="M41" i="9"/>
  <c r="O71" i="9"/>
  <c r="M125" i="9"/>
  <c r="P125" i="9" s="1"/>
  <c r="M138" i="9"/>
  <c r="P138" i="9" s="1"/>
  <c r="O140" i="9"/>
  <c r="M183" i="9"/>
  <c r="M181" i="9" s="1"/>
  <c r="L187" i="9"/>
  <c r="O187" i="9" s="1"/>
  <c r="L209" i="9"/>
  <c r="O209" i="9" s="1"/>
  <c r="I233" i="9"/>
  <c r="K233" i="9" s="1"/>
  <c r="N264" i="9"/>
  <c r="O264" i="9" s="1"/>
  <c r="M331" i="9"/>
  <c r="L334" i="9"/>
  <c r="O334" i="9" s="1"/>
  <c r="P350" i="9"/>
  <c r="K369" i="9"/>
  <c r="K379" i="9"/>
  <c r="M392" i="9"/>
  <c r="P392" i="9" s="1"/>
  <c r="P394" i="9"/>
  <c r="M405" i="9"/>
  <c r="P405" i="9" s="1"/>
  <c r="K462" i="9"/>
  <c r="K466" i="9"/>
  <c r="L688" i="9"/>
  <c r="O688" i="9" s="1"/>
  <c r="O690" i="9"/>
  <c r="L786" i="9"/>
  <c r="O786" i="9" s="1"/>
  <c r="O791" i="9"/>
  <c r="L36" i="7"/>
  <c r="O36" i="7" s="1"/>
  <c r="M167" i="8"/>
  <c r="M165" i="8" s="1"/>
  <c r="I208" i="8"/>
  <c r="K208" i="8" s="1"/>
  <c r="K374" i="8"/>
  <c r="L422" i="8"/>
  <c r="O422" i="8" s="1"/>
  <c r="O424" i="8"/>
  <c r="L477" i="8"/>
  <c r="O477" i="8" s="1"/>
  <c r="L788" i="8"/>
  <c r="O788" i="8" s="1"/>
  <c r="K823" i="8"/>
  <c r="K826" i="8"/>
  <c r="O44" i="9"/>
  <c r="L68" i="9"/>
  <c r="L66" i="9" s="1"/>
  <c r="P71" i="9"/>
  <c r="L91" i="9"/>
  <c r="O91" i="9" s="1"/>
  <c r="O127" i="9"/>
  <c r="L151" i="9"/>
  <c r="O151" i="9" s="1"/>
  <c r="L168" i="9"/>
  <c r="O168" i="9" s="1"/>
  <c r="I208" i="9"/>
  <c r="K208" i="9" s="1"/>
  <c r="K244" i="9"/>
  <c r="O269" i="9"/>
  <c r="P306" i="9"/>
  <c r="M334" i="9"/>
  <c r="P334" i="9" s="1"/>
  <c r="L351" i="9"/>
  <c r="P353" i="9"/>
  <c r="L391" i="9"/>
  <c r="L389" i="9" s="1"/>
  <c r="O389" i="9" s="1"/>
  <c r="L395" i="9"/>
  <c r="O395" i="9" s="1"/>
  <c r="L404" i="9"/>
  <c r="O407" i="9"/>
  <c r="L525" i="9"/>
  <c r="K594" i="9"/>
  <c r="L477" i="2"/>
  <c r="O477" i="2" s="1"/>
  <c r="L639" i="6"/>
  <c r="O639" i="6" s="1"/>
  <c r="N152" i="9"/>
  <c r="N279" i="9"/>
  <c r="N277" i="9" s="1"/>
  <c r="M328" i="9"/>
  <c r="O46" i="8"/>
  <c r="L55" i="8"/>
  <c r="L53" i="8" s="1"/>
  <c r="L263" i="8"/>
  <c r="O333" i="8"/>
  <c r="K560" i="8"/>
  <c r="O93" i="9"/>
  <c r="P184" i="9"/>
  <c r="L198" i="9"/>
  <c r="O198" i="9" s="1"/>
  <c r="L300" i="9"/>
  <c r="K338" i="9"/>
  <c r="K385" i="9"/>
  <c r="M395" i="9"/>
  <c r="P395" i="9" s="1"/>
  <c r="M404" i="9"/>
  <c r="I434" i="9"/>
  <c r="I418" i="9" s="1"/>
  <c r="K418" i="9" s="1"/>
  <c r="J537" i="9"/>
  <c r="J522" i="9" s="1"/>
  <c r="L631" i="9"/>
  <c r="O641" i="9"/>
  <c r="P186" i="6"/>
  <c r="K372" i="6"/>
  <c r="J721" i="7"/>
  <c r="K721" i="7" s="1"/>
  <c r="K823" i="7"/>
  <c r="K826" i="7"/>
  <c r="K145" i="8"/>
  <c r="N167" i="8"/>
  <c r="N165" i="8" s="1"/>
  <c r="I233" i="8"/>
  <c r="K233" i="8" s="1"/>
  <c r="P333" i="8"/>
  <c r="L36" i="9"/>
  <c r="O36" i="9" s="1"/>
  <c r="N68" i="9"/>
  <c r="N66" i="9" s="1"/>
  <c r="O69" i="9"/>
  <c r="I77" i="9"/>
  <c r="I65" i="9" s="1"/>
  <c r="P93" i="9"/>
  <c r="N134" i="9"/>
  <c r="N132" i="9" s="1"/>
  <c r="O184" i="9"/>
  <c r="I237" i="9"/>
  <c r="K237" i="9" s="1"/>
  <c r="L230" i="9"/>
  <c r="L263" i="9"/>
  <c r="O303" i="9"/>
  <c r="N330" i="9"/>
  <c r="N328" i="9" s="1"/>
  <c r="O333" i="9"/>
  <c r="N391" i="9"/>
  <c r="N389" i="9" s="1"/>
  <c r="N404" i="9"/>
  <c r="N402" i="9" s="1"/>
  <c r="L47" i="9"/>
  <c r="O47" i="9" s="1"/>
  <c r="L26" i="9"/>
  <c r="M151" i="9"/>
  <c r="O421" i="9"/>
  <c r="L419" i="9"/>
  <c r="O503" i="9"/>
  <c r="L502" i="9"/>
  <c r="O502" i="9" s="1"/>
  <c r="P630" i="9"/>
  <c r="M629" i="9"/>
  <c r="P629" i="9" s="1"/>
  <c r="M408" i="5"/>
  <c r="P408" i="5" s="1"/>
  <c r="L69" i="7"/>
  <c r="O69" i="7" s="1"/>
  <c r="M72" i="7"/>
  <c r="P72" i="7" s="1"/>
  <c r="M134" i="7"/>
  <c r="P134" i="7" s="1"/>
  <c r="L187" i="7"/>
  <c r="O187" i="7" s="1"/>
  <c r="N300" i="7"/>
  <c r="N298" i="7" s="1"/>
  <c r="K370" i="7"/>
  <c r="L408" i="7"/>
  <c r="O408" i="7" s="1"/>
  <c r="K726" i="7"/>
  <c r="O58" i="8"/>
  <c r="K78" i="8"/>
  <c r="N135" i="8"/>
  <c r="L138" i="8"/>
  <c r="O138" i="8" s="1"/>
  <c r="M152" i="8"/>
  <c r="P152" i="8" s="1"/>
  <c r="L229" i="8"/>
  <c r="N263" i="8"/>
  <c r="N261" i="8" s="1"/>
  <c r="M267" i="8"/>
  <c r="P267" i="8" s="1"/>
  <c r="L395" i="8"/>
  <c r="O395" i="8" s="1"/>
  <c r="M405" i="8"/>
  <c r="P405" i="8" s="1"/>
  <c r="N404" i="8"/>
  <c r="N402" i="8" s="1"/>
  <c r="L469" i="8"/>
  <c r="L467" i="8" s="1"/>
  <c r="I522" i="8"/>
  <c r="K522" i="8" s="1"/>
  <c r="L525" i="8"/>
  <c r="O525" i="8" s="1"/>
  <c r="L36" i="8"/>
  <c r="O36" i="8" s="1"/>
  <c r="I628" i="8"/>
  <c r="K628" i="8" s="1"/>
  <c r="N15" i="9"/>
  <c r="M29" i="9"/>
  <c r="N34" i="9"/>
  <c r="O54" i="9"/>
  <c r="K80" i="9"/>
  <c r="K83" i="9"/>
  <c r="K116" i="9"/>
  <c r="O135" i="9"/>
  <c r="I130" i="9"/>
  <c r="K130" i="9" s="1"/>
  <c r="K146" i="9"/>
  <c r="O150" i="9"/>
  <c r="P278" i="9"/>
  <c r="I442" i="9"/>
  <c r="K442" i="9" s="1"/>
  <c r="K460" i="9"/>
  <c r="N467" i="9"/>
  <c r="K145" i="9"/>
  <c r="I143" i="9"/>
  <c r="M155" i="9"/>
  <c r="P155" i="9" s="1"/>
  <c r="M304" i="2"/>
  <c r="P304" i="2" s="1"/>
  <c r="M121" i="7"/>
  <c r="P121" i="7" s="1"/>
  <c r="L334" i="7"/>
  <c r="O334" i="7" s="1"/>
  <c r="K338" i="7"/>
  <c r="P56" i="8"/>
  <c r="K98" i="8"/>
  <c r="M138" i="8"/>
  <c r="P138" i="8" s="1"/>
  <c r="N183" i="8"/>
  <c r="N181" i="8" s="1"/>
  <c r="L230" i="8"/>
  <c r="L300" i="8"/>
  <c r="L298" i="8" s="1"/>
  <c r="O298" i="8" s="1"/>
  <c r="L330" i="8"/>
  <c r="L328" i="8" s="1"/>
  <c r="N405" i="8"/>
  <c r="L470" i="8"/>
  <c r="O470" i="8" s="1"/>
  <c r="K821" i="8"/>
  <c r="K824" i="8"/>
  <c r="K827" i="8"/>
  <c r="P35" i="9"/>
  <c r="M23" i="9"/>
  <c r="P58" i="9"/>
  <c r="O89" i="9"/>
  <c r="P96" i="9"/>
  <c r="K111" i="9"/>
  <c r="L121" i="9"/>
  <c r="O121" i="9" s="1"/>
  <c r="O124" i="9"/>
  <c r="O157" i="9"/>
  <c r="O182" i="9"/>
  <c r="P189" i="9"/>
  <c r="K204" i="9"/>
  <c r="I197" i="9"/>
  <c r="K197" i="9" s="1"/>
  <c r="K255" i="9"/>
  <c r="I248" i="9"/>
  <c r="O549" i="9"/>
  <c r="M549" i="9"/>
  <c r="L546" i="9"/>
  <c r="L547" i="9"/>
  <c r="O547" i="9" s="1"/>
  <c r="P686" i="9"/>
  <c r="M685" i="9"/>
  <c r="P685" i="9" s="1"/>
  <c r="J226" i="9"/>
  <c r="J180" i="9" s="1"/>
  <c r="L59" i="6"/>
  <c r="O59" i="6" s="1"/>
  <c r="M91" i="6"/>
  <c r="P91" i="6" s="1"/>
  <c r="M404" i="6"/>
  <c r="P404" i="6" s="1"/>
  <c r="L55" i="7"/>
  <c r="L53" i="7" s="1"/>
  <c r="L152" i="7"/>
  <c r="O152" i="7" s="1"/>
  <c r="L263" i="7"/>
  <c r="L331" i="8"/>
  <c r="O331" i="8" s="1"/>
  <c r="P397" i="8"/>
  <c r="M467" i="8"/>
  <c r="O49" i="9"/>
  <c r="O74" i="9"/>
  <c r="M121" i="9"/>
  <c r="J143" i="9"/>
  <c r="J131" i="9" s="1"/>
  <c r="M167" i="9"/>
  <c r="P170" i="9"/>
  <c r="L261" i="9"/>
  <c r="O262" i="9"/>
  <c r="J669" i="9"/>
  <c r="K675" i="9"/>
  <c r="P771" i="9"/>
  <c r="M770" i="9"/>
  <c r="P770" i="9" s="1"/>
  <c r="K65" i="9"/>
  <c r="M267" i="9"/>
  <c r="P267" i="9" s="1"/>
  <c r="P269" i="9"/>
  <c r="P316" i="9"/>
  <c r="M315" i="9"/>
  <c r="P315" i="9" s="1"/>
  <c r="O660" i="9"/>
  <c r="M660" i="9"/>
  <c r="L657" i="9"/>
  <c r="O657" i="9" s="1"/>
  <c r="L658" i="9"/>
  <c r="O658" i="9" s="1"/>
  <c r="L125" i="7"/>
  <c r="O125" i="7" s="1"/>
  <c r="O266" i="7"/>
  <c r="N263" i="7"/>
  <c r="N261" i="7" s="1"/>
  <c r="K728" i="7"/>
  <c r="M55" i="8"/>
  <c r="M53" i="8" s="1"/>
  <c r="L69" i="8"/>
  <c r="O69" i="8" s="1"/>
  <c r="M125" i="8"/>
  <c r="P125" i="8" s="1"/>
  <c r="I276" i="8"/>
  <c r="K276" i="8" s="1"/>
  <c r="L280" i="8"/>
  <c r="O280" i="8" s="1"/>
  <c r="O282" i="8"/>
  <c r="K369" i="8"/>
  <c r="J364" i="8"/>
  <c r="K364" i="8" s="1"/>
  <c r="L391" i="8"/>
  <c r="L389" i="8" s="1"/>
  <c r="O389" i="8" s="1"/>
  <c r="K568" i="8"/>
  <c r="N19" i="9"/>
  <c r="L23" i="9"/>
  <c r="N31" i="9"/>
  <c r="N29" i="9"/>
  <c r="N28" i="9" s="1"/>
  <c r="L43" i="9"/>
  <c r="L55" i="9"/>
  <c r="O58" i="9"/>
  <c r="O120" i="9"/>
  <c r="L134" i="9"/>
  <c r="O137" i="9"/>
  <c r="O138" i="9"/>
  <c r="I216" i="9"/>
  <c r="K216" i="9" s="1"/>
  <c r="L238" i="9"/>
  <c r="L228" i="9"/>
  <c r="L249" i="9"/>
  <c r="O249" i="9" s="1"/>
  <c r="M264" i="9"/>
  <c r="P264" i="9" s="1"/>
  <c r="P266" i="9"/>
  <c r="O350" i="9"/>
  <c r="L347" i="9"/>
  <c r="O424" i="9"/>
  <c r="M424" i="9"/>
  <c r="L422" i="9"/>
  <c r="O422" i="9" s="1"/>
  <c r="L33" i="9"/>
  <c r="L267" i="7"/>
  <c r="O267" i="7" s="1"/>
  <c r="K821" i="7"/>
  <c r="K824" i="7"/>
  <c r="L43" i="8"/>
  <c r="L41" i="8" s="1"/>
  <c r="N23" i="8"/>
  <c r="N13" i="8" s="1"/>
  <c r="J143" i="8"/>
  <c r="J131" i="8" s="1"/>
  <c r="M151" i="8"/>
  <c r="P151" i="8" s="1"/>
  <c r="L217" i="8"/>
  <c r="O217" i="8" s="1"/>
  <c r="M26" i="9"/>
  <c r="P61" i="9"/>
  <c r="K98" i="9"/>
  <c r="L280" i="9"/>
  <c r="O280" i="9" s="1"/>
  <c r="L283" i="9"/>
  <c r="O283" i="9" s="1"/>
  <c r="N770" i="9"/>
  <c r="I785" i="9"/>
  <c r="K785" i="9" s="1"/>
  <c r="K800" i="9"/>
  <c r="M318" i="9"/>
  <c r="P318" i="9" s="1"/>
  <c r="P320" i="9"/>
  <c r="K355" i="9"/>
  <c r="N469" i="9"/>
  <c r="M469" i="9"/>
  <c r="M470" i="9"/>
  <c r="P470" i="9" s="1"/>
  <c r="P472" i="9"/>
  <c r="I559" i="9"/>
  <c r="K576" i="9"/>
  <c r="I592" i="9"/>
  <c r="K592" i="9" s="1"/>
  <c r="K593" i="9"/>
  <c r="L685" i="9"/>
  <c r="O685" i="9" s="1"/>
  <c r="P787" i="9"/>
  <c r="M786" i="9"/>
  <c r="P786" i="9" s="1"/>
  <c r="K821" i="9"/>
  <c r="K827" i="9"/>
  <c r="M321" i="9"/>
  <c r="P321" i="9" s="1"/>
  <c r="P323" i="9"/>
  <c r="P555" i="9"/>
  <c r="M545" i="9"/>
  <c r="I628" i="9"/>
  <c r="K628" i="9" s="1"/>
  <c r="K651" i="9"/>
  <c r="N754" i="9"/>
  <c r="N786" i="9"/>
  <c r="P806" i="9"/>
  <c r="M805" i="9"/>
  <c r="P805" i="9" s="1"/>
  <c r="L330" i="9"/>
  <c r="P503" i="9"/>
  <c r="M502" i="9"/>
  <c r="P502" i="9" s="1"/>
  <c r="N685" i="9"/>
  <c r="O320" i="9"/>
  <c r="O323" i="9"/>
  <c r="N331" i="9"/>
  <c r="O331" i="9" s="1"/>
  <c r="N348" i="9"/>
  <c r="O348" i="9" s="1"/>
  <c r="N351" i="9"/>
  <c r="O351" i="9" s="1"/>
  <c r="L470" i="9"/>
  <c r="O470" i="9" s="1"/>
  <c r="L477" i="9"/>
  <c r="O477" i="9" s="1"/>
  <c r="M446" i="8"/>
  <c r="P446" i="8" s="1"/>
  <c r="M447" i="8"/>
  <c r="P447" i="8" s="1"/>
  <c r="P300" i="8"/>
  <c r="M298" i="8"/>
  <c r="P298" i="8" s="1"/>
  <c r="M330" i="8"/>
  <c r="M328" i="8" s="1"/>
  <c r="M151" i="5"/>
  <c r="P151" i="5" s="1"/>
  <c r="L347" i="5"/>
  <c r="L345" i="5" s="1"/>
  <c r="M183" i="7"/>
  <c r="M181" i="7" s="1"/>
  <c r="N317" i="7"/>
  <c r="N315" i="7" s="1"/>
  <c r="N392" i="7"/>
  <c r="M395" i="7"/>
  <c r="P395" i="7" s="1"/>
  <c r="L429" i="7"/>
  <c r="O429" i="7" s="1"/>
  <c r="O431" i="7"/>
  <c r="M690" i="7"/>
  <c r="M687" i="7" s="1"/>
  <c r="P687" i="7" s="1"/>
  <c r="N69" i="8"/>
  <c r="I77" i="8"/>
  <c r="K77" i="8" s="1"/>
  <c r="O91" i="8"/>
  <c r="N168" i="8"/>
  <c r="P168" i="8" s="1"/>
  <c r="M171" i="8"/>
  <c r="P171" i="8" s="1"/>
  <c r="N187" i="8"/>
  <c r="K204" i="8"/>
  <c r="N280" i="8"/>
  <c r="M318" i="8"/>
  <c r="P318" i="8" s="1"/>
  <c r="M348" i="8"/>
  <c r="O557" i="8"/>
  <c r="M347" i="6"/>
  <c r="M345" i="6" s="1"/>
  <c r="I190" i="7"/>
  <c r="K190" i="7" s="1"/>
  <c r="L230" i="7"/>
  <c r="N267" i="7"/>
  <c r="I434" i="7"/>
  <c r="K434" i="7" s="1"/>
  <c r="N44" i="8"/>
  <c r="O44" i="8" s="1"/>
  <c r="M72" i="8"/>
  <c r="P72" i="8" s="1"/>
  <c r="K79" i="8"/>
  <c r="K146" i="8"/>
  <c r="M155" i="8"/>
  <c r="P155" i="8" s="1"/>
  <c r="O157" i="8"/>
  <c r="P173" i="8"/>
  <c r="I190" i="8"/>
  <c r="K190" i="8" s="1"/>
  <c r="K255" i="8"/>
  <c r="L283" i="8"/>
  <c r="O283" i="8" s="1"/>
  <c r="M304" i="8"/>
  <c r="P304" i="8" s="1"/>
  <c r="N318" i="8"/>
  <c r="M321" i="8"/>
  <c r="P321" i="8" s="1"/>
  <c r="M331" i="8"/>
  <c r="P331" i="8" s="1"/>
  <c r="J327" i="8"/>
  <c r="K327" i="8" s="1"/>
  <c r="N348" i="8"/>
  <c r="O348" i="8" s="1"/>
  <c r="L351" i="8"/>
  <c r="O351" i="8" s="1"/>
  <c r="P353" i="8"/>
  <c r="K385" i="8"/>
  <c r="L392" i="8"/>
  <c r="O392" i="8" s="1"/>
  <c r="O407" i="8"/>
  <c r="I434" i="8"/>
  <c r="I418" i="8" s="1"/>
  <c r="K418" i="8" s="1"/>
  <c r="K462" i="8"/>
  <c r="L546" i="8"/>
  <c r="L544" i="8" s="1"/>
  <c r="O544" i="8" s="1"/>
  <c r="K621" i="8"/>
  <c r="M167" i="6"/>
  <c r="M165" i="6" s="1"/>
  <c r="I314" i="7"/>
  <c r="K314" i="7" s="1"/>
  <c r="K369" i="7"/>
  <c r="L687" i="7"/>
  <c r="O687" i="7" s="1"/>
  <c r="M47" i="8"/>
  <c r="P47" i="8" s="1"/>
  <c r="L56" i="8"/>
  <c r="O56" i="8" s="1"/>
  <c r="L90" i="8"/>
  <c r="L88" i="8" s="1"/>
  <c r="M264" i="8"/>
  <c r="P264" i="8" s="1"/>
  <c r="P351" i="8"/>
  <c r="O394" i="8"/>
  <c r="M408" i="8"/>
  <c r="P408" i="8" s="1"/>
  <c r="M546" i="8"/>
  <c r="I654" i="8"/>
  <c r="K654" i="8" s="1"/>
  <c r="L658" i="3"/>
  <c r="O658" i="3" s="1"/>
  <c r="N132" i="8"/>
  <c r="N43" i="7"/>
  <c r="N41" i="7" s="1"/>
  <c r="O333" i="7"/>
  <c r="O93" i="8"/>
  <c r="N151" i="8"/>
  <c r="N149" i="8" s="1"/>
  <c r="L209" i="8"/>
  <c r="O209" i="8" s="1"/>
  <c r="M317" i="8"/>
  <c r="P317" i="8" s="1"/>
  <c r="K822" i="8"/>
  <c r="K825" i="8"/>
  <c r="K828" i="8"/>
  <c r="I143" i="7"/>
  <c r="K143" i="7" s="1"/>
  <c r="L249" i="7"/>
  <c r="O249" i="7" s="1"/>
  <c r="K378" i="7"/>
  <c r="L631" i="7"/>
  <c r="O631" i="7" s="1"/>
  <c r="L688" i="7"/>
  <c r="O688" i="7" s="1"/>
  <c r="N26" i="8"/>
  <c r="N16" i="8" s="1"/>
  <c r="P170" i="8"/>
  <c r="N300" i="8"/>
  <c r="N298" i="8" s="1"/>
  <c r="L347" i="8"/>
  <c r="L345" i="8" s="1"/>
  <c r="K379" i="8"/>
  <c r="M283" i="8"/>
  <c r="P283" i="8" s="1"/>
  <c r="P285" i="8"/>
  <c r="M26" i="8"/>
  <c r="M24" i="8" s="1"/>
  <c r="M279" i="8"/>
  <c r="P738" i="8"/>
  <c r="M737" i="8"/>
  <c r="P737" i="8" s="1"/>
  <c r="L300" i="5"/>
  <c r="L298" i="5" s="1"/>
  <c r="O323" i="7"/>
  <c r="L321" i="7"/>
  <c r="O321" i="7" s="1"/>
  <c r="L31" i="8"/>
  <c r="O31" i="8" s="1"/>
  <c r="N47" i="8"/>
  <c r="N43" i="8"/>
  <c r="L122" i="8"/>
  <c r="O122" i="8" s="1"/>
  <c r="O124" i="8"/>
  <c r="L121" i="8"/>
  <c r="P771" i="8"/>
  <c r="M770" i="8"/>
  <c r="P770" i="8" s="1"/>
  <c r="P788" i="8"/>
  <c r="M786" i="8"/>
  <c r="P786" i="8" s="1"/>
  <c r="K215" i="6"/>
  <c r="I208" i="6"/>
  <c r="K208" i="6" s="1"/>
  <c r="M26" i="7"/>
  <c r="M16" i="7" s="1"/>
  <c r="M56" i="7"/>
  <c r="M55" i="7"/>
  <c r="M53" i="7" s="1"/>
  <c r="M9" i="8"/>
  <c r="P29" i="8"/>
  <c r="N94" i="8"/>
  <c r="N90" i="8"/>
  <c r="N88" i="8" s="1"/>
  <c r="O137" i="8"/>
  <c r="L134" i="8"/>
  <c r="O134" i="8" s="1"/>
  <c r="M347" i="7"/>
  <c r="M345" i="7" s="1"/>
  <c r="M351" i="7"/>
  <c r="P351" i="7" s="1"/>
  <c r="N19" i="8"/>
  <c r="N12" i="8"/>
  <c r="O170" i="8"/>
  <c r="L168" i="8"/>
  <c r="L167" i="8"/>
  <c r="N151" i="5"/>
  <c r="N149" i="5" s="1"/>
  <c r="L183" i="5"/>
  <c r="K159" i="6"/>
  <c r="I148" i="6"/>
  <c r="K148" i="6" s="1"/>
  <c r="K215" i="7"/>
  <c r="I208" i="7"/>
  <c r="K208" i="7" s="1"/>
  <c r="O29" i="8"/>
  <c r="O67" i="8"/>
  <c r="P166" i="8"/>
  <c r="M183" i="8"/>
  <c r="P186" i="8"/>
  <c r="L238" i="8"/>
  <c r="L228" i="8"/>
  <c r="N395" i="8"/>
  <c r="N391" i="8"/>
  <c r="N389" i="8" s="1"/>
  <c r="N59" i="8"/>
  <c r="O59" i="8" s="1"/>
  <c r="P61" i="8"/>
  <c r="N55" i="8"/>
  <c r="P150" i="8"/>
  <c r="P807" i="8"/>
  <c r="M805" i="8"/>
  <c r="P805" i="8" s="1"/>
  <c r="M263" i="4"/>
  <c r="M261" i="4" s="1"/>
  <c r="M183" i="5"/>
  <c r="M181" i="5" s="1"/>
  <c r="L395" i="7"/>
  <c r="O395" i="7" s="1"/>
  <c r="O12" i="8"/>
  <c r="L9" i="8"/>
  <c r="P46" i="8"/>
  <c r="M44" i="8"/>
  <c r="M23" i="8"/>
  <c r="M21" i="8" s="1"/>
  <c r="M43" i="8"/>
  <c r="O61" i="8"/>
  <c r="M184" i="8"/>
  <c r="P184" i="8" s="1"/>
  <c r="N334" i="8"/>
  <c r="N330" i="8"/>
  <c r="P140" i="5"/>
  <c r="P140" i="6"/>
  <c r="M138" i="6"/>
  <c r="P138" i="6" s="1"/>
  <c r="O124" i="7"/>
  <c r="L121" i="7"/>
  <c r="O121" i="7" s="1"/>
  <c r="L300" i="7"/>
  <c r="O300" i="7" s="1"/>
  <c r="L301" i="7"/>
  <c r="O301" i="7" s="1"/>
  <c r="N318" i="7"/>
  <c r="I522" i="7"/>
  <c r="K522" i="7" s="1"/>
  <c r="K537" i="7"/>
  <c r="O15" i="8"/>
  <c r="M19" i="8"/>
  <c r="M15" i="8"/>
  <c r="P25" i="8"/>
  <c r="O33" i="8"/>
  <c r="M91" i="8"/>
  <c r="P91" i="8" s="1"/>
  <c r="P93" i="8"/>
  <c r="M90" i="8"/>
  <c r="O323" i="8"/>
  <c r="L317" i="8"/>
  <c r="L321" i="8"/>
  <c r="O321" i="8" s="1"/>
  <c r="L167" i="6"/>
  <c r="L165" i="6" s="1"/>
  <c r="M43" i="7"/>
  <c r="P43" i="7" s="1"/>
  <c r="O58" i="7"/>
  <c r="N68" i="7"/>
  <c r="N66" i="7" s="1"/>
  <c r="J143" i="7"/>
  <c r="J131" i="7" s="1"/>
  <c r="L183" i="7"/>
  <c r="L181" i="7" s="1"/>
  <c r="M279" i="7"/>
  <c r="P279" i="7" s="1"/>
  <c r="O320" i="7"/>
  <c r="L405" i="7"/>
  <c r="O405" i="7" s="1"/>
  <c r="O634" i="7"/>
  <c r="O22" i="8"/>
  <c r="O49" i="8"/>
  <c r="L72" i="8"/>
  <c r="O72" i="8" s="1"/>
  <c r="K99" i="8"/>
  <c r="O127" i="8"/>
  <c r="L198" i="8"/>
  <c r="O198" i="8" s="1"/>
  <c r="K260" i="8"/>
  <c r="O403" i="8"/>
  <c r="P504" i="8"/>
  <c r="M502" i="8"/>
  <c r="P502" i="8" s="1"/>
  <c r="K355" i="6"/>
  <c r="I112" i="7"/>
  <c r="K112" i="7" s="1"/>
  <c r="I237" i="7"/>
  <c r="K237" i="7" s="1"/>
  <c r="M263" i="7"/>
  <c r="L317" i="7"/>
  <c r="O317" i="7" s="1"/>
  <c r="K594" i="7"/>
  <c r="O189" i="8"/>
  <c r="L187" i="8"/>
  <c r="O187" i="8" s="1"/>
  <c r="N470" i="8"/>
  <c r="N469" i="8"/>
  <c r="P686" i="8"/>
  <c r="L408" i="5"/>
  <c r="O408" i="5" s="1"/>
  <c r="O191" i="6"/>
  <c r="K381" i="6"/>
  <c r="N44" i="7"/>
  <c r="O44" i="7" s="1"/>
  <c r="N90" i="7"/>
  <c r="O90" i="7" s="1"/>
  <c r="P93" i="7"/>
  <c r="K115" i="7"/>
  <c r="N183" i="7"/>
  <c r="N181" i="7" s="1"/>
  <c r="L231" i="7"/>
  <c r="N279" i="7"/>
  <c r="N277" i="7" s="1"/>
  <c r="I297" i="7"/>
  <c r="K297" i="7" s="1"/>
  <c r="M317" i="7"/>
  <c r="P58" i="8"/>
  <c r="M69" i="8"/>
  <c r="P69" i="8" s="1"/>
  <c r="M134" i="8"/>
  <c r="L151" i="8"/>
  <c r="O173" i="8"/>
  <c r="L171" i="8"/>
  <c r="O171" i="8" s="1"/>
  <c r="K176" i="8"/>
  <c r="I174" i="8"/>
  <c r="O278" i="8"/>
  <c r="L301" i="8"/>
  <c r="O301" i="8" s="1"/>
  <c r="O303" i="8"/>
  <c r="K365" i="8"/>
  <c r="M392" i="8"/>
  <c r="P392" i="8" s="1"/>
  <c r="P394" i="8"/>
  <c r="M391" i="8"/>
  <c r="P391" i="8" s="1"/>
  <c r="P91" i="7"/>
  <c r="L217" i="7"/>
  <c r="O217" i="7" s="1"/>
  <c r="O348" i="7"/>
  <c r="J537" i="7"/>
  <c r="J522" i="7" s="1"/>
  <c r="L26" i="8"/>
  <c r="L68" i="8"/>
  <c r="O68" i="8" s="1"/>
  <c r="O96" i="8"/>
  <c r="L94" i="8"/>
  <c r="O94" i="8" s="1"/>
  <c r="N121" i="8"/>
  <c r="N119" i="8" s="1"/>
  <c r="I131" i="8"/>
  <c r="K131" i="8" s="1"/>
  <c r="O133" i="8"/>
  <c r="L264" i="8"/>
  <c r="O264" i="8" s="1"/>
  <c r="O266" i="8"/>
  <c r="M280" i="8"/>
  <c r="P280" i="8" s="1"/>
  <c r="P282" i="8"/>
  <c r="K288" i="8"/>
  <c r="J288" i="8"/>
  <c r="J275" i="8" s="1"/>
  <c r="I275" i="8"/>
  <c r="K275" i="8" s="1"/>
  <c r="L304" i="8"/>
  <c r="O304" i="8" s="1"/>
  <c r="O306" i="8"/>
  <c r="O445" i="8"/>
  <c r="L198" i="6"/>
  <c r="O198" i="6" s="1"/>
  <c r="N404" i="6"/>
  <c r="N402" i="6" s="1"/>
  <c r="I130" i="7"/>
  <c r="K130" i="7" s="1"/>
  <c r="N134" i="7"/>
  <c r="N132" i="7" s="1"/>
  <c r="M138" i="7"/>
  <c r="P138" i="7" s="1"/>
  <c r="N167" i="7"/>
  <c r="I174" i="7"/>
  <c r="I164" i="7" s="1"/>
  <c r="K164" i="7" s="1"/>
  <c r="N331" i="7"/>
  <c r="O331" i="7" s="1"/>
  <c r="M404" i="7"/>
  <c r="P404" i="7" s="1"/>
  <c r="P32" i="8"/>
  <c r="M34" i="8"/>
  <c r="P34" i="8" s="1"/>
  <c r="L23" i="8"/>
  <c r="M68" i="8"/>
  <c r="P68" i="8" s="1"/>
  <c r="I112" i="8"/>
  <c r="K112" i="8" s="1"/>
  <c r="P182" i="8"/>
  <c r="O186" i="8"/>
  <c r="L184" i="8"/>
  <c r="O184" i="8" s="1"/>
  <c r="L249" i="8"/>
  <c r="O249" i="8" s="1"/>
  <c r="L267" i="8"/>
  <c r="O267" i="8" s="1"/>
  <c r="O269" i="8"/>
  <c r="K822" i="7"/>
  <c r="K825" i="7"/>
  <c r="K828" i="7"/>
  <c r="I314" i="8"/>
  <c r="K314" i="8" s="1"/>
  <c r="P316" i="8"/>
  <c r="L318" i="8"/>
  <c r="O318" i="8" s="1"/>
  <c r="M347" i="8"/>
  <c r="K370" i="8"/>
  <c r="L408" i="8"/>
  <c r="O408" i="8" s="1"/>
  <c r="P445" i="8"/>
  <c r="O449" i="8"/>
  <c r="L447" i="8"/>
  <c r="O447" i="8" s="1"/>
  <c r="M470" i="8"/>
  <c r="P470" i="8" s="1"/>
  <c r="P472" i="8"/>
  <c r="O503" i="8"/>
  <c r="L502" i="8"/>
  <c r="O502" i="8" s="1"/>
  <c r="O787" i="8"/>
  <c r="I785" i="8"/>
  <c r="K785" i="8" s="1"/>
  <c r="K800" i="8"/>
  <c r="O806" i="8"/>
  <c r="L805" i="8"/>
  <c r="O805" i="8" s="1"/>
  <c r="K435" i="8"/>
  <c r="J433" i="8"/>
  <c r="J417" i="8" s="1"/>
  <c r="I592" i="8"/>
  <c r="K592" i="8" s="1"/>
  <c r="K593" i="8"/>
  <c r="P631" i="8"/>
  <c r="M629" i="8"/>
  <c r="P629" i="8" s="1"/>
  <c r="M421" i="8"/>
  <c r="N502" i="8"/>
  <c r="P755" i="8"/>
  <c r="M754" i="8"/>
  <c r="P754" i="8" s="1"/>
  <c r="O350" i="8"/>
  <c r="I433" i="8"/>
  <c r="O446" i="8"/>
  <c r="P449" i="8"/>
  <c r="O630" i="8"/>
  <c r="I237" i="8"/>
  <c r="P346" i="8"/>
  <c r="M404" i="8"/>
  <c r="P424" i="8"/>
  <c r="K438" i="8"/>
  <c r="O456" i="8"/>
  <c r="J537" i="8"/>
  <c r="J522" i="8" s="1"/>
  <c r="N632" i="8"/>
  <c r="O472" i="8"/>
  <c r="O524" i="8"/>
  <c r="L533" i="8"/>
  <c r="O533" i="8" s="1"/>
  <c r="M547" i="8"/>
  <c r="P547" i="8" s="1"/>
  <c r="K675" i="8"/>
  <c r="K576" i="8"/>
  <c r="L639" i="8"/>
  <c r="O639" i="8" s="1"/>
  <c r="L655" i="8"/>
  <c r="O655" i="8" s="1"/>
  <c r="K672" i="8"/>
  <c r="L688" i="8"/>
  <c r="O688" i="8" s="1"/>
  <c r="M690" i="8"/>
  <c r="M655" i="8"/>
  <c r="P655" i="8" s="1"/>
  <c r="K669" i="8"/>
  <c r="K673" i="8"/>
  <c r="L687" i="8"/>
  <c r="L631" i="8"/>
  <c r="O631" i="8" s="1"/>
  <c r="M134" i="3"/>
  <c r="L317" i="3"/>
  <c r="L315" i="3" s="1"/>
  <c r="L687" i="4"/>
  <c r="O687" i="4" s="1"/>
  <c r="L151" i="5"/>
  <c r="O151" i="5" s="1"/>
  <c r="M279" i="5"/>
  <c r="M277" i="5" s="1"/>
  <c r="P277" i="5" s="1"/>
  <c r="M56" i="6"/>
  <c r="P56" i="6" s="1"/>
  <c r="M121" i="6"/>
  <c r="P121" i="6" s="1"/>
  <c r="L525" i="6"/>
  <c r="O525" i="6" s="1"/>
  <c r="L33" i="7"/>
  <c r="P46" i="7"/>
  <c r="L59" i="7"/>
  <c r="O59" i="7" s="1"/>
  <c r="L135" i="7"/>
  <c r="O135" i="7" s="1"/>
  <c r="L155" i="7"/>
  <c r="O155" i="7" s="1"/>
  <c r="L168" i="7"/>
  <c r="O168" i="7" s="1"/>
  <c r="J288" i="7"/>
  <c r="J275" i="7" s="1"/>
  <c r="N301" i="7"/>
  <c r="O303" i="7"/>
  <c r="L330" i="7"/>
  <c r="O330" i="7" s="1"/>
  <c r="K355" i="7"/>
  <c r="K360" i="7"/>
  <c r="M405" i="7"/>
  <c r="P405" i="7" s="1"/>
  <c r="K435" i="7"/>
  <c r="L525" i="7"/>
  <c r="O525" i="7" s="1"/>
  <c r="K539" i="7"/>
  <c r="K723" i="7"/>
  <c r="M404" i="5"/>
  <c r="M402" i="5" s="1"/>
  <c r="P402" i="5" s="1"/>
  <c r="L183" i="6"/>
  <c r="L181" i="6" s="1"/>
  <c r="M405" i="6"/>
  <c r="P405" i="6" s="1"/>
  <c r="P410" i="6"/>
  <c r="J722" i="6"/>
  <c r="M135" i="7"/>
  <c r="P135" i="7" s="1"/>
  <c r="O170" i="7"/>
  <c r="L184" i="7"/>
  <c r="O184" i="7" s="1"/>
  <c r="I216" i="7"/>
  <c r="K216" i="7" s="1"/>
  <c r="I275" i="7"/>
  <c r="K275" i="7" s="1"/>
  <c r="M280" i="7"/>
  <c r="P280" i="7" s="1"/>
  <c r="P282" i="7"/>
  <c r="L304" i="7"/>
  <c r="O304" i="7" s="1"/>
  <c r="P407" i="7"/>
  <c r="K827" i="7"/>
  <c r="I216" i="6"/>
  <c r="K216" i="6" s="1"/>
  <c r="I297" i="6"/>
  <c r="K297" i="6" s="1"/>
  <c r="L330" i="6"/>
  <c r="L328" i="6" s="1"/>
  <c r="N347" i="6"/>
  <c r="N345" i="6" s="1"/>
  <c r="P61" i="7"/>
  <c r="O93" i="7"/>
  <c r="L134" i="7"/>
  <c r="O134" i="7" s="1"/>
  <c r="P137" i="7"/>
  <c r="L151" i="7"/>
  <c r="O151" i="7" s="1"/>
  <c r="L171" i="7"/>
  <c r="O171" i="7" s="1"/>
  <c r="P184" i="7"/>
  <c r="O186" i="7"/>
  <c r="L209" i="7"/>
  <c r="O209" i="7" s="1"/>
  <c r="L228" i="7"/>
  <c r="O264" i="7"/>
  <c r="M283" i="7"/>
  <c r="P283" i="7" s="1"/>
  <c r="M300" i="7"/>
  <c r="P350" i="7"/>
  <c r="L546" i="7"/>
  <c r="L544" i="7" s="1"/>
  <c r="O544" i="7" s="1"/>
  <c r="K592" i="7"/>
  <c r="L72" i="7"/>
  <c r="O72" i="7" s="1"/>
  <c r="J327" i="5"/>
  <c r="K647" i="5"/>
  <c r="L280" i="6"/>
  <c r="O280" i="6" s="1"/>
  <c r="M317" i="6"/>
  <c r="P317" i="6" s="1"/>
  <c r="L334" i="6"/>
  <c r="O334" i="6" s="1"/>
  <c r="K338" i="6"/>
  <c r="K365" i="6"/>
  <c r="M391" i="6"/>
  <c r="P391" i="6" s="1"/>
  <c r="M395" i="6"/>
  <c r="P395" i="6" s="1"/>
  <c r="K647" i="6"/>
  <c r="K673" i="6"/>
  <c r="K823" i="6"/>
  <c r="K826" i="6"/>
  <c r="O46" i="7"/>
  <c r="L122" i="7"/>
  <c r="O122" i="7" s="1"/>
  <c r="M151" i="7"/>
  <c r="P151" i="7" s="1"/>
  <c r="L198" i="7"/>
  <c r="O198" i="7" s="1"/>
  <c r="L238" i="7"/>
  <c r="O238" i="7" s="1"/>
  <c r="N347" i="7"/>
  <c r="N345" i="7" s="1"/>
  <c r="K379" i="7"/>
  <c r="K465" i="7"/>
  <c r="K725" i="7"/>
  <c r="O306" i="5"/>
  <c r="K338" i="5"/>
  <c r="M168" i="6"/>
  <c r="P168" i="6" s="1"/>
  <c r="M183" i="6"/>
  <c r="M181" i="6" s="1"/>
  <c r="M300" i="6"/>
  <c r="P300" i="6" s="1"/>
  <c r="L687" i="6"/>
  <c r="L685" i="6" s="1"/>
  <c r="K699" i="6"/>
  <c r="L26" i="7"/>
  <c r="L279" i="7"/>
  <c r="O279" i="7" s="1"/>
  <c r="N328" i="7"/>
  <c r="O351" i="7"/>
  <c r="P353" i="7"/>
  <c r="K359" i="7"/>
  <c r="K362" i="7"/>
  <c r="L788" i="7"/>
  <c r="O788" i="7" s="1"/>
  <c r="O15" i="7"/>
  <c r="N525" i="7"/>
  <c r="N523" i="7" s="1"/>
  <c r="N526" i="7"/>
  <c r="L280" i="5"/>
  <c r="O280" i="5" s="1"/>
  <c r="J364" i="5"/>
  <c r="K381" i="5"/>
  <c r="N23" i="6"/>
  <c r="N13" i="6" s="1"/>
  <c r="O58" i="6"/>
  <c r="K145" i="6"/>
  <c r="M184" i="6"/>
  <c r="P184" i="6" s="1"/>
  <c r="M263" i="6"/>
  <c r="N279" i="6"/>
  <c r="N277" i="6" s="1"/>
  <c r="O350" i="6"/>
  <c r="K374" i="6"/>
  <c r="K435" i="6"/>
  <c r="O456" i="6"/>
  <c r="O528" i="6"/>
  <c r="J537" i="6"/>
  <c r="J522" i="6" s="1"/>
  <c r="K560" i="6"/>
  <c r="K651" i="6"/>
  <c r="L657" i="6"/>
  <c r="L655" i="6" s="1"/>
  <c r="M660" i="6"/>
  <c r="P660" i="6" s="1"/>
  <c r="K822" i="6"/>
  <c r="K825" i="6"/>
  <c r="K828" i="6"/>
  <c r="L23" i="7"/>
  <c r="O25" i="7"/>
  <c r="L68" i="7"/>
  <c r="I76" i="7"/>
  <c r="L94" i="7"/>
  <c r="O94" i="7" s="1"/>
  <c r="M119" i="7"/>
  <c r="P119" i="7" s="1"/>
  <c r="P124" i="7"/>
  <c r="M122" i="7"/>
  <c r="P122" i="7" s="1"/>
  <c r="O346" i="7"/>
  <c r="I364" i="7"/>
  <c r="J374" i="7"/>
  <c r="J364" i="7" s="1"/>
  <c r="K381" i="7"/>
  <c r="O424" i="7"/>
  <c r="L421" i="7"/>
  <c r="L419" i="7" s="1"/>
  <c r="M424" i="7"/>
  <c r="K442" i="7"/>
  <c r="O504" i="7"/>
  <c r="L502" i="7"/>
  <c r="O502" i="7" s="1"/>
  <c r="M331" i="7"/>
  <c r="P333" i="7"/>
  <c r="P771" i="7"/>
  <c r="M770" i="7"/>
  <c r="P770" i="7" s="1"/>
  <c r="L152" i="5"/>
  <c r="O152" i="5" s="1"/>
  <c r="O157" i="5"/>
  <c r="K174" i="5"/>
  <c r="M304" i="5"/>
  <c r="P304" i="5" s="1"/>
  <c r="O44" i="6"/>
  <c r="L72" i="6"/>
  <c r="O72" i="6" s="1"/>
  <c r="N134" i="6"/>
  <c r="N132" i="6" s="1"/>
  <c r="M187" i="6"/>
  <c r="P187" i="6" s="1"/>
  <c r="M264" i="6"/>
  <c r="P264" i="6" s="1"/>
  <c r="M301" i="6"/>
  <c r="P301" i="6" s="1"/>
  <c r="L317" i="6"/>
  <c r="M330" i="6"/>
  <c r="M328" i="6" s="1"/>
  <c r="J327" i="6"/>
  <c r="K327" i="6" s="1"/>
  <c r="O353" i="6"/>
  <c r="K359" i="6"/>
  <c r="K362" i="6"/>
  <c r="K537" i="6"/>
  <c r="L12" i="7"/>
  <c r="M23" i="7"/>
  <c r="N56" i="7"/>
  <c r="M68" i="7"/>
  <c r="P68" i="7" s="1"/>
  <c r="P71" i="7"/>
  <c r="L88" i="7"/>
  <c r="L91" i="7"/>
  <c r="O91" i="7" s="1"/>
  <c r="M94" i="7"/>
  <c r="P94" i="7" s="1"/>
  <c r="K98" i="7"/>
  <c r="I148" i="7"/>
  <c r="K148" i="7" s="1"/>
  <c r="N151" i="7"/>
  <c r="N149" i="7" s="1"/>
  <c r="M168" i="7"/>
  <c r="P168" i="7" s="1"/>
  <c r="P170" i="7"/>
  <c r="M334" i="7"/>
  <c r="P334" i="7" s="1"/>
  <c r="P336" i="7"/>
  <c r="N421" i="7"/>
  <c r="N419" i="7" s="1"/>
  <c r="N414" i="7" s="1"/>
  <c r="N422" i="7"/>
  <c r="N33" i="7"/>
  <c r="M449" i="7"/>
  <c r="O449" i="7"/>
  <c r="L446" i="7"/>
  <c r="P738" i="7"/>
  <c r="M737" i="7"/>
  <c r="P737" i="7" s="1"/>
  <c r="P788" i="7"/>
  <c r="M786" i="7"/>
  <c r="P786" i="7" s="1"/>
  <c r="L59" i="4"/>
  <c r="O59" i="4" s="1"/>
  <c r="L184" i="5"/>
  <c r="L187" i="5"/>
  <c r="O187" i="5" s="1"/>
  <c r="L348" i="5"/>
  <c r="L405" i="5"/>
  <c r="O405" i="5" s="1"/>
  <c r="I76" i="6"/>
  <c r="I64" i="6" s="1"/>
  <c r="K64" i="6" s="1"/>
  <c r="L135" i="6"/>
  <c r="O135" i="6" s="1"/>
  <c r="N23" i="7"/>
  <c r="O32" i="7"/>
  <c r="P36" i="7"/>
  <c r="N26" i="7"/>
  <c r="P133" i="7"/>
  <c r="P157" i="7"/>
  <c r="M155" i="7"/>
  <c r="P155" i="7" s="1"/>
  <c r="L90" i="6"/>
  <c r="K669" i="7"/>
  <c r="J654" i="7"/>
  <c r="L304" i="2"/>
  <c r="O304" i="2" s="1"/>
  <c r="L209" i="6"/>
  <c r="O209" i="6" s="1"/>
  <c r="I233" i="6"/>
  <c r="K233" i="6" s="1"/>
  <c r="N317" i="6"/>
  <c r="N315" i="6" s="1"/>
  <c r="M351" i="6"/>
  <c r="P351" i="6" s="1"/>
  <c r="I434" i="6"/>
  <c r="K434" i="6" s="1"/>
  <c r="J721" i="6"/>
  <c r="N15" i="7"/>
  <c r="P22" i="7"/>
  <c r="M19" i="7"/>
  <c r="M12" i="7"/>
  <c r="N55" i="7"/>
  <c r="I77" i="7"/>
  <c r="N121" i="7"/>
  <c r="N119" i="7" s="1"/>
  <c r="L280" i="7"/>
  <c r="O280" i="7" s="1"/>
  <c r="O282" i="7"/>
  <c r="M330" i="7"/>
  <c r="J327" i="7"/>
  <c r="K327" i="7" s="1"/>
  <c r="O422" i="7"/>
  <c r="P555" i="7"/>
  <c r="M545" i="7"/>
  <c r="O166" i="7"/>
  <c r="O182" i="7"/>
  <c r="J433" i="7"/>
  <c r="K439" i="7"/>
  <c r="P807" i="7"/>
  <c r="M805" i="7"/>
  <c r="P805" i="7" s="1"/>
  <c r="L788" i="5"/>
  <c r="O788" i="5" s="1"/>
  <c r="M47" i="6"/>
  <c r="P47" i="6" s="1"/>
  <c r="J143" i="6"/>
  <c r="J131" i="6" s="1"/>
  <c r="L231" i="6"/>
  <c r="K370" i="6"/>
  <c r="L470" i="6"/>
  <c r="O470" i="6" s="1"/>
  <c r="M14" i="7"/>
  <c r="O19" i="7"/>
  <c r="L29" i="7"/>
  <c r="L43" i="7"/>
  <c r="O43" i="7" s="1"/>
  <c r="P58" i="7"/>
  <c r="I87" i="7"/>
  <c r="K87" i="7" s="1"/>
  <c r="M90" i="7"/>
  <c r="P127" i="7"/>
  <c r="M125" i="7"/>
  <c r="P125" i="7" s="1"/>
  <c r="L138" i="7"/>
  <c r="O138" i="7" s="1"/>
  <c r="P154" i="7"/>
  <c r="M152" i="7"/>
  <c r="P152" i="7" s="1"/>
  <c r="M167" i="7"/>
  <c r="M171" i="7"/>
  <c r="P171" i="7" s="1"/>
  <c r="P173" i="7"/>
  <c r="L283" i="7"/>
  <c r="O283" i="7" s="1"/>
  <c r="O285" i="7"/>
  <c r="O329" i="7"/>
  <c r="P394" i="7"/>
  <c r="M391" i="7"/>
  <c r="P391" i="7" s="1"/>
  <c r="L447" i="7"/>
  <c r="O447" i="7" s="1"/>
  <c r="P468" i="7"/>
  <c r="P186" i="7"/>
  <c r="P189" i="7"/>
  <c r="M264" i="7"/>
  <c r="P264" i="7" s="1"/>
  <c r="M267" i="7"/>
  <c r="P267" i="7" s="1"/>
  <c r="M301" i="7"/>
  <c r="P301" i="7" s="1"/>
  <c r="M304" i="7"/>
  <c r="P304" i="7" s="1"/>
  <c r="O316" i="7"/>
  <c r="P320" i="7"/>
  <c r="P323" i="7"/>
  <c r="L391" i="7"/>
  <c r="P445" i="7"/>
  <c r="O528" i="7"/>
  <c r="K569" i="7"/>
  <c r="P686" i="7"/>
  <c r="O787" i="7"/>
  <c r="I785" i="7"/>
  <c r="K785" i="7" s="1"/>
  <c r="K800" i="7"/>
  <c r="O806" i="7"/>
  <c r="L805" i="7"/>
  <c r="O805" i="7" s="1"/>
  <c r="O353" i="7"/>
  <c r="I443" i="7"/>
  <c r="K443" i="7" s="1"/>
  <c r="L658" i="7"/>
  <c r="O658" i="7" s="1"/>
  <c r="O660" i="7"/>
  <c r="M660" i="7"/>
  <c r="L229" i="7"/>
  <c r="I233" i="7"/>
  <c r="K233" i="7" s="1"/>
  <c r="I248" i="7"/>
  <c r="K248" i="7" s="1"/>
  <c r="K365" i="7"/>
  <c r="K372" i="7"/>
  <c r="L404" i="7"/>
  <c r="K440" i="7"/>
  <c r="K460" i="7"/>
  <c r="L469" i="7"/>
  <c r="O469" i="7" s="1"/>
  <c r="N470" i="7"/>
  <c r="O470" i="7" s="1"/>
  <c r="M472" i="7"/>
  <c r="L547" i="7"/>
  <c r="O547" i="7" s="1"/>
  <c r="O549" i="7"/>
  <c r="M549" i="7"/>
  <c r="K561" i="7"/>
  <c r="I559" i="7"/>
  <c r="K576" i="7"/>
  <c r="K593" i="7"/>
  <c r="L657" i="7"/>
  <c r="P755" i="7"/>
  <c r="M754" i="7"/>
  <c r="P754" i="7" s="1"/>
  <c r="O350" i="7"/>
  <c r="L555" i="7"/>
  <c r="O555" i="7" s="1"/>
  <c r="O557" i="7"/>
  <c r="I628" i="7"/>
  <c r="K628" i="7" s="1"/>
  <c r="K651" i="7"/>
  <c r="I197" i="7"/>
  <c r="K197" i="7" s="1"/>
  <c r="L347" i="7"/>
  <c r="P348" i="7"/>
  <c r="N404" i="7"/>
  <c r="N402" i="7" s="1"/>
  <c r="O472" i="7"/>
  <c r="P503" i="7"/>
  <c r="M523" i="7"/>
  <c r="P523" i="7" s="1"/>
  <c r="P524" i="7"/>
  <c r="P630" i="7"/>
  <c r="M629" i="7"/>
  <c r="P629" i="7" s="1"/>
  <c r="K675" i="7"/>
  <c r="K672" i="7"/>
  <c r="I654" i="7"/>
  <c r="K654" i="7" s="1"/>
  <c r="M688" i="6"/>
  <c r="M687" i="6"/>
  <c r="M685" i="6" s="1"/>
  <c r="O151" i="6"/>
  <c r="L149" i="6"/>
  <c r="O149" i="6" s="1"/>
  <c r="M470" i="6"/>
  <c r="M469" i="6"/>
  <c r="M467" i="6" s="1"/>
  <c r="N183" i="5"/>
  <c r="N181" i="5" s="1"/>
  <c r="L351" i="6"/>
  <c r="O351" i="6" s="1"/>
  <c r="M634" i="2"/>
  <c r="M631" i="2" s="1"/>
  <c r="P631" i="2" s="1"/>
  <c r="L33" i="6"/>
  <c r="O33" i="6" s="1"/>
  <c r="M59" i="6"/>
  <c r="P59" i="6" s="1"/>
  <c r="L68" i="6"/>
  <c r="O68" i="6" s="1"/>
  <c r="I86" i="6"/>
  <c r="K86" i="6" s="1"/>
  <c r="K144" i="6"/>
  <c r="K255" i="6"/>
  <c r="K271" i="6"/>
  <c r="K325" i="6"/>
  <c r="M424" i="6"/>
  <c r="M421" i="6" s="1"/>
  <c r="M419" i="6" s="1"/>
  <c r="N151" i="2"/>
  <c r="N149" i="2" s="1"/>
  <c r="L183" i="3"/>
  <c r="L181" i="3" s="1"/>
  <c r="L631" i="3"/>
  <c r="O631" i="3" s="1"/>
  <c r="N90" i="4"/>
  <c r="N88" i="4" s="1"/>
  <c r="K309" i="4"/>
  <c r="L470" i="4"/>
  <c r="L229" i="5"/>
  <c r="P285" i="5"/>
  <c r="O303" i="5"/>
  <c r="O351" i="5"/>
  <c r="K385" i="5"/>
  <c r="N391" i="5"/>
  <c r="N389" i="5" s="1"/>
  <c r="K674" i="5"/>
  <c r="L36" i="6"/>
  <c r="P46" i="6"/>
  <c r="L69" i="6"/>
  <c r="O69" i="6" s="1"/>
  <c r="P124" i="6"/>
  <c r="N135" i="6"/>
  <c r="L138" i="6"/>
  <c r="O138" i="6" s="1"/>
  <c r="N167" i="6"/>
  <c r="N165" i="6" s="1"/>
  <c r="L217" i="6"/>
  <c r="O217" i="6" s="1"/>
  <c r="L249" i="6"/>
  <c r="O249" i="6" s="1"/>
  <c r="N263" i="6"/>
  <c r="N261" i="6" s="1"/>
  <c r="I276" i="6"/>
  <c r="K276" i="6" s="1"/>
  <c r="N280" i="6"/>
  <c r="M304" i="6"/>
  <c r="P304" i="6" s="1"/>
  <c r="P306" i="6"/>
  <c r="P336" i="6"/>
  <c r="I364" i="6"/>
  <c r="J364" i="6"/>
  <c r="P394" i="6"/>
  <c r="L688" i="6"/>
  <c r="K821" i="6"/>
  <c r="K824" i="6"/>
  <c r="K827" i="6"/>
  <c r="M134" i="5"/>
  <c r="M132" i="5" s="1"/>
  <c r="I190" i="5"/>
  <c r="K190" i="5" s="1"/>
  <c r="K674" i="6"/>
  <c r="L125" i="4"/>
  <c r="O125" i="4" s="1"/>
  <c r="K338" i="4"/>
  <c r="L688" i="4"/>
  <c r="O688" i="4" s="1"/>
  <c r="L90" i="5"/>
  <c r="L88" i="5" s="1"/>
  <c r="I248" i="5"/>
  <c r="K248" i="5" s="1"/>
  <c r="K340" i="5"/>
  <c r="O46" i="6"/>
  <c r="N43" i="6"/>
  <c r="N41" i="6" s="1"/>
  <c r="M125" i="6"/>
  <c r="P125" i="6" s="1"/>
  <c r="M152" i="6"/>
  <c r="P152" i="6" s="1"/>
  <c r="L238" i="6"/>
  <c r="O238" i="6" s="1"/>
  <c r="L283" i="6"/>
  <c r="O283" i="6" s="1"/>
  <c r="L347" i="6"/>
  <c r="L345" i="6" s="1"/>
  <c r="P353" i="6"/>
  <c r="L395" i="6"/>
  <c r="O395" i="6" s="1"/>
  <c r="N391" i="6"/>
  <c r="N389" i="6" s="1"/>
  <c r="L405" i="6"/>
  <c r="O405" i="6" s="1"/>
  <c r="K675" i="6"/>
  <c r="M391" i="3"/>
  <c r="P391" i="3" s="1"/>
  <c r="I314" i="5"/>
  <c r="K314" i="5" s="1"/>
  <c r="M634" i="5"/>
  <c r="M631" i="5" s="1"/>
  <c r="P631" i="5" s="1"/>
  <c r="M122" i="6"/>
  <c r="P122" i="6" s="1"/>
  <c r="M135" i="6"/>
  <c r="P135" i="6" s="1"/>
  <c r="M334" i="6"/>
  <c r="P334" i="6" s="1"/>
  <c r="K379" i="6"/>
  <c r="K568" i="6"/>
  <c r="J628" i="6"/>
  <c r="K628" i="6" s="1"/>
  <c r="K700" i="6"/>
  <c r="L125" i="2"/>
  <c r="O125" i="2" s="1"/>
  <c r="L404" i="4"/>
  <c r="O404" i="4" s="1"/>
  <c r="O93" i="5"/>
  <c r="L121" i="5"/>
  <c r="L119" i="5" s="1"/>
  <c r="O127" i="5"/>
  <c r="J433" i="5"/>
  <c r="J417" i="5" s="1"/>
  <c r="K417" i="5" s="1"/>
  <c r="L121" i="6"/>
  <c r="L119" i="6" s="1"/>
  <c r="O119" i="6" s="1"/>
  <c r="L134" i="6"/>
  <c r="O134" i="6" s="1"/>
  <c r="P170" i="6"/>
  <c r="N183" i="6"/>
  <c r="N181" i="6" s="1"/>
  <c r="I248" i="6"/>
  <c r="K248" i="6" s="1"/>
  <c r="L279" i="6"/>
  <c r="O279" i="6" s="1"/>
  <c r="I543" i="6"/>
  <c r="K543" i="6" s="1"/>
  <c r="O557" i="6"/>
  <c r="I654" i="6"/>
  <c r="K654" i="6" s="1"/>
  <c r="I76" i="5"/>
  <c r="K76" i="5" s="1"/>
  <c r="P333" i="5"/>
  <c r="K823" i="5"/>
  <c r="L26" i="6"/>
  <c r="L24" i="6" s="1"/>
  <c r="M72" i="6"/>
  <c r="P72" i="6" s="1"/>
  <c r="I77" i="6"/>
  <c r="K77" i="6" s="1"/>
  <c r="M94" i="6"/>
  <c r="P94" i="6" s="1"/>
  <c r="M171" i="6"/>
  <c r="P171" i="6" s="1"/>
  <c r="L228" i="6"/>
  <c r="L230" i="6"/>
  <c r="M267" i="6"/>
  <c r="P267" i="6" s="1"/>
  <c r="N300" i="6"/>
  <c r="N298" i="6" s="1"/>
  <c r="P320" i="6"/>
  <c r="P323" i="6"/>
  <c r="N330" i="6"/>
  <c r="K340" i="6"/>
  <c r="L348" i="6"/>
  <c r="J433" i="6"/>
  <c r="K433" i="6" s="1"/>
  <c r="K576" i="6"/>
  <c r="L9" i="6"/>
  <c r="O12" i="6"/>
  <c r="P19" i="6"/>
  <c r="P29" i="6"/>
  <c r="O15" i="6"/>
  <c r="P150" i="6"/>
  <c r="L264" i="6"/>
  <c r="O264" i="6" s="1"/>
  <c r="O266" i="6"/>
  <c r="M280" i="6"/>
  <c r="P280" i="6" s="1"/>
  <c r="P282" i="6"/>
  <c r="K288" i="6"/>
  <c r="J288" i="6"/>
  <c r="J275" i="6" s="1"/>
  <c r="I275" i="6"/>
  <c r="K275" i="6" s="1"/>
  <c r="L304" i="6"/>
  <c r="O304" i="6" s="1"/>
  <c r="O306" i="6"/>
  <c r="L331" i="3"/>
  <c r="O331" i="3" s="1"/>
  <c r="L334" i="3"/>
  <c r="O334" i="3" s="1"/>
  <c r="K362" i="3"/>
  <c r="N91" i="4"/>
  <c r="P91" i="4" s="1"/>
  <c r="M424" i="4"/>
  <c r="M421" i="4" s="1"/>
  <c r="M419" i="4" s="1"/>
  <c r="K675" i="4"/>
  <c r="K827" i="4"/>
  <c r="L94" i="5"/>
  <c r="O94" i="5" s="1"/>
  <c r="L231" i="5"/>
  <c r="K369" i="5"/>
  <c r="K651" i="5"/>
  <c r="L657" i="5"/>
  <c r="O657" i="5" s="1"/>
  <c r="O791" i="5"/>
  <c r="N15" i="6"/>
  <c r="M26" i="6"/>
  <c r="M24" i="6" s="1"/>
  <c r="P32" i="6"/>
  <c r="O35" i="6"/>
  <c r="M44" i="6"/>
  <c r="P44" i="6" s="1"/>
  <c r="L23" i="6"/>
  <c r="N47" i="6"/>
  <c r="P54" i="6"/>
  <c r="M68" i="6"/>
  <c r="P68" i="6" s="1"/>
  <c r="O124" i="6"/>
  <c r="M134" i="6"/>
  <c r="L155" i="6"/>
  <c r="O155" i="6" s="1"/>
  <c r="O157" i="6"/>
  <c r="O186" i="6"/>
  <c r="L184" i="6"/>
  <c r="O184" i="6" s="1"/>
  <c r="L267" i="6"/>
  <c r="O267" i="6" s="1"/>
  <c r="O269" i="6"/>
  <c r="P329" i="6"/>
  <c r="N331" i="6"/>
  <c r="O331" i="6" s="1"/>
  <c r="P333" i="6"/>
  <c r="I130" i="2"/>
  <c r="K130" i="2" s="1"/>
  <c r="L231" i="2"/>
  <c r="M68" i="5"/>
  <c r="P68" i="5" s="1"/>
  <c r="M72" i="5"/>
  <c r="P72" i="5" s="1"/>
  <c r="I208" i="5"/>
  <c r="K208" i="5" s="1"/>
  <c r="P12" i="6"/>
  <c r="N19" i="6"/>
  <c r="N12" i="6"/>
  <c r="N26" i="6"/>
  <c r="N34" i="6"/>
  <c r="L43" i="6"/>
  <c r="L55" i="6"/>
  <c r="N68" i="6"/>
  <c r="N66" i="6" s="1"/>
  <c r="P93" i="6"/>
  <c r="O96" i="6"/>
  <c r="L94" i="6"/>
  <c r="O94" i="6" s="1"/>
  <c r="N121" i="6"/>
  <c r="N119" i="6" s="1"/>
  <c r="I131" i="6"/>
  <c r="K131" i="6" s="1"/>
  <c r="O133" i="6"/>
  <c r="O189" i="6"/>
  <c r="L187" i="6"/>
  <c r="O187" i="6" s="1"/>
  <c r="K260" i="6"/>
  <c r="M283" i="6"/>
  <c r="P283" i="6" s="1"/>
  <c r="P285" i="6"/>
  <c r="P346" i="6"/>
  <c r="N348" i="6"/>
  <c r="P350" i="6"/>
  <c r="K360" i="4"/>
  <c r="M121" i="5"/>
  <c r="L301" i="5"/>
  <c r="O301" i="5" s="1"/>
  <c r="M300" i="5"/>
  <c r="M298" i="5" s="1"/>
  <c r="O323" i="5"/>
  <c r="K372" i="5"/>
  <c r="K378" i="5"/>
  <c r="K435" i="5"/>
  <c r="O22" i="6"/>
  <c r="M43" i="6"/>
  <c r="O49" i="6"/>
  <c r="I112" i="6"/>
  <c r="K112" i="6" s="1"/>
  <c r="O170" i="6"/>
  <c r="L168" i="6"/>
  <c r="O168" i="6" s="1"/>
  <c r="N658" i="6"/>
  <c r="O658" i="6" s="1"/>
  <c r="N657" i="6"/>
  <c r="N655" i="6" s="1"/>
  <c r="O655" i="6" s="1"/>
  <c r="I297" i="3"/>
  <c r="K297" i="3" s="1"/>
  <c r="N347" i="3"/>
  <c r="N345" i="3" s="1"/>
  <c r="N121" i="4"/>
  <c r="N119" i="4" s="1"/>
  <c r="M151" i="4"/>
  <c r="P151" i="4" s="1"/>
  <c r="N263" i="4"/>
  <c r="I433" i="4"/>
  <c r="I417" i="4" s="1"/>
  <c r="P282" i="5"/>
  <c r="P301" i="5"/>
  <c r="L391" i="5"/>
  <c r="O391" i="5" s="1"/>
  <c r="N55" i="6"/>
  <c r="O173" i="6"/>
  <c r="L171" i="6"/>
  <c r="O171" i="6" s="1"/>
  <c r="M279" i="6"/>
  <c r="L300" i="6"/>
  <c r="O394" i="6"/>
  <c r="L391" i="6"/>
  <c r="O391" i="6" s="1"/>
  <c r="N395" i="6"/>
  <c r="P403" i="6"/>
  <c r="L404" i="6"/>
  <c r="O410" i="6"/>
  <c r="L408" i="6"/>
  <c r="O408" i="6" s="1"/>
  <c r="N422" i="6"/>
  <c r="O422" i="6" s="1"/>
  <c r="N421" i="6"/>
  <c r="N419" i="6" s="1"/>
  <c r="M187" i="3"/>
  <c r="P187" i="3" s="1"/>
  <c r="I276" i="3"/>
  <c r="K276" i="3" s="1"/>
  <c r="L167" i="4"/>
  <c r="L165" i="4" s="1"/>
  <c r="I275" i="4"/>
  <c r="K275" i="4" s="1"/>
  <c r="M405" i="4"/>
  <c r="P405" i="4" s="1"/>
  <c r="O528" i="4"/>
  <c r="K672" i="4"/>
  <c r="N90" i="5"/>
  <c r="M90" i="5"/>
  <c r="M88" i="5" s="1"/>
  <c r="L122" i="5"/>
  <c r="O122" i="5" s="1"/>
  <c r="N121" i="5"/>
  <c r="N119" i="5" s="1"/>
  <c r="M330" i="5"/>
  <c r="M328" i="5" s="1"/>
  <c r="K362" i="5"/>
  <c r="L392" i="5"/>
  <c r="O392" i="5" s="1"/>
  <c r="M395" i="5"/>
  <c r="P395" i="5" s="1"/>
  <c r="M405" i="5"/>
  <c r="P405" i="5" s="1"/>
  <c r="N404" i="5"/>
  <c r="N402" i="5" s="1"/>
  <c r="I443" i="5"/>
  <c r="K443" i="5" s="1"/>
  <c r="M9" i="6"/>
  <c r="M23" i="6"/>
  <c r="P25" i="6"/>
  <c r="P58" i="6"/>
  <c r="M69" i="6"/>
  <c r="P69" i="6" s="1"/>
  <c r="O93" i="6"/>
  <c r="L91" i="6"/>
  <c r="O91" i="6" s="1"/>
  <c r="K99" i="6"/>
  <c r="O127" i="6"/>
  <c r="N151" i="6"/>
  <c r="N149" i="6" s="1"/>
  <c r="L152" i="6"/>
  <c r="O152" i="6" s="1"/>
  <c r="O154" i="6"/>
  <c r="K193" i="6"/>
  <c r="I190" i="6"/>
  <c r="K190" i="6" s="1"/>
  <c r="N227" i="6"/>
  <c r="L263" i="6"/>
  <c r="O278" i="6"/>
  <c r="L301" i="6"/>
  <c r="O301" i="6" s="1"/>
  <c r="O303" i="6"/>
  <c r="L392" i="6"/>
  <c r="O392" i="6" s="1"/>
  <c r="K822" i="5"/>
  <c r="K828" i="5"/>
  <c r="P166" i="6"/>
  <c r="I174" i="6"/>
  <c r="P182" i="6"/>
  <c r="P316" i="6"/>
  <c r="L318" i="6"/>
  <c r="O318" i="6" s="1"/>
  <c r="L321" i="6"/>
  <c r="O321" i="6" s="1"/>
  <c r="O333" i="6"/>
  <c r="K369" i="6"/>
  <c r="P390" i="6"/>
  <c r="O424" i="6"/>
  <c r="L446" i="6"/>
  <c r="K649" i="6"/>
  <c r="P656" i="6"/>
  <c r="P755" i="6"/>
  <c r="M754" i="6"/>
  <c r="P754" i="6" s="1"/>
  <c r="P807" i="6"/>
  <c r="M805" i="6"/>
  <c r="P805" i="6" s="1"/>
  <c r="N544" i="6"/>
  <c r="J592" i="6"/>
  <c r="K592" i="6" s="1"/>
  <c r="K593" i="6"/>
  <c r="I785" i="6"/>
  <c r="K785" i="6" s="1"/>
  <c r="K800" i="6"/>
  <c r="O806" i="6"/>
  <c r="L805" i="6"/>
  <c r="O805" i="6" s="1"/>
  <c r="K360" i="6"/>
  <c r="L429" i="6"/>
  <c r="O429" i="6" s="1"/>
  <c r="L421" i="6"/>
  <c r="I443" i="6"/>
  <c r="K443" i="6" s="1"/>
  <c r="P472" i="6"/>
  <c r="O472" i="6"/>
  <c r="N469" i="6"/>
  <c r="N470" i="6"/>
  <c r="L547" i="6"/>
  <c r="O547" i="6" s="1"/>
  <c r="O549" i="6"/>
  <c r="M549" i="6"/>
  <c r="L632" i="6"/>
  <c r="O634" i="6"/>
  <c r="M634" i="6"/>
  <c r="P690" i="6"/>
  <c r="N687" i="6"/>
  <c r="O690" i="6"/>
  <c r="N688" i="6"/>
  <c r="K146" i="6"/>
  <c r="P503" i="6"/>
  <c r="M502" i="6"/>
  <c r="P502" i="6" s="1"/>
  <c r="N546" i="6"/>
  <c r="N547" i="6"/>
  <c r="N631" i="6"/>
  <c r="N629" i="6" s="1"/>
  <c r="N632" i="6"/>
  <c r="O660" i="6"/>
  <c r="J654" i="6"/>
  <c r="K669" i="6"/>
  <c r="P738" i="6"/>
  <c r="M737" i="6"/>
  <c r="P737" i="6" s="1"/>
  <c r="P771" i="6"/>
  <c r="M770" i="6"/>
  <c r="P770" i="6" s="1"/>
  <c r="P788" i="6"/>
  <c r="M786" i="6"/>
  <c r="P786" i="6" s="1"/>
  <c r="I197" i="6"/>
  <c r="K197" i="6" s="1"/>
  <c r="I237" i="6"/>
  <c r="K378" i="6"/>
  <c r="P420" i="6"/>
  <c r="L447" i="6"/>
  <c r="O447" i="6" s="1"/>
  <c r="L546" i="6"/>
  <c r="L631" i="6"/>
  <c r="O787" i="6"/>
  <c r="L786" i="6"/>
  <c r="O786" i="6" s="1"/>
  <c r="L469" i="6"/>
  <c r="O791" i="6"/>
  <c r="I442" i="6"/>
  <c r="K442" i="6" s="1"/>
  <c r="L477" i="6"/>
  <c r="O477" i="6" s="1"/>
  <c r="K365" i="5"/>
  <c r="I364" i="5"/>
  <c r="P394" i="5"/>
  <c r="M391" i="5"/>
  <c r="P391" i="5" s="1"/>
  <c r="M392" i="5"/>
  <c r="P392" i="5" s="1"/>
  <c r="N404" i="2"/>
  <c r="N402" i="2" s="1"/>
  <c r="P49" i="5"/>
  <c r="M47" i="5"/>
  <c r="P47" i="5" s="1"/>
  <c r="N55" i="5"/>
  <c r="N53" i="5" s="1"/>
  <c r="O58" i="5"/>
  <c r="N56" i="5"/>
  <c r="O56" i="5" s="1"/>
  <c r="L23" i="5"/>
  <c r="L21" i="5" s="1"/>
  <c r="I77" i="5"/>
  <c r="K82" i="5"/>
  <c r="L171" i="5"/>
  <c r="O171" i="5" s="1"/>
  <c r="L167" i="5"/>
  <c r="L165" i="5" s="1"/>
  <c r="L318" i="5"/>
  <c r="O318" i="5" s="1"/>
  <c r="L317" i="5"/>
  <c r="O317" i="5" s="1"/>
  <c r="L639" i="5"/>
  <c r="O639" i="5" s="1"/>
  <c r="L631" i="5"/>
  <c r="L629" i="5" s="1"/>
  <c r="O629" i="5" s="1"/>
  <c r="O641" i="5"/>
  <c r="J288" i="5"/>
  <c r="J275" i="5" s="1"/>
  <c r="K288" i="5"/>
  <c r="O333" i="5"/>
  <c r="L330" i="5"/>
  <c r="N152" i="2"/>
  <c r="P152" i="2" s="1"/>
  <c r="L405" i="2"/>
  <c r="O405" i="2" s="1"/>
  <c r="P61" i="3"/>
  <c r="P61" i="4"/>
  <c r="M59" i="4"/>
  <c r="P59" i="4" s="1"/>
  <c r="N280" i="4"/>
  <c r="N279" i="4"/>
  <c r="N277" i="4" s="1"/>
  <c r="N23" i="5"/>
  <c r="N21" i="5" s="1"/>
  <c r="M44" i="5"/>
  <c r="P44" i="5" s="1"/>
  <c r="M43" i="5"/>
  <c r="M41" i="5" s="1"/>
  <c r="L68" i="5"/>
  <c r="O68" i="5" s="1"/>
  <c r="O125" i="5"/>
  <c r="K164" i="5"/>
  <c r="K204" i="5"/>
  <c r="I197" i="5"/>
  <c r="K197" i="5" s="1"/>
  <c r="P269" i="5"/>
  <c r="M267" i="5"/>
  <c r="P267" i="5" s="1"/>
  <c r="N334" i="5"/>
  <c r="N330" i="5"/>
  <c r="N328" i="5" s="1"/>
  <c r="P353" i="5"/>
  <c r="M347" i="5"/>
  <c r="M351" i="5"/>
  <c r="P351" i="5" s="1"/>
  <c r="O456" i="5"/>
  <c r="L454" i="5"/>
  <c r="O454" i="5" s="1"/>
  <c r="M472" i="5"/>
  <c r="M469" i="5" s="1"/>
  <c r="P469" i="5" s="1"/>
  <c r="L33" i="5"/>
  <c r="L31" i="5" s="1"/>
  <c r="O31" i="5" s="1"/>
  <c r="L546" i="5"/>
  <c r="L544" i="5" s="1"/>
  <c r="L555" i="5"/>
  <c r="O555" i="5" s="1"/>
  <c r="K146" i="5"/>
  <c r="I130" i="5"/>
  <c r="K130" i="5" s="1"/>
  <c r="L283" i="5"/>
  <c r="O283" i="5" s="1"/>
  <c r="L279" i="5"/>
  <c r="O279" i="5" s="1"/>
  <c r="L44" i="4"/>
  <c r="O44" i="4" s="1"/>
  <c r="L43" i="4"/>
  <c r="O58" i="4"/>
  <c r="M279" i="4"/>
  <c r="P279" i="4" s="1"/>
  <c r="M317" i="4"/>
  <c r="M315" i="4" s="1"/>
  <c r="P315" i="4" s="1"/>
  <c r="P320" i="4"/>
  <c r="K115" i="5"/>
  <c r="I112" i="5"/>
  <c r="K112" i="5" s="1"/>
  <c r="M135" i="5"/>
  <c r="P135" i="5" s="1"/>
  <c r="M138" i="5"/>
  <c r="P138" i="5" s="1"/>
  <c r="N167" i="5"/>
  <c r="N165" i="5" s="1"/>
  <c r="O170" i="5"/>
  <c r="N168" i="5"/>
  <c r="O168" i="5" s="1"/>
  <c r="M264" i="5"/>
  <c r="P264" i="5" s="1"/>
  <c r="M263" i="5"/>
  <c r="M261" i="5" s="1"/>
  <c r="O285" i="5"/>
  <c r="N300" i="5"/>
  <c r="K309" i="5"/>
  <c r="I297" i="5"/>
  <c r="K297" i="5" s="1"/>
  <c r="N348" i="5"/>
  <c r="N347" i="5"/>
  <c r="N345" i="5" s="1"/>
  <c r="K374" i="5"/>
  <c r="I86" i="2"/>
  <c r="K86" i="2" s="1"/>
  <c r="N348" i="3"/>
  <c r="O348" i="3" s="1"/>
  <c r="P137" i="4"/>
  <c r="M134" i="4"/>
  <c r="P134" i="4" s="1"/>
  <c r="L155" i="4"/>
  <c r="O155" i="4" s="1"/>
  <c r="L26" i="4"/>
  <c r="P410" i="4"/>
  <c r="M408" i="4"/>
  <c r="P408" i="4" s="1"/>
  <c r="L36" i="4"/>
  <c r="O36" i="4" s="1"/>
  <c r="M69" i="5"/>
  <c r="P69" i="5" s="1"/>
  <c r="I86" i="5"/>
  <c r="K86" i="5" s="1"/>
  <c r="K98" i="5"/>
  <c r="K111" i="5"/>
  <c r="O173" i="5"/>
  <c r="K271" i="5"/>
  <c r="I260" i="5"/>
  <c r="K260" i="5" s="1"/>
  <c r="P303" i="5"/>
  <c r="O320" i="5"/>
  <c r="L446" i="5"/>
  <c r="O446" i="5" s="1"/>
  <c r="O690" i="5"/>
  <c r="L688" i="5"/>
  <c r="O688" i="5" s="1"/>
  <c r="J721" i="5"/>
  <c r="I190" i="3"/>
  <c r="K190" i="3" s="1"/>
  <c r="K193" i="3"/>
  <c r="M69" i="4"/>
  <c r="P69" i="4" s="1"/>
  <c r="M68" i="4"/>
  <c r="P68" i="4" s="1"/>
  <c r="P285" i="4"/>
  <c r="M283" i="4"/>
  <c r="P283" i="4" s="1"/>
  <c r="O431" i="5"/>
  <c r="L429" i="5"/>
  <c r="O429" i="5" s="1"/>
  <c r="L421" i="5"/>
  <c r="O421" i="5" s="1"/>
  <c r="O528" i="5"/>
  <c r="L525" i="5"/>
  <c r="O525" i="5" s="1"/>
  <c r="L526" i="5"/>
  <c r="O526" i="5" s="1"/>
  <c r="K826" i="1"/>
  <c r="M138" i="2"/>
  <c r="P138" i="2" s="1"/>
  <c r="N55" i="3"/>
  <c r="N53" i="3" s="1"/>
  <c r="M321" i="4"/>
  <c r="P321" i="4" s="1"/>
  <c r="N404" i="4"/>
  <c r="N402" i="4" s="1"/>
  <c r="O61" i="5"/>
  <c r="L55" i="5"/>
  <c r="O91" i="5"/>
  <c r="K359" i="5"/>
  <c r="K370" i="5"/>
  <c r="J722" i="5"/>
  <c r="O59" i="3"/>
  <c r="L167" i="3"/>
  <c r="O167" i="3" s="1"/>
  <c r="J721" i="3"/>
  <c r="N167" i="4"/>
  <c r="N165" i="4" s="1"/>
  <c r="L229" i="4"/>
  <c r="N330" i="4"/>
  <c r="N328" i="4" s="1"/>
  <c r="L391" i="4"/>
  <c r="O391" i="4" s="1"/>
  <c r="I654" i="4"/>
  <c r="K654" i="4" s="1"/>
  <c r="K828" i="4"/>
  <c r="K176" i="5"/>
  <c r="N184" i="5"/>
  <c r="O186" i="5"/>
  <c r="L209" i="5"/>
  <c r="O209" i="5" s="1"/>
  <c r="N280" i="5"/>
  <c r="M331" i="5"/>
  <c r="P331" i="5" s="1"/>
  <c r="K355" i="5"/>
  <c r="K360" i="5"/>
  <c r="N392" i="5"/>
  <c r="L395" i="5"/>
  <c r="O395" i="5" s="1"/>
  <c r="L404" i="5"/>
  <c r="O404" i="5" s="1"/>
  <c r="O549" i="5"/>
  <c r="K594" i="5"/>
  <c r="K649" i="5"/>
  <c r="K675" i="5"/>
  <c r="K821" i="5"/>
  <c r="K824" i="5"/>
  <c r="K827" i="5"/>
  <c r="M347" i="4"/>
  <c r="M345" i="4" s="1"/>
  <c r="O350" i="5"/>
  <c r="K379" i="5"/>
  <c r="L547" i="5"/>
  <c r="O634" i="5"/>
  <c r="I654" i="5"/>
  <c r="K654" i="5" s="1"/>
  <c r="L134" i="3"/>
  <c r="L132" i="3" s="1"/>
  <c r="K560" i="3"/>
  <c r="J722" i="3"/>
  <c r="N43" i="4"/>
  <c r="N41" i="4" s="1"/>
  <c r="N68" i="4"/>
  <c r="N66" i="4" s="1"/>
  <c r="P93" i="4"/>
  <c r="L330" i="4"/>
  <c r="L328" i="4" s="1"/>
  <c r="K340" i="4"/>
  <c r="K594" i="4"/>
  <c r="N317" i="5"/>
  <c r="N315" i="5" s="1"/>
  <c r="K327" i="5"/>
  <c r="P350" i="5"/>
  <c r="O353" i="5"/>
  <c r="O632" i="5"/>
  <c r="L658" i="5"/>
  <c r="O658" i="5" s="1"/>
  <c r="K672" i="5"/>
  <c r="K647" i="2"/>
  <c r="O157" i="4"/>
  <c r="O394" i="4"/>
  <c r="P9" i="5"/>
  <c r="O12" i="5"/>
  <c r="L47" i="5"/>
  <c r="O47" i="5" s="1"/>
  <c r="O49" i="5"/>
  <c r="L26" i="5"/>
  <c r="L24" i="5" s="1"/>
  <c r="O54" i="5"/>
  <c r="M125" i="5"/>
  <c r="P125" i="5" s="1"/>
  <c r="P127" i="5"/>
  <c r="O140" i="5"/>
  <c r="L138" i="5"/>
  <c r="O138" i="5" s="1"/>
  <c r="K145" i="5"/>
  <c r="I143" i="5"/>
  <c r="M155" i="5"/>
  <c r="P155" i="5" s="1"/>
  <c r="P157" i="5"/>
  <c r="L198" i="5"/>
  <c r="O198" i="5" s="1"/>
  <c r="I216" i="5"/>
  <c r="K216" i="5" s="1"/>
  <c r="L249" i="5"/>
  <c r="O249" i="5" s="1"/>
  <c r="P299" i="5"/>
  <c r="L477" i="5"/>
  <c r="O477" i="5" s="1"/>
  <c r="L469" i="5"/>
  <c r="O479" i="5"/>
  <c r="N786" i="5"/>
  <c r="N788" i="5"/>
  <c r="N33" i="5"/>
  <c r="I785" i="5"/>
  <c r="K785" i="5" s="1"/>
  <c r="K800" i="5"/>
  <c r="O806" i="5"/>
  <c r="L805" i="5"/>
  <c r="O805" i="5" s="1"/>
  <c r="J722" i="2"/>
  <c r="M94" i="3"/>
  <c r="P94" i="3" s="1"/>
  <c r="O282" i="3"/>
  <c r="K379" i="3"/>
  <c r="I654" i="3"/>
  <c r="K654" i="3" s="1"/>
  <c r="P58" i="4"/>
  <c r="I87" i="4"/>
  <c r="K87" i="4" s="1"/>
  <c r="I112" i="4"/>
  <c r="K112" i="4" s="1"/>
  <c r="L121" i="4"/>
  <c r="L119" i="4" s="1"/>
  <c r="O119" i="4" s="1"/>
  <c r="M125" i="4"/>
  <c r="P125" i="4" s="1"/>
  <c r="L151" i="4"/>
  <c r="O151" i="4" s="1"/>
  <c r="L168" i="4"/>
  <c r="N183" i="4"/>
  <c r="N181" i="4" s="1"/>
  <c r="I190" i="4"/>
  <c r="K190" i="4" s="1"/>
  <c r="M318" i="4"/>
  <c r="P318" i="4" s="1"/>
  <c r="K359" i="4"/>
  <c r="K374" i="4"/>
  <c r="K379" i="4"/>
  <c r="N408" i="4"/>
  <c r="L631" i="4"/>
  <c r="O631" i="4" s="1"/>
  <c r="J721" i="4"/>
  <c r="O25" i="5"/>
  <c r="L15" i="5"/>
  <c r="N31" i="5"/>
  <c r="N29" i="5"/>
  <c r="L36" i="5"/>
  <c r="P46" i="5"/>
  <c r="M94" i="5"/>
  <c r="P94" i="5" s="1"/>
  <c r="P96" i="5"/>
  <c r="O120" i="5"/>
  <c r="P137" i="5"/>
  <c r="O150" i="5"/>
  <c r="P173" i="5"/>
  <c r="M171" i="5"/>
  <c r="P171" i="5" s="1"/>
  <c r="P189" i="5"/>
  <c r="M187" i="5"/>
  <c r="P187" i="5" s="1"/>
  <c r="N263" i="5"/>
  <c r="O266" i="5"/>
  <c r="L264" i="5"/>
  <c r="O264" i="5" s="1"/>
  <c r="K340" i="2"/>
  <c r="K360" i="2"/>
  <c r="O44" i="3"/>
  <c r="I112" i="3"/>
  <c r="K112" i="3" s="1"/>
  <c r="M121" i="4"/>
  <c r="M119" i="4" s="1"/>
  <c r="P119" i="4" s="1"/>
  <c r="M300" i="4"/>
  <c r="P300" i="4" s="1"/>
  <c r="L657" i="4"/>
  <c r="L655" i="4" s="1"/>
  <c r="O655" i="4" s="1"/>
  <c r="L43" i="5"/>
  <c r="N26" i="5"/>
  <c r="N16" i="5" s="1"/>
  <c r="N47" i="5"/>
  <c r="M23" i="5"/>
  <c r="M21" i="5" s="1"/>
  <c r="M56" i="5"/>
  <c r="P58" i="5"/>
  <c r="N68" i="5"/>
  <c r="N66" i="5" s="1"/>
  <c r="L69" i="5"/>
  <c r="O69" i="5" s="1"/>
  <c r="O71" i="5"/>
  <c r="O89" i="5"/>
  <c r="J87" i="5"/>
  <c r="K87" i="5" s="1"/>
  <c r="K99" i="5"/>
  <c r="L134" i="5"/>
  <c r="I148" i="5"/>
  <c r="K148" i="5" s="1"/>
  <c r="O166" i="5"/>
  <c r="O182" i="5"/>
  <c r="L181" i="5"/>
  <c r="K237" i="5"/>
  <c r="P262" i="5"/>
  <c r="M300" i="3"/>
  <c r="M298" i="3" s="1"/>
  <c r="N15" i="5"/>
  <c r="P67" i="5"/>
  <c r="M122" i="5"/>
  <c r="P122" i="5" s="1"/>
  <c r="P124" i="5"/>
  <c r="M152" i="5"/>
  <c r="P152" i="5" s="1"/>
  <c r="P154" i="5"/>
  <c r="M321" i="5"/>
  <c r="P321" i="5" s="1"/>
  <c r="P323" i="5"/>
  <c r="J543" i="5"/>
  <c r="K543" i="5" s="1"/>
  <c r="K559" i="5"/>
  <c r="N68" i="2"/>
  <c r="N66" i="2" s="1"/>
  <c r="L43" i="3"/>
  <c r="L41" i="3" s="1"/>
  <c r="M55" i="3"/>
  <c r="M53" i="3" s="1"/>
  <c r="L90" i="3"/>
  <c r="L88" i="3" s="1"/>
  <c r="L300" i="3"/>
  <c r="L298" i="3" s="1"/>
  <c r="N26" i="4"/>
  <c r="N16" i="4" s="1"/>
  <c r="N14" i="4" s="1"/>
  <c r="L55" i="4"/>
  <c r="L53" i="4" s="1"/>
  <c r="L122" i="4"/>
  <c r="O122" i="4" s="1"/>
  <c r="M304" i="4"/>
  <c r="P304" i="4" s="1"/>
  <c r="N331" i="4"/>
  <c r="O331" i="4" s="1"/>
  <c r="O333" i="4"/>
  <c r="K369" i="4"/>
  <c r="J364" i="4"/>
  <c r="L546" i="4"/>
  <c r="O546" i="4" s="1"/>
  <c r="O641" i="4"/>
  <c r="K674" i="4"/>
  <c r="J722" i="4"/>
  <c r="K824" i="4"/>
  <c r="P29" i="5"/>
  <c r="P35" i="5"/>
  <c r="M34" i="5"/>
  <c r="P34" i="5" s="1"/>
  <c r="N43" i="5"/>
  <c r="L44" i="5"/>
  <c r="O44" i="5" s="1"/>
  <c r="O46" i="5"/>
  <c r="L72" i="5"/>
  <c r="O72" i="5" s="1"/>
  <c r="O74" i="5"/>
  <c r="M91" i="5"/>
  <c r="P91" i="5" s="1"/>
  <c r="P93" i="5"/>
  <c r="N134" i="5"/>
  <c r="O137" i="5"/>
  <c r="L135" i="5"/>
  <c r="O135" i="5" s="1"/>
  <c r="J143" i="5"/>
  <c r="J131" i="5" s="1"/>
  <c r="P170" i="5"/>
  <c r="M168" i="5"/>
  <c r="P186" i="5"/>
  <c r="M184" i="5"/>
  <c r="I233" i="5"/>
  <c r="K233" i="5" s="1"/>
  <c r="K244" i="5"/>
  <c r="P266" i="5"/>
  <c r="I276" i="5"/>
  <c r="K276" i="5" s="1"/>
  <c r="M317" i="5"/>
  <c r="P317" i="5" s="1"/>
  <c r="O336" i="5"/>
  <c r="L334" i="5"/>
  <c r="O334" i="5" s="1"/>
  <c r="M59" i="2"/>
  <c r="P59" i="2" s="1"/>
  <c r="L267" i="2"/>
  <c r="O267" i="2" s="1"/>
  <c r="P269" i="2"/>
  <c r="K374" i="2"/>
  <c r="L470" i="2"/>
  <c r="O470" i="2" s="1"/>
  <c r="O472" i="2"/>
  <c r="M304" i="3"/>
  <c r="P304" i="3" s="1"/>
  <c r="K372" i="3"/>
  <c r="L391" i="3"/>
  <c r="O391" i="3" s="1"/>
  <c r="K821" i="3"/>
  <c r="K824" i="3"/>
  <c r="K827" i="3"/>
  <c r="L47" i="4"/>
  <c r="O47" i="4" s="1"/>
  <c r="M55" i="4"/>
  <c r="M53" i="4" s="1"/>
  <c r="N151" i="4"/>
  <c r="N149" i="4" s="1"/>
  <c r="L317" i="4"/>
  <c r="L315" i="4" s="1"/>
  <c r="O315" i="4" s="1"/>
  <c r="L334" i="4"/>
  <c r="O334" i="4" s="1"/>
  <c r="O336" i="4"/>
  <c r="K370" i="4"/>
  <c r="K378" i="4"/>
  <c r="K381" i="4"/>
  <c r="L392" i="4"/>
  <c r="O392" i="4" s="1"/>
  <c r="N391" i="4"/>
  <c r="N389" i="4" s="1"/>
  <c r="L469" i="4"/>
  <c r="L467" i="4" s="1"/>
  <c r="K669" i="4"/>
  <c r="K822" i="4"/>
  <c r="N12" i="5"/>
  <c r="P15" i="5"/>
  <c r="P22" i="5"/>
  <c r="M26" i="5"/>
  <c r="O32" i="5"/>
  <c r="L29" i="5"/>
  <c r="P42" i="5"/>
  <c r="M55" i="5"/>
  <c r="O59" i="5"/>
  <c r="M59" i="5"/>
  <c r="P59" i="5" s="1"/>
  <c r="P61" i="5"/>
  <c r="P133" i="5"/>
  <c r="L217" i="5"/>
  <c r="O217" i="5" s="1"/>
  <c r="L238" i="5"/>
  <c r="L263" i="5"/>
  <c r="L228" i="5"/>
  <c r="L267" i="5"/>
  <c r="O267" i="5" s="1"/>
  <c r="O424" i="5"/>
  <c r="O524" i="5"/>
  <c r="L523" i="5"/>
  <c r="O523" i="5" s="1"/>
  <c r="J537" i="5"/>
  <c r="J522" i="5" s="1"/>
  <c r="K539" i="5"/>
  <c r="P738" i="5"/>
  <c r="M737" i="5"/>
  <c r="P737" i="5" s="1"/>
  <c r="N421" i="5"/>
  <c r="N419" i="5" s="1"/>
  <c r="N422" i="5"/>
  <c r="I592" i="5"/>
  <c r="K592" i="5" s="1"/>
  <c r="K593" i="5"/>
  <c r="N737" i="5"/>
  <c r="I275" i="5"/>
  <c r="K275" i="5" s="1"/>
  <c r="P316" i="5"/>
  <c r="M318" i="5"/>
  <c r="P318" i="5" s="1"/>
  <c r="P320" i="5"/>
  <c r="L331" i="5"/>
  <c r="O331" i="5" s="1"/>
  <c r="P468" i="5"/>
  <c r="M546" i="5"/>
  <c r="M547" i="5"/>
  <c r="P549" i="5"/>
  <c r="O630" i="5"/>
  <c r="P771" i="5"/>
  <c r="M770" i="5"/>
  <c r="P770" i="5" s="1"/>
  <c r="O422" i="5"/>
  <c r="N467" i="5"/>
  <c r="O787" i="5"/>
  <c r="I442" i="5"/>
  <c r="K442" i="5" s="1"/>
  <c r="K460" i="5"/>
  <c r="N470" i="5"/>
  <c r="O472" i="5"/>
  <c r="N546" i="5"/>
  <c r="N547" i="5"/>
  <c r="O686" i="5"/>
  <c r="L685" i="5"/>
  <c r="O685" i="5" s="1"/>
  <c r="P755" i="5"/>
  <c r="M754" i="5"/>
  <c r="P754" i="5" s="1"/>
  <c r="M424" i="5"/>
  <c r="I434" i="5"/>
  <c r="N505" i="5"/>
  <c r="M523" i="5"/>
  <c r="P523" i="5" s="1"/>
  <c r="O557" i="5"/>
  <c r="M685" i="5"/>
  <c r="P685" i="5" s="1"/>
  <c r="M786" i="5"/>
  <c r="P786" i="5" s="1"/>
  <c r="M805" i="5"/>
  <c r="P805" i="5" s="1"/>
  <c r="L470" i="5"/>
  <c r="L502" i="5"/>
  <c r="O502" i="5" s="1"/>
  <c r="K537" i="5"/>
  <c r="K576" i="5"/>
  <c r="M502" i="5"/>
  <c r="P502" i="5" s="1"/>
  <c r="P555" i="5"/>
  <c r="I628" i="5"/>
  <c r="K628" i="5" s="1"/>
  <c r="K669" i="5"/>
  <c r="I164" i="4"/>
  <c r="K164" i="4" s="1"/>
  <c r="K174" i="4"/>
  <c r="I297" i="2"/>
  <c r="K297" i="2" s="1"/>
  <c r="M405" i="2"/>
  <c r="P405" i="2" s="1"/>
  <c r="L447" i="2"/>
  <c r="O447" i="2" s="1"/>
  <c r="N134" i="3"/>
  <c r="N132" i="3" s="1"/>
  <c r="N167" i="3"/>
  <c r="N165" i="3" s="1"/>
  <c r="N47" i="4"/>
  <c r="I86" i="4"/>
  <c r="K86" i="4" s="1"/>
  <c r="L132" i="4"/>
  <c r="O132" i="4" s="1"/>
  <c r="N184" i="4"/>
  <c r="O184" i="4" s="1"/>
  <c r="O186" i="4"/>
  <c r="L217" i="4"/>
  <c r="O217" i="4" s="1"/>
  <c r="L231" i="4"/>
  <c r="K287" i="4"/>
  <c r="I628" i="4"/>
  <c r="K628" i="4" s="1"/>
  <c r="M125" i="2"/>
  <c r="P125" i="2" s="1"/>
  <c r="N405" i="2"/>
  <c r="O791" i="2"/>
  <c r="L72" i="3"/>
  <c r="O72" i="3" s="1"/>
  <c r="K145" i="3"/>
  <c r="P157" i="3"/>
  <c r="J327" i="3"/>
  <c r="K327" i="3" s="1"/>
  <c r="K460" i="3"/>
  <c r="L788" i="3"/>
  <c r="O788" i="3" s="1"/>
  <c r="L33" i="4"/>
  <c r="L31" i="4" s="1"/>
  <c r="L69" i="4"/>
  <c r="O69" i="4" s="1"/>
  <c r="N168" i="4"/>
  <c r="O170" i="4"/>
  <c r="L187" i="4"/>
  <c r="O187" i="4" s="1"/>
  <c r="I233" i="4"/>
  <c r="K233" i="4" s="1"/>
  <c r="L264" i="4"/>
  <c r="O264" i="4" s="1"/>
  <c r="N317" i="4"/>
  <c r="N315" i="4" s="1"/>
  <c r="O479" i="4"/>
  <c r="L230" i="2"/>
  <c r="L94" i="3"/>
  <c r="O94" i="3" s="1"/>
  <c r="M121" i="3"/>
  <c r="P121" i="3" s="1"/>
  <c r="O140" i="3"/>
  <c r="L231" i="3"/>
  <c r="K255" i="3"/>
  <c r="O306" i="3"/>
  <c r="L546" i="3"/>
  <c r="L544" i="3" s="1"/>
  <c r="L23" i="4"/>
  <c r="N55" i="4"/>
  <c r="L72" i="4"/>
  <c r="O72" i="4" s="1"/>
  <c r="L90" i="4"/>
  <c r="O93" i="4"/>
  <c r="M135" i="4"/>
  <c r="P135" i="4" s="1"/>
  <c r="I148" i="4"/>
  <c r="K148" i="4" s="1"/>
  <c r="L152" i="4"/>
  <c r="O152" i="4" s="1"/>
  <c r="L171" i="4"/>
  <c r="O171" i="4" s="1"/>
  <c r="K176" i="4"/>
  <c r="L183" i="4"/>
  <c r="L198" i="4"/>
  <c r="O198" i="4" s="1"/>
  <c r="L209" i="4"/>
  <c r="O209" i="4" s="1"/>
  <c r="K244" i="4"/>
  <c r="O266" i="4"/>
  <c r="M280" i="4"/>
  <c r="P280" i="4" s="1"/>
  <c r="J288" i="4"/>
  <c r="J275" i="4" s="1"/>
  <c r="L301" i="4"/>
  <c r="O301" i="4" s="1"/>
  <c r="K325" i="4"/>
  <c r="P336" i="4"/>
  <c r="L395" i="4"/>
  <c r="O395" i="4" s="1"/>
  <c r="K460" i="4"/>
  <c r="L632" i="4"/>
  <c r="O632" i="4" s="1"/>
  <c r="L152" i="2"/>
  <c r="O152" i="2" s="1"/>
  <c r="I314" i="2"/>
  <c r="K314" i="2" s="1"/>
  <c r="N391" i="2"/>
  <c r="N389" i="2" s="1"/>
  <c r="I433" i="2"/>
  <c r="I417" i="2" s="1"/>
  <c r="M59" i="3"/>
  <c r="P59" i="3" s="1"/>
  <c r="M122" i="3"/>
  <c r="P122" i="3" s="1"/>
  <c r="P140" i="3"/>
  <c r="I208" i="3"/>
  <c r="K208" i="3" s="1"/>
  <c r="M267" i="3"/>
  <c r="P267" i="3" s="1"/>
  <c r="L525" i="3"/>
  <c r="O525" i="3" s="1"/>
  <c r="K577" i="3"/>
  <c r="P44" i="4"/>
  <c r="I76" i="4"/>
  <c r="K76" i="4" s="1"/>
  <c r="M90" i="4"/>
  <c r="L94" i="4"/>
  <c r="O94" i="4" s="1"/>
  <c r="M138" i="4"/>
  <c r="P138" i="4" s="1"/>
  <c r="O154" i="4"/>
  <c r="I208" i="4"/>
  <c r="K208" i="4" s="1"/>
  <c r="I260" i="4"/>
  <c r="K260" i="4" s="1"/>
  <c r="L267" i="4"/>
  <c r="O267" i="4" s="1"/>
  <c r="N300" i="4"/>
  <c r="N298" i="4" s="1"/>
  <c r="L347" i="4"/>
  <c r="L345" i="4" s="1"/>
  <c r="O350" i="4"/>
  <c r="O353" i="4"/>
  <c r="K355" i="4"/>
  <c r="O470" i="4"/>
  <c r="K821" i="4"/>
  <c r="O320" i="2"/>
  <c r="K338" i="2"/>
  <c r="L347" i="2"/>
  <c r="L345" i="2" s="1"/>
  <c r="K362" i="2"/>
  <c r="O71" i="3"/>
  <c r="L125" i="3"/>
  <c r="O125" i="3" s="1"/>
  <c r="P137" i="3"/>
  <c r="P333" i="3"/>
  <c r="L68" i="4"/>
  <c r="O68" i="4" s="1"/>
  <c r="J143" i="4"/>
  <c r="J131" i="4" s="1"/>
  <c r="M183" i="4"/>
  <c r="M181" i="4" s="1"/>
  <c r="I237" i="4"/>
  <c r="K237" i="4" s="1"/>
  <c r="L230" i="4"/>
  <c r="L279" i="4"/>
  <c r="J327" i="4"/>
  <c r="K327" i="4" s="1"/>
  <c r="K372" i="4"/>
  <c r="K559" i="4"/>
  <c r="N29" i="4"/>
  <c r="M168" i="4"/>
  <c r="P170" i="4"/>
  <c r="K540" i="4"/>
  <c r="J537" i="4"/>
  <c r="J522" i="4" s="1"/>
  <c r="L55" i="2"/>
  <c r="M279" i="2"/>
  <c r="M277" i="2" s="1"/>
  <c r="K649" i="2"/>
  <c r="M68" i="3"/>
  <c r="I77" i="3"/>
  <c r="K77" i="3" s="1"/>
  <c r="P93" i="3"/>
  <c r="L122" i="3"/>
  <c r="O122" i="3" s="1"/>
  <c r="I260" i="3"/>
  <c r="K260" i="3" s="1"/>
  <c r="L280" i="3"/>
  <c r="O280" i="3" s="1"/>
  <c r="P306" i="3"/>
  <c r="M404" i="3"/>
  <c r="P404" i="3" s="1"/>
  <c r="M424" i="3"/>
  <c r="P424" i="3" s="1"/>
  <c r="M472" i="3"/>
  <c r="P472" i="3" s="1"/>
  <c r="M528" i="3"/>
  <c r="M526" i="3" s="1"/>
  <c r="P526" i="3" s="1"/>
  <c r="K576" i="3"/>
  <c r="O641" i="3"/>
  <c r="L12" i="4"/>
  <c r="O15" i="4"/>
  <c r="L19" i="4"/>
  <c r="O22" i="4"/>
  <c r="M26" i="4"/>
  <c r="M24" i="4" s="1"/>
  <c r="O29" i="4"/>
  <c r="O35" i="4"/>
  <c r="L41" i="4"/>
  <c r="P54" i="4"/>
  <c r="I77" i="4"/>
  <c r="K82" i="4"/>
  <c r="N134" i="4"/>
  <c r="N132" i="4" s="1"/>
  <c r="L135" i="4"/>
  <c r="O135" i="4" s="1"/>
  <c r="O137" i="4"/>
  <c r="M187" i="4"/>
  <c r="P187" i="4" s="1"/>
  <c r="P189" i="4"/>
  <c r="K255" i="4"/>
  <c r="I248" i="4"/>
  <c r="M267" i="4"/>
  <c r="P267" i="4" s="1"/>
  <c r="P269" i="4"/>
  <c r="M392" i="4"/>
  <c r="P392" i="4" s="1"/>
  <c r="P394" i="4"/>
  <c r="M391" i="4"/>
  <c r="O449" i="4"/>
  <c r="L446" i="4"/>
  <c r="O446" i="4" s="1"/>
  <c r="M449" i="4"/>
  <c r="L447" i="4"/>
  <c r="M43" i="4"/>
  <c r="N422" i="4"/>
  <c r="O422" i="4" s="1"/>
  <c r="N421" i="4"/>
  <c r="O424" i="4"/>
  <c r="L47" i="3"/>
  <c r="O47" i="3" s="1"/>
  <c r="L68" i="3"/>
  <c r="L66" i="3" s="1"/>
  <c r="N68" i="3"/>
  <c r="N66" i="3" s="1"/>
  <c r="M132" i="3"/>
  <c r="M135" i="3"/>
  <c r="P135" i="3" s="1"/>
  <c r="M138" i="3"/>
  <c r="P138" i="3" s="1"/>
  <c r="I148" i="3"/>
  <c r="K148" i="3" s="1"/>
  <c r="I216" i="3"/>
  <c r="K216" i="3" s="1"/>
  <c r="L229" i="3"/>
  <c r="O269" i="3"/>
  <c r="N279" i="3"/>
  <c r="N277" i="3" s="1"/>
  <c r="P320" i="3"/>
  <c r="N330" i="3"/>
  <c r="N328" i="3" s="1"/>
  <c r="L421" i="3"/>
  <c r="L419" i="3" s="1"/>
  <c r="O422" i="3"/>
  <c r="L36" i="3"/>
  <c r="O36" i="3" s="1"/>
  <c r="L526" i="3"/>
  <c r="O526" i="3" s="1"/>
  <c r="J537" i="3"/>
  <c r="J522" i="3" s="1"/>
  <c r="K522" i="3" s="1"/>
  <c r="K559" i="3"/>
  <c r="M12" i="4"/>
  <c r="M19" i="4"/>
  <c r="N33" i="4"/>
  <c r="O46" i="4"/>
  <c r="I130" i="4"/>
  <c r="K130" i="4" s="1"/>
  <c r="P133" i="4"/>
  <c r="M132" i="4"/>
  <c r="P132" i="4" s="1"/>
  <c r="O182" i="4"/>
  <c r="K204" i="4"/>
  <c r="I197" i="4"/>
  <c r="K197" i="4" s="1"/>
  <c r="O262" i="4"/>
  <c r="I522" i="4"/>
  <c r="K522" i="4" s="1"/>
  <c r="K537" i="4"/>
  <c r="P280" i="3"/>
  <c r="P93" i="2"/>
  <c r="P154" i="2"/>
  <c r="P397" i="2"/>
  <c r="L69" i="3"/>
  <c r="L91" i="3"/>
  <c r="O91" i="3" s="1"/>
  <c r="J143" i="3"/>
  <c r="J131" i="3" s="1"/>
  <c r="K131" i="3" s="1"/>
  <c r="L151" i="3"/>
  <c r="L149" i="3" s="1"/>
  <c r="O157" i="3"/>
  <c r="O264" i="3"/>
  <c r="O285" i="3"/>
  <c r="N300" i="3"/>
  <c r="L347" i="3"/>
  <c r="L345" i="3" s="1"/>
  <c r="I433" i="3"/>
  <c r="I417" i="3" s="1"/>
  <c r="N12" i="4"/>
  <c r="P46" i="4"/>
  <c r="P49" i="4"/>
  <c r="N56" i="4"/>
  <c r="P71" i="4"/>
  <c r="P74" i="4"/>
  <c r="L138" i="4"/>
  <c r="O138" i="4" s="1"/>
  <c r="O140" i="4"/>
  <c r="M167" i="4"/>
  <c r="M171" i="4"/>
  <c r="P171" i="4" s="1"/>
  <c r="P173" i="4"/>
  <c r="I216" i="4"/>
  <c r="K216" i="4" s="1"/>
  <c r="L238" i="4"/>
  <c r="L228" i="4"/>
  <c r="L249" i="4"/>
  <c r="O249" i="4" s="1"/>
  <c r="O323" i="4"/>
  <c r="L321" i="4"/>
  <c r="O321" i="4" s="1"/>
  <c r="I434" i="4"/>
  <c r="P545" i="4"/>
  <c r="P278" i="4"/>
  <c r="O329" i="4"/>
  <c r="L59" i="2"/>
  <c r="O59" i="2" s="1"/>
  <c r="P91" i="2"/>
  <c r="I208" i="2"/>
  <c r="K208" i="2" s="1"/>
  <c r="L217" i="2"/>
  <c r="O217" i="2" s="1"/>
  <c r="K651" i="2"/>
  <c r="M263" i="3"/>
  <c r="P263" i="3" s="1"/>
  <c r="J433" i="3"/>
  <c r="J417" i="3" s="1"/>
  <c r="M23" i="4"/>
  <c r="O166" i="4"/>
  <c r="M184" i="4"/>
  <c r="P186" i="4"/>
  <c r="M264" i="4"/>
  <c r="P264" i="4" s="1"/>
  <c r="P266" i="4"/>
  <c r="L789" i="4"/>
  <c r="O789" i="4" s="1"/>
  <c r="L788" i="4"/>
  <c r="O791" i="4"/>
  <c r="O306" i="4"/>
  <c r="L300" i="4"/>
  <c r="O300" i="4" s="1"/>
  <c r="M391" i="2"/>
  <c r="L631" i="2"/>
  <c r="L629" i="2" s="1"/>
  <c r="O629" i="2" s="1"/>
  <c r="L33" i="3"/>
  <c r="O33" i="3" s="1"/>
  <c r="O58" i="3"/>
  <c r="N183" i="3"/>
  <c r="N181" i="3" s="1"/>
  <c r="K325" i="3"/>
  <c r="K338" i="3"/>
  <c r="K381" i="3"/>
  <c r="K823" i="3"/>
  <c r="N23" i="4"/>
  <c r="M94" i="4"/>
  <c r="P94" i="4" s="1"/>
  <c r="P96" i="4"/>
  <c r="O299" i="4"/>
  <c r="P303" i="4"/>
  <c r="M301" i="4"/>
  <c r="P301" i="4" s="1"/>
  <c r="M331" i="4"/>
  <c r="P333" i="4"/>
  <c r="M330" i="4"/>
  <c r="J543" i="4"/>
  <c r="K569" i="4"/>
  <c r="P124" i="4"/>
  <c r="O150" i="4"/>
  <c r="P154" i="4"/>
  <c r="P157" i="4"/>
  <c r="O282" i="4"/>
  <c r="O285" i="4"/>
  <c r="O320" i="4"/>
  <c r="N347" i="4"/>
  <c r="N351" i="4"/>
  <c r="O351" i="4" s="1"/>
  <c r="M351" i="4"/>
  <c r="P353" i="4"/>
  <c r="M404" i="4"/>
  <c r="P404" i="4" s="1"/>
  <c r="O445" i="4"/>
  <c r="M469" i="4"/>
  <c r="M470" i="4"/>
  <c r="P470" i="4" s="1"/>
  <c r="L502" i="4"/>
  <c r="O502" i="4" s="1"/>
  <c r="M523" i="4"/>
  <c r="P523" i="4" s="1"/>
  <c r="L754" i="4"/>
  <c r="O754" i="4" s="1"/>
  <c r="M770" i="4"/>
  <c r="P770" i="4" s="1"/>
  <c r="I785" i="4"/>
  <c r="K785" i="4" s="1"/>
  <c r="K800" i="4"/>
  <c r="L805" i="4"/>
  <c r="O805" i="4" s="1"/>
  <c r="O403" i="4"/>
  <c r="L429" i="4"/>
  <c r="O429" i="4" s="1"/>
  <c r="L421" i="4"/>
  <c r="O549" i="4"/>
  <c r="M549" i="4"/>
  <c r="K576" i="4"/>
  <c r="P787" i="4"/>
  <c r="M786" i="4"/>
  <c r="P786" i="4" s="1"/>
  <c r="N348" i="4"/>
  <c r="O348" i="4" s="1"/>
  <c r="M348" i="4"/>
  <c r="P350" i="4"/>
  <c r="I364" i="4"/>
  <c r="K365" i="4"/>
  <c r="K385" i="4"/>
  <c r="L405" i="4"/>
  <c r="O405" i="4" s="1"/>
  <c r="O431" i="4"/>
  <c r="N444" i="4"/>
  <c r="N447" i="4"/>
  <c r="L454" i="4"/>
  <c r="O454" i="4" s="1"/>
  <c r="O472" i="4"/>
  <c r="P686" i="4"/>
  <c r="M685" i="4"/>
  <c r="P685" i="4" s="1"/>
  <c r="M737" i="4"/>
  <c r="P737" i="4" s="1"/>
  <c r="K823" i="4"/>
  <c r="M395" i="4"/>
  <c r="P395" i="4" s="1"/>
  <c r="P397" i="4"/>
  <c r="P472" i="4"/>
  <c r="P503" i="4"/>
  <c r="M502" i="4"/>
  <c r="P502" i="4" s="1"/>
  <c r="L547" i="4"/>
  <c r="N546" i="4"/>
  <c r="N544" i="4" s="1"/>
  <c r="N547" i="4"/>
  <c r="I592" i="4"/>
  <c r="K592" i="4" s="1"/>
  <c r="K593" i="4"/>
  <c r="O630" i="4"/>
  <c r="P806" i="4"/>
  <c r="M805" i="4"/>
  <c r="P805" i="4" s="1"/>
  <c r="I143" i="4"/>
  <c r="K362" i="4"/>
  <c r="L408" i="4"/>
  <c r="O408" i="4" s="1"/>
  <c r="N469" i="4"/>
  <c r="N502" i="4"/>
  <c r="K543" i="4"/>
  <c r="M629" i="4"/>
  <c r="P629" i="4" s="1"/>
  <c r="N754" i="4"/>
  <c r="J433" i="4"/>
  <c r="J417" i="4" s="1"/>
  <c r="L525" i="4"/>
  <c r="K723" i="1"/>
  <c r="K823" i="1"/>
  <c r="L171" i="2"/>
  <c r="O171" i="2" s="1"/>
  <c r="P282" i="2"/>
  <c r="K465" i="2"/>
  <c r="L525" i="2"/>
  <c r="O525" i="2" s="1"/>
  <c r="L26" i="3"/>
  <c r="L24" i="3" s="1"/>
  <c r="L56" i="3"/>
  <c r="O56" i="3" s="1"/>
  <c r="O61" i="3"/>
  <c r="N69" i="3"/>
  <c r="M91" i="3"/>
  <c r="P91" i="3" s="1"/>
  <c r="M26" i="3"/>
  <c r="M16" i="3" s="1"/>
  <c r="N187" i="3"/>
  <c r="M264" i="3"/>
  <c r="P264" i="3" s="1"/>
  <c r="L279" i="3"/>
  <c r="L277" i="3" s="1"/>
  <c r="P285" i="3"/>
  <c r="M330" i="3"/>
  <c r="M334" i="3"/>
  <c r="P334" i="3" s="1"/>
  <c r="O351" i="3"/>
  <c r="K359" i="3"/>
  <c r="M405" i="3"/>
  <c r="P405" i="3" s="1"/>
  <c r="P407" i="3"/>
  <c r="K561" i="3"/>
  <c r="L657" i="3"/>
  <c r="O657" i="3" s="1"/>
  <c r="L94" i="2"/>
  <c r="O94" i="2" s="1"/>
  <c r="O186" i="2"/>
  <c r="I190" i="2"/>
  <c r="K190" i="2" s="1"/>
  <c r="M280" i="2"/>
  <c r="K369" i="2"/>
  <c r="K372" i="2"/>
  <c r="O49" i="3"/>
  <c r="M56" i="3"/>
  <c r="P56" i="3" s="1"/>
  <c r="P58" i="3"/>
  <c r="M151" i="3"/>
  <c r="M149" i="3" s="1"/>
  <c r="M168" i="3"/>
  <c r="P168" i="3" s="1"/>
  <c r="O266" i="3"/>
  <c r="M279" i="3"/>
  <c r="M317" i="3"/>
  <c r="M315" i="3" s="1"/>
  <c r="K355" i="3"/>
  <c r="K385" i="3"/>
  <c r="M408" i="3"/>
  <c r="P408" i="3" s="1"/>
  <c r="K651" i="3"/>
  <c r="K674" i="3"/>
  <c r="O791" i="3"/>
  <c r="L33" i="2"/>
  <c r="O33" i="2" s="1"/>
  <c r="L23" i="3"/>
  <c r="L55" i="3"/>
  <c r="L121" i="3"/>
  <c r="L217" i="3"/>
  <c r="O217" i="3" s="1"/>
  <c r="P266" i="3"/>
  <c r="P282" i="3"/>
  <c r="K314" i="3"/>
  <c r="N317" i="3"/>
  <c r="N315" i="3" s="1"/>
  <c r="K360" i="3"/>
  <c r="O431" i="3"/>
  <c r="K568" i="3"/>
  <c r="I77" i="2"/>
  <c r="I65" i="2" s="1"/>
  <c r="K65" i="2" s="1"/>
  <c r="N121" i="2"/>
  <c r="N119" i="2" s="1"/>
  <c r="N263" i="2"/>
  <c r="N261" i="2" s="1"/>
  <c r="K365" i="2"/>
  <c r="I86" i="3"/>
  <c r="K86" i="3" s="1"/>
  <c r="M183" i="3"/>
  <c r="M181" i="3" s="1"/>
  <c r="P186" i="3"/>
  <c r="L230" i="3"/>
  <c r="L263" i="3"/>
  <c r="L261" i="3" s="1"/>
  <c r="J275" i="3"/>
  <c r="O323" i="3"/>
  <c r="K378" i="3"/>
  <c r="L43" i="2"/>
  <c r="L41" i="2" s="1"/>
  <c r="K379" i="2"/>
  <c r="M90" i="3"/>
  <c r="M88" i="3" s="1"/>
  <c r="I233" i="3"/>
  <c r="K233" i="3" s="1"/>
  <c r="K340" i="3"/>
  <c r="K370" i="3"/>
  <c r="N391" i="3"/>
  <c r="N389" i="3" s="1"/>
  <c r="N404" i="3"/>
  <c r="N402" i="3" s="1"/>
  <c r="K822" i="3"/>
  <c r="K828" i="3"/>
  <c r="N134" i="2"/>
  <c r="N132" i="2" s="1"/>
  <c r="O12" i="3"/>
  <c r="L9" i="3"/>
  <c r="O170" i="2"/>
  <c r="L167" i="2"/>
  <c r="O167" i="2" s="1"/>
  <c r="N184" i="2"/>
  <c r="O184" i="2" s="1"/>
  <c r="P186" i="2"/>
  <c r="M301" i="2"/>
  <c r="P301" i="2" s="1"/>
  <c r="M317" i="2"/>
  <c r="M315" i="2" s="1"/>
  <c r="P410" i="2"/>
  <c r="M408" i="2"/>
  <c r="P42" i="3"/>
  <c r="N23" i="3"/>
  <c r="N21" i="3" s="1"/>
  <c r="O46" i="3"/>
  <c r="P67" i="3"/>
  <c r="N125" i="3"/>
  <c r="N121" i="3"/>
  <c r="N119" i="3" s="1"/>
  <c r="N152" i="3"/>
  <c r="P154" i="3"/>
  <c r="N151" i="3"/>
  <c r="O154" i="3"/>
  <c r="M171" i="3"/>
  <c r="P171" i="3" s="1"/>
  <c r="I112" i="2"/>
  <c r="K112" i="2" s="1"/>
  <c r="O74" i="2"/>
  <c r="N279" i="2"/>
  <c r="N277" i="2" s="1"/>
  <c r="O350" i="2"/>
  <c r="L348" i="2"/>
  <c r="O348" i="2" s="1"/>
  <c r="M47" i="3"/>
  <c r="P47" i="3" s="1"/>
  <c r="P49" i="3"/>
  <c r="P120" i="3"/>
  <c r="O166" i="3"/>
  <c r="N267" i="3"/>
  <c r="N263" i="3"/>
  <c r="I785" i="3"/>
  <c r="K785" i="3" s="1"/>
  <c r="K800" i="3"/>
  <c r="O58" i="2"/>
  <c r="O93" i="2"/>
  <c r="O124" i="2"/>
  <c r="L122" i="2"/>
  <c r="O122" i="2" s="1"/>
  <c r="L317" i="2"/>
  <c r="L315" i="2" s="1"/>
  <c r="L404" i="2"/>
  <c r="L402" i="2" s="1"/>
  <c r="O19" i="3"/>
  <c r="N26" i="3"/>
  <c r="P262" i="3"/>
  <c r="N55" i="2"/>
  <c r="N53" i="2" s="1"/>
  <c r="N59" i="2"/>
  <c r="M44" i="3"/>
  <c r="P44" i="3" s="1"/>
  <c r="M23" i="3"/>
  <c r="P46" i="3"/>
  <c r="N788" i="3"/>
  <c r="N786" i="3" s="1"/>
  <c r="N789" i="3"/>
  <c r="L90" i="2"/>
  <c r="L88" i="2" s="1"/>
  <c r="N138" i="2"/>
  <c r="J143" i="2"/>
  <c r="J131" i="2" s="1"/>
  <c r="M151" i="2"/>
  <c r="N280" i="2"/>
  <c r="M283" i="2"/>
  <c r="P283" i="2" s="1"/>
  <c r="J327" i="2"/>
  <c r="K327" i="2" s="1"/>
  <c r="K821" i="2"/>
  <c r="M43" i="3"/>
  <c r="P89" i="3"/>
  <c r="L184" i="3"/>
  <c r="O184" i="3" s="1"/>
  <c r="O186" i="3"/>
  <c r="L318" i="3"/>
  <c r="O318" i="3" s="1"/>
  <c r="O320" i="3"/>
  <c r="I434" i="3"/>
  <c r="K438" i="3"/>
  <c r="K672" i="2"/>
  <c r="K673" i="2"/>
  <c r="I76" i="3"/>
  <c r="K80" i="3"/>
  <c r="P173" i="3"/>
  <c r="M167" i="3"/>
  <c r="P167" i="3" s="1"/>
  <c r="M68" i="2"/>
  <c r="M66" i="2" s="1"/>
  <c r="M69" i="2"/>
  <c r="P69" i="2" s="1"/>
  <c r="N90" i="2"/>
  <c r="N88" i="2" s="1"/>
  <c r="M300" i="2"/>
  <c r="M298" i="2" s="1"/>
  <c r="P298" i="2" s="1"/>
  <c r="L300" i="2"/>
  <c r="O300" i="2" s="1"/>
  <c r="O303" i="2"/>
  <c r="N334" i="2"/>
  <c r="N330" i="2"/>
  <c r="N328" i="2" s="1"/>
  <c r="K460" i="2"/>
  <c r="I442" i="2"/>
  <c r="K442" i="2" s="1"/>
  <c r="N19" i="3"/>
  <c r="N12" i="3"/>
  <c r="O25" i="3"/>
  <c r="L15" i="3"/>
  <c r="O32" i="3"/>
  <c r="L29" i="3"/>
  <c r="N43" i="3"/>
  <c r="O137" i="3"/>
  <c r="L135" i="3"/>
  <c r="O135" i="3" s="1"/>
  <c r="P346" i="3"/>
  <c r="O407" i="3"/>
  <c r="L404" i="3"/>
  <c r="L405" i="3"/>
  <c r="O405" i="3" s="1"/>
  <c r="N631" i="3"/>
  <c r="N629" i="3" s="1"/>
  <c r="N632" i="3"/>
  <c r="O787" i="3"/>
  <c r="N347" i="2"/>
  <c r="N345" i="2" s="1"/>
  <c r="O410" i="2"/>
  <c r="K594" i="2"/>
  <c r="O632" i="2"/>
  <c r="N33" i="3"/>
  <c r="M72" i="3"/>
  <c r="P72" i="3" s="1"/>
  <c r="P74" i="3"/>
  <c r="L187" i="3"/>
  <c r="O187" i="3" s="1"/>
  <c r="O189" i="3"/>
  <c r="M318" i="3"/>
  <c r="P318" i="3" s="1"/>
  <c r="M321" i="3"/>
  <c r="P321" i="3" s="1"/>
  <c r="P323" i="3"/>
  <c r="P449" i="3"/>
  <c r="M446" i="3"/>
  <c r="L454" i="3"/>
  <c r="O454" i="3" s="1"/>
  <c r="L446" i="3"/>
  <c r="O446" i="3" s="1"/>
  <c r="P631" i="3"/>
  <c r="M629" i="3"/>
  <c r="P629" i="3" s="1"/>
  <c r="P787" i="3"/>
  <c r="M786" i="3"/>
  <c r="P786" i="3" s="1"/>
  <c r="O69" i="2"/>
  <c r="O266" i="2"/>
  <c r="N300" i="2"/>
  <c r="N298" i="2" s="1"/>
  <c r="K385" i="2"/>
  <c r="M404" i="2"/>
  <c r="M402" i="2" s="1"/>
  <c r="N408" i="2"/>
  <c r="O408" i="2" s="1"/>
  <c r="J433" i="2"/>
  <c r="J417" i="2" s="1"/>
  <c r="L469" i="2"/>
  <c r="L658" i="2"/>
  <c r="O658" i="2" s="1"/>
  <c r="K822" i="2"/>
  <c r="O93" i="3"/>
  <c r="K174" i="3"/>
  <c r="O182" i="3"/>
  <c r="M184" i="3"/>
  <c r="P184" i="3" s="1"/>
  <c r="K204" i="3"/>
  <c r="I197" i="3"/>
  <c r="K197" i="3" s="1"/>
  <c r="L238" i="3"/>
  <c r="O316" i="3"/>
  <c r="M447" i="3"/>
  <c r="P447" i="3" s="1"/>
  <c r="O456" i="3"/>
  <c r="K462" i="3"/>
  <c r="I592" i="3"/>
  <c r="K592" i="3" s="1"/>
  <c r="K593" i="3"/>
  <c r="O630" i="3"/>
  <c r="P738" i="3"/>
  <c r="M737" i="3"/>
  <c r="P737" i="3" s="1"/>
  <c r="L183" i="2"/>
  <c r="L181" i="2" s="1"/>
  <c r="I233" i="2"/>
  <c r="K233" i="2" s="1"/>
  <c r="L228" i="2"/>
  <c r="M263" i="2"/>
  <c r="M261" i="2" s="1"/>
  <c r="P261" i="2" s="1"/>
  <c r="M69" i="3"/>
  <c r="P71" i="3"/>
  <c r="N90" i="3"/>
  <c r="I87" i="3"/>
  <c r="K87" i="3" s="1"/>
  <c r="K99" i="3"/>
  <c r="L138" i="3"/>
  <c r="O138" i="3" s="1"/>
  <c r="I130" i="3"/>
  <c r="K130" i="3" s="1"/>
  <c r="K146" i="3"/>
  <c r="L168" i="3"/>
  <c r="O168" i="3" s="1"/>
  <c r="O170" i="3"/>
  <c r="N301" i="3"/>
  <c r="P303" i="3"/>
  <c r="O329" i="3"/>
  <c r="L328" i="3"/>
  <c r="M348" i="3"/>
  <c r="M347" i="3"/>
  <c r="P347" i="3" s="1"/>
  <c r="P350" i="3"/>
  <c r="O445" i="3"/>
  <c r="O472" i="3"/>
  <c r="N469" i="3"/>
  <c r="N470" i="3"/>
  <c r="O470" i="3" s="1"/>
  <c r="N546" i="3"/>
  <c r="N547" i="3"/>
  <c r="O547" i="3" s="1"/>
  <c r="P686" i="3"/>
  <c r="M685" i="3"/>
  <c r="P685" i="3" s="1"/>
  <c r="O282" i="2"/>
  <c r="J364" i="2"/>
  <c r="K378" i="2"/>
  <c r="K381" i="2"/>
  <c r="L533" i="2"/>
  <c r="O533" i="2" s="1"/>
  <c r="L657" i="2"/>
  <c r="O657" i="2" s="1"/>
  <c r="M9" i="3"/>
  <c r="M15" i="3"/>
  <c r="M29" i="3"/>
  <c r="K115" i="3"/>
  <c r="L171" i="3"/>
  <c r="O171" i="3" s="1"/>
  <c r="O173" i="3"/>
  <c r="L198" i="3"/>
  <c r="O198" i="3" s="1"/>
  <c r="L209" i="3"/>
  <c r="O209" i="3" s="1"/>
  <c r="L228" i="3"/>
  <c r="L249" i="3"/>
  <c r="O249" i="3" s="1"/>
  <c r="O303" i="3"/>
  <c r="P127" i="3"/>
  <c r="M351" i="3"/>
  <c r="P351" i="3" s="1"/>
  <c r="P353" i="3"/>
  <c r="I364" i="3"/>
  <c r="P420" i="3"/>
  <c r="P806" i="3"/>
  <c r="M805" i="3"/>
  <c r="P805" i="3" s="1"/>
  <c r="K176" i="3"/>
  <c r="I237" i="3"/>
  <c r="M392" i="3"/>
  <c r="P392" i="3" s="1"/>
  <c r="P394" i="3"/>
  <c r="O333" i="3"/>
  <c r="M395" i="3"/>
  <c r="P395" i="3" s="1"/>
  <c r="P397" i="3"/>
  <c r="I275" i="3"/>
  <c r="P329" i="3"/>
  <c r="P331" i="3"/>
  <c r="K369" i="3"/>
  <c r="P390" i="3"/>
  <c r="L408" i="3"/>
  <c r="O408" i="3" s="1"/>
  <c r="L447" i="3"/>
  <c r="O447" i="3" s="1"/>
  <c r="O449" i="3"/>
  <c r="O549" i="3"/>
  <c r="M549" i="3"/>
  <c r="L632" i="3"/>
  <c r="O632" i="3" s="1"/>
  <c r="O634" i="3"/>
  <c r="N770" i="3"/>
  <c r="O350" i="3"/>
  <c r="O353" i="3"/>
  <c r="J365" i="3"/>
  <c r="J374" i="3"/>
  <c r="K374" i="3" s="1"/>
  <c r="O394" i="3"/>
  <c r="O397" i="3"/>
  <c r="O424" i="3"/>
  <c r="L469" i="3"/>
  <c r="O469" i="3" s="1"/>
  <c r="L477" i="3"/>
  <c r="O477" i="3" s="1"/>
  <c r="K675" i="3"/>
  <c r="K672" i="3"/>
  <c r="L688" i="3"/>
  <c r="O688" i="3" s="1"/>
  <c r="K669" i="3"/>
  <c r="L687" i="3"/>
  <c r="K355" i="2"/>
  <c r="O788" i="2"/>
  <c r="L786" i="2"/>
  <c r="O786" i="2" s="1"/>
  <c r="M47" i="2"/>
  <c r="P47" i="2" s="1"/>
  <c r="K79" i="2"/>
  <c r="M122" i="2"/>
  <c r="P122" i="2" s="1"/>
  <c r="L155" i="2"/>
  <c r="O155" i="2" s="1"/>
  <c r="M167" i="2"/>
  <c r="M165" i="2" s="1"/>
  <c r="P165" i="2" s="1"/>
  <c r="L187" i="2"/>
  <c r="O187" i="2" s="1"/>
  <c r="L264" i="2"/>
  <c r="O264" i="2" s="1"/>
  <c r="O331" i="2"/>
  <c r="N351" i="2"/>
  <c r="P351" i="2" s="1"/>
  <c r="K359" i="2"/>
  <c r="K370" i="2"/>
  <c r="L421" i="2"/>
  <c r="O421" i="2" s="1"/>
  <c r="K437" i="2"/>
  <c r="K674" i="2"/>
  <c r="P56" i="2"/>
  <c r="I76" i="2"/>
  <c r="L91" i="2"/>
  <c r="O91" i="2" s="1"/>
  <c r="K99" i="2"/>
  <c r="M121" i="2"/>
  <c r="N122" i="2"/>
  <c r="L151" i="2"/>
  <c r="O151" i="2" s="1"/>
  <c r="M155" i="2"/>
  <c r="P155" i="2" s="1"/>
  <c r="L238" i="2"/>
  <c r="O238" i="2" s="1"/>
  <c r="M264" i="2"/>
  <c r="P264" i="2" s="1"/>
  <c r="L280" i="2"/>
  <c r="M334" i="2"/>
  <c r="P334" i="2" s="1"/>
  <c r="L392" i="2"/>
  <c r="O392" i="2" s="1"/>
  <c r="O641" i="2"/>
  <c r="K669" i="2"/>
  <c r="L688" i="2"/>
  <c r="O688" i="2" s="1"/>
  <c r="K824" i="2"/>
  <c r="L36" i="2"/>
  <c r="L56" i="2"/>
  <c r="O56" i="2" s="1"/>
  <c r="O71" i="2"/>
  <c r="M26" i="2"/>
  <c r="M24" i="2" s="1"/>
  <c r="I148" i="2"/>
  <c r="K148" i="2" s="1"/>
  <c r="L168" i="2"/>
  <c r="O168" i="2" s="1"/>
  <c r="O189" i="2"/>
  <c r="I237" i="2"/>
  <c r="K237" i="2" s="1"/>
  <c r="L229" i="2"/>
  <c r="L263" i="2"/>
  <c r="P266" i="2"/>
  <c r="L318" i="2"/>
  <c r="O318" i="2" s="1"/>
  <c r="M392" i="2"/>
  <c r="P392" i="2" s="1"/>
  <c r="L526" i="2"/>
  <c r="O526" i="2" s="1"/>
  <c r="K675" i="2"/>
  <c r="O690" i="2"/>
  <c r="J721" i="2"/>
  <c r="L789" i="2"/>
  <c r="O789" i="2" s="1"/>
  <c r="N26" i="2"/>
  <c r="N16" i="2" s="1"/>
  <c r="O44" i="2"/>
  <c r="O137" i="2"/>
  <c r="P157" i="2"/>
  <c r="K174" i="2"/>
  <c r="P189" i="2"/>
  <c r="L209" i="2"/>
  <c r="O209" i="2" s="1"/>
  <c r="O353" i="2"/>
  <c r="I364" i="2"/>
  <c r="P44" i="2"/>
  <c r="L330" i="2"/>
  <c r="O333" i="2"/>
  <c r="P353" i="2"/>
  <c r="J537" i="2"/>
  <c r="J522" i="2" s="1"/>
  <c r="K522" i="2" s="1"/>
  <c r="O634" i="2"/>
  <c r="I654" i="2"/>
  <c r="K654" i="2" s="1"/>
  <c r="K828" i="2"/>
  <c r="P333" i="2"/>
  <c r="M331" i="2"/>
  <c r="P331" i="2" s="1"/>
  <c r="M330" i="2"/>
  <c r="M12" i="2"/>
  <c r="M19" i="2"/>
  <c r="P22" i="2"/>
  <c r="M29" i="2"/>
  <c r="O32" i="2"/>
  <c r="L29" i="2"/>
  <c r="M43" i="2"/>
  <c r="O49" i="2"/>
  <c r="M55" i="2"/>
  <c r="P71" i="2"/>
  <c r="K144" i="2"/>
  <c r="N167" i="2"/>
  <c r="N165" i="2" s="1"/>
  <c r="P173" i="2"/>
  <c r="K204" i="2"/>
  <c r="I260" i="2"/>
  <c r="K260" i="2" s="1"/>
  <c r="I276" i="2"/>
  <c r="K276" i="2" s="1"/>
  <c r="L283" i="2"/>
  <c r="O283" i="2" s="1"/>
  <c r="O557" i="2"/>
  <c r="L546" i="2"/>
  <c r="O546" i="2" s="1"/>
  <c r="L555" i="2"/>
  <c r="O555" i="2" s="1"/>
  <c r="N12" i="2"/>
  <c r="L23" i="2"/>
  <c r="L21" i="2" s="1"/>
  <c r="N29" i="2"/>
  <c r="N28" i="2" s="1"/>
  <c r="N43" i="2"/>
  <c r="N41" i="2" s="1"/>
  <c r="O46" i="2"/>
  <c r="M72" i="2"/>
  <c r="P72" i="2" s="1"/>
  <c r="M90" i="2"/>
  <c r="M135" i="2"/>
  <c r="P135" i="2" s="1"/>
  <c r="P170" i="2"/>
  <c r="L198" i="2"/>
  <c r="O198" i="2" s="1"/>
  <c r="P316" i="2"/>
  <c r="O397" i="2"/>
  <c r="L395" i="2"/>
  <c r="O395" i="2" s="1"/>
  <c r="P755" i="2"/>
  <c r="M754" i="2"/>
  <c r="P754" i="2" s="1"/>
  <c r="I592" i="2"/>
  <c r="K592" i="2" s="1"/>
  <c r="K593" i="2"/>
  <c r="L9" i="2"/>
  <c r="L15" i="2"/>
  <c r="M23" i="2"/>
  <c r="P46" i="2"/>
  <c r="P58" i="2"/>
  <c r="P96" i="2"/>
  <c r="O140" i="2"/>
  <c r="L249" i="2"/>
  <c r="O249" i="2" s="1"/>
  <c r="N321" i="2"/>
  <c r="O321" i="2" s="1"/>
  <c r="N317" i="2"/>
  <c r="O323" i="2"/>
  <c r="L279" i="2"/>
  <c r="M15" i="2"/>
  <c r="N23" i="2"/>
  <c r="L26" i="2"/>
  <c r="L68" i="2"/>
  <c r="L134" i="2"/>
  <c r="M183" i="2"/>
  <c r="M181" i="2" s="1"/>
  <c r="K224" i="2"/>
  <c r="K244" i="2"/>
  <c r="L19" i="2"/>
  <c r="P806" i="2"/>
  <c r="M805" i="2"/>
  <c r="P805" i="2" s="1"/>
  <c r="N15" i="2"/>
  <c r="K80" i="2"/>
  <c r="M134" i="2"/>
  <c r="K176" i="2"/>
  <c r="N183" i="2"/>
  <c r="P350" i="2"/>
  <c r="M347" i="2"/>
  <c r="M348" i="2"/>
  <c r="P348" i="2" s="1"/>
  <c r="K462" i="2"/>
  <c r="I443" i="2"/>
  <c r="K443" i="2" s="1"/>
  <c r="M318" i="2"/>
  <c r="P318" i="2" s="1"/>
  <c r="P320" i="2"/>
  <c r="O420" i="2"/>
  <c r="M469" i="2"/>
  <c r="M470" i="2"/>
  <c r="P470" i="2" s="1"/>
  <c r="I559" i="2"/>
  <c r="K576" i="2"/>
  <c r="N754" i="2"/>
  <c r="N414" i="2" s="1"/>
  <c r="N805" i="2"/>
  <c r="I143" i="2"/>
  <c r="I248" i="2"/>
  <c r="K248" i="2" s="1"/>
  <c r="O329" i="2"/>
  <c r="L351" i="2"/>
  <c r="L391" i="2"/>
  <c r="M395" i="2"/>
  <c r="P395" i="2" s="1"/>
  <c r="L422" i="2"/>
  <c r="O422" i="2" s="1"/>
  <c r="M424" i="2"/>
  <c r="I434" i="2"/>
  <c r="L446" i="2"/>
  <c r="L454" i="2"/>
  <c r="O454" i="2" s="1"/>
  <c r="N502" i="2"/>
  <c r="P555" i="2"/>
  <c r="M545" i="2"/>
  <c r="N631" i="2"/>
  <c r="L685" i="2"/>
  <c r="O685" i="2" s="1"/>
  <c r="N737" i="2"/>
  <c r="P787" i="2"/>
  <c r="M786" i="2"/>
  <c r="P786" i="2" s="1"/>
  <c r="K827" i="2"/>
  <c r="N786" i="2"/>
  <c r="O390" i="2"/>
  <c r="L429" i="2"/>
  <c r="O429" i="2" s="1"/>
  <c r="O431" i="2"/>
  <c r="P630" i="2"/>
  <c r="P686" i="2"/>
  <c r="M685" i="2"/>
  <c r="P685" i="2" s="1"/>
  <c r="I785" i="2"/>
  <c r="K785" i="2" s="1"/>
  <c r="K800" i="2"/>
  <c r="L805" i="2"/>
  <c r="O805" i="2" s="1"/>
  <c r="M321" i="2"/>
  <c r="P323" i="2"/>
  <c r="L334" i="2"/>
  <c r="O334" i="2" s="1"/>
  <c r="O346" i="2"/>
  <c r="O549" i="2"/>
  <c r="M549" i="2"/>
  <c r="N629" i="2"/>
  <c r="K823" i="2"/>
  <c r="M528" i="2"/>
  <c r="J288" i="2"/>
  <c r="J275" i="2" s="1"/>
  <c r="K275" i="2" s="1"/>
  <c r="I628" i="2"/>
  <c r="K628" i="2" s="1"/>
  <c r="K288" i="1"/>
  <c r="M283" i="1"/>
  <c r="P283" i="1" s="1"/>
  <c r="L94" i="1"/>
  <c r="O94" i="1" s="1"/>
  <c r="K540" i="1"/>
  <c r="M94" i="1"/>
  <c r="P94" i="1" s="1"/>
  <c r="L347" i="1"/>
  <c r="L345" i="1" s="1"/>
  <c r="P333" i="1"/>
  <c r="M546" i="1"/>
  <c r="K204" i="1"/>
  <c r="K699" i="1"/>
  <c r="K821" i="1"/>
  <c r="N229" i="1"/>
  <c r="K700" i="1"/>
  <c r="K822" i="1"/>
  <c r="K825" i="1"/>
  <c r="K828" i="1"/>
  <c r="N391" i="1"/>
  <c r="N389" i="1" s="1"/>
  <c r="N43" i="1"/>
  <c r="N41" i="1" s="1"/>
  <c r="K215" i="1"/>
  <c r="K340" i="1"/>
  <c r="J679" i="1"/>
  <c r="J678" i="1" s="1"/>
  <c r="O93" i="1"/>
  <c r="L209" i="1"/>
  <c r="M657" i="1"/>
  <c r="M655" i="1" s="1"/>
  <c r="L477" i="1"/>
  <c r="O477" i="1" s="1"/>
  <c r="P93" i="1"/>
  <c r="L36" i="1"/>
  <c r="O36" i="1" s="1"/>
  <c r="K80" i="1"/>
  <c r="K83" i="1"/>
  <c r="J235" i="1"/>
  <c r="L300" i="1"/>
  <c r="L298" i="1" s="1"/>
  <c r="K370" i="1"/>
  <c r="O125" i="1"/>
  <c r="N134" i="1"/>
  <c r="N132" i="1" s="1"/>
  <c r="J233" i="1"/>
  <c r="K310" i="1"/>
  <c r="K385" i="1"/>
  <c r="O407" i="1"/>
  <c r="L55" i="1"/>
  <c r="O191" i="1"/>
  <c r="K290" i="1"/>
  <c r="K294" i="1"/>
  <c r="M304" i="1"/>
  <c r="P304" i="1" s="1"/>
  <c r="K360" i="1"/>
  <c r="K378" i="1"/>
  <c r="J701" i="1"/>
  <c r="K701" i="1" s="1"/>
  <c r="K824" i="1"/>
  <c r="K827" i="1"/>
  <c r="I275" i="1"/>
  <c r="K275" i="1" s="1"/>
  <c r="L525" i="1"/>
  <c r="L523" i="1" s="1"/>
  <c r="K538" i="1"/>
  <c r="J595" i="1"/>
  <c r="J675" i="1"/>
  <c r="K675" i="1" s="1"/>
  <c r="L421" i="1"/>
  <c r="L419" i="1" s="1"/>
  <c r="O431" i="1"/>
  <c r="J596" i="1"/>
  <c r="J604" i="1"/>
  <c r="K145" i="1"/>
  <c r="P318" i="1"/>
  <c r="P320" i="1"/>
  <c r="K314" i="1"/>
  <c r="K462" i="1"/>
  <c r="K495" i="1"/>
  <c r="K542" i="1"/>
  <c r="M279" i="1"/>
  <c r="M277" i="1" s="1"/>
  <c r="K311" i="1"/>
  <c r="N331" i="1"/>
  <c r="P331" i="1" s="1"/>
  <c r="N330" i="1"/>
  <c r="N328" i="1" s="1"/>
  <c r="K412" i="1"/>
  <c r="K433" i="1"/>
  <c r="I443" i="1"/>
  <c r="K443" i="1" s="1"/>
  <c r="K487" i="1"/>
  <c r="K670" i="1"/>
  <c r="M68" i="1"/>
  <c r="M66" i="1" s="1"/>
  <c r="L121" i="1"/>
  <c r="L119" i="1" s="1"/>
  <c r="M187" i="1"/>
  <c r="P187" i="1" s="1"/>
  <c r="J226" i="1"/>
  <c r="J180" i="1" s="1"/>
  <c r="L230" i="1"/>
  <c r="L283" i="1"/>
  <c r="O283" i="1" s="1"/>
  <c r="K325" i="1"/>
  <c r="M470" i="1"/>
  <c r="O152" i="1"/>
  <c r="N44" i="1"/>
  <c r="P44" i="1" s="1"/>
  <c r="M47" i="1"/>
  <c r="P47" i="1" s="1"/>
  <c r="L122" i="1"/>
  <c r="O122" i="1" s="1"/>
  <c r="M167" i="1"/>
  <c r="M165" i="1" s="1"/>
  <c r="K224" i="1"/>
  <c r="N238" i="1"/>
  <c r="N228" i="1"/>
  <c r="N231" i="1"/>
  <c r="J236" i="1"/>
  <c r="L267" i="1"/>
  <c r="O267" i="1" s="1"/>
  <c r="P269" i="1"/>
  <c r="K338" i="1"/>
  <c r="K437" i="1"/>
  <c r="K440" i="1"/>
  <c r="J722" i="1"/>
  <c r="K722" i="1" s="1"/>
  <c r="J100" i="1"/>
  <c r="K100" i="1" s="1"/>
  <c r="K159" i="1"/>
  <c r="L228" i="1"/>
  <c r="L231" i="1"/>
  <c r="L249" i="1"/>
  <c r="O249" i="1" s="1"/>
  <c r="K312" i="1"/>
  <c r="K103" i="1"/>
  <c r="K107" i="1"/>
  <c r="L151" i="1"/>
  <c r="L149" i="1" s="1"/>
  <c r="L304" i="1"/>
  <c r="O304" i="1" s="1"/>
  <c r="M300" i="1"/>
  <c r="M298" i="1" s="1"/>
  <c r="N317" i="1"/>
  <c r="N315" i="1" s="1"/>
  <c r="L404" i="1"/>
  <c r="L402" i="1" s="1"/>
  <c r="K672" i="1"/>
  <c r="L72" i="1"/>
  <c r="O72" i="1" s="1"/>
  <c r="M134" i="1"/>
  <c r="M132" i="1" s="1"/>
  <c r="J208" i="1"/>
  <c r="K208" i="1" s="1"/>
  <c r="N321" i="1"/>
  <c r="O321" i="1" s="1"/>
  <c r="O323" i="1"/>
  <c r="M525" i="1"/>
  <c r="M523" i="1" s="1"/>
  <c r="N55" i="1"/>
  <c r="N53" i="1" s="1"/>
  <c r="M72" i="1"/>
  <c r="P72" i="1" s="1"/>
  <c r="K113" i="1"/>
  <c r="K116" i="1"/>
  <c r="O168" i="1"/>
  <c r="P303" i="1"/>
  <c r="K309" i="1"/>
  <c r="O395" i="1"/>
  <c r="J583" i="1"/>
  <c r="J577" i="1" s="1"/>
  <c r="K577" i="1" s="1"/>
  <c r="I76" i="1"/>
  <c r="I64" i="1" s="1"/>
  <c r="O154" i="1"/>
  <c r="K148" i="1"/>
  <c r="K244" i="1"/>
  <c r="L263" i="1"/>
  <c r="L261" i="1" s="1"/>
  <c r="L279" i="1"/>
  <c r="L277" i="1" s="1"/>
  <c r="K291" i="1"/>
  <c r="K297" i="1"/>
  <c r="L317" i="1"/>
  <c r="K379" i="1"/>
  <c r="P395" i="1"/>
  <c r="M421" i="1"/>
  <c r="M419" i="1" s="1"/>
  <c r="J434" i="1"/>
  <c r="J418" i="1" s="1"/>
  <c r="K649" i="1"/>
  <c r="P46" i="1"/>
  <c r="O61" i="1"/>
  <c r="L68" i="1"/>
  <c r="L66" i="1" s="1"/>
  <c r="J76" i="1"/>
  <c r="J64" i="1" s="1"/>
  <c r="J77" i="1"/>
  <c r="J65" i="1" s="1"/>
  <c r="L91" i="1"/>
  <c r="O91" i="1" s="1"/>
  <c r="P127" i="1"/>
  <c r="K144" i="1"/>
  <c r="M263" i="1"/>
  <c r="M261" i="1" s="1"/>
  <c r="P350" i="1"/>
  <c r="P353" i="1"/>
  <c r="K359" i="1"/>
  <c r="K362" i="1"/>
  <c r="K492" i="1"/>
  <c r="M55" i="1"/>
  <c r="M53" i="1" s="1"/>
  <c r="K79" i="1"/>
  <c r="K82" i="1"/>
  <c r="P186" i="1"/>
  <c r="N217" i="1"/>
  <c r="N279" i="1"/>
  <c r="P323" i="1"/>
  <c r="N404" i="1"/>
  <c r="N402" i="1" s="1"/>
  <c r="K483" i="1"/>
  <c r="K647" i="1"/>
  <c r="O788" i="1"/>
  <c r="L786" i="1"/>
  <c r="O786" i="1" s="1"/>
  <c r="K86" i="1"/>
  <c r="P69" i="1"/>
  <c r="L26" i="1"/>
  <c r="L24" i="1" s="1"/>
  <c r="N26" i="1"/>
  <c r="N16" i="1" s="1"/>
  <c r="N14" i="1" s="1"/>
  <c r="M91" i="1"/>
  <c r="P91" i="1" s="1"/>
  <c r="K164" i="1"/>
  <c r="L167" i="1"/>
  <c r="L165" i="1" s="1"/>
  <c r="P168" i="1"/>
  <c r="M184" i="1"/>
  <c r="P184" i="1" s="1"/>
  <c r="N183" i="1"/>
  <c r="N181" i="1" s="1"/>
  <c r="I216" i="1"/>
  <c r="K216" i="1" s="1"/>
  <c r="I235" i="1"/>
  <c r="K235" i="1" s="1"/>
  <c r="P266" i="1"/>
  <c r="M334" i="1"/>
  <c r="P334" i="1" s="1"/>
  <c r="M347" i="1"/>
  <c r="M345" i="1" s="1"/>
  <c r="O394" i="1"/>
  <c r="O397" i="1"/>
  <c r="I401" i="1"/>
  <c r="K401" i="1" s="1"/>
  <c r="N424" i="1"/>
  <c r="P424" i="1" s="1"/>
  <c r="N449" i="1"/>
  <c r="N447" i="1" s="1"/>
  <c r="K460" i="1"/>
  <c r="J466" i="1"/>
  <c r="K466" i="1" s="1"/>
  <c r="L533" i="1"/>
  <c r="O533" i="1" s="1"/>
  <c r="J561" i="1"/>
  <c r="K561" i="1" s="1"/>
  <c r="J603" i="1"/>
  <c r="J620" i="1"/>
  <c r="K620" i="1" s="1"/>
  <c r="N634" i="1"/>
  <c r="O634" i="1" s="1"/>
  <c r="L655" i="1"/>
  <c r="L658" i="1"/>
  <c r="K673" i="1"/>
  <c r="L687" i="1"/>
  <c r="L685" i="1" s="1"/>
  <c r="J708" i="1"/>
  <c r="K728" i="1"/>
  <c r="L789" i="1"/>
  <c r="O789" i="1" s="1"/>
  <c r="O791" i="1"/>
  <c r="P351" i="1"/>
  <c r="M59" i="1"/>
  <c r="M121" i="1"/>
  <c r="M125" i="1"/>
  <c r="P125" i="1" s="1"/>
  <c r="K130" i="1"/>
  <c r="I143" i="1"/>
  <c r="I131" i="1" s="1"/>
  <c r="K131" i="1" s="1"/>
  <c r="L155" i="1"/>
  <c r="O155" i="1" s="1"/>
  <c r="L198" i="1"/>
  <c r="L238" i="1"/>
  <c r="L280" i="1"/>
  <c r="K293" i="1"/>
  <c r="L318" i="1"/>
  <c r="O318" i="1" s="1"/>
  <c r="N347" i="1"/>
  <c r="N345" i="1" s="1"/>
  <c r="K369" i="1"/>
  <c r="K372" i="1"/>
  <c r="I434" i="1"/>
  <c r="I418" i="1" s="1"/>
  <c r="K489" i="1"/>
  <c r="K541" i="1"/>
  <c r="K725" i="1"/>
  <c r="K260" i="1"/>
  <c r="P32" i="1"/>
  <c r="O46" i="1"/>
  <c r="J112" i="1"/>
  <c r="N121" i="1"/>
  <c r="N119" i="1" s="1"/>
  <c r="K146" i="1"/>
  <c r="O157" i="1"/>
  <c r="L171" i="1"/>
  <c r="O171" i="1" s="1"/>
  <c r="P173" i="1"/>
  <c r="J194" i="1"/>
  <c r="N209" i="1"/>
  <c r="K214" i="1"/>
  <c r="N249" i="1"/>
  <c r="N300" i="1"/>
  <c r="O320" i="1"/>
  <c r="M330" i="1"/>
  <c r="K355" i="1"/>
  <c r="O408" i="1"/>
  <c r="K435" i="1"/>
  <c r="K485" i="1"/>
  <c r="K539" i="1"/>
  <c r="M33" i="1"/>
  <c r="M30" i="1" s="1"/>
  <c r="M28" i="1" s="1"/>
  <c r="K643" i="1"/>
  <c r="J729" i="1"/>
  <c r="K98" i="1"/>
  <c r="M23" i="1"/>
  <c r="L33" i="1"/>
  <c r="L31" i="1" s="1"/>
  <c r="M43" i="1"/>
  <c r="M41" i="1" s="1"/>
  <c r="O58" i="1"/>
  <c r="O71" i="1"/>
  <c r="L90" i="1"/>
  <c r="L88" i="1" s="1"/>
  <c r="N263" i="1"/>
  <c r="N261" i="1" s="1"/>
  <c r="O266" i="1"/>
  <c r="K276" i="1"/>
  <c r="O303" i="1"/>
  <c r="P348" i="1"/>
  <c r="I364" i="1"/>
  <c r="P408" i="1"/>
  <c r="J465" i="1"/>
  <c r="K465" i="1" s="1"/>
  <c r="N528" i="1"/>
  <c r="N526" i="1" s="1"/>
  <c r="P526" i="1" s="1"/>
  <c r="P264" i="1"/>
  <c r="P301" i="1"/>
  <c r="N392" i="1"/>
  <c r="L69" i="1"/>
  <c r="O69" i="1" s="1"/>
  <c r="P71" i="1"/>
  <c r="M90" i="1"/>
  <c r="M88" i="1" s="1"/>
  <c r="K102" i="1"/>
  <c r="K106" i="1"/>
  <c r="K110" i="1"/>
  <c r="M122" i="1"/>
  <c r="P122" i="1" s="1"/>
  <c r="O127" i="1"/>
  <c r="L134" i="1"/>
  <c r="L132" i="1" s="1"/>
  <c r="I197" i="1"/>
  <c r="K197" i="1" s="1"/>
  <c r="L264" i="1"/>
  <c r="O264" i="1" s="1"/>
  <c r="K271" i="1"/>
  <c r="K287" i="1"/>
  <c r="L301" i="1"/>
  <c r="O301" i="1" s="1"/>
  <c r="L391" i="1"/>
  <c r="L389" i="1" s="1"/>
  <c r="O410" i="1"/>
  <c r="I417" i="1"/>
  <c r="K417" i="1" s="1"/>
  <c r="K439" i="1"/>
  <c r="M446" i="1"/>
  <c r="M444" i="1" s="1"/>
  <c r="K442" i="1"/>
  <c r="K644" i="1"/>
  <c r="K671" i="1"/>
  <c r="P29" i="1"/>
  <c r="O12" i="1"/>
  <c r="L9" i="1"/>
  <c r="M12" i="1"/>
  <c r="P15" i="1"/>
  <c r="L29" i="1"/>
  <c r="N34" i="1"/>
  <c r="P35" i="1"/>
  <c r="L43" i="1"/>
  <c r="O49" i="1"/>
  <c r="N68" i="1"/>
  <c r="I77" i="1"/>
  <c r="K87" i="1"/>
  <c r="N90" i="1"/>
  <c r="K99" i="1"/>
  <c r="K111" i="1"/>
  <c r="N138" i="1"/>
  <c r="P138" i="1" s="1"/>
  <c r="P140" i="1"/>
  <c r="N151" i="1"/>
  <c r="L331" i="1"/>
  <c r="O333" i="1"/>
  <c r="L330" i="1"/>
  <c r="O445" i="1"/>
  <c r="N690" i="1"/>
  <c r="O690" i="1" s="1"/>
  <c r="N754" i="1"/>
  <c r="N135" i="1"/>
  <c r="P137" i="1"/>
  <c r="L805" i="1"/>
  <c r="O805" i="1" s="1"/>
  <c r="O806" i="1"/>
  <c r="N12" i="1"/>
  <c r="O22" i="1"/>
  <c r="I112" i="1"/>
  <c r="K115" i="1"/>
  <c r="O140" i="1"/>
  <c r="M152" i="1"/>
  <c r="P152" i="1" s="1"/>
  <c r="P154" i="1"/>
  <c r="M183" i="1"/>
  <c r="L184" i="1"/>
  <c r="O184" i="1" s="1"/>
  <c r="O186" i="1"/>
  <c r="L183" i="1"/>
  <c r="N198" i="1"/>
  <c r="L229" i="1"/>
  <c r="I233" i="1"/>
  <c r="I237" i="1"/>
  <c r="K255" i="1"/>
  <c r="P278" i="1"/>
  <c r="P299" i="1"/>
  <c r="M632" i="1"/>
  <c r="M631" i="1"/>
  <c r="N59" i="1"/>
  <c r="P61" i="1"/>
  <c r="K78" i="1"/>
  <c r="K81" i="1"/>
  <c r="K84" i="1"/>
  <c r="K104" i="1"/>
  <c r="K109" i="1"/>
  <c r="N167" i="1"/>
  <c r="O170" i="1"/>
  <c r="K174" i="1"/>
  <c r="L47" i="1"/>
  <c r="O47" i="1" s="1"/>
  <c r="N23" i="1"/>
  <c r="N56" i="1"/>
  <c r="O56" i="1" s="1"/>
  <c r="P58" i="1"/>
  <c r="O137" i="1"/>
  <c r="P182" i="1"/>
  <c r="N230" i="1"/>
  <c r="I236" i="1"/>
  <c r="K247" i="1"/>
  <c r="M321" i="1"/>
  <c r="M317" i="1"/>
  <c r="J364" i="1"/>
  <c r="K374" i="1"/>
  <c r="I522" i="1"/>
  <c r="K522" i="1" s="1"/>
  <c r="K537" i="1"/>
  <c r="M155" i="1"/>
  <c r="P155" i="1" s="1"/>
  <c r="P157" i="1"/>
  <c r="M392" i="1"/>
  <c r="P392" i="1" s="1"/>
  <c r="M391" i="1"/>
  <c r="P394" i="1"/>
  <c r="M19" i="1"/>
  <c r="M26" i="1"/>
  <c r="L23" i="1"/>
  <c r="L21" i="1" s="1"/>
  <c r="K114" i="1"/>
  <c r="K118" i="1"/>
  <c r="M151" i="1"/>
  <c r="P166" i="1"/>
  <c r="P170" i="1"/>
  <c r="I190" i="1"/>
  <c r="K190" i="1" s="1"/>
  <c r="K193" i="1"/>
  <c r="P262" i="1"/>
  <c r="N280" i="1"/>
  <c r="P282" i="1"/>
  <c r="O329" i="1"/>
  <c r="O282" i="1"/>
  <c r="O545" i="1"/>
  <c r="J560" i="1"/>
  <c r="K560" i="1" s="1"/>
  <c r="N739" i="1"/>
  <c r="N740" i="1"/>
  <c r="K176" i="1"/>
  <c r="L187" i="1"/>
  <c r="O187" i="1" s="1"/>
  <c r="O189" i="1"/>
  <c r="K225" i="1"/>
  <c r="L348" i="1"/>
  <c r="O348" i="1" s="1"/>
  <c r="O350" i="1"/>
  <c r="M405" i="1"/>
  <c r="P405" i="1" s="1"/>
  <c r="M404" i="1"/>
  <c r="P407" i="1"/>
  <c r="L217" i="1"/>
  <c r="K223" i="1"/>
  <c r="O316" i="1"/>
  <c r="L351" i="1"/>
  <c r="O351" i="1" s="1"/>
  <c r="O353" i="1"/>
  <c r="P403" i="1"/>
  <c r="N549" i="1"/>
  <c r="P549" i="1" s="1"/>
  <c r="P555" i="1"/>
  <c r="M545" i="1"/>
  <c r="P630" i="1"/>
  <c r="J327" i="1"/>
  <c r="K327" i="1" s="1"/>
  <c r="L334" i="1"/>
  <c r="O334" i="1" s="1"/>
  <c r="O336" i="1"/>
  <c r="P390" i="1"/>
  <c r="L422" i="1"/>
  <c r="L639" i="1"/>
  <c r="O639" i="1" s="1"/>
  <c r="L631" i="1"/>
  <c r="O641" i="1"/>
  <c r="P445" i="1"/>
  <c r="L454" i="1"/>
  <c r="O454" i="1" s="1"/>
  <c r="L446" i="1"/>
  <c r="O456" i="1"/>
  <c r="M805" i="1"/>
  <c r="P805" i="1" s="1"/>
  <c r="M502" i="1"/>
  <c r="P502" i="1" s="1"/>
  <c r="J568" i="1"/>
  <c r="K568" i="1" s="1"/>
  <c r="N737" i="1"/>
  <c r="N772" i="1"/>
  <c r="N770" i="1" s="1"/>
  <c r="N773" i="1"/>
  <c r="I785" i="1"/>
  <c r="K785" i="1" s="1"/>
  <c r="K365" i="1"/>
  <c r="P397" i="1"/>
  <c r="K400" i="1"/>
  <c r="P410" i="1"/>
  <c r="P420" i="1"/>
  <c r="L469" i="1"/>
  <c r="L467" i="1" s="1"/>
  <c r="N472" i="1"/>
  <c r="O524" i="1"/>
  <c r="O557" i="1"/>
  <c r="L546" i="1"/>
  <c r="J569" i="1"/>
  <c r="K569" i="1" s="1"/>
  <c r="J621" i="1"/>
  <c r="K621" i="1" s="1"/>
  <c r="K726" i="1"/>
  <c r="J721" i="1"/>
  <c r="K721" i="1" s="1"/>
  <c r="O656" i="1"/>
  <c r="N660" i="1"/>
  <c r="O660" i="1" s="1"/>
  <c r="N756" i="1"/>
  <c r="N757" i="1"/>
  <c r="P787" i="1"/>
  <c r="K381" i="1"/>
  <c r="K498" i="1"/>
  <c r="J582" i="1"/>
  <c r="J576" i="1" s="1"/>
  <c r="K651" i="1"/>
  <c r="N791" i="1"/>
  <c r="K438" i="1"/>
  <c r="I628" i="1"/>
  <c r="K628" i="1" s="1"/>
  <c r="K674" i="1"/>
  <c r="M687" i="1"/>
  <c r="L737" i="1"/>
  <c r="O737" i="1" s="1"/>
  <c r="L754" i="1"/>
  <c r="O754" i="1" s="1"/>
  <c r="L770" i="1"/>
  <c r="O770" i="1" s="1"/>
  <c r="P12" i="15" l="1"/>
  <c r="M9" i="15"/>
  <c r="M11" i="15"/>
  <c r="M546" i="15"/>
  <c r="M547" i="15"/>
  <c r="P547" i="15" s="1"/>
  <c r="P549" i="15"/>
  <c r="O24" i="15"/>
  <c r="L34" i="8"/>
  <c r="O34" i="8" s="1"/>
  <c r="O631" i="11"/>
  <c r="P424" i="13"/>
  <c r="P331" i="13"/>
  <c r="L30" i="13"/>
  <c r="O30" i="13" s="1"/>
  <c r="P53" i="13"/>
  <c r="P55" i="13"/>
  <c r="P134" i="13"/>
  <c r="O421" i="15"/>
  <c r="L419" i="15"/>
  <c r="O12" i="15"/>
  <c r="L9" i="15"/>
  <c r="L11" i="15"/>
  <c r="P23" i="15"/>
  <c r="M20" i="15"/>
  <c r="M13" i="15"/>
  <c r="M21" i="15"/>
  <c r="P21" i="15" s="1"/>
  <c r="M525" i="15"/>
  <c r="P528" i="15"/>
  <c r="M526" i="15"/>
  <c r="P526" i="15" s="1"/>
  <c r="P134" i="14"/>
  <c r="M132" i="14"/>
  <c r="P132" i="14" s="1"/>
  <c r="P26" i="15"/>
  <c r="M16" i="15"/>
  <c r="M24" i="15"/>
  <c r="P24" i="15" s="1"/>
  <c r="N16" i="15"/>
  <c r="O16" i="15" s="1"/>
  <c r="N24" i="15"/>
  <c r="M444" i="8"/>
  <c r="P444" i="8" s="1"/>
  <c r="L315" i="9"/>
  <c r="O315" i="9" s="1"/>
  <c r="L389" i="11"/>
  <c r="O389" i="11" s="1"/>
  <c r="O469" i="12"/>
  <c r="L16" i="12"/>
  <c r="O151" i="12"/>
  <c r="M422" i="13"/>
  <c r="P422" i="13" s="1"/>
  <c r="O631" i="13"/>
  <c r="O183" i="13"/>
  <c r="L132" i="13"/>
  <c r="O132" i="13" s="1"/>
  <c r="N21" i="13"/>
  <c r="O21" i="13" s="1"/>
  <c r="L16" i="13"/>
  <c r="L467" i="14"/>
  <c r="L629" i="14"/>
  <c r="O629" i="14" s="1"/>
  <c r="P55" i="14"/>
  <c r="M119" i="14"/>
  <c r="P119" i="14" s="1"/>
  <c r="M149" i="14"/>
  <c r="O449" i="15"/>
  <c r="N446" i="15"/>
  <c r="N447" i="15"/>
  <c r="O447" i="15" s="1"/>
  <c r="N33" i="15"/>
  <c r="N149" i="15"/>
  <c r="K143" i="15"/>
  <c r="O547" i="15"/>
  <c r="N298" i="15"/>
  <c r="O298" i="15" s="1"/>
  <c r="L88" i="15"/>
  <c r="O88" i="15" s="1"/>
  <c r="O90" i="15"/>
  <c r="N9" i="15"/>
  <c r="O23" i="15"/>
  <c r="L13" i="15"/>
  <c r="L20" i="15"/>
  <c r="N20" i="15"/>
  <c r="N18" i="15" s="1"/>
  <c r="O347" i="15"/>
  <c r="L345" i="15"/>
  <c r="O345" i="15" s="1"/>
  <c r="L685" i="15"/>
  <c r="O685" i="15" s="1"/>
  <c r="P167" i="15"/>
  <c r="M165" i="15"/>
  <c r="P165" i="15" s="1"/>
  <c r="P447" i="15"/>
  <c r="K143" i="3"/>
  <c r="K417" i="4"/>
  <c r="M422" i="4"/>
  <c r="O183" i="4"/>
  <c r="I418" i="10"/>
  <c r="K418" i="10" s="1"/>
  <c r="M277" i="11"/>
  <c r="P277" i="11" s="1"/>
  <c r="O26" i="11"/>
  <c r="O546" i="12"/>
  <c r="O328" i="12"/>
  <c r="M41" i="12"/>
  <c r="O629" i="13"/>
  <c r="O347" i="13"/>
  <c r="N20" i="13"/>
  <c r="N18" i="13" s="1"/>
  <c r="L34" i="13"/>
  <c r="O34" i="13" s="1"/>
  <c r="O55" i="14"/>
  <c r="L402" i="14"/>
  <c r="O402" i="14" s="1"/>
  <c r="O238" i="15"/>
  <c r="L227" i="15"/>
  <c r="P90" i="15"/>
  <c r="M88" i="15"/>
  <c r="P88" i="15" s="1"/>
  <c r="I180" i="15"/>
  <c r="K180" i="15" s="1"/>
  <c r="N14" i="15"/>
  <c r="O14" i="15" s="1"/>
  <c r="P317" i="15"/>
  <c r="M315" i="15"/>
  <c r="P315" i="15" s="1"/>
  <c r="N261" i="15"/>
  <c r="O261" i="15" s="1"/>
  <c r="O167" i="13"/>
  <c r="P167" i="13"/>
  <c r="M469" i="15"/>
  <c r="P472" i="15"/>
  <c r="M33" i="15"/>
  <c r="M470" i="15"/>
  <c r="P470" i="15" s="1"/>
  <c r="O132" i="15"/>
  <c r="O41" i="15"/>
  <c r="L37" i="15"/>
  <c r="P317" i="14"/>
  <c r="M315" i="14"/>
  <c r="P315" i="14" s="1"/>
  <c r="O525" i="15"/>
  <c r="L523" i="15"/>
  <c r="O523" i="15" s="1"/>
  <c r="I64" i="15"/>
  <c r="K64" i="15" s="1"/>
  <c r="K76" i="15"/>
  <c r="P151" i="15"/>
  <c r="P41" i="15"/>
  <c r="L629" i="10"/>
  <c r="O629" i="10" s="1"/>
  <c r="L30" i="8"/>
  <c r="O30" i="8" s="1"/>
  <c r="N13" i="9"/>
  <c r="M66" i="10"/>
  <c r="P66" i="10" s="1"/>
  <c r="L685" i="11"/>
  <c r="O685" i="11" s="1"/>
  <c r="O467" i="12"/>
  <c r="L315" i="12"/>
  <c r="O315" i="12" s="1"/>
  <c r="L786" i="12"/>
  <c r="O786" i="12" s="1"/>
  <c r="O421" i="13"/>
  <c r="O264" i="13"/>
  <c r="O469" i="13"/>
  <c r="P300" i="13"/>
  <c r="M277" i="14"/>
  <c r="P277" i="14" s="1"/>
  <c r="O422" i="15"/>
  <c r="P419" i="15"/>
  <c r="P183" i="15"/>
  <c r="M181" i="15"/>
  <c r="P181" i="15" s="1"/>
  <c r="P19" i="15"/>
  <c r="M18" i="15"/>
  <c r="O546" i="15"/>
  <c r="L544" i="15"/>
  <c r="O544" i="15" s="1"/>
  <c r="P449" i="15"/>
  <c r="O19" i="15"/>
  <c r="L18" i="15"/>
  <c r="I65" i="15"/>
  <c r="K65" i="15" s="1"/>
  <c r="K77" i="15"/>
  <c r="P59" i="15"/>
  <c r="L28" i="15"/>
  <c r="O26" i="15"/>
  <c r="O300" i="14"/>
  <c r="L298" i="14"/>
  <c r="O298" i="14" s="1"/>
  <c r="O165" i="9"/>
  <c r="L315" i="14"/>
  <c r="O315" i="14" s="1"/>
  <c r="O317" i="14"/>
  <c r="P300" i="14"/>
  <c r="M298" i="14"/>
  <c r="P298" i="14" s="1"/>
  <c r="P149" i="14"/>
  <c r="O330" i="11"/>
  <c r="O90" i="13"/>
  <c r="N37" i="14"/>
  <c r="P263" i="14"/>
  <c r="M261" i="14"/>
  <c r="P261" i="14" s="1"/>
  <c r="L786" i="8"/>
  <c r="O786" i="8" s="1"/>
  <c r="L685" i="7"/>
  <c r="O685" i="7" s="1"/>
  <c r="L629" i="12"/>
  <c r="O629" i="12" s="1"/>
  <c r="L20" i="13"/>
  <c r="L34" i="14"/>
  <c r="O34" i="14" s="1"/>
  <c r="P41" i="14"/>
  <c r="O23" i="13"/>
  <c r="L13" i="13"/>
  <c r="P88" i="13"/>
  <c r="L261" i="14"/>
  <c r="O261" i="14" s="1"/>
  <c r="N21" i="14"/>
  <c r="P21" i="14" s="1"/>
  <c r="N20" i="14"/>
  <c r="N18" i="14" s="1"/>
  <c r="P43" i="14"/>
  <c r="L66" i="14"/>
  <c r="O66" i="14" s="1"/>
  <c r="O68" i="14"/>
  <c r="P298" i="9"/>
  <c r="L298" i="13"/>
  <c r="O298" i="13" s="1"/>
  <c r="L53" i="14"/>
  <c r="O53" i="14" s="1"/>
  <c r="P330" i="14"/>
  <c r="M328" i="14"/>
  <c r="P328" i="14" s="1"/>
  <c r="L132" i="14"/>
  <c r="O132" i="14" s="1"/>
  <c r="O134" i="14"/>
  <c r="N14" i="14"/>
  <c r="N9" i="14"/>
  <c r="O687" i="14"/>
  <c r="L685" i="14"/>
  <c r="O685" i="14" s="1"/>
  <c r="K364" i="9"/>
  <c r="O33" i="11"/>
  <c r="O167" i="10"/>
  <c r="P446" i="13"/>
  <c r="I418" i="14"/>
  <c r="K418" i="14" s="1"/>
  <c r="K434" i="14"/>
  <c r="K433" i="14"/>
  <c r="P347" i="14"/>
  <c r="M345" i="14"/>
  <c r="P345" i="14" s="1"/>
  <c r="I65" i="14"/>
  <c r="K65" i="14" s="1"/>
  <c r="K77" i="14"/>
  <c r="L31" i="14"/>
  <c r="L30" i="14"/>
  <c r="L28" i="14" s="1"/>
  <c r="O33" i="14"/>
  <c r="M165" i="14"/>
  <c r="P165" i="14" s="1"/>
  <c r="P167" i="14"/>
  <c r="M9" i="14"/>
  <c r="P12" i="14"/>
  <c r="O26" i="14"/>
  <c r="L16" i="14"/>
  <c r="O16" i="14" s="1"/>
  <c r="L24" i="14"/>
  <c r="O24" i="14" s="1"/>
  <c r="P26" i="14"/>
  <c r="M16" i="14"/>
  <c r="P16" i="14" s="1"/>
  <c r="M24" i="14"/>
  <c r="P24" i="14" s="1"/>
  <c r="O29" i="14"/>
  <c r="L24" i="12"/>
  <c r="M389" i="13"/>
  <c r="P389" i="13" s="1"/>
  <c r="L685" i="13"/>
  <c r="O685" i="13" s="1"/>
  <c r="L149" i="13"/>
  <c r="O149" i="13" s="1"/>
  <c r="K76" i="13"/>
  <c r="N546" i="14"/>
  <c r="N544" i="14" s="1"/>
  <c r="O544" i="14" s="1"/>
  <c r="N547" i="14"/>
  <c r="N33" i="14"/>
  <c r="I131" i="14"/>
  <c r="K131" i="14" s="1"/>
  <c r="K143" i="14"/>
  <c r="P391" i="14"/>
  <c r="M389" i="14"/>
  <c r="P389" i="14" s="1"/>
  <c r="P424" i="14"/>
  <c r="M422" i="14"/>
  <c r="P422" i="14" s="1"/>
  <c r="M33" i="14"/>
  <c r="M13" i="14" s="1"/>
  <c r="M421" i="14"/>
  <c r="L328" i="14"/>
  <c r="O328" i="14" s="1"/>
  <c r="P138" i="13"/>
  <c r="P549" i="14"/>
  <c r="M547" i="14"/>
  <c r="P547" i="14" s="1"/>
  <c r="M546" i="14"/>
  <c r="O68" i="2"/>
  <c r="O183" i="11"/>
  <c r="L34" i="12"/>
  <c r="O34" i="12" s="1"/>
  <c r="K365" i="13"/>
  <c r="M467" i="13"/>
  <c r="P467" i="13" s="1"/>
  <c r="O68" i="13"/>
  <c r="O15" i="14"/>
  <c r="L419" i="14"/>
  <c r="L277" i="14"/>
  <c r="O277" i="14" s="1"/>
  <c r="O23" i="14"/>
  <c r="L20" i="14"/>
  <c r="L21" i="14"/>
  <c r="O21" i="14" s="1"/>
  <c r="L13" i="14"/>
  <c r="L149" i="14"/>
  <c r="O149" i="14" s="1"/>
  <c r="M14" i="14"/>
  <c r="P15" i="14"/>
  <c r="O547" i="14"/>
  <c r="P53" i="14"/>
  <c r="O43" i="11"/>
  <c r="O26" i="12"/>
  <c r="N345" i="13"/>
  <c r="N37" i="13" s="1"/>
  <c r="P90" i="13"/>
  <c r="K417" i="14"/>
  <c r="L523" i="14"/>
  <c r="O523" i="14" s="1"/>
  <c r="P470" i="14"/>
  <c r="O446" i="14"/>
  <c r="L444" i="14"/>
  <c r="O444" i="14" s="1"/>
  <c r="K237" i="14"/>
  <c r="I226" i="14"/>
  <c r="L9" i="14"/>
  <c r="P469" i="14"/>
  <c r="N467" i="14"/>
  <c r="O467" i="14" s="1"/>
  <c r="P23" i="14"/>
  <c r="M20" i="14"/>
  <c r="O238" i="14"/>
  <c r="L227" i="14"/>
  <c r="L41" i="14"/>
  <c r="O43" i="14"/>
  <c r="P19" i="14"/>
  <c r="L119" i="14"/>
  <c r="O119" i="14" s="1"/>
  <c r="P183" i="12"/>
  <c r="O44" i="12"/>
  <c r="M132" i="13"/>
  <c r="P132" i="13" s="1"/>
  <c r="O181" i="9"/>
  <c r="O330" i="10"/>
  <c r="P347" i="11"/>
  <c r="L655" i="12"/>
  <c r="O655" i="12" s="1"/>
  <c r="L181" i="13"/>
  <c r="O181" i="13" s="1"/>
  <c r="L88" i="13"/>
  <c r="O88" i="13" s="1"/>
  <c r="O317" i="13"/>
  <c r="L315" i="13"/>
  <c r="O315" i="13" s="1"/>
  <c r="M261" i="13"/>
  <c r="P261" i="13" s="1"/>
  <c r="P263" i="13"/>
  <c r="O53" i="13"/>
  <c r="P68" i="13"/>
  <c r="M66" i="13"/>
  <c r="P66" i="13" s="1"/>
  <c r="L119" i="10"/>
  <c r="O119" i="10" s="1"/>
  <c r="P56" i="12"/>
  <c r="L13" i="12"/>
  <c r="L10" i="12" s="1"/>
  <c r="L8" i="12" s="1"/>
  <c r="O23" i="12"/>
  <c r="O55" i="13"/>
  <c r="L277" i="13"/>
  <c r="O277" i="13" s="1"/>
  <c r="O181" i="8"/>
  <c r="M261" i="9"/>
  <c r="P261" i="9" s="1"/>
  <c r="O263" i="9"/>
  <c r="P631" i="13"/>
  <c r="M629" i="13"/>
  <c r="P629" i="13" s="1"/>
  <c r="K559" i="13"/>
  <c r="I543" i="13"/>
  <c r="K543" i="13" s="1"/>
  <c r="J417" i="13"/>
  <c r="K417" i="13" s="1"/>
  <c r="K433" i="13"/>
  <c r="M546" i="13"/>
  <c r="P546" i="13" s="1"/>
  <c r="P549" i="13"/>
  <c r="M547" i="13"/>
  <c r="P547" i="13" s="1"/>
  <c r="O15" i="13"/>
  <c r="L14" i="13"/>
  <c r="P43" i="13"/>
  <c r="O13" i="13"/>
  <c r="L10" i="13"/>
  <c r="L28" i="13"/>
  <c r="O28" i="13" s="1"/>
  <c r="L30" i="7"/>
  <c r="L315" i="7"/>
  <c r="O315" i="7" s="1"/>
  <c r="O328" i="10"/>
  <c r="L20" i="12"/>
  <c r="L18" i="12" s="1"/>
  <c r="L523" i="12"/>
  <c r="O523" i="12" s="1"/>
  <c r="O347" i="12"/>
  <c r="O632" i="13"/>
  <c r="P660" i="13"/>
  <c r="M657" i="13"/>
  <c r="M658" i="13"/>
  <c r="P658" i="13" s="1"/>
  <c r="O19" i="13"/>
  <c r="L18" i="13"/>
  <c r="O18" i="13" s="1"/>
  <c r="M149" i="13"/>
  <c r="P149" i="13" s="1"/>
  <c r="N414" i="13"/>
  <c r="O26" i="13"/>
  <c r="O391" i="9"/>
  <c r="K434" i="9"/>
  <c r="O347" i="11"/>
  <c r="O183" i="12"/>
  <c r="P345" i="12"/>
  <c r="K434" i="13"/>
  <c r="I418" i="13"/>
  <c r="K418" i="13" s="1"/>
  <c r="P347" i="13"/>
  <c r="M345" i="13"/>
  <c r="P345" i="13" s="1"/>
  <c r="N24" i="13"/>
  <c r="O24" i="13" s="1"/>
  <c r="N16" i="13"/>
  <c r="N14" i="13" s="1"/>
  <c r="K537" i="13"/>
  <c r="O12" i="13"/>
  <c r="L9" i="13"/>
  <c r="L11" i="13"/>
  <c r="P41" i="13"/>
  <c r="M181" i="13"/>
  <c r="P181" i="13" s="1"/>
  <c r="N11" i="13"/>
  <c r="K77" i="9"/>
  <c r="P43" i="11"/>
  <c r="M132" i="12"/>
  <c r="P132" i="12" s="1"/>
  <c r="N20" i="12"/>
  <c r="N18" i="12" s="1"/>
  <c r="M261" i="12"/>
  <c r="P261" i="12" s="1"/>
  <c r="M165" i="13"/>
  <c r="P165" i="13" s="1"/>
  <c r="L523" i="13"/>
  <c r="O523" i="13" s="1"/>
  <c r="O525" i="13"/>
  <c r="L444" i="13"/>
  <c r="P545" i="13"/>
  <c r="L261" i="13"/>
  <c r="O261" i="13" s="1"/>
  <c r="M315" i="13"/>
  <c r="P315" i="13" s="1"/>
  <c r="P26" i="13"/>
  <c r="M16" i="13"/>
  <c r="K522" i="13"/>
  <c r="O43" i="13"/>
  <c r="L41" i="13"/>
  <c r="K77" i="12"/>
  <c r="I65" i="12"/>
  <c r="K65" i="12" s="1"/>
  <c r="O121" i="13"/>
  <c r="L119" i="13"/>
  <c r="O119" i="13" s="1"/>
  <c r="O31" i="13"/>
  <c r="K174" i="13"/>
  <c r="I164" i="13"/>
  <c r="K164" i="13" s="1"/>
  <c r="L165" i="13"/>
  <c r="O165" i="13" s="1"/>
  <c r="O56" i="13"/>
  <c r="L328" i="13"/>
  <c r="O328" i="13" s="1"/>
  <c r="O330" i="13"/>
  <c r="P528" i="13"/>
  <c r="M525" i="13"/>
  <c r="M526" i="13"/>
  <c r="P526" i="13" s="1"/>
  <c r="M33" i="13"/>
  <c r="O331" i="13"/>
  <c r="O404" i="13"/>
  <c r="L402" i="13"/>
  <c r="O402" i="13" s="1"/>
  <c r="K237" i="13"/>
  <c r="I226" i="13"/>
  <c r="P59" i="13"/>
  <c r="O59" i="13"/>
  <c r="P23" i="13"/>
  <c r="M20" i="13"/>
  <c r="L227" i="12"/>
  <c r="P419" i="13"/>
  <c r="O391" i="13"/>
  <c r="L389" i="13"/>
  <c r="O389" i="13" s="1"/>
  <c r="I131" i="13"/>
  <c r="K131" i="13" s="1"/>
  <c r="K143" i="13"/>
  <c r="P29" i="13"/>
  <c r="P12" i="13"/>
  <c r="M9" i="13"/>
  <c r="L227" i="13"/>
  <c r="K77" i="13"/>
  <c r="I65" i="13"/>
  <c r="K65" i="13" s="1"/>
  <c r="O345" i="13"/>
  <c r="O20" i="13"/>
  <c r="K76" i="8"/>
  <c r="P183" i="8"/>
  <c r="M277" i="9"/>
  <c r="P277" i="9" s="1"/>
  <c r="M446" i="10"/>
  <c r="P446" i="10" s="1"/>
  <c r="N13" i="12"/>
  <c r="N11" i="12" s="1"/>
  <c r="L66" i="12"/>
  <c r="O66" i="12" s="1"/>
  <c r="L31" i="12"/>
  <c r="P347" i="12"/>
  <c r="L277" i="12"/>
  <c r="O277" i="12" s="1"/>
  <c r="O279" i="12"/>
  <c r="P183" i="5"/>
  <c r="I418" i="7"/>
  <c r="K418" i="7" s="1"/>
  <c r="O469" i="8"/>
  <c r="P347" i="8"/>
  <c r="O345" i="8"/>
  <c r="L655" i="11"/>
  <c r="O655" i="11" s="1"/>
  <c r="O134" i="12"/>
  <c r="L132" i="12"/>
  <c r="O132" i="12" s="1"/>
  <c r="M149" i="5"/>
  <c r="P149" i="5" s="1"/>
  <c r="M149" i="8"/>
  <c r="P149" i="8" s="1"/>
  <c r="M469" i="10"/>
  <c r="M467" i="10" s="1"/>
  <c r="L34" i="11"/>
  <c r="O34" i="11" s="1"/>
  <c r="O261" i="11"/>
  <c r="L402" i="12"/>
  <c r="O402" i="12" s="1"/>
  <c r="O167" i="12"/>
  <c r="M389" i="9"/>
  <c r="P389" i="9" s="1"/>
  <c r="P472" i="10"/>
  <c r="O263" i="10"/>
  <c r="O59" i="11"/>
  <c r="L66" i="11"/>
  <c r="O66" i="11" s="1"/>
  <c r="L30" i="11"/>
  <c r="L345" i="12"/>
  <c r="O345" i="12" s="1"/>
  <c r="L277" i="10"/>
  <c r="O277" i="10" s="1"/>
  <c r="M447" i="12"/>
  <c r="P447" i="12" s="1"/>
  <c r="M446" i="12"/>
  <c r="M444" i="12" s="1"/>
  <c r="P444" i="12" s="1"/>
  <c r="O90" i="12"/>
  <c r="L88" i="12"/>
  <c r="P424" i="12"/>
  <c r="M421" i="12"/>
  <c r="M422" i="12"/>
  <c r="P422" i="12" s="1"/>
  <c r="M33" i="12"/>
  <c r="M13" i="12" s="1"/>
  <c r="N165" i="12"/>
  <c r="O165" i="12" s="1"/>
  <c r="K364" i="12"/>
  <c r="K174" i="12"/>
  <c r="I164" i="12"/>
  <c r="K164" i="12" s="1"/>
  <c r="P41" i="12"/>
  <c r="N9" i="12"/>
  <c r="O55" i="5"/>
  <c r="L419" i="11"/>
  <c r="O419" i="11" s="1"/>
  <c r="O687" i="12"/>
  <c r="L685" i="12"/>
  <c r="O685" i="12" s="1"/>
  <c r="O300" i="12"/>
  <c r="L298" i="12"/>
  <c r="O298" i="12" s="1"/>
  <c r="O21" i="12"/>
  <c r="N88" i="12"/>
  <c r="P88" i="12" s="1"/>
  <c r="M16" i="12"/>
  <c r="P26" i="12"/>
  <c r="M24" i="12"/>
  <c r="M632" i="11"/>
  <c r="P632" i="11" s="1"/>
  <c r="M631" i="11"/>
  <c r="M119" i="12"/>
  <c r="P119" i="12" s="1"/>
  <c r="O404" i="11"/>
  <c r="L402" i="11"/>
  <c r="O402" i="11" s="1"/>
  <c r="O181" i="12"/>
  <c r="O263" i="4"/>
  <c r="K76" i="10"/>
  <c r="L786" i="10"/>
  <c r="O786" i="10" s="1"/>
  <c r="M20" i="10"/>
  <c r="M18" i="10" s="1"/>
  <c r="L24" i="11"/>
  <c r="P263" i="11"/>
  <c r="O184" i="11"/>
  <c r="O41" i="10"/>
  <c r="P549" i="12"/>
  <c r="M546" i="12"/>
  <c r="P546" i="12" s="1"/>
  <c r="M547" i="12"/>
  <c r="P547" i="12" s="1"/>
  <c r="P545" i="12"/>
  <c r="M20" i="12"/>
  <c r="M21" i="12"/>
  <c r="P21" i="12" s="1"/>
  <c r="P23" i="12"/>
  <c r="P328" i="12"/>
  <c r="P167" i="12"/>
  <c r="P330" i="11"/>
  <c r="O9" i="12"/>
  <c r="O347" i="8"/>
  <c r="I164" i="9"/>
  <c r="K164" i="9" s="1"/>
  <c r="P56" i="9"/>
  <c r="K417" i="9"/>
  <c r="P347" i="9"/>
  <c r="L444" i="10"/>
  <c r="O444" i="10" s="1"/>
  <c r="P183" i="11"/>
  <c r="O44" i="10"/>
  <c r="L16" i="11"/>
  <c r="L14" i="11" s="1"/>
  <c r="O14" i="11" s="1"/>
  <c r="K174" i="11"/>
  <c r="L444" i="11"/>
  <c r="O444" i="11" s="1"/>
  <c r="O470" i="12"/>
  <c r="P330" i="12"/>
  <c r="O330" i="12"/>
  <c r="O15" i="12"/>
  <c r="L14" i="12"/>
  <c r="K433" i="12"/>
  <c r="I543" i="12"/>
  <c r="K543" i="12" s="1"/>
  <c r="K559" i="12"/>
  <c r="P181" i="12"/>
  <c r="O55" i="12"/>
  <c r="N53" i="12"/>
  <c r="O53" i="12" s="1"/>
  <c r="M9" i="12"/>
  <c r="P12" i="12"/>
  <c r="O19" i="12"/>
  <c r="O167" i="9"/>
  <c r="L277" i="11"/>
  <c r="O277" i="11" s="1"/>
  <c r="O168" i="11"/>
  <c r="N24" i="11"/>
  <c r="P24" i="11" s="1"/>
  <c r="M469" i="12"/>
  <c r="P472" i="12"/>
  <c r="M470" i="12"/>
  <c r="P470" i="12" s="1"/>
  <c r="O446" i="12"/>
  <c r="N444" i="12"/>
  <c r="N414" i="12" s="1"/>
  <c r="K417" i="12"/>
  <c r="O41" i="12"/>
  <c r="P19" i="12"/>
  <c r="N41" i="9"/>
  <c r="P41" i="9" s="1"/>
  <c r="N165" i="10"/>
  <c r="N37" i="10" s="1"/>
  <c r="M389" i="11"/>
  <c r="P389" i="11" s="1"/>
  <c r="L328" i="11"/>
  <c r="O328" i="11" s="1"/>
  <c r="M132" i="11"/>
  <c r="P132" i="11" s="1"/>
  <c r="M41" i="11"/>
  <c r="P41" i="11" s="1"/>
  <c r="N20" i="11"/>
  <c r="O263" i="11"/>
  <c r="N30" i="12"/>
  <c r="N28" i="12" s="1"/>
  <c r="N31" i="12"/>
  <c r="K237" i="12"/>
  <c r="I226" i="12"/>
  <c r="O33" i="12"/>
  <c r="L30" i="12"/>
  <c r="O421" i="12"/>
  <c r="L419" i="12"/>
  <c r="N16" i="12"/>
  <c r="O16" i="12" s="1"/>
  <c r="N24" i="12"/>
  <c r="O24" i="12" s="1"/>
  <c r="P424" i="11"/>
  <c r="M421" i="11"/>
  <c r="L523" i="11"/>
  <c r="O523" i="11" s="1"/>
  <c r="M149" i="6"/>
  <c r="P149" i="6" s="1"/>
  <c r="L34" i="7"/>
  <c r="O34" i="7" s="1"/>
  <c r="M345" i="9"/>
  <c r="P345" i="9" s="1"/>
  <c r="P345" i="10"/>
  <c r="L467" i="11"/>
  <c r="O467" i="11" s="1"/>
  <c r="O469" i="11"/>
  <c r="N181" i="11"/>
  <c r="O181" i="11" s="1"/>
  <c r="L685" i="4"/>
  <c r="O685" i="4" s="1"/>
  <c r="P690" i="7"/>
  <c r="L277" i="9"/>
  <c r="O277" i="9" s="1"/>
  <c r="O43" i="10"/>
  <c r="P55" i="11"/>
  <c r="M389" i="3"/>
  <c r="P389" i="3" s="1"/>
  <c r="M402" i="6"/>
  <c r="P402" i="6" s="1"/>
  <c r="M315" i="6"/>
  <c r="P315" i="6" s="1"/>
  <c r="O183" i="5"/>
  <c r="O263" i="7"/>
  <c r="P347" i="10"/>
  <c r="K433" i="10"/>
  <c r="O55" i="11"/>
  <c r="M345" i="11"/>
  <c r="P345" i="11" s="1"/>
  <c r="P261" i="11"/>
  <c r="P53" i="11"/>
  <c r="O546" i="7"/>
  <c r="L16" i="7"/>
  <c r="L14" i="7" s="1"/>
  <c r="O167" i="7"/>
  <c r="L277" i="8"/>
  <c r="O277" i="8" s="1"/>
  <c r="P88" i="9"/>
  <c r="L685" i="10"/>
  <c r="O685" i="10" s="1"/>
  <c r="M422" i="11"/>
  <c r="P422" i="11" s="1"/>
  <c r="O53" i="11"/>
  <c r="M315" i="11"/>
  <c r="P315" i="11" s="1"/>
  <c r="O30" i="11"/>
  <c r="P660" i="11"/>
  <c r="M657" i="11"/>
  <c r="P151" i="11"/>
  <c r="M149" i="11"/>
  <c r="P149" i="11" s="1"/>
  <c r="O91" i="4"/>
  <c r="O391" i="8"/>
  <c r="M132" i="10"/>
  <c r="P132" i="10" s="1"/>
  <c r="L66" i="10"/>
  <c r="O66" i="10" s="1"/>
  <c r="O347" i="10"/>
  <c r="L298" i="11"/>
  <c r="O298" i="11" s="1"/>
  <c r="P549" i="11"/>
  <c r="M546" i="11"/>
  <c r="P546" i="11" s="1"/>
  <c r="M547" i="11"/>
  <c r="P547" i="11" s="1"/>
  <c r="M33" i="11"/>
  <c r="L523" i="10"/>
  <c r="O523" i="10" s="1"/>
  <c r="O525" i="10"/>
  <c r="O12" i="11"/>
  <c r="L9" i="11"/>
  <c r="L41" i="11"/>
  <c r="M629" i="5"/>
  <c r="P629" i="5" s="1"/>
  <c r="P300" i="5"/>
  <c r="N21" i="6"/>
  <c r="M24" i="7"/>
  <c r="O55" i="8"/>
  <c r="O56" i="9"/>
  <c r="O469" i="10"/>
  <c r="K434" i="11"/>
  <c r="I418" i="11"/>
  <c r="K418" i="11" s="1"/>
  <c r="J417" i="11"/>
  <c r="K417" i="11" s="1"/>
  <c r="K433" i="11"/>
  <c r="P469" i="11"/>
  <c r="M467" i="11"/>
  <c r="P467" i="11" s="1"/>
  <c r="P15" i="11"/>
  <c r="L28" i="11"/>
  <c r="O28" i="11" s="1"/>
  <c r="O29" i="11"/>
  <c r="I226" i="11"/>
  <c r="K248" i="11"/>
  <c r="L21" i="11"/>
  <c r="O21" i="11" s="1"/>
  <c r="O23" i="11"/>
  <c r="L20" i="11"/>
  <c r="O20" i="11" s="1"/>
  <c r="L13" i="11"/>
  <c r="L11" i="11" s="1"/>
  <c r="P151" i="2"/>
  <c r="O90" i="5"/>
  <c r="P90" i="6"/>
  <c r="M41" i="7"/>
  <c r="O421" i="8"/>
  <c r="O446" i="9"/>
  <c r="O55" i="10"/>
  <c r="L402" i="10"/>
  <c r="O402" i="10" s="1"/>
  <c r="M9" i="11"/>
  <c r="L119" i="11"/>
  <c r="O119" i="11" s="1"/>
  <c r="N31" i="11"/>
  <c r="O31" i="11" s="1"/>
  <c r="N13" i="11"/>
  <c r="N10" i="11" s="1"/>
  <c r="N9" i="11"/>
  <c r="O91" i="11"/>
  <c r="P121" i="11"/>
  <c r="M119" i="11"/>
  <c r="P119" i="11" s="1"/>
  <c r="P545" i="11"/>
  <c r="M632" i="5"/>
  <c r="P632" i="5" s="1"/>
  <c r="O90" i="6"/>
  <c r="L31" i="7"/>
  <c r="O300" i="8"/>
  <c r="L402" i="8"/>
  <c r="O402" i="8" s="1"/>
  <c r="O469" i="9"/>
  <c r="P91" i="10"/>
  <c r="L419" i="10"/>
  <c r="O419" i="10" s="1"/>
  <c r="K559" i="11"/>
  <c r="I543" i="11"/>
  <c r="K543" i="11" s="1"/>
  <c r="K77" i="10"/>
  <c r="I65" i="10"/>
  <c r="K65" i="10" s="1"/>
  <c r="P300" i="11"/>
  <c r="M298" i="11"/>
  <c r="P298" i="11" s="1"/>
  <c r="L149" i="11"/>
  <c r="O149" i="11" s="1"/>
  <c r="P23" i="11"/>
  <c r="M20" i="11"/>
  <c r="M21" i="11"/>
  <c r="P21" i="11" s="1"/>
  <c r="L227" i="11"/>
  <c r="O238" i="11"/>
  <c r="O90" i="11"/>
  <c r="N88" i="11"/>
  <c r="P88" i="11" s="1"/>
  <c r="I131" i="11"/>
  <c r="K131" i="11" s="1"/>
  <c r="K143" i="11"/>
  <c r="M181" i="11"/>
  <c r="N18" i="11"/>
  <c r="M298" i="6"/>
  <c r="P298" i="6" s="1"/>
  <c r="L261" i="7"/>
  <c r="O261" i="7" s="1"/>
  <c r="N88" i="7"/>
  <c r="O88" i="7" s="1"/>
  <c r="K433" i="9"/>
  <c r="P391" i="10"/>
  <c r="L132" i="11"/>
  <c r="O132" i="11" s="1"/>
  <c r="O134" i="11"/>
  <c r="K76" i="11"/>
  <c r="I64" i="11"/>
  <c r="K64" i="11" s="1"/>
  <c r="P26" i="11"/>
  <c r="M16" i="11"/>
  <c r="P16" i="11" s="1"/>
  <c r="P90" i="11"/>
  <c r="N20" i="9"/>
  <c r="N18" i="9" s="1"/>
  <c r="O546" i="11"/>
  <c r="L544" i="11"/>
  <c r="O544" i="11" s="1"/>
  <c r="O317" i="11"/>
  <c r="L315" i="11"/>
  <c r="O315" i="11" s="1"/>
  <c r="O167" i="11"/>
  <c r="N165" i="11"/>
  <c r="O165" i="11" s="1"/>
  <c r="O19" i="11"/>
  <c r="P167" i="11"/>
  <c r="P29" i="11"/>
  <c r="P68" i="11"/>
  <c r="M66" i="11"/>
  <c r="P66" i="11" s="1"/>
  <c r="M119" i="6"/>
  <c r="P119" i="6" s="1"/>
  <c r="M132" i="7"/>
  <c r="P132" i="7" s="1"/>
  <c r="P165" i="8"/>
  <c r="P300" i="9"/>
  <c r="L30" i="10"/>
  <c r="L28" i="10" s="1"/>
  <c r="M41" i="10"/>
  <c r="P41" i="10" s="1"/>
  <c r="P43" i="10"/>
  <c r="I64" i="4"/>
  <c r="K64" i="4" s="1"/>
  <c r="L34" i="4"/>
  <c r="O34" i="4" s="1"/>
  <c r="P347" i="7"/>
  <c r="M261" i="8"/>
  <c r="P261" i="8" s="1"/>
  <c r="I65" i="8"/>
  <c r="K65" i="8" s="1"/>
  <c r="O43" i="8"/>
  <c r="L119" i="9"/>
  <c r="O119" i="9" s="1"/>
  <c r="K76" i="9"/>
  <c r="P330" i="6"/>
  <c r="P167" i="8"/>
  <c r="P90" i="9"/>
  <c r="P55" i="10"/>
  <c r="P330" i="10"/>
  <c r="M328" i="10"/>
  <c r="P328" i="10" s="1"/>
  <c r="O263" i="8"/>
  <c r="L16" i="6"/>
  <c r="L14" i="6" s="1"/>
  <c r="L261" i="8"/>
  <c r="O261" i="8" s="1"/>
  <c r="L149" i="9"/>
  <c r="O149" i="9" s="1"/>
  <c r="P181" i="9"/>
  <c r="L132" i="10"/>
  <c r="O132" i="10" s="1"/>
  <c r="M315" i="10"/>
  <c r="P315" i="10" s="1"/>
  <c r="O345" i="10"/>
  <c r="M66" i="4"/>
  <c r="P66" i="4" s="1"/>
  <c r="K364" i="5"/>
  <c r="P404" i="5"/>
  <c r="P279" i="5"/>
  <c r="L298" i="7"/>
  <c r="O298" i="7" s="1"/>
  <c r="M402" i="7"/>
  <c r="P402" i="7" s="1"/>
  <c r="P348" i="8"/>
  <c r="O55" i="9"/>
  <c r="P183" i="9"/>
  <c r="L34" i="9"/>
  <c r="O34" i="9" s="1"/>
  <c r="N53" i="9"/>
  <c r="P53" i="9" s="1"/>
  <c r="O183" i="9"/>
  <c r="O90" i="9"/>
  <c r="O467" i="10"/>
  <c r="P90" i="10"/>
  <c r="O184" i="10"/>
  <c r="M277" i="10"/>
  <c r="P277" i="10" s="1"/>
  <c r="O23" i="10"/>
  <c r="L20" i="10"/>
  <c r="L13" i="10"/>
  <c r="L21" i="10"/>
  <c r="O21" i="10" s="1"/>
  <c r="P15" i="10"/>
  <c r="P29" i="10"/>
  <c r="P23" i="10"/>
  <c r="O317" i="10"/>
  <c r="L315" i="10"/>
  <c r="O315" i="10" s="1"/>
  <c r="P545" i="10"/>
  <c r="O9" i="10"/>
  <c r="P9" i="10"/>
  <c r="P121" i="10"/>
  <c r="M119" i="10"/>
  <c r="P119" i="10" s="1"/>
  <c r="N28" i="10"/>
  <c r="M422" i="6"/>
  <c r="P422" i="6" s="1"/>
  <c r="I418" i="6"/>
  <c r="K418" i="6" s="1"/>
  <c r="M389" i="6"/>
  <c r="P389" i="6" s="1"/>
  <c r="L629" i="7"/>
  <c r="O629" i="7" s="1"/>
  <c r="K174" i="7"/>
  <c r="M389" i="8"/>
  <c r="P389" i="8" s="1"/>
  <c r="L132" i="8"/>
  <c r="O132" i="8" s="1"/>
  <c r="N41" i="8"/>
  <c r="O41" i="8" s="1"/>
  <c r="P181" i="7"/>
  <c r="O88" i="9"/>
  <c r="O238" i="10"/>
  <c r="L227" i="10"/>
  <c r="P467" i="10"/>
  <c r="M447" i="9"/>
  <c r="P447" i="9" s="1"/>
  <c r="P449" i="9"/>
  <c r="L88" i="10"/>
  <c r="O88" i="10" s="1"/>
  <c r="O90" i="10"/>
  <c r="L389" i="10"/>
  <c r="O389" i="10" s="1"/>
  <c r="O391" i="10"/>
  <c r="O391" i="2"/>
  <c r="K365" i="10"/>
  <c r="J364" i="10"/>
  <c r="K364" i="10" s="1"/>
  <c r="I226" i="10"/>
  <c r="K237" i="10"/>
  <c r="L261" i="10"/>
  <c r="O261" i="10" s="1"/>
  <c r="M149" i="10"/>
  <c r="P149" i="10" s="1"/>
  <c r="O26" i="10"/>
  <c r="L24" i="10"/>
  <c r="L16" i="10"/>
  <c r="O16" i="10" s="1"/>
  <c r="P26" i="10"/>
  <c r="M16" i="10"/>
  <c r="P16" i="10" s="1"/>
  <c r="M24" i="10"/>
  <c r="O183" i="10"/>
  <c r="L181" i="10"/>
  <c r="O181" i="10" s="1"/>
  <c r="N24" i="10"/>
  <c r="P88" i="10"/>
  <c r="P53" i="10"/>
  <c r="L88" i="6"/>
  <c r="O88" i="6" s="1"/>
  <c r="L119" i="2"/>
  <c r="O119" i="2" s="1"/>
  <c r="L402" i="4"/>
  <c r="O402" i="4" s="1"/>
  <c r="M149" i="4"/>
  <c r="P149" i="4" s="1"/>
  <c r="L66" i="6"/>
  <c r="O66" i="6" s="1"/>
  <c r="L523" i="6"/>
  <c r="O523" i="6" s="1"/>
  <c r="O345" i="6"/>
  <c r="L149" i="7"/>
  <c r="O149" i="7" s="1"/>
  <c r="M688" i="7"/>
  <c r="P688" i="7" s="1"/>
  <c r="N21" i="8"/>
  <c r="P21" i="8" s="1"/>
  <c r="O183" i="8"/>
  <c r="O657" i="10"/>
  <c r="L655" i="10"/>
  <c r="O655" i="10" s="1"/>
  <c r="P469" i="10"/>
  <c r="M298" i="10"/>
  <c r="P298" i="10" s="1"/>
  <c r="P300" i="10"/>
  <c r="O29" i="10"/>
  <c r="K143" i="10"/>
  <c r="I131" i="10"/>
  <c r="K131" i="10" s="1"/>
  <c r="N30" i="10"/>
  <c r="O33" i="10"/>
  <c r="L298" i="10"/>
  <c r="O298" i="10" s="1"/>
  <c r="N14" i="10"/>
  <c r="P263" i="10"/>
  <c r="M261" i="10"/>
  <c r="P261" i="10" s="1"/>
  <c r="P21" i="10"/>
  <c r="M629" i="2"/>
  <c r="P629" i="2" s="1"/>
  <c r="P634" i="2"/>
  <c r="P424" i="4"/>
  <c r="P634" i="5"/>
  <c r="O347" i="6"/>
  <c r="M685" i="7"/>
  <c r="P685" i="7" s="1"/>
  <c r="M119" i="8"/>
  <c r="P119" i="8" s="1"/>
  <c r="O261" i="9"/>
  <c r="O68" i="9"/>
  <c r="M546" i="10"/>
  <c r="P546" i="10" s="1"/>
  <c r="M547" i="10"/>
  <c r="P547" i="10" s="1"/>
  <c r="P549" i="10"/>
  <c r="M33" i="10"/>
  <c r="I543" i="10"/>
  <c r="K543" i="10" s="1"/>
  <c r="K559" i="10"/>
  <c r="O15" i="10"/>
  <c r="P183" i="10"/>
  <c r="M181" i="10"/>
  <c r="P181" i="10" s="1"/>
  <c r="P167" i="10"/>
  <c r="M165" i="10"/>
  <c r="L53" i="10"/>
  <c r="N20" i="10"/>
  <c r="N18" i="10" s="1"/>
  <c r="N13" i="10"/>
  <c r="M402" i="10"/>
  <c r="P402" i="10" s="1"/>
  <c r="P132" i="9"/>
  <c r="L298" i="9"/>
  <c r="O298" i="9" s="1"/>
  <c r="O300" i="9"/>
  <c r="L523" i="9"/>
  <c r="O523" i="9" s="1"/>
  <c r="O525" i="9"/>
  <c r="P331" i="9"/>
  <c r="P446" i="9"/>
  <c r="M444" i="9"/>
  <c r="P444" i="9" s="1"/>
  <c r="K434" i="8"/>
  <c r="P345" i="6"/>
  <c r="M402" i="9"/>
  <c r="P402" i="9" s="1"/>
  <c r="P404" i="9"/>
  <c r="O66" i="9"/>
  <c r="P134" i="9"/>
  <c r="L402" i="9"/>
  <c r="O402" i="9" s="1"/>
  <c r="O404" i="9"/>
  <c r="P330" i="9"/>
  <c r="O347" i="7"/>
  <c r="P330" i="8"/>
  <c r="P351" i="9"/>
  <c r="O631" i="9"/>
  <c r="L629" i="9"/>
  <c r="O629" i="9" s="1"/>
  <c r="P66" i="9"/>
  <c r="P328" i="9"/>
  <c r="N24" i="9"/>
  <c r="P68" i="9"/>
  <c r="P545" i="9"/>
  <c r="P26" i="9"/>
  <c r="M16" i="9"/>
  <c r="M24" i="9"/>
  <c r="L41" i="9"/>
  <c r="O43" i="9"/>
  <c r="M165" i="9"/>
  <c r="P165" i="9" s="1"/>
  <c r="P167" i="9"/>
  <c r="N11" i="9"/>
  <c r="N10" i="9"/>
  <c r="O184" i="5"/>
  <c r="O348" i="5"/>
  <c r="O687" i="6"/>
  <c r="P347" i="6"/>
  <c r="M345" i="8"/>
  <c r="P345" i="8" s="1"/>
  <c r="N24" i="8"/>
  <c r="P24" i="8" s="1"/>
  <c r="P469" i="9"/>
  <c r="M467" i="9"/>
  <c r="P467" i="9" s="1"/>
  <c r="P424" i="9"/>
  <c r="M421" i="9"/>
  <c r="M422" i="9"/>
  <c r="P422" i="9" s="1"/>
  <c r="M33" i="9"/>
  <c r="M13" i="9" s="1"/>
  <c r="L132" i="9"/>
  <c r="O132" i="9" s="1"/>
  <c r="O134" i="9"/>
  <c r="K669" i="9"/>
  <c r="J654" i="9"/>
  <c r="K654" i="9" s="1"/>
  <c r="K248" i="9"/>
  <c r="I226" i="9"/>
  <c r="I131" i="9"/>
  <c r="K131" i="9" s="1"/>
  <c r="K143" i="9"/>
  <c r="N14" i="9"/>
  <c r="N9" i="9"/>
  <c r="P151" i="9"/>
  <c r="M149" i="9"/>
  <c r="P149" i="9" s="1"/>
  <c r="M277" i="4"/>
  <c r="P277" i="4" s="1"/>
  <c r="L149" i="4"/>
  <c r="O149" i="4" s="1"/>
  <c r="L786" i="5"/>
  <c r="O786" i="5" s="1"/>
  <c r="L315" i="5"/>
  <c r="O315" i="5" s="1"/>
  <c r="L149" i="5"/>
  <c r="O149" i="5" s="1"/>
  <c r="O167" i="4"/>
  <c r="J417" i="6"/>
  <c r="K417" i="6" s="1"/>
  <c r="M277" i="7"/>
  <c r="P277" i="7" s="1"/>
  <c r="I131" i="7"/>
  <c r="K131" i="7" s="1"/>
  <c r="P44" i="7"/>
  <c r="N328" i="8"/>
  <c r="P328" i="8" s="1"/>
  <c r="N20" i="8"/>
  <c r="N18" i="8" s="1"/>
  <c r="L523" i="8"/>
  <c r="O523" i="8" s="1"/>
  <c r="L655" i="9"/>
  <c r="O655" i="9" s="1"/>
  <c r="P121" i="9"/>
  <c r="M119" i="9"/>
  <c r="L53" i="9"/>
  <c r="L16" i="9"/>
  <c r="L24" i="9"/>
  <c r="O26" i="9"/>
  <c r="O347" i="9"/>
  <c r="L345" i="9"/>
  <c r="O345" i="9" s="1"/>
  <c r="O238" i="9"/>
  <c r="L227" i="9"/>
  <c r="O23" i="9"/>
  <c r="L20" i="9"/>
  <c r="L21" i="9"/>
  <c r="O21" i="9" s="1"/>
  <c r="L13" i="9"/>
  <c r="P660" i="9"/>
  <c r="M657" i="9"/>
  <c r="M658" i="9"/>
  <c r="P658" i="9" s="1"/>
  <c r="N414" i="9"/>
  <c r="O419" i="9"/>
  <c r="M632" i="2"/>
  <c r="P632" i="2" s="1"/>
  <c r="L419" i="5"/>
  <c r="O419" i="5" s="1"/>
  <c r="L786" i="7"/>
  <c r="O786" i="7" s="1"/>
  <c r="O168" i="8"/>
  <c r="K559" i="9"/>
  <c r="I543" i="9"/>
  <c r="K543" i="9" s="1"/>
  <c r="O546" i="9"/>
  <c r="L544" i="9"/>
  <c r="O544" i="9" s="1"/>
  <c r="P23" i="9"/>
  <c r="M20" i="9"/>
  <c r="P29" i="9"/>
  <c r="P53" i="3"/>
  <c r="P330" i="3"/>
  <c r="L389" i="5"/>
  <c r="O389" i="5" s="1"/>
  <c r="O88" i="8"/>
  <c r="O330" i="9"/>
  <c r="L328" i="9"/>
  <c r="O328" i="9" s="1"/>
  <c r="P348" i="9"/>
  <c r="L31" i="9"/>
  <c r="O31" i="9" s="1"/>
  <c r="L30" i="9"/>
  <c r="O33" i="9"/>
  <c r="P549" i="9"/>
  <c r="M546" i="9"/>
  <c r="P546" i="9" s="1"/>
  <c r="M547" i="9"/>
  <c r="P547" i="9" s="1"/>
  <c r="M21" i="9"/>
  <c r="P21" i="9" s="1"/>
  <c r="N10" i="8"/>
  <c r="N14" i="8"/>
  <c r="L544" i="4"/>
  <c r="O544" i="4" s="1"/>
  <c r="M389" i="7"/>
  <c r="P389" i="7" s="1"/>
  <c r="P183" i="7"/>
  <c r="N165" i="7"/>
  <c r="O165" i="7" s="1"/>
  <c r="P44" i="8"/>
  <c r="P59" i="8"/>
  <c r="P300" i="3"/>
  <c r="M315" i="8"/>
  <c r="P315" i="8" s="1"/>
  <c r="O546" i="8"/>
  <c r="P546" i="8"/>
  <c r="M544" i="8"/>
  <c r="P544" i="8" s="1"/>
  <c r="O43" i="4"/>
  <c r="P331" i="7"/>
  <c r="L629" i="8"/>
  <c r="O629" i="8" s="1"/>
  <c r="O23" i="8"/>
  <c r="L20" i="8"/>
  <c r="L13" i="8"/>
  <c r="L21" i="8"/>
  <c r="L149" i="8"/>
  <c r="O149" i="8" s="1"/>
  <c r="O151" i="8"/>
  <c r="P317" i="7"/>
  <c r="M315" i="7"/>
  <c r="P315" i="7" s="1"/>
  <c r="O183" i="7"/>
  <c r="P15" i="8"/>
  <c r="O330" i="8"/>
  <c r="M20" i="8"/>
  <c r="P23" i="8"/>
  <c r="O9" i="8"/>
  <c r="L66" i="8"/>
  <c r="O66" i="8" s="1"/>
  <c r="O90" i="8"/>
  <c r="P134" i="8"/>
  <c r="M132" i="8"/>
  <c r="P132" i="8" s="1"/>
  <c r="P263" i="7"/>
  <c r="M261" i="7"/>
  <c r="P261" i="7" s="1"/>
  <c r="O317" i="8"/>
  <c r="L315" i="8"/>
  <c r="O315" i="8" s="1"/>
  <c r="P19" i="8"/>
  <c r="P9" i="8"/>
  <c r="L277" i="7"/>
  <c r="O277" i="7" s="1"/>
  <c r="P404" i="8"/>
  <c r="M402" i="8"/>
  <c r="P402" i="8" s="1"/>
  <c r="I164" i="8"/>
  <c r="K164" i="8" s="1"/>
  <c r="K174" i="8"/>
  <c r="P469" i="8"/>
  <c r="N467" i="8"/>
  <c r="N9" i="8"/>
  <c r="N11" i="8"/>
  <c r="L20" i="4"/>
  <c r="L18" i="4" s="1"/>
  <c r="P348" i="5"/>
  <c r="L523" i="7"/>
  <c r="O523" i="7" s="1"/>
  <c r="L328" i="7"/>
  <c r="O328" i="7" s="1"/>
  <c r="M66" i="7"/>
  <c r="P66" i="7" s="1"/>
  <c r="L132" i="7"/>
  <c r="O132" i="7" s="1"/>
  <c r="M149" i="7"/>
  <c r="P149" i="7" s="1"/>
  <c r="L119" i="7"/>
  <c r="O119" i="7" s="1"/>
  <c r="M687" i="8"/>
  <c r="M688" i="8"/>
  <c r="P688" i="8" s="1"/>
  <c r="P690" i="8"/>
  <c r="M33" i="8"/>
  <c r="M13" i="8" s="1"/>
  <c r="M181" i="8"/>
  <c r="P181" i="8" s="1"/>
  <c r="M66" i="8"/>
  <c r="P66" i="8" s="1"/>
  <c r="O121" i="8"/>
  <c r="L119" i="8"/>
  <c r="O119" i="8" s="1"/>
  <c r="K433" i="8"/>
  <c r="I417" i="8"/>
  <c r="K417" i="8" s="1"/>
  <c r="O26" i="8"/>
  <c r="L16" i="8"/>
  <c r="P55" i="8"/>
  <c r="N53" i="8"/>
  <c r="O167" i="8"/>
  <c r="L165" i="8"/>
  <c r="O165" i="8" s="1"/>
  <c r="P279" i="8"/>
  <c r="M277" i="8"/>
  <c r="P277" i="8" s="1"/>
  <c r="O181" i="7"/>
  <c r="K374" i="7"/>
  <c r="K364" i="7"/>
  <c r="O687" i="8"/>
  <c r="L685" i="8"/>
  <c r="O685" i="8" s="1"/>
  <c r="K237" i="8"/>
  <c r="I226" i="8"/>
  <c r="P421" i="8"/>
  <c r="M419" i="8"/>
  <c r="L24" i="8"/>
  <c r="M88" i="8"/>
  <c r="P88" i="8" s="1"/>
  <c r="P90" i="8"/>
  <c r="P43" i="8"/>
  <c r="M41" i="8"/>
  <c r="O238" i="8"/>
  <c r="L227" i="8"/>
  <c r="M16" i="8"/>
  <c r="P16" i="8" s="1"/>
  <c r="P26" i="8"/>
  <c r="M422" i="3"/>
  <c r="P422" i="3" s="1"/>
  <c r="I226" i="5"/>
  <c r="P345" i="7"/>
  <c r="O280" i="2"/>
  <c r="L277" i="6"/>
  <c r="O277" i="6" s="1"/>
  <c r="I65" i="6"/>
  <c r="K65" i="6" s="1"/>
  <c r="O315" i="3"/>
  <c r="I64" i="5"/>
  <c r="K64" i="5" s="1"/>
  <c r="O121" i="6"/>
  <c r="L227" i="7"/>
  <c r="L24" i="7"/>
  <c r="P300" i="7"/>
  <c r="M298" i="7"/>
  <c r="P298" i="7" s="1"/>
  <c r="M421" i="3"/>
  <c r="P421" i="3" s="1"/>
  <c r="I226" i="7"/>
  <c r="K226" i="7" s="1"/>
  <c r="L389" i="6"/>
  <c r="O389" i="6" s="1"/>
  <c r="P19" i="7"/>
  <c r="N20" i="7"/>
  <c r="N18" i="7" s="1"/>
  <c r="N13" i="7"/>
  <c r="N30" i="7"/>
  <c r="N31" i="7"/>
  <c r="P56" i="7"/>
  <c r="O56" i="7"/>
  <c r="O419" i="7"/>
  <c r="O23" i="7"/>
  <c r="L20" i="7"/>
  <c r="L13" i="7"/>
  <c r="L30" i="2"/>
  <c r="O30" i="2" s="1"/>
  <c r="O90" i="3"/>
  <c r="O165" i="4"/>
  <c r="P424" i="6"/>
  <c r="K76" i="6"/>
  <c r="P331" i="6"/>
  <c r="P88" i="6"/>
  <c r="P165" i="6"/>
  <c r="M546" i="7"/>
  <c r="P546" i="7" s="1"/>
  <c r="P549" i="7"/>
  <c r="M547" i="7"/>
  <c r="P547" i="7" s="1"/>
  <c r="P167" i="7"/>
  <c r="M165" i="7"/>
  <c r="O29" i="7"/>
  <c r="L28" i="7"/>
  <c r="J417" i="7"/>
  <c r="K417" i="7" s="1"/>
  <c r="K433" i="7"/>
  <c r="L41" i="7"/>
  <c r="I64" i="7"/>
  <c r="K64" i="7" s="1"/>
  <c r="K76" i="7"/>
  <c r="O168" i="4"/>
  <c r="O345" i="5"/>
  <c r="O121" i="5"/>
  <c r="O657" i="7"/>
  <c r="L655" i="7"/>
  <c r="O655" i="7" s="1"/>
  <c r="P660" i="7"/>
  <c r="M657" i="7"/>
  <c r="M658" i="7"/>
  <c r="P658" i="7" s="1"/>
  <c r="O391" i="7"/>
  <c r="L389" i="7"/>
  <c r="O389" i="7" s="1"/>
  <c r="K77" i="7"/>
  <c r="I65" i="7"/>
  <c r="K65" i="7" s="1"/>
  <c r="N9" i="7"/>
  <c r="O68" i="7"/>
  <c r="L66" i="7"/>
  <c r="O66" i="7" s="1"/>
  <c r="N21" i="7"/>
  <c r="L21" i="7"/>
  <c r="L132" i="6"/>
  <c r="O132" i="6" s="1"/>
  <c r="K364" i="6"/>
  <c r="L402" i="7"/>
  <c r="O402" i="7" s="1"/>
  <c r="O404" i="7"/>
  <c r="P90" i="7"/>
  <c r="M88" i="7"/>
  <c r="P545" i="7"/>
  <c r="P330" i="7"/>
  <c r="M328" i="7"/>
  <c r="P328" i="7" s="1"/>
  <c r="O55" i="7"/>
  <c r="P55" i="7"/>
  <c r="N16" i="7"/>
  <c r="N14" i="7" s="1"/>
  <c r="P26" i="7"/>
  <c r="O446" i="7"/>
  <c r="L444" i="7"/>
  <c r="O444" i="7" s="1"/>
  <c r="P23" i="7"/>
  <c r="M20" i="7"/>
  <c r="M21" i="7"/>
  <c r="P424" i="7"/>
  <c r="M421" i="7"/>
  <c r="M422" i="7"/>
  <c r="P422" i="7" s="1"/>
  <c r="M33" i="7"/>
  <c r="M13" i="7" s="1"/>
  <c r="M11" i="7" s="1"/>
  <c r="L345" i="7"/>
  <c r="O345" i="7" s="1"/>
  <c r="P41" i="7"/>
  <c r="P263" i="6"/>
  <c r="M261" i="6"/>
  <c r="P261" i="6" s="1"/>
  <c r="P328" i="5"/>
  <c r="O181" i="6"/>
  <c r="P181" i="6"/>
  <c r="M469" i="7"/>
  <c r="M470" i="7"/>
  <c r="P470" i="7" s="1"/>
  <c r="P472" i="7"/>
  <c r="O12" i="7"/>
  <c r="L9" i="7"/>
  <c r="O421" i="7"/>
  <c r="M658" i="6"/>
  <c r="P658" i="6" s="1"/>
  <c r="M657" i="6"/>
  <c r="M655" i="6" s="1"/>
  <c r="P655" i="6" s="1"/>
  <c r="N53" i="7"/>
  <c r="O33" i="7"/>
  <c r="K275" i="3"/>
  <c r="L655" i="5"/>
  <c r="O655" i="5" s="1"/>
  <c r="O348" i="6"/>
  <c r="O183" i="6"/>
  <c r="K559" i="7"/>
  <c r="I543" i="7"/>
  <c r="K543" i="7" s="1"/>
  <c r="L467" i="7"/>
  <c r="O467" i="7" s="1"/>
  <c r="P12" i="7"/>
  <c r="M9" i="7"/>
  <c r="M446" i="7"/>
  <c r="P449" i="7"/>
  <c r="M447" i="7"/>
  <c r="P447" i="7" s="1"/>
  <c r="O317" i="6"/>
  <c r="L315" i="6"/>
  <c r="O315" i="6" s="1"/>
  <c r="N24" i="7"/>
  <c r="O26" i="7"/>
  <c r="P277" i="2"/>
  <c r="M525" i="3"/>
  <c r="P525" i="3" s="1"/>
  <c r="O26" i="4"/>
  <c r="O330" i="6"/>
  <c r="P348" i="6"/>
  <c r="N328" i="6"/>
  <c r="O328" i="6" s="1"/>
  <c r="P121" i="4"/>
  <c r="O36" i="6"/>
  <c r="L34" i="6"/>
  <c r="O34" i="6" s="1"/>
  <c r="O328" i="3"/>
  <c r="P402" i="2"/>
  <c r="P421" i="4"/>
  <c r="O33" i="4"/>
  <c r="M315" i="5"/>
  <c r="P315" i="5" s="1"/>
  <c r="N14" i="5"/>
  <c r="O21" i="5"/>
  <c r="O119" i="5"/>
  <c r="M66" i="6"/>
  <c r="P66" i="6" s="1"/>
  <c r="P121" i="5"/>
  <c r="O165" i="6"/>
  <c r="O263" i="2"/>
  <c r="O345" i="3"/>
  <c r="P90" i="4"/>
  <c r="O547" i="5"/>
  <c r="K433" i="5"/>
  <c r="N24" i="5"/>
  <c r="O24" i="5" s="1"/>
  <c r="P317" i="4"/>
  <c r="P347" i="5"/>
  <c r="P43" i="6"/>
  <c r="O167" i="6"/>
  <c r="L30" i="6"/>
  <c r="O30" i="6" s="1"/>
  <c r="L31" i="6"/>
  <c r="O31" i="6" s="1"/>
  <c r="P183" i="6"/>
  <c r="K77" i="2"/>
  <c r="O347" i="3"/>
  <c r="L629" i="3"/>
  <c r="O629" i="3" s="1"/>
  <c r="L165" i="3"/>
  <c r="O165" i="3" s="1"/>
  <c r="L16" i="3"/>
  <c r="L14" i="3" s="1"/>
  <c r="P43" i="4"/>
  <c r="L66" i="5"/>
  <c r="O66" i="5" s="1"/>
  <c r="P470" i="6"/>
  <c r="L227" i="6"/>
  <c r="P167" i="6"/>
  <c r="O469" i="6"/>
  <c r="L467" i="6"/>
  <c r="O631" i="6"/>
  <c r="L629" i="6"/>
  <c r="O629" i="6" s="1"/>
  <c r="O421" i="6"/>
  <c r="L419" i="6"/>
  <c r="O446" i="6"/>
  <c r="L444" i="6"/>
  <c r="O444" i="6" s="1"/>
  <c r="M20" i="6"/>
  <c r="M21" i="6"/>
  <c r="P23" i="6"/>
  <c r="P134" i="6"/>
  <c r="M132" i="6"/>
  <c r="P132" i="6" s="1"/>
  <c r="L20" i="6"/>
  <c r="L13" i="6"/>
  <c r="O23" i="6"/>
  <c r="L629" i="4"/>
  <c r="O629" i="4" s="1"/>
  <c r="P181" i="4"/>
  <c r="L389" i="4"/>
  <c r="O389" i="4" s="1"/>
  <c r="P168" i="5"/>
  <c r="O181" i="5"/>
  <c r="M119" i="5"/>
  <c r="P119" i="5" s="1"/>
  <c r="O546" i="6"/>
  <c r="L544" i="6"/>
  <c r="O544" i="6" s="1"/>
  <c r="O632" i="6"/>
  <c r="P9" i="6"/>
  <c r="O404" i="6"/>
  <c r="L402" i="6"/>
  <c r="O402" i="6" s="1"/>
  <c r="L21" i="6"/>
  <c r="O21" i="6" s="1"/>
  <c r="P69" i="3"/>
  <c r="O132" i="3"/>
  <c r="O402" i="2"/>
  <c r="P263" i="4"/>
  <c r="N261" i="4"/>
  <c r="P261" i="4" s="1"/>
  <c r="N20" i="5"/>
  <c r="N18" i="5" s="1"/>
  <c r="L277" i="5"/>
  <c r="O277" i="5" s="1"/>
  <c r="O631" i="5"/>
  <c r="P687" i="6"/>
  <c r="P469" i="6"/>
  <c r="N467" i="6"/>
  <c r="P467" i="6" s="1"/>
  <c r="P419" i="6"/>
  <c r="N685" i="6"/>
  <c r="O263" i="6"/>
  <c r="L261" i="6"/>
  <c r="O261" i="6" s="1"/>
  <c r="M41" i="6"/>
  <c r="K417" i="3"/>
  <c r="K537" i="3"/>
  <c r="O134" i="3"/>
  <c r="O55" i="3"/>
  <c r="P391" i="2"/>
  <c r="L30" i="4"/>
  <c r="L28" i="4" s="1"/>
  <c r="O28" i="4" s="1"/>
  <c r="L181" i="4"/>
  <c r="O181" i="4" s="1"/>
  <c r="P132" i="3"/>
  <c r="N24" i="4"/>
  <c r="P24" i="4" s="1"/>
  <c r="O330" i="4"/>
  <c r="P472" i="5"/>
  <c r="P56" i="5"/>
  <c r="L13" i="5"/>
  <c r="L11" i="5" s="1"/>
  <c r="L444" i="5"/>
  <c r="O444" i="5" s="1"/>
  <c r="P549" i="6"/>
  <c r="M546" i="6"/>
  <c r="M33" i="6"/>
  <c r="M13" i="6" s="1"/>
  <c r="M547" i="6"/>
  <c r="P547" i="6" s="1"/>
  <c r="K174" i="6"/>
  <c r="I164" i="6"/>
  <c r="K164" i="6" s="1"/>
  <c r="O300" i="6"/>
  <c r="L298" i="6"/>
  <c r="O298" i="6" s="1"/>
  <c r="N16" i="6"/>
  <c r="N10" i="6" s="1"/>
  <c r="N24" i="6"/>
  <c r="O24" i="6" s="1"/>
  <c r="N20" i="6"/>
  <c r="N18" i="6" s="1"/>
  <c r="O26" i="6"/>
  <c r="P404" i="2"/>
  <c r="P66" i="2"/>
  <c r="K433" i="3"/>
  <c r="L16" i="4"/>
  <c r="O16" i="4" s="1"/>
  <c r="M88" i="4"/>
  <c r="P88" i="4" s="1"/>
  <c r="M298" i="4"/>
  <c r="P298" i="4" s="1"/>
  <c r="L24" i="4"/>
  <c r="P134" i="3"/>
  <c r="M470" i="5"/>
  <c r="P470" i="5" s="1"/>
  <c r="P184" i="5"/>
  <c r="M66" i="5"/>
  <c r="P66" i="5" s="1"/>
  <c r="L20" i="5"/>
  <c r="L18" i="5" s="1"/>
  <c r="O18" i="5" s="1"/>
  <c r="O330" i="5"/>
  <c r="P90" i="5"/>
  <c r="O688" i="6"/>
  <c r="P688" i="6"/>
  <c r="O657" i="6"/>
  <c r="P421" i="6"/>
  <c r="P279" i="6"/>
  <c r="M277" i="6"/>
  <c r="P277" i="6" s="1"/>
  <c r="P55" i="6"/>
  <c r="N53" i="6"/>
  <c r="P53" i="6" s="1"/>
  <c r="O55" i="6"/>
  <c r="L53" i="6"/>
  <c r="P348" i="3"/>
  <c r="K417" i="2"/>
  <c r="O300" i="3"/>
  <c r="P528" i="3"/>
  <c r="O469" i="4"/>
  <c r="P183" i="4"/>
  <c r="O23" i="5"/>
  <c r="N88" i="5"/>
  <c r="P88" i="5" s="1"/>
  <c r="K237" i="6"/>
  <c r="I226" i="6"/>
  <c r="P634" i="6"/>
  <c r="M631" i="6"/>
  <c r="M632" i="6"/>
  <c r="P632" i="6" s="1"/>
  <c r="O43" i="6"/>
  <c r="L41" i="6"/>
  <c r="N11" i="6"/>
  <c r="N9" i="6"/>
  <c r="M16" i="6"/>
  <c r="P26" i="6"/>
  <c r="O9" i="6"/>
  <c r="P68" i="3"/>
  <c r="L328" i="5"/>
  <c r="O328" i="5" s="1"/>
  <c r="L402" i="5"/>
  <c r="O402" i="5" s="1"/>
  <c r="O300" i="5"/>
  <c r="N298" i="5"/>
  <c r="O298" i="5" s="1"/>
  <c r="P181" i="5"/>
  <c r="O345" i="2"/>
  <c r="M389" i="2"/>
  <c r="P389" i="2" s="1"/>
  <c r="O351" i="2"/>
  <c r="L31" i="3"/>
  <c r="O328" i="4"/>
  <c r="M467" i="5"/>
  <c r="P467" i="5" s="1"/>
  <c r="P167" i="5"/>
  <c r="O347" i="5"/>
  <c r="P26" i="3"/>
  <c r="O165" i="5"/>
  <c r="L53" i="5"/>
  <c r="O53" i="5" s="1"/>
  <c r="O167" i="5"/>
  <c r="I65" i="5"/>
  <c r="K65" i="5" s="1"/>
  <c r="K77" i="5"/>
  <c r="O330" i="2"/>
  <c r="M402" i="3"/>
  <c r="P402" i="3" s="1"/>
  <c r="O55" i="2"/>
  <c r="O546" i="5"/>
  <c r="P21" i="5"/>
  <c r="M345" i="5"/>
  <c r="P345" i="5" s="1"/>
  <c r="P300" i="2"/>
  <c r="L389" i="3"/>
  <c r="O389" i="3" s="1"/>
  <c r="M119" i="3"/>
  <c r="P119" i="3" s="1"/>
  <c r="M389" i="5"/>
  <c r="P389" i="5" s="1"/>
  <c r="P55" i="3"/>
  <c r="P165" i="5"/>
  <c r="P330" i="5"/>
  <c r="P26" i="5"/>
  <c r="M16" i="5"/>
  <c r="M24" i="5"/>
  <c r="P134" i="5"/>
  <c r="N132" i="5"/>
  <c r="P132" i="5" s="1"/>
  <c r="O15" i="5"/>
  <c r="L53" i="2"/>
  <c r="O53" i="2" s="1"/>
  <c r="O347" i="4"/>
  <c r="L21" i="4"/>
  <c r="O631" i="2"/>
  <c r="O317" i="2"/>
  <c r="O181" i="3"/>
  <c r="L786" i="3"/>
  <c r="O786" i="3" s="1"/>
  <c r="M66" i="3"/>
  <c r="P66" i="3" s="1"/>
  <c r="P280" i="2"/>
  <c r="N345" i="4"/>
  <c r="O345" i="4" s="1"/>
  <c r="P331" i="4"/>
  <c r="O317" i="4"/>
  <c r="P168" i="4"/>
  <c r="L13" i="4"/>
  <c r="L11" i="4" s="1"/>
  <c r="P547" i="5"/>
  <c r="O134" i="5"/>
  <c r="L132" i="5"/>
  <c r="N261" i="5"/>
  <c r="P261" i="5" s="1"/>
  <c r="P263" i="5"/>
  <c r="O26" i="5"/>
  <c r="L16" i="5"/>
  <c r="O16" i="5" s="1"/>
  <c r="N544" i="5"/>
  <c r="O544" i="5" s="1"/>
  <c r="P55" i="5"/>
  <c r="M53" i="5"/>
  <c r="P53" i="5" s="1"/>
  <c r="M149" i="2"/>
  <c r="P149" i="2" s="1"/>
  <c r="P181" i="3"/>
  <c r="K364" i="4"/>
  <c r="O121" i="4"/>
  <c r="P55" i="4"/>
  <c r="O470" i="5"/>
  <c r="K434" i="5"/>
  <c r="I418" i="5"/>
  <c r="K418" i="5" s="1"/>
  <c r="P546" i="5"/>
  <c r="M544" i="5"/>
  <c r="P544" i="5" s="1"/>
  <c r="N414" i="5"/>
  <c r="P43" i="5"/>
  <c r="N41" i="5"/>
  <c r="L9" i="5"/>
  <c r="O36" i="5"/>
  <c r="L34" i="5"/>
  <c r="O34" i="5" s="1"/>
  <c r="L30" i="5"/>
  <c r="O469" i="5"/>
  <c r="L467" i="5"/>
  <c r="O467" i="5" s="1"/>
  <c r="P424" i="5"/>
  <c r="M421" i="5"/>
  <c r="M422" i="5"/>
  <c r="P422" i="5" s="1"/>
  <c r="M33" i="5"/>
  <c r="M13" i="5" s="1"/>
  <c r="O263" i="5"/>
  <c r="L261" i="5"/>
  <c r="K537" i="2"/>
  <c r="O421" i="3"/>
  <c r="L444" i="3"/>
  <c r="O444" i="3" s="1"/>
  <c r="O43" i="3"/>
  <c r="O238" i="5"/>
  <c r="L227" i="5"/>
  <c r="O29" i="5"/>
  <c r="N9" i="5"/>
  <c r="O33" i="5"/>
  <c r="N13" i="5"/>
  <c r="N10" i="5" s="1"/>
  <c r="N30" i="5"/>
  <c r="O43" i="5"/>
  <c r="L41" i="5"/>
  <c r="N28" i="5"/>
  <c r="P347" i="2"/>
  <c r="P90" i="2"/>
  <c r="O546" i="3"/>
  <c r="M24" i="3"/>
  <c r="O657" i="4"/>
  <c r="P23" i="5"/>
  <c r="M20" i="5"/>
  <c r="K143" i="5"/>
  <c r="I131" i="5"/>
  <c r="K131" i="5" s="1"/>
  <c r="L655" i="2"/>
  <c r="O655" i="2" s="1"/>
  <c r="P321" i="2"/>
  <c r="P167" i="2"/>
  <c r="P330" i="2"/>
  <c r="L523" i="3"/>
  <c r="O523" i="3" s="1"/>
  <c r="P184" i="4"/>
  <c r="L88" i="4"/>
  <c r="O88" i="4" s="1"/>
  <c r="O90" i="4"/>
  <c r="P263" i="2"/>
  <c r="L66" i="4"/>
  <c r="O66" i="4" s="1"/>
  <c r="M402" i="4"/>
  <c r="P402" i="4" s="1"/>
  <c r="O279" i="4"/>
  <c r="L277" i="4"/>
  <c r="O277" i="4" s="1"/>
  <c r="O55" i="4"/>
  <c r="N53" i="4"/>
  <c r="O53" i="4" s="1"/>
  <c r="M328" i="3"/>
  <c r="P328" i="3" s="1"/>
  <c r="N298" i="3"/>
  <c r="P298" i="3" s="1"/>
  <c r="P422" i="4"/>
  <c r="O421" i="4"/>
  <c r="L419" i="4"/>
  <c r="M467" i="4"/>
  <c r="P467" i="4" s="1"/>
  <c r="P469" i="4"/>
  <c r="P351" i="4"/>
  <c r="O788" i="4"/>
  <c r="L786" i="4"/>
  <c r="O786" i="4" s="1"/>
  <c r="P19" i="4"/>
  <c r="O68" i="3"/>
  <c r="P347" i="4"/>
  <c r="P391" i="4"/>
  <c r="M389" i="4"/>
  <c r="P389" i="4" s="1"/>
  <c r="N20" i="4"/>
  <c r="N18" i="4" s="1"/>
  <c r="N13" i="4"/>
  <c r="N10" i="4" s="1"/>
  <c r="I418" i="4"/>
  <c r="K418" i="4" s="1"/>
  <c r="K434" i="4"/>
  <c r="O238" i="4"/>
  <c r="L227" i="4"/>
  <c r="N30" i="4"/>
  <c r="N31" i="4"/>
  <c r="O31" i="4" s="1"/>
  <c r="I65" i="4"/>
  <c r="K65" i="4" s="1"/>
  <c r="K77" i="4"/>
  <c r="P26" i="4"/>
  <c r="M16" i="4"/>
  <c r="O23" i="4"/>
  <c r="P315" i="3"/>
  <c r="M261" i="3"/>
  <c r="P261" i="3" s="1"/>
  <c r="P183" i="3"/>
  <c r="L34" i="3"/>
  <c r="O34" i="3" s="1"/>
  <c r="O547" i="4"/>
  <c r="L444" i="4"/>
  <c r="O444" i="4" s="1"/>
  <c r="N467" i="4"/>
  <c r="O467" i="4" s="1"/>
  <c r="L298" i="4"/>
  <c r="O298" i="4" s="1"/>
  <c r="N9" i="4"/>
  <c r="P12" i="4"/>
  <c r="M9" i="4"/>
  <c r="N21" i="4"/>
  <c r="L419" i="2"/>
  <c r="O419" i="2" s="1"/>
  <c r="O263" i="3"/>
  <c r="I65" i="3"/>
  <c r="K65" i="3" s="1"/>
  <c r="N41" i="3"/>
  <c r="O41" i="3" s="1"/>
  <c r="O279" i="3"/>
  <c r="M546" i="4"/>
  <c r="M547" i="4"/>
  <c r="P547" i="4" s="1"/>
  <c r="P549" i="4"/>
  <c r="P330" i="4"/>
  <c r="M328" i="4"/>
  <c r="P328" i="4" s="1"/>
  <c r="N419" i="4"/>
  <c r="P56" i="4"/>
  <c r="O56" i="4"/>
  <c r="O447" i="4"/>
  <c r="K248" i="4"/>
  <c r="I226" i="4"/>
  <c r="O41" i="4"/>
  <c r="O19" i="4"/>
  <c r="N28" i="4"/>
  <c r="L30" i="3"/>
  <c r="L28" i="3" s="1"/>
  <c r="O183" i="3"/>
  <c r="O69" i="3"/>
  <c r="O525" i="4"/>
  <c r="L523" i="4"/>
  <c r="O523" i="4" s="1"/>
  <c r="P348" i="4"/>
  <c r="M21" i="4"/>
  <c r="P23" i="4"/>
  <c r="M20" i="4"/>
  <c r="P167" i="4"/>
  <c r="M165" i="4"/>
  <c r="P165" i="4" s="1"/>
  <c r="P449" i="4"/>
  <c r="M447" i="4"/>
  <c r="P447" i="4" s="1"/>
  <c r="M446" i="4"/>
  <c r="M33" i="4"/>
  <c r="M470" i="3"/>
  <c r="P470" i="3" s="1"/>
  <c r="M469" i="3"/>
  <c r="M467" i="3" s="1"/>
  <c r="O330" i="3"/>
  <c r="M41" i="4"/>
  <c r="K433" i="4"/>
  <c r="I131" i="4"/>
  <c r="K131" i="4" s="1"/>
  <c r="K143" i="4"/>
  <c r="O12" i="4"/>
  <c r="L9" i="4"/>
  <c r="P184" i="2"/>
  <c r="L655" i="3"/>
  <c r="O655" i="3" s="1"/>
  <c r="P279" i="3"/>
  <c r="M277" i="3"/>
  <c r="P277" i="3" s="1"/>
  <c r="P279" i="2"/>
  <c r="M165" i="3"/>
  <c r="P165" i="3" s="1"/>
  <c r="L53" i="3"/>
  <c r="O53" i="3" s="1"/>
  <c r="L20" i="3"/>
  <c r="L18" i="3" s="1"/>
  <c r="L13" i="3"/>
  <c r="O277" i="3"/>
  <c r="L328" i="2"/>
  <c r="O328" i="2" s="1"/>
  <c r="K364" i="2"/>
  <c r="O404" i="2"/>
  <c r="O279" i="2"/>
  <c r="M16" i="2"/>
  <c r="P16" i="2" s="1"/>
  <c r="L31" i="2"/>
  <c r="O31" i="2" s="1"/>
  <c r="J364" i="3"/>
  <c r="K364" i="3" s="1"/>
  <c r="P408" i="2"/>
  <c r="L21" i="3"/>
  <c r="O21" i="3" s="1"/>
  <c r="L523" i="2"/>
  <c r="O523" i="2" s="1"/>
  <c r="O121" i="3"/>
  <c r="L119" i="3"/>
  <c r="O119" i="3" s="1"/>
  <c r="P317" i="3"/>
  <c r="O317" i="3"/>
  <c r="O687" i="3"/>
  <c r="L685" i="3"/>
  <c r="O685" i="3" s="1"/>
  <c r="P549" i="3"/>
  <c r="M546" i="3"/>
  <c r="M547" i="3"/>
  <c r="P547" i="3" s="1"/>
  <c r="M33" i="3"/>
  <c r="P29" i="3"/>
  <c r="N9" i="3"/>
  <c r="P151" i="3"/>
  <c r="O151" i="3"/>
  <c r="O9" i="3"/>
  <c r="N14" i="2"/>
  <c r="P26" i="2"/>
  <c r="O347" i="2"/>
  <c r="K237" i="3"/>
  <c r="I226" i="3"/>
  <c r="P15" i="3"/>
  <c r="M14" i="3"/>
  <c r="P301" i="3"/>
  <c r="O301" i="3"/>
  <c r="L467" i="2"/>
  <c r="O467" i="2" s="1"/>
  <c r="O469" i="2"/>
  <c r="M345" i="3"/>
  <c r="P345" i="3" s="1"/>
  <c r="O29" i="3"/>
  <c r="O90" i="2"/>
  <c r="N149" i="3"/>
  <c r="P9" i="3"/>
  <c r="N88" i="3"/>
  <c r="O88" i="3" s="1"/>
  <c r="N261" i="3"/>
  <c r="O261" i="3" s="1"/>
  <c r="P152" i="3"/>
  <c r="O152" i="3"/>
  <c r="L298" i="2"/>
  <c r="O298" i="2" s="1"/>
  <c r="L261" i="2"/>
  <c r="O261" i="2" s="1"/>
  <c r="M88" i="2"/>
  <c r="P88" i="2" s="1"/>
  <c r="P68" i="2"/>
  <c r="O88" i="2"/>
  <c r="K365" i="3"/>
  <c r="N467" i="3"/>
  <c r="O238" i="3"/>
  <c r="L227" i="3"/>
  <c r="O66" i="3"/>
  <c r="P43" i="3"/>
  <c r="N20" i="3"/>
  <c r="N13" i="3"/>
  <c r="N11" i="3" s="1"/>
  <c r="K433" i="2"/>
  <c r="L467" i="3"/>
  <c r="N544" i="3"/>
  <c r="O544" i="3" s="1"/>
  <c r="O419" i="3"/>
  <c r="P446" i="3"/>
  <c r="M444" i="3"/>
  <c r="P444" i="3" s="1"/>
  <c r="N30" i="3"/>
  <c r="N28" i="3" s="1"/>
  <c r="N31" i="3"/>
  <c r="O15" i="3"/>
  <c r="I64" i="3"/>
  <c r="K64" i="3" s="1"/>
  <c r="K76" i="3"/>
  <c r="P23" i="3"/>
  <c r="M20" i="3"/>
  <c r="M21" i="3"/>
  <c r="P21" i="3" s="1"/>
  <c r="O26" i="3"/>
  <c r="M41" i="3"/>
  <c r="O23" i="3"/>
  <c r="N24" i="2"/>
  <c r="P24" i="2" s="1"/>
  <c r="L165" i="2"/>
  <c r="O165" i="2" s="1"/>
  <c r="P90" i="3"/>
  <c r="O404" i="3"/>
  <c r="L402" i="3"/>
  <c r="O402" i="3" s="1"/>
  <c r="I418" i="3"/>
  <c r="K418" i="3" s="1"/>
  <c r="K434" i="3"/>
  <c r="N16" i="3"/>
  <c r="N14" i="3" s="1"/>
  <c r="N24" i="3"/>
  <c r="O24" i="3" s="1"/>
  <c r="L149" i="2"/>
  <c r="O149" i="2" s="1"/>
  <c r="L66" i="2"/>
  <c r="O66" i="2" s="1"/>
  <c r="L34" i="2"/>
  <c r="O34" i="2" s="1"/>
  <c r="O36" i="2"/>
  <c r="K76" i="2"/>
  <c r="I64" i="2"/>
  <c r="K64" i="2" s="1"/>
  <c r="L544" i="2"/>
  <c r="O544" i="2" s="1"/>
  <c r="N315" i="2"/>
  <c r="O315" i="2" s="1"/>
  <c r="P317" i="2"/>
  <c r="O43" i="2"/>
  <c r="M328" i="2"/>
  <c r="P328" i="2" s="1"/>
  <c r="P43" i="2"/>
  <c r="P121" i="2"/>
  <c r="M119" i="2"/>
  <c r="P119" i="2" s="1"/>
  <c r="O9" i="2"/>
  <c r="P19" i="2"/>
  <c r="N181" i="2"/>
  <c r="P181" i="2" s="1"/>
  <c r="O183" i="2"/>
  <c r="M41" i="2"/>
  <c r="O19" i="2"/>
  <c r="O29" i="2"/>
  <c r="P12" i="2"/>
  <c r="M9" i="2"/>
  <c r="M525" i="2"/>
  <c r="M526" i="2"/>
  <c r="P526" i="2" s="1"/>
  <c r="P528" i="2"/>
  <c r="I543" i="2"/>
  <c r="K543" i="2" s="1"/>
  <c r="K559" i="2"/>
  <c r="L16" i="2"/>
  <c r="O16" i="2" s="1"/>
  <c r="O26" i="2"/>
  <c r="P424" i="2"/>
  <c r="M422" i="2"/>
  <c r="P422" i="2" s="1"/>
  <c r="M421" i="2"/>
  <c r="M33" i="2"/>
  <c r="M13" i="2" s="1"/>
  <c r="N20" i="2"/>
  <c r="N18" i="2" s="1"/>
  <c r="N13" i="2"/>
  <c r="N10" i="2" s="1"/>
  <c r="N21" i="2"/>
  <c r="O21" i="2" s="1"/>
  <c r="M345" i="2"/>
  <c r="P345" i="2" s="1"/>
  <c r="P55" i="2"/>
  <c r="M53" i="2"/>
  <c r="P53" i="2" s="1"/>
  <c r="P29" i="2"/>
  <c r="P545" i="2"/>
  <c r="L389" i="2"/>
  <c r="O389" i="2" s="1"/>
  <c r="O446" i="2"/>
  <c r="L444" i="2"/>
  <c r="O444" i="2" s="1"/>
  <c r="I131" i="2"/>
  <c r="K131" i="2" s="1"/>
  <c r="K143" i="2"/>
  <c r="M467" i="2"/>
  <c r="P467" i="2" s="1"/>
  <c r="P469" i="2"/>
  <c r="P134" i="2"/>
  <c r="M132" i="2"/>
  <c r="P132" i="2" s="1"/>
  <c r="P183" i="2"/>
  <c r="P15" i="2"/>
  <c r="P23" i="2"/>
  <c r="M20" i="2"/>
  <c r="O23" i="2"/>
  <c r="L20" i="2"/>
  <c r="L18" i="2" s="1"/>
  <c r="L13" i="2"/>
  <c r="L24" i="2"/>
  <c r="M21" i="2"/>
  <c r="P549" i="2"/>
  <c r="M546" i="2"/>
  <c r="P546" i="2" s="1"/>
  <c r="M547" i="2"/>
  <c r="P547" i="2" s="1"/>
  <c r="K434" i="2"/>
  <c r="I418" i="2"/>
  <c r="K418" i="2" s="1"/>
  <c r="K288" i="2"/>
  <c r="I226" i="2"/>
  <c r="L132" i="2"/>
  <c r="O132" i="2" s="1"/>
  <c r="O134" i="2"/>
  <c r="O15" i="2"/>
  <c r="N9" i="2"/>
  <c r="L277" i="2"/>
  <c r="O277" i="2" s="1"/>
  <c r="L227" i="2"/>
  <c r="O41" i="2"/>
  <c r="K236" i="1"/>
  <c r="O300" i="1"/>
  <c r="O198" i="1"/>
  <c r="N227" i="1"/>
  <c r="O345" i="1"/>
  <c r="P391" i="1"/>
  <c r="K233" i="1"/>
  <c r="O209" i="1"/>
  <c r="J669" i="1"/>
  <c r="J654" i="1" s="1"/>
  <c r="K654" i="1" s="1"/>
  <c r="N631" i="1"/>
  <c r="N629" i="1" s="1"/>
  <c r="O330" i="1"/>
  <c r="P279" i="1"/>
  <c r="N632" i="1"/>
  <c r="O632" i="1" s="1"/>
  <c r="O402" i="1"/>
  <c r="P634" i="1"/>
  <c r="O261" i="1"/>
  <c r="M389" i="1"/>
  <c r="P389" i="1" s="1"/>
  <c r="P151" i="1"/>
  <c r="P132" i="1"/>
  <c r="O55" i="1"/>
  <c r="N277" i="1"/>
  <c r="O277" i="1" s="1"/>
  <c r="K418" i="1"/>
  <c r="O121" i="1"/>
  <c r="P321" i="1"/>
  <c r="K76" i="1"/>
  <c r="K64" i="1"/>
  <c r="L227" i="1"/>
  <c r="J594" i="1"/>
  <c r="K594" i="1" s="1"/>
  <c r="P330" i="1"/>
  <c r="J593" i="1"/>
  <c r="K593" i="1" s="1"/>
  <c r="P690" i="1"/>
  <c r="P68" i="1"/>
  <c r="L53" i="1"/>
  <c r="O53" i="1" s="1"/>
  <c r="L34" i="1"/>
  <c r="O34" i="1" s="1"/>
  <c r="P404" i="1"/>
  <c r="O331" i="1"/>
  <c r="P528" i="1"/>
  <c r="O424" i="1"/>
  <c r="O44" i="1"/>
  <c r="L30" i="1"/>
  <c r="L28" i="1" s="1"/>
  <c r="P263" i="1"/>
  <c r="N525" i="1"/>
  <c r="O525" i="1" s="1"/>
  <c r="P134" i="1"/>
  <c r="O68" i="1"/>
  <c r="P55" i="1"/>
  <c r="P43" i="1"/>
  <c r="M13" i="1"/>
  <c r="M11" i="1" s="1"/>
  <c r="O119" i="1"/>
  <c r="O404" i="1"/>
  <c r="O317" i="1"/>
  <c r="P53" i="1"/>
  <c r="O528" i="1"/>
  <c r="O238" i="1"/>
  <c r="O90" i="1"/>
  <c r="O134" i="1"/>
  <c r="P183" i="1"/>
  <c r="K434" i="1"/>
  <c r="O280" i="1"/>
  <c r="O279" i="1"/>
  <c r="P90" i="1"/>
  <c r="O132" i="1"/>
  <c r="M328" i="1"/>
  <c r="P328" i="1" s="1"/>
  <c r="K364" i="1"/>
  <c r="N88" i="1"/>
  <c r="P88" i="1" s="1"/>
  <c r="O217" i="1"/>
  <c r="N446" i="1"/>
  <c r="N444" i="1" s="1"/>
  <c r="P444" i="1" s="1"/>
  <c r="K143" i="1"/>
  <c r="N24" i="1"/>
  <c r="O24" i="1" s="1"/>
  <c r="L315" i="1"/>
  <c r="O315" i="1" s="1"/>
  <c r="O447" i="1"/>
  <c r="P447" i="1"/>
  <c r="O526" i="1"/>
  <c r="M402" i="1"/>
  <c r="P402" i="1" s="1"/>
  <c r="O449" i="1"/>
  <c r="P261" i="1"/>
  <c r="M181" i="1"/>
  <c r="P181" i="1" s="1"/>
  <c r="O263" i="1"/>
  <c r="K112" i="1"/>
  <c r="O347" i="1"/>
  <c r="N422" i="1"/>
  <c r="P422" i="1" s="1"/>
  <c r="N421" i="1"/>
  <c r="M21" i="1"/>
  <c r="O389" i="1"/>
  <c r="O391" i="1"/>
  <c r="M20" i="1"/>
  <c r="M18" i="1" s="1"/>
  <c r="M31" i="1"/>
  <c r="L16" i="1"/>
  <c r="O16" i="1" s="1"/>
  <c r="P449" i="1"/>
  <c r="O26" i="1"/>
  <c r="N298" i="1"/>
  <c r="O298" i="1" s="1"/>
  <c r="P300" i="1"/>
  <c r="P345" i="1"/>
  <c r="P121" i="1"/>
  <c r="M119" i="1"/>
  <c r="P119" i="1" s="1"/>
  <c r="P347" i="1"/>
  <c r="J559" i="1"/>
  <c r="K576" i="1"/>
  <c r="N9" i="1"/>
  <c r="M685" i="1"/>
  <c r="M629" i="1"/>
  <c r="O23" i="1"/>
  <c r="L13" i="1"/>
  <c r="L20" i="1"/>
  <c r="N66" i="1"/>
  <c r="N687" i="1"/>
  <c r="P687" i="1" s="1"/>
  <c r="N688" i="1"/>
  <c r="K77" i="1"/>
  <c r="I65" i="1"/>
  <c r="K65" i="1" s="1"/>
  <c r="N789" i="1"/>
  <c r="N788" i="1"/>
  <c r="N786" i="1" s="1"/>
  <c r="N149" i="1"/>
  <c r="O149" i="1" s="1"/>
  <c r="O151" i="1"/>
  <c r="P660" i="1"/>
  <c r="N469" i="1"/>
  <c r="N470" i="1"/>
  <c r="P472" i="1"/>
  <c r="O472" i="1"/>
  <c r="N33" i="1"/>
  <c r="N13" i="1" s="1"/>
  <c r="N11" i="1" s="1"/>
  <c r="L629" i="1"/>
  <c r="M544" i="1"/>
  <c r="P545" i="1"/>
  <c r="P41" i="1"/>
  <c r="O183" i="1"/>
  <c r="L181" i="1"/>
  <c r="O181" i="1" s="1"/>
  <c r="M149" i="1"/>
  <c r="L444" i="1"/>
  <c r="P56" i="1"/>
  <c r="N657" i="1"/>
  <c r="N658" i="1"/>
  <c r="M16" i="1"/>
  <c r="P26" i="1"/>
  <c r="M315" i="1"/>
  <c r="P315" i="1" s="1"/>
  <c r="P317" i="1"/>
  <c r="N165" i="1"/>
  <c r="P167" i="1"/>
  <c r="O59" i="1"/>
  <c r="P59" i="1"/>
  <c r="P280" i="1"/>
  <c r="O29" i="1"/>
  <c r="P12" i="1"/>
  <c r="M9" i="1"/>
  <c r="O9" i="1"/>
  <c r="N546" i="1"/>
  <c r="N547" i="1"/>
  <c r="L544" i="1"/>
  <c r="P19" i="1"/>
  <c r="N20" i="1"/>
  <c r="N18" i="1" s="1"/>
  <c r="N21" i="1"/>
  <c r="O21" i="1" s="1"/>
  <c r="L328" i="1"/>
  <c r="O328" i="1" s="1"/>
  <c r="K237" i="1"/>
  <c r="I226" i="1"/>
  <c r="L41" i="1"/>
  <c r="O43" i="1"/>
  <c r="M24" i="1"/>
  <c r="O549" i="1"/>
  <c r="P135" i="1"/>
  <c r="O135" i="1"/>
  <c r="O167" i="1"/>
  <c r="P23" i="1"/>
  <c r="O138" i="1"/>
  <c r="O37" i="15" l="1"/>
  <c r="O149" i="15"/>
  <c r="P149" i="15"/>
  <c r="L28" i="8"/>
  <c r="O28" i="8" s="1"/>
  <c r="P20" i="14"/>
  <c r="O18" i="15"/>
  <c r="N30" i="15"/>
  <c r="N31" i="15"/>
  <c r="O31" i="15" s="1"/>
  <c r="O33" i="15"/>
  <c r="N13" i="15"/>
  <c r="P16" i="15"/>
  <c r="M14" i="15"/>
  <c r="P14" i="15" s="1"/>
  <c r="P525" i="15"/>
  <c r="M523" i="15"/>
  <c r="P523" i="15" s="1"/>
  <c r="O9" i="15"/>
  <c r="P18" i="15"/>
  <c r="M544" i="15"/>
  <c r="P544" i="15" s="1"/>
  <c r="P546" i="15"/>
  <c r="P21" i="13"/>
  <c r="O20" i="15"/>
  <c r="P9" i="15"/>
  <c r="P469" i="15"/>
  <c r="M467" i="15"/>
  <c r="P14" i="14"/>
  <c r="M37" i="15"/>
  <c r="P37" i="15" s="1"/>
  <c r="O13" i="15"/>
  <c r="L10" i="15"/>
  <c r="L8" i="15" s="1"/>
  <c r="N444" i="15"/>
  <c r="P446" i="15"/>
  <c r="O446" i="15"/>
  <c r="P13" i="15"/>
  <c r="M10" i="15"/>
  <c r="P33" i="15"/>
  <c r="M30" i="15"/>
  <c r="M31" i="15"/>
  <c r="P20" i="15"/>
  <c r="P298" i="15"/>
  <c r="L414" i="15"/>
  <c r="O419" i="15"/>
  <c r="N37" i="15"/>
  <c r="M544" i="13"/>
  <c r="P544" i="13" s="1"/>
  <c r="M37" i="14"/>
  <c r="P37" i="14" s="1"/>
  <c r="M18" i="14"/>
  <c r="P18" i="14" s="1"/>
  <c r="M10" i="14"/>
  <c r="M8" i="14" s="1"/>
  <c r="M11" i="14"/>
  <c r="O30" i="14"/>
  <c r="P24" i="7"/>
  <c r="P165" i="7"/>
  <c r="O18" i="12"/>
  <c r="O20" i="14"/>
  <c r="L18" i="14"/>
  <c r="O18" i="14" s="1"/>
  <c r="N8" i="11"/>
  <c r="O41" i="14"/>
  <c r="L37" i="14"/>
  <c r="O37" i="14" s="1"/>
  <c r="N414" i="14"/>
  <c r="P467" i="14"/>
  <c r="P421" i="14"/>
  <c r="M419" i="14"/>
  <c r="O546" i="14"/>
  <c r="P546" i="14"/>
  <c r="M544" i="14"/>
  <c r="P544" i="14" s="1"/>
  <c r="P20" i="12"/>
  <c r="L11" i="12"/>
  <c r="O11" i="12" s="1"/>
  <c r="M37" i="13"/>
  <c r="P37" i="13" s="1"/>
  <c r="O9" i="14"/>
  <c r="O419" i="14"/>
  <c r="L414" i="14"/>
  <c r="O414" i="14" s="1"/>
  <c r="N30" i="14"/>
  <c r="N28" i="14" s="1"/>
  <c r="O28" i="14" s="1"/>
  <c r="N13" i="14"/>
  <c r="O13" i="14" s="1"/>
  <c r="N31" i="14"/>
  <c r="P9" i="14"/>
  <c r="O31" i="14"/>
  <c r="P33" i="14"/>
  <c r="M30" i="14"/>
  <c r="M31" i="14"/>
  <c r="P31" i="14" s="1"/>
  <c r="O30" i="10"/>
  <c r="I180" i="14"/>
  <c r="K180" i="14" s="1"/>
  <c r="K226" i="14"/>
  <c r="L10" i="14"/>
  <c r="L11" i="14"/>
  <c r="L14" i="14"/>
  <c r="O14" i="14" s="1"/>
  <c r="O31" i="7"/>
  <c r="P165" i="12"/>
  <c r="P24" i="13"/>
  <c r="L28" i="2"/>
  <c r="O28" i="2" s="1"/>
  <c r="O20" i="12"/>
  <c r="L37" i="12"/>
  <c r="M30" i="13"/>
  <c r="P33" i="13"/>
  <c r="M31" i="13"/>
  <c r="P31" i="13" s="1"/>
  <c r="P16" i="13"/>
  <c r="M14" i="13"/>
  <c r="P14" i="13" s="1"/>
  <c r="P657" i="13"/>
  <c r="M655" i="13"/>
  <c r="P655" i="13" s="1"/>
  <c r="K226" i="13"/>
  <c r="I180" i="13"/>
  <c r="K180" i="13" s="1"/>
  <c r="O444" i="13"/>
  <c r="L414" i="13"/>
  <c r="O414" i="13" s="1"/>
  <c r="P9" i="13"/>
  <c r="P20" i="13"/>
  <c r="M18" i="13"/>
  <c r="P18" i="13" s="1"/>
  <c r="P525" i="13"/>
  <c r="M523" i="13"/>
  <c r="O14" i="13"/>
  <c r="P53" i="12"/>
  <c r="M13" i="13"/>
  <c r="L37" i="13"/>
  <c r="O37" i="13" s="1"/>
  <c r="O41" i="13"/>
  <c r="O11" i="13"/>
  <c r="O16" i="13"/>
  <c r="O31" i="12"/>
  <c r="O24" i="11"/>
  <c r="N10" i="13"/>
  <c r="N8" i="13" s="1"/>
  <c r="O9" i="13"/>
  <c r="L8" i="13"/>
  <c r="P657" i="6"/>
  <c r="P21" i="6"/>
  <c r="P88" i="7"/>
  <c r="M544" i="12"/>
  <c r="P544" i="12" s="1"/>
  <c r="M37" i="12"/>
  <c r="M18" i="12"/>
  <c r="P18" i="12" s="1"/>
  <c r="M444" i="10"/>
  <c r="P444" i="10" s="1"/>
  <c r="O13" i="12"/>
  <c r="P446" i="12"/>
  <c r="P469" i="12"/>
  <c r="M467" i="12"/>
  <c r="P467" i="12" s="1"/>
  <c r="M10" i="12"/>
  <c r="M8" i="12" s="1"/>
  <c r="P13" i="12"/>
  <c r="O165" i="10"/>
  <c r="N14" i="12"/>
  <c r="O14" i="12" s="1"/>
  <c r="P165" i="10"/>
  <c r="L414" i="12"/>
  <c r="O414" i="12" s="1"/>
  <c r="O419" i="12"/>
  <c r="K226" i="12"/>
  <c r="I180" i="12"/>
  <c r="K180" i="12" s="1"/>
  <c r="P16" i="12"/>
  <c r="M14" i="12"/>
  <c r="P33" i="12"/>
  <c r="M31" i="12"/>
  <c r="P31" i="12" s="1"/>
  <c r="M30" i="12"/>
  <c r="M11" i="12"/>
  <c r="P11" i="12" s="1"/>
  <c r="O16" i="11"/>
  <c r="O30" i="12"/>
  <c r="L28" i="12"/>
  <c r="O28" i="12" s="1"/>
  <c r="P631" i="11"/>
  <c r="M629" i="11"/>
  <c r="P629" i="11" s="1"/>
  <c r="P421" i="12"/>
  <c r="M419" i="12"/>
  <c r="O31" i="3"/>
  <c r="M419" i="3"/>
  <c r="P419" i="3" s="1"/>
  <c r="P9" i="12"/>
  <c r="O444" i="12"/>
  <c r="N37" i="12"/>
  <c r="P24" i="12"/>
  <c r="O88" i="12"/>
  <c r="N10" i="12"/>
  <c r="N8" i="12" s="1"/>
  <c r="O8" i="12" s="1"/>
  <c r="L18" i="11"/>
  <c r="O18" i="11" s="1"/>
  <c r="P181" i="11"/>
  <c r="P657" i="11"/>
  <c r="M655" i="11"/>
  <c r="P655" i="11" s="1"/>
  <c r="P20" i="8"/>
  <c r="M37" i="11"/>
  <c r="N37" i="11"/>
  <c r="P421" i="11"/>
  <c r="M419" i="11"/>
  <c r="P419" i="11" s="1"/>
  <c r="O24" i="8"/>
  <c r="P9" i="11"/>
  <c r="P33" i="11"/>
  <c r="M30" i="11"/>
  <c r="M31" i="11"/>
  <c r="P31" i="11" s="1"/>
  <c r="O88" i="11"/>
  <c r="M13" i="11"/>
  <c r="M544" i="11"/>
  <c r="P544" i="11" s="1"/>
  <c r="N11" i="11"/>
  <c r="O11" i="11" s="1"/>
  <c r="M14" i="11"/>
  <c r="P14" i="11" s="1"/>
  <c r="P20" i="11"/>
  <c r="M18" i="11"/>
  <c r="P18" i="11" s="1"/>
  <c r="O9" i="11"/>
  <c r="O13" i="11"/>
  <c r="L10" i="11"/>
  <c r="O10" i="11" s="1"/>
  <c r="K226" i="11"/>
  <c r="I180" i="11"/>
  <c r="K180" i="11" s="1"/>
  <c r="L414" i="11"/>
  <c r="O414" i="11" s="1"/>
  <c r="P165" i="11"/>
  <c r="O41" i="11"/>
  <c r="L37" i="11"/>
  <c r="P24" i="9"/>
  <c r="N37" i="9"/>
  <c r="O53" i="9"/>
  <c r="O24" i="10"/>
  <c r="M14" i="10"/>
  <c r="P14" i="10" s="1"/>
  <c r="O21" i="8"/>
  <c r="L14" i="10"/>
  <c r="O14" i="10" s="1"/>
  <c r="O53" i="10"/>
  <c r="L37" i="10"/>
  <c r="O37" i="10" s="1"/>
  <c r="N37" i="8"/>
  <c r="N8" i="9"/>
  <c r="O28" i="10"/>
  <c r="O13" i="10"/>
  <c r="L11" i="10"/>
  <c r="L10" i="10"/>
  <c r="M37" i="10"/>
  <c r="P37" i="10" s="1"/>
  <c r="P24" i="10"/>
  <c r="O20" i="10"/>
  <c r="L18" i="10"/>
  <c r="O18" i="10" s="1"/>
  <c r="M523" i="3"/>
  <c r="P523" i="3" s="1"/>
  <c r="M544" i="9"/>
  <c r="P544" i="9" s="1"/>
  <c r="P33" i="10"/>
  <c r="M30" i="10"/>
  <c r="M13" i="10"/>
  <c r="M31" i="10"/>
  <c r="P31" i="10" s="1"/>
  <c r="O24" i="9"/>
  <c r="N10" i="10"/>
  <c r="N8" i="10" s="1"/>
  <c r="N11" i="10"/>
  <c r="M544" i="10"/>
  <c r="P18" i="10"/>
  <c r="K226" i="10"/>
  <c r="I180" i="10"/>
  <c r="K180" i="10" s="1"/>
  <c r="L414" i="10"/>
  <c r="O414" i="10" s="1"/>
  <c r="P20" i="10"/>
  <c r="L14" i="4"/>
  <c r="O14" i="4" s="1"/>
  <c r="O261" i="4"/>
  <c r="N8" i="8"/>
  <c r="O41" i="9"/>
  <c r="L37" i="9"/>
  <c r="O328" i="8"/>
  <c r="P657" i="9"/>
  <c r="M655" i="9"/>
  <c r="P655" i="9" s="1"/>
  <c r="O16" i="9"/>
  <c r="L14" i="9"/>
  <c r="O14" i="9" s="1"/>
  <c r="K226" i="9"/>
  <c r="I180" i="9"/>
  <c r="K180" i="9" s="1"/>
  <c r="P33" i="9"/>
  <c r="M30" i="9"/>
  <c r="M31" i="9"/>
  <c r="P31" i="9" s="1"/>
  <c r="P13" i="9"/>
  <c r="M10" i="9"/>
  <c r="M11" i="9"/>
  <c r="P11" i="9" s="1"/>
  <c r="P16" i="9"/>
  <c r="M14" i="9"/>
  <c r="P14" i="9" s="1"/>
  <c r="O30" i="9"/>
  <c r="L28" i="9"/>
  <c r="O28" i="9" s="1"/>
  <c r="P20" i="9"/>
  <c r="M18" i="9"/>
  <c r="P18" i="9" s="1"/>
  <c r="O13" i="9"/>
  <c r="L10" i="9"/>
  <c r="L11" i="9"/>
  <c r="O11" i="9" s="1"/>
  <c r="P119" i="9"/>
  <c r="M37" i="9"/>
  <c r="P421" i="9"/>
  <c r="M419" i="9"/>
  <c r="P24" i="5"/>
  <c r="L414" i="9"/>
  <c r="O414" i="9" s="1"/>
  <c r="O53" i="8"/>
  <c r="L18" i="9"/>
  <c r="O18" i="9" s="1"/>
  <c r="O20" i="9"/>
  <c r="L414" i="8"/>
  <c r="L10" i="4"/>
  <c r="L8" i="4" s="1"/>
  <c r="N8" i="6"/>
  <c r="L28" i="6"/>
  <c r="O28" i="6" s="1"/>
  <c r="P53" i="8"/>
  <c r="P687" i="8"/>
  <c r="M685" i="8"/>
  <c r="P685" i="8" s="1"/>
  <c r="O13" i="8"/>
  <c r="L10" i="8"/>
  <c r="L11" i="8"/>
  <c r="O11" i="8" s="1"/>
  <c r="M37" i="8"/>
  <c r="P41" i="8"/>
  <c r="P419" i="8"/>
  <c r="P13" i="8"/>
  <c r="M10" i="8"/>
  <c r="M11" i="8"/>
  <c r="P11" i="8" s="1"/>
  <c r="O20" i="8"/>
  <c r="L18" i="8"/>
  <c r="O18" i="8" s="1"/>
  <c r="K226" i="8"/>
  <c r="I180" i="8"/>
  <c r="K180" i="8" s="1"/>
  <c r="M30" i="8"/>
  <c r="P33" i="8"/>
  <c r="M31" i="8"/>
  <c r="P31" i="8" s="1"/>
  <c r="L37" i="8"/>
  <c r="O21" i="7"/>
  <c r="O16" i="8"/>
  <c r="L14" i="8"/>
  <c r="O14" i="8" s="1"/>
  <c r="M14" i="8"/>
  <c r="P14" i="8" s="1"/>
  <c r="P467" i="8"/>
  <c r="O467" i="8"/>
  <c r="N414" i="8"/>
  <c r="M18" i="8"/>
  <c r="P18" i="8" s="1"/>
  <c r="P14" i="7"/>
  <c r="O14" i="7"/>
  <c r="I180" i="7"/>
  <c r="K180" i="7" s="1"/>
  <c r="I180" i="5"/>
  <c r="K180" i="5" s="1"/>
  <c r="K226" i="5"/>
  <c r="P421" i="7"/>
  <c r="M419" i="7"/>
  <c r="P328" i="6"/>
  <c r="O9" i="7"/>
  <c r="P469" i="7"/>
  <c r="M467" i="7"/>
  <c r="P467" i="7" s="1"/>
  <c r="M37" i="7"/>
  <c r="N10" i="7"/>
  <c r="N8" i="7" s="1"/>
  <c r="N11" i="7"/>
  <c r="P11" i="7" s="1"/>
  <c r="P446" i="7"/>
  <c r="M444" i="7"/>
  <c r="P444" i="7" s="1"/>
  <c r="P21" i="7"/>
  <c r="L37" i="7"/>
  <c r="O41" i="7"/>
  <c r="L10" i="7"/>
  <c r="O13" i="7"/>
  <c r="L414" i="7"/>
  <c r="O414" i="7" s="1"/>
  <c r="L10" i="5"/>
  <c r="O10" i="5" s="1"/>
  <c r="P9" i="7"/>
  <c r="O53" i="7"/>
  <c r="N37" i="7"/>
  <c r="P53" i="7"/>
  <c r="L11" i="7"/>
  <c r="P13" i="7"/>
  <c r="M10" i="7"/>
  <c r="M544" i="7"/>
  <c r="P544" i="7" s="1"/>
  <c r="O20" i="7"/>
  <c r="L18" i="7"/>
  <c r="O18" i="7" s="1"/>
  <c r="O30" i="7"/>
  <c r="N28" i="7"/>
  <c r="O24" i="7"/>
  <c r="M30" i="7"/>
  <c r="P33" i="7"/>
  <c r="M31" i="7"/>
  <c r="P31" i="7" s="1"/>
  <c r="P20" i="7"/>
  <c r="O16" i="7"/>
  <c r="P16" i="7"/>
  <c r="M18" i="7"/>
  <c r="P18" i="7" s="1"/>
  <c r="O21" i="4"/>
  <c r="P657" i="7"/>
  <c r="M655" i="7"/>
  <c r="P655" i="7" s="1"/>
  <c r="O28" i="7"/>
  <c r="O261" i="5"/>
  <c r="N37" i="5"/>
  <c r="O24" i="4"/>
  <c r="P24" i="6"/>
  <c r="O16" i="6"/>
  <c r="O30" i="4"/>
  <c r="O20" i="5"/>
  <c r="N8" i="5"/>
  <c r="O132" i="5"/>
  <c r="N37" i="6"/>
  <c r="L414" i="6"/>
  <c r="O419" i="6"/>
  <c r="O41" i="6"/>
  <c r="L37" i="6"/>
  <c r="K226" i="6"/>
  <c r="I180" i="6"/>
  <c r="K180" i="6" s="1"/>
  <c r="O53" i="6"/>
  <c r="P33" i="6"/>
  <c r="M30" i="6"/>
  <c r="M31" i="6"/>
  <c r="P31" i="6" s="1"/>
  <c r="O13" i="6"/>
  <c r="L10" i="6"/>
  <c r="L11" i="6"/>
  <c r="O11" i="6" s="1"/>
  <c r="P546" i="6"/>
  <c r="M544" i="6"/>
  <c r="O88" i="5"/>
  <c r="O685" i="6"/>
  <c r="P685" i="6"/>
  <c r="O20" i="6"/>
  <c r="L18" i="6"/>
  <c r="O18" i="6" s="1"/>
  <c r="M10" i="6"/>
  <c r="P13" i="6"/>
  <c r="M11" i="6"/>
  <c r="P11" i="6" s="1"/>
  <c r="M37" i="6"/>
  <c r="P41" i="6"/>
  <c r="P20" i="6"/>
  <c r="M18" i="6"/>
  <c r="P18" i="6" s="1"/>
  <c r="L414" i="5"/>
  <c r="O414" i="5" s="1"/>
  <c r="O13" i="5"/>
  <c r="P298" i="5"/>
  <c r="P16" i="6"/>
  <c r="M14" i="6"/>
  <c r="P631" i="6"/>
  <c r="M629" i="6"/>
  <c r="P629" i="6" s="1"/>
  <c r="O467" i="6"/>
  <c r="N37" i="4"/>
  <c r="N11" i="5"/>
  <c r="O11" i="5" s="1"/>
  <c r="N414" i="6"/>
  <c r="N14" i="6"/>
  <c r="O14" i="6" s="1"/>
  <c r="M37" i="5"/>
  <c r="P37" i="5" s="1"/>
  <c r="P53" i="4"/>
  <c r="P345" i="4"/>
  <c r="O20" i="3"/>
  <c r="P33" i="5"/>
  <c r="M30" i="5"/>
  <c r="M31" i="5"/>
  <c r="P31" i="5" s="1"/>
  <c r="O30" i="5"/>
  <c r="O41" i="5"/>
  <c r="L37" i="5"/>
  <c r="L28" i="5"/>
  <c r="O28" i="5" s="1"/>
  <c r="P421" i="5"/>
  <c r="M419" i="5"/>
  <c r="O18" i="4"/>
  <c r="O9" i="5"/>
  <c r="P41" i="5"/>
  <c r="P13" i="5"/>
  <c r="M10" i="5"/>
  <c r="M11" i="5"/>
  <c r="P16" i="5"/>
  <c r="M14" i="5"/>
  <c r="P14" i="5" s="1"/>
  <c r="P20" i="5"/>
  <c r="M18" i="5"/>
  <c r="P18" i="5" s="1"/>
  <c r="L14" i="5"/>
  <c r="O14" i="5" s="1"/>
  <c r="N8" i="4"/>
  <c r="O13" i="4"/>
  <c r="N18" i="3"/>
  <c r="O18" i="3" s="1"/>
  <c r="P41" i="4"/>
  <c r="M37" i="4"/>
  <c r="L37" i="4"/>
  <c r="P546" i="4"/>
  <c r="M544" i="4"/>
  <c r="P544" i="4" s="1"/>
  <c r="O298" i="3"/>
  <c r="O9" i="4"/>
  <c r="P21" i="4"/>
  <c r="N414" i="4"/>
  <c r="P419" i="4"/>
  <c r="O419" i="4"/>
  <c r="L414" i="4"/>
  <c r="I180" i="4"/>
  <c r="K180" i="4" s="1"/>
  <c r="K226" i="4"/>
  <c r="P9" i="4"/>
  <c r="M14" i="4"/>
  <c r="P14" i="4" s="1"/>
  <c r="P16" i="4"/>
  <c r="P33" i="4"/>
  <c r="M30" i="4"/>
  <c r="M31" i="4"/>
  <c r="P31" i="4" s="1"/>
  <c r="M13" i="4"/>
  <c r="M14" i="2"/>
  <c r="P14" i="2" s="1"/>
  <c r="P469" i="3"/>
  <c r="O20" i="4"/>
  <c r="P446" i="4"/>
  <c r="M444" i="4"/>
  <c r="P20" i="4"/>
  <c r="N11" i="4"/>
  <c r="O11" i="4" s="1"/>
  <c r="M18" i="4"/>
  <c r="P18" i="4" s="1"/>
  <c r="O16" i="3"/>
  <c r="L10" i="3"/>
  <c r="L8" i="3" s="1"/>
  <c r="L11" i="3"/>
  <c r="O11" i="3" s="1"/>
  <c r="L14" i="2"/>
  <c r="O14" i="2" s="1"/>
  <c r="O18" i="2"/>
  <c r="P467" i="3"/>
  <c r="N414" i="3"/>
  <c r="O30" i="3"/>
  <c r="P88" i="3"/>
  <c r="P33" i="3"/>
  <c r="M30" i="3"/>
  <c r="M31" i="3"/>
  <c r="P31" i="3" s="1"/>
  <c r="N37" i="2"/>
  <c r="O181" i="2"/>
  <c r="P41" i="3"/>
  <c r="M37" i="3"/>
  <c r="O467" i="3"/>
  <c r="P24" i="3"/>
  <c r="N8" i="2"/>
  <c r="L37" i="2"/>
  <c r="P315" i="2"/>
  <c r="I180" i="3"/>
  <c r="K180" i="3" s="1"/>
  <c r="K226" i="3"/>
  <c r="P546" i="3"/>
  <c r="M544" i="3"/>
  <c r="P21" i="2"/>
  <c r="P20" i="2"/>
  <c r="M13" i="3"/>
  <c r="L414" i="3"/>
  <c r="O414" i="3" s="1"/>
  <c r="P16" i="3"/>
  <c r="O24" i="2"/>
  <c r="O14" i="3"/>
  <c r="N10" i="3"/>
  <c r="O13" i="3"/>
  <c r="O149" i="3"/>
  <c r="P149" i="3"/>
  <c r="O28" i="3"/>
  <c r="P14" i="3"/>
  <c r="L37" i="3"/>
  <c r="P20" i="3"/>
  <c r="M18" i="3"/>
  <c r="N37" i="3"/>
  <c r="M544" i="2"/>
  <c r="P544" i="2" s="1"/>
  <c r="L414" i="2"/>
  <c r="O414" i="2" s="1"/>
  <c r="O20" i="2"/>
  <c r="P13" i="2"/>
  <c r="M10" i="2"/>
  <c r="P10" i="2" s="1"/>
  <c r="M11" i="2"/>
  <c r="P41" i="2"/>
  <c r="M37" i="2"/>
  <c r="O13" i="2"/>
  <c r="L10" i="2"/>
  <c r="L11" i="2"/>
  <c r="M523" i="2"/>
  <c r="P523" i="2" s="1"/>
  <c r="P525" i="2"/>
  <c r="P33" i="2"/>
  <c r="M30" i="2"/>
  <c r="M31" i="2"/>
  <c r="P31" i="2" s="1"/>
  <c r="N11" i="2"/>
  <c r="K226" i="2"/>
  <c r="I180" i="2"/>
  <c r="K180" i="2" s="1"/>
  <c r="P421" i="2"/>
  <c r="M419" i="2"/>
  <c r="P9" i="2"/>
  <c r="M18" i="2"/>
  <c r="P18" i="2" s="1"/>
  <c r="O88" i="1"/>
  <c r="P629" i="1"/>
  <c r="J592" i="1"/>
  <c r="K592" i="1" s="1"/>
  <c r="P632" i="1"/>
  <c r="O629" i="1"/>
  <c r="O631" i="1"/>
  <c r="P631" i="1"/>
  <c r="K669" i="1"/>
  <c r="P277" i="1"/>
  <c r="O444" i="1"/>
  <c r="M414" i="1"/>
  <c r="O446" i="1"/>
  <c r="P446" i="1"/>
  <c r="N523" i="1"/>
  <c r="P523" i="1" s="1"/>
  <c r="P525" i="1"/>
  <c r="P24" i="1"/>
  <c r="P18" i="1"/>
  <c r="P20" i="1"/>
  <c r="M37" i="1"/>
  <c r="N419" i="1"/>
  <c r="O421" i="1"/>
  <c r="P421" i="1"/>
  <c r="L14" i="1"/>
  <c r="O14" i="1" s="1"/>
  <c r="P298" i="1"/>
  <c r="P21" i="1"/>
  <c r="O422" i="1"/>
  <c r="N655" i="1"/>
  <c r="O657" i="1"/>
  <c r="P657" i="1"/>
  <c r="O470" i="1"/>
  <c r="P470" i="1"/>
  <c r="P9" i="1"/>
  <c r="P469" i="1"/>
  <c r="N467" i="1"/>
  <c r="P11" i="1"/>
  <c r="P16" i="1"/>
  <c r="M14" i="1"/>
  <c r="P14" i="1" s="1"/>
  <c r="M10" i="1"/>
  <c r="L414" i="1"/>
  <c r="P688" i="1"/>
  <c r="O688" i="1"/>
  <c r="N10" i="1"/>
  <c r="N8" i="1" s="1"/>
  <c r="P13" i="1"/>
  <c r="O547" i="1"/>
  <c r="P547" i="1"/>
  <c r="N31" i="1"/>
  <c r="N30" i="1"/>
  <c r="O33" i="1"/>
  <c r="P33" i="1"/>
  <c r="O687" i="1"/>
  <c r="N685" i="1"/>
  <c r="O685" i="1" s="1"/>
  <c r="J543" i="1"/>
  <c r="K543" i="1" s="1"/>
  <c r="K559" i="1"/>
  <c r="O13" i="1"/>
  <c r="L10" i="1"/>
  <c r="L11" i="1"/>
  <c r="O11" i="1" s="1"/>
  <c r="O41" i="1"/>
  <c r="L37" i="1"/>
  <c r="N544" i="1"/>
  <c r="O544" i="1" s="1"/>
  <c r="P546" i="1"/>
  <c r="P165" i="1"/>
  <c r="O165" i="1"/>
  <c r="O469" i="1"/>
  <c r="O20" i="1"/>
  <c r="L18" i="1"/>
  <c r="O18" i="1" s="1"/>
  <c r="N37" i="1"/>
  <c r="K226" i="1"/>
  <c r="I180" i="1"/>
  <c r="K180" i="1" s="1"/>
  <c r="P658" i="1"/>
  <c r="O658" i="1"/>
  <c r="P149" i="1"/>
  <c r="O66" i="1"/>
  <c r="P66" i="1"/>
  <c r="O546" i="1"/>
  <c r="M8" i="15" l="1"/>
  <c r="N10" i="15"/>
  <c r="N8" i="15" s="1"/>
  <c r="O8" i="15" s="1"/>
  <c r="N11" i="15"/>
  <c r="P31" i="15"/>
  <c r="P30" i="15"/>
  <c r="M28" i="15"/>
  <c r="N414" i="15"/>
  <c r="O414" i="15" s="1"/>
  <c r="O444" i="15"/>
  <c r="P444" i="15"/>
  <c r="P467" i="15"/>
  <c r="M414" i="15"/>
  <c r="O10" i="15"/>
  <c r="N28" i="15"/>
  <c r="O28" i="15" s="1"/>
  <c r="O30" i="15"/>
  <c r="P30" i="14"/>
  <c r="M28" i="14"/>
  <c r="P28" i="14" s="1"/>
  <c r="O414" i="8"/>
  <c r="M414" i="14"/>
  <c r="P414" i="14" s="1"/>
  <c r="P419" i="14"/>
  <c r="L8" i="14"/>
  <c r="N11" i="14"/>
  <c r="P11" i="14" s="1"/>
  <c r="N10" i="14"/>
  <c r="N8" i="14" s="1"/>
  <c r="P8" i="14" s="1"/>
  <c r="O8" i="13"/>
  <c r="O10" i="13"/>
  <c r="O11" i="14"/>
  <c r="P13" i="14"/>
  <c r="P37" i="11"/>
  <c r="O37" i="12"/>
  <c r="P13" i="13"/>
  <c r="M10" i="13"/>
  <c r="M11" i="13"/>
  <c r="P11" i="13" s="1"/>
  <c r="P30" i="13"/>
  <c r="M28" i="13"/>
  <c r="P28" i="13" s="1"/>
  <c r="P523" i="13"/>
  <c r="M414" i="13"/>
  <c r="P414" i="13" s="1"/>
  <c r="O10" i="12"/>
  <c r="P37" i="12"/>
  <c r="P14" i="12"/>
  <c r="P30" i="12"/>
  <c r="M28" i="12"/>
  <c r="P28" i="12" s="1"/>
  <c r="M414" i="12"/>
  <c r="P414" i="12" s="1"/>
  <c r="P419" i="12"/>
  <c r="P10" i="12"/>
  <c r="P8" i="12"/>
  <c r="P37" i="8"/>
  <c r="P37" i="9"/>
  <c r="O37" i="11"/>
  <c r="P30" i="11"/>
  <c r="M28" i="11"/>
  <c r="P28" i="11" s="1"/>
  <c r="O37" i="9"/>
  <c r="L8" i="11"/>
  <c r="O8" i="11" s="1"/>
  <c r="P13" i="11"/>
  <c r="M10" i="11"/>
  <c r="M11" i="11"/>
  <c r="P11" i="11" s="1"/>
  <c r="M414" i="8"/>
  <c r="M414" i="11"/>
  <c r="P414" i="11" s="1"/>
  <c r="O37" i="8"/>
  <c r="O11" i="10"/>
  <c r="P13" i="10"/>
  <c r="M10" i="10"/>
  <c r="M11" i="10"/>
  <c r="P11" i="10" s="1"/>
  <c r="P544" i="10"/>
  <c r="M414" i="10"/>
  <c r="P414" i="10" s="1"/>
  <c r="P30" i="10"/>
  <c r="M28" i="10"/>
  <c r="P28" i="10" s="1"/>
  <c r="O10" i="7"/>
  <c r="O10" i="10"/>
  <c r="L8" i="10"/>
  <c r="O8" i="10" s="1"/>
  <c r="O10" i="4"/>
  <c r="O8" i="4"/>
  <c r="O10" i="9"/>
  <c r="L8" i="9"/>
  <c r="O8" i="9" s="1"/>
  <c r="P30" i="9"/>
  <c r="M28" i="9"/>
  <c r="P28" i="9" s="1"/>
  <c r="M414" i="9"/>
  <c r="P414" i="9" s="1"/>
  <c r="P419" i="9"/>
  <c r="P10" i="9"/>
  <c r="M8" i="9"/>
  <c r="P8" i="9" s="1"/>
  <c r="O37" i="4"/>
  <c r="P10" i="7"/>
  <c r="O37" i="7"/>
  <c r="P37" i="7"/>
  <c r="O10" i="8"/>
  <c r="L8" i="8"/>
  <c r="O8" i="8" s="1"/>
  <c r="P414" i="8"/>
  <c r="L8" i="5"/>
  <c r="O8" i="5" s="1"/>
  <c r="P30" i="8"/>
  <c r="M28" i="8"/>
  <c r="P28" i="8" s="1"/>
  <c r="P10" i="8"/>
  <c r="M8" i="8"/>
  <c r="P8" i="8" s="1"/>
  <c r="P14" i="6"/>
  <c r="O37" i="6"/>
  <c r="P30" i="7"/>
  <c r="M28" i="7"/>
  <c r="P28" i="7" s="1"/>
  <c r="L8" i="7"/>
  <c r="O8" i="7" s="1"/>
  <c r="O37" i="5"/>
  <c r="M8" i="7"/>
  <c r="P8" i="7" s="1"/>
  <c r="P419" i="7"/>
  <c r="M414" i="7"/>
  <c r="P414" i="7" s="1"/>
  <c r="O11" i="7"/>
  <c r="P37" i="4"/>
  <c r="P30" i="6"/>
  <c r="M28" i="6"/>
  <c r="P28" i="6" s="1"/>
  <c r="P11" i="5"/>
  <c r="P37" i="6"/>
  <c r="O414" i="6"/>
  <c r="O10" i="6"/>
  <c r="L8" i="6"/>
  <c r="O8" i="6" s="1"/>
  <c r="P10" i="6"/>
  <c r="M8" i="6"/>
  <c r="P8" i="6" s="1"/>
  <c r="P544" i="6"/>
  <c r="M414" i="6"/>
  <c r="P414" i="6" s="1"/>
  <c r="O37" i="3"/>
  <c r="O10" i="3"/>
  <c r="P10" i="5"/>
  <c r="M8" i="5"/>
  <c r="P8" i="5" s="1"/>
  <c r="M414" i="5"/>
  <c r="P414" i="5" s="1"/>
  <c r="P419" i="5"/>
  <c r="P18" i="3"/>
  <c r="P30" i="5"/>
  <c r="M28" i="5"/>
  <c r="P28" i="5" s="1"/>
  <c r="P37" i="1"/>
  <c r="P13" i="4"/>
  <c r="M10" i="4"/>
  <c r="M11" i="4"/>
  <c r="P11" i="4" s="1"/>
  <c r="P444" i="4"/>
  <c r="M414" i="4"/>
  <c r="P414" i="4" s="1"/>
  <c r="M28" i="4"/>
  <c r="P28" i="4" s="1"/>
  <c r="P30" i="4"/>
  <c r="P37" i="2"/>
  <c r="O37" i="2"/>
  <c r="O414" i="4"/>
  <c r="P37" i="3"/>
  <c r="P544" i="3"/>
  <c r="M414" i="3"/>
  <c r="P414" i="3" s="1"/>
  <c r="P30" i="3"/>
  <c r="M28" i="3"/>
  <c r="P28" i="3" s="1"/>
  <c r="M8" i="2"/>
  <c r="P8" i="2" s="1"/>
  <c r="N8" i="3"/>
  <c r="O8" i="3" s="1"/>
  <c r="P13" i="3"/>
  <c r="M10" i="3"/>
  <c r="M11" i="3"/>
  <c r="P11" i="3" s="1"/>
  <c r="P11" i="2"/>
  <c r="M414" i="2"/>
  <c r="P414" i="2" s="1"/>
  <c r="P419" i="2"/>
  <c r="P30" i="2"/>
  <c r="M28" i="2"/>
  <c r="P28" i="2" s="1"/>
  <c r="O11" i="2"/>
  <c r="O10" i="2"/>
  <c r="L8" i="2"/>
  <c r="O8" i="2" s="1"/>
  <c r="O523" i="1"/>
  <c r="O37" i="1"/>
  <c r="P10" i="1"/>
  <c r="P419" i="1"/>
  <c r="O419" i="1"/>
  <c r="P544" i="1"/>
  <c r="O10" i="1"/>
  <c r="L8" i="1"/>
  <c r="O8" i="1" s="1"/>
  <c r="O655" i="1"/>
  <c r="P655" i="1"/>
  <c r="M8" i="1"/>
  <c r="P8" i="1" s="1"/>
  <c r="P685" i="1"/>
  <c r="O31" i="1"/>
  <c r="P31" i="1"/>
  <c r="N28" i="1"/>
  <c r="O30" i="1"/>
  <c r="P30" i="1"/>
  <c r="P467" i="1"/>
  <c r="N414" i="1"/>
  <c r="P414" i="1" s="1"/>
  <c r="O467" i="1"/>
  <c r="P28" i="15" l="1"/>
  <c r="P8" i="15"/>
  <c r="P414" i="15"/>
  <c r="P10" i="15"/>
  <c r="P11" i="15"/>
  <c r="O11" i="15"/>
  <c r="P10" i="14"/>
  <c r="O8" i="14"/>
  <c r="O10" i="14"/>
  <c r="P10" i="13"/>
  <c r="M8" i="13"/>
  <c r="P8" i="13" s="1"/>
  <c r="P10" i="11"/>
  <c r="M8" i="11"/>
  <c r="P8" i="11" s="1"/>
  <c r="P10" i="10"/>
  <c r="M8" i="10"/>
  <c r="P8" i="10" s="1"/>
  <c r="P10" i="4"/>
  <c r="M8" i="4"/>
  <c r="P8" i="4" s="1"/>
  <c r="P10" i="3"/>
  <c r="M8" i="3"/>
  <c r="P8" i="3" s="1"/>
  <c r="P28" i="1"/>
  <c r="O28" i="1"/>
  <c r="O414" i="1"/>
</calcChain>
</file>

<file path=xl/sharedStrings.xml><?xml version="1.0" encoding="utf-8"?>
<sst xmlns="http://schemas.openxmlformats.org/spreadsheetml/2006/main" count="23314" uniqueCount="355">
  <si>
    <t>รายละเอียดแผนงาน/โครงการ ผลผลิต/กิจกรรม ปีงบประมาณ พ.ศ. 2566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</si>
  <si>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</si>
  <si>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</si>
  <si>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</si>
  <si>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</si>
  <si>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</si>
  <si>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</si>
  <si>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</si>
  <si>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</si>
  <si>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</si>
  <si>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</si>
  <si>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</si>
  <si>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</si>
  <si>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</si>
  <si>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</si>
  <si>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</si>
  <si>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</si>
  <si>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</si>
  <si>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</si>
  <si>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</si>
  <si>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</si>
  <si>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</si>
  <si>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</si>
  <si>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</si>
  <si>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</si>
  <si>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</si>
  <si>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</si>
  <si>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</si>
  <si>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</si>
  <si>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</si>
  <si>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</si>
  <si>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</si>
  <si>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</si>
  <si>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</si>
  <si>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</si>
  <si>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</si>
  <si>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</si>
  <si>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</si>
  <si>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</si>
  <si>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</si>
  <si>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</si>
  <si>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</si>
  <si>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</si>
  <si>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</si>
  <si>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</si>
  <si>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</si>
  <si>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</si>
  <si>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</si>
  <si>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</si>
  <si>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</si>
  <si>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</si>
  <si>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</si>
  <si>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</si>
  <si>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</si>
  <si>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</si>
  <si>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</si>
  <si>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</si>
  <si>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</si>
  <si>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</si>
  <si>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</si>
  <si>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</si>
  <si>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</si>
  <si>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</si>
  <si>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</si>
  <si>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</si>
  <si>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</si>
  <si>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</si>
  <si>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</si>
  <si>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</si>
  <si>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</si>
  <si>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</si>
  <si>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</si>
  <si>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</si>
  <si>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</si>
  <si>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</si>
  <si>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</si>
  <si>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</si>
  <si>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</si>
  <si>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</si>
  <si>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</si>
  <si>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</si>
  <si>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</si>
  <si>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</si>
  <si>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</si>
  <si>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</si>
  <si>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</si>
  <si>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</si>
  <si>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</si>
  <si>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</si>
  <si>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</si>
  <si>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</si>
  <si>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</si>
  <si>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</si>
  <si>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</si>
  <si>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</si>
  <si>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</si>
  <si>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</si>
  <si>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</si>
  <si>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</si>
  <si>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</si>
  <si>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</si>
  <si>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</si>
  <si>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</si>
  <si>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</si>
  <si>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</si>
  <si>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</si>
  <si>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</si>
  <si>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</si>
  <si>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</si>
  <si>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</si>
  <si>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</si>
  <si>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</si>
  <si>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</si>
  <si>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</si>
  <si>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</si>
  <si>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</si>
  <si>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</si>
  <si>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</si>
  <si>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</si>
  <si>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</si>
  <si>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</si>
  <si>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</si>
  <si>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</si>
  <si>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</si>
  <si>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</si>
  <si>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</si>
  <si>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</si>
  <si>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</si>
  <si>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</si>
  <si>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</si>
  <si>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</si>
  <si>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</si>
  <si>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</si>
  <si>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</si>
  <si>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</si>
  <si>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</si>
  <si>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</si>
  <si>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</si>
  <si>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</si>
  <si>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</si>
  <si>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</si>
  <si>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</si>
  <si>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</si>
  <si>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</si>
  <si>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</si>
  <si>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</si>
  <si>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</si>
  <si>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</si>
  <si>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</si>
  <si>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</si>
  <si>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</si>
  <si>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</si>
  <si>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</si>
  <si>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</si>
  <si>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</si>
  <si>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</si>
  <si>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</si>
  <si>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</si>
  <si>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</si>
  <si>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</si>
  <si>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</si>
  <si>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</si>
  <si>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</si>
  <si>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</si>
  <si>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</si>
  <si>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</si>
  <si>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</si>
  <si>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</si>
  <si>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</si>
  <si>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</si>
  <si>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</si>
  <si>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</si>
  <si>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</si>
  <si>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</si>
  <si>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</si>
  <si>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</si>
  <si>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</si>
  <si>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</si>
  <si>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</si>
  <si>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</si>
  <si>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</si>
  <si>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</si>
  <si>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</si>
  <si>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</si>
  <si>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</si>
  <si>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</si>
  <si>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</si>
  <si>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</si>
  <si>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</si>
  <si>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</si>
  <si>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</si>
  <si>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</si>
  <si>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</si>
  <si>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</si>
  <si>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</si>
  <si>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</si>
  <si>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</si>
  <si>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</si>
  <si>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</si>
  <si>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</si>
  <si>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</si>
  <si>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</si>
  <si>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</si>
  <si>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</si>
  <si>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</si>
  <si>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</si>
  <si>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</si>
  <si>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</si>
  <si>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</si>
  <si>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</si>
  <si>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</si>
  <si>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</si>
  <si>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</si>
  <si>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</si>
  <si>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</si>
  <si>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</si>
  <si>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</si>
  <si>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</si>
  <si>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</si>
  <si>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</si>
  <si>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</si>
  <si>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</si>
  <si>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</si>
  <si>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</si>
  <si>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</si>
  <si>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</si>
  <si>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</si>
  <si>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</si>
  <si>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</si>
  <si>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</si>
  <si>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</si>
  <si>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</si>
  <si>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</si>
  <si>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</si>
  <si>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</si>
  <si>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</si>
  <si>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</si>
  <si>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</si>
  <si>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</si>
  <si>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</si>
  <si>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</si>
  <si>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</si>
  <si>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</si>
  <si>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</si>
  <si>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</si>
  <si>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</si>
  <si>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</si>
  <si>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</si>
  <si>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</si>
  <si>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</si>
  <si>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</si>
  <si>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</si>
  <si>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</si>
  <si>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</si>
  <si>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</si>
  <si>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</si>
  <si>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</si>
  <si>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</si>
  <si>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</si>
  <si>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</si>
  <si>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</si>
  <si>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</si>
  <si>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</si>
  <si>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</si>
  <si>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</si>
  <si>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</si>
  <si>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</si>
  <si>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</si>
  <si>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</si>
  <si>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</si>
  <si>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</si>
  <si>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</si>
  <si>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</si>
  <si>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</si>
  <si>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</si>
  <si>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</si>
  <si>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</si>
  <si>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</si>
  <si>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</si>
  <si>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</si>
  <si>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</si>
  <si>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</si>
  <si>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</si>
  <si>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</si>
  <si>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</si>
  <si>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</si>
  <si>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</si>
  <si>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</si>
  <si>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</si>
  <si>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</si>
  <si>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</si>
  <si>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</si>
  <si>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</si>
  <si>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</si>
  <si>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</si>
  <si>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</si>
  <si>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</si>
  <si>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</si>
  <si>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</si>
  <si>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</si>
  <si>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</si>
  <si>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</si>
  <si>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</si>
  <si>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</si>
  <si>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</si>
  <si>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</si>
  <si>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</si>
  <si>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</si>
  <si>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</si>
  <si>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</si>
  <si>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</si>
  <si>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</si>
  <si>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</si>
  <si>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</si>
  <si>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</si>
  <si>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</si>
  <si>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</si>
  <si>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</si>
  <si>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</si>
  <si>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</si>
  <si>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</si>
  <si>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</si>
  <si>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</si>
  <si>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</si>
  <si>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</si>
  <si>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</si>
  <si>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</si>
  <si>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</si>
  <si>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</si>
  <si>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</si>
  <si>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ข้อมูล ณ วันที่ 31 มีนาคม 2556</t>
  </si>
  <si>
    <t>สำนักงานการปฏิรูปที่ดินจังหวัด กระบี่</t>
  </si>
  <si>
    <t>(5) โครงการพัชรสุธาคชานุรักษ์</t>
  </si>
  <si>
    <t>(6) โครงการพัฒนาพื้นที่ราบเชิงเขา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</si>
  <si>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 </t>
    </r>
    <r>
      <rPr>
        <b/>
        <sz val="15"/>
        <color rgb="FFFF0000"/>
        <rFont val="Arial"/>
      </rPr>
      <t>(ใช้ข้อมูลจาก สบท.)</t>
    </r>
  </si>
  <si>
    <t>สำนักงานการปฏิรูปที่ดินจังหวัด ชุมพร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</si>
  <si>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</si>
  <si>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ตรัง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</si>
  <si>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</si>
  <si>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นครศรีธรรมราช</t>
  </si>
  <si>
    <t>(5) โครงการพัฒนาพื้นที่ลุ่มน้ำปากพนัง</t>
  </si>
  <si>
    <t>สำนักงานการปฏิรูปที่ดินจังหวัด นราธิวาส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</si>
  <si>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>(ใช้ข้อมูลจาก สบท.)</t>
    </r>
  </si>
  <si>
    <t>สำนักงานการปฏิรูปที่ดินจังหวัด ปัตตานี</t>
  </si>
  <si>
    <t>สำนักงานการปฏิรูปที่ดินจังหวัด พังงา</t>
  </si>
  <si>
    <t>สำนักงานการปฏิรูปที่ดินจังหวัด พัทลุง</t>
  </si>
  <si>
    <r>
      <rPr>
        <b/>
        <sz val="15"/>
        <color theme="1"/>
        <rFont val="Arial"/>
      </rPr>
      <t>การดำเนินงานกองทุนการปฏิรูปที่ดินเพื่อเกษตรกรรม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</si>
  <si>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ภูเก็ต</t>
  </si>
  <si>
    <t>- รายโรงเรียน</t>
  </si>
  <si>
    <t>- โรงเรียน/แปลง</t>
  </si>
  <si>
    <t>สำนักงานการปฏิรูปที่ดินจังหวัด ยะลา</t>
  </si>
  <si>
    <t>สำนักงานการปฏิรูปที่ดินจังหวัด ระนอง</t>
  </si>
  <si>
    <t>สำนักงานการปฏิรูปที่ดินจังหวัด สงขลา</t>
  </si>
  <si>
    <t>สำนักงานการปฏิรูปที่ดินจังหวัด สตูล</t>
  </si>
  <si>
    <t>สำนักงานการปฏิรูปที่ดินจังหวัด สุราษฎร์ธานี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</si>
</sst>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7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sz val="10"/>
      <color theme="1"/>
      <name val="Arial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2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537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3" borderId="9" xfId="0" applyNumberFormat="1" applyFont="1" applyFill="1" applyBorder="1" applyAlignment="1"/>
    <xf numFmtId="187" fontId="7" fillId="23" borderId="10" xfId="0" applyNumberFormat="1" applyFont="1" applyFill="1" applyBorder="1" applyAlignment="1"/>
    <xf numFmtId="0" fontId="15" fillId="23" borderId="10" xfId="0" applyFont="1" applyFill="1" applyBorder="1" applyAlignment="1"/>
    <xf numFmtId="0" fontId="7" fillId="23" borderId="10" xfId="0" applyFont="1" applyFill="1" applyBorder="1" applyAlignment="1"/>
    <xf numFmtId="0" fontId="7" fillId="23" borderId="11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88" fontId="9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10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189" fontId="4" fillId="26" borderId="11" xfId="0" applyNumberFormat="1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41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0" borderId="9" xfId="0" applyNumberFormat="1" applyFont="1" applyFill="1" applyBorder="1" applyAlignment="1"/>
    <xf numFmtId="187" fontId="44" fillId="30" borderId="10" xfId="0" applyNumberFormat="1" applyFont="1" applyFill="1" applyBorder="1" applyAlignment="1"/>
    <xf numFmtId="0" fontId="45" fillId="30" borderId="10" xfId="0" applyFont="1" applyFill="1" applyBorder="1" applyAlignment="1"/>
    <xf numFmtId="0" fontId="45" fillId="30" borderId="10" xfId="0" applyFont="1" applyFill="1" applyBorder="1" applyAlignment="1"/>
    <xf numFmtId="0" fontId="44" fillId="30" borderId="10" xfId="0" applyFont="1" applyFill="1" applyBorder="1" applyAlignment="1"/>
    <xf numFmtId="0" fontId="44" fillId="30" borderId="11" xfId="0" applyFont="1" applyFill="1" applyBorder="1" applyAlignment="1"/>
    <xf numFmtId="0" fontId="47" fillId="30" borderId="11" xfId="0" applyFont="1" applyFill="1" applyBorder="1" applyAlignment="1">
      <alignment horizontal="center"/>
    </xf>
    <xf numFmtId="189" fontId="47" fillId="30" borderId="11" xfId="0" applyNumberFormat="1" applyFont="1" applyFill="1" applyBorder="1" applyAlignment="1"/>
    <xf numFmtId="189" fontId="47" fillId="30" borderId="11" xfId="0" applyNumberFormat="1" applyFont="1" applyFill="1" applyBorder="1" applyAlignment="1"/>
    <xf numFmtId="188" fontId="47" fillId="30" borderId="11" xfId="0" applyNumberFormat="1" applyFont="1" applyFill="1" applyBorder="1" applyAlignment="1"/>
    <xf numFmtId="188" fontId="48" fillId="30" borderId="11" xfId="0" applyNumberFormat="1" applyFont="1" applyFill="1" applyBorder="1" applyAlignment="1"/>
    <xf numFmtId="0" fontId="50" fillId="30" borderId="10" xfId="0" applyFont="1" applyFill="1" applyBorder="1" applyAlignment="1"/>
    <xf numFmtId="0" fontId="48" fillId="30" borderId="11" xfId="0" applyFont="1" applyFill="1" applyBorder="1" applyAlignment="1"/>
    <xf numFmtId="189" fontId="48" fillId="30" borderId="11" xfId="0" applyNumberFormat="1" applyFont="1" applyFill="1" applyBorder="1" applyAlignment="1"/>
    <xf numFmtId="41" fontId="47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187" fontId="2" fillId="23" borderId="12" xfId="0" applyNumberFormat="1" applyFont="1" applyFill="1" applyBorder="1" applyAlignment="1"/>
    <xf numFmtId="187" fontId="2" fillId="23" borderId="13" xfId="0" applyNumberFormat="1" applyFont="1" applyFill="1" applyBorder="1" applyAlignment="1"/>
    <xf numFmtId="0" fontId="51" fillId="23" borderId="13" xfId="0" applyFont="1" applyFill="1" applyBorder="1" applyAlignment="1"/>
    <xf numFmtId="0" fontId="2" fillId="23" borderId="14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2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4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6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7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8" fillId="2" borderId="11" xfId="0" applyFont="1" applyFill="1" applyBorder="1" applyAlignment="1"/>
    <xf numFmtId="187" fontId="59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1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2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3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4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6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7" fillId="2" borderId="10" xfId="0" applyFont="1" applyFill="1" applyBorder="1" applyAlignment="1"/>
    <xf numFmtId="0" fontId="9" fillId="2" borderId="10" xfId="0" applyFont="1" applyFill="1" applyBorder="1" applyAlignment="1"/>
    <xf numFmtId="0" fontId="68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4" fillId="2" borderId="10" xfId="0" applyFont="1" applyFill="1" applyBorder="1" applyAlignment="1"/>
    <xf numFmtId="0" fontId="4" fillId="0" borderId="5" xfId="0" applyFont="1" applyBorder="1" applyAlignment="1"/>
    <xf numFmtId="0" fontId="69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70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6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 applyAlignment="1"/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187" fontId="9" fillId="38" borderId="10" xfId="0" applyNumberFormat="1" applyFont="1" applyFill="1" applyBorder="1" applyAlignment="1"/>
    <xf numFmtId="187" fontId="73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3" fillId="2" borderId="13" xfId="0" applyFont="1" applyFill="1" applyBorder="1" applyAlignment="1"/>
    <xf numFmtId="0" fontId="3" fillId="0" borderId="13" xfId="0" applyFont="1" applyBorder="1"/>
    <xf numFmtId="0" fontId="55" fillId="2" borderId="10" xfId="0" applyFont="1" applyFill="1" applyBorder="1" applyAlignment="1"/>
    <xf numFmtId="0" fontId="60" fillId="2" borderId="10" xfId="0" applyFont="1" applyFill="1" applyBorder="1" applyAlignment="1"/>
    <xf numFmtId="0" fontId="65" fillId="2" borderId="13" xfId="0" applyFont="1" applyFill="1" applyBorder="1" applyAlignment="1"/>
    <xf numFmtId="0" fontId="72" fillId="2" borderId="10" xfId="0" applyFont="1" applyFill="1" applyBorder="1" applyAlignment="1"/>
    <xf numFmtId="0" fontId="0" fillId="0" borderId="0" xfId="0"/>
    <xf numFmtId="0" fontId="0" fillId="0" borderId="0" xfId="0"/>
    <xf numFmtId="0" fontId="2" fillId="2" borderId="1" xfId="0" applyFont="1" applyFill="1" applyBorder="1"/>
    <xf numFmtId="187" fontId="2" fillId="2" borderId="1" xfId="0" applyNumberFormat="1" applyFont="1" applyFill="1" applyBorder="1"/>
    <xf numFmtId="188" fontId="2" fillId="2" borderId="1" xfId="0" applyNumberFormat="1" applyFont="1" applyFill="1" applyBorder="1"/>
    <xf numFmtId="0" fontId="1" fillId="8" borderId="5" xfId="0" applyFont="1" applyFill="1" applyBorder="1"/>
    <xf numFmtId="0" fontId="4" fillId="8" borderId="4" xfId="0" applyFont="1" applyFill="1" applyBorder="1"/>
    <xf numFmtId="189" fontId="4" fillId="8" borderId="4" xfId="0" applyNumberFormat="1" applyFont="1" applyFill="1" applyBorder="1"/>
    <xf numFmtId="188" fontId="4" fillId="8" borderId="4" xfId="0" applyNumberFormat="1" applyFont="1" applyFill="1" applyBorder="1"/>
    <xf numFmtId="0" fontId="2" fillId="9" borderId="6" xfId="0" applyFont="1" applyFill="1" applyBorder="1"/>
    <xf numFmtId="0" fontId="2" fillId="9" borderId="7" xfId="0" applyFont="1" applyFill="1" applyBorder="1"/>
    <xf numFmtId="0" fontId="1" fillId="9" borderId="7" xfId="0" applyFont="1" applyFill="1" applyBorder="1"/>
    <xf numFmtId="0" fontId="5" fillId="9" borderId="7" xfId="0" applyFont="1" applyFill="1" applyBorder="1"/>
    <xf numFmtId="0" fontId="2" fillId="9" borderId="8" xfId="0" applyFont="1" applyFill="1" applyBorder="1"/>
    <xf numFmtId="189" fontId="4" fillId="9" borderId="8" xfId="0" applyNumberFormat="1" applyFont="1" applyFill="1" applyBorder="1"/>
    <xf numFmtId="188" fontId="4" fillId="9" borderId="8" xfId="0" applyNumberFormat="1" applyFont="1" applyFill="1" applyBorder="1"/>
    <xf numFmtId="188" fontId="6" fillId="9" borderId="8" xfId="0" applyNumberFormat="1" applyFont="1" applyFill="1" applyBorder="1"/>
    <xf numFmtId="0" fontId="2" fillId="0" borderId="0" xfId="0" applyFont="1"/>
    <xf numFmtId="0" fontId="7" fillId="9" borderId="9" xfId="0" applyFont="1" applyFill="1" applyBorder="1"/>
    <xf numFmtId="0" fontId="7" fillId="9" borderId="10" xfId="0" applyFont="1" applyFill="1" applyBorder="1"/>
    <xf numFmtId="0" fontId="8" fillId="9" borderId="10" xfId="0" applyFont="1" applyFill="1" applyBorder="1"/>
    <xf numFmtId="0" fontId="7" fillId="9" borderId="11" xfId="0" applyFont="1" applyFill="1" applyBorder="1"/>
    <xf numFmtId="189" fontId="9" fillId="9" borderId="11" xfId="0" applyNumberFormat="1" applyFont="1" applyFill="1" applyBorder="1"/>
    <xf numFmtId="188" fontId="9" fillId="9" borderId="11" xfId="0" applyNumberFormat="1" applyFont="1" applyFill="1" applyBorder="1"/>
    <xf numFmtId="0" fontId="7" fillId="0" borderId="0" xfId="0" applyFont="1"/>
    <xf numFmtId="0" fontId="2" fillId="2" borderId="9" xfId="0" applyFont="1" applyFill="1" applyBorder="1"/>
    <xf numFmtId="0" fontId="2" fillId="2" borderId="10" xfId="0" applyFont="1" applyFill="1" applyBorder="1"/>
    <xf numFmtId="0" fontId="10" fillId="2" borderId="10" xfId="0" applyFont="1" applyFill="1" applyBorder="1"/>
    <xf numFmtId="0" fontId="2" fillId="2" borderId="11" xfId="0" applyFont="1" applyFill="1" applyBorder="1"/>
    <xf numFmtId="189" fontId="4" fillId="2" borderId="11" xfId="0" applyNumberFormat="1" applyFont="1" applyFill="1" applyBorder="1"/>
    <xf numFmtId="188" fontId="4" fillId="2" borderId="11" xfId="0" applyNumberFormat="1" applyFont="1" applyFill="1" applyBorder="1"/>
    <xf numFmtId="0" fontId="7" fillId="2" borderId="9" xfId="0" applyFont="1" applyFill="1" applyBorder="1"/>
    <xf numFmtId="0" fontId="7" fillId="2" borderId="10" xfId="0" applyFont="1" applyFill="1" applyBorder="1"/>
    <xf numFmtId="0" fontId="8" fillId="2" borderId="10" xfId="0" applyFont="1" applyFill="1" applyBorder="1"/>
    <xf numFmtId="0" fontId="7" fillId="2" borderId="11" xfId="0" applyFont="1" applyFill="1" applyBorder="1"/>
    <xf numFmtId="189" fontId="9" fillId="2" borderId="11" xfId="0" applyNumberFormat="1" applyFont="1" applyFill="1" applyBorder="1"/>
    <xf numFmtId="188" fontId="9" fillId="2" borderId="11" xfId="0" applyNumberFormat="1" applyFont="1" applyFill="1" applyBorder="1"/>
    <xf numFmtId="0" fontId="7" fillId="2" borderId="5" xfId="0" applyFont="1" applyFill="1" applyBorder="1"/>
    <xf numFmtId="0" fontId="7" fillId="2" borderId="1" xfId="0" applyFont="1" applyFill="1" applyBorder="1"/>
    <xf numFmtId="0" fontId="8" fillId="2" borderId="1" xfId="0" applyFont="1" applyFill="1" applyBorder="1"/>
    <xf numFmtId="0" fontId="8" fillId="2" borderId="4" xfId="0" applyFont="1" applyFill="1" applyBorder="1"/>
    <xf numFmtId="189" fontId="9" fillId="2" borderId="4" xfId="0" applyNumberFormat="1" applyFont="1" applyFill="1" applyBorder="1"/>
    <xf numFmtId="188" fontId="9" fillId="2" borderId="4" xfId="0" applyNumberFormat="1" applyFont="1" applyFill="1" applyBorder="1"/>
    <xf numFmtId="0" fontId="1" fillId="41" borderId="5" xfId="0" applyFont="1" applyFill="1" applyBorder="1"/>
    <xf numFmtId="0" fontId="2" fillId="41" borderId="1" xfId="0" applyFont="1" applyFill="1" applyBorder="1"/>
    <xf numFmtId="0" fontId="2" fillId="41" borderId="4" xfId="0" applyFont="1" applyFill="1" applyBorder="1"/>
    <xf numFmtId="0" fontId="4" fillId="41" borderId="4" xfId="0" applyFont="1" applyFill="1" applyBorder="1"/>
    <xf numFmtId="189" fontId="4" fillId="41" borderId="4" xfId="0" applyNumberFormat="1" applyFont="1" applyFill="1" applyBorder="1"/>
    <xf numFmtId="188" fontId="4" fillId="41" borderId="4" xfId="0" applyNumberFormat="1" applyFont="1" applyFill="1" applyBorder="1"/>
    <xf numFmtId="188" fontId="6" fillId="41" borderId="4" xfId="0" applyNumberFormat="1" applyFont="1" applyFill="1" applyBorder="1"/>
    <xf numFmtId="0" fontId="1" fillId="11" borderId="5" xfId="0" applyFont="1" applyFill="1" applyBorder="1"/>
    <xf numFmtId="0" fontId="2" fillId="11" borderId="1" xfId="0" applyFont="1" applyFill="1" applyBorder="1"/>
    <xf numFmtId="0" fontId="2" fillId="11" borderId="4" xfId="0" applyFont="1" applyFill="1" applyBorder="1"/>
    <xf numFmtId="0" fontId="4" fillId="11" borderId="4" xfId="0" applyFont="1" applyFill="1" applyBorder="1"/>
    <xf numFmtId="189" fontId="4" fillId="11" borderId="4" xfId="0" applyNumberFormat="1" applyFont="1" applyFill="1" applyBorder="1"/>
    <xf numFmtId="188" fontId="4" fillId="11" borderId="4" xfId="0" applyNumberFormat="1" applyFont="1" applyFill="1" applyBorder="1"/>
    <xf numFmtId="0" fontId="2" fillId="12" borderId="9" xfId="0" applyFont="1" applyFill="1" applyBorder="1"/>
    <xf numFmtId="0" fontId="1" fillId="12" borderId="10" xfId="0" applyFont="1" applyFill="1" applyBorder="1"/>
    <xf numFmtId="0" fontId="2" fillId="12" borderId="10" xfId="0" applyFont="1" applyFill="1" applyBorder="1"/>
    <xf numFmtId="0" fontId="2" fillId="12" borderId="11" xfId="0" applyFont="1" applyFill="1" applyBorder="1"/>
    <xf numFmtId="0" fontId="4" fillId="12" borderId="11" xfId="0" applyFont="1" applyFill="1" applyBorder="1"/>
    <xf numFmtId="189" fontId="4" fillId="12" borderId="11" xfId="0" applyNumberFormat="1" applyFont="1" applyFill="1" applyBorder="1"/>
    <xf numFmtId="188" fontId="4" fillId="12" borderId="11" xfId="0" applyNumberFormat="1" applyFont="1" applyFill="1" applyBorder="1"/>
    <xf numFmtId="0" fontId="2" fillId="13" borderId="9" xfId="0" applyFont="1" applyFill="1" applyBorder="1"/>
    <xf numFmtId="0" fontId="1" fillId="13" borderId="10" xfId="0" applyFont="1" applyFill="1" applyBorder="1"/>
    <xf numFmtId="0" fontId="4" fillId="13" borderId="11" xfId="0" applyFont="1" applyFill="1" applyBorder="1"/>
    <xf numFmtId="189" fontId="4" fillId="13" borderId="11" xfId="0" applyNumberFormat="1" applyFont="1" applyFill="1" applyBorder="1"/>
    <xf numFmtId="188" fontId="4" fillId="13" borderId="11" xfId="0" applyNumberFormat="1" applyFont="1" applyFill="1" applyBorder="1"/>
    <xf numFmtId="0" fontId="2" fillId="14" borderId="12" xfId="0" applyFont="1" applyFill="1" applyBorder="1"/>
    <xf numFmtId="0" fontId="2" fillId="14" borderId="13" xfId="0" applyFont="1" applyFill="1" applyBorder="1"/>
    <xf numFmtId="0" fontId="1" fillId="14" borderId="13" xfId="0" applyFont="1" applyFill="1" applyBorder="1"/>
    <xf numFmtId="0" fontId="5" fillId="14" borderId="13" xfId="0" applyFont="1" applyFill="1" applyBorder="1"/>
    <xf numFmtId="0" fontId="2" fillId="14" borderId="14" xfId="0" applyFont="1" applyFill="1" applyBorder="1"/>
    <xf numFmtId="189" fontId="4" fillId="14" borderId="14" xfId="0" applyNumberFormat="1" applyFont="1" applyFill="1" applyBorder="1"/>
    <xf numFmtId="188" fontId="4" fillId="14" borderId="14" xfId="0" applyNumberFormat="1" applyFont="1" applyFill="1" applyBorder="1"/>
    <xf numFmtId="188" fontId="6" fillId="14" borderId="14" xfId="0" applyNumberFormat="1" applyFont="1" applyFill="1" applyBorder="1"/>
    <xf numFmtId="0" fontId="7" fillId="14" borderId="9" xfId="0" applyFont="1" applyFill="1" applyBorder="1"/>
    <xf numFmtId="0" fontId="7" fillId="14" borderId="10" xfId="0" applyFont="1" applyFill="1" applyBorder="1"/>
    <xf numFmtId="0" fontId="8" fillId="14" borderId="10" xfId="0" applyFont="1" applyFill="1" applyBorder="1"/>
    <xf numFmtId="0" fontId="8" fillId="14" borderId="11" xfId="0" applyFont="1" applyFill="1" applyBorder="1"/>
    <xf numFmtId="189" fontId="9" fillId="14" borderId="11" xfId="0" applyNumberFormat="1" applyFont="1" applyFill="1" applyBorder="1"/>
    <xf numFmtId="188" fontId="9" fillId="14" borderId="11" xfId="0" applyNumberFormat="1" applyFont="1" applyFill="1" applyBorder="1"/>
    <xf numFmtId="0" fontId="1" fillId="15" borderId="5" xfId="0" applyFont="1" applyFill="1" applyBorder="1"/>
    <xf numFmtId="0" fontId="4" fillId="15" borderId="4" xfId="0" applyFont="1" applyFill="1" applyBorder="1"/>
    <xf numFmtId="189" fontId="4" fillId="15" borderId="4" xfId="0" applyNumberFormat="1" applyFont="1" applyFill="1" applyBorder="1"/>
    <xf numFmtId="188" fontId="4" fillId="15" borderId="4" xfId="0" applyNumberFormat="1" applyFont="1" applyFill="1" applyBorder="1"/>
    <xf numFmtId="0" fontId="2" fillId="16" borderId="9" xfId="0" applyFont="1" applyFill="1" applyBorder="1"/>
    <xf numFmtId="0" fontId="1" fillId="16" borderId="10" xfId="0" applyFont="1" applyFill="1" applyBorder="1"/>
    <xf numFmtId="0" fontId="4" fillId="16" borderId="11" xfId="0" applyFont="1" applyFill="1" applyBorder="1"/>
    <xf numFmtId="189" fontId="4" fillId="16" borderId="11" xfId="0" applyNumberFormat="1" applyFont="1" applyFill="1" applyBorder="1"/>
    <xf numFmtId="188" fontId="4" fillId="16" borderId="11" xfId="0" applyNumberFormat="1" applyFont="1" applyFill="1" applyBorder="1"/>
    <xf numFmtId="0" fontId="2" fillId="17" borderId="9" xfId="0" applyFont="1" applyFill="1" applyBorder="1"/>
    <xf numFmtId="0" fontId="1" fillId="17" borderId="10" xfId="0" applyFont="1" applyFill="1" applyBorder="1"/>
    <xf numFmtId="0" fontId="2" fillId="17" borderId="10" xfId="0" applyFont="1" applyFill="1" applyBorder="1"/>
    <xf numFmtId="0" fontId="2" fillId="17" borderId="11" xfId="0" applyFont="1" applyFill="1" applyBorder="1"/>
    <xf numFmtId="0" fontId="4" fillId="17" borderId="11" xfId="0" applyFont="1" applyFill="1" applyBorder="1"/>
    <xf numFmtId="189" fontId="4" fillId="17" borderId="11" xfId="0" applyNumberFormat="1" applyFont="1" applyFill="1" applyBorder="1"/>
    <xf numFmtId="188" fontId="4" fillId="17" borderId="11" xfId="0" applyNumberFormat="1" applyFont="1" applyFill="1" applyBorder="1"/>
    <xf numFmtId="0" fontId="2" fillId="18" borderId="12" xfId="0" applyFont="1" applyFill="1" applyBorder="1"/>
    <xf numFmtId="0" fontId="2" fillId="18" borderId="13" xfId="0" applyFont="1" applyFill="1" applyBorder="1"/>
    <xf numFmtId="0" fontId="1" fillId="18" borderId="13" xfId="0" applyFont="1" applyFill="1" applyBorder="1"/>
    <xf numFmtId="0" fontId="5" fillId="18" borderId="13" xfId="0" applyFont="1" applyFill="1" applyBorder="1"/>
    <xf numFmtId="0" fontId="2" fillId="18" borderId="14" xfId="0" applyFont="1" applyFill="1" applyBorder="1"/>
    <xf numFmtId="189" fontId="4" fillId="18" borderId="14" xfId="0" applyNumberFormat="1" applyFont="1" applyFill="1" applyBorder="1"/>
    <xf numFmtId="188" fontId="4" fillId="18" borderId="14" xfId="0" applyNumberFormat="1" applyFont="1" applyFill="1" applyBorder="1"/>
    <xf numFmtId="188" fontId="6" fillId="18" borderId="14" xfId="0" applyNumberFormat="1" applyFont="1" applyFill="1" applyBorder="1"/>
    <xf numFmtId="0" fontId="7" fillId="18" borderId="9" xfId="0" applyFont="1" applyFill="1" applyBorder="1"/>
    <xf numFmtId="0" fontId="7" fillId="18" borderId="10" xfId="0" applyFont="1" applyFill="1" applyBorder="1"/>
    <xf numFmtId="0" fontId="8" fillId="18" borderId="10" xfId="0" applyFont="1" applyFill="1" applyBorder="1"/>
    <xf numFmtId="0" fontId="8" fillId="18" borderId="11" xfId="0" applyFont="1" applyFill="1" applyBorder="1"/>
    <xf numFmtId="189" fontId="9" fillId="18" borderId="11" xfId="0" applyNumberFormat="1" applyFont="1" applyFill="1" applyBorder="1"/>
    <xf numFmtId="188" fontId="9" fillId="18" borderId="11" xfId="0" applyNumberFormat="1" applyFont="1" applyFill="1" applyBorder="1"/>
    <xf numFmtId="187" fontId="1" fillId="19" borderId="5" xfId="0" applyNumberFormat="1" applyFont="1" applyFill="1" applyBorder="1"/>
    <xf numFmtId="187" fontId="2" fillId="19" borderId="1" xfId="0" applyNumberFormat="1" applyFont="1" applyFill="1" applyBorder="1"/>
    <xf numFmtId="0" fontId="2" fillId="19" borderId="1" xfId="0" applyFont="1" applyFill="1" applyBorder="1"/>
    <xf numFmtId="0" fontId="2" fillId="19" borderId="4" xfId="0" applyFont="1" applyFill="1" applyBorder="1"/>
    <xf numFmtId="0" fontId="4" fillId="19" borderId="4" xfId="0" applyFont="1" applyFill="1" applyBorder="1"/>
    <xf numFmtId="189" fontId="4" fillId="19" borderId="4" xfId="0" applyNumberFormat="1" applyFont="1" applyFill="1" applyBorder="1"/>
    <xf numFmtId="188" fontId="4" fillId="19" borderId="4" xfId="0" applyNumberFormat="1" applyFont="1" applyFill="1" applyBorder="1"/>
    <xf numFmtId="187" fontId="1" fillId="20" borderId="9" xfId="0" applyNumberFormat="1" applyFont="1" applyFill="1" applyBorder="1"/>
    <xf numFmtId="0" fontId="2" fillId="20" borderId="10" xfId="0" applyFont="1" applyFill="1" applyBorder="1"/>
    <xf numFmtId="187" fontId="2" fillId="20" borderId="10" xfId="0" applyNumberFormat="1" applyFont="1" applyFill="1" applyBorder="1"/>
    <xf numFmtId="0" fontId="2" fillId="20" borderId="11" xfId="0" applyFont="1" applyFill="1" applyBorder="1"/>
    <xf numFmtId="0" fontId="4" fillId="20" borderId="11" xfId="0" applyFont="1" applyFill="1" applyBorder="1"/>
    <xf numFmtId="189" fontId="4" fillId="20" borderId="11" xfId="0" applyNumberFormat="1" applyFont="1" applyFill="1" applyBorder="1"/>
    <xf numFmtId="188" fontId="4" fillId="20" borderId="11" xfId="0" applyNumberFormat="1" applyFont="1" applyFill="1" applyBorder="1"/>
    <xf numFmtId="190" fontId="2" fillId="9" borderId="9" xfId="0" applyNumberFormat="1" applyFont="1" applyFill="1" applyBorder="1"/>
    <xf numFmtId="0" fontId="1" fillId="9" borderId="10" xfId="0" applyFont="1" applyFill="1" applyBorder="1"/>
    <xf numFmtId="0" fontId="2" fillId="9" borderId="10" xfId="0" applyFont="1" applyFill="1" applyBorder="1"/>
    <xf numFmtId="187" fontId="2" fillId="9" borderId="10" xfId="0" applyNumberFormat="1" applyFont="1" applyFill="1" applyBorder="1"/>
    <xf numFmtId="0" fontId="2" fillId="9" borderId="11" xfId="0" applyFont="1" applyFill="1" applyBorder="1"/>
    <xf numFmtId="189" fontId="6" fillId="9" borderId="11" xfId="0" applyNumberFormat="1" applyFont="1" applyFill="1" applyBorder="1"/>
    <xf numFmtId="188" fontId="6" fillId="9" borderId="11" xfId="0" applyNumberFormat="1" applyFont="1" applyFill="1" applyBorder="1"/>
    <xf numFmtId="188" fontId="4" fillId="9" borderId="11" xfId="0" applyNumberFormat="1" applyFont="1" applyFill="1" applyBorder="1"/>
    <xf numFmtId="190" fontId="2" fillId="2" borderId="12" xfId="0" applyNumberFormat="1" applyFont="1" applyFill="1" applyBorder="1"/>
    <xf numFmtId="0" fontId="2" fillId="2" borderId="13" xfId="0" applyFont="1" applyFill="1" applyBorder="1"/>
    <xf numFmtId="0" fontId="1" fillId="2" borderId="13" xfId="0" applyFont="1" applyFill="1" applyBorder="1"/>
    <xf numFmtId="0" fontId="5" fillId="2" borderId="13" xfId="0" applyFont="1" applyFill="1" applyBorder="1"/>
    <xf numFmtId="0" fontId="2" fillId="2" borderId="14" xfId="0" applyFont="1" applyFill="1" applyBorder="1"/>
    <xf numFmtId="189" fontId="4" fillId="2" borderId="14" xfId="0" applyNumberFormat="1" applyFont="1" applyFill="1" applyBorder="1"/>
    <xf numFmtId="188" fontId="4" fillId="2" borderId="14" xfId="0" applyNumberFormat="1" applyFont="1" applyFill="1" applyBorder="1"/>
    <xf numFmtId="188" fontId="6" fillId="2" borderId="14" xfId="0" applyNumberFormat="1" applyFont="1" applyFill="1" applyBorder="1"/>
    <xf numFmtId="190" fontId="7" fillId="2" borderId="9" xfId="0" applyNumberFormat="1" applyFont="1" applyFill="1" applyBorder="1"/>
    <xf numFmtId="0" fontId="8" fillId="2" borderId="11" xfId="0" applyFont="1" applyFill="1" applyBorder="1"/>
    <xf numFmtId="190" fontId="2" fillId="2" borderId="9" xfId="0" applyNumberFormat="1" applyFont="1" applyFill="1" applyBorder="1"/>
    <xf numFmtId="0" fontId="14" fillId="2" borderId="10" xfId="0" applyFont="1" applyFill="1" applyBorder="1"/>
    <xf numFmtId="189" fontId="4" fillId="0" borderId="11" xfId="0" applyNumberFormat="1" applyFont="1" applyBorder="1"/>
    <xf numFmtId="188" fontId="4" fillId="0" borderId="11" xfId="0" applyNumberFormat="1" applyFont="1" applyBorder="1"/>
    <xf numFmtId="0" fontId="15" fillId="2" borderId="10" xfId="0" applyFont="1" applyFill="1" applyBorder="1"/>
    <xf numFmtId="189" fontId="9" fillId="0" borderId="11" xfId="0" applyNumberFormat="1" applyFont="1" applyBorder="1"/>
    <xf numFmtId="188" fontId="9" fillId="0" borderId="11" xfId="0" applyNumberFormat="1" applyFont="1" applyBorder="1"/>
    <xf numFmtId="187" fontId="2" fillId="0" borderId="9" xfId="0" applyNumberFormat="1" applyFont="1" applyBorder="1"/>
    <xf numFmtId="187" fontId="2" fillId="0" borderId="10" xfId="0" applyNumberFormat="1" applyFont="1" applyBorder="1"/>
    <xf numFmtId="0" fontId="5" fillId="21" borderId="10" xfId="0" quotePrefix="1" applyFont="1" applyFill="1" applyBorder="1"/>
    <xf numFmtId="0" fontId="2" fillId="21" borderId="10" xfId="0" applyFont="1" applyFill="1" applyBorder="1"/>
    <xf numFmtId="0" fontId="2" fillId="21" borderId="11" xfId="0" applyFont="1" applyFill="1" applyBorder="1"/>
    <xf numFmtId="0" fontId="4" fillId="0" borderId="11" xfId="0" applyFont="1" applyBorder="1"/>
    <xf numFmtId="0" fontId="14" fillId="0" borderId="10" xfId="0" quotePrefix="1" applyFont="1" applyBorder="1"/>
    <xf numFmtId="0" fontId="14" fillId="0" borderId="10" xfId="0" applyFont="1" applyBorder="1"/>
    <xf numFmtId="0" fontId="2" fillId="0" borderId="10" xfId="0" applyFont="1" applyBorder="1"/>
    <xf numFmtId="0" fontId="2" fillId="0" borderId="11" xfId="0" applyFont="1" applyBorder="1"/>
    <xf numFmtId="189" fontId="4" fillId="10" borderId="11" xfId="0" applyNumberFormat="1" applyFont="1" applyFill="1" applyBorder="1"/>
    <xf numFmtId="0" fontId="1" fillId="0" borderId="10" xfId="0" applyFont="1" applyBorder="1"/>
    <xf numFmtId="0" fontId="4" fillId="0" borderId="10" xfId="0" applyFont="1" applyBorder="1"/>
    <xf numFmtId="0" fontId="17" fillId="0" borderId="10" xfId="0" applyFont="1" applyBorder="1"/>
    <xf numFmtId="0" fontId="4" fillId="2" borderId="11" xfId="0" applyFont="1" applyFill="1" applyBorder="1"/>
    <xf numFmtId="0" fontId="18" fillId="0" borderId="10" xfId="0" applyFont="1" applyBorder="1"/>
    <xf numFmtId="189" fontId="6" fillId="0" borderId="11" xfId="0" applyNumberFormat="1" applyFont="1" applyBorder="1"/>
    <xf numFmtId="189" fontId="6" fillId="2" borderId="11" xfId="0" applyNumberFormat="1" applyFont="1" applyFill="1" applyBorder="1"/>
    <xf numFmtId="188" fontId="6" fillId="2" borderId="11" xfId="0" applyNumberFormat="1" applyFont="1" applyFill="1" applyBorder="1"/>
    <xf numFmtId="0" fontId="14" fillId="0" borderId="13" xfId="0" applyFont="1" applyBorder="1"/>
    <xf numFmtId="190" fontId="2" fillId="20" borderId="10" xfId="0" applyNumberFormat="1" applyFont="1" applyFill="1" applyBorder="1"/>
    <xf numFmtId="0" fontId="4" fillId="20" borderId="10" xfId="0" applyFont="1" applyFill="1" applyBorder="1"/>
    <xf numFmtId="189" fontId="4" fillId="20" borderId="10" xfId="0" applyNumberFormat="1" applyFont="1" applyFill="1" applyBorder="1"/>
    <xf numFmtId="188" fontId="4" fillId="20" borderId="10" xfId="0" applyNumberFormat="1" applyFont="1" applyFill="1" applyBorder="1"/>
    <xf numFmtId="190" fontId="2" fillId="9" borderId="10" xfId="0" applyNumberFormat="1" applyFont="1" applyFill="1" applyBorder="1"/>
    <xf numFmtId="189" fontId="4" fillId="9" borderId="11" xfId="0" applyNumberFormat="1" applyFont="1" applyFill="1" applyBorder="1"/>
    <xf numFmtId="190" fontId="1" fillId="9" borderId="10" xfId="0" applyNumberFormat="1" applyFont="1" applyFill="1" applyBorder="1"/>
    <xf numFmtId="0" fontId="1" fillId="2" borderId="10" xfId="0" applyFont="1" applyFill="1" applyBorder="1"/>
    <xf numFmtId="0" fontId="14" fillId="2" borderId="11" xfId="0" applyFont="1" applyFill="1" applyBorder="1"/>
    <xf numFmtId="190" fontId="20" fillId="9" borderId="9" xfId="0" applyNumberFormat="1" applyFont="1" applyFill="1" applyBorder="1"/>
    <xf numFmtId="0" fontId="5" fillId="9" borderId="10" xfId="0" applyFont="1" applyFill="1" applyBorder="1"/>
    <xf numFmtId="0" fontId="20" fillId="9" borderId="10" xfId="0" applyFont="1" applyFill="1" applyBorder="1"/>
    <xf numFmtId="0" fontId="1" fillId="9" borderId="11" xfId="0" applyFont="1" applyFill="1" applyBorder="1"/>
    <xf numFmtId="0" fontId="23" fillId="2" borderId="10" xfId="0" applyFont="1" applyFill="1" applyBorder="1"/>
    <xf numFmtId="190" fontId="7" fillId="2" borderId="17" xfId="0" applyNumberFormat="1" applyFont="1" applyFill="1" applyBorder="1"/>
    <xf numFmtId="0" fontId="7" fillId="2" borderId="18" xfId="0" applyFont="1" applyFill="1" applyBorder="1"/>
    <xf numFmtId="0" fontId="15" fillId="2" borderId="18" xfId="0" applyFont="1" applyFill="1" applyBorder="1"/>
    <xf numFmtId="0" fontId="8" fillId="2" borderId="18" xfId="0" applyFont="1" applyFill="1" applyBorder="1"/>
    <xf numFmtId="0" fontId="23" fillId="2" borderId="18" xfId="0" applyFont="1" applyFill="1" applyBorder="1"/>
    <xf numFmtId="0" fontId="8" fillId="2" borderId="19" xfId="0" applyFont="1" applyFill="1" applyBorder="1"/>
    <xf numFmtId="189" fontId="9" fillId="2" borderId="19" xfId="0" applyNumberFormat="1" applyFont="1" applyFill="1" applyBorder="1"/>
    <xf numFmtId="188" fontId="9" fillId="2" borderId="19" xfId="0" applyNumberFormat="1" applyFont="1" applyFill="1" applyBorder="1"/>
    <xf numFmtId="187" fontId="1" fillId="7" borderId="5" xfId="0" applyNumberFormat="1" applyFont="1" applyFill="1" applyBorder="1"/>
    <xf numFmtId="187" fontId="2" fillId="7" borderId="1" xfId="0" applyNumberFormat="1" applyFont="1" applyFill="1" applyBorder="1"/>
    <xf numFmtId="0" fontId="2" fillId="7" borderId="1" xfId="0" applyFont="1" applyFill="1" applyBorder="1"/>
    <xf numFmtId="0" fontId="2" fillId="7" borderId="4" xfId="0" applyFont="1" applyFill="1" applyBorder="1"/>
    <xf numFmtId="0" fontId="4" fillId="7" borderId="4" xfId="0" applyFont="1" applyFill="1" applyBorder="1"/>
    <xf numFmtId="189" fontId="4" fillId="7" borderId="4" xfId="0" applyNumberFormat="1" applyFont="1" applyFill="1" applyBorder="1"/>
    <xf numFmtId="188" fontId="4" fillId="7" borderId="4" xfId="0" applyNumberFormat="1" applyFont="1" applyFill="1" applyBorder="1"/>
    <xf numFmtId="187" fontId="1" fillId="22" borderId="9" xfId="0" applyNumberFormat="1" applyFont="1" applyFill="1" applyBorder="1"/>
    <xf numFmtId="187" fontId="2" fillId="22" borderId="10" xfId="0" applyNumberFormat="1" applyFont="1" applyFill="1" applyBorder="1"/>
    <xf numFmtId="0" fontId="2" fillId="22" borderId="10" xfId="0" applyFont="1" applyFill="1" applyBorder="1"/>
    <xf numFmtId="0" fontId="2" fillId="22" borderId="11" xfId="0" applyFont="1" applyFill="1" applyBorder="1"/>
    <xf numFmtId="0" fontId="4" fillId="22" borderId="11" xfId="0" applyFont="1" applyFill="1" applyBorder="1"/>
    <xf numFmtId="189" fontId="4" fillId="22" borderId="11" xfId="0" applyNumberFormat="1" applyFont="1" applyFill="1" applyBorder="1"/>
    <xf numFmtId="188" fontId="4" fillId="22" borderId="11" xfId="0" applyNumberFormat="1" applyFont="1" applyFill="1" applyBorder="1"/>
    <xf numFmtId="187" fontId="2" fillId="21" borderId="9" xfId="0" applyNumberFormat="1" applyFont="1" applyFill="1" applyBorder="1"/>
    <xf numFmtId="0" fontId="1" fillId="21" borderId="10" xfId="0" applyFont="1" applyFill="1" applyBorder="1"/>
    <xf numFmtId="187" fontId="2" fillId="21" borderId="10" xfId="0" applyNumberFormat="1" applyFont="1" applyFill="1" applyBorder="1"/>
    <xf numFmtId="189" fontId="4" fillId="21" borderId="11" xfId="0" applyNumberFormat="1" applyFont="1" applyFill="1" applyBorder="1"/>
    <xf numFmtId="188" fontId="4" fillId="21" borderId="11" xfId="0" applyNumberFormat="1" applyFont="1" applyFill="1" applyBorder="1"/>
    <xf numFmtId="187" fontId="2" fillId="23" borderId="9" xfId="0" applyNumberFormat="1" applyFont="1" applyFill="1" applyBorder="1"/>
    <xf numFmtId="0" fontId="2" fillId="23" borderId="10" xfId="0" applyFont="1" applyFill="1" applyBorder="1"/>
    <xf numFmtId="187" fontId="14" fillId="23" borderId="10" xfId="0" applyNumberFormat="1" applyFont="1" applyFill="1" applyBorder="1"/>
    <xf numFmtId="0" fontId="2" fillId="23" borderId="11" xfId="0" applyFont="1" applyFill="1" applyBorder="1"/>
    <xf numFmtId="189" fontId="4" fillId="23" borderId="11" xfId="0" applyNumberFormat="1" applyFont="1" applyFill="1" applyBorder="1"/>
    <xf numFmtId="188" fontId="4" fillId="23" borderId="11" xfId="0" applyNumberFormat="1" applyFont="1" applyFill="1" applyBorder="1"/>
    <xf numFmtId="0" fontId="4" fillId="0" borderId="10" xfId="0" quotePrefix="1" applyFont="1" applyBorder="1"/>
    <xf numFmtId="187" fontId="2" fillId="23" borderId="10" xfId="0" applyNumberFormat="1" applyFont="1" applyFill="1" applyBorder="1"/>
    <xf numFmtId="187" fontId="8" fillId="23" borderId="10" xfId="0" applyNumberFormat="1" applyFont="1" applyFill="1" applyBorder="1"/>
    <xf numFmtId="0" fontId="27" fillId="21" borderId="10" xfId="0" quotePrefix="1" applyFont="1" applyFill="1" applyBorder="1"/>
    <xf numFmtId="0" fontId="8" fillId="0" borderId="10" xfId="0" quotePrefix="1" applyFont="1" applyBorder="1"/>
    <xf numFmtId="0" fontId="8" fillId="0" borderId="10" xfId="0" applyFont="1" applyBorder="1"/>
    <xf numFmtId="189" fontId="6" fillId="21" borderId="11" xfId="0" applyNumberFormat="1" applyFont="1" applyFill="1" applyBorder="1"/>
    <xf numFmtId="188" fontId="6" fillId="21" borderId="11" xfId="0" applyNumberFormat="1" applyFont="1" applyFill="1" applyBorder="1"/>
    <xf numFmtId="0" fontId="1" fillId="23" borderId="10" xfId="0" applyFont="1" applyFill="1" applyBorder="1"/>
    <xf numFmtId="189" fontId="6" fillId="23" borderId="11" xfId="0" applyNumberFormat="1" applyFont="1" applyFill="1" applyBorder="1"/>
    <xf numFmtId="188" fontId="6" fillId="23" borderId="11" xfId="0" applyNumberFormat="1" applyFont="1" applyFill="1" applyBorder="1"/>
    <xf numFmtId="0" fontId="5" fillId="2" borderId="13" xfId="0" quotePrefix="1" applyFont="1" applyFill="1" applyBorder="1"/>
    <xf numFmtId="188" fontId="6" fillId="10" borderId="14" xfId="0" applyNumberFormat="1" applyFont="1" applyFill="1" applyBorder="1"/>
    <xf numFmtId="189" fontId="4" fillId="0" borderId="14" xfId="0" applyNumberFormat="1" applyFont="1" applyBorder="1"/>
    <xf numFmtId="188" fontId="4" fillId="0" borderId="14" xfId="0" applyNumberFormat="1" applyFont="1" applyBorder="1"/>
    <xf numFmtId="187" fontId="2" fillId="2" borderId="10" xfId="0" applyNumberFormat="1" applyFont="1" applyFill="1" applyBorder="1"/>
    <xf numFmtId="188" fontId="4" fillId="10" borderId="11" xfId="0" applyNumberFormat="1" applyFont="1" applyFill="1" applyBorder="1"/>
    <xf numFmtId="187" fontId="2" fillId="2" borderId="9" xfId="0" applyNumberFormat="1" applyFont="1" applyFill="1" applyBorder="1"/>
    <xf numFmtId="0" fontId="2" fillId="2" borderId="0" xfId="0" applyFont="1" applyFill="1"/>
    <xf numFmtId="0" fontId="2" fillId="0" borderId="13" xfId="0" applyFont="1" applyBorder="1"/>
    <xf numFmtId="0" fontId="2" fillId="0" borderId="14" xfId="0" applyFont="1" applyBorder="1"/>
    <xf numFmtId="0" fontId="14" fillId="0" borderId="14" xfId="0" applyFont="1" applyBorder="1"/>
    <xf numFmtId="0" fontId="2" fillId="23" borderId="13" xfId="0" applyFont="1" applyFill="1" applyBorder="1"/>
    <xf numFmtId="187" fontId="1" fillId="2" borderId="10" xfId="0" applyNumberFormat="1" applyFont="1" applyFill="1" applyBorder="1"/>
    <xf numFmtId="0" fontId="15" fillId="23" borderId="10" xfId="0" applyFont="1" applyFill="1" applyBorder="1"/>
    <xf numFmtId="189" fontId="26" fillId="23" borderId="11" xfId="0" applyNumberFormat="1" applyFont="1" applyFill="1" applyBorder="1"/>
    <xf numFmtId="188" fontId="26" fillId="23" borderId="11" xfId="0" applyNumberFormat="1" applyFont="1" applyFill="1" applyBorder="1"/>
    <xf numFmtId="190" fontId="7" fillId="2" borderId="12" xfId="0" applyNumberFormat="1" applyFont="1" applyFill="1" applyBorder="1"/>
    <xf numFmtId="0" fontId="7" fillId="2" borderId="13" xfId="0" applyFont="1" applyFill="1" applyBorder="1"/>
    <xf numFmtId="0" fontId="15" fillId="2" borderId="13" xfId="0" applyFont="1" applyFill="1" applyBorder="1"/>
    <xf numFmtId="0" fontId="27" fillId="2" borderId="13" xfId="0" applyFont="1" applyFill="1" applyBorder="1"/>
    <xf numFmtId="0" fontId="7" fillId="2" borderId="14" xfId="0" applyFont="1" applyFill="1" applyBorder="1"/>
    <xf numFmtId="189" fontId="9" fillId="0" borderId="14" xfId="0" applyNumberFormat="1" applyFont="1" applyBorder="1"/>
    <xf numFmtId="188" fontId="9" fillId="0" borderId="14" xfId="0" applyNumberFormat="1" applyFont="1" applyBorder="1"/>
    <xf numFmtId="188" fontId="26" fillId="2" borderId="14" xfId="0" applyNumberFormat="1" applyFont="1" applyFill="1" applyBorder="1"/>
    <xf numFmtId="188" fontId="9" fillId="2" borderId="14" xfId="0" applyNumberFormat="1" applyFont="1" applyFill="1" applyBorder="1"/>
    <xf numFmtId="187" fontId="7" fillId="2" borderId="10" xfId="0" applyNumberFormat="1" applyFont="1" applyFill="1" applyBorder="1"/>
    <xf numFmtId="187" fontId="7" fillId="2" borderId="9" xfId="0" applyNumberFormat="1" applyFont="1" applyFill="1" applyBorder="1"/>
    <xf numFmtId="187" fontId="15" fillId="2" borderId="10" xfId="0" applyNumberFormat="1" applyFont="1" applyFill="1" applyBorder="1"/>
    <xf numFmtId="0" fontId="7" fillId="2" borderId="0" xfId="0" applyFont="1" applyFill="1"/>
    <xf numFmtId="187" fontId="7" fillId="0" borderId="9" xfId="0" applyNumberFormat="1" applyFont="1" applyBorder="1"/>
    <xf numFmtId="187" fontId="7" fillId="0" borderId="10" xfId="0" applyNumberFormat="1" applyFont="1" applyBorder="1"/>
    <xf numFmtId="0" fontId="7" fillId="21" borderId="10" xfId="0" applyFont="1" applyFill="1" applyBorder="1"/>
    <xf numFmtId="0" fontId="7" fillId="21" borderId="11" xfId="0" applyFont="1" applyFill="1" applyBorder="1"/>
    <xf numFmtId="0" fontId="9" fillId="0" borderId="11" xfId="0" applyFont="1" applyBorder="1"/>
    <xf numFmtId="0" fontId="7" fillId="0" borderId="10" xfId="0" applyFont="1" applyBorder="1"/>
    <xf numFmtId="0" fontId="7" fillId="0" borderId="11" xfId="0" applyFont="1" applyBorder="1"/>
    <xf numFmtId="187" fontId="8" fillId="0" borderId="10" xfId="0" quotePrefix="1" applyNumberFormat="1" applyFont="1" applyBorder="1"/>
    <xf numFmtId="190" fontId="29" fillId="2" borderId="9" xfId="0" applyNumberFormat="1" applyFont="1" applyFill="1" applyBorder="1"/>
    <xf numFmtId="187" fontId="29" fillId="2" borderId="10" xfId="0" applyNumberFormat="1" applyFont="1" applyFill="1" applyBorder="1"/>
    <xf numFmtId="0" fontId="29" fillId="2" borderId="10" xfId="0" applyFont="1" applyFill="1" applyBorder="1"/>
    <xf numFmtId="0" fontId="35" fillId="2" borderId="10" xfId="0" applyFont="1" applyFill="1" applyBorder="1"/>
    <xf numFmtId="0" fontId="29" fillId="2" borderId="11" xfId="0" applyFont="1" applyFill="1" applyBorder="1"/>
    <xf numFmtId="189" fontId="32" fillId="0" borderId="11" xfId="0" applyNumberFormat="1" applyFont="1" applyBorder="1"/>
    <xf numFmtId="188" fontId="32" fillId="0" borderId="11" xfId="0" applyNumberFormat="1" applyFont="1" applyBorder="1"/>
    <xf numFmtId="188" fontId="32" fillId="2" borderId="11" xfId="0" applyNumberFormat="1" applyFont="1" applyFill="1" applyBorder="1"/>
    <xf numFmtId="188" fontId="32" fillId="10" borderId="11" xfId="0" applyNumberFormat="1" applyFont="1" applyFill="1" applyBorder="1"/>
    <xf numFmtId="0" fontId="29" fillId="0" borderId="0" xfId="0" applyFont="1"/>
    <xf numFmtId="187" fontId="29" fillId="2" borderId="9" xfId="0" applyNumberFormat="1" applyFont="1" applyFill="1" applyBorder="1"/>
    <xf numFmtId="187" fontId="30" fillId="2" borderId="10" xfId="0" applyNumberFormat="1" applyFont="1" applyFill="1" applyBorder="1"/>
    <xf numFmtId="189" fontId="32" fillId="2" borderId="11" xfId="0" applyNumberFormat="1" applyFont="1" applyFill="1" applyBorder="1"/>
    <xf numFmtId="0" fontId="29" fillId="2" borderId="0" xfId="0" applyFont="1" applyFill="1"/>
    <xf numFmtId="187" fontId="14" fillId="0" borderId="10" xfId="0" quotePrefix="1" applyNumberFormat="1" applyFont="1" applyBorder="1"/>
    <xf numFmtId="0" fontId="17" fillId="0" borderId="10" xfId="0" quotePrefix="1" applyFont="1" applyBorder="1"/>
    <xf numFmtId="187" fontId="2" fillId="0" borderId="5" xfId="0" applyNumberFormat="1" applyFont="1" applyBorder="1"/>
    <xf numFmtId="187" fontId="2" fillId="0" borderId="1" xfId="0" applyNumberFormat="1" applyFont="1" applyBorder="1"/>
    <xf numFmtId="0" fontId="8" fillId="0" borderId="1" xfId="0" quotePrefix="1" applyFont="1" applyBorder="1"/>
    <xf numFmtId="0" fontId="2" fillId="0" borderId="1" xfId="0" applyFont="1" applyBorder="1"/>
    <xf numFmtId="0" fontId="2" fillId="0" borderId="4" xfId="0" applyFont="1" applyBorder="1"/>
    <xf numFmtId="189" fontId="4" fillId="2" borderId="4" xfId="0" applyNumberFormat="1" applyFont="1" applyFill="1" applyBorder="1"/>
    <xf numFmtId="188" fontId="4" fillId="0" borderId="4" xfId="0" applyNumberFormat="1" applyFont="1" applyBorder="1"/>
    <xf numFmtId="187" fontId="39" fillId="24" borderId="5" xfId="0" applyNumberFormat="1" applyFont="1" applyFill="1" applyBorder="1"/>
    <xf numFmtId="187" fontId="2" fillId="24" borderId="1" xfId="0" applyNumberFormat="1" applyFont="1" applyFill="1" applyBorder="1"/>
    <xf numFmtId="0" fontId="2" fillId="24" borderId="1" xfId="0" applyFont="1" applyFill="1" applyBorder="1"/>
    <xf numFmtId="0" fontId="2" fillId="24" borderId="4" xfId="0" applyFont="1" applyFill="1" applyBorder="1"/>
    <xf numFmtId="0" fontId="4" fillId="24" borderId="4" xfId="0" applyFont="1" applyFill="1" applyBorder="1"/>
    <xf numFmtId="189" fontId="4" fillId="24" borderId="4" xfId="0" applyNumberFormat="1" applyFont="1" applyFill="1" applyBorder="1"/>
    <xf numFmtId="188" fontId="4" fillId="24" borderId="4" xfId="0" applyNumberFormat="1" applyFont="1" applyFill="1" applyBorder="1"/>
    <xf numFmtId="187" fontId="1" fillId="25" borderId="9" xfId="0" applyNumberFormat="1" applyFont="1" applyFill="1" applyBorder="1"/>
    <xf numFmtId="0" fontId="2" fillId="25" borderId="10" xfId="0" applyFont="1" applyFill="1" applyBorder="1"/>
    <xf numFmtId="187" fontId="2" fillId="25" borderId="10" xfId="0" applyNumberFormat="1" applyFont="1" applyFill="1" applyBorder="1"/>
    <xf numFmtId="0" fontId="4" fillId="25" borderId="10" xfId="0" applyFont="1" applyFill="1" applyBorder="1"/>
    <xf numFmtId="189" fontId="4" fillId="25" borderId="10" xfId="0" applyNumberFormat="1" applyFont="1" applyFill="1" applyBorder="1"/>
    <xf numFmtId="189" fontId="4" fillId="25" borderId="11" xfId="0" applyNumberFormat="1" applyFont="1" applyFill="1" applyBorder="1"/>
    <xf numFmtId="188" fontId="4" fillId="25" borderId="11" xfId="0" applyNumberFormat="1" applyFont="1" applyFill="1" applyBorder="1"/>
    <xf numFmtId="190" fontId="2" fillId="26" borderId="9" xfId="0" applyNumberFormat="1" applyFont="1" applyFill="1" applyBorder="1"/>
    <xf numFmtId="0" fontId="1" fillId="26" borderId="10" xfId="0" applyFont="1" applyFill="1" applyBorder="1"/>
    <xf numFmtId="0" fontId="2" fillId="26" borderId="10" xfId="0" applyFont="1" applyFill="1" applyBorder="1"/>
    <xf numFmtId="187" fontId="2" fillId="26" borderId="10" xfId="0" applyNumberFormat="1" applyFont="1" applyFill="1" applyBorder="1"/>
    <xf numFmtId="0" fontId="2" fillId="26" borderId="11" xfId="0" applyFont="1" applyFill="1" applyBorder="1"/>
    <xf numFmtId="189" fontId="6" fillId="26" borderId="11" xfId="0" applyNumberFormat="1" applyFont="1" applyFill="1" applyBorder="1"/>
    <xf numFmtId="188" fontId="6" fillId="26" borderId="11" xfId="0" applyNumberFormat="1" applyFont="1" applyFill="1" applyBorder="1"/>
    <xf numFmtId="188" fontId="4" fillId="26" borderId="11" xfId="0" applyNumberFormat="1" applyFont="1" applyFill="1" applyBorder="1"/>
    <xf numFmtId="188" fontId="6" fillId="0" borderId="11" xfId="0" applyNumberFormat="1" applyFont="1" applyBorder="1"/>
    <xf numFmtId="0" fontId="40" fillId="0" borderId="10" xfId="0" applyFont="1" applyBorder="1"/>
    <xf numFmtId="0" fontId="6" fillId="0" borderId="10" xfId="0" applyFont="1" applyBorder="1"/>
    <xf numFmtId="187" fontId="2" fillId="0" borderId="12" xfId="0" applyNumberFormat="1" applyFont="1" applyBorder="1"/>
    <xf numFmtId="187" fontId="2" fillId="0" borderId="13" xfId="0" applyNumberFormat="1" applyFont="1" applyBorder="1"/>
    <xf numFmtId="0" fontId="40" fillId="0" borderId="13" xfId="0" applyFont="1" applyBorder="1"/>
    <xf numFmtId="0" fontId="6" fillId="0" borderId="13" xfId="0" applyFont="1" applyBorder="1"/>
    <xf numFmtId="0" fontId="4" fillId="0" borderId="1" xfId="0" applyFont="1" applyBorder="1"/>
    <xf numFmtId="189" fontId="4" fillId="0" borderId="4" xfId="0" applyNumberFormat="1" applyFont="1" applyBorder="1"/>
    <xf numFmtId="189" fontId="4" fillId="10" borderId="4" xfId="0" applyNumberFormat="1" applyFont="1" applyFill="1" applyBorder="1"/>
    <xf numFmtId="187" fontId="1" fillId="27" borderId="5" xfId="0" applyNumberFormat="1" applyFont="1" applyFill="1" applyBorder="1"/>
    <xf numFmtId="187" fontId="2" fillId="27" borderId="1" xfId="0" applyNumberFormat="1" applyFont="1" applyFill="1" applyBorder="1"/>
    <xf numFmtId="0" fontId="2" fillId="27" borderId="1" xfId="0" applyFont="1" applyFill="1" applyBorder="1"/>
    <xf numFmtId="0" fontId="2" fillId="27" borderId="4" xfId="0" applyFont="1" applyFill="1" applyBorder="1"/>
    <xf numFmtId="0" fontId="4" fillId="27" borderId="4" xfId="0" applyFont="1" applyFill="1" applyBorder="1"/>
    <xf numFmtId="189" fontId="4" fillId="27" borderId="4" xfId="0" applyNumberFormat="1" applyFont="1" applyFill="1" applyBorder="1"/>
    <xf numFmtId="188" fontId="4" fillId="27" borderId="4" xfId="0" applyNumberFormat="1" applyFont="1" applyFill="1" applyBorder="1"/>
    <xf numFmtId="187" fontId="1" fillId="28" borderId="9" xfId="0" applyNumberFormat="1" applyFont="1" applyFill="1" applyBorder="1"/>
    <xf numFmtId="187" fontId="2" fillId="28" borderId="10" xfId="0" applyNumberFormat="1" applyFont="1" applyFill="1" applyBorder="1"/>
    <xf numFmtId="0" fontId="2" fillId="28" borderId="10" xfId="0" applyFont="1" applyFill="1" applyBorder="1"/>
    <xf numFmtId="0" fontId="2" fillId="28" borderId="11" xfId="0" applyFont="1" applyFill="1" applyBorder="1"/>
    <xf numFmtId="0" fontId="4" fillId="28" borderId="11" xfId="0" applyFont="1" applyFill="1" applyBorder="1"/>
    <xf numFmtId="189" fontId="4" fillId="28" borderId="11" xfId="0" applyNumberFormat="1" applyFont="1" applyFill="1" applyBorder="1"/>
    <xf numFmtId="188" fontId="4" fillId="28" borderId="11" xfId="0" applyNumberFormat="1" applyFont="1" applyFill="1" applyBorder="1"/>
    <xf numFmtId="187" fontId="2" fillId="29" borderId="9" xfId="0" applyNumberFormat="1" applyFont="1" applyFill="1" applyBorder="1"/>
    <xf numFmtId="0" fontId="1" fillId="29" borderId="10" xfId="0" applyFont="1" applyFill="1" applyBorder="1"/>
    <xf numFmtId="0" fontId="2" fillId="29" borderId="10" xfId="0" applyFont="1" applyFill="1" applyBorder="1"/>
    <xf numFmtId="0" fontId="2" fillId="29" borderId="11" xfId="0" applyFont="1" applyFill="1" applyBorder="1"/>
    <xf numFmtId="189" fontId="6" fillId="29" borderId="11" xfId="0" applyNumberFormat="1" applyFont="1" applyFill="1" applyBorder="1"/>
    <xf numFmtId="188" fontId="6" fillId="29" borderId="11" xfId="0" applyNumberFormat="1" applyFont="1" applyFill="1" applyBorder="1"/>
    <xf numFmtId="188" fontId="4" fillId="29" borderId="11" xfId="0" applyNumberFormat="1" applyFont="1" applyFill="1" applyBorder="1"/>
    <xf numFmtId="0" fontId="4" fillId="28" borderId="10" xfId="0" applyFont="1" applyFill="1" applyBorder="1"/>
    <xf numFmtId="190" fontId="2" fillId="29" borderId="9" xfId="0" applyNumberFormat="1" applyFont="1" applyFill="1" applyBorder="1"/>
    <xf numFmtId="190" fontId="2" fillId="29" borderId="10" xfId="0" applyNumberFormat="1" applyFont="1" applyFill="1" applyBorder="1"/>
    <xf numFmtId="187" fontId="2" fillId="29" borderId="10" xfId="0" applyNumberFormat="1" applyFont="1" applyFill="1" applyBorder="1"/>
    <xf numFmtId="189" fontId="4" fillId="29" borderId="11" xfId="0" applyNumberFormat="1" applyFont="1" applyFill="1" applyBorder="1"/>
    <xf numFmtId="0" fontId="5" fillId="23" borderId="10" xfId="0" applyFont="1" applyFill="1" applyBorder="1"/>
    <xf numFmtId="0" fontId="4" fillId="23" borderId="11" xfId="0" applyFont="1" applyFill="1" applyBorder="1"/>
    <xf numFmtId="187" fontId="2" fillId="8" borderId="9" xfId="0" applyNumberFormat="1" applyFont="1" applyFill="1" applyBorder="1"/>
    <xf numFmtId="187" fontId="2" fillId="8" borderId="10" xfId="0" applyNumberFormat="1" applyFont="1" applyFill="1" applyBorder="1"/>
    <xf numFmtId="0" fontId="15" fillId="8" borderId="10" xfId="0" applyFont="1" applyFill="1" applyBorder="1"/>
    <xf numFmtId="0" fontId="5" fillId="8" borderId="10" xfId="0" applyFont="1" applyFill="1" applyBorder="1"/>
    <xf numFmtId="0" fontId="2" fillId="8" borderId="10" xfId="0" applyFont="1" applyFill="1" applyBorder="1"/>
    <xf numFmtId="0" fontId="2" fillId="8" borderId="11" xfId="0" applyFont="1" applyFill="1" applyBorder="1"/>
    <xf numFmtId="189" fontId="6" fillId="8" borderId="11" xfId="0" applyNumberFormat="1" applyFont="1" applyFill="1" applyBorder="1"/>
    <xf numFmtId="188" fontId="6" fillId="8" borderId="11" xfId="0" applyNumberFormat="1" applyFont="1" applyFill="1" applyBorder="1"/>
    <xf numFmtId="188" fontId="4" fillId="8" borderId="11" xfId="0" applyNumberFormat="1" applyFont="1" applyFill="1" applyBorder="1"/>
    <xf numFmtId="0" fontId="18" fillId="8" borderId="10" xfId="0" applyFont="1" applyFill="1" applyBorder="1"/>
    <xf numFmtId="0" fontId="4" fillId="8" borderId="11" xfId="0" applyFont="1" applyFill="1" applyBorder="1"/>
    <xf numFmtId="189" fontId="4" fillId="8" borderId="11" xfId="0" applyNumberFormat="1" applyFont="1" applyFill="1" applyBorder="1"/>
    <xf numFmtId="187" fontId="43" fillId="0" borderId="9" xfId="0" applyNumberFormat="1" applyFont="1" applyBorder="1"/>
    <xf numFmtId="187" fontId="44" fillId="8" borderId="9" xfId="0" applyNumberFormat="1" applyFont="1" applyFill="1" applyBorder="1"/>
    <xf numFmtId="187" fontId="44" fillId="8" borderId="10" xfId="0" applyNumberFormat="1" applyFont="1" applyFill="1" applyBorder="1"/>
    <xf numFmtId="0" fontId="45" fillId="8" borderId="10" xfId="0" applyFont="1" applyFill="1" applyBorder="1"/>
    <xf numFmtId="0" fontId="46" fillId="8" borderId="10" xfId="0" applyFont="1" applyFill="1" applyBorder="1"/>
    <xf numFmtId="0" fontId="44" fillId="8" borderId="10" xfId="0" applyFont="1" applyFill="1" applyBorder="1"/>
    <xf numFmtId="0" fontId="44" fillId="8" borderId="11" xfId="0" applyFont="1" applyFill="1" applyBorder="1"/>
    <xf numFmtId="189" fontId="47" fillId="8" borderId="11" xfId="0" applyNumberFormat="1" applyFont="1" applyFill="1" applyBorder="1"/>
    <xf numFmtId="188" fontId="47" fillId="8" borderId="11" xfId="0" applyNumberFormat="1" applyFont="1" applyFill="1" applyBorder="1"/>
    <xf numFmtId="188" fontId="48" fillId="8" borderId="11" xfId="0" applyNumberFormat="1" applyFont="1" applyFill="1" applyBorder="1"/>
    <xf numFmtId="187" fontId="44" fillId="30" borderId="9" xfId="0" applyNumberFormat="1" applyFont="1" applyFill="1" applyBorder="1"/>
    <xf numFmtId="187" fontId="44" fillId="30" borderId="10" xfId="0" applyNumberFormat="1" applyFont="1" applyFill="1" applyBorder="1"/>
    <xf numFmtId="0" fontId="45" fillId="30" borderId="10" xfId="0" applyFont="1" applyFill="1" applyBorder="1"/>
    <xf numFmtId="0" fontId="44" fillId="30" borderId="10" xfId="0" applyFont="1" applyFill="1" applyBorder="1"/>
    <xf numFmtId="0" fontId="44" fillId="30" borderId="11" xfId="0" applyFont="1" applyFill="1" applyBorder="1"/>
    <xf numFmtId="189" fontId="47" fillId="30" borderId="11" xfId="0" applyNumberFormat="1" applyFont="1" applyFill="1" applyBorder="1"/>
    <xf numFmtId="188" fontId="47" fillId="30" borderId="11" xfId="0" applyNumberFormat="1" applyFont="1" applyFill="1" applyBorder="1"/>
    <xf numFmtId="188" fontId="48" fillId="30" borderId="11" xfId="0" applyNumberFormat="1" applyFont="1" applyFill="1" applyBorder="1"/>
    <xf numFmtId="0" fontId="50" fillId="30" borderId="10" xfId="0" applyFont="1" applyFill="1" applyBorder="1"/>
    <xf numFmtId="0" fontId="48" fillId="30" borderId="11" xfId="0" applyFont="1" applyFill="1" applyBorder="1"/>
    <xf numFmtId="189" fontId="48" fillId="30" borderId="11" xfId="0" applyNumberFormat="1" applyFont="1" applyFill="1" applyBorder="1"/>
    <xf numFmtId="41" fontId="47" fillId="30" borderId="11" xfId="0" applyNumberFormat="1" applyFont="1" applyFill="1" applyBorder="1"/>
    <xf numFmtId="187" fontId="2" fillId="23" borderId="12" xfId="0" applyNumberFormat="1" applyFont="1" applyFill="1" applyBorder="1"/>
    <xf numFmtId="187" fontId="2" fillId="23" borderId="13" xfId="0" applyNumberFormat="1" applyFont="1" applyFill="1" applyBorder="1"/>
    <xf numFmtId="0" fontId="5" fillId="23" borderId="13" xfId="0" applyFont="1" applyFill="1" applyBorder="1"/>
    <xf numFmtId="0" fontId="2" fillId="23" borderId="14" xfId="0" applyFont="1" applyFill="1" applyBorder="1"/>
    <xf numFmtId="0" fontId="14" fillId="0" borderId="1" xfId="0" applyFont="1" applyBorder="1"/>
    <xf numFmtId="188" fontId="4" fillId="2" borderId="4" xfId="0" applyNumberFormat="1" applyFont="1" applyFill="1" applyBorder="1"/>
    <xf numFmtId="187" fontId="1" fillId="31" borderId="5" xfId="0" applyNumberFormat="1" applyFont="1" applyFill="1" applyBorder="1"/>
    <xf numFmtId="187" fontId="2" fillId="31" borderId="1" xfId="0" applyNumberFormat="1" applyFont="1" applyFill="1" applyBorder="1"/>
    <xf numFmtId="0" fontId="2" fillId="31" borderId="1" xfId="0" applyFont="1" applyFill="1" applyBorder="1"/>
    <xf numFmtId="0" fontId="2" fillId="31" borderId="4" xfId="0" applyFont="1" applyFill="1" applyBorder="1"/>
    <xf numFmtId="0" fontId="4" fillId="31" borderId="4" xfId="0" applyFont="1" applyFill="1" applyBorder="1"/>
    <xf numFmtId="189" fontId="4" fillId="31" borderId="4" xfId="0" applyNumberFormat="1" applyFont="1" applyFill="1" applyBorder="1"/>
    <xf numFmtId="188" fontId="4" fillId="31" borderId="4" xfId="0" applyNumberFormat="1" applyFont="1" applyFill="1" applyBorder="1"/>
    <xf numFmtId="187" fontId="1" fillId="32" borderId="9" xfId="0" applyNumberFormat="1" applyFont="1" applyFill="1" applyBorder="1"/>
    <xf numFmtId="187" fontId="2" fillId="32" borderId="10" xfId="0" applyNumberFormat="1" applyFont="1" applyFill="1" applyBorder="1"/>
    <xf numFmtId="0" fontId="2" fillId="32" borderId="10" xfId="0" applyFont="1" applyFill="1" applyBorder="1"/>
    <xf numFmtId="0" fontId="4" fillId="32" borderId="11" xfId="0" applyFont="1" applyFill="1" applyBorder="1"/>
    <xf numFmtId="189" fontId="4" fillId="32" borderId="11" xfId="0" applyNumberFormat="1" applyFont="1" applyFill="1" applyBorder="1"/>
    <xf numFmtId="188" fontId="4" fillId="32" borderId="11" xfId="0" applyNumberFormat="1" applyFont="1" applyFill="1" applyBorder="1"/>
    <xf numFmtId="187" fontId="2" fillId="33" borderId="9" xfId="0" applyNumberFormat="1" applyFont="1" applyFill="1" applyBorder="1"/>
    <xf numFmtId="0" fontId="1" fillId="33" borderId="10" xfId="0" applyFont="1" applyFill="1" applyBorder="1"/>
    <xf numFmtId="187" fontId="2" fillId="33" borderId="10" xfId="0" applyNumberFormat="1" applyFont="1" applyFill="1" applyBorder="1"/>
    <xf numFmtId="0" fontId="2" fillId="33" borderId="10" xfId="0" applyFont="1" applyFill="1" applyBorder="1"/>
    <xf numFmtId="0" fontId="2" fillId="33" borderId="11" xfId="0" applyFont="1" applyFill="1" applyBorder="1"/>
    <xf numFmtId="189" fontId="6" fillId="33" borderId="11" xfId="0" applyNumberFormat="1" applyFont="1" applyFill="1" applyBorder="1"/>
    <xf numFmtId="188" fontId="6" fillId="33" borderId="11" xfId="0" applyNumberFormat="1" applyFont="1" applyFill="1" applyBorder="1"/>
    <xf numFmtId="188" fontId="4" fillId="33" borderId="11" xfId="0" applyNumberFormat="1" applyFont="1" applyFill="1" applyBorder="1"/>
    <xf numFmtId="187" fontId="2" fillId="2" borderId="12" xfId="0" applyNumberFormat="1" applyFont="1" applyFill="1" applyBorder="1"/>
    <xf numFmtId="187" fontId="2" fillId="2" borderId="13" xfId="0" applyNumberFormat="1" applyFont="1" applyFill="1" applyBorder="1"/>
    <xf numFmtId="188" fontId="2" fillId="2" borderId="14" xfId="0" applyNumberFormat="1" applyFont="1" applyFill="1" applyBorder="1"/>
    <xf numFmtId="0" fontId="5" fillId="21" borderId="0" xfId="0" quotePrefix="1" applyFont="1" applyFill="1"/>
    <xf numFmtId="0" fontId="2" fillId="21" borderId="0" xfId="0" applyFont="1" applyFill="1"/>
    <xf numFmtId="0" fontId="2" fillId="21" borderId="3" xfId="0" applyFont="1" applyFill="1" applyBorder="1"/>
    <xf numFmtId="187" fontId="2" fillId="0" borderId="20" xfId="0" applyNumberFormat="1" applyFont="1" applyBorder="1"/>
    <xf numFmtId="0" fontId="2" fillId="0" borderId="21" xfId="0" applyFont="1" applyBorder="1"/>
    <xf numFmtId="0" fontId="14" fillId="0" borderId="21" xfId="0" applyFont="1" applyBorder="1"/>
    <xf numFmtId="0" fontId="2" fillId="0" borderId="22" xfId="0" applyFont="1" applyBorder="1"/>
    <xf numFmtId="189" fontId="4" fillId="2" borderId="22" xfId="0" applyNumberFormat="1" applyFont="1" applyFill="1" applyBorder="1"/>
    <xf numFmtId="189" fontId="4" fillId="10" borderId="22" xfId="0" applyNumberFormat="1" applyFont="1" applyFill="1" applyBorder="1"/>
    <xf numFmtId="188" fontId="4" fillId="2" borderId="22" xfId="0" applyNumberFormat="1" applyFont="1" applyFill="1" applyBorder="1"/>
    <xf numFmtId="188" fontId="4" fillId="0" borderId="22" xfId="0" applyNumberFormat="1" applyFont="1" applyBorder="1"/>
    <xf numFmtId="0" fontId="1" fillId="34" borderId="9" xfId="0" applyFont="1" applyFill="1" applyBorder="1"/>
    <xf numFmtId="0" fontId="2" fillId="34" borderId="10" xfId="0" applyFont="1" applyFill="1" applyBorder="1"/>
    <xf numFmtId="0" fontId="2" fillId="34" borderId="11" xfId="0" applyFont="1" applyFill="1" applyBorder="1"/>
    <xf numFmtId="0" fontId="4" fillId="34" borderId="11" xfId="0" applyFont="1" applyFill="1" applyBorder="1"/>
    <xf numFmtId="189" fontId="4" fillId="34" borderId="11" xfId="0" applyNumberFormat="1" applyFont="1" applyFill="1" applyBorder="1"/>
    <xf numFmtId="188" fontId="4" fillId="34" borderId="11" xfId="0" applyNumberFormat="1" applyFont="1" applyFill="1" applyBorder="1"/>
    <xf numFmtId="188" fontId="6" fillId="34" borderId="11" xfId="0" applyNumberFormat="1" applyFont="1" applyFill="1" applyBorder="1"/>
    <xf numFmtId="0" fontId="1" fillId="35" borderId="9" xfId="0" applyFont="1" applyFill="1" applyBorder="1"/>
    <xf numFmtId="0" fontId="2" fillId="35" borderId="10" xfId="0" applyFont="1" applyFill="1" applyBorder="1"/>
    <xf numFmtId="0" fontId="4" fillId="35" borderId="10" xfId="0" applyFont="1" applyFill="1" applyBorder="1"/>
    <xf numFmtId="189" fontId="4" fillId="35" borderId="10" xfId="0" applyNumberFormat="1" applyFont="1" applyFill="1" applyBorder="1"/>
    <xf numFmtId="188" fontId="4" fillId="35" borderId="10" xfId="0" applyNumberFormat="1" applyFont="1" applyFill="1" applyBorder="1"/>
    <xf numFmtId="188" fontId="4" fillId="35" borderId="11" xfId="0" applyNumberFormat="1" applyFont="1" applyFill="1" applyBorder="1"/>
    <xf numFmtId="0" fontId="2" fillId="35" borderId="11" xfId="0" applyFont="1" applyFill="1" applyBorder="1"/>
    <xf numFmtId="0" fontId="4" fillId="35" borderId="11" xfId="0" applyFont="1" applyFill="1" applyBorder="1"/>
    <xf numFmtId="189" fontId="4" fillId="35" borderId="11" xfId="0" applyNumberFormat="1" applyFont="1" applyFill="1" applyBorder="1"/>
    <xf numFmtId="187" fontId="1" fillId="36" borderId="10" xfId="0" applyNumberFormat="1" applyFont="1" applyFill="1" applyBorder="1"/>
    <xf numFmtId="0" fontId="2" fillId="36" borderId="10" xfId="0" applyFont="1" applyFill="1" applyBorder="1"/>
    <xf numFmtId="0" fontId="2" fillId="36" borderId="11" xfId="0" applyFont="1" applyFill="1" applyBorder="1"/>
    <xf numFmtId="189" fontId="6" fillId="36" borderId="11" xfId="0" applyNumberFormat="1" applyFont="1" applyFill="1" applyBorder="1"/>
    <xf numFmtId="188" fontId="6" fillId="36" borderId="11" xfId="0" applyNumberFormat="1" applyFont="1" applyFill="1" applyBorder="1"/>
    <xf numFmtId="188" fontId="4" fillId="36" borderId="11" xfId="0" applyNumberFormat="1" applyFont="1" applyFill="1" applyBorder="1"/>
    <xf numFmtId="0" fontId="2" fillId="36" borderId="9" xfId="0" applyFont="1" applyFill="1" applyBorder="1"/>
    <xf numFmtId="0" fontId="5" fillId="2" borderId="13" xfId="0" applyFont="1" applyFill="1" applyBorder="1"/>
    <xf numFmtId="187" fontId="4" fillId="2" borderId="9" xfId="0" applyNumberFormat="1" applyFont="1" applyFill="1" applyBorder="1"/>
    <xf numFmtId="187" fontId="4" fillId="2" borderId="10" xfId="0" applyNumberFormat="1" applyFont="1" applyFill="1" applyBorder="1"/>
    <xf numFmtId="0" fontId="4" fillId="2" borderId="10" xfId="0" applyFont="1" applyFill="1" applyBorder="1"/>
    <xf numFmtId="0" fontId="4" fillId="0" borderId="0" xfId="0" applyFont="1"/>
    <xf numFmtId="0" fontId="5" fillId="21" borderId="13" xfId="0" quotePrefix="1" applyFont="1" applyFill="1" applyBorder="1"/>
    <xf numFmtId="0" fontId="2" fillId="21" borderId="13" xfId="0" applyFont="1" applyFill="1" applyBorder="1"/>
    <xf numFmtId="0" fontId="2" fillId="21" borderId="14" xfId="0" applyFont="1" applyFill="1" applyBorder="1"/>
    <xf numFmtId="0" fontId="4" fillId="0" borderId="14" xfId="0" applyFont="1" applyBorder="1"/>
    <xf numFmtId="0" fontId="6" fillId="36" borderId="13" xfId="0" applyFont="1" applyFill="1" applyBorder="1"/>
    <xf numFmtId="0" fontId="4" fillId="36" borderId="13" xfId="0" applyFont="1" applyFill="1" applyBorder="1"/>
    <xf numFmtId="0" fontId="4" fillId="36" borderId="14" xfId="0" applyFont="1" applyFill="1" applyBorder="1"/>
    <xf numFmtId="189" fontId="6" fillId="36" borderId="14" xfId="0" applyNumberFormat="1" applyFont="1" applyFill="1" applyBorder="1"/>
    <xf numFmtId="188" fontId="6" fillId="36" borderId="14" xfId="0" applyNumberFormat="1" applyFont="1" applyFill="1" applyBorder="1"/>
    <xf numFmtId="188" fontId="4" fillId="36" borderId="14" xfId="0" applyNumberFormat="1" applyFont="1" applyFill="1" applyBorder="1"/>
    <xf numFmtId="0" fontId="4" fillId="36" borderId="9" xfId="0" applyFont="1" applyFill="1" applyBorder="1"/>
    <xf numFmtId="187" fontId="4" fillId="36" borderId="10" xfId="0" applyNumberFormat="1" applyFont="1" applyFill="1" applyBorder="1"/>
    <xf numFmtId="0" fontId="4" fillId="36" borderId="10" xfId="0" applyFont="1" applyFill="1" applyBorder="1"/>
    <xf numFmtId="0" fontId="4" fillId="36" borderId="11" xfId="0" applyFont="1" applyFill="1" applyBorder="1"/>
    <xf numFmtId="190" fontId="4" fillId="2" borderId="9" xfId="0" applyNumberFormat="1" applyFont="1" applyFill="1" applyBorder="1"/>
    <xf numFmtId="0" fontId="55" fillId="2" borderId="10" xfId="0" applyFont="1" applyFill="1" applyBorder="1"/>
    <xf numFmtId="190" fontId="9" fillId="2" borderId="9" xfId="0" applyNumberFormat="1" applyFont="1" applyFill="1" applyBorder="1"/>
    <xf numFmtId="0" fontId="9" fillId="2" borderId="10" xfId="0" applyFont="1" applyFill="1" applyBorder="1"/>
    <xf numFmtId="0" fontId="9" fillId="0" borderId="10" xfId="0" applyFont="1" applyBorder="1"/>
    <xf numFmtId="0" fontId="9" fillId="2" borderId="11" xfId="0" applyFont="1" applyFill="1" applyBorder="1"/>
    <xf numFmtId="0" fontId="9" fillId="0" borderId="0" xfId="0" applyFont="1"/>
    <xf numFmtId="187" fontId="9" fillId="2" borderId="10" xfId="0" applyNumberFormat="1" applyFont="1" applyFill="1" applyBorder="1"/>
    <xf numFmtId="0" fontId="56" fillId="2" borderId="10" xfId="0" applyFont="1" applyFill="1" applyBorder="1"/>
    <xf numFmtId="187" fontId="4" fillId="0" borderId="9" xfId="0" applyNumberFormat="1" applyFont="1" applyBorder="1"/>
    <xf numFmtId="187" fontId="4" fillId="0" borderId="10" xfId="0" applyNumberFormat="1" applyFont="1" applyBorder="1"/>
    <xf numFmtId="187" fontId="55" fillId="21" borderId="10" xfId="0" applyNumberFormat="1" applyFont="1" applyFill="1" applyBorder="1"/>
    <xf numFmtId="187" fontId="4" fillId="21" borderId="10" xfId="0" applyNumberFormat="1" applyFont="1" applyFill="1" applyBorder="1"/>
    <xf numFmtId="0" fontId="4" fillId="21" borderId="10" xfId="0" applyFont="1" applyFill="1" applyBorder="1"/>
    <xf numFmtId="0" fontId="4" fillId="21" borderId="11" xfId="0" applyFont="1" applyFill="1" applyBorder="1"/>
    <xf numFmtId="187" fontId="9" fillId="0" borderId="9" xfId="0" applyNumberFormat="1" applyFont="1" applyBorder="1"/>
    <xf numFmtId="187" fontId="9" fillId="0" borderId="10" xfId="0" applyNumberFormat="1" applyFont="1" applyBorder="1"/>
    <xf numFmtId="0" fontId="58" fillId="2" borderId="11" xfId="0" applyFont="1" applyFill="1" applyBorder="1"/>
    <xf numFmtId="187" fontId="55" fillId="21" borderId="10" xfId="0" quotePrefix="1" applyNumberFormat="1" applyFont="1" applyFill="1" applyBorder="1"/>
    <xf numFmtId="187" fontId="6" fillId="0" borderId="10" xfId="0" applyNumberFormat="1" applyFont="1" applyBorder="1"/>
    <xf numFmtId="187" fontId="26" fillId="36" borderId="13" xfId="0" applyNumberFormat="1" applyFont="1" applyFill="1" applyBorder="1"/>
    <xf numFmtId="187" fontId="9" fillId="36" borderId="13" xfId="0" applyNumberFormat="1" applyFont="1" applyFill="1" applyBorder="1"/>
    <xf numFmtId="0" fontId="9" fillId="36" borderId="13" xfId="0" applyFont="1" applyFill="1" applyBorder="1"/>
    <xf numFmtId="0" fontId="9" fillId="36" borderId="14" xfId="0" applyFont="1" applyFill="1" applyBorder="1"/>
    <xf numFmtId="189" fontId="26" fillId="36" borderId="14" xfId="0" applyNumberFormat="1" applyFont="1" applyFill="1" applyBorder="1"/>
    <xf numFmtId="188" fontId="26" fillId="36" borderId="14" xfId="0" applyNumberFormat="1" applyFont="1" applyFill="1" applyBorder="1"/>
    <xf numFmtId="188" fontId="9" fillId="36" borderId="14" xfId="0" applyNumberFormat="1" applyFont="1" applyFill="1" applyBorder="1"/>
    <xf numFmtId="0" fontId="9" fillId="36" borderId="9" xfId="0" applyFont="1" applyFill="1" applyBorder="1"/>
    <xf numFmtId="187" fontId="9" fillId="36" borderId="10" xfId="0" applyNumberFormat="1" applyFont="1" applyFill="1" applyBorder="1"/>
    <xf numFmtId="0" fontId="9" fillId="36" borderId="10" xfId="0" applyFont="1" applyFill="1" applyBorder="1"/>
    <xf numFmtId="0" fontId="9" fillId="36" borderId="11" xfId="0" applyFont="1" applyFill="1" applyBorder="1"/>
    <xf numFmtId="189" fontId="26" fillId="36" borderId="11" xfId="0" applyNumberFormat="1" applyFont="1" applyFill="1" applyBorder="1"/>
    <xf numFmtId="188" fontId="26" fillId="36" borderId="11" xfId="0" applyNumberFormat="1" applyFont="1" applyFill="1" applyBorder="1"/>
    <xf numFmtId="188" fontId="9" fillId="36" borderId="11" xfId="0" applyNumberFormat="1" applyFont="1" applyFill="1" applyBorder="1"/>
    <xf numFmtId="0" fontId="60" fillId="2" borderId="10" xfId="0" applyFont="1" applyFill="1" applyBorder="1"/>
    <xf numFmtId="188" fontId="26" fillId="2" borderId="11" xfId="0" applyNumberFormat="1" applyFont="1" applyFill="1" applyBorder="1"/>
    <xf numFmtId="0" fontId="61" fillId="2" borderId="10" xfId="0" applyFont="1" applyFill="1" applyBorder="1"/>
    <xf numFmtId="187" fontId="9" fillId="2" borderId="9" xfId="0" applyNumberFormat="1" applyFont="1" applyFill="1" applyBorder="1"/>
    <xf numFmtId="0" fontId="60" fillId="21" borderId="10" xfId="0" quotePrefix="1" applyFont="1" applyFill="1" applyBorder="1"/>
    <xf numFmtId="0" fontId="9" fillId="21" borderId="10" xfId="0" applyFont="1" applyFill="1" applyBorder="1"/>
    <xf numFmtId="0" fontId="9" fillId="21" borderId="11" xfId="0" applyFont="1" applyFill="1" applyBorder="1"/>
    <xf numFmtId="189" fontId="26" fillId="2" borderId="11" xfId="0" applyNumberFormat="1" applyFont="1" applyFill="1" applyBorder="1"/>
    <xf numFmtId="188" fontId="26" fillId="0" borderId="11" xfId="0" applyNumberFormat="1" applyFont="1" applyBorder="1"/>
    <xf numFmtId="0" fontId="1" fillId="37" borderId="9" xfId="0" applyFont="1" applyFill="1" applyBorder="1"/>
    <xf numFmtId="187" fontId="2" fillId="37" borderId="10" xfId="0" applyNumberFormat="1" applyFont="1" applyFill="1" applyBorder="1"/>
    <xf numFmtId="0" fontId="2" fillId="37" borderId="10" xfId="0" applyFont="1" applyFill="1" applyBorder="1"/>
    <xf numFmtId="0" fontId="2" fillId="37" borderId="11" xfId="0" applyFont="1" applyFill="1" applyBorder="1"/>
    <xf numFmtId="0" fontId="4" fillId="37" borderId="11" xfId="0" applyFont="1" applyFill="1" applyBorder="1"/>
    <xf numFmtId="189" fontId="4" fillId="37" borderId="11" xfId="0" applyNumberFormat="1" applyFont="1" applyFill="1" applyBorder="1"/>
    <xf numFmtId="188" fontId="4" fillId="37" borderId="11" xfId="0" applyNumberFormat="1" applyFont="1" applyFill="1" applyBorder="1"/>
    <xf numFmtId="187" fontId="6" fillId="38" borderId="13" xfId="0" applyNumberFormat="1" applyFont="1" applyFill="1" applyBorder="1"/>
    <xf numFmtId="187" fontId="4" fillId="38" borderId="13" xfId="0" applyNumberFormat="1" applyFont="1" applyFill="1" applyBorder="1"/>
    <xf numFmtId="0" fontId="4" fillId="38" borderId="13" xfId="0" applyFont="1" applyFill="1" applyBorder="1"/>
    <xf numFmtId="0" fontId="4" fillId="38" borderId="14" xfId="0" applyFont="1" applyFill="1" applyBorder="1"/>
    <xf numFmtId="189" fontId="4" fillId="38" borderId="14" xfId="0" applyNumberFormat="1" applyFont="1" applyFill="1" applyBorder="1"/>
    <xf numFmtId="188" fontId="4" fillId="38" borderId="14" xfId="0" applyNumberFormat="1" applyFont="1" applyFill="1" applyBorder="1"/>
    <xf numFmtId="190" fontId="4" fillId="39" borderId="9" xfId="0" applyNumberFormat="1" applyFont="1" applyFill="1" applyBorder="1"/>
    <xf numFmtId="0" fontId="6" fillId="39" borderId="10" xfId="0" applyFont="1" applyFill="1" applyBorder="1"/>
    <xf numFmtId="0" fontId="4" fillId="39" borderId="10" xfId="0" applyFont="1" applyFill="1" applyBorder="1"/>
    <xf numFmtId="0" fontId="4" fillId="39" borderId="11" xfId="0" applyFont="1" applyFill="1" applyBorder="1"/>
    <xf numFmtId="189" fontId="6" fillId="39" borderId="11" xfId="0" applyNumberFormat="1" applyFont="1" applyFill="1" applyBorder="1"/>
    <xf numFmtId="188" fontId="6" fillId="39" borderId="11" xfId="0" applyNumberFormat="1" applyFont="1" applyFill="1" applyBorder="1"/>
    <xf numFmtId="188" fontId="4" fillId="39" borderId="11" xfId="0" applyNumberFormat="1" applyFont="1" applyFill="1" applyBorder="1"/>
    <xf numFmtId="0" fontId="55" fillId="21" borderId="10" xfId="0" quotePrefix="1" applyFont="1" applyFill="1" applyBorder="1"/>
    <xf numFmtId="0" fontId="4" fillId="2" borderId="0" xfId="0" applyFont="1" applyFill="1"/>
    <xf numFmtId="0" fontId="64" fillId="2" borderId="10" xfId="0" applyFont="1" applyFill="1" applyBorder="1"/>
    <xf numFmtId="0" fontId="6" fillId="38" borderId="13" xfId="0" applyFont="1" applyFill="1" applyBorder="1"/>
    <xf numFmtId="189" fontId="6" fillId="38" borderId="14" xfId="0" applyNumberFormat="1" applyFont="1" applyFill="1" applyBorder="1"/>
    <xf numFmtId="188" fontId="6" fillId="38" borderId="14" xfId="0" applyNumberFormat="1" applyFont="1" applyFill="1" applyBorder="1"/>
    <xf numFmtId="190" fontId="4" fillId="2" borderId="12" xfId="0" applyNumberFormat="1" applyFont="1" applyFill="1" applyBorder="1"/>
    <xf numFmtId="0" fontId="4" fillId="2" borderId="13" xfId="0" applyFont="1" applyFill="1" applyBorder="1"/>
    <xf numFmtId="0" fontId="55" fillId="2" borderId="13" xfId="0" applyFont="1" applyFill="1" applyBorder="1"/>
    <xf numFmtId="0" fontId="4" fillId="2" borderId="14" xfId="0" applyFont="1" applyFill="1" applyBorder="1"/>
    <xf numFmtId="187" fontId="4" fillId="39" borderId="9" xfId="0" applyNumberFormat="1" applyFont="1" applyFill="1" applyBorder="1"/>
    <xf numFmtId="187" fontId="6" fillId="39" borderId="10" xfId="0" applyNumberFormat="1" applyFont="1" applyFill="1" applyBorder="1"/>
    <xf numFmtId="187" fontId="4" fillId="39" borderId="10" xfId="0" applyNumberFormat="1" applyFont="1" applyFill="1" applyBorder="1"/>
    <xf numFmtId="187" fontId="4" fillId="0" borderId="2" xfId="0" applyNumberFormat="1" applyFont="1" applyBorder="1"/>
    <xf numFmtId="187" fontId="4" fillId="0" borderId="0" xfId="0" applyNumberFormat="1" applyFont="1"/>
    <xf numFmtId="0" fontId="4" fillId="0" borderId="3" xfId="0" applyFont="1" applyBorder="1"/>
    <xf numFmtId="189" fontId="4" fillId="0" borderId="3" xfId="0" applyNumberFormat="1" applyFont="1" applyBorder="1"/>
    <xf numFmtId="189" fontId="4" fillId="10" borderId="3" xfId="0" applyNumberFormat="1" applyFont="1" applyFill="1" applyBorder="1"/>
    <xf numFmtId="188" fontId="4" fillId="0" borderId="3" xfId="0" applyNumberFormat="1" applyFont="1" applyBorder="1"/>
    <xf numFmtId="191" fontId="6" fillId="39" borderId="11" xfId="0" applyNumberFormat="1" applyFont="1" applyFill="1" applyBorder="1"/>
    <xf numFmtId="191" fontId="6" fillId="0" borderId="11" xfId="0" applyNumberFormat="1" applyFont="1" applyBorder="1"/>
    <xf numFmtId="187" fontId="4" fillId="0" borderId="10" xfId="0" quotePrefix="1" applyNumberFormat="1" applyFont="1" applyBorder="1"/>
    <xf numFmtId="187" fontId="66" fillId="39" borderId="10" xfId="0" applyNumberFormat="1" applyFont="1" applyFill="1" applyBorder="1"/>
    <xf numFmtId="187" fontId="9" fillId="40" borderId="9" xfId="0" applyNumberFormat="1" applyFont="1" applyFill="1" applyBorder="1"/>
    <xf numFmtId="187" fontId="9" fillId="40" borderId="10" xfId="0" applyNumberFormat="1" applyFont="1" applyFill="1" applyBorder="1"/>
    <xf numFmtId="187" fontId="26" fillId="40" borderId="10" xfId="0" applyNumberFormat="1" applyFont="1" applyFill="1" applyBorder="1"/>
    <xf numFmtId="0" fontId="9" fillId="40" borderId="10" xfId="0" applyFont="1" applyFill="1" applyBorder="1"/>
    <xf numFmtId="0" fontId="9" fillId="40" borderId="11" xfId="0" applyFont="1" applyFill="1" applyBorder="1"/>
    <xf numFmtId="189" fontId="26" fillId="40" borderId="11" xfId="0" applyNumberFormat="1" applyFont="1" applyFill="1" applyBorder="1"/>
    <xf numFmtId="188" fontId="26" fillId="40" borderId="11" xfId="0" applyNumberFormat="1" applyFont="1" applyFill="1" applyBorder="1"/>
    <xf numFmtId="188" fontId="9" fillId="40" borderId="11" xfId="0" applyNumberFormat="1" applyFont="1" applyFill="1" applyBorder="1"/>
    <xf numFmtId="0" fontId="9" fillId="0" borderId="10" xfId="0" quotePrefix="1" applyFont="1" applyBorder="1"/>
    <xf numFmtId="187" fontId="4" fillId="40" borderId="9" xfId="0" applyNumberFormat="1" applyFont="1" applyFill="1" applyBorder="1"/>
    <xf numFmtId="187" fontId="4" fillId="40" borderId="10" xfId="0" applyNumberFormat="1" applyFont="1" applyFill="1" applyBorder="1"/>
    <xf numFmtId="187" fontId="6" fillId="40" borderId="10" xfId="0" applyNumberFormat="1" applyFont="1" applyFill="1" applyBorder="1"/>
    <xf numFmtId="0" fontId="4" fillId="40" borderId="10" xfId="0" applyFont="1" applyFill="1" applyBorder="1"/>
    <xf numFmtId="0" fontId="4" fillId="40" borderId="11" xfId="0" applyFont="1" applyFill="1" applyBorder="1"/>
    <xf numFmtId="189" fontId="6" fillId="40" borderId="11" xfId="0" applyNumberFormat="1" applyFont="1" applyFill="1" applyBorder="1"/>
    <xf numFmtId="188" fontId="6" fillId="40" borderId="11" xfId="0" applyNumberFormat="1" applyFont="1" applyFill="1" applyBorder="1"/>
    <xf numFmtId="188" fontId="4" fillId="40" borderId="11" xfId="0" applyNumberFormat="1" applyFont="1" applyFill="1" applyBorder="1"/>
    <xf numFmtId="187" fontId="4" fillId="0" borderId="5" xfId="0" applyNumberFormat="1" applyFont="1" applyBorder="1"/>
    <xf numFmtId="187" fontId="4" fillId="0" borderId="1" xfId="0" applyNumberFormat="1" applyFont="1" applyBorder="1"/>
    <xf numFmtId="0" fontId="4" fillId="0" borderId="4" xfId="0" applyFont="1" applyBorder="1"/>
    <xf numFmtId="0" fontId="6" fillId="38" borderId="7" xfId="0" applyFont="1" applyFill="1" applyBorder="1"/>
    <xf numFmtId="0" fontId="4" fillId="38" borderId="7" xfId="0" applyFont="1" applyFill="1" applyBorder="1"/>
    <xf numFmtId="0" fontId="4" fillId="38" borderId="8" xfId="0" applyFont="1" applyFill="1" applyBorder="1"/>
    <xf numFmtId="189" fontId="6" fillId="38" borderId="8" xfId="0" applyNumberFormat="1" applyFont="1" applyFill="1" applyBorder="1"/>
    <xf numFmtId="188" fontId="6" fillId="38" borderId="8" xfId="0" applyNumberFormat="1" applyFont="1" applyFill="1" applyBorder="1"/>
    <xf numFmtId="188" fontId="4" fillId="38" borderId="8" xfId="0" applyNumberFormat="1" applyFont="1" applyFill="1" applyBorder="1"/>
    <xf numFmtId="0" fontId="4" fillId="2" borderId="9" xfId="0" applyFont="1" applyFill="1" applyBorder="1"/>
    <xf numFmtId="0" fontId="4" fillId="2" borderId="5" xfId="0" applyFont="1" applyFill="1" applyBorder="1"/>
    <xf numFmtId="187" fontId="4" fillId="2" borderId="1" xfId="0" applyNumberFormat="1" applyFont="1" applyFill="1" applyBorder="1"/>
    <xf numFmtId="0" fontId="4" fillId="2" borderId="1" xfId="0" applyFont="1" applyFill="1" applyBorder="1"/>
    <xf numFmtId="189" fontId="4" fillId="38" borderId="8" xfId="0" applyNumberFormat="1" applyFont="1" applyFill="1" applyBorder="1"/>
    <xf numFmtId="0" fontId="4" fillId="39" borderId="13" xfId="0" applyFont="1" applyFill="1" applyBorder="1"/>
    <xf numFmtId="0" fontId="6" fillId="39" borderId="13" xfId="0" applyFont="1" applyFill="1" applyBorder="1"/>
    <xf numFmtId="0" fontId="4" fillId="39" borderId="14" xfId="0" applyFont="1" applyFill="1" applyBorder="1"/>
    <xf numFmtId="189" fontId="4" fillId="39" borderId="14" xfId="0" applyNumberFormat="1" applyFont="1" applyFill="1" applyBorder="1"/>
    <xf numFmtId="188" fontId="4" fillId="39" borderId="14" xfId="0" applyNumberFormat="1" applyFont="1" applyFill="1" applyBorder="1"/>
    <xf numFmtId="0" fontId="55" fillId="21" borderId="10" xfId="0" applyFont="1" applyFill="1" applyBorder="1"/>
    <xf numFmtId="187" fontId="4" fillId="2" borderId="11" xfId="0" applyNumberFormat="1" applyFont="1" applyFill="1" applyBorder="1"/>
    <xf numFmtId="192" fontId="4" fillId="2" borderId="11" xfId="0" applyNumberFormat="1" applyFont="1" applyFill="1" applyBorder="1"/>
    <xf numFmtId="187" fontId="6" fillId="2" borderId="11" xfId="0" applyNumberFormat="1" applyFont="1" applyFill="1" applyBorder="1"/>
    <xf numFmtId="0" fontId="4" fillId="0" borderId="5" xfId="0" applyFont="1" applyBorder="1"/>
    <xf numFmtId="0" fontId="69" fillId="0" borderId="1" xfId="0" applyFont="1" applyBorder="1"/>
    <xf numFmtId="187" fontId="4" fillId="2" borderId="4" xfId="0" applyNumberFormat="1" applyFont="1" applyFill="1" applyBorder="1"/>
    <xf numFmtId="192" fontId="4" fillId="2" borderId="4" xfId="0" applyNumberFormat="1" applyFont="1" applyFill="1" applyBorder="1"/>
    <xf numFmtId="0" fontId="26" fillId="38" borderId="7" xfId="0" applyFont="1" applyFill="1" applyBorder="1"/>
    <xf numFmtId="0" fontId="9" fillId="38" borderId="7" xfId="0" applyFont="1" applyFill="1" applyBorder="1"/>
    <xf numFmtId="0" fontId="9" fillId="38" borderId="8" xfId="0" applyFont="1" applyFill="1" applyBorder="1"/>
    <xf numFmtId="189" fontId="9" fillId="38" borderId="8" xfId="0" applyNumberFormat="1" applyFont="1" applyFill="1" applyBorder="1"/>
    <xf numFmtId="188" fontId="26" fillId="38" borderId="8" xfId="0" applyNumberFormat="1" applyFont="1" applyFill="1" applyBorder="1"/>
    <xf numFmtId="188" fontId="9" fillId="38" borderId="8" xfId="0" applyNumberFormat="1" applyFont="1" applyFill="1" applyBorder="1"/>
    <xf numFmtId="0" fontId="60" fillId="2" borderId="10" xfId="0" applyFont="1" applyFill="1" applyBorder="1"/>
    <xf numFmtId="0" fontId="60" fillId="21" borderId="10" xfId="0" applyFont="1" applyFill="1" applyBorder="1"/>
    <xf numFmtId="0" fontId="26" fillId="38" borderId="13" xfId="0" applyFont="1" applyFill="1" applyBorder="1"/>
    <xf numFmtId="0" fontId="9" fillId="38" borderId="13" xfId="0" applyFont="1" applyFill="1" applyBorder="1"/>
    <xf numFmtId="0" fontId="9" fillId="38" borderId="14" xfId="0" applyFont="1" applyFill="1" applyBorder="1"/>
    <xf numFmtId="189" fontId="9" fillId="38" borderId="14" xfId="0" applyNumberFormat="1" applyFont="1" applyFill="1" applyBorder="1"/>
    <xf numFmtId="188" fontId="26" fillId="38" borderId="14" xfId="0" applyNumberFormat="1" applyFont="1" applyFill="1" applyBorder="1"/>
    <xf numFmtId="188" fontId="9" fillId="38" borderId="14" xfId="0" applyNumberFormat="1" applyFont="1" applyFill="1" applyBorder="1"/>
    <xf numFmtId="0" fontId="26" fillId="38" borderId="10" xfId="0" applyFont="1" applyFill="1" applyBorder="1"/>
    <xf numFmtId="0" fontId="9" fillId="38" borderId="10" xfId="0" applyFont="1" applyFill="1" applyBorder="1"/>
    <xf numFmtId="0" fontId="9" fillId="38" borderId="11" xfId="0" applyFont="1" applyFill="1" applyBorder="1"/>
    <xf numFmtId="189" fontId="9" fillId="38" borderId="11" xfId="0" applyNumberFormat="1" applyFont="1" applyFill="1" applyBorder="1"/>
    <xf numFmtId="188" fontId="26" fillId="38" borderId="11" xfId="0" applyNumberFormat="1" applyFont="1" applyFill="1" applyBorder="1"/>
    <xf numFmtId="188" fontId="9" fillId="38" borderId="11" xfId="0" applyNumberFormat="1" applyFont="1" applyFill="1" applyBorder="1"/>
    <xf numFmtId="187" fontId="9" fillId="0" borderId="11" xfId="0" applyNumberFormat="1" applyFont="1" applyBorder="1"/>
    <xf numFmtId="187" fontId="66" fillId="38" borderId="10" xfId="0" applyNumberFormat="1" applyFont="1" applyFill="1" applyBorder="1"/>
    <xf numFmtId="0" fontId="4" fillId="38" borderId="10" xfId="0" applyFont="1" applyFill="1" applyBorder="1"/>
    <xf numFmtId="0" fontId="4" fillId="38" borderId="11" xfId="0" applyFont="1" applyFill="1" applyBorder="1"/>
    <xf numFmtId="189" fontId="4" fillId="38" borderId="11" xfId="0" applyNumberFormat="1" applyFont="1" applyFill="1" applyBorder="1"/>
    <xf numFmtId="189" fontId="6" fillId="38" borderId="11" xfId="0" applyNumberFormat="1" applyFont="1" applyFill="1" applyBorder="1"/>
    <xf numFmtId="188" fontId="6" fillId="38" borderId="11" xfId="0" applyNumberFormat="1" applyFont="1" applyFill="1" applyBorder="1"/>
    <xf numFmtId="188" fontId="4" fillId="38" borderId="11" xfId="0" applyNumberFormat="1" applyFont="1" applyFill="1" applyBorder="1"/>
    <xf numFmtId="187" fontId="4" fillId="0" borderId="11" xfId="0" applyNumberFormat="1" applyFont="1" applyBorder="1"/>
    <xf numFmtId="187" fontId="9" fillId="38" borderId="10" xfId="0" applyNumberFormat="1" applyFont="1" applyFill="1" applyBorder="1"/>
    <xf numFmtId="0" fontId="61" fillId="2" borderId="10" xfId="0" applyFont="1" applyFill="1" applyBorder="1"/>
    <xf numFmtId="187" fontId="60" fillId="21" borderId="10" xfId="0" applyNumberFormat="1" applyFont="1" applyFill="1" applyBorder="1"/>
    <xf numFmtId="187" fontId="9" fillId="2" borderId="24" xfId="0" applyNumberFormat="1" applyFont="1" applyFill="1" applyBorder="1"/>
    <xf numFmtId="187" fontId="9" fillId="2" borderId="25" xfId="0" applyNumberFormat="1" applyFont="1" applyFill="1" applyBorder="1"/>
    <xf numFmtId="0" fontId="9" fillId="2" borderId="25" xfId="0" applyFont="1" applyFill="1" applyBorder="1"/>
    <xf numFmtId="0" fontId="9" fillId="2" borderId="26" xfId="0" applyFont="1" applyFill="1" applyBorder="1"/>
    <xf numFmtId="189" fontId="9" fillId="2" borderId="26" xfId="0" applyNumberFormat="1" applyFont="1" applyFill="1" applyBorder="1"/>
    <xf numFmtId="188" fontId="9" fillId="2" borderId="26" xfId="0" applyNumberFormat="1" applyFont="1" applyFill="1" applyBorder="1"/>
    <xf numFmtId="0" fontId="6" fillId="41" borderId="9" xfId="0" applyFont="1" applyFill="1" applyBorder="1"/>
    <xf numFmtId="0" fontId="4" fillId="41" borderId="10" xfId="0" applyFont="1" applyFill="1" applyBorder="1"/>
    <xf numFmtId="187" fontId="4" fillId="41" borderId="10" xfId="0" applyNumberFormat="1" applyFont="1" applyFill="1" applyBorder="1"/>
    <xf numFmtId="0" fontId="4" fillId="41" borderId="11" xfId="0" applyFont="1" applyFill="1" applyBorder="1"/>
    <xf numFmtId="0" fontId="6" fillId="41" borderId="11" xfId="0" applyFont="1" applyFill="1" applyBorder="1"/>
    <xf numFmtId="189" fontId="4" fillId="41" borderId="11" xfId="0" applyNumberFormat="1" applyFont="1" applyFill="1" applyBorder="1"/>
    <xf numFmtId="188" fontId="4" fillId="41" borderId="11" xfId="0" applyNumberFormat="1" applyFont="1" applyFill="1" applyBorder="1"/>
    <xf numFmtId="0" fontId="4" fillId="2" borderId="4" xfId="0" applyFont="1" applyFill="1" applyBorder="1"/>
    <xf numFmtId="189" fontId="4" fillId="26" borderId="11" xfId="0" applyNumberFormat="1" applyFont="1" applyFill="1" applyBorder="1"/>
    <xf numFmtId="0" fontId="76" fillId="0" borderId="0" xfId="0" applyFont="1"/>
    <xf numFmtId="187" fontId="29" fillId="23" borderId="9" xfId="0" applyNumberFormat="1" applyFont="1" applyFill="1" applyBorder="1"/>
    <xf numFmtId="187" fontId="29" fillId="23" borderId="10" xfId="0" applyNumberFormat="1" applyFont="1" applyFill="1" applyBorder="1"/>
    <xf numFmtId="0" fontId="30" fillId="23" borderId="10" xfId="0" applyFont="1" applyFill="1" applyBorder="1"/>
    <xf numFmtId="0" fontId="29" fillId="23" borderId="10" xfId="0" applyFont="1" applyFill="1" applyBorder="1"/>
    <xf numFmtId="0" fontId="29" fillId="23" borderId="11" xfId="0" applyFont="1" applyFill="1" applyBorder="1"/>
    <xf numFmtId="189" fontId="31" fillId="23" borderId="11" xfId="0" applyNumberFormat="1" applyFont="1" applyFill="1" applyBorder="1"/>
    <xf numFmtId="188" fontId="31" fillId="23" borderId="11" xfId="0" applyNumberFormat="1" applyFont="1" applyFill="1" applyBorder="1"/>
    <xf numFmtId="188" fontId="32" fillId="23" borderId="11" xfId="0" applyNumberFormat="1" applyFont="1" applyFill="1" applyBorder="1"/>
    <xf numFmtId="190" fontId="29" fillId="2" borderId="12" xfId="0" applyNumberFormat="1" applyFont="1" applyFill="1" applyBorder="1"/>
    <xf numFmtId="0" fontId="29" fillId="2" borderId="13" xfId="0" applyFont="1" applyFill="1" applyBorder="1"/>
    <xf numFmtId="0" fontId="30" fillId="2" borderId="13" xfId="0" applyFont="1" applyFill="1" applyBorder="1"/>
    <xf numFmtId="0" fontId="34" fillId="2" borderId="13" xfId="0" applyFont="1" applyFill="1" applyBorder="1"/>
    <xf numFmtId="0" fontId="29" fillId="2" borderId="14" xfId="0" applyFont="1" applyFill="1" applyBorder="1"/>
    <xf numFmtId="189" fontId="32" fillId="0" borderId="14" xfId="0" applyNumberFormat="1" applyFont="1" applyBorder="1"/>
    <xf numFmtId="188" fontId="32" fillId="0" borderId="14" xfId="0" applyNumberFormat="1" applyFont="1" applyBorder="1"/>
    <xf numFmtId="188" fontId="31" fillId="2" borderId="14" xfId="0" applyNumberFormat="1" applyFont="1" applyFill="1" applyBorder="1"/>
    <xf numFmtId="187" fontId="29" fillId="0" borderId="9" xfId="0" applyNumberFormat="1" applyFont="1" applyBorder="1"/>
    <xf numFmtId="187" fontId="29" fillId="0" borderId="10" xfId="0" applyNumberFormat="1" applyFont="1" applyBorder="1"/>
    <xf numFmtId="0" fontId="34" fillId="21" borderId="10" xfId="0" quotePrefix="1" applyFont="1" applyFill="1" applyBorder="1"/>
    <xf numFmtId="0" fontId="29" fillId="21" borderId="10" xfId="0" applyFont="1" applyFill="1" applyBorder="1"/>
    <xf numFmtId="0" fontId="29" fillId="21" borderId="11" xfId="0" applyFont="1" applyFill="1" applyBorder="1"/>
    <xf numFmtId="0" fontId="32" fillId="0" borderId="11" xfId="0" applyFont="1" applyBorder="1"/>
    <xf numFmtId="0" fontId="35" fillId="0" borderId="10" xfId="0" applyFont="1" applyBorder="1"/>
    <xf numFmtId="0" fontId="29" fillId="0" borderId="10" xfId="0" applyFont="1" applyBorder="1"/>
    <xf numFmtId="0" fontId="29" fillId="0" borderId="11" xfId="0" applyFont="1" applyBorder="1"/>
    <xf numFmtId="189" fontId="32" fillId="10" borderId="11" xfId="0" applyNumberFormat="1" applyFont="1" applyFill="1" applyBorder="1"/>
    <xf numFmtId="187" fontId="35" fillId="0" borderId="10" xfId="0" quotePrefix="1" applyNumberFormat="1" applyFont="1" applyBorder="1"/>
    <xf numFmtId="0" fontId="35" fillId="0" borderId="10" xfId="0" quotePrefix="1" applyFont="1" applyBorder="1"/>
    <xf numFmtId="0" fontId="34" fillId="2" borderId="13" xfId="0" quotePrefix="1" applyFont="1" applyFill="1" applyBorder="1"/>
    <xf numFmtId="189" fontId="6" fillId="10" borderId="11" xfId="0" applyNumberFormat="1" applyFont="1" applyFill="1" applyBorder="1"/>
    <xf numFmtId="188" fontId="1" fillId="41" borderId="27" xfId="0" applyNumberFormat="1" applyFont="1" applyFill="1" applyBorder="1" applyAlignment="1">
      <alignment horizontal="right"/>
    </xf>
    <xf numFmtId="188" fontId="1" fillId="41" borderId="19" xfId="0" applyNumberFormat="1" applyFont="1" applyFill="1" applyBorder="1" applyAlignment="1">
      <alignment horizontal="right"/>
    </xf>
    <xf numFmtId="191" fontId="4" fillId="10" borderId="11" xfId="0" applyNumberFormat="1" applyFont="1" applyFill="1" applyBorder="1"/>
    <xf numFmtId="189" fontId="14" fillId="2" borderId="15" xfId="0" applyNumberFormat="1" applyFont="1" applyFill="1" applyBorder="1" applyAlignment="1">
      <alignment horizontal="right"/>
    </xf>
    <xf numFmtId="189" fontId="14" fillId="2" borderId="14" xfId="0" applyNumberFormat="1" applyFont="1" applyFill="1" applyBorder="1" applyAlignment="1">
      <alignment horizontal="right"/>
    </xf>
    <xf numFmtId="188" fontId="14" fillId="2" borderId="14" xfId="0" applyNumberFormat="1" applyFont="1" applyFill="1" applyBorder="1" applyAlignment="1">
      <alignment horizontal="right"/>
    </xf>
    <xf numFmtId="189" fontId="2" fillId="2" borderId="16" xfId="0" applyNumberFormat="1" applyFont="1" applyFill="1" applyBorder="1"/>
    <xf numFmtId="189" fontId="2" fillId="2" borderId="11" xfId="0" applyNumberFormat="1" applyFont="1" applyFill="1" applyBorder="1"/>
    <xf numFmtId="188" fontId="2" fillId="2" borderId="11" xfId="0" applyNumberFormat="1" applyFont="1" applyFill="1" applyBorder="1"/>
    <xf numFmtId="189" fontId="14" fillId="2" borderId="16" xfId="0" applyNumberFormat="1" applyFont="1" applyFill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-&#3609;&#3619;&#3634;&#3608;&#3636;&#3623;&#3634;&#362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การใช้ งปม."/>
      <sheetName val="นราธิวาส"/>
      <sheetName val="ผลการเบิกจ่ายเงินงบประมาณ"/>
      <sheetName val="ผลการเบิกจ่ายเงินกองทุน"/>
      <sheetName val="Sheet15"/>
      <sheetName val="Sheet12"/>
      <sheetName val="(ผตร.)แบบรายงานผลงาน"/>
      <sheetName val="นำเข้า studio"/>
      <sheetName val="(ผตร.)ปัญหาอุปสรรค"/>
      <sheetName val="รายงานงบประมาณ"/>
      <sheetName val="ผลการเบิกจ่าย(กลุ่มยุทธ)"/>
    </sheetNames>
    <sheetDataSet>
      <sheetData sheetId="0" refreshError="1"/>
      <sheetData sheetId="1" refreshError="1"/>
      <sheetData sheetId="2">
        <row r="28">
          <cell r="G28">
            <v>4400</v>
          </cell>
        </row>
        <row r="30">
          <cell r="G30">
            <v>0</v>
          </cell>
        </row>
      </sheetData>
      <sheetData sheetId="3">
        <row r="6">
          <cell r="F6">
            <v>1000</v>
          </cell>
        </row>
        <row r="11">
          <cell r="F11">
            <v>11000</v>
          </cell>
        </row>
        <row r="20">
          <cell r="F20">
            <v>10746</v>
          </cell>
        </row>
        <row r="21">
          <cell r="F21">
            <v>51134</v>
          </cell>
        </row>
        <row r="22">
          <cell r="F22">
            <v>1000</v>
          </cell>
        </row>
        <row r="24">
          <cell r="F24">
            <v>5420</v>
          </cell>
        </row>
        <row r="25">
          <cell r="F25">
            <v>12000</v>
          </cell>
        </row>
        <row r="26">
          <cell r="F26">
            <v>15000</v>
          </cell>
        </row>
        <row r="27">
          <cell r="F27">
            <v>4109</v>
          </cell>
        </row>
        <row r="28">
          <cell r="F28">
            <v>2750</v>
          </cell>
        </row>
        <row r="29">
          <cell r="F29">
            <v>15250</v>
          </cell>
        </row>
        <row r="30">
          <cell r="F30">
            <v>2120</v>
          </cell>
        </row>
        <row r="31">
          <cell r="F31">
            <v>28566</v>
          </cell>
        </row>
        <row r="36">
          <cell r="F36">
            <v>67230</v>
          </cell>
        </row>
        <row r="47">
          <cell r="F47">
            <v>25680</v>
          </cell>
        </row>
        <row r="54">
          <cell r="F54">
            <v>5780</v>
          </cell>
        </row>
        <row r="55">
          <cell r="F55">
            <v>2400</v>
          </cell>
        </row>
        <row r="56">
          <cell r="F56">
            <v>13053</v>
          </cell>
        </row>
        <row r="57">
          <cell r="F57">
            <v>300</v>
          </cell>
        </row>
        <row r="58">
          <cell r="F58">
            <v>4450</v>
          </cell>
        </row>
        <row r="60">
          <cell r="F60">
            <v>750</v>
          </cell>
        </row>
        <row r="61">
          <cell r="F61">
            <v>16740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7.85546875" bestFit="1" customWidth="1"/>
    <col min="10" max="10" width="16.140625" bestFit="1" customWidth="1"/>
    <col min="11" max="11" width="12" bestFit="1" customWidth="1"/>
    <col min="12" max="13" width="23.5703125" bestFit="1" customWidth="1"/>
    <col min="14" max="14" width="22" bestFit="1" customWidth="1"/>
    <col min="15" max="15" width="20.28515625" bestFit="1" customWidth="1"/>
    <col min="16" max="16" width="22.140625" bestFit="1" customWidth="1"/>
  </cols>
  <sheetData>
    <row r="1" spans="1:26" ht="20.25" customHeight="1">
      <c r="A1" s="828" t="s">
        <v>0</v>
      </c>
      <c r="B1" s="829"/>
      <c r="C1" s="829"/>
      <c r="D1" s="829"/>
      <c r="E1" s="829"/>
      <c r="F1" s="829"/>
      <c r="G1" s="829"/>
      <c r="H1" s="829"/>
      <c r="I1" s="829"/>
      <c r="J1" s="829"/>
      <c r="K1" s="829"/>
      <c r="L1" s="829"/>
      <c r="M1" s="829"/>
      <c r="N1" s="829"/>
      <c r="O1" s="829"/>
      <c r="P1" s="829"/>
    </row>
    <row r="2" spans="1:26" ht="20.25" customHeight="1">
      <c r="A2" s="828" t="s">
        <v>1</v>
      </c>
      <c r="B2" s="829"/>
      <c r="C2" s="829"/>
      <c r="D2" s="829"/>
      <c r="E2" s="829"/>
      <c r="F2" s="829"/>
      <c r="G2" s="829"/>
      <c r="H2" s="829"/>
      <c r="I2" s="829"/>
      <c r="J2" s="829"/>
      <c r="K2" s="829"/>
      <c r="L2" s="829"/>
      <c r="M2" s="829"/>
      <c r="N2" s="829"/>
      <c r="O2" s="829"/>
      <c r="P2" s="829"/>
    </row>
    <row r="3" spans="1:26" ht="20.25" customHeight="1">
      <c r="A3" s="828" t="s">
        <v>330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836" t="s">
        <v>2</v>
      </c>
      <c r="B5" s="829"/>
      <c r="C5" s="829"/>
      <c r="D5" s="829"/>
      <c r="E5" s="829"/>
      <c r="F5" s="829"/>
      <c r="G5" s="837"/>
      <c r="H5" s="830" t="s">
        <v>3</v>
      </c>
      <c r="I5" s="832" t="s">
        <v>4</v>
      </c>
      <c r="J5" s="833"/>
      <c r="K5" s="831"/>
      <c r="L5" s="834" t="s">
        <v>5</v>
      </c>
      <c r="M5" s="831"/>
      <c r="N5" s="835" t="s">
        <v>6</v>
      </c>
      <c r="O5" s="833"/>
      <c r="P5" s="831"/>
    </row>
    <row r="6" spans="1:26" ht="20.25" customHeight="1">
      <c r="A6" s="838"/>
      <c r="B6" s="833"/>
      <c r="C6" s="833"/>
      <c r="D6" s="833"/>
      <c r="E6" s="833"/>
      <c r="F6" s="833"/>
      <c r="G6" s="831"/>
      <c r="H6" s="83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839" t="s">
        <v>15</v>
      </c>
      <c r="B7" s="833"/>
      <c r="C7" s="833"/>
      <c r="D7" s="833"/>
      <c r="E7" s="833"/>
      <c r="F7" s="833"/>
      <c r="G7" s="831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124312773</v>
      </c>
      <c r="M8" s="22">
        <f t="shared" ca="1" si="0"/>
        <v>118044079.81</v>
      </c>
      <c r="N8" s="22">
        <f t="shared" ca="1" si="0"/>
        <v>47278158.299999982</v>
      </c>
      <c r="O8" s="22">
        <f t="shared" ref="O8:O16" ca="1" si="1">IF(L8&gt;0,N8*100/L8,0)</f>
        <v>38.031617475060251</v>
      </c>
      <c r="P8" s="22">
        <f t="shared" ref="P8:P16" ca="1" si="2">IF(M8&gt;0,N8*100/M8,0)</f>
        <v>40.051274385041083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0.25" hidden="1" customHeight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20.25" hidden="1" customHeight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124312773</v>
      </c>
      <c r="M10" s="30">
        <f t="shared" ca="1" si="4"/>
        <v>118044079.81</v>
      </c>
      <c r="N10" s="30">
        <f t="shared" ca="1" si="4"/>
        <v>47278158.299999982</v>
      </c>
      <c r="O10" s="30">
        <f t="shared" ca="1" si="1"/>
        <v>38.031617475060251</v>
      </c>
      <c r="P10" s="30">
        <f t="shared" ca="1" si="2"/>
        <v>40.051274385041083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0.25" customHeight="1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53162873</v>
      </c>
      <c r="M11" s="38">
        <f t="shared" ca="1" si="5"/>
        <v>46932969.810000002</v>
      </c>
      <c r="N11" s="38">
        <f t="shared" ca="1" si="5"/>
        <v>26528467.979999978</v>
      </c>
      <c r="O11" s="38">
        <f t="shared" ca="1" si="1"/>
        <v>49.900365580317633</v>
      </c>
      <c r="P11" s="38">
        <f t="shared" ca="1" si="2"/>
        <v>56.524162198548019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0.25" hidden="1" customHeight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0.25" hidden="1" customHeight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53162873</v>
      </c>
      <c r="M13" s="45">
        <f t="shared" ca="1" si="7"/>
        <v>46932969.810000002</v>
      </c>
      <c r="N13" s="45">
        <f t="shared" ca="1" si="7"/>
        <v>26528467.979999978</v>
      </c>
      <c r="O13" s="45">
        <f t="shared" ca="1" si="1"/>
        <v>49.900365580317633</v>
      </c>
      <c r="P13" s="45">
        <f t="shared" ca="1" si="2"/>
        <v>56.524162198548019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0.25" customHeight="1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71149900</v>
      </c>
      <c r="M14" s="38">
        <f t="shared" ca="1" si="8"/>
        <v>71111110</v>
      </c>
      <c r="N14" s="38">
        <f t="shared" ca="1" si="8"/>
        <v>20749690.32</v>
      </c>
      <c r="O14" s="38">
        <f t="shared" ca="1" si="1"/>
        <v>29.163344319528207</v>
      </c>
      <c r="P14" s="38">
        <f t="shared" ca="1" si="2"/>
        <v>29.179252468425819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0.25" hidden="1" customHeight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0.25" hidden="1" customHeight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71149900</v>
      </c>
      <c r="M16" s="52">
        <f t="shared" ca="1" si="10"/>
        <v>71111110</v>
      </c>
      <c r="N16" s="52">
        <f t="shared" ca="1" si="10"/>
        <v>20749690.32</v>
      </c>
      <c r="O16" s="52">
        <f t="shared" ca="1" si="1"/>
        <v>29.163344319528207</v>
      </c>
      <c r="P16" s="52">
        <f t="shared" ca="1" si="2"/>
        <v>29.179252468425819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0.25" customHeight="1">
      <c r="A17" s="839" t="s">
        <v>22</v>
      </c>
      <c r="B17" s="833"/>
      <c r="C17" s="833"/>
      <c r="D17" s="833"/>
      <c r="E17" s="833"/>
      <c r="F17" s="833"/>
      <c r="G17" s="83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108223463</v>
      </c>
      <c r="M18" s="22">
        <f t="shared" ca="1" si="11"/>
        <v>101960379.81</v>
      </c>
      <c r="N18" s="22">
        <f t="shared" ca="1" si="11"/>
        <v>40366650.609999977</v>
      </c>
      <c r="O18" s="22">
        <f t="shared" ref="O18:O26" ca="1" si="12">IF(L18&gt;0,N18*100/L18,0)</f>
        <v>37.299352183915957</v>
      </c>
      <c r="P18" s="22">
        <f t="shared" ref="P18:P26" ca="1" si="13">IF(M18&gt;0,N18*100/M18,0)</f>
        <v>39.590525932937851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0.25" hidden="1" customHeight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0.25" hidden="1" customHeight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108223463</v>
      </c>
      <c r="M20" s="30">
        <f t="shared" ca="1" si="15"/>
        <v>101960379.81</v>
      </c>
      <c r="N20" s="30">
        <f t="shared" ca="1" si="15"/>
        <v>40366650.609999977</v>
      </c>
      <c r="O20" s="30">
        <f t="shared" ca="1" si="12"/>
        <v>37.299352183915957</v>
      </c>
      <c r="P20" s="30">
        <f t="shared" ca="1" si="13"/>
        <v>39.590525932937851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0.25" customHeight="1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37073563</v>
      </c>
      <c r="M21" s="38">
        <f t="shared" ca="1" si="16"/>
        <v>30849269.809999999</v>
      </c>
      <c r="N21" s="38">
        <f t="shared" ca="1" si="16"/>
        <v>19616960.289999977</v>
      </c>
      <c r="O21" s="38">
        <f t="shared" ca="1" si="12"/>
        <v>52.913609328566494</v>
      </c>
      <c r="P21" s="38">
        <f t="shared" ca="1" si="13"/>
        <v>63.589707020037814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0.25" hidden="1" customHeight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0.25" hidden="1" customHeight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ca="1">L46+L58+L71+L93+L124+L137+L154+L186+L170+L266+L282+L303+L320+L333+L350+L394+L407</f>
        <v>37073563</v>
      </c>
      <c r="M23" s="45">
        <f ca="1">M46+M58+M71+M93+M124+M137+M154+M186+M170+M266+M282+M303+M460+M333+M350+M394+M407+M320</f>
        <v>30849269.809999999</v>
      </c>
      <c r="N23" s="45">
        <f ca="1">N46+N58+N71+N93+N124+N137+N154+N186+N170+N266+N282+N303+N320+N333+N350+N394+N407</f>
        <v>19616960.289999977</v>
      </c>
      <c r="O23" s="45">
        <f t="shared" ca="1" si="12"/>
        <v>52.913609328566494</v>
      </c>
      <c r="P23" s="45">
        <f t="shared" ca="1" si="13"/>
        <v>63.589707020037814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0.25" customHeight="1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8">L25+L26</f>
        <v>71149900</v>
      </c>
      <c r="M24" s="38">
        <f t="shared" ca="1" si="18"/>
        <v>71111110</v>
      </c>
      <c r="N24" s="38">
        <f t="shared" ca="1" si="18"/>
        <v>20749690.32</v>
      </c>
      <c r="O24" s="38">
        <f t="shared" ca="1" si="12"/>
        <v>29.163344319528207</v>
      </c>
      <c r="P24" s="38">
        <f t="shared" ca="1" si="13"/>
        <v>29.179252468425819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20.25" hidden="1" customHeight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19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0.25" hidden="1" customHeight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9"/>
        <v>71149900</v>
      </c>
      <c r="M26" s="52">
        <f t="shared" ref="M26:N26" ca="1" si="20">M49+M61+M74+M96+M127+M140+M157+M189+M173+M269+M285+M306+M323+M336+M353+M397+M410</f>
        <v>71111110</v>
      </c>
      <c r="N26" s="52">
        <f t="shared" ca="1" si="20"/>
        <v>20749690.32</v>
      </c>
      <c r="O26" s="52">
        <f t="shared" ca="1" si="12"/>
        <v>29.163344319528207</v>
      </c>
      <c r="P26" s="52">
        <f t="shared" ca="1" si="13"/>
        <v>29.179252468425819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20.25" customHeight="1">
      <c r="A27" s="839" t="s">
        <v>23</v>
      </c>
      <c r="B27" s="833"/>
      <c r="C27" s="833"/>
      <c r="D27" s="833"/>
      <c r="E27" s="833"/>
      <c r="F27" s="833"/>
      <c r="G27" s="83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1">L29+L30</f>
        <v>16089310</v>
      </c>
      <c r="M28" s="22">
        <f t="shared" ca="1" si="21"/>
        <v>16083700</v>
      </c>
      <c r="N28" s="22">
        <f t="shared" ca="1" si="21"/>
        <v>6911507.6900000004</v>
      </c>
      <c r="O28" s="22">
        <f t="shared" ref="O28:O37" ca="1" si="22">IF(L28&gt;0,N28*100/L28,0)</f>
        <v>42.957141667355529</v>
      </c>
      <c r="P28" s="22">
        <f t="shared" ref="P28:P31" ca="1" si="23">IF(M28&gt;0,N28*100/M28,0)</f>
        <v>42.972125132898526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0.25" hidden="1" customHeight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4">L32+L35</f>
        <v>0</v>
      </c>
      <c r="M29" s="30">
        <f t="shared" si="24"/>
        <v>0</v>
      </c>
      <c r="N29" s="30">
        <f t="shared" si="24"/>
        <v>0</v>
      </c>
      <c r="O29" s="30">
        <f t="shared" si="22"/>
        <v>0</v>
      </c>
      <c r="P29" s="30">
        <f t="shared" si="23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.25" hidden="1" customHeight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5">L33+L36</f>
        <v>16089310</v>
      </c>
      <c r="M30" s="30">
        <f t="shared" ca="1" si="25"/>
        <v>16083700</v>
      </c>
      <c r="N30" s="30">
        <f t="shared" ca="1" si="25"/>
        <v>6911507.6900000004</v>
      </c>
      <c r="O30" s="30">
        <f t="shared" ca="1" si="22"/>
        <v>42.957141667355529</v>
      </c>
      <c r="P30" s="30">
        <f t="shared" ca="1" si="23"/>
        <v>42.972125132898526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.25" customHeight="1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6">L32+L33</f>
        <v>16089310</v>
      </c>
      <c r="M31" s="38">
        <f t="shared" ca="1" si="26"/>
        <v>16083700</v>
      </c>
      <c r="N31" s="38">
        <f t="shared" ca="1" si="26"/>
        <v>6911507.6900000004</v>
      </c>
      <c r="O31" s="38">
        <f t="shared" ca="1" si="22"/>
        <v>42.957141667355529</v>
      </c>
      <c r="P31" s="38">
        <f t="shared" ca="1" si="23"/>
        <v>42.972125132898526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0.25" hidden="1" customHeight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7">L423+L448+L471+L506+L527+L548+L633+L659+L689+L741+L758+L774+L790+L809</f>
        <v>0</v>
      </c>
      <c r="M32" s="45">
        <f t="shared" si="27"/>
        <v>0</v>
      </c>
      <c r="N32" s="45">
        <f t="shared" si="27"/>
        <v>0</v>
      </c>
      <c r="O32" s="45">
        <f t="shared" si="22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0.25" hidden="1" customHeight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8">L424+L449+L472+L507+L528+L549+L634+L660+L690+L742+L759+L775+L791+L810</f>
        <v>16089310</v>
      </c>
      <c r="M33" s="45">
        <f t="shared" ca="1" si="28"/>
        <v>16083700</v>
      </c>
      <c r="N33" s="45">
        <f t="shared" ca="1" si="28"/>
        <v>6911507.6900000004</v>
      </c>
      <c r="O33" s="45">
        <f t="shared" ca="1" si="22"/>
        <v>42.957141667355529</v>
      </c>
      <c r="P33" s="45">
        <f t="shared" ref="P33:P37" ca="1" si="29">IF(M33&gt;0,N33*100/M33,0)</f>
        <v>42.972125132898526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20.25" customHeight="1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0">L35+L36</f>
        <v>0</v>
      </c>
      <c r="M34" s="38">
        <f t="shared" si="30"/>
        <v>0</v>
      </c>
      <c r="N34" s="38">
        <f t="shared" si="30"/>
        <v>0</v>
      </c>
      <c r="O34" s="38">
        <f t="shared" ca="1" si="22"/>
        <v>0</v>
      </c>
      <c r="P34" s="38">
        <f t="shared" si="2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20.25" hidden="1" customHeight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1">L430+L455+L478+L513+L534+L556+L640+L666+L696+L748+L765+L781+L797+L816</f>
        <v>0</v>
      </c>
      <c r="M35" s="45">
        <f t="shared" si="31"/>
        <v>0</v>
      </c>
      <c r="N35" s="45">
        <f t="shared" si="31"/>
        <v>0</v>
      </c>
      <c r="O35" s="45">
        <f t="shared" si="22"/>
        <v>0</v>
      </c>
      <c r="P35" s="45">
        <f t="shared" si="2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0.25" hidden="1" customHeight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2">L431+L456+L479+L514+L535+L557+L641+L667+L697+L749+L766+L782+L798+L817</f>
        <v>0</v>
      </c>
      <c r="M36" s="52">
        <f t="shared" si="32"/>
        <v>0</v>
      </c>
      <c r="N36" s="52">
        <f t="shared" si="32"/>
        <v>0</v>
      </c>
      <c r="O36" s="52">
        <f t="shared" ca="1" si="22"/>
        <v>0</v>
      </c>
      <c r="P36" s="52">
        <f t="shared" si="2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0.25" customHeight="1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108223463</v>
      </c>
      <c r="M37" s="59">
        <f ca="1">M41+M53+M66+M88+M119+M132+M149+M165+M181+M261+M277+M298+M315+M468+M345+M389+M402</f>
        <v>100202629.81</v>
      </c>
      <c r="N37" s="59">
        <f ca="1">N41+N53+N66+N88+N119+N132+N149+N165+N181+N261+N277+N298+N315+N328+N345+N389+N402</f>
        <v>40366650.609999977</v>
      </c>
      <c r="O37" s="59">
        <f t="shared" ca="1" si="22"/>
        <v>37.299352183915957</v>
      </c>
      <c r="P37" s="59">
        <f t="shared" ca="1" si="29"/>
        <v>40.285021148188939</v>
      </c>
    </row>
    <row r="38" spans="1:26" ht="20.25" customHeight="1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20.25" customHeight="1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20.25" customHeight="1">
      <c r="A40" s="73"/>
      <c r="B40" s="840" t="s">
        <v>27</v>
      </c>
      <c r="C40" s="841"/>
      <c r="D40" s="841"/>
      <c r="E40" s="841"/>
      <c r="F40" s="841"/>
      <c r="G40" s="842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20.25" customHeight="1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3">L42+L43</f>
        <v>5663953</v>
      </c>
      <c r="M41" s="85">
        <f t="shared" ca="1" si="33"/>
        <v>5908759.8099999996</v>
      </c>
      <c r="N41" s="85">
        <f t="shared" ca="1" si="33"/>
        <v>3020015.7699999898</v>
      </c>
      <c r="O41" s="85">
        <f t="shared" ref="O41:O45" ca="1" si="34">IF(L41&gt;0,N41*100/L41,0)</f>
        <v>53.319929914672485</v>
      </c>
      <c r="P41" s="85">
        <f t="shared" ref="P41:P49" ca="1" si="35">IF(M41&gt;0,N41*100/M41,0)</f>
        <v>51.110823034114667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0.25" hidden="1" customHeight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6">L45+L48</f>
        <v>0</v>
      </c>
      <c r="M42" s="92">
        <f t="shared" si="36"/>
        <v>0</v>
      </c>
      <c r="N42" s="92">
        <f t="shared" si="36"/>
        <v>0</v>
      </c>
      <c r="O42" s="92">
        <f t="shared" si="34"/>
        <v>0</v>
      </c>
      <c r="P42" s="92">
        <f t="shared" si="35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20.25" hidden="1" customHeight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7">L46+L49</f>
        <v>5663953</v>
      </c>
      <c r="M43" s="92">
        <f t="shared" ca="1" si="37"/>
        <v>5908759.8099999996</v>
      </c>
      <c r="N43" s="92">
        <f t="shared" ca="1" si="37"/>
        <v>3020015.7699999898</v>
      </c>
      <c r="O43" s="92">
        <f t="shared" ca="1" si="34"/>
        <v>53.319929914672485</v>
      </c>
      <c r="P43" s="92">
        <f t="shared" ca="1" si="35"/>
        <v>51.110823034114667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20.25" customHeight="1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8">L45+L46</f>
        <v>5663953</v>
      </c>
      <c r="M44" s="38">
        <f t="shared" ca="1" si="38"/>
        <v>5908759.8099999996</v>
      </c>
      <c r="N44" s="38">
        <f t="shared" ca="1" si="38"/>
        <v>3020015.7699999898</v>
      </c>
      <c r="O44" s="38">
        <f t="shared" ca="1" si="34"/>
        <v>53.319929914672485</v>
      </c>
      <c r="P44" s="38">
        <f t="shared" ca="1" si="35"/>
        <v>51.110823034114667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20.25" hidden="1" customHeight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4"/>
        <v>0</v>
      </c>
      <c r="P45" s="45">
        <f t="shared" si="35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20.25" hidden="1" customHeight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IFERROR(__xludf.DUMMYFUNCTION("IMPORTRANGE(""https://docs.google.com/spreadsheets/d/1kC41EOXpGBFOW658Fs3oD8beYlym0-zO54WY-2Qnp9I/edit?usp=share_link"",""กระบี่!L46"")
+IMPORTRANGE(""https://docs.google.com/spreadsheets/d/1FbzMZY_f3MDiEuK7RpCQKrilJ_kpX0Wm7QBZ1L7EjIU/edit?usp=share_link"&amp;""",""ชุมพร!L46"")+IMPORTRANGE(""https://docs.google.com/spreadsheets/d/1v5sN-00LrXuhBxw4dkh2GrG_z4l5oAqOdJRBCsUyMaM/edit?usp=share_link"",""ตรัง!L46"")+IMPORTRANGE(""https://docs.google.com/spreadsheets/d/1T5rRTzFc79aSIvqnzkZNvwPstq829QYz_xALlO1Z0s8/edit?"&amp;"usp=share_link"",""นครศรีธรรมราช!L46"")+IMPORTRANGE(""https://docs.google.com/spreadsheets/d/1BeghqumK0IvCmRd2QOy6_afsZq7ZtAGrSnVJy2u7WmY/edit?usp=share_link"",""นราธิวาส!L46"")+IMPORTRANGE(""https://docs.google.com/spreadsheets/d/1IwnW3-jjRf74MCLW-6PiFwM"&amp;"UffRQXZwZA7YM609NmRc/edit?usp=share_link"",""ปัตตานี!L46"")+IMPORTRANGE(""https://docs.google.com/spreadsheets/d/1vl4QWbWdFruual5o_wdo6ZSqXZ_it806oja4CctTLKs/edit?usp=share_link"",""พังงา!L46"")+IMPORTRANGE(""https://docs.google.com/spreadsheets/d/1b6QssH"&amp;"Qp2FoAPSMKHOy273KNzAomaIKhtdlvuZ_zDNE/edit?usp=share_link"",""พัทลุง!L46"")+IMPORTRANGE(""https://docs.google.com/spreadsheets/d/1o7UZe4_OqlqtLDHrj01Z2YFRSZDf1DMy1n3XViHaxRc/edit?usp=share_link"",""ภูเก็ต!L46"")+IMPORTRANGE(""https://docs.google.com/sprea"&amp;"dsheets/d/1ctPm1vUzcUCPuOj9-eoHUD85PqINFqUB0TjdSWmR5-c/edit?usp=share_link"",""ยะลา!L46"")+IMPORTRANGE(""https://docs.google.com/spreadsheets/d/1YiDIE7Klmt8osgdapRqYWNr7iPGFSsiJqq46S7PYRE0/edit?usp=share_link"",""ระนอง!L46"")+IMPORTRANGE(""https://docs.go"&amp;"ogle.com/spreadsheets/d/16o_4B-V7AWw_6E93bSpXj_XxVv1oVQctk-B6z1dNEWU/edit?usp=share_link"",""สงขลา!L46"")+IMPORTRANGE(""https://docs.google.com/spreadsheets/d/16cywr71Fj4fA5OGRHsZh30ZG2gwJhMAQv69oVBzYHv0/edit?usp=share_link"",""สตูล!L46"")+IMPORTRANGE(""h"&amp;"ttps://docs.google.com/spreadsheets/d/1vO9Sws6kMtrVtyvrAJptINXjK8TFBoX9xLYOVK_C8bQ/edit?usp=share_link"",""สุราษฎร์ธานี!L46"")"),5663953)</f>
        <v>5663953</v>
      </c>
      <c r="M46" s="45">
        <f ca="1">IFERROR(__xludf.DUMMYFUNCTION("IMPORTRANGE(""https://docs.google.com/spreadsheets/d/1kC41EOXpGBFOW658Fs3oD8beYlym0-zO54WY-2Qnp9I/edit?usp=share_link"",""กระบี่!M46"")
+IMPORTRANGE(""https://docs.google.com/spreadsheets/d/1FbzMZY_f3MDiEuK7RpCQKrilJ_kpX0Wm7QBZ1L7EjIU/edit?usp=share_link"&amp;""",""ชุมพร!M46"")+IMPORTRANGE(""https://docs.google.com/spreadsheets/d/1v5sN-00LrXuhBxw4dkh2GrG_z4l5oAqOdJRBCsUyMaM/edit?usp=share_link"",""ตรัง!M46"")+IMPORTRANGE(""https://docs.google.com/spreadsheets/d/1T5rRTzFc79aSIvqnzkZNvwPstq829QYz_xALlO1Z0s8/edit?"&amp;"usp=share_link"",""นครศรีธรรมราช!M46"")+IMPORTRANGE(""https://docs.google.com/spreadsheets/d/1BeghqumK0IvCmRd2QOy6_afsZq7ZtAGrSnVJy2u7WmY/edit?usp=share_link"",""นราธิวาส!M46"")+IMPORTRANGE(""https://docs.google.com/spreadsheets/d/1IwnW3-jjRf74MCLW-6PiFwM"&amp;"UffRQXZwZA7YM609NmRc/edit?usp=share_link"",""ปัตตานี!M46"")+IMPORTRANGE(""https://docs.google.com/spreadsheets/d/1vl4QWbWdFruual5o_wdo6ZSqXZ_it806oja4CctTLKs/edit?usp=share_link"",""พังงา!M46"")+IMPORTRANGE(""https://docs.google.com/spreadsheets/d/1b6QssH"&amp;"Qp2FoAPSMKHOy273KNzAomaIKhtdlvuZ_zDNE/edit?usp=share_link"",""พัทลุง!M46"")+IMPORTRANGE(""https://docs.google.com/spreadsheets/d/1o7UZe4_OqlqtLDHrj01Z2YFRSZDf1DMy1n3XViHaxRc/edit?usp=share_link"",""ภูเก็ต!M46"")+IMPORTRANGE(""https://docs.google.com/sprea"&amp;"dsheets/d/1ctPm1vUzcUCPuOj9-eoHUD85PqINFqUB0TjdSWmR5-c/edit?usp=share_link"",""ยะลา!M46"")+IMPORTRANGE(""https://docs.google.com/spreadsheets/d/1YiDIE7Klmt8osgdapRqYWNr7iPGFSsiJqq46S7PYRE0/edit?usp=share_link"",""ระนอง!M46"")+IMPORTRANGE(""https://docs.go"&amp;"ogle.com/spreadsheets/d/16o_4B-V7AWw_6E93bSpXj_XxVv1oVQctk-B6z1dNEWU/edit?usp=share_link"",""สงขลา!M46"")+IMPORTRANGE(""https://docs.google.com/spreadsheets/d/16cywr71Fj4fA5OGRHsZh30ZG2gwJhMAQv69oVBzYHv0/edit?usp=share_link"",""สตูล!M46"")+IMPORTRANGE(""h"&amp;"ttps://docs.google.com/spreadsheets/d/1vO9Sws6kMtrVtyvrAJptINXjK8TFBoX9xLYOVK_C8bQ/edit?usp=share_link"",""สุราษฎร์ธานี!M46"")"),5908759.81)</f>
        <v>5908759.8099999996</v>
      </c>
      <c r="N46" s="45">
        <f ca="1">IFERROR(__xludf.DUMMYFUNCTION("IMPORTRANGE(""https://docs.google.com/spreadsheets/d/1kC41EOXpGBFOW658Fs3oD8beYlym0-zO54WY-2Qnp9I/edit?usp=share_link"",""กระบี่!N46"")
+IMPORTRANGE(""https://docs.google.com/spreadsheets/d/1FbzMZY_f3MDiEuK7RpCQKrilJ_kpX0Wm7QBZ1L7EjIU/edit?usp=share_link"&amp;""",""ชุมพร!N46"")+IMPORTRANGE(""https://docs.google.com/spreadsheets/d/1v5sN-00LrXuhBxw4dkh2GrG_z4l5oAqOdJRBCsUyMaM/edit?usp=share_link"",""ตรัง!N46"")+IMPORTRANGE(""https://docs.google.com/spreadsheets/d/1T5rRTzFc79aSIvqnzkZNvwPstq829QYz_xALlO1Z0s8/edit?"&amp;"usp=share_link"",""นครศรีธรรมราช!N46"")+IMPORTRANGE(""https://docs.google.com/spreadsheets/d/1BeghqumK0IvCmRd2QOy6_afsZq7ZtAGrSnVJy2u7WmY/edit?usp=share_link"",""นราธิวาส!N46"")+IMPORTRANGE(""https://docs.google.com/spreadsheets/d/1IwnW3-jjRf74MCLW-6PiFwM"&amp;"UffRQXZwZA7YM609NmRc/edit?usp=share_link"",""ปัตตานี!N46"")+IMPORTRANGE(""https://docs.google.com/spreadsheets/d/1vl4QWbWdFruual5o_wdo6ZSqXZ_it806oja4CctTLKs/edit?usp=share_link"",""พังงา!N46"")+IMPORTRANGE(""https://docs.google.com/spreadsheets/d/1b6QssH"&amp;"Qp2FoAPSMKHOy273KNzAomaIKhtdlvuZ_zDNE/edit?usp=share_link"",""พัทลุง!N46"")+IMPORTRANGE(""https://docs.google.com/spreadsheets/d/1o7UZe4_OqlqtLDHrj01Z2YFRSZDf1DMy1n3XViHaxRc/edit?usp=share_link"",""ภูเก็ต!N46"")+IMPORTRANGE(""https://docs.google.com/sprea"&amp;"dsheets/d/1ctPm1vUzcUCPuOj9-eoHUD85PqINFqUB0TjdSWmR5-c/edit?usp=share_link"",""ยะลา!N46"")+IMPORTRANGE(""https://docs.google.com/spreadsheets/d/1YiDIE7Klmt8osgdapRqYWNr7iPGFSsiJqq46S7PYRE0/edit?usp=share_link"",""ระนอง!N46"")+IMPORTRANGE(""https://docs.go"&amp;"ogle.com/spreadsheets/d/16o_4B-V7AWw_6E93bSpXj_XxVv1oVQctk-B6z1dNEWU/edit?usp=share_link"",""สงขลา!N46"")+IMPORTRANGE(""https://docs.google.com/spreadsheets/d/16cywr71Fj4fA5OGRHsZh30ZG2gwJhMAQv69oVBzYHv0/edit?usp=share_link"",""สตูล!N46"")+IMPORTRANGE(""h"&amp;"ttps://docs.google.com/spreadsheets/d/1vO9Sws6kMtrVtyvrAJptINXjK8TFBoX9xLYOVK_C8bQ/edit?usp=share_link"",""สุราษฎร์ธานี!N46"")"),3020015.76999999)</f>
        <v>3020015.7699999898</v>
      </c>
      <c r="O46" s="45">
        <f ca="1">IF(M46&gt;0,N46*100/M46,0)</f>
        <v>51.110823034114667</v>
      </c>
      <c r="P46" s="45">
        <f t="shared" ca="1" si="35"/>
        <v>51.110823034114667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20.25" customHeight="1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9">L48+L49</f>
        <v>0</v>
      </c>
      <c r="M47" s="38">
        <f t="shared" ca="1" si="39"/>
        <v>0</v>
      </c>
      <c r="N47" s="38">
        <f t="shared" ca="1" si="39"/>
        <v>0</v>
      </c>
      <c r="O47" s="38">
        <f t="shared" ref="O47:O49" ca="1" si="40">IF(L47&gt;0,N47*100/L47,0)</f>
        <v>0</v>
      </c>
      <c r="P47" s="38">
        <f t="shared" ca="1" si="35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20.25" hidden="1" customHeight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0"/>
        <v>0</v>
      </c>
      <c r="P48" s="45">
        <f t="shared" si="35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0.25" hidden="1" customHeight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IFERROR(__xludf.DUMMYFUNCTION("IMPORTRANGE(""https://docs.google.com/spreadsheets/d/1kC41EOXpGBFOW658Fs3oD8beYlym0-zO54WY-2Qnp9I/edit?usp=share_link"",""กระบี่!L49"")
+IMPORTRANGE(""https://docs.google.com/spreadsheets/d/1FbzMZY_f3MDiEuK7RpCQKrilJ_kpX0Wm7QBZ1L7EjIU/edit?usp=share_link"&amp;""",""ชุมพร!L49"")+IMPORTRANGE(""https://docs.google.com/spreadsheets/d/1v5sN-00LrXuhBxw4dkh2GrG_z4l5oAqOdJRBCsUyMaM/edit?usp=share_link"",""ตรัง!L49"")+IMPORTRANGE(""https://docs.google.com/spreadsheets/d/1T5rRTzFc79aSIvqnzkZNvwPstq829QYz_xALlO1Z0s8/edit?"&amp;"usp=share_link"",""นครศรีธรรมราช!L49"")+IMPORTRANGE(""https://docs.google.com/spreadsheets/d/1BeghqumK0IvCmRd2QOy6_afsZq7ZtAGrSnVJy2u7WmY/edit?usp=share_link"",""นราธิวาส!L49"")+IMPORTRANGE(""https://docs.google.com/spreadsheets/d/1IwnW3-jjRf74MCLW-6PiFwM"&amp;"UffRQXZwZA7YM609NmRc/edit?usp=share_link"",""ปัตตานี!L49"")+IMPORTRANGE(""https://docs.google.com/spreadsheets/d/1vl4QWbWdFruual5o_wdo6ZSqXZ_it806oja4CctTLKs/edit?usp=share_link"",""พังงา!L49"")+IMPORTRANGE(""https://docs.google.com/spreadsheets/d/1b6QssH"&amp;"Qp2FoAPSMKHOy273KNzAomaIKhtdlvuZ_zDNE/edit?usp=share_link"",""พัทลุง!L49"")+IMPORTRANGE(""https://docs.google.com/spreadsheets/d/1o7UZe4_OqlqtLDHrj01Z2YFRSZDf1DMy1n3XViHaxRc/edit?usp=share_link"",""ภูเก็ต!L49"")+IMPORTRANGE(""https://docs.google.com/sprea"&amp;"dsheets/d/1ctPm1vUzcUCPuOj9-eoHUD85PqINFqUB0TjdSWmR5-c/edit?usp=share_link"",""ยะลา!L49"")+IMPORTRANGE(""https://docs.google.com/spreadsheets/d/1YiDIE7Klmt8osgdapRqYWNr7iPGFSsiJqq46S7PYRE0/edit?usp=share_link"",""ระนอง!L49"")+IMPORTRANGE(""https://docs.go"&amp;"ogle.com/spreadsheets/d/16o_4B-V7AWw_6E93bSpXj_XxVv1oVQctk-B6z1dNEWU/edit?usp=share_link"",""สงขลา!L49"")+IMPORTRANGE(""https://docs.google.com/spreadsheets/d/16cywr71Fj4fA5OGRHsZh30ZG2gwJhMAQv69oVBzYHv0/edit?usp=share_link"",""สตูล!L49"")+IMPORTRANGE(""h"&amp;"ttps://docs.google.com/spreadsheets/d/1vO9Sws6kMtrVtyvrAJptINXjK8TFBoX9xLYOVK_C8bQ/edit?usp=share_link"",""สุราษฎร์ธานี!L49"")"),0)</f>
        <v>0</v>
      </c>
      <c r="M49" s="52">
        <f ca="1">IFERROR(__xludf.DUMMYFUNCTION("IMPORTRANGE(""https://docs.google.com/spreadsheets/d/1kC41EOXpGBFOW658Fs3oD8beYlym0-zO54WY-2Qnp9I/edit?usp=share_link"",""กระบี่!M49"")
+IMPORTRANGE(""https://docs.google.com/spreadsheets/d/1FbzMZY_f3MDiEuK7RpCQKrilJ_kpX0Wm7QBZ1L7EjIU/edit?usp=share_link"&amp;""",""ชุมพร!M49"")+IMPORTRANGE(""https://docs.google.com/spreadsheets/d/1v5sN-00LrXuhBxw4dkh2GrG_z4l5oAqOdJRBCsUyMaM/edit?usp=share_link"",""ตรัง!M49"")+IMPORTRANGE(""https://docs.google.com/spreadsheets/d/1T5rRTzFc79aSIvqnzkZNvwPstq829QYz_xALlO1Z0s8/edit?"&amp;"usp=share_link"",""นครศรีธรรมราช!M49"")+IMPORTRANGE(""https://docs.google.com/spreadsheets/d/1BeghqumK0IvCmRd2QOy6_afsZq7ZtAGrSnVJy2u7WmY/edit?usp=share_link"",""นราธิวาส!M49"")+IMPORTRANGE(""https://docs.google.com/spreadsheets/d/1IwnW3-jjRf74MCLW-6PiFwM"&amp;"UffRQXZwZA7YM609NmRc/edit?usp=share_link"",""ปัตตานี!M49"")+IMPORTRANGE(""https://docs.google.com/spreadsheets/d/1vl4QWbWdFruual5o_wdo6ZSqXZ_it806oja4CctTLKs/edit?usp=share_link"",""พังงา!M49"")+IMPORTRANGE(""https://docs.google.com/spreadsheets/d/1b6QssH"&amp;"Qp2FoAPSMKHOy273KNzAomaIKhtdlvuZ_zDNE/edit?usp=share_link"",""พัทลุง!M49"")+IMPORTRANGE(""https://docs.google.com/spreadsheets/d/1o7UZe4_OqlqtLDHrj01Z2YFRSZDf1DMy1n3XViHaxRc/edit?usp=share_link"",""ภูเก็ต!M49"")+IMPORTRANGE(""https://docs.google.com/sprea"&amp;"dsheets/d/1ctPm1vUzcUCPuOj9-eoHUD85PqINFqUB0TjdSWmR5-c/edit?usp=share_link"",""ยะลา!M49"")+IMPORTRANGE(""https://docs.google.com/spreadsheets/d/1YiDIE7Klmt8osgdapRqYWNr7iPGFSsiJqq46S7PYRE0/edit?usp=share_link"",""ระนอง!M49"")+IMPORTRANGE(""https://docs.go"&amp;"ogle.com/spreadsheets/d/16o_4B-V7AWw_6E93bSpXj_XxVv1oVQctk-B6z1dNEWU/edit?usp=share_link"",""สงขลา!M49"")+IMPORTRANGE(""https://docs.google.com/spreadsheets/d/16cywr71Fj4fA5OGRHsZh30ZG2gwJhMAQv69oVBzYHv0/edit?usp=share_link"",""สตูล!M49"")+IMPORTRANGE(""h"&amp;"ttps://docs.google.com/spreadsheets/d/1vO9Sws6kMtrVtyvrAJptINXjK8TFBoX9xLYOVK_C8bQ/edit?usp=share_link"",""สุราษฎร์ธานี!M49"")"),0)</f>
        <v>0</v>
      </c>
      <c r="N49" s="52">
        <f ca="1">IFERROR(__xludf.DUMMYFUNCTION("IMPORTRANGE(""https://docs.google.com/spreadsheets/d/1kC41EOXpGBFOW658Fs3oD8beYlym0-zO54WY-2Qnp9I/edit?usp=share_link"",""กระบี่!N49"")
+IMPORTRANGE(""https://docs.google.com/spreadsheets/d/1FbzMZY_f3MDiEuK7RpCQKrilJ_kpX0Wm7QBZ1L7EjIU/edit?usp=share_link"&amp;""",""ชุมพร!N49"")+IMPORTRANGE(""https://docs.google.com/spreadsheets/d/1v5sN-00LrXuhBxw4dkh2GrG_z4l5oAqOdJRBCsUyMaM/edit?usp=share_link"",""ตรัง!N49"")+IMPORTRANGE(""https://docs.google.com/spreadsheets/d/1T5rRTzFc79aSIvqnzkZNvwPstq829QYz_xALlO1Z0s8/edit?"&amp;"usp=share_link"",""นครศรีธรรมราช!N49"")+IMPORTRANGE(""https://docs.google.com/spreadsheets/d/1BeghqumK0IvCmRd2QOy6_afsZq7ZtAGrSnVJy2u7WmY/edit?usp=share_link"",""นราธิวาส!N49"")+IMPORTRANGE(""https://docs.google.com/spreadsheets/d/1IwnW3-jjRf74MCLW-6PiFwM"&amp;"UffRQXZwZA7YM609NmRc/edit?usp=share_link"",""ปัตตานี!N49"")+IMPORTRANGE(""https://docs.google.com/spreadsheets/d/1vl4QWbWdFruual5o_wdo6ZSqXZ_it806oja4CctTLKs/edit?usp=share_link"",""พังงา!N49"")+IMPORTRANGE(""https://docs.google.com/spreadsheets/d/1b6QssH"&amp;"Qp2FoAPSMKHOy273KNzAomaIKhtdlvuZ_zDNE/edit?usp=share_link"",""พัทลุง!N49"")+IMPORTRANGE(""https://docs.google.com/spreadsheets/d/1o7UZe4_OqlqtLDHrj01Z2YFRSZDf1DMy1n3XViHaxRc/edit?usp=share_link"",""ภูเก็ต!N49"")+IMPORTRANGE(""https://docs.google.com/sprea"&amp;"dsheets/d/1ctPm1vUzcUCPuOj9-eoHUD85PqINFqUB0TjdSWmR5-c/edit?usp=share_link"",""ยะลา!N49"")+IMPORTRANGE(""https://docs.google.com/spreadsheets/d/1YiDIE7Klmt8osgdapRqYWNr7iPGFSsiJqq46S7PYRE0/edit?usp=share_link"",""ระนอง!N49"")+IMPORTRANGE(""https://docs.go"&amp;"ogle.com/spreadsheets/d/16o_4B-V7AWw_6E93bSpXj_XxVv1oVQctk-B6z1dNEWU/edit?usp=share_link"",""สงขลา!N49"")+IMPORTRANGE(""https://docs.google.com/spreadsheets/d/16cywr71Fj4fA5OGRHsZh30ZG2gwJhMAQv69oVBzYHv0/edit?usp=share_link"",""สตูล!N49"")+IMPORTRANGE(""h"&amp;"ttps://docs.google.com/spreadsheets/d/1vO9Sws6kMtrVtyvrAJptINXjK8TFBoX9xLYOVK_C8bQ/edit?usp=share_link"",""สุราษฎร์ธานี!N49"")"),0)</f>
        <v>0</v>
      </c>
      <c r="O49" s="52">
        <f t="shared" ca="1" si="40"/>
        <v>0</v>
      </c>
      <c r="P49" s="52">
        <f t="shared" ca="1" si="35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20.25" customHeight="1">
      <c r="A50" s="843" t="s">
        <v>28</v>
      </c>
      <c r="B50" s="833"/>
      <c r="C50" s="833"/>
      <c r="D50" s="833"/>
      <c r="E50" s="833"/>
      <c r="F50" s="833"/>
      <c r="G50" s="83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20.25" customHeight="1">
      <c r="A51" s="97"/>
      <c r="B51" s="844" t="s">
        <v>29</v>
      </c>
      <c r="C51" s="841"/>
      <c r="D51" s="841"/>
      <c r="E51" s="841"/>
      <c r="F51" s="841"/>
      <c r="G51" s="842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20.25" customHeight="1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20.25" customHeight="1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1">L54+L55</f>
        <v>14064900</v>
      </c>
      <c r="M53" s="116">
        <f t="shared" ca="1" si="41"/>
        <v>11874008</v>
      </c>
      <c r="N53" s="116">
        <f t="shared" ca="1" si="41"/>
        <v>5467581.8399999999</v>
      </c>
      <c r="O53" s="116">
        <f t="shared" ref="O53:O61" ca="1" si="42">IF(L53&gt;0,N53*100/L53,0)</f>
        <v>38.87394748629567</v>
      </c>
      <c r="P53" s="116">
        <f t="shared" ref="P53:P61" ca="1" si="43">IF(M53&gt;0,N53*100/M53,0)</f>
        <v>46.046641033086722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20.25" hidden="1" customHeight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4">L57+L60</f>
        <v>0</v>
      </c>
      <c r="M54" s="123">
        <f t="shared" si="44"/>
        <v>0</v>
      </c>
      <c r="N54" s="123">
        <f t="shared" si="44"/>
        <v>0</v>
      </c>
      <c r="O54" s="123">
        <f t="shared" si="42"/>
        <v>0</v>
      </c>
      <c r="P54" s="123">
        <f t="shared" si="4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.25" hidden="1" customHeight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5">L58+L61</f>
        <v>14064900</v>
      </c>
      <c r="M55" s="123">
        <f t="shared" ca="1" si="45"/>
        <v>11874008</v>
      </c>
      <c r="N55" s="123">
        <f t="shared" ca="1" si="45"/>
        <v>5467581.8399999999</v>
      </c>
      <c r="O55" s="123">
        <f t="shared" ca="1" si="42"/>
        <v>38.87394748629567</v>
      </c>
      <c r="P55" s="123">
        <f t="shared" ca="1" si="43"/>
        <v>46.046641033086722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0.25" customHeight="1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6">L57+L58</f>
        <v>8816200</v>
      </c>
      <c r="M56" s="38">
        <f t="shared" ca="1" si="46"/>
        <v>6630708</v>
      </c>
      <c r="N56" s="38">
        <f t="shared" ca="1" si="46"/>
        <v>4894281.84</v>
      </c>
      <c r="O56" s="38">
        <f t="shared" ca="1" si="42"/>
        <v>55.514641682357478</v>
      </c>
      <c r="P56" s="38">
        <f t="shared" ca="1" si="43"/>
        <v>73.812356689511887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20.25" hidden="1" customHeight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2"/>
        <v>0</v>
      </c>
      <c r="P57" s="45">
        <f t="shared" si="4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0.25" hidden="1" customHeight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IFERROR(__xludf.DUMMYFUNCTION("IMPORTRANGE(""https://docs.google.com/spreadsheets/d/1kC41EOXpGBFOW658Fs3oD8beYlym0-zO54WY-2Qnp9I/edit?usp=share_link"",""กระบี่!L58"")
+IMPORTRANGE(""https://docs.google.com/spreadsheets/d/1FbzMZY_f3MDiEuK7RpCQKrilJ_kpX0Wm7QBZ1L7EjIU/edit?usp=share_link"&amp;""",""ชุมพร!L58"")+IMPORTRANGE(""https://docs.google.com/spreadsheets/d/1v5sN-00LrXuhBxw4dkh2GrG_z4l5oAqOdJRBCsUyMaM/edit?usp=share_link"",""ตรัง!L58"")+IMPORTRANGE(""https://docs.google.com/spreadsheets/d/1T5rRTzFc79aSIvqnzkZNvwPstq829QYz_xALlO1Z0s8/edit?"&amp;"usp=share_link"",""นครศรีธรรมราช!L58"")+IMPORTRANGE(""https://docs.google.com/spreadsheets/d/1BeghqumK0IvCmRd2QOy6_afsZq7ZtAGrSnVJy2u7WmY/edit?usp=share_link"",""นราธิวาส!L58"")+IMPORTRANGE(""https://docs.google.com/spreadsheets/d/1IwnW3-jjRf74MCLW-6PiFwM"&amp;"UffRQXZwZA7YM609NmRc/edit?usp=share_link"",""ปัตตานี!L58"")+IMPORTRANGE(""https://docs.google.com/spreadsheets/d/1vl4QWbWdFruual5o_wdo6ZSqXZ_it806oja4CctTLKs/edit?usp=share_link"",""พังงา!L58"")+IMPORTRANGE(""https://docs.google.com/spreadsheets/d/1b6QssH"&amp;"Qp2FoAPSMKHOy273KNzAomaIKhtdlvuZ_zDNE/edit?usp=share_link"",""พัทลุง!L58"")+IMPORTRANGE(""https://docs.google.com/spreadsheets/d/1o7UZe4_OqlqtLDHrj01Z2YFRSZDf1DMy1n3XViHaxRc/edit?usp=share_link"",""ภูเก็ต!L58"")+IMPORTRANGE(""https://docs.google.com/sprea"&amp;"dsheets/d/1ctPm1vUzcUCPuOj9-eoHUD85PqINFqUB0TjdSWmR5-c/edit?usp=share_link"",""ยะลา!L58"")+IMPORTRANGE(""https://docs.google.com/spreadsheets/d/1YiDIE7Klmt8osgdapRqYWNr7iPGFSsiJqq46S7PYRE0/edit?usp=share_link"",""ระนอง!L58"")+IMPORTRANGE(""https://docs.go"&amp;"ogle.com/spreadsheets/d/16o_4B-V7AWw_6E93bSpXj_XxVv1oVQctk-B6z1dNEWU/edit?usp=share_link"",""สงขลา!L58"")+IMPORTRANGE(""https://docs.google.com/spreadsheets/d/16cywr71Fj4fA5OGRHsZh30ZG2gwJhMAQv69oVBzYHv0/edit?usp=share_link"",""สตูล!L58"")+IMPORTRANGE(""h"&amp;"ttps://docs.google.com/spreadsheets/d/1vO9Sws6kMtrVtyvrAJptINXjK8TFBoX9xLYOVK_C8bQ/edit?usp=share_link"",""สุราษฎร์ธานี!L58"")"),8816200)</f>
        <v>8816200</v>
      </c>
      <c r="M58" s="45">
        <f ca="1">IFERROR(__xludf.DUMMYFUNCTION("IMPORTRANGE(""https://docs.google.com/spreadsheets/d/1kC41EOXpGBFOW658Fs3oD8beYlym0-zO54WY-2Qnp9I/edit?usp=share_link"",""กระบี่!M58"")
+IMPORTRANGE(""https://docs.google.com/spreadsheets/d/1FbzMZY_f3MDiEuK7RpCQKrilJ_kpX0Wm7QBZ1L7EjIU/edit?usp=share_link"&amp;""",""ชุมพร!M58"")+IMPORTRANGE(""https://docs.google.com/spreadsheets/d/1v5sN-00LrXuhBxw4dkh2GrG_z4l5oAqOdJRBCsUyMaM/edit?usp=share_link"",""ตรัง!M58"")+IMPORTRANGE(""https://docs.google.com/spreadsheets/d/1T5rRTzFc79aSIvqnzkZNvwPstq829QYz_xALlO1Z0s8/edit?"&amp;"usp=share_link"",""นครศรีธรรมราช!M58"")+IMPORTRANGE(""https://docs.google.com/spreadsheets/d/1BeghqumK0IvCmRd2QOy6_afsZq7ZtAGrSnVJy2u7WmY/edit?usp=share_link"",""นราธิวาส!M58"")+IMPORTRANGE(""https://docs.google.com/spreadsheets/d/1IwnW3-jjRf74MCLW-6PiFwM"&amp;"UffRQXZwZA7YM609NmRc/edit?usp=share_link"",""ปัตตานี!M58"")+IMPORTRANGE(""https://docs.google.com/spreadsheets/d/1vl4QWbWdFruual5o_wdo6ZSqXZ_it806oja4CctTLKs/edit?usp=share_link"",""พังงา!M58"")+IMPORTRANGE(""https://docs.google.com/spreadsheets/d/1b6QssH"&amp;"Qp2FoAPSMKHOy273KNzAomaIKhtdlvuZ_zDNE/edit?usp=share_link"",""พัทลุง!M58"")+IMPORTRANGE(""https://docs.google.com/spreadsheets/d/1o7UZe4_OqlqtLDHrj01Z2YFRSZDf1DMy1n3XViHaxRc/edit?usp=share_link"",""ภูเก็ต!M58"")+IMPORTRANGE(""https://docs.google.com/sprea"&amp;"dsheets/d/1ctPm1vUzcUCPuOj9-eoHUD85PqINFqUB0TjdSWmR5-c/edit?usp=share_link"",""ยะลา!M58"")+IMPORTRANGE(""https://docs.google.com/spreadsheets/d/1YiDIE7Klmt8osgdapRqYWNr7iPGFSsiJqq46S7PYRE0/edit?usp=share_link"",""ระนอง!M58"")+IMPORTRANGE(""https://docs.go"&amp;"ogle.com/spreadsheets/d/16o_4B-V7AWw_6E93bSpXj_XxVv1oVQctk-B6z1dNEWU/edit?usp=share_link"",""สงขลา!M58"")+IMPORTRANGE(""https://docs.google.com/spreadsheets/d/16cywr71Fj4fA5OGRHsZh30ZG2gwJhMAQv69oVBzYHv0/edit?usp=share_link"",""สตูล!M58"")+IMPORTRANGE(""h"&amp;"ttps://docs.google.com/spreadsheets/d/1vO9Sws6kMtrVtyvrAJptINXjK8TFBoX9xLYOVK_C8bQ/edit?usp=share_link"",""สุราษฎร์ธานี!M58"")"),6630708)</f>
        <v>6630708</v>
      </c>
      <c r="N58" s="45">
        <f ca="1">IFERROR(__xludf.DUMMYFUNCTION("IMPORTRANGE(""https://docs.google.com/spreadsheets/d/1kC41EOXpGBFOW658Fs3oD8beYlym0-zO54WY-2Qnp9I/edit?usp=share_link"",""กระบี่!N58"")
+IMPORTRANGE(""https://docs.google.com/spreadsheets/d/1FbzMZY_f3MDiEuK7RpCQKrilJ_kpX0Wm7QBZ1L7EjIU/edit?usp=share_link"&amp;""",""ชุมพร!N58"")+IMPORTRANGE(""https://docs.google.com/spreadsheets/d/1v5sN-00LrXuhBxw4dkh2GrG_z4l5oAqOdJRBCsUyMaM/edit?usp=share_link"",""ตรัง!N58"")+IMPORTRANGE(""https://docs.google.com/spreadsheets/d/1T5rRTzFc79aSIvqnzkZNvwPstq829QYz_xALlO1Z0s8/edit?"&amp;"usp=share_link"",""นครศรีธรรมราช!N58"")+IMPORTRANGE(""https://docs.google.com/spreadsheets/d/1BeghqumK0IvCmRd2QOy6_afsZq7ZtAGrSnVJy2u7WmY/edit?usp=share_link"",""นราธิวาส!N58"")+IMPORTRANGE(""https://docs.google.com/spreadsheets/d/1IwnW3-jjRf74MCLW-6PiFwM"&amp;"UffRQXZwZA7YM609NmRc/edit?usp=share_link"",""ปัตตานี!N58"")+IMPORTRANGE(""https://docs.google.com/spreadsheets/d/1vl4QWbWdFruual5o_wdo6ZSqXZ_it806oja4CctTLKs/edit?usp=share_link"",""พังงา!N58"")+IMPORTRANGE(""https://docs.google.com/spreadsheets/d/1b6QssH"&amp;"Qp2FoAPSMKHOy273KNzAomaIKhtdlvuZ_zDNE/edit?usp=share_link"",""พัทลุง!N58"")+IMPORTRANGE(""https://docs.google.com/spreadsheets/d/1o7UZe4_OqlqtLDHrj01Z2YFRSZDf1DMy1n3XViHaxRc/edit?usp=share_link"",""ภูเก็ต!N58"")+IMPORTRANGE(""https://docs.google.com/sprea"&amp;"dsheets/d/1ctPm1vUzcUCPuOj9-eoHUD85PqINFqUB0TjdSWmR5-c/edit?usp=share_link"",""ยะลา!N58"")+IMPORTRANGE(""https://docs.google.com/spreadsheets/d/1YiDIE7Klmt8osgdapRqYWNr7iPGFSsiJqq46S7PYRE0/edit?usp=share_link"",""ระนอง!N58"")+IMPORTRANGE(""https://docs.go"&amp;"ogle.com/spreadsheets/d/16o_4B-V7AWw_6E93bSpXj_XxVv1oVQctk-B6z1dNEWU/edit?usp=share_link"",""สงขลา!N58"")+IMPORTRANGE(""https://docs.google.com/spreadsheets/d/16cywr71Fj4fA5OGRHsZh30ZG2gwJhMAQv69oVBzYHv0/edit?usp=share_link"",""สตูล!N58"")+IMPORTRANGE(""h"&amp;"ttps://docs.google.com/spreadsheets/d/1vO9Sws6kMtrVtyvrAJptINXjK8TFBoX9xLYOVK_C8bQ/edit?usp=share_link"",""สุราษฎร์ธานี!N58"")"),4894281.84)</f>
        <v>4894281.84</v>
      </c>
      <c r="O58" s="45">
        <f t="shared" ca="1" si="42"/>
        <v>55.514641682357478</v>
      </c>
      <c r="P58" s="45">
        <f t="shared" ca="1" si="43"/>
        <v>73.812356689511887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0.25" customHeight="1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7">L60+L61</f>
        <v>5248700</v>
      </c>
      <c r="M59" s="38">
        <f t="shared" ca="1" si="47"/>
        <v>5243300</v>
      </c>
      <c r="N59" s="38">
        <f t="shared" ca="1" si="47"/>
        <v>573300</v>
      </c>
      <c r="O59" s="38">
        <f t="shared" ca="1" si="42"/>
        <v>10.922704669727741</v>
      </c>
      <c r="P59" s="38">
        <f t="shared" ca="1" si="43"/>
        <v>10.933953807716515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20.25" hidden="1" customHeight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2"/>
        <v>0</v>
      </c>
      <c r="P60" s="45">
        <f t="shared" si="4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0.25" hidden="1" customHeight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IFERROR(__xludf.DUMMYFUNCTION("IMPORTRANGE(""https://docs.google.com/spreadsheets/d/1kC41EOXpGBFOW658Fs3oD8beYlym0-zO54WY-2Qnp9I/edit?usp=share_link"",""กระบี่!L61"")
+IMPORTRANGE(""https://docs.google.com/spreadsheets/d/1FbzMZY_f3MDiEuK7RpCQKrilJ_kpX0Wm7QBZ1L7EjIU/edit?usp=share_link"&amp;""",""ชุมพร!L61"")+IMPORTRANGE(""https://docs.google.com/spreadsheets/d/1v5sN-00LrXuhBxw4dkh2GrG_z4l5oAqOdJRBCsUyMaM/edit?usp=share_link"",""ตรัง!L61"")+IMPORTRANGE(""https://docs.google.com/spreadsheets/d/1T5rRTzFc79aSIvqnzkZNvwPstq829QYz_xALlO1Z0s8/edit?"&amp;"usp=share_link"",""นครศรีธรรมราช!L61"")+IMPORTRANGE(""https://docs.google.com/spreadsheets/d/1BeghqumK0IvCmRd2QOy6_afsZq7ZtAGrSnVJy2u7WmY/edit?usp=share_link"",""นราธิวาส!L61"")+IMPORTRANGE(""https://docs.google.com/spreadsheets/d/1IwnW3-jjRf74MCLW-6PiFwM"&amp;"UffRQXZwZA7YM609NmRc/edit?usp=share_link"",""ปัตตานี!L61"")+IMPORTRANGE(""https://docs.google.com/spreadsheets/d/1vl4QWbWdFruual5o_wdo6ZSqXZ_it806oja4CctTLKs/edit?usp=share_link"",""พังงา!L61"")+IMPORTRANGE(""https://docs.google.com/spreadsheets/d/1b6QssH"&amp;"Qp2FoAPSMKHOy273KNzAomaIKhtdlvuZ_zDNE/edit?usp=share_link"",""พัทลุง!L61"")+IMPORTRANGE(""https://docs.google.com/spreadsheets/d/1o7UZe4_OqlqtLDHrj01Z2YFRSZDf1DMy1n3XViHaxRc/edit?usp=share_link"",""ภูเก็ต!L61"")+IMPORTRANGE(""https://docs.google.com/sprea"&amp;"dsheets/d/1ctPm1vUzcUCPuOj9-eoHUD85PqINFqUB0TjdSWmR5-c/edit?usp=share_link"",""ยะลา!L61"")+IMPORTRANGE(""https://docs.google.com/spreadsheets/d/1YiDIE7Klmt8osgdapRqYWNr7iPGFSsiJqq46S7PYRE0/edit?usp=share_link"",""ระนอง!L61"")+IMPORTRANGE(""https://docs.go"&amp;"ogle.com/spreadsheets/d/16o_4B-V7AWw_6E93bSpXj_XxVv1oVQctk-B6z1dNEWU/edit?usp=share_link"",""สงขลา!L61"")+IMPORTRANGE(""https://docs.google.com/spreadsheets/d/16cywr71Fj4fA5OGRHsZh30ZG2gwJhMAQv69oVBzYHv0/edit?usp=share_link"",""สตูล!L61"")+IMPORTRANGE(""h"&amp;"ttps://docs.google.com/spreadsheets/d/1vO9Sws6kMtrVtyvrAJptINXjK8TFBoX9xLYOVK_C8bQ/edit?usp=share_link"",""สุราษฎร์ธานี!L61"")"),5248700)</f>
        <v>5248700</v>
      </c>
      <c r="M61" s="52">
        <f ca="1">IFERROR(__xludf.DUMMYFUNCTION("IMPORTRANGE(""https://docs.google.com/spreadsheets/d/1kC41EOXpGBFOW658Fs3oD8beYlym0-zO54WY-2Qnp9I/edit?usp=share_link"",""กระบี่!M61"")
+IMPORTRANGE(""https://docs.google.com/spreadsheets/d/1FbzMZY_f3MDiEuK7RpCQKrilJ_kpX0Wm7QBZ1L7EjIU/edit?usp=share_link"&amp;""",""ชุมพร!M61"")+IMPORTRANGE(""https://docs.google.com/spreadsheets/d/1v5sN-00LrXuhBxw4dkh2GrG_z4l5oAqOdJRBCsUyMaM/edit?usp=share_link"",""ตรัง!M61"")+IMPORTRANGE(""https://docs.google.com/spreadsheets/d/1T5rRTzFc79aSIvqnzkZNvwPstq829QYz_xALlO1Z0s8/edit?"&amp;"usp=share_link"",""นครศรีธรรมราช!M61"")+IMPORTRANGE(""https://docs.google.com/spreadsheets/d/1BeghqumK0IvCmRd2QOy6_afsZq7ZtAGrSnVJy2u7WmY/edit?usp=share_link"",""นราธิวาส!M61"")+IMPORTRANGE(""https://docs.google.com/spreadsheets/d/1IwnW3-jjRf74MCLW-6PiFwM"&amp;"UffRQXZwZA7YM609NmRc/edit?usp=share_link"",""ปัตตานี!M61"")+IMPORTRANGE(""https://docs.google.com/spreadsheets/d/1vl4QWbWdFruual5o_wdo6ZSqXZ_it806oja4CctTLKs/edit?usp=share_link"",""พังงา!M61"")+IMPORTRANGE(""https://docs.google.com/spreadsheets/d/1b6QssH"&amp;"Qp2FoAPSMKHOy273KNzAomaIKhtdlvuZ_zDNE/edit?usp=share_link"",""พัทลุง!M61"")+IMPORTRANGE(""https://docs.google.com/spreadsheets/d/1o7UZe4_OqlqtLDHrj01Z2YFRSZDf1DMy1n3XViHaxRc/edit?usp=share_link"",""ภูเก็ต!M61"")+IMPORTRANGE(""https://docs.google.com/sprea"&amp;"dsheets/d/1ctPm1vUzcUCPuOj9-eoHUD85PqINFqUB0TjdSWmR5-c/edit?usp=share_link"",""ยะลา!M61"")+IMPORTRANGE(""https://docs.google.com/spreadsheets/d/1YiDIE7Klmt8osgdapRqYWNr7iPGFSsiJqq46S7PYRE0/edit?usp=share_link"",""ระนอง!M61"")+IMPORTRANGE(""https://docs.go"&amp;"ogle.com/spreadsheets/d/16o_4B-V7AWw_6E93bSpXj_XxVv1oVQctk-B6z1dNEWU/edit?usp=share_link"",""สงขลา!M61"")+IMPORTRANGE(""https://docs.google.com/spreadsheets/d/16cywr71Fj4fA5OGRHsZh30ZG2gwJhMAQv69oVBzYHv0/edit?usp=share_link"",""สตูล!M61"")+IMPORTRANGE(""h"&amp;"ttps://docs.google.com/spreadsheets/d/1vO9Sws6kMtrVtyvrAJptINXjK8TFBoX9xLYOVK_C8bQ/edit?usp=share_link"",""สุราษฎร์ธานี!M61"")"),5243300)</f>
        <v>5243300</v>
      </c>
      <c r="N61" s="52">
        <f ca="1">IFERROR(__xludf.DUMMYFUNCTION("IMPORTRANGE(""https://docs.google.com/spreadsheets/d/1kC41EOXpGBFOW658Fs3oD8beYlym0-zO54WY-2Qnp9I/edit?usp=share_link"",""กระบี่!N61"")
+IMPORTRANGE(""https://docs.google.com/spreadsheets/d/1FbzMZY_f3MDiEuK7RpCQKrilJ_kpX0Wm7QBZ1L7EjIU/edit?usp=share_link"&amp;""",""ชุมพร!N61"")+IMPORTRANGE(""https://docs.google.com/spreadsheets/d/1v5sN-00LrXuhBxw4dkh2GrG_z4l5oAqOdJRBCsUyMaM/edit?usp=share_link"",""ตรัง!N61"")+IMPORTRANGE(""https://docs.google.com/spreadsheets/d/1T5rRTzFc79aSIvqnzkZNvwPstq829QYz_xALlO1Z0s8/edit?"&amp;"usp=share_link"",""นครศรีธรรมราช!N61"")+IMPORTRANGE(""https://docs.google.com/spreadsheets/d/1BeghqumK0IvCmRd2QOy6_afsZq7ZtAGrSnVJy2u7WmY/edit?usp=share_link"",""นราธิวาส!N61"")+IMPORTRANGE(""https://docs.google.com/spreadsheets/d/1IwnW3-jjRf74MCLW-6PiFwM"&amp;"UffRQXZwZA7YM609NmRc/edit?usp=share_link"",""ปัตตานี!N61"")+IMPORTRANGE(""https://docs.google.com/spreadsheets/d/1vl4QWbWdFruual5o_wdo6ZSqXZ_it806oja4CctTLKs/edit?usp=share_link"",""พังงา!N61"")+IMPORTRANGE(""https://docs.google.com/spreadsheets/d/1b6QssH"&amp;"Qp2FoAPSMKHOy273KNzAomaIKhtdlvuZ_zDNE/edit?usp=share_link"",""พัทลุง!N61"")+IMPORTRANGE(""https://docs.google.com/spreadsheets/d/1o7UZe4_OqlqtLDHrj01Z2YFRSZDf1DMy1n3XViHaxRc/edit?usp=share_link"",""ภูเก็ต!N61"")+IMPORTRANGE(""https://docs.google.com/sprea"&amp;"dsheets/d/1ctPm1vUzcUCPuOj9-eoHUD85PqINFqUB0TjdSWmR5-c/edit?usp=share_link"",""ยะลา!N61"")+IMPORTRANGE(""https://docs.google.com/spreadsheets/d/1YiDIE7Klmt8osgdapRqYWNr7iPGFSsiJqq46S7PYRE0/edit?usp=share_link"",""ระนอง!N61"")+IMPORTRANGE(""https://docs.go"&amp;"ogle.com/spreadsheets/d/16o_4B-V7AWw_6E93bSpXj_XxVv1oVQctk-B6z1dNEWU/edit?usp=share_link"",""สงขลา!N61"")+IMPORTRANGE(""https://docs.google.com/spreadsheets/d/16cywr71Fj4fA5OGRHsZh30ZG2gwJhMAQv69oVBzYHv0/edit?usp=share_link"",""สตูล!N61"")+IMPORTRANGE(""h"&amp;"ttps://docs.google.com/spreadsheets/d/1vO9Sws6kMtrVtyvrAJptINXjK8TFBoX9xLYOVK_C8bQ/edit?usp=share_link"",""สุราษฎร์ธานี!N61"")"),573300)</f>
        <v>573300</v>
      </c>
      <c r="O61" s="52">
        <f t="shared" ca="1" si="42"/>
        <v>10.922704669727741</v>
      </c>
      <c r="P61" s="52">
        <f t="shared" ca="1" si="43"/>
        <v>10.933953807716515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0.25" customHeight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20.25" customHeight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20.25" customHeight="1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8">I76</f>
        <v>4</v>
      </c>
      <c r="J64" s="144">
        <f t="shared" ca="1" si="48"/>
        <v>4</v>
      </c>
      <c r="K64" s="145">
        <f t="shared" ref="K64:K65" ca="1" si="49">IF(I64&gt;0,J64*100/I64,0)</f>
        <v>100</v>
      </c>
      <c r="L64" s="146"/>
      <c r="M64" s="146"/>
      <c r="N64" s="146"/>
      <c r="O64" s="146"/>
      <c r="P64" s="146"/>
    </row>
    <row r="65" spans="1:26" ht="20.25" customHeight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0">I77</f>
        <v>120</v>
      </c>
      <c r="J65" s="144">
        <f t="shared" ca="1" si="50"/>
        <v>120</v>
      </c>
      <c r="K65" s="145">
        <f t="shared" ca="1" si="49"/>
        <v>100</v>
      </c>
      <c r="L65" s="146"/>
      <c r="M65" s="146"/>
      <c r="N65" s="146"/>
      <c r="O65" s="146"/>
      <c r="P65" s="146"/>
    </row>
    <row r="66" spans="1:26" ht="20.25" customHeight="1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1">L67+L68</f>
        <v>2784200</v>
      </c>
      <c r="M66" s="155">
        <f t="shared" ca="1" si="51"/>
        <v>2386400</v>
      </c>
      <c r="N66" s="155">
        <f t="shared" ca="1" si="51"/>
        <v>1546742.42</v>
      </c>
      <c r="O66" s="155">
        <f t="shared" ref="O66:O74" ca="1" si="52">IF(L66&gt;0,N66*100/L66,0)</f>
        <v>55.554285611665826</v>
      </c>
      <c r="P66" s="155">
        <f t="shared" ref="P66:P74" ca="1" si="53">IF(M66&gt;0,N66*100/M66,0)</f>
        <v>64.814885182701971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20.25" hidden="1" customHeight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4">L70+L73</f>
        <v>0</v>
      </c>
      <c r="M67" s="45">
        <f t="shared" si="54"/>
        <v>0</v>
      </c>
      <c r="N67" s="45">
        <f t="shared" si="54"/>
        <v>0</v>
      </c>
      <c r="O67" s="45">
        <f t="shared" si="52"/>
        <v>0</v>
      </c>
      <c r="P67" s="45">
        <f t="shared" si="53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20.25" hidden="1" customHeight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5">L71+L74</f>
        <v>2784200</v>
      </c>
      <c r="M68" s="45">
        <f t="shared" ca="1" si="55"/>
        <v>2386400</v>
      </c>
      <c r="N68" s="45">
        <f t="shared" ca="1" si="55"/>
        <v>1546742.42</v>
      </c>
      <c r="O68" s="45">
        <f t="shared" ca="1" si="52"/>
        <v>55.554285611665826</v>
      </c>
      <c r="P68" s="45">
        <f t="shared" ca="1" si="53"/>
        <v>64.814885182701971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20.25" customHeight="1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6">L70+L71</f>
        <v>2784200</v>
      </c>
      <c r="M69" s="38">
        <f t="shared" ca="1" si="56"/>
        <v>2386400</v>
      </c>
      <c r="N69" s="38">
        <f t="shared" ca="1" si="56"/>
        <v>1546742.42</v>
      </c>
      <c r="O69" s="38">
        <f t="shared" ca="1" si="52"/>
        <v>55.554285611665826</v>
      </c>
      <c r="P69" s="38">
        <f t="shared" ca="1" si="53"/>
        <v>64.814885182701971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20.25" hidden="1" customHeight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2"/>
        <v>0</v>
      </c>
      <c r="P70" s="45">
        <f t="shared" si="53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20.25" hidden="1" customHeight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IFERROR(__xludf.DUMMYFUNCTION("IMPORTRANGE(""https://docs.google.com/spreadsheets/d/1kC41EOXpGBFOW658Fs3oD8beYlym0-zO54WY-2Qnp9I/edit?usp=share_link"",""กระบี่!L71"")
+IMPORTRANGE(""https://docs.google.com/spreadsheets/d/1FbzMZY_f3MDiEuK7RpCQKrilJ_kpX0Wm7QBZ1L7EjIU/edit?usp=share_link"&amp;""",""ชุมพร!L71"")+IMPORTRANGE(""https://docs.google.com/spreadsheets/d/1v5sN-00LrXuhBxw4dkh2GrG_z4l5oAqOdJRBCsUyMaM/edit?usp=share_link"",""ตรัง!L71"")+IMPORTRANGE(""https://docs.google.com/spreadsheets/d/1T5rRTzFc79aSIvqnzkZNvwPstq829QYz_xALlO1Z0s8/edit?"&amp;"usp=share_link"",""นครศรีธรรมราช!L71"")+IMPORTRANGE(""https://docs.google.com/spreadsheets/d/1BeghqumK0IvCmRd2QOy6_afsZq7ZtAGrSnVJy2u7WmY/edit?usp=share_link"",""นราธิวาส!L71"")+IMPORTRANGE(""https://docs.google.com/spreadsheets/d/1IwnW3-jjRf74MCLW-6PiFwM"&amp;"UffRQXZwZA7YM609NmRc/edit?usp=share_link"",""ปัตตานี!L71"")+IMPORTRANGE(""https://docs.google.com/spreadsheets/d/1vl4QWbWdFruual5o_wdo6ZSqXZ_it806oja4CctTLKs/edit?usp=share_link"",""พังงา!L71"")+IMPORTRANGE(""https://docs.google.com/spreadsheets/d/1b6QssH"&amp;"Qp2FoAPSMKHOy273KNzAomaIKhtdlvuZ_zDNE/edit?usp=share_link"",""พัทลุง!L71"")+IMPORTRANGE(""https://docs.google.com/spreadsheets/d/1o7UZe4_OqlqtLDHrj01Z2YFRSZDf1DMy1n3XViHaxRc/edit?usp=share_link"",""ภูเก็ต!L71"")+IMPORTRANGE(""https://docs.google.com/sprea"&amp;"dsheets/d/1ctPm1vUzcUCPuOj9-eoHUD85PqINFqUB0TjdSWmR5-c/edit?usp=share_link"",""ยะลา!L71"")+IMPORTRANGE(""https://docs.google.com/spreadsheets/d/1YiDIE7Klmt8osgdapRqYWNr7iPGFSsiJqq46S7PYRE0/edit?usp=share_link"",""ระนอง!L71"")+IMPORTRANGE(""https://docs.go"&amp;"ogle.com/spreadsheets/d/16o_4B-V7AWw_6E93bSpXj_XxVv1oVQctk-B6z1dNEWU/edit?usp=share_link"",""สงขลา!L71"")+IMPORTRANGE(""https://docs.google.com/spreadsheets/d/16cywr71Fj4fA5OGRHsZh30ZG2gwJhMAQv69oVBzYHv0/edit?usp=share_link"",""สตูล!L71"")+IMPORTRANGE(""h"&amp;"ttps://docs.google.com/spreadsheets/d/1vO9Sws6kMtrVtyvrAJptINXjK8TFBoX9xLYOVK_C8bQ/edit?usp=share_link"",""สุราษฎร์ธานี!L71"")"),2784200)</f>
        <v>2784200</v>
      </c>
      <c r="M71" s="45">
        <f ca="1">IFERROR(__xludf.DUMMYFUNCTION("IMPORTRANGE(""https://docs.google.com/spreadsheets/d/1kC41EOXpGBFOW658Fs3oD8beYlym0-zO54WY-2Qnp9I/edit?usp=share_link"",""กระบี่!M71"")
+IMPORTRANGE(""https://docs.google.com/spreadsheets/d/1FbzMZY_f3MDiEuK7RpCQKrilJ_kpX0Wm7QBZ1L7EjIU/edit?usp=share_link"&amp;""",""ชุมพร!M71"")+IMPORTRANGE(""https://docs.google.com/spreadsheets/d/1v5sN-00LrXuhBxw4dkh2GrG_z4l5oAqOdJRBCsUyMaM/edit?usp=share_link"",""ตรัง!M71"")+IMPORTRANGE(""https://docs.google.com/spreadsheets/d/1T5rRTzFc79aSIvqnzkZNvwPstq829QYz_xALlO1Z0s8/edit?"&amp;"usp=share_link"",""นครศรีธรรมราช!M71"")+IMPORTRANGE(""https://docs.google.com/spreadsheets/d/1BeghqumK0IvCmRd2QOy6_afsZq7ZtAGrSnVJy2u7WmY/edit?usp=share_link"",""นราธิวาส!M71"")+IMPORTRANGE(""https://docs.google.com/spreadsheets/d/1IwnW3-jjRf74MCLW-6PiFwM"&amp;"UffRQXZwZA7YM609NmRc/edit?usp=share_link"",""ปัตตานี!M71"")+IMPORTRANGE(""https://docs.google.com/spreadsheets/d/1vl4QWbWdFruual5o_wdo6ZSqXZ_it806oja4CctTLKs/edit?usp=share_link"",""พังงา!M71"")+IMPORTRANGE(""https://docs.google.com/spreadsheets/d/1b6QssH"&amp;"Qp2FoAPSMKHOy273KNzAomaIKhtdlvuZ_zDNE/edit?usp=share_link"",""พัทลุง!M71"")+IMPORTRANGE(""https://docs.google.com/spreadsheets/d/1o7UZe4_OqlqtLDHrj01Z2YFRSZDf1DMy1n3XViHaxRc/edit?usp=share_link"",""ภูเก็ต!M71"")+IMPORTRANGE(""https://docs.google.com/sprea"&amp;"dsheets/d/1ctPm1vUzcUCPuOj9-eoHUD85PqINFqUB0TjdSWmR5-c/edit?usp=share_link"",""ยะลา!M71"")+IMPORTRANGE(""https://docs.google.com/spreadsheets/d/1YiDIE7Klmt8osgdapRqYWNr7iPGFSsiJqq46S7PYRE0/edit?usp=share_link"",""ระนอง!M71"")+IMPORTRANGE(""https://docs.go"&amp;"ogle.com/spreadsheets/d/16o_4B-V7AWw_6E93bSpXj_XxVv1oVQctk-B6z1dNEWU/edit?usp=share_link"",""สงขลา!M71"")+IMPORTRANGE(""https://docs.google.com/spreadsheets/d/16cywr71Fj4fA5OGRHsZh30ZG2gwJhMAQv69oVBzYHv0/edit?usp=share_link"",""สตูล!M71"")+IMPORTRANGE(""h"&amp;"ttps://docs.google.com/spreadsheets/d/1vO9Sws6kMtrVtyvrAJptINXjK8TFBoX9xLYOVK_C8bQ/edit?usp=share_link"",""สุราษฎร์ธานี!M71"")"),2386400)</f>
        <v>2386400</v>
      </c>
      <c r="N71" s="45">
        <f ca="1">IFERROR(__xludf.DUMMYFUNCTION("IMPORTRANGE(""https://docs.google.com/spreadsheets/d/1kC41EOXpGBFOW658Fs3oD8beYlym0-zO54WY-2Qnp9I/edit?usp=share_link"",""กระบี่!N71"")
+IMPORTRANGE(""https://docs.google.com/spreadsheets/d/1FbzMZY_f3MDiEuK7RpCQKrilJ_kpX0Wm7QBZ1L7EjIU/edit?usp=share_link"&amp;""",""ชุมพร!N71"")+IMPORTRANGE(""https://docs.google.com/spreadsheets/d/1v5sN-00LrXuhBxw4dkh2GrG_z4l5oAqOdJRBCsUyMaM/edit?usp=share_link"",""ตรัง!N71"")+IMPORTRANGE(""https://docs.google.com/spreadsheets/d/1T5rRTzFc79aSIvqnzkZNvwPstq829QYz_xALlO1Z0s8/edit?"&amp;"usp=share_link"",""นครศรีธรรมราช!N71"")+IMPORTRANGE(""https://docs.google.com/spreadsheets/d/1BeghqumK0IvCmRd2QOy6_afsZq7ZtAGrSnVJy2u7WmY/edit?usp=share_link"",""นราธิวาส!N71"")+IMPORTRANGE(""https://docs.google.com/spreadsheets/d/1IwnW3-jjRf74MCLW-6PiFwM"&amp;"UffRQXZwZA7YM609NmRc/edit?usp=share_link"",""ปัตตานี!N71"")+IMPORTRANGE(""https://docs.google.com/spreadsheets/d/1vl4QWbWdFruual5o_wdo6ZSqXZ_it806oja4CctTLKs/edit?usp=share_link"",""พังงา!N71"")+IMPORTRANGE(""https://docs.google.com/spreadsheets/d/1b6QssH"&amp;"Qp2FoAPSMKHOy273KNzAomaIKhtdlvuZ_zDNE/edit?usp=share_link"",""พัทลุง!N71"")+IMPORTRANGE(""https://docs.google.com/spreadsheets/d/1o7UZe4_OqlqtLDHrj01Z2YFRSZDf1DMy1n3XViHaxRc/edit?usp=share_link"",""ภูเก็ต!N71"")+IMPORTRANGE(""https://docs.google.com/sprea"&amp;"dsheets/d/1ctPm1vUzcUCPuOj9-eoHUD85PqINFqUB0TjdSWmR5-c/edit?usp=share_link"",""ยะลา!N71"")+IMPORTRANGE(""https://docs.google.com/spreadsheets/d/1YiDIE7Klmt8osgdapRqYWNr7iPGFSsiJqq46S7PYRE0/edit?usp=share_link"",""ระนอง!N71"")+IMPORTRANGE(""https://docs.go"&amp;"ogle.com/spreadsheets/d/16o_4B-V7AWw_6E93bSpXj_XxVv1oVQctk-B6z1dNEWU/edit?usp=share_link"",""สงขลา!N71"")+IMPORTRANGE(""https://docs.google.com/spreadsheets/d/16cywr71Fj4fA5OGRHsZh30ZG2gwJhMAQv69oVBzYHv0/edit?usp=share_link"",""สตูล!N71"")+IMPORTRANGE(""h"&amp;"ttps://docs.google.com/spreadsheets/d/1vO9Sws6kMtrVtyvrAJptINXjK8TFBoX9xLYOVK_C8bQ/edit?usp=share_link"",""สุราษฎร์ธานี!N71"")"),1546742.42)</f>
        <v>1546742.42</v>
      </c>
      <c r="O71" s="45">
        <f t="shared" ca="1" si="52"/>
        <v>55.554285611665826</v>
      </c>
      <c r="P71" s="45">
        <f t="shared" ca="1" si="53"/>
        <v>64.814885182701971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20.25" customHeight="1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7">L73+L74</f>
        <v>0</v>
      </c>
      <c r="M72" s="38">
        <f t="shared" ca="1" si="57"/>
        <v>0</v>
      </c>
      <c r="N72" s="38">
        <f t="shared" ca="1" si="57"/>
        <v>0</v>
      </c>
      <c r="O72" s="38">
        <f t="shared" ca="1" si="52"/>
        <v>0</v>
      </c>
      <c r="P72" s="38">
        <f t="shared" ca="1" si="53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20.25" hidden="1" customHeight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2"/>
        <v>0</v>
      </c>
      <c r="P73" s="45">
        <f t="shared" si="53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20.25" hidden="1" customHeight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IFERROR(__xludf.DUMMYFUNCTION("IMPORTRANGE(""https://docs.google.com/spreadsheets/d/1kC41EOXpGBFOW658Fs3oD8beYlym0-zO54WY-2Qnp9I/edit?usp=share_link"",""กระบี่!L74"")
+IMPORTRANGE(""https://docs.google.com/spreadsheets/d/1FbzMZY_f3MDiEuK7RpCQKrilJ_kpX0Wm7QBZ1L7EjIU/edit?usp=share_link"&amp;""",""ชุมพร!L74"")+IMPORTRANGE(""https://docs.google.com/spreadsheets/d/1v5sN-00LrXuhBxw4dkh2GrG_z4l5oAqOdJRBCsUyMaM/edit?usp=share_link"",""ตรัง!L74"")+IMPORTRANGE(""https://docs.google.com/spreadsheets/d/1T5rRTzFc79aSIvqnzkZNvwPstq829QYz_xALlO1Z0s8/edit?"&amp;"usp=share_link"",""นครศรีธรรมราช!L74"")+IMPORTRANGE(""https://docs.google.com/spreadsheets/d/1BeghqumK0IvCmRd2QOy6_afsZq7ZtAGrSnVJy2u7WmY/edit?usp=share_link"",""นราธิวาส!L74"")+IMPORTRANGE(""https://docs.google.com/spreadsheets/d/1IwnW3-jjRf74MCLW-6PiFwM"&amp;"UffRQXZwZA7YM609NmRc/edit?usp=share_link"",""ปัตตานี!L74"")+IMPORTRANGE(""https://docs.google.com/spreadsheets/d/1vl4QWbWdFruual5o_wdo6ZSqXZ_it806oja4CctTLKs/edit?usp=share_link"",""พังงา!L74"")+IMPORTRANGE(""https://docs.google.com/spreadsheets/d/1b6QssH"&amp;"Qp2FoAPSMKHOy273KNzAomaIKhtdlvuZ_zDNE/edit?usp=share_link"",""พัทลุง!L74"")+IMPORTRANGE(""https://docs.google.com/spreadsheets/d/1o7UZe4_OqlqtLDHrj01Z2YFRSZDf1DMy1n3XViHaxRc/edit?usp=share_link"",""ภูเก็ต!L74"")+IMPORTRANGE(""https://docs.google.com/sprea"&amp;"dsheets/d/1ctPm1vUzcUCPuOj9-eoHUD85PqINFqUB0TjdSWmR5-c/edit?usp=share_link"",""ยะลา!L74"")+IMPORTRANGE(""https://docs.google.com/spreadsheets/d/1YiDIE7Klmt8osgdapRqYWNr7iPGFSsiJqq46S7PYRE0/edit?usp=share_link"",""ระนอง!L74"")+IMPORTRANGE(""https://docs.go"&amp;"ogle.com/spreadsheets/d/16o_4B-V7AWw_6E93bSpXj_XxVv1oVQctk-B6z1dNEWU/edit?usp=share_link"",""สงขลา!L74"")+IMPORTRANGE(""https://docs.google.com/spreadsheets/d/16cywr71Fj4fA5OGRHsZh30ZG2gwJhMAQv69oVBzYHv0/edit?usp=share_link"",""สตูล!L74"")+IMPORTRANGE(""h"&amp;"ttps://docs.google.com/spreadsheets/d/1vO9Sws6kMtrVtyvrAJptINXjK8TFBoX9xLYOVK_C8bQ/edit?usp=share_link"",""สุราษฎร์ธานี!L74"")"),0)</f>
        <v>0</v>
      </c>
      <c r="M74" s="45">
        <f ca="1">IFERROR(__xludf.DUMMYFUNCTION("IMPORTRANGE(""https://docs.google.com/spreadsheets/d/1kC41EOXpGBFOW658Fs3oD8beYlym0-zO54WY-2Qnp9I/edit?usp=share_link"",""กระบี่!M74"")
+IMPORTRANGE(""https://docs.google.com/spreadsheets/d/1FbzMZY_f3MDiEuK7RpCQKrilJ_kpX0Wm7QBZ1L7EjIU/edit?usp=share_link"&amp;""",""ชุมพร!M74"")+IMPORTRANGE(""https://docs.google.com/spreadsheets/d/1v5sN-00LrXuhBxw4dkh2GrG_z4l5oAqOdJRBCsUyMaM/edit?usp=share_link"",""ตรัง!M74"")+IMPORTRANGE(""https://docs.google.com/spreadsheets/d/1T5rRTzFc79aSIvqnzkZNvwPstq829QYz_xALlO1Z0s8/edit?"&amp;"usp=share_link"",""นครศรีธรรมราช!M74"")+IMPORTRANGE(""https://docs.google.com/spreadsheets/d/1BeghqumK0IvCmRd2QOy6_afsZq7ZtAGrSnVJy2u7WmY/edit?usp=share_link"",""นราธิวาส!M74"")+IMPORTRANGE(""https://docs.google.com/spreadsheets/d/1IwnW3-jjRf74MCLW-6PiFwM"&amp;"UffRQXZwZA7YM609NmRc/edit?usp=share_link"",""ปัตตานี!M74"")+IMPORTRANGE(""https://docs.google.com/spreadsheets/d/1vl4QWbWdFruual5o_wdo6ZSqXZ_it806oja4CctTLKs/edit?usp=share_link"",""พังงา!M74"")+IMPORTRANGE(""https://docs.google.com/spreadsheets/d/1b6QssH"&amp;"Qp2FoAPSMKHOy273KNzAomaIKhtdlvuZ_zDNE/edit?usp=share_link"",""พัทลุง!M74"")+IMPORTRANGE(""https://docs.google.com/spreadsheets/d/1o7UZe4_OqlqtLDHrj01Z2YFRSZDf1DMy1n3XViHaxRc/edit?usp=share_link"",""ภูเก็ต!M74"")+IMPORTRANGE(""https://docs.google.com/sprea"&amp;"dsheets/d/1ctPm1vUzcUCPuOj9-eoHUD85PqINFqUB0TjdSWmR5-c/edit?usp=share_link"",""ยะลา!M74"")+IMPORTRANGE(""https://docs.google.com/spreadsheets/d/1YiDIE7Klmt8osgdapRqYWNr7iPGFSsiJqq46S7PYRE0/edit?usp=share_link"",""ระนอง!M74"")+IMPORTRANGE(""https://docs.go"&amp;"ogle.com/spreadsheets/d/16o_4B-V7AWw_6E93bSpXj_XxVv1oVQctk-B6z1dNEWU/edit?usp=share_link"",""สงขลา!M74"")+IMPORTRANGE(""https://docs.google.com/spreadsheets/d/16cywr71Fj4fA5OGRHsZh30ZG2gwJhMAQv69oVBzYHv0/edit?usp=share_link"",""สตูล!M74"")+IMPORTRANGE(""h"&amp;"ttps://docs.google.com/spreadsheets/d/1vO9Sws6kMtrVtyvrAJptINXjK8TFBoX9xLYOVK_C8bQ/edit?usp=share_link"",""สุราษฎร์ธานี!M74"")"),0)</f>
        <v>0</v>
      </c>
      <c r="N74" s="45">
        <f ca="1">IFERROR(__xludf.DUMMYFUNCTION("IMPORTRANGE(""https://docs.google.com/spreadsheets/d/1kC41EOXpGBFOW658Fs3oD8beYlym0-zO54WY-2Qnp9I/edit?usp=share_link"",""กระบี่!N74"")
+IMPORTRANGE(""https://docs.google.com/spreadsheets/d/1FbzMZY_f3MDiEuK7RpCQKrilJ_kpX0Wm7QBZ1L7EjIU/edit?usp=share_link"&amp;""",""ชุมพร!N74"")+IMPORTRANGE(""https://docs.google.com/spreadsheets/d/1v5sN-00LrXuhBxw4dkh2GrG_z4l5oAqOdJRBCsUyMaM/edit?usp=share_link"",""ตรัง!N74"")+IMPORTRANGE(""https://docs.google.com/spreadsheets/d/1T5rRTzFc79aSIvqnzkZNvwPstq829QYz_xALlO1Z0s8/edit?"&amp;"usp=share_link"",""นครศรีธรรมราช!N74"")+IMPORTRANGE(""https://docs.google.com/spreadsheets/d/1BeghqumK0IvCmRd2QOy6_afsZq7ZtAGrSnVJy2u7WmY/edit?usp=share_link"",""นราธิวาส!N74"")+IMPORTRANGE(""https://docs.google.com/spreadsheets/d/1IwnW3-jjRf74MCLW-6PiFwM"&amp;"UffRQXZwZA7YM609NmRc/edit?usp=share_link"",""ปัตตานี!N74"")+IMPORTRANGE(""https://docs.google.com/spreadsheets/d/1vl4QWbWdFruual5o_wdo6ZSqXZ_it806oja4CctTLKs/edit?usp=share_link"",""พังงา!N74"")+IMPORTRANGE(""https://docs.google.com/spreadsheets/d/1b6QssH"&amp;"Qp2FoAPSMKHOy273KNzAomaIKhtdlvuZ_zDNE/edit?usp=share_link"",""พัทลุง!N74"")+IMPORTRANGE(""https://docs.google.com/spreadsheets/d/1o7UZe4_OqlqtLDHrj01Z2YFRSZDf1DMy1n3XViHaxRc/edit?usp=share_link"",""ภูเก็ต!N74"")+IMPORTRANGE(""https://docs.google.com/sprea"&amp;"dsheets/d/1ctPm1vUzcUCPuOj9-eoHUD85PqINFqUB0TjdSWmR5-c/edit?usp=share_link"",""ยะลา!N74"")+IMPORTRANGE(""https://docs.google.com/spreadsheets/d/1YiDIE7Klmt8osgdapRqYWNr7iPGFSsiJqq46S7PYRE0/edit?usp=share_link"",""ระนอง!N74"")+IMPORTRANGE(""https://docs.go"&amp;"ogle.com/spreadsheets/d/16o_4B-V7AWw_6E93bSpXj_XxVv1oVQctk-B6z1dNEWU/edit?usp=share_link"",""สงขลา!N74"")+IMPORTRANGE(""https://docs.google.com/spreadsheets/d/16cywr71Fj4fA5OGRHsZh30ZG2gwJhMAQv69oVBzYHv0/edit?usp=share_link"",""สตูล!N74"")+IMPORTRANGE(""h"&amp;"ttps://docs.google.com/spreadsheets/d/1vO9Sws6kMtrVtyvrAJptINXjK8TFBoX9xLYOVK_C8bQ/edit?usp=share_link"",""สุราษฎร์ธานี!N74"")"),0)</f>
        <v>0</v>
      </c>
      <c r="O74" s="45">
        <f t="shared" ca="1" si="52"/>
        <v>0</v>
      </c>
      <c r="P74" s="45">
        <f t="shared" ca="1" si="53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20.25" customHeight="1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20.25" customHeight="1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8">I78+I80+I82</f>
        <v>4</v>
      </c>
      <c r="J76" s="37">
        <f t="shared" ca="1" si="58"/>
        <v>4</v>
      </c>
      <c r="K76" s="163">
        <f t="shared" ref="K76:K84" ca="1" si="59">IF(I76&gt;0,J76*100/I76,0)</f>
        <v>100</v>
      </c>
      <c r="L76" s="163"/>
      <c r="M76" s="163"/>
      <c r="N76" s="163"/>
      <c r="O76" s="163"/>
      <c r="P76" s="163"/>
    </row>
    <row r="77" spans="1:26" ht="20.25" customHeight="1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0">I79+I81+I83</f>
        <v>120</v>
      </c>
      <c r="J77" s="37">
        <f t="shared" ca="1" si="60"/>
        <v>120</v>
      </c>
      <c r="K77" s="163">
        <f t="shared" ca="1" si="59"/>
        <v>100</v>
      </c>
      <c r="L77" s="163"/>
      <c r="M77" s="163"/>
      <c r="N77" s="163"/>
      <c r="O77" s="163"/>
      <c r="P77" s="163"/>
    </row>
    <row r="78" spans="1:26" ht="20.25" customHeight="1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IFERROR(__xludf.DUMMYFUNCTION("IMPORTRANGE(""https://docs.google.com/spreadsheets/d/1kC41EOXpGBFOW658Fs3oD8beYlym0-zO54WY-2Qnp9I/edit?usp=share_link"",""กระบี่!I78"")
+IMPORTRANGE(""https://docs.google.com/spreadsheets/d/1FbzMZY_f3MDiEuK7RpCQKrilJ_kpX0Wm7QBZ1L7EjIU/edit?usp=share_link"&amp;""",""ชุมพร!I78"")+IMPORTRANGE(""https://docs.google.com/spreadsheets/d/1v5sN-00LrXuhBxw4dkh2GrG_z4l5oAqOdJRBCsUyMaM/edit?usp=share_link"",""ตรัง!I78"")+IMPORTRANGE(""https://docs.google.com/spreadsheets/d/1T5rRTzFc79aSIvqnzkZNvwPstq829QYz_xALlO1Z0s8/edit?"&amp;"usp=share_link"",""นครศรีธรรมราช!I78"")+IMPORTRANGE(""https://docs.google.com/spreadsheets/d/1BeghqumK0IvCmRd2QOy6_afsZq7ZtAGrSnVJy2u7WmY/edit?usp=share_link"",""นราธิวาส!I78"")+IMPORTRANGE(""https://docs.google.com/spreadsheets/d/1IwnW3-jjRf74MCLW-6PiFwM"&amp;"UffRQXZwZA7YM609NmRc/edit?usp=share_link"",""ปัตตานี!I78"")+IMPORTRANGE(""https://docs.google.com/spreadsheets/d/1vl4QWbWdFruual5o_wdo6ZSqXZ_it806oja4CctTLKs/edit?usp=share_link"",""พังงา!I78"")+IMPORTRANGE(""https://docs.google.com/spreadsheets/d/1b6QssH"&amp;"Qp2FoAPSMKHOy273KNzAomaIKhtdlvuZ_zDNE/edit?usp=share_link"",""พัทลุง!I78"")+IMPORTRANGE(""https://docs.google.com/spreadsheets/d/1o7UZe4_OqlqtLDHrj01Z2YFRSZDf1DMy1n3XViHaxRc/edit?usp=share_link"",""ภูเก็ต!I78"")+IMPORTRANGE(""https://docs.google.com/sprea"&amp;"dsheets/d/1ctPm1vUzcUCPuOj9-eoHUD85PqINFqUB0TjdSWmR5-c/edit?usp=share_link"",""ยะลา!I78"")+IMPORTRANGE(""https://docs.google.com/spreadsheets/d/1YiDIE7Klmt8osgdapRqYWNr7iPGFSsiJqq46S7PYRE0/edit?usp=share_link"",""ระนอง!I78"")+IMPORTRANGE(""https://docs.go"&amp;"ogle.com/spreadsheets/d/16o_4B-V7AWw_6E93bSpXj_XxVv1oVQctk-B6z1dNEWU/edit?usp=share_link"",""สงขลา!I78"")+IMPORTRANGE(""https://docs.google.com/spreadsheets/d/16cywr71Fj4fA5OGRHsZh30ZG2gwJhMAQv69oVBzYHv0/edit?usp=share_link"",""สตูล!I78"")+IMPORTRANGE(""h"&amp;"ttps://docs.google.com/spreadsheets/d/1vO9Sws6kMtrVtyvrAJptINXjK8TFBoX9xLYOVK_C8bQ/edit?usp=share_link"",""สุราษฎร์ธานี!I78"")"),2)</f>
        <v>2</v>
      </c>
      <c r="J78" s="183">
        <f ca="1">IFERROR(__xludf.DUMMYFUNCTION("IMPORTRANGE(""https://docs.google.com/spreadsheets/d/1kC41EOXpGBFOW658Fs3oD8beYlym0-zO54WY-2Qnp9I/edit?usp=share_link"",""กระบี่!J78"")
+IMPORTRANGE(""https://docs.google.com/spreadsheets/d/1FbzMZY_f3MDiEuK7RpCQKrilJ_kpX0Wm7QBZ1L7EjIU/edit?usp=share_link"&amp;""",""ชุมพร!J78"")+IMPORTRANGE(""https://docs.google.com/spreadsheets/d/1v5sN-00LrXuhBxw4dkh2GrG_z4l5oAqOdJRBCsUyMaM/edit?usp=share_link"",""ตรัง!J78"")+IMPORTRANGE(""https://docs.google.com/spreadsheets/d/1T5rRTzFc79aSIvqnzkZNvwPstq829QYz_xALlO1Z0s8/edit?"&amp;"usp=share_link"",""นครศรีธรรมราช!J78"")+IMPORTRANGE(""https://docs.google.com/spreadsheets/d/1BeghqumK0IvCmRd2QOy6_afsZq7ZtAGrSnVJy2u7WmY/edit?usp=share_link"",""นราธิวาส!J78"")+IMPORTRANGE(""https://docs.google.com/spreadsheets/d/1IwnW3-jjRf74MCLW-6PiFwM"&amp;"UffRQXZwZA7YM609NmRc/edit?usp=share_link"",""ปัตตานี!J78"")+IMPORTRANGE(""https://docs.google.com/spreadsheets/d/1vl4QWbWdFruual5o_wdo6ZSqXZ_it806oja4CctTLKs/edit?usp=share_link"",""พังงา!J78"")+IMPORTRANGE(""https://docs.google.com/spreadsheets/d/1b6QssH"&amp;"Qp2FoAPSMKHOy273KNzAomaIKhtdlvuZ_zDNE/edit?usp=share_link"",""พัทลุง!J78"")+IMPORTRANGE(""https://docs.google.com/spreadsheets/d/1o7UZe4_OqlqtLDHrj01Z2YFRSZDf1DMy1n3XViHaxRc/edit?usp=share_link"",""ภูเก็ต!J78"")+IMPORTRANGE(""https://docs.google.com/sprea"&amp;"dsheets/d/1ctPm1vUzcUCPuOj9-eoHUD85PqINFqUB0TjdSWmR5-c/edit?usp=share_link"",""ยะลา!J78"")+IMPORTRANGE(""https://docs.google.com/spreadsheets/d/1YiDIE7Klmt8osgdapRqYWNr7iPGFSsiJqq46S7PYRE0/edit?usp=share_link"",""ระนอง!J78"")+IMPORTRANGE(""https://docs.go"&amp;"ogle.com/spreadsheets/d/16o_4B-V7AWw_6E93bSpXj_XxVv1oVQctk-B6z1dNEWU/edit?usp=share_link"",""สงขลา!J78"")+IMPORTRANGE(""https://docs.google.com/spreadsheets/d/16cywr71Fj4fA5OGRHsZh30ZG2gwJhMAQv69oVBzYHv0/edit?usp=share_link"",""สตูล!J78"")+IMPORTRANGE(""h"&amp;"ttps://docs.google.com/spreadsheets/d/1vO9Sws6kMtrVtyvrAJptINXjK8TFBoX9xLYOVK_C8bQ/edit?usp=share_link"",""สุราษฎร์ธานี!J78"")"),2)</f>
        <v>2</v>
      </c>
      <c r="K78" s="163">
        <f t="shared" ca="1" si="59"/>
        <v>100</v>
      </c>
      <c r="L78" s="163"/>
      <c r="M78" s="163"/>
      <c r="N78" s="163"/>
      <c r="O78" s="163"/>
      <c r="P78" s="163"/>
    </row>
    <row r="79" spans="1:26" ht="20.25" customHeight="1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IFERROR(__xludf.DUMMYFUNCTION("IMPORTRANGE(""https://docs.google.com/spreadsheets/d/1kC41EOXpGBFOW658Fs3oD8beYlym0-zO54WY-2Qnp9I/edit?usp=share_link"",""กระบี่!I79"")
+IMPORTRANGE(""https://docs.google.com/spreadsheets/d/1FbzMZY_f3MDiEuK7RpCQKrilJ_kpX0Wm7QBZ1L7EjIU/edit?usp=share_link"&amp;""",""ชุมพร!I79"")+IMPORTRANGE(""https://docs.google.com/spreadsheets/d/1v5sN-00LrXuhBxw4dkh2GrG_z4l5oAqOdJRBCsUyMaM/edit?usp=share_link"",""ตรัง!I79"")+IMPORTRANGE(""https://docs.google.com/spreadsheets/d/1T5rRTzFc79aSIvqnzkZNvwPstq829QYz_xALlO1Z0s8/edit?"&amp;"usp=share_link"",""นครศรีธรรมราช!I79"")+IMPORTRANGE(""https://docs.google.com/spreadsheets/d/1BeghqumK0IvCmRd2QOy6_afsZq7ZtAGrSnVJy2u7WmY/edit?usp=share_link"",""นราธิวาส!I79"")+IMPORTRANGE(""https://docs.google.com/spreadsheets/d/1IwnW3-jjRf74MCLW-6PiFwM"&amp;"UffRQXZwZA7YM609NmRc/edit?usp=share_link"",""ปัตตานี!I79"")+IMPORTRANGE(""https://docs.google.com/spreadsheets/d/1vl4QWbWdFruual5o_wdo6ZSqXZ_it806oja4CctTLKs/edit?usp=share_link"",""พังงา!I79"")+IMPORTRANGE(""https://docs.google.com/spreadsheets/d/1b6QssH"&amp;"Qp2FoAPSMKHOy273KNzAomaIKhtdlvuZ_zDNE/edit?usp=share_link"",""พัทลุง!I79"")+IMPORTRANGE(""https://docs.google.com/spreadsheets/d/1o7UZe4_OqlqtLDHrj01Z2YFRSZDf1DMy1n3XViHaxRc/edit?usp=share_link"",""ภูเก็ต!I79"")+IMPORTRANGE(""https://docs.google.com/sprea"&amp;"dsheets/d/1ctPm1vUzcUCPuOj9-eoHUD85PqINFqUB0TjdSWmR5-c/edit?usp=share_link"",""ยะลา!I79"")+IMPORTRANGE(""https://docs.google.com/spreadsheets/d/1YiDIE7Klmt8osgdapRqYWNr7iPGFSsiJqq46S7PYRE0/edit?usp=share_link"",""ระนอง!I79"")+IMPORTRANGE(""https://docs.go"&amp;"ogle.com/spreadsheets/d/16o_4B-V7AWw_6E93bSpXj_XxVv1oVQctk-B6z1dNEWU/edit?usp=share_link"",""สงขลา!I79"")+IMPORTRANGE(""https://docs.google.com/spreadsheets/d/16cywr71Fj4fA5OGRHsZh30ZG2gwJhMAQv69oVBzYHv0/edit?usp=share_link"",""สตูล!I79"")+IMPORTRANGE(""h"&amp;"ttps://docs.google.com/spreadsheets/d/1vO9Sws6kMtrVtyvrAJptINXjK8TFBoX9xLYOVK_C8bQ/edit?usp=share_link"",""สุราษฎร์ธานี!I79"")"),60)</f>
        <v>60</v>
      </c>
      <c r="J79" s="183">
        <f ca="1">IFERROR(__xludf.DUMMYFUNCTION("IMPORTRANGE(""https://docs.google.com/spreadsheets/d/1kC41EOXpGBFOW658Fs3oD8beYlym0-zO54WY-2Qnp9I/edit?usp=share_link"",""กระบี่!J79"")
+IMPORTRANGE(""https://docs.google.com/spreadsheets/d/1FbzMZY_f3MDiEuK7RpCQKrilJ_kpX0Wm7QBZ1L7EjIU/edit?usp=share_link"&amp;""",""ชุมพร!J79"")+IMPORTRANGE(""https://docs.google.com/spreadsheets/d/1v5sN-00LrXuhBxw4dkh2GrG_z4l5oAqOdJRBCsUyMaM/edit?usp=share_link"",""ตรัง!J79"")+IMPORTRANGE(""https://docs.google.com/spreadsheets/d/1T5rRTzFc79aSIvqnzkZNvwPstq829QYz_xALlO1Z0s8/edit?"&amp;"usp=share_link"",""นครศรีธรรมราช!J79"")+IMPORTRANGE(""https://docs.google.com/spreadsheets/d/1BeghqumK0IvCmRd2QOy6_afsZq7ZtAGrSnVJy2u7WmY/edit?usp=share_link"",""นราธิวาส!J79"")+IMPORTRANGE(""https://docs.google.com/spreadsheets/d/1IwnW3-jjRf74MCLW-6PiFwM"&amp;"UffRQXZwZA7YM609NmRc/edit?usp=share_link"",""ปัตตานี!J79"")+IMPORTRANGE(""https://docs.google.com/spreadsheets/d/1vl4QWbWdFruual5o_wdo6ZSqXZ_it806oja4CctTLKs/edit?usp=share_link"",""พังงา!J79"")+IMPORTRANGE(""https://docs.google.com/spreadsheets/d/1b6QssH"&amp;"Qp2FoAPSMKHOy273KNzAomaIKhtdlvuZ_zDNE/edit?usp=share_link"",""พัทลุง!J79"")+IMPORTRANGE(""https://docs.google.com/spreadsheets/d/1o7UZe4_OqlqtLDHrj01Z2YFRSZDf1DMy1n3XViHaxRc/edit?usp=share_link"",""ภูเก็ต!J79"")+IMPORTRANGE(""https://docs.google.com/sprea"&amp;"dsheets/d/1ctPm1vUzcUCPuOj9-eoHUD85PqINFqUB0TjdSWmR5-c/edit?usp=share_link"",""ยะลา!J79"")+IMPORTRANGE(""https://docs.google.com/spreadsheets/d/1YiDIE7Klmt8osgdapRqYWNr7iPGFSsiJqq46S7PYRE0/edit?usp=share_link"",""ระนอง!J79"")+IMPORTRANGE(""https://docs.go"&amp;"ogle.com/spreadsheets/d/16o_4B-V7AWw_6E93bSpXj_XxVv1oVQctk-B6z1dNEWU/edit?usp=share_link"",""สงขลา!J79"")+IMPORTRANGE(""https://docs.google.com/spreadsheets/d/16cywr71Fj4fA5OGRHsZh30ZG2gwJhMAQv69oVBzYHv0/edit?usp=share_link"",""สตูล!J79"")+IMPORTRANGE(""h"&amp;"ttps://docs.google.com/spreadsheets/d/1vO9Sws6kMtrVtyvrAJptINXjK8TFBoX9xLYOVK_C8bQ/edit?usp=share_link"",""สุราษฎร์ธานี!J79"")"),60)</f>
        <v>60</v>
      </c>
      <c r="K79" s="163">
        <f t="shared" ca="1" si="59"/>
        <v>100</v>
      </c>
      <c r="L79" s="163"/>
      <c r="M79" s="163"/>
      <c r="N79" s="163"/>
      <c r="O79" s="163"/>
      <c r="P79" s="163"/>
    </row>
    <row r="80" spans="1:26" ht="20.25" customHeight="1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IFERROR(__xludf.DUMMYFUNCTION("IMPORTRANGE(""https://docs.google.com/spreadsheets/d/1kC41EOXpGBFOW658Fs3oD8beYlym0-zO54WY-2Qnp9I/edit?usp=share_link"",""กระบี่!I80"")
+IMPORTRANGE(""https://docs.google.com/spreadsheets/d/1FbzMZY_f3MDiEuK7RpCQKrilJ_kpX0Wm7QBZ1L7EjIU/edit?usp=share_link"&amp;""",""ชุมพร!I80"")+IMPORTRANGE(""https://docs.google.com/spreadsheets/d/1v5sN-00LrXuhBxw4dkh2GrG_z4l5oAqOdJRBCsUyMaM/edit?usp=share_link"",""ตรัง!I80"")+IMPORTRANGE(""https://docs.google.com/spreadsheets/d/1T5rRTzFc79aSIvqnzkZNvwPstq829QYz_xALlO1Z0s8/edit?"&amp;"usp=share_link"",""นครศรีธรรมราช!I80"")+IMPORTRANGE(""https://docs.google.com/spreadsheets/d/1BeghqumK0IvCmRd2QOy6_afsZq7ZtAGrSnVJy2u7WmY/edit?usp=share_link"",""นราธิวาส!I80"")+IMPORTRANGE(""https://docs.google.com/spreadsheets/d/1IwnW3-jjRf74MCLW-6PiFwM"&amp;"UffRQXZwZA7YM609NmRc/edit?usp=share_link"",""ปัตตานี!I80"")+IMPORTRANGE(""https://docs.google.com/spreadsheets/d/1vl4QWbWdFruual5o_wdo6ZSqXZ_it806oja4CctTLKs/edit?usp=share_link"",""พังงา!I80"")+IMPORTRANGE(""https://docs.google.com/spreadsheets/d/1b6QssH"&amp;"Qp2FoAPSMKHOy273KNzAomaIKhtdlvuZ_zDNE/edit?usp=share_link"",""พัทลุง!I80"")+IMPORTRANGE(""https://docs.google.com/spreadsheets/d/1o7UZe4_OqlqtLDHrj01Z2YFRSZDf1DMy1n3XViHaxRc/edit?usp=share_link"",""ภูเก็ต!I80"")+IMPORTRANGE(""https://docs.google.com/sprea"&amp;"dsheets/d/1ctPm1vUzcUCPuOj9-eoHUD85PqINFqUB0TjdSWmR5-c/edit?usp=share_link"",""ยะลา!I80"")+IMPORTRANGE(""https://docs.google.com/spreadsheets/d/1YiDIE7Klmt8osgdapRqYWNr7iPGFSsiJqq46S7PYRE0/edit?usp=share_link"",""ระนอง!I80"")+IMPORTRANGE(""https://docs.go"&amp;"ogle.com/spreadsheets/d/16o_4B-V7AWw_6E93bSpXj_XxVv1oVQctk-B6z1dNEWU/edit?usp=share_link"",""สงขลา!I80"")+IMPORTRANGE(""https://docs.google.com/spreadsheets/d/16cywr71Fj4fA5OGRHsZh30ZG2gwJhMAQv69oVBzYHv0/edit?usp=share_link"",""สตูล!I80"")+IMPORTRANGE(""h"&amp;"ttps://docs.google.com/spreadsheets/d/1vO9Sws6kMtrVtyvrAJptINXjK8TFBoX9xLYOVK_C8bQ/edit?usp=share_link"",""สุราษฎร์ธานี!I80"")"),1)</f>
        <v>1</v>
      </c>
      <c r="J80" s="183">
        <f ca="1">IFERROR(__xludf.DUMMYFUNCTION("IMPORTRANGE(""https://docs.google.com/spreadsheets/d/1kC41EOXpGBFOW658Fs3oD8beYlym0-zO54WY-2Qnp9I/edit?usp=share_link"",""กระบี่!J80"")
+IMPORTRANGE(""https://docs.google.com/spreadsheets/d/1FbzMZY_f3MDiEuK7RpCQKrilJ_kpX0Wm7QBZ1L7EjIU/edit?usp=share_link"&amp;""",""ชุมพร!J80"")+IMPORTRANGE(""https://docs.google.com/spreadsheets/d/1v5sN-00LrXuhBxw4dkh2GrG_z4l5oAqOdJRBCsUyMaM/edit?usp=share_link"",""ตรัง!J80"")+IMPORTRANGE(""https://docs.google.com/spreadsheets/d/1T5rRTzFc79aSIvqnzkZNvwPstq829QYz_xALlO1Z0s8/edit?"&amp;"usp=share_link"",""นครศรีธรรมราช!J80"")+IMPORTRANGE(""https://docs.google.com/spreadsheets/d/1BeghqumK0IvCmRd2QOy6_afsZq7ZtAGrSnVJy2u7WmY/edit?usp=share_link"",""นราธิวาส!J80"")+IMPORTRANGE(""https://docs.google.com/spreadsheets/d/1IwnW3-jjRf74MCLW-6PiFwM"&amp;"UffRQXZwZA7YM609NmRc/edit?usp=share_link"",""ปัตตานี!J80"")+IMPORTRANGE(""https://docs.google.com/spreadsheets/d/1vl4QWbWdFruual5o_wdo6ZSqXZ_it806oja4CctTLKs/edit?usp=share_link"",""พังงา!J80"")+IMPORTRANGE(""https://docs.google.com/spreadsheets/d/1b6QssH"&amp;"Qp2FoAPSMKHOy273KNzAomaIKhtdlvuZ_zDNE/edit?usp=share_link"",""พัทลุง!J80"")+IMPORTRANGE(""https://docs.google.com/spreadsheets/d/1o7UZe4_OqlqtLDHrj01Z2YFRSZDf1DMy1n3XViHaxRc/edit?usp=share_link"",""ภูเก็ต!J80"")+IMPORTRANGE(""https://docs.google.com/sprea"&amp;"dsheets/d/1ctPm1vUzcUCPuOj9-eoHUD85PqINFqUB0TjdSWmR5-c/edit?usp=share_link"",""ยะลา!J80"")+IMPORTRANGE(""https://docs.google.com/spreadsheets/d/1YiDIE7Klmt8osgdapRqYWNr7iPGFSsiJqq46S7PYRE0/edit?usp=share_link"",""ระนอง!J80"")+IMPORTRANGE(""https://docs.go"&amp;"ogle.com/spreadsheets/d/16o_4B-V7AWw_6E93bSpXj_XxVv1oVQctk-B6z1dNEWU/edit?usp=share_link"",""สงขลา!J80"")+IMPORTRANGE(""https://docs.google.com/spreadsheets/d/16cywr71Fj4fA5OGRHsZh30ZG2gwJhMAQv69oVBzYHv0/edit?usp=share_link"",""สตูล!J80"")+IMPORTRANGE(""h"&amp;"ttps://docs.google.com/spreadsheets/d/1vO9Sws6kMtrVtyvrAJptINXjK8TFBoX9xLYOVK_C8bQ/edit?usp=share_link"",""สุราษฎร์ธานี!J80"")"),1)</f>
        <v>1</v>
      </c>
      <c r="K80" s="163">
        <f t="shared" ca="1" si="59"/>
        <v>100</v>
      </c>
      <c r="L80" s="163"/>
      <c r="M80" s="163"/>
      <c r="N80" s="163"/>
      <c r="O80" s="163"/>
      <c r="P80" s="163"/>
    </row>
    <row r="81" spans="1:26" ht="20.25" customHeight="1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IFERROR(__xludf.DUMMYFUNCTION("IMPORTRANGE(""https://docs.google.com/spreadsheets/d/1kC41EOXpGBFOW658Fs3oD8beYlym0-zO54WY-2Qnp9I/edit?usp=share_link"",""กระบี่!I81"")
+IMPORTRANGE(""https://docs.google.com/spreadsheets/d/1FbzMZY_f3MDiEuK7RpCQKrilJ_kpX0Wm7QBZ1L7EjIU/edit?usp=share_link"&amp;""",""ชุมพร!I81"")+IMPORTRANGE(""https://docs.google.com/spreadsheets/d/1v5sN-00LrXuhBxw4dkh2GrG_z4l5oAqOdJRBCsUyMaM/edit?usp=share_link"",""ตรัง!I81"")+IMPORTRANGE(""https://docs.google.com/spreadsheets/d/1T5rRTzFc79aSIvqnzkZNvwPstq829QYz_xALlO1Z0s8/edit?"&amp;"usp=share_link"",""นครศรีธรรมราช!I81"")+IMPORTRANGE(""https://docs.google.com/spreadsheets/d/1BeghqumK0IvCmRd2QOy6_afsZq7ZtAGrSnVJy2u7WmY/edit?usp=share_link"",""นราธิวาส!I81"")+IMPORTRANGE(""https://docs.google.com/spreadsheets/d/1IwnW3-jjRf74MCLW-6PiFwM"&amp;"UffRQXZwZA7YM609NmRc/edit?usp=share_link"",""ปัตตานี!I81"")+IMPORTRANGE(""https://docs.google.com/spreadsheets/d/1vl4QWbWdFruual5o_wdo6ZSqXZ_it806oja4CctTLKs/edit?usp=share_link"",""พังงา!I81"")+IMPORTRANGE(""https://docs.google.com/spreadsheets/d/1b6QssH"&amp;"Qp2FoAPSMKHOy273KNzAomaIKhtdlvuZ_zDNE/edit?usp=share_link"",""พัทลุง!I81"")+IMPORTRANGE(""https://docs.google.com/spreadsheets/d/1o7UZe4_OqlqtLDHrj01Z2YFRSZDf1DMy1n3XViHaxRc/edit?usp=share_link"",""ภูเก็ต!I81"")+IMPORTRANGE(""https://docs.google.com/sprea"&amp;"dsheets/d/1ctPm1vUzcUCPuOj9-eoHUD85PqINFqUB0TjdSWmR5-c/edit?usp=share_link"",""ยะลา!I81"")+IMPORTRANGE(""https://docs.google.com/spreadsheets/d/1YiDIE7Klmt8osgdapRqYWNr7iPGFSsiJqq46S7PYRE0/edit?usp=share_link"",""ระนอง!I81"")+IMPORTRANGE(""https://docs.go"&amp;"ogle.com/spreadsheets/d/16o_4B-V7AWw_6E93bSpXj_XxVv1oVQctk-B6z1dNEWU/edit?usp=share_link"",""สงขลา!I81"")+IMPORTRANGE(""https://docs.google.com/spreadsheets/d/16cywr71Fj4fA5OGRHsZh30ZG2gwJhMAQv69oVBzYHv0/edit?usp=share_link"",""สตูล!I81"")+IMPORTRANGE(""h"&amp;"ttps://docs.google.com/spreadsheets/d/1vO9Sws6kMtrVtyvrAJptINXjK8TFBoX9xLYOVK_C8bQ/edit?usp=share_link"",""สุราษฎร์ธานี!I81"")"),30)</f>
        <v>30</v>
      </c>
      <c r="J81" s="183">
        <f ca="1">IFERROR(__xludf.DUMMYFUNCTION("IMPORTRANGE(""https://docs.google.com/spreadsheets/d/1kC41EOXpGBFOW658Fs3oD8beYlym0-zO54WY-2Qnp9I/edit?usp=share_link"",""กระบี่!J81"")
+IMPORTRANGE(""https://docs.google.com/spreadsheets/d/1FbzMZY_f3MDiEuK7RpCQKrilJ_kpX0Wm7QBZ1L7EjIU/edit?usp=share_link"&amp;""",""ชุมพร!J81"")+IMPORTRANGE(""https://docs.google.com/spreadsheets/d/1v5sN-00LrXuhBxw4dkh2GrG_z4l5oAqOdJRBCsUyMaM/edit?usp=share_link"",""ตรัง!J81"")+IMPORTRANGE(""https://docs.google.com/spreadsheets/d/1T5rRTzFc79aSIvqnzkZNvwPstq829QYz_xALlO1Z0s8/edit?"&amp;"usp=share_link"",""นครศรีธรรมราช!J81"")+IMPORTRANGE(""https://docs.google.com/spreadsheets/d/1BeghqumK0IvCmRd2QOy6_afsZq7ZtAGrSnVJy2u7WmY/edit?usp=share_link"",""นราธิวาส!J81"")+IMPORTRANGE(""https://docs.google.com/spreadsheets/d/1IwnW3-jjRf74MCLW-6PiFwM"&amp;"UffRQXZwZA7YM609NmRc/edit?usp=share_link"",""ปัตตานี!J81"")+IMPORTRANGE(""https://docs.google.com/spreadsheets/d/1vl4QWbWdFruual5o_wdo6ZSqXZ_it806oja4CctTLKs/edit?usp=share_link"",""พังงา!J81"")+IMPORTRANGE(""https://docs.google.com/spreadsheets/d/1b6QssH"&amp;"Qp2FoAPSMKHOy273KNzAomaIKhtdlvuZ_zDNE/edit?usp=share_link"",""พัทลุง!J81"")+IMPORTRANGE(""https://docs.google.com/spreadsheets/d/1o7UZe4_OqlqtLDHrj01Z2YFRSZDf1DMy1n3XViHaxRc/edit?usp=share_link"",""ภูเก็ต!J81"")+IMPORTRANGE(""https://docs.google.com/sprea"&amp;"dsheets/d/1ctPm1vUzcUCPuOj9-eoHUD85PqINFqUB0TjdSWmR5-c/edit?usp=share_link"",""ยะลา!J81"")+IMPORTRANGE(""https://docs.google.com/spreadsheets/d/1YiDIE7Klmt8osgdapRqYWNr7iPGFSsiJqq46S7PYRE0/edit?usp=share_link"",""ระนอง!J81"")+IMPORTRANGE(""https://docs.go"&amp;"ogle.com/spreadsheets/d/16o_4B-V7AWw_6E93bSpXj_XxVv1oVQctk-B6z1dNEWU/edit?usp=share_link"",""สงขลา!J81"")+IMPORTRANGE(""https://docs.google.com/spreadsheets/d/16cywr71Fj4fA5OGRHsZh30ZG2gwJhMAQv69oVBzYHv0/edit?usp=share_link"",""สตูล!J81"")+IMPORTRANGE(""h"&amp;"ttps://docs.google.com/spreadsheets/d/1vO9Sws6kMtrVtyvrAJptINXjK8TFBoX9xLYOVK_C8bQ/edit?usp=share_link"",""สุราษฎร์ธานี!J81"")"),30)</f>
        <v>30</v>
      </c>
      <c r="K81" s="163">
        <f t="shared" ca="1" si="59"/>
        <v>100</v>
      </c>
      <c r="L81" s="163"/>
      <c r="M81" s="163"/>
      <c r="N81" s="163"/>
      <c r="O81" s="163"/>
      <c r="P81" s="163"/>
    </row>
    <row r="82" spans="1:26" ht="20.25" customHeight="1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IFERROR(__xludf.DUMMYFUNCTION("IMPORTRANGE(""https://docs.google.com/spreadsheets/d/1kC41EOXpGBFOW658Fs3oD8beYlym0-zO54WY-2Qnp9I/edit?usp=share_link"",""กระบี่!I82"")
+IMPORTRANGE(""https://docs.google.com/spreadsheets/d/1FbzMZY_f3MDiEuK7RpCQKrilJ_kpX0Wm7QBZ1L7EjIU/edit?usp=share_link"&amp;""",""ชุมพร!I82"")+IMPORTRANGE(""https://docs.google.com/spreadsheets/d/1v5sN-00LrXuhBxw4dkh2GrG_z4l5oAqOdJRBCsUyMaM/edit?usp=share_link"",""ตรัง!I82"")+IMPORTRANGE(""https://docs.google.com/spreadsheets/d/1T5rRTzFc79aSIvqnzkZNvwPstq829QYz_xALlO1Z0s8/edit?"&amp;"usp=share_link"",""นครศรีธรรมราช!I82"")+IMPORTRANGE(""https://docs.google.com/spreadsheets/d/1BeghqumK0IvCmRd2QOy6_afsZq7ZtAGrSnVJy2u7WmY/edit?usp=share_link"",""นราธิวาส!I82"")+IMPORTRANGE(""https://docs.google.com/spreadsheets/d/1IwnW3-jjRf74MCLW-6PiFwM"&amp;"UffRQXZwZA7YM609NmRc/edit?usp=share_link"",""ปัตตานี!I82"")+IMPORTRANGE(""https://docs.google.com/spreadsheets/d/1vl4QWbWdFruual5o_wdo6ZSqXZ_it806oja4CctTLKs/edit?usp=share_link"",""พังงา!I82"")+IMPORTRANGE(""https://docs.google.com/spreadsheets/d/1b6QssH"&amp;"Qp2FoAPSMKHOy273KNzAomaIKhtdlvuZ_zDNE/edit?usp=share_link"",""พัทลุง!I82"")+IMPORTRANGE(""https://docs.google.com/spreadsheets/d/1o7UZe4_OqlqtLDHrj01Z2YFRSZDf1DMy1n3XViHaxRc/edit?usp=share_link"",""ภูเก็ต!I82"")+IMPORTRANGE(""https://docs.google.com/sprea"&amp;"dsheets/d/1ctPm1vUzcUCPuOj9-eoHUD85PqINFqUB0TjdSWmR5-c/edit?usp=share_link"",""ยะลา!I82"")+IMPORTRANGE(""https://docs.google.com/spreadsheets/d/1YiDIE7Klmt8osgdapRqYWNr7iPGFSsiJqq46S7PYRE0/edit?usp=share_link"",""ระนอง!I82"")+IMPORTRANGE(""https://docs.go"&amp;"ogle.com/spreadsheets/d/16o_4B-V7AWw_6E93bSpXj_XxVv1oVQctk-B6z1dNEWU/edit?usp=share_link"",""สงขลา!I82"")+IMPORTRANGE(""https://docs.google.com/spreadsheets/d/16cywr71Fj4fA5OGRHsZh30ZG2gwJhMAQv69oVBzYHv0/edit?usp=share_link"",""สตูล!I82"")+IMPORTRANGE(""h"&amp;"ttps://docs.google.com/spreadsheets/d/1vO9Sws6kMtrVtyvrAJptINXjK8TFBoX9xLYOVK_C8bQ/edit?usp=share_link"",""สุราษฎร์ธานี!I82"")"),1)</f>
        <v>1</v>
      </c>
      <c r="J82" s="183">
        <f ca="1">IFERROR(__xludf.DUMMYFUNCTION("IMPORTRANGE(""https://docs.google.com/spreadsheets/d/1kC41EOXpGBFOW658Fs3oD8beYlym0-zO54WY-2Qnp9I/edit?usp=share_link"",""กระบี่!J82"")
+IMPORTRANGE(""https://docs.google.com/spreadsheets/d/1FbzMZY_f3MDiEuK7RpCQKrilJ_kpX0Wm7QBZ1L7EjIU/edit?usp=share_link"&amp;""",""ชุมพร!J82"")+IMPORTRANGE(""https://docs.google.com/spreadsheets/d/1v5sN-00LrXuhBxw4dkh2GrG_z4l5oAqOdJRBCsUyMaM/edit?usp=share_link"",""ตรัง!J82"")+IMPORTRANGE(""https://docs.google.com/spreadsheets/d/1T5rRTzFc79aSIvqnzkZNvwPstq829QYz_xALlO1Z0s8/edit?"&amp;"usp=share_link"",""นครศรีธรรมราช!J82"")+IMPORTRANGE(""https://docs.google.com/spreadsheets/d/1BeghqumK0IvCmRd2QOy6_afsZq7ZtAGrSnVJy2u7WmY/edit?usp=share_link"",""นราธิวาส!J82"")+IMPORTRANGE(""https://docs.google.com/spreadsheets/d/1IwnW3-jjRf74MCLW-6PiFwM"&amp;"UffRQXZwZA7YM609NmRc/edit?usp=share_link"",""ปัตตานี!J82"")+IMPORTRANGE(""https://docs.google.com/spreadsheets/d/1vl4QWbWdFruual5o_wdo6ZSqXZ_it806oja4CctTLKs/edit?usp=share_link"",""พังงา!J82"")+IMPORTRANGE(""https://docs.google.com/spreadsheets/d/1b6QssH"&amp;"Qp2FoAPSMKHOy273KNzAomaIKhtdlvuZ_zDNE/edit?usp=share_link"",""พัทลุง!J82"")+IMPORTRANGE(""https://docs.google.com/spreadsheets/d/1o7UZe4_OqlqtLDHrj01Z2YFRSZDf1DMy1n3XViHaxRc/edit?usp=share_link"",""ภูเก็ต!J82"")+IMPORTRANGE(""https://docs.google.com/sprea"&amp;"dsheets/d/1ctPm1vUzcUCPuOj9-eoHUD85PqINFqUB0TjdSWmR5-c/edit?usp=share_link"",""ยะลา!J82"")+IMPORTRANGE(""https://docs.google.com/spreadsheets/d/1YiDIE7Klmt8osgdapRqYWNr7iPGFSsiJqq46S7PYRE0/edit?usp=share_link"",""ระนอง!J82"")+IMPORTRANGE(""https://docs.go"&amp;"ogle.com/spreadsheets/d/16o_4B-V7AWw_6E93bSpXj_XxVv1oVQctk-B6z1dNEWU/edit?usp=share_link"",""สงขลา!J82"")+IMPORTRANGE(""https://docs.google.com/spreadsheets/d/16cywr71Fj4fA5OGRHsZh30ZG2gwJhMAQv69oVBzYHv0/edit?usp=share_link"",""สตูล!J82"")+IMPORTRANGE(""h"&amp;"ttps://docs.google.com/spreadsheets/d/1vO9Sws6kMtrVtyvrAJptINXjK8TFBoX9xLYOVK_C8bQ/edit?usp=share_link"",""สุราษฎร์ธานี!J82"")"),1)</f>
        <v>1</v>
      </c>
      <c r="K82" s="163">
        <f t="shared" ca="1" si="59"/>
        <v>100</v>
      </c>
      <c r="L82" s="163"/>
      <c r="M82" s="163"/>
      <c r="N82" s="163"/>
      <c r="O82" s="163"/>
      <c r="P82" s="163"/>
    </row>
    <row r="83" spans="1:26" ht="20.25" customHeight="1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IFERROR(__xludf.DUMMYFUNCTION("IMPORTRANGE(""https://docs.google.com/spreadsheets/d/1kC41EOXpGBFOW658Fs3oD8beYlym0-zO54WY-2Qnp9I/edit?usp=share_link"",""กระบี่!I83"")
+IMPORTRANGE(""https://docs.google.com/spreadsheets/d/1FbzMZY_f3MDiEuK7RpCQKrilJ_kpX0Wm7QBZ1L7EjIU/edit?usp=share_link"&amp;""",""ชุมพร!I83"")+IMPORTRANGE(""https://docs.google.com/spreadsheets/d/1v5sN-00LrXuhBxw4dkh2GrG_z4l5oAqOdJRBCsUyMaM/edit?usp=share_link"",""ตรัง!I83"")+IMPORTRANGE(""https://docs.google.com/spreadsheets/d/1T5rRTzFc79aSIvqnzkZNvwPstq829QYz_xALlO1Z0s8/edit?"&amp;"usp=share_link"",""นครศรีธรรมราช!I83"")+IMPORTRANGE(""https://docs.google.com/spreadsheets/d/1BeghqumK0IvCmRd2QOy6_afsZq7ZtAGrSnVJy2u7WmY/edit?usp=share_link"",""นราธิวาส!I83"")+IMPORTRANGE(""https://docs.google.com/spreadsheets/d/1IwnW3-jjRf74MCLW-6PiFwM"&amp;"UffRQXZwZA7YM609NmRc/edit?usp=share_link"",""ปัตตานี!I83"")+IMPORTRANGE(""https://docs.google.com/spreadsheets/d/1vl4QWbWdFruual5o_wdo6ZSqXZ_it806oja4CctTLKs/edit?usp=share_link"",""พังงา!I83"")+IMPORTRANGE(""https://docs.google.com/spreadsheets/d/1b6QssH"&amp;"Qp2FoAPSMKHOy273KNzAomaIKhtdlvuZ_zDNE/edit?usp=share_link"",""พัทลุง!I83"")+IMPORTRANGE(""https://docs.google.com/spreadsheets/d/1o7UZe4_OqlqtLDHrj01Z2YFRSZDf1DMy1n3XViHaxRc/edit?usp=share_link"",""ภูเก็ต!I83"")+IMPORTRANGE(""https://docs.google.com/sprea"&amp;"dsheets/d/1ctPm1vUzcUCPuOj9-eoHUD85PqINFqUB0TjdSWmR5-c/edit?usp=share_link"",""ยะลา!I83"")+IMPORTRANGE(""https://docs.google.com/spreadsheets/d/1YiDIE7Klmt8osgdapRqYWNr7iPGFSsiJqq46S7PYRE0/edit?usp=share_link"",""ระนอง!I83"")+IMPORTRANGE(""https://docs.go"&amp;"ogle.com/spreadsheets/d/16o_4B-V7AWw_6E93bSpXj_XxVv1oVQctk-B6z1dNEWU/edit?usp=share_link"",""สงขลา!I83"")+IMPORTRANGE(""https://docs.google.com/spreadsheets/d/16cywr71Fj4fA5OGRHsZh30ZG2gwJhMAQv69oVBzYHv0/edit?usp=share_link"",""สตูล!I83"")+IMPORTRANGE(""h"&amp;"ttps://docs.google.com/spreadsheets/d/1vO9Sws6kMtrVtyvrAJptINXjK8TFBoX9xLYOVK_C8bQ/edit?usp=share_link"",""สุราษฎร์ธานี!I83"")"),30)</f>
        <v>30</v>
      </c>
      <c r="J83" s="183">
        <f ca="1">IFERROR(__xludf.DUMMYFUNCTION("IMPORTRANGE(""https://docs.google.com/spreadsheets/d/1kC41EOXpGBFOW658Fs3oD8beYlym0-zO54WY-2Qnp9I/edit?usp=share_link"",""กระบี่!J83"")
+IMPORTRANGE(""https://docs.google.com/spreadsheets/d/1FbzMZY_f3MDiEuK7RpCQKrilJ_kpX0Wm7QBZ1L7EjIU/edit?usp=share_link"&amp;""",""ชุมพร!J83"")+IMPORTRANGE(""https://docs.google.com/spreadsheets/d/1v5sN-00LrXuhBxw4dkh2GrG_z4l5oAqOdJRBCsUyMaM/edit?usp=share_link"",""ตรัง!J83"")+IMPORTRANGE(""https://docs.google.com/spreadsheets/d/1T5rRTzFc79aSIvqnzkZNvwPstq829QYz_xALlO1Z0s8/edit?"&amp;"usp=share_link"",""นครศรีธรรมราช!J83"")+IMPORTRANGE(""https://docs.google.com/spreadsheets/d/1BeghqumK0IvCmRd2QOy6_afsZq7ZtAGrSnVJy2u7WmY/edit?usp=share_link"",""นราธิวาส!J83"")+IMPORTRANGE(""https://docs.google.com/spreadsheets/d/1IwnW3-jjRf74MCLW-6PiFwM"&amp;"UffRQXZwZA7YM609NmRc/edit?usp=share_link"",""ปัตตานี!J83"")+IMPORTRANGE(""https://docs.google.com/spreadsheets/d/1vl4QWbWdFruual5o_wdo6ZSqXZ_it806oja4CctTLKs/edit?usp=share_link"",""พังงา!J83"")+IMPORTRANGE(""https://docs.google.com/spreadsheets/d/1b6QssH"&amp;"Qp2FoAPSMKHOy273KNzAomaIKhtdlvuZ_zDNE/edit?usp=share_link"",""พัทลุง!J83"")+IMPORTRANGE(""https://docs.google.com/spreadsheets/d/1o7UZe4_OqlqtLDHrj01Z2YFRSZDf1DMy1n3XViHaxRc/edit?usp=share_link"",""ภูเก็ต!J83"")+IMPORTRANGE(""https://docs.google.com/sprea"&amp;"dsheets/d/1ctPm1vUzcUCPuOj9-eoHUD85PqINFqUB0TjdSWmR5-c/edit?usp=share_link"",""ยะลา!J83"")+IMPORTRANGE(""https://docs.google.com/spreadsheets/d/1YiDIE7Klmt8osgdapRqYWNr7iPGFSsiJqq46S7PYRE0/edit?usp=share_link"",""ระนอง!J83"")+IMPORTRANGE(""https://docs.go"&amp;"ogle.com/spreadsheets/d/16o_4B-V7AWw_6E93bSpXj_XxVv1oVQctk-B6z1dNEWU/edit?usp=share_link"",""สงขลา!J83"")+IMPORTRANGE(""https://docs.google.com/spreadsheets/d/16cywr71Fj4fA5OGRHsZh30ZG2gwJhMAQv69oVBzYHv0/edit?usp=share_link"",""สตูล!J83"")+IMPORTRANGE(""h"&amp;"ttps://docs.google.com/spreadsheets/d/1vO9Sws6kMtrVtyvrAJptINXjK8TFBoX9xLYOVK_C8bQ/edit?usp=share_link"",""สุราษฎร์ธานี!J83"")"),30)</f>
        <v>30</v>
      </c>
      <c r="K83" s="163">
        <f t="shared" ca="1" si="59"/>
        <v>100</v>
      </c>
      <c r="L83" s="163"/>
      <c r="M83" s="163"/>
      <c r="N83" s="163"/>
      <c r="O83" s="163"/>
      <c r="P83" s="163"/>
    </row>
    <row r="84" spans="1:26" ht="20.25" customHeight="1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IFERROR(__xludf.DUMMYFUNCTION("IMPORTRANGE(""https://docs.google.com/spreadsheets/d/1kC41EOXpGBFOW658Fs3oD8beYlym0-zO54WY-2Qnp9I/edit?usp=share_link"",""กระบี่!I84"")
+IMPORTRANGE(""https://docs.google.com/spreadsheets/d/1FbzMZY_f3MDiEuK7RpCQKrilJ_kpX0Wm7QBZ1L7EjIU/edit?usp=share_link"&amp;""",""ชุมพร!I84"")+IMPORTRANGE(""https://docs.google.com/spreadsheets/d/1v5sN-00LrXuhBxw4dkh2GrG_z4l5oAqOdJRBCsUyMaM/edit?usp=share_link"",""ตรัง!I84"")+IMPORTRANGE(""https://docs.google.com/spreadsheets/d/1T5rRTzFc79aSIvqnzkZNvwPstq829QYz_xALlO1Z0s8/edit?"&amp;"usp=share_link"",""นครศรีธรรมราช!I84"")+IMPORTRANGE(""https://docs.google.com/spreadsheets/d/1BeghqumK0IvCmRd2QOy6_afsZq7ZtAGrSnVJy2u7WmY/edit?usp=share_link"",""นราธิวาส!I84"")+IMPORTRANGE(""https://docs.google.com/spreadsheets/d/1IwnW3-jjRf74MCLW-6PiFwM"&amp;"UffRQXZwZA7YM609NmRc/edit?usp=share_link"",""ปัตตานี!I84"")+IMPORTRANGE(""https://docs.google.com/spreadsheets/d/1vl4QWbWdFruual5o_wdo6ZSqXZ_it806oja4CctTLKs/edit?usp=share_link"",""พังงา!I84"")+IMPORTRANGE(""https://docs.google.com/spreadsheets/d/1b6QssH"&amp;"Qp2FoAPSMKHOy273KNzAomaIKhtdlvuZ_zDNE/edit?usp=share_link"",""พัทลุง!I84"")+IMPORTRANGE(""https://docs.google.com/spreadsheets/d/1o7UZe4_OqlqtLDHrj01Z2YFRSZDf1DMy1n3XViHaxRc/edit?usp=share_link"",""ภูเก็ต!I84"")+IMPORTRANGE(""https://docs.google.com/sprea"&amp;"dsheets/d/1ctPm1vUzcUCPuOj9-eoHUD85PqINFqUB0TjdSWmR5-c/edit?usp=share_link"",""ยะลา!I84"")+IMPORTRANGE(""https://docs.google.com/spreadsheets/d/1YiDIE7Klmt8osgdapRqYWNr7iPGFSsiJqq46S7PYRE0/edit?usp=share_link"",""ระนอง!I84"")+IMPORTRANGE(""https://docs.go"&amp;"ogle.com/spreadsheets/d/16o_4B-V7AWw_6E93bSpXj_XxVv1oVQctk-B6z1dNEWU/edit?usp=share_link"",""สงขลา!I84"")+IMPORTRANGE(""https://docs.google.com/spreadsheets/d/16cywr71Fj4fA5OGRHsZh30ZG2gwJhMAQv69oVBzYHv0/edit?usp=share_link"",""สตูล!I84"")+IMPORTRANGE(""h"&amp;"ttps://docs.google.com/spreadsheets/d/1vO9Sws6kMtrVtyvrAJptINXjK8TFBoX9xLYOVK_C8bQ/edit?usp=share_link"",""สุราษฎร์ธานี!I84"")"),4)</f>
        <v>4</v>
      </c>
      <c r="J84" s="183">
        <f ca="1">IFERROR(__xludf.DUMMYFUNCTION("IMPORTRANGE(""https://docs.google.com/spreadsheets/d/1kC41EOXpGBFOW658Fs3oD8beYlym0-zO54WY-2Qnp9I/edit?usp=share_link"",""กระบี่!J84"")
+IMPORTRANGE(""https://docs.google.com/spreadsheets/d/1FbzMZY_f3MDiEuK7RpCQKrilJ_kpX0Wm7QBZ1L7EjIU/edit?usp=share_link"&amp;""",""ชุมพร!J84"")+IMPORTRANGE(""https://docs.google.com/spreadsheets/d/1v5sN-00LrXuhBxw4dkh2GrG_z4l5oAqOdJRBCsUyMaM/edit?usp=share_link"",""ตรัง!J84"")+IMPORTRANGE(""https://docs.google.com/spreadsheets/d/1T5rRTzFc79aSIvqnzkZNvwPstq829QYz_xALlO1Z0s8/edit?"&amp;"usp=share_link"",""นครศรีธรรมราช!J84"")+IMPORTRANGE(""https://docs.google.com/spreadsheets/d/1BeghqumK0IvCmRd2QOy6_afsZq7ZtAGrSnVJy2u7WmY/edit?usp=share_link"",""นราธิวาส!J84"")+IMPORTRANGE(""https://docs.google.com/spreadsheets/d/1IwnW3-jjRf74MCLW-6PiFwM"&amp;"UffRQXZwZA7YM609NmRc/edit?usp=share_link"",""ปัตตานี!J84"")+IMPORTRANGE(""https://docs.google.com/spreadsheets/d/1vl4QWbWdFruual5o_wdo6ZSqXZ_it806oja4CctTLKs/edit?usp=share_link"",""พังงา!J84"")+IMPORTRANGE(""https://docs.google.com/spreadsheets/d/1b6QssH"&amp;"Qp2FoAPSMKHOy273KNzAomaIKhtdlvuZ_zDNE/edit?usp=share_link"",""พัทลุง!J84"")+IMPORTRANGE(""https://docs.google.com/spreadsheets/d/1o7UZe4_OqlqtLDHrj01Z2YFRSZDf1DMy1n3XViHaxRc/edit?usp=share_link"",""ภูเก็ต!J84"")+IMPORTRANGE(""https://docs.google.com/sprea"&amp;"dsheets/d/1ctPm1vUzcUCPuOj9-eoHUD85PqINFqUB0TjdSWmR5-c/edit?usp=share_link"",""ยะลา!J84"")+IMPORTRANGE(""https://docs.google.com/spreadsheets/d/1YiDIE7Klmt8osgdapRqYWNr7iPGFSsiJqq46S7PYRE0/edit?usp=share_link"",""ระนอง!J84"")+IMPORTRANGE(""https://docs.go"&amp;"ogle.com/spreadsheets/d/16o_4B-V7AWw_6E93bSpXj_XxVv1oVQctk-B6z1dNEWU/edit?usp=share_link"",""สงขลา!J84"")+IMPORTRANGE(""https://docs.google.com/spreadsheets/d/16cywr71Fj4fA5OGRHsZh30ZG2gwJhMAQv69oVBzYHv0/edit?usp=share_link"",""สตูล!J84"")+IMPORTRANGE(""h"&amp;"ttps://docs.google.com/spreadsheets/d/1vO9Sws6kMtrVtyvrAJptINXjK8TFBoX9xLYOVK_C8bQ/edit?usp=share_link"",""สุราษฎร์ธานี!J84"")"),0)</f>
        <v>0</v>
      </c>
      <c r="K84" s="163">
        <f t="shared" ca="1" si="59"/>
        <v>0</v>
      </c>
      <c r="L84" s="163"/>
      <c r="M84" s="163"/>
      <c r="N84" s="163"/>
      <c r="O84" s="163"/>
      <c r="P84" s="163"/>
    </row>
    <row r="85" spans="1:26" ht="20.25" customHeight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20.25" customHeight="1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1">I98</f>
        <v>285</v>
      </c>
      <c r="J86" s="144">
        <f t="shared" ca="1" si="61"/>
        <v>285</v>
      </c>
      <c r="K86" s="145">
        <f t="shared" ref="K86:K87" ca="1" si="62">IF(I86&gt;0,J86*100/I86,0)</f>
        <v>100</v>
      </c>
      <c r="L86" s="146"/>
      <c r="M86" s="146"/>
      <c r="N86" s="146"/>
      <c r="O86" s="146"/>
      <c r="P86" s="146"/>
    </row>
    <row r="87" spans="1:26" ht="20.25" customHeight="1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3">I99</f>
        <v>95</v>
      </c>
      <c r="J87" s="144">
        <f t="shared" ca="1" si="63"/>
        <v>95</v>
      </c>
      <c r="K87" s="145">
        <f t="shared" ca="1" si="62"/>
        <v>100</v>
      </c>
      <c r="L87" s="146"/>
      <c r="M87" s="146"/>
      <c r="N87" s="146"/>
      <c r="O87" s="146"/>
      <c r="P87" s="146"/>
    </row>
    <row r="88" spans="1:26" ht="20.25" customHeight="1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4">L89+L90</f>
        <v>2722980</v>
      </c>
      <c r="M88" s="155">
        <f t="shared" ca="1" si="64"/>
        <v>2109330</v>
      </c>
      <c r="N88" s="155">
        <f t="shared" ca="1" si="64"/>
        <v>1344306.8499999901</v>
      </c>
      <c r="O88" s="155">
        <f t="shared" ref="O88:O96" ca="1" si="65">IF(L88&gt;0,N88*100/L88,0)</f>
        <v>49.368957906410998</v>
      </c>
      <c r="P88" s="155">
        <f t="shared" ref="P88:P96" ca="1" si="66">IF(M88&gt;0,N88*100/M88,0)</f>
        <v>63.731462123043343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20.25" hidden="1" customHeight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7">L92+L95</f>
        <v>0</v>
      </c>
      <c r="M89" s="45">
        <f t="shared" si="67"/>
        <v>0</v>
      </c>
      <c r="N89" s="45">
        <f t="shared" si="67"/>
        <v>0</v>
      </c>
      <c r="O89" s="45">
        <f t="shared" si="65"/>
        <v>0</v>
      </c>
      <c r="P89" s="45">
        <f t="shared" si="6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0.25" hidden="1" customHeight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8">L93+L96</f>
        <v>2722980</v>
      </c>
      <c r="M90" s="45">
        <f t="shared" ca="1" si="68"/>
        <v>2109330</v>
      </c>
      <c r="N90" s="45">
        <f t="shared" ca="1" si="68"/>
        <v>1344306.8499999901</v>
      </c>
      <c r="O90" s="45">
        <f t="shared" ca="1" si="65"/>
        <v>49.368957906410998</v>
      </c>
      <c r="P90" s="45">
        <f t="shared" ca="1" si="66"/>
        <v>63.731462123043343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20.25" customHeight="1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69">L92+L93</f>
        <v>2722980</v>
      </c>
      <c r="M91" s="38">
        <f t="shared" ca="1" si="69"/>
        <v>2109330</v>
      </c>
      <c r="N91" s="38">
        <f t="shared" ca="1" si="69"/>
        <v>1344306.8499999901</v>
      </c>
      <c r="O91" s="38">
        <f t="shared" ca="1" si="65"/>
        <v>49.368957906410998</v>
      </c>
      <c r="P91" s="38">
        <f t="shared" ca="1" si="66"/>
        <v>63.731462123043343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20.25" hidden="1" customHeight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5"/>
        <v>0</v>
      </c>
      <c r="P92" s="45">
        <f t="shared" si="6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20.25" hidden="1" customHeight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IFERROR(__xludf.DUMMYFUNCTION("IMPORTRANGE(""https://docs.google.com/spreadsheets/d/1kC41EOXpGBFOW658Fs3oD8beYlym0-zO54WY-2Qnp9I/edit?usp=share_link"",""กระบี่!L93"")
+IMPORTRANGE(""https://docs.google.com/spreadsheets/d/1FbzMZY_f3MDiEuK7RpCQKrilJ_kpX0Wm7QBZ1L7EjIU/edit?usp=share_link"&amp;""",""ชุมพร!L93"")+IMPORTRANGE(""https://docs.google.com/spreadsheets/d/1v5sN-00LrXuhBxw4dkh2GrG_z4l5oAqOdJRBCsUyMaM/edit?usp=share_link"",""ตรัง!L93"")+IMPORTRANGE(""https://docs.google.com/spreadsheets/d/1T5rRTzFc79aSIvqnzkZNvwPstq829QYz_xALlO1Z0s8/edit?"&amp;"usp=share_link"",""นครศรีธรรมราช!L93"")+IMPORTRANGE(""https://docs.google.com/spreadsheets/d/1BeghqumK0IvCmRd2QOy6_afsZq7ZtAGrSnVJy2u7WmY/edit?usp=share_link"",""นราธิวาส!L93"")+IMPORTRANGE(""https://docs.google.com/spreadsheets/d/1IwnW3-jjRf74MCLW-6PiFwM"&amp;"UffRQXZwZA7YM609NmRc/edit?usp=share_link"",""ปัตตานี!L93"")+IMPORTRANGE(""https://docs.google.com/spreadsheets/d/1vl4QWbWdFruual5o_wdo6ZSqXZ_it806oja4CctTLKs/edit?usp=share_link"",""พังงา!L93"")+IMPORTRANGE(""https://docs.google.com/spreadsheets/d/1b6QssH"&amp;"Qp2FoAPSMKHOy273KNzAomaIKhtdlvuZ_zDNE/edit?usp=share_link"",""พัทลุง!L93"")+IMPORTRANGE(""https://docs.google.com/spreadsheets/d/1o7UZe4_OqlqtLDHrj01Z2YFRSZDf1DMy1n3XViHaxRc/edit?usp=share_link"",""ภูเก็ต!L93"")+IMPORTRANGE(""https://docs.google.com/sprea"&amp;"dsheets/d/1ctPm1vUzcUCPuOj9-eoHUD85PqINFqUB0TjdSWmR5-c/edit?usp=share_link"",""ยะลา!L93"")+IMPORTRANGE(""https://docs.google.com/spreadsheets/d/1YiDIE7Klmt8osgdapRqYWNr7iPGFSsiJqq46S7PYRE0/edit?usp=share_link"",""ระนอง!L93"")+IMPORTRANGE(""https://docs.go"&amp;"ogle.com/spreadsheets/d/16o_4B-V7AWw_6E93bSpXj_XxVv1oVQctk-B6z1dNEWU/edit?usp=share_link"",""สงขลา!L93"")+IMPORTRANGE(""https://docs.google.com/spreadsheets/d/16cywr71Fj4fA5OGRHsZh30ZG2gwJhMAQv69oVBzYHv0/edit?usp=share_link"",""สตูล!L93"")+IMPORTRANGE(""h"&amp;"ttps://docs.google.com/spreadsheets/d/1vO9Sws6kMtrVtyvrAJptINXjK8TFBoX9xLYOVK_C8bQ/edit?usp=share_link"",""สุราษฎร์ธานี!L93"")"),2722980)</f>
        <v>2722980</v>
      </c>
      <c r="M93" s="45">
        <f ca="1">IFERROR(__xludf.DUMMYFUNCTION("IMPORTRANGE(""https://docs.google.com/spreadsheets/d/1kC41EOXpGBFOW658Fs3oD8beYlym0-zO54WY-2Qnp9I/edit?usp=share_link"",""กระบี่!M93"")
+IMPORTRANGE(""https://docs.google.com/spreadsheets/d/1FbzMZY_f3MDiEuK7RpCQKrilJ_kpX0Wm7QBZ1L7EjIU/edit?usp=share_link"&amp;""",""ชุมพร!M93"")+IMPORTRANGE(""https://docs.google.com/spreadsheets/d/1v5sN-00LrXuhBxw4dkh2GrG_z4l5oAqOdJRBCsUyMaM/edit?usp=share_link"",""ตรัง!M93"")+IMPORTRANGE(""https://docs.google.com/spreadsheets/d/1T5rRTzFc79aSIvqnzkZNvwPstq829QYz_xALlO1Z0s8/edit?"&amp;"usp=share_link"",""นครศรีธรรมราช!M93"")+IMPORTRANGE(""https://docs.google.com/spreadsheets/d/1BeghqumK0IvCmRd2QOy6_afsZq7ZtAGrSnVJy2u7WmY/edit?usp=share_link"",""นราธิวาส!M93"")+IMPORTRANGE(""https://docs.google.com/spreadsheets/d/1IwnW3-jjRf74MCLW-6PiFwM"&amp;"UffRQXZwZA7YM609NmRc/edit?usp=share_link"",""ปัตตานี!M93"")+IMPORTRANGE(""https://docs.google.com/spreadsheets/d/1vl4QWbWdFruual5o_wdo6ZSqXZ_it806oja4CctTLKs/edit?usp=share_link"",""พังงา!M93"")+IMPORTRANGE(""https://docs.google.com/spreadsheets/d/1b6QssH"&amp;"Qp2FoAPSMKHOy273KNzAomaIKhtdlvuZ_zDNE/edit?usp=share_link"",""พัทลุง!M93"")+IMPORTRANGE(""https://docs.google.com/spreadsheets/d/1o7UZe4_OqlqtLDHrj01Z2YFRSZDf1DMy1n3XViHaxRc/edit?usp=share_link"",""ภูเก็ต!M93"")+IMPORTRANGE(""https://docs.google.com/sprea"&amp;"dsheets/d/1ctPm1vUzcUCPuOj9-eoHUD85PqINFqUB0TjdSWmR5-c/edit?usp=share_link"",""ยะลา!M93"")+IMPORTRANGE(""https://docs.google.com/spreadsheets/d/1YiDIE7Klmt8osgdapRqYWNr7iPGFSsiJqq46S7PYRE0/edit?usp=share_link"",""ระนอง!M93"")+IMPORTRANGE(""https://docs.go"&amp;"ogle.com/spreadsheets/d/16o_4B-V7AWw_6E93bSpXj_XxVv1oVQctk-B6z1dNEWU/edit?usp=share_link"",""สงขลา!M93"")+IMPORTRANGE(""https://docs.google.com/spreadsheets/d/16cywr71Fj4fA5OGRHsZh30ZG2gwJhMAQv69oVBzYHv0/edit?usp=share_link"",""สตูล!M93"")+IMPORTRANGE(""h"&amp;"ttps://docs.google.com/spreadsheets/d/1vO9Sws6kMtrVtyvrAJptINXjK8TFBoX9xLYOVK_C8bQ/edit?usp=share_link"",""สุราษฎร์ธานี!M93"")"),2109330)</f>
        <v>2109330</v>
      </c>
      <c r="N93" s="45">
        <f ca="1">IFERROR(__xludf.DUMMYFUNCTION("IMPORTRANGE(""https://docs.google.com/spreadsheets/d/1kC41EOXpGBFOW658Fs3oD8beYlym0-zO54WY-2Qnp9I/edit?usp=share_link"",""กระบี่!N93"")
+IMPORTRANGE(""https://docs.google.com/spreadsheets/d/1FbzMZY_f3MDiEuK7RpCQKrilJ_kpX0Wm7QBZ1L7EjIU/edit?usp=share_link"&amp;""",""ชุมพร!N93"")+IMPORTRANGE(""https://docs.google.com/spreadsheets/d/1v5sN-00LrXuhBxw4dkh2GrG_z4l5oAqOdJRBCsUyMaM/edit?usp=share_link"",""ตรัง!N93"")+IMPORTRANGE(""https://docs.google.com/spreadsheets/d/1T5rRTzFc79aSIvqnzkZNvwPstq829QYz_xALlO1Z0s8/edit?"&amp;"usp=share_link"",""นครศรีธรรมราช!N93"")+IMPORTRANGE(""https://docs.google.com/spreadsheets/d/1BeghqumK0IvCmRd2QOy6_afsZq7ZtAGrSnVJy2u7WmY/edit?usp=share_link"",""นราธิวาส!N93"")+IMPORTRANGE(""https://docs.google.com/spreadsheets/d/1IwnW3-jjRf74MCLW-6PiFwM"&amp;"UffRQXZwZA7YM609NmRc/edit?usp=share_link"",""ปัตตานี!N93"")+IMPORTRANGE(""https://docs.google.com/spreadsheets/d/1vl4QWbWdFruual5o_wdo6ZSqXZ_it806oja4CctTLKs/edit?usp=share_link"",""พังงา!N93"")+IMPORTRANGE(""https://docs.google.com/spreadsheets/d/1b6QssH"&amp;"Qp2FoAPSMKHOy273KNzAomaIKhtdlvuZ_zDNE/edit?usp=share_link"",""พัทลุง!N93"")+IMPORTRANGE(""https://docs.google.com/spreadsheets/d/1o7UZe4_OqlqtLDHrj01Z2YFRSZDf1DMy1n3XViHaxRc/edit?usp=share_link"",""ภูเก็ต!N93"")+IMPORTRANGE(""https://docs.google.com/sprea"&amp;"dsheets/d/1ctPm1vUzcUCPuOj9-eoHUD85PqINFqUB0TjdSWmR5-c/edit?usp=share_link"",""ยะลา!N93"")+IMPORTRANGE(""https://docs.google.com/spreadsheets/d/1YiDIE7Klmt8osgdapRqYWNr7iPGFSsiJqq46S7PYRE0/edit?usp=share_link"",""ระนอง!N93"")+IMPORTRANGE(""https://docs.go"&amp;"ogle.com/spreadsheets/d/16o_4B-V7AWw_6E93bSpXj_XxVv1oVQctk-B6z1dNEWU/edit?usp=share_link"",""สงขลา!N93"")+IMPORTRANGE(""https://docs.google.com/spreadsheets/d/16cywr71Fj4fA5OGRHsZh30ZG2gwJhMAQv69oVBzYHv0/edit?usp=share_link"",""สตูล!N93"")+IMPORTRANGE(""h"&amp;"ttps://docs.google.com/spreadsheets/d/1vO9Sws6kMtrVtyvrAJptINXjK8TFBoX9xLYOVK_C8bQ/edit?usp=share_link"",""สุราษฎร์ธานี!N93"")"),1344306.84999999)</f>
        <v>1344306.8499999901</v>
      </c>
      <c r="O93" s="45">
        <f t="shared" ca="1" si="65"/>
        <v>49.368957906410998</v>
      </c>
      <c r="P93" s="45">
        <f t="shared" ca="1" si="66"/>
        <v>63.731462123043343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20.25" customHeight="1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0">L95+L96</f>
        <v>0</v>
      </c>
      <c r="M94" s="38">
        <f t="shared" ca="1" si="70"/>
        <v>0</v>
      </c>
      <c r="N94" s="38">
        <f t="shared" ca="1" si="70"/>
        <v>0</v>
      </c>
      <c r="O94" s="38">
        <f t="shared" ca="1" si="65"/>
        <v>0</v>
      </c>
      <c r="P94" s="38">
        <f t="shared" ca="1" si="6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20.25" hidden="1" customHeight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5"/>
        <v>0</v>
      </c>
      <c r="P95" s="45">
        <f t="shared" si="6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20.25" hidden="1" customHeight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IFERROR(__xludf.DUMMYFUNCTION("IMPORTRANGE(""https://docs.google.com/spreadsheets/d/1kC41EOXpGBFOW658Fs3oD8beYlym0-zO54WY-2Qnp9I/edit?usp=share_link"",""กระบี่!L96"")
+IMPORTRANGE(""https://docs.google.com/spreadsheets/d/1FbzMZY_f3MDiEuK7RpCQKrilJ_kpX0Wm7QBZ1L7EjIU/edit?usp=share_link"&amp;""",""ชุมพร!L96"")+IMPORTRANGE(""https://docs.google.com/spreadsheets/d/1v5sN-00LrXuhBxw4dkh2GrG_z4l5oAqOdJRBCsUyMaM/edit?usp=share_link"",""ตรัง!L96"")+IMPORTRANGE(""https://docs.google.com/spreadsheets/d/1T5rRTzFc79aSIvqnzkZNvwPstq829QYz_xALlO1Z0s8/edit?"&amp;"usp=share_link"",""นครศรีธรรมราช!L96"")+IMPORTRANGE(""https://docs.google.com/spreadsheets/d/1BeghqumK0IvCmRd2QOy6_afsZq7ZtAGrSnVJy2u7WmY/edit?usp=share_link"",""นราธิวาส!L96"")+IMPORTRANGE(""https://docs.google.com/spreadsheets/d/1IwnW3-jjRf74MCLW-6PiFwM"&amp;"UffRQXZwZA7YM609NmRc/edit?usp=share_link"",""ปัตตานี!L96"")+IMPORTRANGE(""https://docs.google.com/spreadsheets/d/1vl4QWbWdFruual5o_wdo6ZSqXZ_it806oja4CctTLKs/edit?usp=share_link"",""พังงา!L96"")+IMPORTRANGE(""https://docs.google.com/spreadsheets/d/1b6QssH"&amp;"Qp2FoAPSMKHOy273KNzAomaIKhtdlvuZ_zDNE/edit?usp=share_link"",""พัทลุง!L96"")+IMPORTRANGE(""https://docs.google.com/spreadsheets/d/1o7UZe4_OqlqtLDHrj01Z2YFRSZDf1DMy1n3XViHaxRc/edit?usp=share_link"",""ภูเก็ต!L96"")+IMPORTRANGE(""https://docs.google.com/sprea"&amp;"dsheets/d/1ctPm1vUzcUCPuOj9-eoHUD85PqINFqUB0TjdSWmR5-c/edit?usp=share_link"",""ยะลา!L96"")+IMPORTRANGE(""https://docs.google.com/spreadsheets/d/1YiDIE7Klmt8osgdapRqYWNr7iPGFSsiJqq46S7PYRE0/edit?usp=share_link"",""ระนอง!L96"")+IMPORTRANGE(""https://docs.go"&amp;"ogle.com/spreadsheets/d/16o_4B-V7AWw_6E93bSpXj_XxVv1oVQctk-B6z1dNEWU/edit?usp=share_link"",""สงขลา!L96"")+IMPORTRANGE(""https://docs.google.com/spreadsheets/d/16cywr71Fj4fA5OGRHsZh30ZG2gwJhMAQv69oVBzYHv0/edit?usp=share_link"",""สตูล!L96"")+IMPORTRANGE(""h"&amp;"ttps://docs.google.com/spreadsheets/d/1vO9Sws6kMtrVtyvrAJptINXjK8TFBoX9xLYOVK_C8bQ/edit?usp=share_link"",""สุราษฎร์ธานี!L96"")"),0)</f>
        <v>0</v>
      </c>
      <c r="M96" s="45">
        <f ca="1">IFERROR(__xludf.DUMMYFUNCTION("IMPORTRANGE(""https://docs.google.com/spreadsheets/d/1kC41EOXpGBFOW658Fs3oD8beYlym0-zO54WY-2Qnp9I/edit?usp=share_link"",""กระบี่!M96"")
+IMPORTRANGE(""https://docs.google.com/spreadsheets/d/1FbzMZY_f3MDiEuK7RpCQKrilJ_kpX0Wm7QBZ1L7EjIU/edit?usp=share_link"&amp;""",""ชุมพร!M96"")+IMPORTRANGE(""https://docs.google.com/spreadsheets/d/1v5sN-00LrXuhBxw4dkh2GrG_z4l5oAqOdJRBCsUyMaM/edit?usp=share_link"",""ตรัง!M96"")+IMPORTRANGE(""https://docs.google.com/spreadsheets/d/1T5rRTzFc79aSIvqnzkZNvwPstq829QYz_xALlO1Z0s8/edit?"&amp;"usp=share_link"",""นครศรีธรรมราช!M96"")+IMPORTRANGE(""https://docs.google.com/spreadsheets/d/1BeghqumK0IvCmRd2QOy6_afsZq7ZtAGrSnVJy2u7WmY/edit?usp=share_link"",""นราธิวาส!M96"")+IMPORTRANGE(""https://docs.google.com/spreadsheets/d/1IwnW3-jjRf74MCLW-6PiFwM"&amp;"UffRQXZwZA7YM609NmRc/edit?usp=share_link"",""ปัตตานี!M96"")+IMPORTRANGE(""https://docs.google.com/spreadsheets/d/1vl4QWbWdFruual5o_wdo6ZSqXZ_it806oja4CctTLKs/edit?usp=share_link"",""พังงา!M96"")+IMPORTRANGE(""https://docs.google.com/spreadsheets/d/1b6QssH"&amp;"Qp2FoAPSMKHOy273KNzAomaIKhtdlvuZ_zDNE/edit?usp=share_link"",""พัทลุง!M96"")+IMPORTRANGE(""https://docs.google.com/spreadsheets/d/1o7UZe4_OqlqtLDHrj01Z2YFRSZDf1DMy1n3XViHaxRc/edit?usp=share_link"",""ภูเก็ต!M96"")+IMPORTRANGE(""https://docs.google.com/sprea"&amp;"dsheets/d/1ctPm1vUzcUCPuOj9-eoHUD85PqINFqUB0TjdSWmR5-c/edit?usp=share_link"",""ยะลา!M96"")+IMPORTRANGE(""https://docs.google.com/spreadsheets/d/1YiDIE7Klmt8osgdapRqYWNr7iPGFSsiJqq46S7PYRE0/edit?usp=share_link"",""ระนอง!M96"")+IMPORTRANGE(""https://docs.go"&amp;"ogle.com/spreadsheets/d/16o_4B-V7AWw_6E93bSpXj_XxVv1oVQctk-B6z1dNEWU/edit?usp=share_link"",""สงขลา!M96"")+IMPORTRANGE(""https://docs.google.com/spreadsheets/d/16cywr71Fj4fA5OGRHsZh30ZG2gwJhMAQv69oVBzYHv0/edit?usp=share_link"",""สตูล!M96"")+IMPORTRANGE(""h"&amp;"ttps://docs.google.com/spreadsheets/d/1vO9Sws6kMtrVtyvrAJptINXjK8TFBoX9xLYOVK_C8bQ/edit?usp=share_link"",""สุราษฎร์ธานี!M96"")"),0)</f>
        <v>0</v>
      </c>
      <c r="N96" s="45">
        <f ca="1">IFERROR(__xludf.DUMMYFUNCTION("IMPORTRANGE(""https://docs.google.com/spreadsheets/d/1kC41EOXpGBFOW658Fs3oD8beYlym0-zO54WY-2Qnp9I/edit?usp=share_link"",""กระบี่!N96"")
+IMPORTRANGE(""https://docs.google.com/spreadsheets/d/1FbzMZY_f3MDiEuK7RpCQKrilJ_kpX0Wm7QBZ1L7EjIU/edit?usp=share_link"&amp;""",""ชุมพร!N96"")+IMPORTRANGE(""https://docs.google.com/spreadsheets/d/1v5sN-00LrXuhBxw4dkh2GrG_z4l5oAqOdJRBCsUyMaM/edit?usp=share_link"",""ตรัง!N96"")+IMPORTRANGE(""https://docs.google.com/spreadsheets/d/1T5rRTzFc79aSIvqnzkZNvwPstq829QYz_xALlO1Z0s8/edit?"&amp;"usp=share_link"",""นครศรีธรรมราช!N96"")+IMPORTRANGE(""https://docs.google.com/spreadsheets/d/1BeghqumK0IvCmRd2QOy6_afsZq7ZtAGrSnVJy2u7WmY/edit?usp=share_link"",""นราธิวาส!N96"")+IMPORTRANGE(""https://docs.google.com/spreadsheets/d/1IwnW3-jjRf74MCLW-6PiFwM"&amp;"UffRQXZwZA7YM609NmRc/edit?usp=share_link"",""ปัตตานี!N96"")+IMPORTRANGE(""https://docs.google.com/spreadsheets/d/1vl4QWbWdFruual5o_wdo6ZSqXZ_it806oja4CctTLKs/edit?usp=share_link"",""พังงา!N96"")+IMPORTRANGE(""https://docs.google.com/spreadsheets/d/1b6QssH"&amp;"Qp2FoAPSMKHOy273KNzAomaIKhtdlvuZ_zDNE/edit?usp=share_link"",""พัทลุง!N96"")+IMPORTRANGE(""https://docs.google.com/spreadsheets/d/1o7UZe4_OqlqtLDHrj01Z2YFRSZDf1DMy1n3XViHaxRc/edit?usp=share_link"",""ภูเก็ต!N96"")+IMPORTRANGE(""https://docs.google.com/sprea"&amp;"dsheets/d/1ctPm1vUzcUCPuOj9-eoHUD85PqINFqUB0TjdSWmR5-c/edit?usp=share_link"",""ยะลา!N96"")+IMPORTRANGE(""https://docs.google.com/spreadsheets/d/1YiDIE7Klmt8osgdapRqYWNr7iPGFSsiJqq46S7PYRE0/edit?usp=share_link"",""ระนอง!N96"")+IMPORTRANGE(""https://docs.go"&amp;"ogle.com/spreadsheets/d/16o_4B-V7AWw_6E93bSpXj_XxVv1oVQctk-B6z1dNEWU/edit?usp=share_link"",""สงขลา!N96"")+IMPORTRANGE(""https://docs.google.com/spreadsheets/d/16cywr71Fj4fA5OGRHsZh30ZG2gwJhMAQv69oVBzYHv0/edit?usp=share_link"",""สตูล!N96"")+IMPORTRANGE(""h"&amp;"ttps://docs.google.com/spreadsheets/d/1vO9Sws6kMtrVtyvrAJptINXjK8TFBoX9xLYOVK_C8bQ/edit?usp=share_link"",""สุราษฎร์ธานี!N96"")"),0)</f>
        <v>0</v>
      </c>
      <c r="O96" s="45">
        <f t="shared" ca="1" si="65"/>
        <v>0</v>
      </c>
      <c r="P96" s="45">
        <f t="shared" ca="1" si="6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20.25" customHeight="1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20.25" customHeight="1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IFERROR(__xludf.DUMMYFUNCTION("IMPORTRANGE(""https://docs.google.com/spreadsheets/d/1kC41EOXpGBFOW658Fs3oD8beYlym0-zO54WY-2Qnp9I/edit?usp=share_link"",""กระบี่!I98"")
+IMPORTRANGE(""https://docs.google.com/spreadsheets/d/1FbzMZY_f3MDiEuK7RpCQKrilJ_kpX0Wm7QBZ1L7EjIU/edit?usp=share_link"&amp;""",""ชุมพร!I98"")+IMPORTRANGE(""https://docs.google.com/spreadsheets/d/1v5sN-00LrXuhBxw4dkh2GrG_z4l5oAqOdJRBCsUyMaM/edit?usp=share_link"",""ตรัง!I98"")+IMPORTRANGE(""https://docs.google.com/spreadsheets/d/1T5rRTzFc79aSIvqnzkZNvwPstq829QYz_xALlO1Z0s8/edit?"&amp;"usp=share_link"",""นครศรีธรรมราช!I98"")+IMPORTRANGE(""https://docs.google.com/spreadsheets/d/1BeghqumK0IvCmRd2QOy6_afsZq7ZtAGrSnVJy2u7WmY/edit?usp=share_link"",""นราธิวาส!I98"")+IMPORTRANGE(""https://docs.google.com/spreadsheets/d/1IwnW3-jjRf74MCLW-6PiFwM"&amp;"UffRQXZwZA7YM609NmRc/edit?usp=share_link"",""ปัตตานี!I98"")+IMPORTRANGE(""https://docs.google.com/spreadsheets/d/1vl4QWbWdFruual5o_wdo6ZSqXZ_it806oja4CctTLKs/edit?usp=share_link"",""พังงา!I98"")+IMPORTRANGE(""https://docs.google.com/spreadsheets/d/1b6QssH"&amp;"Qp2FoAPSMKHOy273KNzAomaIKhtdlvuZ_zDNE/edit?usp=share_link"",""พัทลุง!I98"")+IMPORTRANGE(""https://docs.google.com/spreadsheets/d/1o7UZe4_OqlqtLDHrj01Z2YFRSZDf1DMy1n3XViHaxRc/edit?usp=share_link"",""ภูเก็ต!I98"")+IMPORTRANGE(""https://docs.google.com/sprea"&amp;"dsheets/d/1ctPm1vUzcUCPuOj9-eoHUD85PqINFqUB0TjdSWmR5-c/edit?usp=share_link"",""ยะลา!I98"")+IMPORTRANGE(""https://docs.google.com/spreadsheets/d/1YiDIE7Klmt8osgdapRqYWNr7iPGFSsiJqq46S7PYRE0/edit?usp=share_link"",""ระนอง!I98"")+IMPORTRANGE(""https://docs.go"&amp;"ogle.com/spreadsheets/d/16o_4B-V7AWw_6E93bSpXj_XxVv1oVQctk-B6z1dNEWU/edit?usp=share_link"",""สงขลา!I98"")+IMPORTRANGE(""https://docs.google.com/spreadsheets/d/16cywr71Fj4fA5OGRHsZh30ZG2gwJhMAQv69oVBzYHv0/edit?usp=share_link"",""สตูล!I98"")+IMPORTRANGE(""h"&amp;"ttps://docs.google.com/spreadsheets/d/1vO9Sws6kMtrVtyvrAJptINXjK8TFBoX9xLYOVK_C8bQ/edit?usp=share_link"",""สุราษฎร์ธานี!I98"")"),285)</f>
        <v>285</v>
      </c>
      <c r="J98" s="37">
        <f ca="1">J102</f>
        <v>285</v>
      </c>
      <c r="K98" s="38">
        <f t="shared" ref="K98:K100" ca="1" si="71">IF(I98&gt;0,J98*100/I98,0)</f>
        <v>100</v>
      </c>
      <c r="L98" s="38"/>
      <c r="M98" s="38"/>
      <c r="N98" s="38"/>
      <c r="O98" s="163"/>
      <c r="P98" s="163"/>
    </row>
    <row r="99" spans="1:16" ht="20.25" customHeight="1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IFERROR(__xludf.DUMMYFUNCTION("IMPORTRANGE(""https://docs.google.com/spreadsheets/d/1kC41EOXpGBFOW658Fs3oD8beYlym0-zO54WY-2Qnp9I/edit?usp=share_link"",""กระบี่!I99"")
+IMPORTRANGE(""https://docs.google.com/spreadsheets/d/1FbzMZY_f3MDiEuK7RpCQKrilJ_kpX0Wm7QBZ1L7EjIU/edit?usp=share_link"&amp;""",""ชุมพร!I99"")+IMPORTRANGE(""https://docs.google.com/spreadsheets/d/1v5sN-00LrXuhBxw4dkh2GrG_z4l5oAqOdJRBCsUyMaM/edit?usp=share_link"",""ตรัง!I99"")+IMPORTRANGE(""https://docs.google.com/spreadsheets/d/1T5rRTzFc79aSIvqnzkZNvwPstq829QYz_xALlO1Z0s8/edit?"&amp;"usp=share_link"",""นครศรีธรรมราช!I99"")+IMPORTRANGE(""https://docs.google.com/spreadsheets/d/1BeghqumK0IvCmRd2QOy6_afsZq7ZtAGrSnVJy2u7WmY/edit?usp=share_link"",""นราธิวาส!I99"")+IMPORTRANGE(""https://docs.google.com/spreadsheets/d/1IwnW3-jjRf74MCLW-6PiFwM"&amp;"UffRQXZwZA7YM609NmRc/edit?usp=share_link"",""ปัตตานี!I99"")+IMPORTRANGE(""https://docs.google.com/spreadsheets/d/1vl4QWbWdFruual5o_wdo6ZSqXZ_it806oja4CctTLKs/edit?usp=share_link"",""พังงา!I99"")+IMPORTRANGE(""https://docs.google.com/spreadsheets/d/1b6QssH"&amp;"Qp2FoAPSMKHOy273KNzAomaIKhtdlvuZ_zDNE/edit?usp=share_link"",""พัทลุง!I99"")+IMPORTRANGE(""https://docs.google.com/spreadsheets/d/1o7UZe4_OqlqtLDHrj01Z2YFRSZDf1DMy1n3XViHaxRc/edit?usp=share_link"",""ภูเก็ต!I99"")+IMPORTRANGE(""https://docs.google.com/sprea"&amp;"dsheets/d/1ctPm1vUzcUCPuOj9-eoHUD85PqINFqUB0TjdSWmR5-c/edit?usp=share_link"",""ยะลา!I99"")+IMPORTRANGE(""https://docs.google.com/spreadsheets/d/1YiDIE7Klmt8osgdapRqYWNr7iPGFSsiJqq46S7PYRE0/edit?usp=share_link"",""ระนอง!I99"")+IMPORTRANGE(""https://docs.go"&amp;"ogle.com/spreadsheets/d/16o_4B-V7AWw_6E93bSpXj_XxVv1oVQctk-B6z1dNEWU/edit?usp=share_link"",""สงขลา!I99"")+IMPORTRANGE(""https://docs.google.com/spreadsheets/d/16cywr71Fj4fA5OGRHsZh30ZG2gwJhMAQv69oVBzYHv0/edit?usp=share_link"",""สตูล!I99"")+IMPORTRANGE(""h"&amp;"ttps://docs.google.com/spreadsheets/d/1vO9Sws6kMtrVtyvrAJptINXjK8TFBoX9xLYOVK_C8bQ/edit?usp=share_link"",""สุราษฎร์ธานี!I99"")"),95)</f>
        <v>95</v>
      </c>
      <c r="J99" s="37">
        <f ca="1">J104</f>
        <v>95</v>
      </c>
      <c r="K99" s="38">
        <f t="shared" ca="1" si="71"/>
        <v>100</v>
      </c>
      <c r="L99" s="38"/>
      <c r="M99" s="38"/>
      <c r="N99" s="38"/>
      <c r="O99" s="163"/>
      <c r="P99" s="163"/>
    </row>
    <row r="100" spans="1:16" ht="20.25" customHeight="1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IFERROR(__xludf.DUMMYFUNCTION("IMPORTRANGE(""https://docs.google.com/spreadsheets/d/1kC41EOXpGBFOW658Fs3oD8beYlym0-zO54WY-2Qnp9I/edit?usp=share_link"",""กระบี่!I100"")
+IMPORTRANGE(""https://docs.google.com/spreadsheets/d/1FbzMZY_f3MDiEuK7RpCQKrilJ_kpX0Wm7QBZ1L7EjIU/edit?usp=share_link"&amp;""",""ชุมพร!I100"")+IMPORTRANGE(""https://docs.google.com/spreadsheets/d/1v5sN-00LrXuhBxw4dkh2GrG_z4l5oAqOdJRBCsUyMaM/edit?usp=share_link"",""ตรัง!I100"")+IMPORTRANGE(""https://docs.google.com/spreadsheets/d/1T5rRTzFc79aSIvqnzkZNvwPstq829QYz_xALlO1Z0s8/edi"&amp;"t?usp=share_link"",""นครศรีธรรมราช!I100"")+IMPORTRANGE(""https://docs.google.com/spreadsheets/d/1BeghqumK0IvCmRd2QOy6_afsZq7ZtAGrSnVJy2u7WmY/edit?usp=share_link"",""นราธิวาส!I100"")+IMPORTRANGE(""https://docs.google.com/spreadsheets/d/1IwnW3-jjRf74MCLW-6P"&amp;"iFwMUffRQXZwZA7YM609NmRc/edit?usp=share_link"",""ปัตตานี!I100"")+IMPORTRANGE(""https://docs.google.com/spreadsheets/d/1vl4QWbWdFruual5o_wdo6ZSqXZ_it806oja4CctTLKs/edit?usp=share_link"",""พังงา!I100"")+IMPORTRANGE(""https://docs.google.com/spreadsheets/d/1"&amp;"b6QssHQp2FoAPSMKHOy273KNzAomaIKhtdlvuZ_zDNE/edit?usp=share_link"",""พัทลุง!I100"")+IMPORTRANGE(""https://docs.google.com/spreadsheets/d/1o7UZe4_OqlqtLDHrj01Z2YFRSZDf1DMy1n3XViHaxRc/edit?usp=share_link"",""ภูเก็ต!I100"")+IMPORTRANGE(""https://docs.google.c"&amp;"om/spreadsheets/d/1ctPm1vUzcUCPuOj9-eoHUD85PqINFqUB0TjdSWmR5-c/edit?usp=share_link"",""ยะลา!I100"")+IMPORTRANGE(""https://docs.google.com/spreadsheets/d/1YiDIE7Klmt8osgdapRqYWNr7iPGFSsiJqq46S7PYRE0/edit?usp=share_link"",""ระนอง!I100"")+IMPORTRANGE(""https"&amp;"://docs.google.com/spreadsheets/d/16o_4B-V7AWw_6E93bSpXj_XxVv1oVQctk-B6z1dNEWU/edit?usp=share_link"",""สงขลา!I100"")+IMPORTRANGE(""https://docs.google.com/spreadsheets/d/16cywr71Fj4fA5OGRHsZh30ZG2gwJhMAQv69oVBzYHv0/edit?usp=share_link"",""สตูล!I100"")+IMP"&amp;"ORTRANGE(""https://docs.google.com/spreadsheets/d/1vO9Sws6kMtrVtyvrAJptINXjK8TFBoX9xLYOVK_C8bQ/edit?usp=share_link"",""สุราษฎร์ธานี!I100"")"),19)</f>
        <v>19</v>
      </c>
      <c r="J100" s="37">
        <f ca="1">J107+J110</f>
        <v>13</v>
      </c>
      <c r="K100" s="38">
        <f t="shared" ca="1" si="71"/>
        <v>68.421052631578945</v>
      </c>
      <c r="L100" s="38"/>
      <c r="M100" s="38"/>
      <c r="N100" s="38"/>
      <c r="O100" s="163"/>
      <c r="P100" s="163"/>
    </row>
    <row r="101" spans="1:16" ht="20.25" customHeight="1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20.25" customHeight="1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IFERROR(__xludf.DUMMYFUNCTION("IMPORTRANGE(""https://docs.google.com/spreadsheets/d/1kC41EOXpGBFOW658Fs3oD8beYlym0-zO54WY-2Qnp9I/edit?usp=share_link"",""กระบี่!I102"")
+IMPORTRANGE(""https://docs.google.com/spreadsheets/d/1FbzMZY_f3MDiEuK7RpCQKrilJ_kpX0Wm7QBZ1L7EjIU/edit?usp=share_link"&amp;""",""ชุมพร!I102"")+IMPORTRANGE(""https://docs.google.com/spreadsheets/d/1v5sN-00LrXuhBxw4dkh2GrG_z4l5oAqOdJRBCsUyMaM/edit?usp=share_link"",""ตรัง!I102"")+IMPORTRANGE(""https://docs.google.com/spreadsheets/d/1T5rRTzFc79aSIvqnzkZNvwPstq829QYz_xALlO1Z0s8/edi"&amp;"t?usp=share_link"",""นครศรีธรรมราช!I102"")+IMPORTRANGE(""https://docs.google.com/spreadsheets/d/1BeghqumK0IvCmRd2QOy6_afsZq7ZtAGrSnVJy2u7WmY/edit?usp=share_link"",""นราธิวาส!I102"")+IMPORTRANGE(""https://docs.google.com/spreadsheets/d/1IwnW3-jjRf74MCLW-6P"&amp;"iFwMUffRQXZwZA7YM609NmRc/edit?usp=share_link"",""ปัตตานี!I102"")+IMPORTRANGE(""https://docs.google.com/spreadsheets/d/1vl4QWbWdFruual5o_wdo6ZSqXZ_it806oja4CctTLKs/edit?usp=share_link"",""พังงา!I102"")+IMPORTRANGE(""https://docs.google.com/spreadsheets/d/1"&amp;"b6QssHQp2FoAPSMKHOy273KNzAomaIKhtdlvuZ_zDNE/edit?usp=share_link"",""พัทลุง!I102"")+IMPORTRANGE(""https://docs.google.com/spreadsheets/d/1o7UZe4_OqlqtLDHrj01Z2YFRSZDf1DMy1n3XViHaxRc/edit?usp=share_link"",""ภูเก็ต!I102"")+IMPORTRANGE(""https://docs.google.c"&amp;"om/spreadsheets/d/1ctPm1vUzcUCPuOj9-eoHUD85PqINFqUB0TjdSWmR5-c/edit?usp=share_link"",""ยะลา!I102"")+IMPORTRANGE(""https://docs.google.com/spreadsheets/d/1YiDIE7Klmt8osgdapRqYWNr7iPGFSsiJqq46S7PYRE0/edit?usp=share_link"",""ระนอง!I102"")+IMPORTRANGE(""https"&amp;"://docs.google.com/spreadsheets/d/16o_4B-V7AWw_6E93bSpXj_XxVv1oVQctk-B6z1dNEWU/edit?usp=share_link"",""สงขลา!I102"")+IMPORTRANGE(""https://docs.google.com/spreadsheets/d/16cywr71Fj4fA5OGRHsZh30ZG2gwJhMAQv69oVBzYHv0/edit?usp=share_link"",""สตูล!I102"")+IMP"&amp;"ORTRANGE(""https://docs.google.com/spreadsheets/d/1vO9Sws6kMtrVtyvrAJptINXjK8TFBoX9xLYOVK_C8bQ/edit?usp=share_link"",""สุราษฎร์ธานี!I102"")"),285)</f>
        <v>285</v>
      </c>
      <c r="J102" s="183">
        <f ca="1">IFERROR(__xludf.DUMMYFUNCTION("IMPORTRANGE(""https://docs.google.com/spreadsheets/d/1kC41EOXpGBFOW658Fs3oD8beYlym0-zO54WY-2Qnp9I/edit?usp=share_link"",""กระบี่!J102"")
+IMPORTRANGE(""https://docs.google.com/spreadsheets/d/1FbzMZY_f3MDiEuK7RpCQKrilJ_kpX0Wm7QBZ1L7EjIU/edit?usp=share_link"&amp;""",""ชุมพร!J102"")+IMPORTRANGE(""https://docs.google.com/spreadsheets/d/1v5sN-00LrXuhBxw4dkh2GrG_z4l5oAqOdJRBCsUyMaM/edit?usp=share_link"",""ตรัง!J102"")+IMPORTRANGE(""https://docs.google.com/spreadsheets/d/1T5rRTzFc79aSIvqnzkZNvwPstq829QYz_xALlO1Z0s8/edi"&amp;"t?usp=share_link"",""นครศรีธรรมราช!J102"")+IMPORTRANGE(""https://docs.google.com/spreadsheets/d/1BeghqumK0IvCmRd2QOy6_afsZq7ZtAGrSnVJy2u7WmY/edit?usp=share_link"",""นราธิวาส!J102"")+IMPORTRANGE(""https://docs.google.com/spreadsheets/d/1IwnW3-jjRf74MCLW-6P"&amp;"iFwMUffRQXZwZA7YM609NmRc/edit?usp=share_link"",""ปัตตานี!J102"")+IMPORTRANGE(""https://docs.google.com/spreadsheets/d/1vl4QWbWdFruual5o_wdo6ZSqXZ_it806oja4CctTLKs/edit?usp=share_link"",""พังงา!J102"")+IMPORTRANGE(""https://docs.google.com/spreadsheets/d/1"&amp;"b6QssHQp2FoAPSMKHOy273KNzAomaIKhtdlvuZ_zDNE/edit?usp=share_link"",""พัทลุง!J102"")+IMPORTRANGE(""https://docs.google.com/spreadsheets/d/1o7UZe4_OqlqtLDHrj01Z2YFRSZDf1DMy1n3XViHaxRc/edit?usp=share_link"",""ภูเก็ต!J102"")+IMPORTRANGE(""https://docs.google.c"&amp;"om/spreadsheets/d/1ctPm1vUzcUCPuOj9-eoHUD85PqINFqUB0TjdSWmR5-c/edit?usp=share_link"",""ยะลา!J102"")+IMPORTRANGE(""https://docs.google.com/spreadsheets/d/1YiDIE7Klmt8osgdapRqYWNr7iPGFSsiJqq46S7PYRE0/edit?usp=share_link"",""ระนอง!J102"")+IMPORTRANGE(""https"&amp;"://docs.google.com/spreadsheets/d/16o_4B-V7AWw_6E93bSpXj_XxVv1oVQctk-B6z1dNEWU/edit?usp=share_link"",""สงขลา!J102"")+IMPORTRANGE(""https://docs.google.com/spreadsheets/d/16cywr71Fj4fA5OGRHsZh30ZG2gwJhMAQv69oVBzYHv0/edit?usp=share_link"",""สตูล!J102"")+IMP"&amp;"ORTRANGE(""https://docs.google.com/spreadsheets/d/1vO9Sws6kMtrVtyvrAJptINXjK8TFBoX9xLYOVK_C8bQ/edit?usp=share_link"",""สุราษฎร์ธานี!J102"")"),285)</f>
        <v>285</v>
      </c>
      <c r="K102" s="38">
        <f t="shared" ref="K102:K104" ca="1" si="72">IF(I102&gt;0,J102*100/I102,0)</f>
        <v>100</v>
      </c>
      <c r="L102" s="38"/>
      <c r="M102" s="38"/>
      <c r="N102" s="38"/>
      <c r="O102" s="163"/>
      <c r="P102" s="163"/>
    </row>
    <row r="103" spans="1:16" ht="20.25" customHeight="1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IFERROR(__xludf.DUMMYFUNCTION("IMPORTRANGE(""https://docs.google.com/spreadsheets/d/1kC41EOXpGBFOW658Fs3oD8beYlym0-zO54WY-2Qnp9I/edit?usp=share_link"",""กระบี่!I103"")
+IMPORTRANGE(""https://docs.google.com/spreadsheets/d/1FbzMZY_f3MDiEuK7RpCQKrilJ_kpX0Wm7QBZ1L7EjIU/edit?usp=share_link"&amp;""",""ชุมพร!I103"")+IMPORTRANGE(""https://docs.google.com/spreadsheets/d/1v5sN-00LrXuhBxw4dkh2GrG_z4l5oAqOdJRBCsUyMaM/edit?usp=share_link"",""ตรัง!I103"")+IMPORTRANGE(""https://docs.google.com/spreadsheets/d/1T5rRTzFc79aSIvqnzkZNvwPstq829QYz_xALlO1Z0s8/edi"&amp;"t?usp=share_link"",""นครศรีธรรมราช!I103"")+IMPORTRANGE(""https://docs.google.com/spreadsheets/d/1BeghqumK0IvCmRd2QOy6_afsZq7ZtAGrSnVJy2u7WmY/edit?usp=share_link"",""นราธิวาส!I103"")+IMPORTRANGE(""https://docs.google.com/spreadsheets/d/1IwnW3-jjRf74MCLW-6P"&amp;"iFwMUffRQXZwZA7YM609NmRc/edit?usp=share_link"",""ปัตตานี!I103"")+IMPORTRANGE(""https://docs.google.com/spreadsheets/d/1vl4QWbWdFruual5o_wdo6ZSqXZ_it806oja4CctTLKs/edit?usp=share_link"",""พังงา!I103"")+IMPORTRANGE(""https://docs.google.com/spreadsheets/d/1"&amp;"b6QssHQp2FoAPSMKHOy273KNzAomaIKhtdlvuZ_zDNE/edit?usp=share_link"",""พัทลุง!I103"")+IMPORTRANGE(""https://docs.google.com/spreadsheets/d/1o7UZe4_OqlqtLDHrj01Z2YFRSZDf1DMy1n3XViHaxRc/edit?usp=share_link"",""ภูเก็ต!I103"")+IMPORTRANGE(""https://docs.google.c"&amp;"om/spreadsheets/d/1ctPm1vUzcUCPuOj9-eoHUD85PqINFqUB0TjdSWmR5-c/edit?usp=share_link"",""ยะลา!I103"")+IMPORTRANGE(""https://docs.google.com/spreadsheets/d/1YiDIE7Klmt8osgdapRqYWNr7iPGFSsiJqq46S7PYRE0/edit?usp=share_link"",""ระนอง!I103"")+IMPORTRANGE(""https"&amp;"://docs.google.com/spreadsheets/d/16o_4B-V7AWw_6E93bSpXj_XxVv1oVQctk-B6z1dNEWU/edit?usp=share_link"",""สงขลา!I103"")+IMPORTRANGE(""https://docs.google.com/spreadsheets/d/16cywr71Fj4fA5OGRHsZh30ZG2gwJhMAQv69oVBzYHv0/edit?usp=share_link"",""สตูล!I103"")+IMP"&amp;"ORTRANGE(""https://docs.google.com/spreadsheets/d/1vO9Sws6kMtrVtyvrAJptINXjK8TFBoX9xLYOVK_C8bQ/edit?usp=share_link"",""สุราษฎร์ธานี!I103"")"),95)</f>
        <v>95</v>
      </c>
      <c r="J103" s="183">
        <f ca="1">IFERROR(__xludf.DUMMYFUNCTION("IMPORTRANGE(""https://docs.google.com/spreadsheets/d/1kC41EOXpGBFOW658Fs3oD8beYlym0-zO54WY-2Qnp9I/edit?usp=share_link"",""กระบี่!J103"")
+IMPORTRANGE(""https://docs.google.com/spreadsheets/d/1FbzMZY_f3MDiEuK7RpCQKrilJ_kpX0Wm7QBZ1L7EjIU/edit?usp=share_link"&amp;""",""ชุมพร!J103"")+IMPORTRANGE(""https://docs.google.com/spreadsheets/d/1v5sN-00LrXuhBxw4dkh2GrG_z4l5oAqOdJRBCsUyMaM/edit?usp=share_link"",""ตรัง!J103"")+IMPORTRANGE(""https://docs.google.com/spreadsheets/d/1T5rRTzFc79aSIvqnzkZNvwPstq829QYz_xALlO1Z0s8/edi"&amp;"t?usp=share_link"",""นครศรีธรรมราช!J103"")+IMPORTRANGE(""https://docs.google.com/spreadsheets/d/1BeghqumK0IvCmRd2QOy6_afsZq7ZtAGrSnVJy2u7WmY/edit?usp=share_link"",""นราธิวาส!J103"")+IMPORTRANGE(""https://docs.google.com/spreadsheets/d/1IwnW3-jjRf74MCLW-6P"&amp;"iFwMUffRQXZwZA7YM609NmRc/edit?usp=share_link"",""ปัตตานี!J103"")+IMPORTRANGE(""https://docs.google.com/spreadsheets/d/1vl4QWbWdFruual5o_wdo6ZSqXZ_it806oja4CctTLKs/edit?usp=share_link"",""พังงา!J103"")+IMPORTRANGE(""https://docs.google.com/spreadsheets/d/1"&amp;"b6QssHQp2FoAPSMKHOy273KNzAomaIKhtdlvuZ_zDNE/edit?usp=share_link"",""พัทลุง!J103"")+IMPORTRANGE(""https://docs.google.com/spreadsheets/d/1o7UZe4_OqlqtLDHrj01Z2YFRSZDf1DMy1n3XViHaxRc/edit?usp=share_link"",""ภูเก็ต!J103"")+IMPORTRANGE(""https://docs.google.c"&amp;"om/spreadsheets/d/1ctPm1vUzcUCPuOj9-eoHUD85PqINFqUB0TjdSWmR5-c/edit?usp=share_link"",""ยะลา!J103"")+IMPORTRANGE(""https://docs.google.com/spreadsheets/d/1YiDIE7Klmt8osgdapRqYWNr7iPGFSsiJqq46S7PYRE0/edit?usp=share_link"",""ระนอง!J103"")+IMPORTRANGE(""https"&amp;"://docs.google.com/spreadsheets/d/16o_4B-V7AWw_6E93bSpXj_XxVv1oVQctk-B6z1dNEWU/edit?usp=share_link"",""สงขลา!J103"")+IMPORTRANGE(""https://docs.google.com/spreadsheets/d/16cywr71Fj4fA5OGRHsZh30ZG2gwJhMAQv69oVBzYHv0/edit?usp=share_link"",""สตูล!J103"")+IMP"&amp;"ORTRANGE(""https://docs.google.com/spreadsheets/d/1vO9Sws6kMtrVtyvrAJptINXjK8TFBoX9xLYOVK_C8bQ/edit?usp=share_link"",""สุราษฎร์ธานี!J103"")"),95)</f>
        <v>95</v>
      </c>
      <c r="K103" s="38">
        <f t="shared" ca="1" si="72"/>
        <v>100</v>
      </c>
      <c r="L103" s="38"/>
      <c r="M103" s="38"/>
      <c r="N103" s="38"/>
      <c r="O103" s="163"/>
      <c r="P103" s="163"/>
    </row>
    <row r="104" spans="1:16" ht="20.25" customHeight="1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IFERROR(__xludf.DUMMYFUNCTION("IMPORTRANGE(""https://docs.google.com/spreadsheets/d/1kC41EOXpGBFOW658Fs3oD8beYlym0-zO54WY-2Qnp9I/edit?usp=share_link"",""กระบี่!I104"")
+IMPORTRANGE(""https://docs.google.com/spreadsheets/d/1FbzMZY_f3MDiEuK7RpCQKrilJ_kpX0Wm7QBZ1L7EjIU/edit?usp=share_link"&amp;""",""ชุมพร!I104"")+IMPORTRANGE(""https://docs.google.com/spreadsheets/d/1v5sN-00LrXuhBxw4dkh2GrG_z4l5oAqOdJRBCsUyMaM/edit?usp=share_link"",""ตรัง!I104"")+IMPORTRANGE(""https://docs.google.com/spreadsheets/d/1T5rRTzFc79aSIvqnzkZNvwPstq829QYz_xALlO1Z0s8/edi"&amp;"t?usp=share_link"",""นครศรีธรรมราช!I104"")+IMPORTRANGE(""https://docs.google.com/spreadsheets/d/1BeghqumK0IvCmRd2QOy6_afsZq7ZtAGrSnVJy2u7WmY/edit?usp=share_link"",""นราธิวาส!I104"")+IMPORTRANGE(""https://docs.google.com/spreadsheets/d/1IwnW3-jjRf74MCLW-6P"&amp;"iFwMUffRQXZwZA7YM609NmRc/edit?usp=share_link"",""ปัตตานี!I104"")+IMPORTRANGE(""https://docs.google.com/spreadsheets/d/1vl4QWbWdFruual5o_wdo6ZSqXZ_it806oja4CctTLKs/edit?usp=share_link"",""พังงา!I104"")+IMPORTRANGE(""https://docs.google.com/spreadsheets/d/1"&amp;"b6QssHQp2FoAPSMKHOy273KNzAomaIKhtdlvuZ_zDNE/edit?usp=share_link"",""พัทลุง!I104"")+IMPORTRANGE(""https://docs.google.com/spreadsheets/d/1o7UZe4_OqlqtLDHrj01Z2YFRSZDf1DMy1n3XViHaxRc/edit?usp=share_link"",""ภูเก็ต!I104"")+IMPORTRANGE(""https://docs.google.c"&amp;"om/spreadsheets/d/1ctPm1vUzcUCPuOj9-eoHUD85PqINFqUB0TjdSWmR5-c/edit?usp=share_link"",""ยะลา!I104"")+IMPORTRANGE(""https://docs.google.com/spreadsheets/d/1YiDIE7Klmt8osgdapRqYWNr7iPGFSsiJqq46S7PYRE0/edit?usp=share_link"",""ระนอง!I104"")+IMPORTRANGE(""https"&amp;"://docs.google.com/spreadsheets/d/16o_4B-V7AWw_6E93bSpXj_XxVv1oVQctk-B6z1dNEWU/edit?usp=share_link"",""สงขลา!I104"")+IMPORTRANGE(""https://docs.google.com/spreadsheets/d/16cywr71Fj4fA5OGRHsZh30ZG2gwJhMAQv69oVBzYHv0/edit?usp=share_link"",""สตูล!I104"")+IMP"&amp;"ORTRANGE(""https://docs.google.com/spreadsheets/d/1vO9Sws6kMtrVtyvrAJptINXjK8TFBoX9xLYOVK_C8bQ/edit?usp=share_link"",""สุราษฎร์ธานี!I104"")"),95)</f>
        <v>95</v>
      </c>
      <c r="J104" s="183">
        <f ca="1">IFERROR(__xludf.DUMMYFUNCTION("IMPORTRANGE(""https://docs.google.com/spreadsheets/d/1kC41EOXpGBFOW658Fs3oD8beYlym0-zO54WY-2Qnp9I/edit?usp=share_link"",""กระบี่!J104"")
+IMPORTRANGE(""https://docs.google.com/spreadsheets/d/1FbzMZY_f3MDiEuK7RpCQKrilJ_kpX0Wm7QBZ1L7EjIU/edit?usp=share_link"&amp;""",""ชุมพร!J104"")+IMPORTRANGE(""https://docs.google.com/spreadsheets/d/1v5sN-00LrXuhBxw4dkh2GrG_z4l5oAqOdJRBCsUyMaM/edit?usp=share_link"",""ตรัง!J104"")+IMPORTRANGE(""https://docs.google.com/spreadsheets/d/1T5rRTzFc79aSIvqnzkZNvwPstq829QYz_xALlO1Z0s8/edi"&amp;"t?usp=share_link"",""นครศรีธรรมราช!J104"")+IMPORTRANGE(""https://docs.google.com/spreadsheets/d/1BeghqumK0IvCmRd2QOy6_afsZq7ZtAGrSnVJy2u7WmY/edit?usp=share_link"",""นราธิวาส!J104"")+IMPORTRANGE(""https://docs.google.com/spreadsheets/d/1IwnW3-jjRf74MCLW-6P"&amp;"iFwMUffRQXZwZA7YM609NmRc/edit?usp=share_link"",""ปัตตานี!J104"")+IMPORTRANGE(""https://docs.google.com/spreadsheets/d/1vl4QWbWdFruual5o_wdo6ZSqXZ_it806oja4CctTLKs/edit?usp=share_link"",""พังงา!J104"")+IMPORTRANGE(""https://docs.google.com/spreadsheets/d/1"&amp;"b6QssHQp2FoAPSMKHOy273KNzAomaIKhtdlvuZ_zDNE/edit?usp=share_link"",""พัทลุง!J104"")+IMPORTRANGE(""https://docs.google.com/spreadsheets/d/1o7UZe4_OqlqtLDHrj01Z2YFRSZDf1DMy1n3XViHaxRc/edit?usp=share_link"",""ภูเก็ต!J104"")+IMPORTRANGE(""https://docs.google.c"&amp;"om/spreadsheets/d/1ctPm1vUzcUCPuOj9-eoHUD85PqINFqUB0TjdSWmR5-c/edit?usp=share_link"",""ยะลา!J104"")+IMPORTRANGE(""https://docs.google.com/spreadsheets/d/1YiDIE7Klmt8osgdapRqYWNr7iPGFSsiJqq46S7PYRE0/edit?usp=share_link"",""ระนอง!J104"")+IMPORTRANGE(""https"&amp;"://docs.google.com/spreadsheets/d/16o_4B-V7AWw_6E93bSpXj_XxVv1oVQctk-B6z1dNEWU/edit?usp=share_link"",""สงขลา!J104"")+IMPORTRANGE(""https://docs.google.com/spreadsheets/d/16cywr71Fj4fA5OGRHsZh30ZG2gwJhMAQv69oVBzYHv0/edit?usp=share_link"",""สตูล!J104"")+IMP"&amp;"ORTRANGE(""https://docs.google.com/spreadsheets/d/1vO9Sws6kMtrVtyvrAJptINXjK8TFBoX9xLYOVK_C8bQ/edit?usp=share_link"",""สุราษฎร์ธานี!J104"")"),95)</f>
        <v>95</v>
      </c>
      <c r="K104" s="38">
        <f t="shared" ca="1" si="72"/>
        <v>100</v>
      </c>
      <c r="L104" s="38"/>
      <c r="M104" s="38"/>
      <c r="N104" s="38"/>
      <c r="O104" s="163"/>
      <c r="P104" s="163"/>
    </row>
    <row r="105" spans="1:16" ht="20.25" customHeight="1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20.25" customHeight="1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IFERROR(__xludf.DUMMYFUNCTION("IMPORTRANGE(""https://docs.google.com/spreadsheets/d/1kC41EOXpGBFOW658Fs3oD8beYlym0-zO54WY-2Qnp9I/edit?usp=share_link"",""กระบี่!I106"")
+IMPORTRANGE(""https://docs.google.com/spreadsheets/d/1FbzMZY_f3MDiEuK7RpCQKrilJ_kpX0Wm7QBZ1L7EjIU/edit?usp=share_link"&amp;""",""ชุมพร!I106"")+IMPORTRANGE(""https://docs.google.com/spreadsheets/d/1v5sN-00LrXuhBxw4dkh2GrG_z4l5oAqOdJRBCsUyMaM/edit?usp=share_link"",""ตรัง!I106"")+IMPORTRANGE(""https://docs.google.com/spreadsheets/d/1T5rRTzFc79aSIvqnzkZNvwPstq829QYz_xALlO1Z0s8/edi"&amp;"t?usp=share_link"",""นครศรีธรรมราช!I106"")+IMPORTRANGE(""https://docs.google.com/spreadsheets/d/1BeghqumK0IvCmRd2QOy6_afsZq7ZtAGrSnVJy2u7WmY/edit?usp=share_link"",""นราธิวาส!I106"")+IMPORTRANGE(""https://docs.google.com/spreadsheets/d/1IwnW3-jjRf74MCLW-6P"&amp;"iFwMUffRQXZwZA7YM609NmRc/edit?usp=share_link"",""ปัตตานี!I106"")+IMPORTRANGE(""https://docs.google.com/spreadsheets/d/1vl4QWbWdFruual5o_wdo6ZSqXZ_it806oja4CctTLKs/edit?usp=share_link"",""พังงา!I106"")+IMPORTRANGE(""https://docs.google.com/spreadsheets/d/1"&amp;"b6QssHQp2FoAPSMKHOy273KNzAomaIKhtdlvuZ_zDNE/edit?usp=share_link"",""พัทลุง!I106"")+IMPORTRANGE(""https://docs.google.com/spreadsheets/d/1o7UZe4_OqlqtLDHrj01Z2YFRSZDf1DMy1n3XViHaxRc/edit?usp=share_link"",""ภูเก็ต!I106"")+IMPORTRANGE(""https://docs.google.c"&amp;"om/spreadsheets/d/1ctPm1vUzcUCPuOj9-eoHUD85PqINFqUB0TjdSWmR5-c/edit?usp=share_link"",""ยะลา!I106"")+IMPORTRANGE(""https://docs.google.com/spreadsheets/d/1YiDIE7Klmt8osgdapRqYWNr7iPGFSsiJqq46S7PYRE0/edit?usp=share_link"",""ระนอง!I106"")+IMPORTRANGE(""https"&amp;"://docs.google.com/spreadsheets/d/16o_4B-V7AWw_6E93bSpXj_XxVv1oVQctk-B6z1dNEWU/edit?usp=share_link"",""สงขลา!I106"")+IMPORTRANGE(""https://docs.google.com/spreadsheets/d/16cywr71Fj4fA5OGRHsZh30ZG2gwJhMAQv69oVBzYHv0/edit?usp=share_link"",""สตูล!I106"")+IMP"&amp;"ORTRANGE(""https://docs.google.com/spreadsheets/d/1vO9Sws6kMtrVtyvrAJptINXjK8TFBoX9xLYOVK_C8bQ/edit?usp=share_link"",""สุราษฎร์ธานี!I106"")"),11)</f>
        <v>11</v>
      </c>
      <c r="J106" s="183">
        <f ca="1">IFERROR(__xludf.DUMMYFUNCTION("IMPORTRANGE(""https://docs.google.com/spreadsheets/d/1kC41EOXpGBFOW658Fs3oD8beYlym0-zO54WY-2Qnp9I/edit?usp=share_link"",""กระบี่!J106"")
+IMPORTRANGE(""https://docs.google.com/spreadsheets/d/1FbzMZY_f3MDiEuK7RpCQKrilJ_kpX0Wm7QBZ1L7EjIU/edit?usp=share_link"&amp;""",""ชุมพร!J106"")+IMPORTRANGE(""https://docs.google.com/spreadsheets/d/1v5sN-00LrXuhBxw4dkh2GrG_z4l5oAqOdJRBCsUyMaM/edit?usp=share_link"",""ตรัง!J106"")+IMPORTRANGE(""https://docs.google.com/spreadsheets/d/1T5rRTzFc79aSIvqnzkZNvwPstq829QYz_xALlO1Z0s8/edi"&amp;"t?usp=share_link"",""นครศรีธรรมราช!J106"")+IMPORTRANGE(""https://docs.google.com/spreadsheets/d/1BeghqumK0IvCmRd2QOy6_afsZq7ZtAGrSnVJy2u7WmY/edit?usp=share_link"",""นราธิวาส!J106"")+IMPORTRANGE(""https://docs.google.com/spreadsheets/d/1IwnW3-jjRf74MCLW-6P"&amp;"iFwMUffRQXZwZA7YM609NmRc/edit?usp=share_link"",""ปัตตานี!J106"")+IMPORTRANGE(""https://docs.google.com/spreadsheets/d/1vl4QWbWdFruual5o_wdo6ZSqXZ_it806oja4CctTLKs/edit?usp=share_link"",""พังงา!J106"")+IMPORTRANGE(""https://docs.google.com/spreadsheets/d/1"&amp;"b6QssHQp2FoAPSMKHOy273KNzAomaIKhtdlvuZ_zDNE/edit?usp=share_link"",""พัทลุง!J106"")+IMPORTRANGE(""https://docs.google.com/spreadsheets/d/1o7UZe4_OqlqtLDHrj01Z2YFRSZDf1DMy1n3XViHaxRc/edit?usp=share_link"",""ภูเก็ต!J106"")+IMPORTRANGE(""https://docs.google.c"&amp;"om/spreadsheets/d/1ctPm1vUzcUCPuOj9-eoHUD85PqINFqUB0TjdSWmR5-c/edit?usp=share_link"",""ยะลา!J106"")+IMPORTRANGE(""https://docs.google.com/spreadsheets/d/1YiDIE7Klmt8osgdapRqYWNr7iPGFSsiJqq46S7PYRE0/edit?usp=share_link"",""ระนอง!J106"")+IMPORTRANGE(""https"&amp;"://docs.google.com/spreadsheets/d/16o_4B-V7AWw_6E93bSpXj_XxVv1oVQctk-B6z1dNEWU/edit?usp=share_link"",""สงขลา!J106"")+IMPORTRANGE(""https://docs.google.com/spreadsheets/d/16cywr71Fj4fA5OGRHsZh30ZG2gwJhMAQv69oVBzYHv0/edit?usp=share_link"",""สตูล!J106"")+IMP"&amp;"ORTRANGE(""https://docs.google.com/spreadsheets/d/1vO9Sws6kMtrVtyvrAJptINXjK8TFBoX9xLYOVK_C8bQ/edit?usp=share_link"",""สุราษฎร์ธานี!J106"")"),9)</f>
        <v>9</v>
      </c>
      <c r="K106" s="38">
        <f t="shared" ref="K106:K107" ca="1" si="73">IF(I106&gt;0,J106*100/I106,0)</f>
        <v>81.818181818181813</v>
      </c>
      <c r="L106" s="38"/>
      <c r="M106" s="38"/>
      <c r="N106" s="38"/>
      <c r="O106" s="163"/>
      <c r="P106" s="163"/>
    </row>
    <row r="107" spans="1:16" ht="20.25" customHeight="1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IFERROR(__xludf.DUMMYFUNCTION("IMPORTRANGE(""https://docs.google.com/spreadsheets/d/1kC41EOXpGBFOW658Fs3oD8beYlym0-zO54WY-2Qnp9I/edit?usp=share_link"",""กระบี่!I107"")
+IMPORTRANGE(""https://docs.google.com/spreadsheets/d/1FbzMZY_f3MDiEuK7RpCQKrilJ_kpX0Wm7QBZ1L7EjIU/edit?usp=share_link"&amp;""",""ชุมพร!I107"")+IMPORTRANGE(""https://docs.google.com/spreadsheets/d/1v5sN-00LrXuhBxw4dkh2GrG_z4l5oAqOdJRBCsUyMaM/edit?usp=share_link"",""ตรัง!I107"")+IMPORTRANGE(""https://docs.google.com/spreadsheets/d/1T5rRTzFc79aSIvqnzkZNvwPstq829QYz_xALlO1Z0s8/edi"&amp;"t?usp=share_link"",""นครศรีธรรมราช!I107"")+IMPORTRANGE(""https://docs.google.com/spreadsheets/d/1BeghqumK0IvCmRd2QOy6_afsZq7ZtAGrSnVJy2u7WmY/edit?usp=share_link"",""นราธิวาส!I107"")+IMPORTRANGE(""https://docs.google.com/spreadsheets/d/1IwnW3-jjRf74MCLW-6P"&amp;"iFwMUffRQXZwZA7YM609NmRc/edit?usp=share_link"",""ปัตตานี!I107"")+IMPORTRANGE(""https://docs.google.com/spreadsheets/d/1vl4QWbWdFruual5o_wdo6ZSqXZ_it806oja4CctTLKs/edit?usp=share_link"",""พังงา!I107"")+IMPORTRANGE(""https://docs.google.com/spreadsheets/d/1"&amp;"b6QssHQp2FoAPSMKHOy273KNzAomaIKhtdlvuZ_zDNE/edit?usp=share_link"",""พัทลุง!I107"")+IMPORTRANGE(""https://docs.google.com/spreadsheets/d/1o7UZe4_OqlqtLDHrj01Z2YFRSZDf1DMy1n3XViHaxRc/edit?usp=share_link"",""ภูเก็ต!I107"")+IMPORTRANGE(""https://docs.google.c"&amp;"om/spreadsheets/d/1ctPm1vUzcUCPuOj9-eoHUD85PqINFqUB0TjdSWmR5-c/edit?usp=share_link"",""ยะลา!I107"")+IMPORTRANGE(""https://docs.google.com/spreadsheets/d/1YiDIE7Klmt8osgdapRqYWNr7iPGFSsiJqq46S7PYRE0/edit?usp=share_link"",""ระนอง!I107"")+IMPORTRANGE(""https"&amp;"://docs.google.com/spreadsheets/d/16o_4B-V7AWw_6E93bSpXj_XxVv1oVQctk-B6z1dNEWU/edit?usp=share_link"",""สงขลา!I107"")+IMPORTRANGE(""https://docs.google.com/spreadsheets/d/16cywr71Fj4fA5OGRHsZh30ZG2gwJhMAQv69oVBzYHv0/edit?usp=share_link"",""สตูล!I107"")+IMP"&amp;"ORTRANGE(""https://docs.google.com/spreadsheets/d/1vO9Sws6kMtrVtyvrAJptINXjK8TFBoX9xLYOVK_C8bQ/edit?usp=share_link"",""สุราษฎร์ธานี!I107"")"),11)</f>
        <v>11</v>
      </c>
      <c r="J107" s="183">
        <f ca="1">IFERROR(__xludf.DUMMYFUNCTION("IMPORTRANGE(""https://docs.google.com/spreadsheets/d/1kC41EOXpGBFOW658Fs3oD8beYlym0-zO54WY-2Qnp9I/edit?usp=share_link"",""กระบี่!J107"")
+IMPORTRANGE(""https://docs.google.com/spreadsheets/d/1FbzMZY_f3MDiEuK7RpCQKrilJ_kpX0Wm7QBZ1L7EjIU/edit?usp=share_link"&amp;""",""ชุมพร!J107"")+IMPORTRANGE(""https://docs.google.com/spreadsheets/d/1v5sN-00LrXuhBxw4dkh2GrG_z4l5oAqOdJRBCsUyMaM/edit?usp=share_link"",""ตรัง!J107"")+IMPORTRANGE(""https://docs.google.com/spreadsheets/d/1T5rRTzFc79aSIvqnzkZNvwPstq829QYz_xALlO1Z0s8/edi"&amp;"t?usp=share_link"",""นครศรีธรรมราช!J107"")+IMPORTRANGE(""https://docs.google.com/spreadsheets/d/1BeghqumK0IvCmRd2QOy6_afsZq7ZtAGrSnVJy2u7WmY/edit?usp=share_link"",""นราธิวาส!J107"")+IMPORTRANGE(""https://docs.google.com/spreadsheets/d/1IwnW3-jjRf74MCLW-6P"&amp;"iFwMUffRQXZwZA7YM609NmRc/edit?usp=share_link"",""ปัตตานี!J107"")+IMPORTRANGE(""https://docs.google.com/spreadsheets/d/1vl4QWbWdFruual5o_wdo6ZSqXZ_it806oja4CctTLKs/edit?usp=share_link"",""พังงา!J107"")+IMPORTRANGE(""https://docs.google.com/spreadsheets/d/1"&amp;"b6QssHQp2FoAPSMKHOy273KNzAomaIKhtdlvuZ_zDNE/edit?usp=share_link"",""พัทลุง!J107"")+IMPORTRANGE(""https://docs.google.com/spreadsheets/d/1o7UZe4_OqlqtLDHrj01Z2YFRSZDf1DMy1n3XViHaxRc/edit?usp=share_link"",""ภูเก็ต!J107"")+IMPORTRANGE(""https://docs.google.c"&amp;"om/spreadsheets/d/1ctPm1vUzcUCPuOj9-eoHUD85PqINFqUB0TjdSWmR5-c/edit?usp=share_link"",""ยะลา!J107"")+IMPORTRANGE(""https://docs.google.com/spreadsheets/d/1YiDIE7Klmt8osgdapRqYWNr7iPGFSsiJqq46S7PYRE0/edit?usp=share_link"",""ระนอง!J107"")+IMPORTRANGE(""https"&amp;"://docs.google.com/spreadsheets/d/16o_4B-V7AWw_6E93bSpXj_XxVv1oVQctk-B6z1dNEWU/edit?usp=share_link"",""สงขลา!J107"")+IMPORTRANGE(""https://docs.google.com/spreadsheets/d/16cywr71Fj4fA5OGRHsZh30ZG2gwJhMAQv69oVBzYHv0/edit?usp=share_link"",""สตูล!J107"")+IMP"&amp;"ORTRANGE(""https://docs.google.com/spreadsheets/d/1vO9Sws6kMtrVtyvrAJptINXjK8TFBoX9xLYOVK_C8bQ/edit?usp=share_link"",""สุราษฎร์ธานี!J107"")"),9)</f>
        <v>9</v>
      </c>
      <c r="K107" s="38">
        <f t="shared" ca="1" si="73"/>
        <v>81.818181818181813</v>
      </c>
      <c r="L107" s="38"/>
      <c r="M107" s="38"/>
      <c r="N107" s="38"/>
      <c r="O107" s="163"/>
      <c r="P107" s="163"/>
    </row>
    <row r="108" spans="1:16" ht="20.25" customHeight="1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20.25" customHeight="1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IFERROR(__xludf.DUMMYFUNCTION("IMPORTRANGE(""https://docs.google.com/spreadsheets/d/1kC41EOXpGBFOW658Fs3oD8beYlym0-zO54WY-2Qnp9I/edit?usp=share_link"",""กระบี่!I109"")
+IMPORTRANGE(""https://docs.google.com/spreadsheets/d/1FbzMZY_f3MDiEuK7RpCQKrilJ_kpX0Wm7QBZ1L7EjIU/edit?usp=share_link"&amp;""",""ชุมพร!I109"")+IMPORTRANGE(""https://docs.google.com/spreadsheets/d/1v5sN-00LrXuhBxw4dkh2GrG_z4l5oAqOdJRBCsUyMaM/edit?usp=share_link"",""ตรัง!I109"")+IMPORTRANGE(""https://docs.google.com/spreadsheets/d/1T5rRTzFc79aSIvqnzkZNvwPstq829QYz_xALlO1Z0s8/edi"&amp;"t?usp=share_link"",""นครศรีธรรมราช!I109"")+IMPORTRANGE(""https://docs.google.com/spreadsheets/d/1BeghqumK0IvCmRd2QOy6_afsZq7ZtAGrSnVJy2u7WmY/edit?usp=share_link"",""นราธิวาส!I109"")+IMPORTRANGE(""https://docs.google.com/spreadsheets/d/1IwnW3-jjRf74MCLW-6P"&amp;"iFwMUffRQXZwZA7YM609NmRc/edit?usp=share_link"",""ปัตตานี!I109"")+IMPORTRANGE(""https://docs.google.com/spreadsheets/d/1vl4QWbWdFruual5o_wdo6ZSqXZ_it806oja4CctTLKs/edit?usp=share_link"",""พังงา!I109"")+IMPORTRANGE(""https://docs.google.com/spreadsheets/d/1"&amp;"b6QssHQp2FoAPSMKHOy273KNzAomaIKhtdlvuZ_zDNE/edit?usp=share_link"",""พัทลุง!I109"")+IMPORTRANGE(""https://docs.google.com/spreadsheets/d/1o7UZe4_OqlqtLDHrj01Z2YFRSZDf1DMy1n3XViHaxRc/edit?usp=share_link"",""ภูเก็ต!I109"")+IMPORTRANGE(""https://docs.google.c"&amp;"om/spreadsheets/d/1ctPm1vUzcUCPuOj9-eoHUD85PqINFqUB0TjdSWmR5-c/edit?usp=share_link"",""ยะลา!I109"")+IMPORTRANGE(""https://docs.google.com/spreadsheets/d/1YiDIE7Klmt8osgdapRqYWNr7iPGFSsiJqq46S7PYRE0/edit?usp=share_link"",""ระนอง!I109"")+IMPORTRANGE(""https"&amp;"://docs.google.com/spreadsheets/d/16o_4B-V7AWw_6E93bSpXj_XxVv1oVQctk-B6z1dNEWU/edit?usp=share_link"",""สงขลา!I109"")+IMPORTRANGE(""https://docs.google.com/spreadsheets/d/16cywr71Fj4fA5OGRHsZh30ZG2gwJhMAQv69oVBzYHv0/edit?usp=share_link"",""สตูล!I109"")+IMP"&amp;"ORTRANGE(""https://docs.google.com/spreadsheets/d/1vO9Sws6kMtrVtyvrAJptINXjK8TFBoX9xLYOVK_C8bQ/edit?usp=share_link"",""สุราษฎร์ธานี!I109"")"),8)</f>
        <v>8</v>
      </c>
      <c r="J109" s="183">
        <f ca="1">IFERROR(__xludf.DUMMYFUNCTION("IMPORTRANGE(""https://docs.google.com/spreadsheets/d/1kC41EOXpGBFOW658Fs3oD8beYlym0-zO54WY-2Qnp9I/edit?usp=share_link"",""กระบี่!J109"")
+IMPORTRANGE(""https://docs.google.com/spreadsheets/d/1FbzMZY_f3MDiEuK7RpCQKrilJ_kpX0Wm7QBZ1L7EjIU/edit?usp=share_link"&amp;""",""ชุมพร!J109"")+IMPORTRANGE(""https://docs.google.com/spreadsheets/d/1v5sN-00LrXuhBxw4dkh2GrG_z4l5oAqOdJRBCsUyMaM/edit?usp=share_link"",""ตรัง!J109"")+IMPORTRANGE(""https://docs.google.com/spreadsheets/d/1T5rRTzFc79aSIvqnzkZNvwPstq829QYz_xALlO1Z0s8/edi"&amp;"t?usp=share_link"",""นครศรีธรรมราช!J109"")+IMPORTRANGE(""https://docs.google.com/spreadsheets/d/1BeghqumK0IvCmRd2QOy6_afsZq7ZtAGrSnVJy2u7WmY/edit?usp=share_link"",""นราธิวาส!J109"")+IMPORTRANGE(""https://docs.google.com/spreadsheets/d/1IwnW3-jjRf74MCLW-6P"&amp;"iFwMUffRQXZwZA7YM609NmRc/edit?usp=share_link"",""ปัตตานี!J109"")+IMPORTRANGE(""https://docs.google.com/spreadsheets/d/1vl4QWbWdFruual5o_wdo6ZSqXZ_it806oja4CctTLKs/edit?usp=share_link"",""พังงา!J109"")+IMPORTRANGE(""https://docs.google.com/spreadsheets/d/1"&amp;"b6QssHQp2FoAPSMKHOy273KNzAomaIKhtdlvuZ_zDNE/edit?usp=share_link"",""พัทลุง!J109"")+IMPORTRANGE(""https://docs.google.com/spreadsheets/d/1o7UZe4_OqlqtLDHrj01Z2YFRSZDf1DMy1n3XViHaxRc/edit?usp=share_link"",""ภูเก็ต!J109"")+IMPORTRANGE(""https://docs.google.c"&amp;"om/spreadsheets/d/1ctPm1vUzcUCPuOj9-eoHUD85PqINFqUB0TjdSWmR5-c/edit?usp=share_link"",""ยะลา!J109"")+IMPORTRANGE(""https://docs.google.com/spreadsheets/d/1YiDIE7Klmt8osgdapRqYWNr7iPGFSsiJqq46S7PYRE0/edit?usp=share_link"",""ระนอง!J109"")+IMPORTRANGE(""https"&amp;"://docs.google.com/spreadsheets/d/16o_4B-V7AWw_6E93bSpXj_XxVv1oVQctk-B6z1dNEWU/edit?usp=share_link"",""สงขลา!J109"")+IMPORTRANGE(""https://docs.google.com/spreadsheets/d/16cywr71Fj4fA5OGRHsZh30ZG2gwJhMAQv69oVBzYHv0/edit?usp=share_link"",""สตูล!J109"")+IMP"&amp;"ORTRANGE(""https://docs.google.com/spreadsheets/d/1vO9Sws6kMtrVtyvrAJptINXjK8TFBoX9xLYOVK_C8bQ/edit?usp=share_link"",""สุราษฎร์ธานี!J109"")"),4)</f>
        <v>4</v>
      </c>
      <c r="K109" s="38">
        <f t="shared" ref="K109:K116" ca="1" si="74">IF(I109&gt;0,J109*100/I109,0)</f>
        <v>50</v>
      </c>
      <c r="L109" s="38"/>
      <c r="M109" s="38"/>
      <c r="N109" s="38"/>
      <c r="O109" s="163"/>
      <c r="P109" s="163"/>
    </row>
    <row r="110" spans="1:16" ht="20.25" customHeight="1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IFERROR(__xludf.DUMMYFUNCTION("IMPORTRANGE(""https://docs.google.com/spreadsheets/d/1kC41EOXpGBFOW658Fs3oD8beYlym0-zO54WY-2Qnp9I/edit?usp=share_link"",""กระบี่!I110"")
+IMPORTRANGE(""https://docs.google.com/spreadsheets/d/1FbzMZY_f3MDiEuK7RpCQKrilJ_kpX0Wm7QBZ1L7EjIU/edit?usp=share_link"&amp;""",""ชุมพร!I110"")+IMPORTRANGE(""https://docs.google.com/spreadsheets/d/1v5sN-00LrXuhBxw4dkh2GrG_z4l5oAqOdJRBCsUyMaM/edit?usp=share_link"",""ตรัง!I110"")+IMPORTRANGE(""https://docs.google.com/spreadsheets/d/1T5rRTzFc79aSIvqnzkZNvwPstq829QYz_xALlO1Z0s8/edi"&amp;"t?usp=share_link"",""นครศรีธรรมราช!I110"")+IMPORTRANGE(""https://docs.google.com/spreadsheets/d/1BeghqumK0IvCmRd2QOy6_afsZq7ZtAGrSnVJy2u7WmY/edit?usp=share_link"",""นราธิวาส!I110"")+IMPORTRANGE(""https://docs.google.com/spreadsheets/d/1IwnW3-jjRf74MCLW-6P"&amp;"iFwMUffRQXZwZA7YM609NmRc/edit?usp=share_link"",""ปัตตานี!I110"")+IMPORTRANGE(""https://docs.google.com/spreadsheets/d/1vl4QWbWdFruual5o_wdo6ZSqXZ_it806oja4CctTLKs/edit?usp=share_link"",""พังงา!I110"")+IMPORTRANGE(""https://docs.google.com/spreadsheets/d/1"&amp;"b6QssHQp2FoAPSMKHOy273KNzAomaIKhtdlvuZ_zDNE/edit?usp=share_link"",""พัทลุง!I110"")+IMPORTRANGE(""https://docs.google.com/spreadsheets/d/1o7UZe4_OqlqtLDHrj01Z2YFRSZDf1DMy1n3XViHaxRc/edit?usp=share_link"",""ภูเก็ต!I110"")+IMPORTRANGE(""https://docs.google.c"&amp;"om/spreadsheets/d/1ctPm1vUzcUCPuOj9-eoHUD85PqINFqUB0TjdSWmR5-c/edit?usp=share_link"",""ยะลา!I110"")+IMPORTRANGE(""https://docs.google.com/spreadsheets/d/1YiDIE7Klmt8osgdapRqYWNr7iPGFSsiJqq46S7PYRE0/edit?usp=share_link"",""ระนอง!I110"")+IMPORTRANGE(""https"&amp;"://docs.google.com/spreadsheets/d/16o_4B-V7AWw_6E93bSpXj_XxVv1oVQctk-B6z1dNEWU/edit?usp=share_link"",""สงขลา!I110"")+IMPORTRANGE(""https://docs.google.com/spreadsheets/d/16cywr71Fj4fA5OGRHsZh30ZG2gwJhMAQv69oVBzYHv0/edit?usp=share_link"",""สตูล!I110"")+IMP"&amp;"ORTRANGE(""https://docs.google.com/spreadsheets/d/1vO9Sws6kMtrVtyvrAJptINXjK8TFBoX9xLYOVK_C8bQ/edit?usp=share_link"",""สุราษฎร์ธานี!I110"")"),8)</f>
        <v>8</v>
      </c>
      <c r="J110" s="183">
        <f ca="1">IFERROR(__xludf.DUMMYFUNCTION("IMPORTRANGE(""https://docs.google.com/spreadsheets/d/1kC41EOXpGBFOW658Fs3oD8beYlym0-zO54WY-2Qnp9I/edit?usp=share_link"",""กระบี่!J110"")
+IMPORTRANGE(""https://docs.google.com/spreadsheets/d/1FbzMZY_f3MDiEuK7RpCQKrilJ_kpX0Wm7QBZ1L7EjIU/edit?usp=share_link"&amp;""",""ชุมพร!J110"")+IMPORTRANGE(""https://docs.google.com/spreadsheets/d/1v5sN-00LrXuhBxw4dkh2GrG_z4l5oAqOdJRBCsUyMaM/edit?usp=share_link"",""ตรัง!J110"")+IMPORTRANGE(""https://docs.google.com/spreadsheets/d/1T5rRTzFc79aSIvqnzkZNvwPstq829QYz_xALlO1Z0s8/edi"&amp;"t?usp=share_link"",""นครศรีธรรมราช!J110"")+IMPORTRANGE(""https://docs.google.com/spreadsheets/d/1BeghqumK0IvCmRd2QOy6_afsZq7ZtAGrSnVJy2u7WmY/edit?usp=share_link"",""นราธิวาส!J110"")+IMPORTRANGE(""https://docs.google.com/spreadsheets/d/1IwnW3-jjRf74MCLW-6P"&amp;"iFwMUffRQXZwZA7YM609NmRc/edit?usp=share_link"",""ปัตตานี!J110"")+IMPORTRANGE(""https://docs.google.com/spreadsheets/d/1vl4QWbWdFruual5o_wdo6ZSqXZ_it806oja4CctTLKs/edit?usp=share_link"",""พังงา!J110"")+IMPORTRANGE(""https://docs.google.com/spreadsheets/d/1"&amp;"b6QssHQp2FoAPSMKHOy273KNzAomaIKhtdlvuZ_zDNE/edit?usp=share_link"",""พัทลุง!J110"")+IMPORTRANGE(""https://docs.google.com/spreadsheets/d/1o7UZe4_OqlqtLDHrj01Z2YFRSZDf1DMy1n3XViHaxRc/edit?usp=share_link"",""ภูเก็ต!J110"")+IMPORTRANGE(""https://docs.google.c"&amp;"om/spreadsheets/d/1ctPm1vUzcUCPuOj9-eoHUD85PqINFqUB0TjdSWmR5-c/edit?usp=share_link"",""ยะลา!J110"")+IMPORTRANGE(""https://docs.google.com/spreadsheets/d/1YiDIE7Klmt8osgdapRqYWNr7iPGFSsiJqq46S7PYRE0/edit?usp=share_link"",""ระนอง!J110"")+IMPORTRANGE(""https"&amp;"://docs.google.com/spreadsheets/d/16o_4B-V7AWw_6E93bSpXj_XxVv1oVQctk-B6z1dNEWU/edit?usp=share_link"",""สงขลา!J110"")+IMPORTRANGE(""https://docs.google.com/spreadsheets/d/16cywr71Fj4fA5OGRHsZh30ZG2gwJhMAQv69oVBzYHv0/edit?usp=share_link"",""สตูล!J110"")+IMP"&amp;"ORTRANGE(""https://docs.google.com/spreadsheets/d/1vO9Sws6kMtrVtyvrAJptINXjK8TFBoX9xLYOVK_C8bQ/edit?usp=share_link"",""สุราษฎร์ธานี!J110"")"),4)</f>
        <v>4</v>
      </c>
      <c r="K110" s="38">
        <f t="shared" ca="1" si="74"/>
        <v>50</v>
      </c>
      <c r="L110" s="38"/>
      <c r="M110" s="38"/>
      <c r="N110" s="38"/>
      <c r="O110" s="163"/>
      <c r="P110" s="163"/>
    </row>
    <row r="111" spans="1:16" ht="20.25" customHeight="1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IFERROR(__xludf.DUMMYFUNCTION("IMPORTRANGE(""https://docs.google.com/spreadsheets/d/1kC41EOXpGBFOW658Fs3oD8beYlym0-zO54WY-2Qnp9I/edit?usp=share_link"",""กระบี่!I111"")
+IMPORTRANGE(""https://docs.google.com/spreadsheets/d/1FbzMZY_f3MDiEuK7RpCQKrilJ_kpX0Wm7QBZ1L7EjIU/edit?usp=share_link"&amp;""",""ชุมพร!I111"")+IMPORTRANGE(""https://docs.google.com/spreadsheets/d/1v5sN-00LrXuhBxw4dkh2GrG_z4l5oAqOdJRBCsUyMaM/edit?usp=share_link"",""ตรัง!I111"")+IMPORTRANGE(""https://docs.google.com/spreadsheets/d/1T5rRTzFc79aSIvqnzkZNvwPstq829QYz_xALlO1Z0s8/edi"&amp;"t?usp=share_link"",""นครศรีธรรมราช!I111"")+IMPORTRANGE(""https://docs.google.com/spreadsheets/d/1BeghqumK0IvCmRd2QOy6_afsZq7ZtAGrSnVJy2u7WmY/edit?usp=share_link"",""นราธิวาส!I111"")+IMPORTRANGE(""https://docs.google.com/spreadsheets/d/1IwnW3-jjRf74MCLW-6P"&amp;"iFwMUffRQXZwZA7YM609NmRc/edit?usp=share_link"",""ปัตตานี!I111"")+IMPORTRANGE(""https://docs.google.com/spreadsheets/d/1vl4QWbWdFruual5o_wdo6ZSqXZ_it806oja4CctTLKs/edit?usp=share_link"",""พังงา!I111"")+IMPORTRANGE(""https://docs.google.com/spreadsheets/d/1"&amp;"b6QssHQp2FoAPSMKHOy273KNzAomaIKhtdlvuZ_zDNE/edit?usp=share_link"",""พัทลุง!I111"")+IMPORTRANGE(""https://docs.google.com/spreadsheets/d/1o7UZe4_OqlqtLDHrj01Z2YFRSZDf1DMy1n3XViHaxRc/edit?usp=share_link"",""ภูเก็ต!I111"")+IMPORTRANGE(""https://docs.google.c"&amp;"om/spreadsheets/d/1ctPm1vUzcUCPuOj9-eoHUD85PqINFqUB0TjdSWmR5-c/edit?usp=share_link"",""ยะลา!I111"")+IMPORTRANGE(""https://docs.google.com/spreadsheets/d/1YiDIE7Klmt8osgdapRqYWNr7iPGFSsiJqq46S7PYRE0/edit?usp=share_link"",""ระนอง!I111"")+IMPORTRANGE(""https"&amp;"://docs.google.com/spreadsheets/d/16o_4B-V7AWw_6E93bSpXj_XxVv1oVQctk-B6z1dNEWU/edit?usp=share_link"",""สงขลา!I111"")+IMPORTRANGE(""https://docs.google.com/spreadsheets/d/16cywr71Fj4fA5OGRHsZh30ZG2gwJhMAQv69oVBzYHv0/edit?usp=share_link"",""สตูล!I111"")+IMP"&amp;"ORTRANGE(""https://docs.google.com/spreadsheets/d/1vO9Sws6kMtrVtyvrAJptINXjK8TFBoX9xLYOVK_C8bQ/edit?usp=share_link"",""สุราษฎร์ธานี!I111"")"),95)</f>
        <v>95</v>
      </c>
      <c r="J111" s="194">
        <f ca="1">J114</f>
        <v>10</v>
      </c>
      <c r="K111" s="195">
        <f t="shared" ca="1" si="74"/>
        <v>10.526315789473685</v>
      </c>
      <c r="L111" s="38"/>
      <c r="M111" s="38"/>
      <c r="N111" s="38"/>
      <c r="O111" s="163"/>
      <c r="P111" s="163"/>
    </row>
    <row r="112" spans="1:16" ht="20.25" customHeight="1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5">I115+I116</f>
        <v>19</v>
      </c>
      <c r="J112" s="194">
        <f t="shared" ca="1" si="75"/>
        <v>1</v>
      </c>
      <c r="K112" s="195">
        <f t="shared" ca="1" si="74"/>
        <v>5.2631578947368425</v>
      </c>
      <c r="L112" s="38"/>
      <c r="M112" s="38"/>
      <c r="N112" s="38"/>
      <c r="O112" s="163"/>
      <c r="P112" s="163"/>
    </row>
    <row r="113" spans="1:26" ht="20.25" customHeight="1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IFERROR(__xludf.DUMMYFUNCTION("IMPORTRANGE(""https://docs.google.com/spreadsheets/d/1kC41EOXpGBFOW658Fs3oD8beYlym0-zO54WY-2Qnp9I/edit?usp=share_link"",""กระบี่!I113"")
+IMPORTRANGE(""https://docs.google.com/spreadsheets/d/1FbzMZY_f3MDiEuK7RpCQKrilJ_kpX0Wm7QBZ1L7EjIU/edit?usp=share_link"&amp;""",""ชุมพร!I113"")+IMPORTRANGE(""https://docs.google.com/spreadsheets/d/1v5sN-00LrXuhBxw4dkh2GrG_z4l5oAqOdJRBCsUyMaM/edit?usp=share_link"",""ตรัง!I113"")+IMPORTRANGE(""https://docs.google.com/spreadsheets/d/1T5rRTzFc79aSIvqnzkZNvwPstq829QYz_xALlO1Z0s8/edi"&amp;"t?usp=share_link"",""นครศรีธรรมราช!I113"")+IMPORTRANGE(""https://docs.google.com/spreadsheets/d/1BeghqumK0IvCmRd2QOy6_afsZq7ZtAGrSnVJy2u7WmY/edit?usp=share_link"",""นราธิวาส!I113"")+IMPORTRANGE(""https://docs.google.com/spreadsheets/d/1IwnW3-jjRf74MCLW-6P"&amp;"iFwMUffRQXZwZA7YM609NmRc/edit?usp=share_link"",""ปัตตานี!I113"")+IMPORTRANGE(""https://docs.google.com/spreadsheets/d/1vl4QWbWdFruual5o_wdo6ZSqXZ_it806oja4CctTLKs/edit?usp=share_link"",""พังงา!I113"")+IMPORTRANGE(""https://docs.google.com/spreadsheets/d/1"&amp;"b6QssHQp2FoAPSMKHOy273KNzAomaIKhtdlvuZ_zDNE/edit?usp=share_link"",""พัทลุง!I113"")+IMPORTRANGE(""https://docs.google.com/spreadsheets/d/1o7UZe4_OqlqtLDHrj01Z2YFRSZDf1DMy1n3XViHaxRc/edit?usp=share_link"",""ภูเก็ต!I113"")+IMPORTRANGE(""https://docs.google.c"&amp;"om/spreadsheets/d/1ctPm1vUzcUCPuOj9-eoHUD85PqINFqUB0TjdSWmR5-c/edit?usp=share_link"",""ยะลา!I113"")+IMPORTRANGE(""https://docs.google.com/spreadsheets/d/1YiDIE7Klmt8osgdapRqYWNr7iPGFSsiJqq46S7PYRE0/edit?usp=share_link"",""ระนอง!I113"")+IMPORTRANGE(""https"&amp;"://docs.google.com/spreadsheets/d/16o_4B-V7AWw_6E93bSpXj_XxVv1oVQctk-B6z1dNEWU/edit?usp=share_link"",""สงขลา!I113"")+IMPORTRANGE(""https://docs.google.com/spreadsheets/d/16cywr71Fj4fA5OGRHsZh30ZG2gwJhMAQv69oVBzYHv0/edit?usp=share_link"",""สตูล!I113"")+IMP"&amp;"ORTRANGE(""https://docs.google.com/spreadsheets/d/1vO9Sws6kMtrVtyvrAJptINXjK8TFBoX9xLYOVK_C8bQ/edit?usp=share_link"",""สุราษฎร์ธานี!I113"")"),95)</f>
        <v>95</v>
      </c>
      <c r="J113" s="183">
        <f ca="1">IFERROR(__xludf.DUMMYFUNCTION("IMPORTRANGE(""https://docs.google.com/spreadsheets/d/1kC41EOXpGBFOW658Fs3oD8beYlym0-zO54WY-2Qnp9I/edit?usp=share_link"",""กระบี่!J113"")
+IMPORTRANGE(""https://docs.google.com/spreadsheets/d/1FbzMZY_f3MDiEuK7RpCQKrilJ_kpX0Wm7QBZ1L7EjIU/edit?usp=share_link"&amp;""",""ชุมพร!J113"")+IMPORTRANGE(""https://docs.google.com/spreadsheets/d/1v5sN-00LrXuhBxw4dkh2GrG_z4l5oAqOdJRBCsUyMaM/edit?usp=share_link"",""ตรัง!J113"")+IMPORTRANGE(""https://docs.google.com/spreadsheets/d/1T5rRTzFc79aSIvqnzkZNvwPstq829QYz_xALlO1Z0s8/edi"&amp;"t?usp=share_link"",""นครศรีธรรมราช!J113"")+IMPORTRANGE(""https://docs.google.com/spreadsheets/d/1BeghqumK0IvCmRd2QOy6_afsZq7ZtAGrSnVJy2u7WmY/edit?usp=share_link"",""นราธิวาส!J113"")+IMPORTRANGE(""https://docs.google.com/spreadsheets/d/1IwnW3-jjRf74MCLW-6P"&amp;"iFwMUffRQXZwZA7YM609NmRc/edit?usp=share_link"",""ปัตตานี!J113"")+IMPORTRANGE(""https://docs.google.com/spreadsheets/d/1vl4QWbWdFruual5o_wdo6ZSqXZ_it806oja4CctTLKs/edit?usp=share_link"",""พังงา!J113"")+IMPORTRANGE(""https://docs.google.com/spreadsheets/d/1"&amp;"b6QssHQp2FoAPSMKHOy273KNzAomaIKhtdlvuZ_zDNE/edit?usp=share_link"",""พัทลุง!J113"")+IMPORTRANGE(""https://docs.google.com/spreadsheets/d/1o7UZe4_OqlqtLDHrj01Z2YFRSZDf1DMy1n3XViHaxRc/edit?usp=share_link"",""ภูเก็ต!J113"")+IMPORTRANGE(""https://docs.google.c"&amp;"om/spreadsheets/d/1ctPm1vUzcUCPuOj9-eoHUD85PqINFqUB0TjdSWmR5-c/edit?usp=share_link"",""ยะลา!J113"")+IMPORTRANGE(""https://docs.google.com/spreadsheets/d/1YiDIE7Klmt8osgdapRqYWNr7iPGFSsiJqq46S7PYRE0/edit?usp=share_link"",""ระนอง!J113"")+IMPORTRANGE(""https"&amp;"://docs.google.com/spreadsheets/d/16o_4B-V7AWw_6E93bSpXj_XxVv1oVQctk-B6z1dNEWU/edit?usp=share_link"",""สงขลา!J113"")+IMPORTRANGE(""https://docs.google.com/spreadsheets/d/16cywr71Fj4fA5OGRHsZh30ZG2gwJhMAQv69oVBzYHv0/edit?usp=share_link"",""สตูล!J113"")+IMP"&amp;"ORTRANGE(""https://docs.google.com/spreadsheets/d/1vO9Sws6kMtrVtyvrAJptINXjK8TFBoX9xLYOVK_C8bQ/edit?usp=share_link"",""สุราษฎร์ธานี!J113"")"),10)</f>
        <v>10</v>
      </c>
      <c r="K113" s="38">
        <f t="shared" ca="1" si="74"/>
        <v>10.526315789473685</v>
      </c>
      <c r="L113" s="38"/>
      <c r="M113" s="38"/>
      <c r="N113" s="38"/>
      <c r="O113" s="163"/>
      <c r="P113" s="163"/>
    </row>
    <row r="114" spans="1:26" ht="20.25" customHeight="1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IFERROR(__xludf.DUMMYFUNCTION("IMPORTRANGE(""https://docs.google.com/spreadsheets/d/1kC41EOXpGBFOW658Fs3oD8beYlym0-zO54WY-2Qnp9I/edit?usp=share_link"",""กระบี่!I114"")
+IMPORTRANGE(""https://docs.google.com/spreadsheets/d/1FbzMZY_f3MDiEuK7RpCQKrilJ_kpX0Wm7QBZ1L7EjIU/edit?usp=share_link"&amp;""",""ชุมพร!I114"")+IMPORTRANGE(""https://docs.google.com/spreadsheets/d/1v5sN-00LrXuhBxw4dkh2GrG_z4l5oAqOdJRBCsUyMaM/edit?usp=share_link"",""ตรัง!I114"")+IMPORTRANGE(""https://docs.google.com/spreadsheets/d/1T5rRTzFc79aSIvqnzkZNvwPstq829QYz_xALlO1Z0s8/edi"&amp;"t?usp=share_link"",""นครศรีธรรมราช!I114"")+IMPORTRANGE(""https://docs.google.com/spreadsheets/d/1BeghqumK0IvCmRd2QOy6_afsZq7ZtAGrSnVJy2u7WmY/edit?usp=share_link"",""นราธิวาส!I114"")+IMPORTRANGE(""https://docs.google.com/spreadsheets/d/1IwnW3-jjRf74MCLW-6P"&amp;"iFwMUffRQXZwZA7YM609NmRc/edit?usp=share_link"",""ปัตตานี!I114"")+IMPORTRANGE(""https://docs.google.com/spreadsheets/d/1vl4QWbWdFruual5o_wdo6ZSqXZ_it806oja4CctTLKs/edit?usp=share_link"",""พังงา!I114"")+IMPORTRANGE(""https://docs.google.com/spreadsheets/d/1"&amp;"b6QssHQp2FoAPSMKHOy273KNzAomaIKhtdlvuZ_zDNE/edit?usp=share_link"",""พัทลุง!I114"")+IMPORTRANGE(""https://docs.google.com/spreadsheets/d/1o7UZe4_OqlqtLDHrj01Z2YFRSZDf1DMy1n3XViHaxRc/edit?usp=share_link"",""ภูเก็ต!I114"")+IMPORTRANGE(""https://docs.google.c"&amp;"om/spreadsheets/d/1ctPm1vUzcUCPuOj9-eoHUD85PqINFqUB0TjdSWmR5-c/edit?usp=share_link"",""ยะลา!I114"")+IMPORTRANGE(""https://docs.google.com/spreadsheets/d/1YiDIE7Klmt8osgdapRqYWNr7iPGFSsiJqq46S7PYRE0/edit?usp=share_link"",""ระนอง!I114"")+IMPORTRANGE(""https"&amp;"://docs.google.com/spreadsheets/d/16o_4B-V7AWw_6E93bSpXj_XxVv1oVQctk-B6z1dNEWU/edit?usp=share_link"",""สงขลา!I114"")+IMPORTRANGE(""https://docs.google.com/spreadsheets/d/16cywr71Fj4fA5OGRHsZh30ZG2gwJhMAQv69oVBzYHv0/edit?usp=share_link"",""สตูล!I114"")+IMP"&amp;"ORTRANGE(""https://docs.google.com/spreadsheets/d/1vO9Sws6kMtrVtyvrAJptINXjK8TFBoX9xLYOVK_C8bQ/edit?usp=share_link"",""สุราษฎร์ธานี!I114"")"),95)</f>
        <v>95</v>
      </c>
      <c r="J114" s="183">
        <f ca="1">IFERROR(__xludf.DUMMYFUNCTION("IMPORTRANGE(""https://docs.google.com/spreadsheets/d/1kC41EOXpGBFOW658Fs3oD8beYlym0-zO54WY-2Qnp9I/edit?usp=share_link"",""กระบี่!J114"")
+IMPORTRANGE(""https://docs.google.com/spreadsheets/d/1FbzMZY_f3MDiEuK7RpCQKrilJ_kpX0Wm7QBZ1L7EjIU/edit?usp=share_link"&amp;""",""ชุมพร!J114"")+IMPORTRANGE(""https://docs.google.com/spreadsheets/d/1v5sN-00LrXuhBxw4dkh2GrG_z4l5oAqOdJRBCsUyMaM/edit?usp=share_link"",""ตรัง!J114"")+IMPORTRANGE(""https://docs.google.com/spreadsheets/d/1T5rRTzFc79aSIvqnzkZNvwPstq829QYz_xALlO1Z0s8/edi"&amp;"t?usp=share_link"",""นครศรีธรรมราช!J114"")+IMPORTRANGE(""https://docs.google.com/spreadsheets/d/1BeghqumK0IvCmRd2QOy6_afsZq7ZtAGrSnVJy2u7WmY/edit?usp=share_link"",""นราธิวาส!J114"")+IMPORTRANGE(""https://docs.google.com/spreadsheets/d/1IwnW3-jjRf74MCLW-6P"&amp;"iFwMUffRQXZwZA7YM609NmRc/edit?usp=share_link"",""ปัตตานี!J114"")+IMPORTRANGE(""https://docs.google.com/spreadsheets/d/1vl4QWbWdFruual5o_wdo6ZSqXZ_it806oja4CctTLKs/edit?usp=share_link"",""พังงา!J114"")+IMPORTRANGE(""https://docs.google.com/spreadsheets/d/1"&amp;"b6QssHQp2FoAPSMKHOy273KNzAomaIKhtdlvuZ_zDNE/edit?usp=share_link"",""พัทลุง!J114"")+IMPORTRANGE(""https://docs.google.com/spreadsheets/d/1o7UZe4_OqlqtLDHrj01Z2YFRSZDf1DMy1n3XViHaxRc/edit?usp=share_link"",""ภูเก็ต!J114"")+IMPORTRANGE(""https://docs.google.c"&amp;"om/spreadsheets/d/1ctPm1vUzcUCPuOj9-eoHUD85PqINFqUB0TjdSWmR5-c/edit?usp=share_link"",""ยะลา!J114"")+IMPORTRANGE(""https://docs.google.com/spreadsheets/d/1YiDIE7Klmt8osgdapRqYWNr7iPGFSsiJqq46S7PYRE0/edit?usp=share_link"",""ระนอง!J114"")+IMPORTRANGE(""https"&amp;"://docs.google.com/spreadsheets/d/16o_4B-V7AWw_6E93bSpXj_XxVv1oVQctk-B6z1dNEWU/edit?usp=share_link"",""สงขลา!J114"")+IMPORTRANGE(""https://docs.google.com/spreadsheets/d/16cywr71Fj4fA5OGRHsZh30ZG2gwJhMAQv69oVBzYHv0/edit?usp=share_link"",""สตูล!J114"")+IMP"&amp;"ORTRANGE(""https://docs.google.com/spreadsheets/d/1vO9Sws6kMtrVtyvrAJptINXjK8TFBoX9xLYOVK_C8bQ/edit?usp=share_link"",""สุราษฎร์ธานี!J114"")"),10)</f>
        <v>10</v>
      </c>
      <c r="K114" s="38">
        <f t="shared" ca="1" si="74"/>
        <v>10.526315789473685</v>
      </c>
      <c r="L114" s="38"/>
      <c r="M114" s="38"/>
      <c r="N114" s="38"/>
      <c r="O114" s="163"/>
      <c r="P114" s="163"/>
    </row>
    <row r="115" spans="1:26" ht="20.25" customHeight="1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IFERROR(__xludf.DUMMYFUNCTION("IMPORTRANGE(""https://docs.google.com/spreadsheets/d/1kC41EOXpGBFOW658Fs3oD8beYlym0-zO54WY-2Qnp9I/edit?usp=share_link"",""กระบี่!I115"")
+IMPORTRANGE(""https://docs.google.com/spreadsheets/d/1FbzMZY_f3MDiEuK7RpCQKrilJ_kpX0Wm7QBZ1L7EjIU/edit?usp=share_link"&amp;""",""ชุมพร!I115"")+IMPORTRANGE(""https://docs.google.com/spreadsheets/d/1v5sN-00LrXuhBxw4dkh2GrG_z4l5oAqOdJRBCsUyMaM/edit?usp=share_link"",""ตรัง!I115"")+IMPORTRANGE(""https://docs.google.com/spreadsheets/d/1T5rRTzFc79aSIvqnzkZNvwPstq829QYz_xALlO1Z0s8/edi"&amp;"t?usp=share_link"",""นครศรีธรรมราช!I115"")+IMPORTRANGE(""https://docs.google.com/spreadsheets/d/1BeghqumK0IvCmRd2QOy6_afsZq7ZtAGrSnVJy2u7WmY/edit?usp=share_link"",""นราธิวาส!I115"")+IMPORTRANGE(""https://docs.google.com/spreadsheets/d/1IwnW3-jjRf74MCLW-6P"&amp;"iFwMUffRQXZwZA7YM609NmRc/edit?usp=share_link"",""ปัตตานี!I115"")+IMPORTRANGE(""https://docs.google.com/spreadsheets/d/1vl4QWbWdFruual5o_wdo6ZSqXZ_it806oja4CctTLKs/edit?usp=share_link"",""พังงา!I115"")+IMPORTRANGE(""https://docs.google.com/spreadsheets/d/1"&amp;"b6QssHQp2FoAPSMKHOy273KNzAomaIKhtdlvuZ_zDNE/edit?usp=share_link"",""พัทลุง!I115"")+IMPORTRANGE(""https://docs.google.com/spreadsheets/d/1o7UZe4_OqlqtLDHrj01Z2YFRSZDf1DMy1n3XViHaxRc/edit?usp=share_link"",""ภูเก็ต!I115"")+IMPORTRANGE(""https://docs.google.c"&amp;"om/spreadsheets/d/1ctPm1vUzcUCPuOj9-eoHUD85PqINFqUB0TjdSWmR5-c/edit?usp=share_link"",""ยะลา!I115"")+IMPORTRANGE(""https://docs.google.com/spreadsheets/d/1YiDIE7Klmt8osgdapRqYWNr7iPGFSsiJqq46S7PYRE0/edit?usp=share_link"",""ระนอง!I115"")+IMPORTRANGE(""https"&amp;"://docs.google.com/spreadsheets/d/16o_4B-V7AWw_6E93bSpXj_XxVv1oVQctk-B6z1dNEWU/edit?usp=share_link"",""สงขลา!I115"")+IMPORTRANGE(""https://docs.google.com/spreadsheets/d/16cywr71Fj4fA5OGRHsZh30ZG2gwJhMAQv69oVBzYHv0/edit?usp=share_link"",""สตูล!I115"")+IMP"&amp;"ORTRANGE(""https://docs.google.com/spreadsheets/d/1vO9Sws6kMtrVtyvrAJptINXjK8TFBoX9xLYOVK_C8bQ/edit?usp=share_link"",""สุราษฎร์ธานี!I115"")"),11)</f>
        <v>11</v>
      </c>
      <c r="J115" s="183">
        <f ca="1">IFERROR(__xludf.DUMMYFUNCTION("IMPORTRANGE(""https://docs.google.com/spreadsheets/d/1kC41EOXpGBFOW658Fs3oD8beYlym0-zO54WY-2Qnp9I/edit?usp=share_link"",""กระบี่!J115"")
+IMPORTRANGE(""https://docs.google.com/spreadsheets/d/1FbzMZY_f3MDiEuK7RpCQKrilJ_kpX0Wm7QBZ1L7EjIU/edit?usp=share_link"&amp;""",""ชุมพร!J115"")+IMPORTRANGE(""https://docs.google.com/spreadsheets/d/1v5sN-00LrXuhBxw4dkh2GrG_z4l5oAqOdJRBCsUyMaM/edit?usp=share_link"",""ตรัง!J115"")+IMPORTRANGE(""https://docs.google.com/spreadsheets/d/1T5rRTzFc79aSIvqnzkZNvwPstq829QYz_xALlO1Z0s8/edi"&amp;"t?usp=share_link"",""นครศรีธรรมราช!J115"")+IMPORTRANGE(""https://docs.google.com/spreadsheets/d/1BeghqumK0IvCmRd2QOy6_afsZq7ZtAGrSnVJy2u7WmY/edit?usp=share_link"",""นราธิวาส!J115"")+IMPORTRANGE(""https://docs.google.com/spreadsheets/d/1IwnW3-jjRf74MCLW-6P"&amp;"iFwMUffRQXZwZA7YM609NmRc/edit?usp=share_link"",""ปัตตานี!J115"")+IMPORTRANGE(""https://docs.google.com/spreadsheets/d/1vl4QWbWdFruual5o_wdo6ZSqXZ_it806oja4CctTLKs/edit?usp=share_link"",""พังงา!J115"")+IMPORTRANGE(""https://docs.google.com/spreadsheets/d/1"&amp;"b6QssHQp2FoAPSMKHOy273KNzAomaIKhtdlvuZ_zDNE/edit?usp=share_link"",""พัทลุง!J115"")+IMPORTRANGE(""https://docs.google.com/spreadsheets/d/1o7UZe4_OqlqtLDHrj01Z2YFRSZDf1DMy1n3XViHaxRc/edit?usp=share_link"",""ภูเก็ต!J115"")+IMPORTRANGE(""https://docs.google.c"&amp;"om/spreadsheets/d/1ctPm1vUzcUCPuOj9-eoHUD85PqINFqUB0TjdSWmR5-c/edit?usp=share_link"",""ยะลา!J115"")+IMPORTRANGE(""https://docs.google.com/spreadsheets/d/1YiDIE7Klmt8osgdapRqYWNr7iPGFSsiJqq46S7PYRE0/edit?usp=share_link"",""ระนอง!J115"")+IMPORTRANGE(""https"&amp;"://docs.google.com/spreadsheets/d/16o_4B-V7AWw_6E93bSpXj_XxVv1oVQctk-B6z1dNEWU/edit?usp=share_link"",""สงขลา!J115"")+IMPORTRANGE(""https://docs.google.com/spreadsheets/d/16cywr71Fj4fA5OGRHsZh30ZG2gwJhMAQv69oVBzYHv0/edit?usp=share_link"",""สตูล!J115"")+IMP"&amp;"ORTRANGE(""https://docs.google.com/spreadsheets/d/1vO9Sws6kMtrVtyvrAJptINXjK8TFBoX9xLYOVK_C8bQ/edit?usp=share_link"",""สุราษฎร์ธานี!J115"")"),1)</f>
        <v>1</v>
      </c>
      <c r="K115" s="38">
        <f t="shared" ca="1" si="74"/>
        <v>9.0909090909090917</v>
      </c>
      <c r="L115" s="38"/>
      <c r="M115" s="38"/>
      <c r="N115" s="38"/>
      <c r="O115" s="163"/>
      <c r="P115" s="163"/>
    </row>
    <row r="116" spans="1:26" ht="20.25" customHeight="1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IFERROR(__xludf.DUMMYFUNCTION("IMPORTRANGE(""https://docs.google.com/spreadsheets/d/1kC41EOXpGBFOW658Fs3oD8beYlym0-zO54WY-2Qnp9I/edit?usp=share_link"",""กระบี่!I116"")
+IMPORTRANGE(""https://docs.google.com/spreadsheets/d/1FbzMZY_f3MDiEuK7RpCQKrilJ_kpX0Wm7QBZ1L7EjIU/edit?usp=share_link"&amp;""",""ชุมพร!I116"")+IMPORTRANGE(""https://docs.google.com/spreadsheets/d/1v5sN-00LrXuhBxw4dkh2GrG_z4l5oAqOdJRBCsUyMaM/edit?usp=share_link"",""ตรัง!I116"")+IMPORTRANGE(""https://docs.google.com/spreadsheets/d/1T5rRTzFc79aSIvqnzkZNvwPstq829QYz_xALlO1Z0s8/edi"&amp;"t?usp=share_link"",""นครศรีธรรมราช!I116"")+IMPORTRANGE(""https://docs.google.com/spreadsheets/d/1BeghqumK0IvCmRd2QOy6_afsZq7ZtAGrSnVJy2u7WmY/edit?usp=share_link"",""นราธิวาส!I116"")+IMPORTRANGE(""https://docs.google.com/spreadsheets/d/1IwnW3-jjRf74MCLW-6P"&amp;"iFwMUffRQXZwZA7YM609NmRc/edit?usp=share_link"",""ปัตตานี!I116"")+IMPORTRANGE(""https://docs.google.com/spreadsheets/d/1vl4QWbWdFruual5o_wdo6ZSqXZ_it806oja4CctTLKs/edit?usp=share_link"",""พังงา!I116"")+IMPORTRANGE(""https://docs.google.com/spreadsheets/d/1"&amp;"b6QssHQp2FoAPSMKHOy273KNzAomaIKhtdlvuZ_zDNE/edit?usp=share_link"",""พัทลุง!I116"")+IMPORTRANGE(""https://docs.google.com/spreadsheets/d/1o7UZe4_OqlqtLDHrj01Z2YFRSZDf1DMy1n3XViHaxRc/edit?usp=share_link"",""ภูเก็ต!I116"")+IMPORTRANGE(""https://docs.google.c"&amp;"om/spreadsheets/d/1ctPm1vUzcUCPuOj9-eoHUD85PqINFqUB0TjdSWmR5-c/edit?usp=share_link"",""ยะลา!I116"")+IMPORTRANGE(""https://docs.google.com/spreadsheets/d/1YiDIE7Klmt8osgdapRqYWNr7iPGFSsiJqq46S7PYRE0/edit?usp=share_link"",""ระนอง!I116"")+IMPORTRANGE(""https"&amp;"://docs.google.com/spreadsheets/d/16o_4B-V7AWw_6E93bSpXj_XxVv1oVQctk-B6z1dNEWU/edit?usp=share_link"",""สงขลา!I116"")+IMPORTRANGE(""https://docs.google.com/spreadsheets/d/16cywr71Fj4fA5OGRHsZh30ZG2gwJhMAQv69oVBzYHv0/edit?usp=share_link"",""สตูล!I116"")+IMP"&amp;"ORTRANGE(""https://docs.google.com/spreadsheets/d/1vO9Sws6kMtrVtyvrAJptINXjK8TFBoX9xLYOVK_C8bQ/edit?usp=share_link"",""สุราษฎร์ธานี!I116"")"),8)</f>
        <v>8</v>
      </c>
      <c r="J116" s="183">
        <f ca="1">IFERROR(__xludf.DUMMYFUNCTION("IMPORTRANGE(""https://docs.google.com/spreadsheets/d/1kC41EOXpGBFOW658Fs3oD8beYlym0-zO54WY-2Qnp9I/edit?usp=share_link"",""กระบี่!J116"")
+IMPORTRANGE(""https://docs.google.com/spreadsheets/d/1FbzMZY_f3MDiEuK7RpCQKrilJ_kpX0Wm7QBZ1L7EjIU/edit?usp=share_link"&amp;""",""ชุมพร!J116"")+IMPORTRANGE(""https://docs.google.com/spreadsheets/d/1v5sN-00LrXuhBxw4dkh2GrG_z4l5oAqOdJRBCsUyMaM/edit?usp=share_link"",""ตรัง!J116"")+IMPORTRANGE(""https://docs.google.com/spreadsheets/d/1T5rRTzFc79aSIvqnzkZNvwPstq829QYz_xALlO1Z0s8/edi"&amp;"t?usp=share_link"",""นครศรีธรรมราช!J116"")+IMPORTRANGE(""https://docs.google.com/spreadsheets/d/1BeghqumK0IvCmRd2QOy6_afsZq7ZtAGrSnVJy2u7WmY/edit?usp=share_link"",""นราธิวาส!J116"")+IMPORTRANGE(""https://docs.google.com/spreadsheets/d/1IwnW3-jjRf74MCLW-6P"&amp;"iFwMUffRQXZwZA7YM609NmRc/edit?usp=share_link"",""ปัตตานี!J116"")+IMPORTRANGE(""https://docs.google.com/spreadsheets/d/1vl4QWbWdFruual5o_wdo6ZSqXZ_it806oja4CctTLKs/edit?usp=share_link"",""พังงา!J116"")+IMPORTRANGE(""https://docs.google.com/spreadsheets/d/1"&amp;"b6QssHQp2FoAPSMKHOy273KNzAomaIKhtdlvuZ_zDNE/edit?usp=share_link"",""พัทลุง!J116"")+IMPORTRANGE(""https://docs.google.com/spreadsheets/d/1o7UZe4_OqlqtLDHrj01Z2YFRSZDf1DMy1n3XViHaxRc/edit?usp=share_link"",""ภูเก็ต!J116"")+IMPORTRANGE(""https://docs.google.c"&amp;"om/spreadsheets/d/1ctPm1vUzcUCPuOj9-eoHUD85PqINFqUB0TjdSWmR5-c/edit?usp=share_link"",""ยะลา!J116"")+IMPORTRANGE(""https://docs.google.com/spreadsheets/d/1YiDIE7Klmt8osgdapRqYWNr7iPGFSsiJqq46S7PYRE0/edit?usp=share_link"",""ระนอง!J116"")+IMPORTRANGE(""https"&amp;"://docs.google.com/spreadsheets/d/16o_4B-V7AWw_6E93bSpXj_XxVv1oVQctk-B6z1dNEWU/edit?usp=share_link"",""สงขลา!J116"")+IMPORTRANGE(""https://docs.google.com/spreadsheets/d/16cywr71Fj4fA5OGRHsZh30ZG2gwJhMAQv69oVBzYHv0/edit?usp=share_link"",""สตูล!J116"")+IMP"&amp;"ORTRANGE(""https://docs.google.com/spreadsheets/d/1vO9Sws6kMtrVtyvrAJptINXjK8TFBoX9xLYOVK_C8bQ/edit?usp=share_link"",""สุราษฎร์ธานี!J116"")"),0)</f>
        <v>0</v>
      </c>
      <c r="K116" s="38">
        <f t="shared" ca="1" si="74"/>
        <v>0</v>
      </c>
      <c r="L116" s="38"/>
      <c r="M116" s="38"/>
      <c r="N116" s="38"/>
      <c r="O116" s="163"/>
      <c r="P116" s="163"/>
    </row>
    <row r="117" spans="1:26" ht="20.25" customHeight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20.25" customHeight="1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IFERROR(__xludf.DUMMYFUNCTION("IMPORTRANGE(""https://docs.google.com/spreadsheets/d/1kC41EOXpGBFOW658Fs3oD8beYlym0-zO54WY-2Qnp9I/edit?usp=share_link"",""กระบี่!I118"")
+IMPORTRANGE(""https://docs.google.com/spreadsheets/d/1FbzMZY_f3MDiEuK7RpCQKrilJ_kpX0Wm7QBZ1L7EjIU/edit?usp=share_link"&amp;""",""ชุมพร!I118"")+IMPORTRANGE(""https://docs.google.com/spreadsheets/d/1v5sN-00LrXuhBxw4dkh2GrG_z4l5oAqOdJRBCsUyMaM/edit?usp=share_link"",""ตรัง!I118"")+IMPORTRANGE(""https://docs.google.com/spreadsheets/d/1T5rRTzFc79aSIvqnzkZNvwPstq829QYz_xALlO1Z0s8/edi"&amp;"t?usp=share_link"",""นครศรีธรรมราช!I118"")+IMPORTRANGE(""https://docs.google.com/spreadsheets/d/1BeghqumK0IvCmRd2QOy6_afsZq7ZtAGrSnVJy2u7WmY/edit?usp=share_link"",""นราธิวาส!I118"")+IMPORTRANGE(""https://docs.google.com/spreadsheets/d/1IwnW3-jjRf74MCLW-6P"&amp;"iFwMUffRQXZwZA7YM609NmRc/edit?usp=share_link"",""ปัตตานี!I118"")+IMPORTRANGE(""https://docs.google.com/spreadsheets/d/1vl4QWbWdFruual5o_wdo6ZSqXZ_it806oja4CctTLKs/edit?usp=share_link"",""พังงา!I118"")+IMPORTRANGE(""https://docs.google.com/spreadsheets/d/1"&amp;"b6QssHQp2FoAPSMKHOy273KNzAomaIKhtdlvuZ_zDNE/edit?usp=share_link"",""พัทลุง!I118"")+IMPORTRANGE(""https://docs.google.com/spreadsheets/d/1o7UZe4_OqlqtLDHrj01Z2YFRSZDf1DMy1n3XViHaxRc/edit?usp=share_link"",""ภูเก็ต!I118"")+IMPORTRANGE(""https://docs.google.c"&amp;"om/spreadsheets/d/1ctPm1vUzcUCPuOj9-eoHUD85PqINFqUB0TjdSWmR5-c/edit?usp=share_link"",""ยะลา!I118"")+IMPORTRANGE(""https://docs.google.com/spreadsheets/d/1YiDIE7Klmt8osgdapRqYWNr7iPGFSsiJqq46S7PYRE0/edit?usp=share_link"",""ระนอง!I118"")+IMPORTRANGE(""https"&amp;"://docs.google.com/spreadsheets/d/16o_4B-V7AWw_6E93bSpXj_XxVv1oVQctk-B6z1dNEWU/edit?usp=share_link"",""สงขลา!I118"")+IMPORTRANGE(""https://docs.google.com/spreadsheets/d/16cywr71Fj4fA5OGRHsZh30ZG2gwJhMAQv69oVBzYHv0/edit?usp=share_link"",""สตูล!I118"")+IMP"&amp;"ORTRANGE(""https://docs.google.com/spreadsheets/d/1vO9Sws6kMtrVtyvrAJptINXjK8TFBoX9xLYOVK_C8bQ/edit?usp=share_link"",""สุราษฎร์ธานี!I118"")"),3)</f>
        <v>3</v>
      </c>
      <c r="J118" s="144">
        <f ca="1">IFERROR(__xludf.DUMMYFUNCTION("IMPORTRANGE(""https://docs.google.com/spreadsheets/d/1kC41EOXpGBFOW658Fs3oD8beYlym0-zO54WY-2Qnp9I/edit?usp=share_link"",""กระบี่!J118"")
+IMPORTRANGE(""https://docs.google.com/spreadsheets/d/1FbzMZY_f3MDiEuK7RpCQKrilJ_kpX0Wm7QBZ1L7EjIU/edit?usp=share_link"&amp;""",""ชุมพร!J118"")+IMPORTRANGE(""https://docs.google.com/spreadsheets/d/1v5sN-00LrXuhBxw4dkh2GrG_z4l5oAqOdJRBCsUyMaM/edit?usp=share_link"",""ตรัง!J118"")+IMPORTRANGE(""https://docs.google.com/spreadsheets/d/1T5rRTzFc79aSIvqnzkZNvwPstq829QYz_xALlO1Z0s8/edi"&amp;"t?usp=share_link"",""นครศรีธรรมราช!J118"")+IMPORTRANGE(""https://docs.google.com/spreadsheets/d/1BeghqumK0IvCmRd2QOy6_afsZq7ZtAGrSnVJy2u7WmY/edit?usp=share_link"",""นราธิวาส!J118"")+IMPORTRANGE(""https://docs.google.com/spreadsheets/d/1IwnW3-jjRf74MCLW-6P"&amp;"iFwMUffRQXZwZA7YM609NmRc/edit?usp=share_link"",""ปัตตานี!J118"")+IMPORTRANGE(""https://docs.google.com/spreadsheets/d/1vl4QWbWdFruual5o_wdo6ZSqXZ_it806oja4CctTLKs/edit?usp=share_link"",""พังงา!J118"")+IMPORTRANGE(""https://docs.google.com/spreadsheets/d/1"&amp;"b6QssHQp2FoAPSMKHOy273KNzAomaIKhtdlvuZ_zDNE/edit?usp=share_link"",""พัทลุง!J118"")+IMPORTRANGE(""https://docs.google.com/spreadsheets/d/1o7UZe4_OqlqtLDHrj01Z2YFRSZDf1DMy1n3XViHaxRc/edit?usp=share_link"",""ภูเก็ต!J118"")+IMPORTRANGE(""https://docs.google.c"&amp;"om/spreadsheets/d/1ctPm1vUzcUCPuOj9-eoHUD85PqINFqUB0TjdSWmR5-c/edit?usp=share_link"",""ยะลา!J118"")+IMPORTRANGE(""https://docs.google.com/spreadsheets/d/1YiDIE7Klmt8osgdapRqYWNr7iPGFSsiJqq46S7PYRE0/edit?usp=share_link"",""ระนอง!J118"")+IMPORTRANGE(""https"&amp;"://docs.google.com/spreadsheets/d/16o_4B-V7AWw_6E93bSpXj_XxVv1oVQctk-B6z1dNEWU/edit?usp=share_link"",""สงขลา!J118"")+IMPORTRANGE(""https://docs.google.com/spreadsheets/d/16cywr71Fj4fA5OGRHsZh30ZG2gwJhMAQv69oVBzYHv0/edit?usp=share_link"",""สตูล!J118"")+IMP"&amp;"ORTRANGE(""https://docs.google.com/spreadsheets/d/1vO9Sws6kMtrVtyvrAJptINXjK8TFBoX9xLYOVK_C8bQ/edit?usp=share_link"",""สุราษฎร์ธานี!J118"")"),3)</f>
        <v>3</v>
      </c>
      <c r="K118" s="145">
        <f ca="1">IF(I118&gt;0,J118*100/I118,0)</f>
        <v>100</v>
      </c>
      <c r="L118" s="146"/>
      <c r="M118" s="146"/>
      <c r="N118" s="146"/>
      <c r="O118" s="146"/>
      <c r="P118" s="146"/>
    </row>
    <row r="119" spans="1:26" ht="20.25" customHeight="1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6">L120+L121</f>
        <v>42000</v>
      </c>
      <c r="M119" s="155">
        <f t="shared" ca="1" si="76"/>
        <v>42000</v>
      </c>
      <c r="N119" s="155">
        <f t="shared" ca="1" si="76"/>
        <v>42000</v>
      </c>
      <c r="O119" s="155">
        <f t="shared" ref="O119:O127" ca="1" si="77">IF(L119&gt;0,N119*100/L119,0)</f>
        <v>100</v>
      </c>
      <c r="P119" s="155">
        <f t="shared" ref="P119:P127" ca="1" si="78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20.25" hidden="1" customHeight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79">L123+L126</f>
        <v>0</v>
      </c>
      <c r="M120" s="45">
        <f t="shared" si="79"/>
        <v>0</v>
      </c>
      <c r="N120" s="45">
        <f t="shared" si="79"/>
        <v>0</v>
      </c>
      <c r="O120" s="45">
        <f t="shared" si="77"/>
        <v>0</v>
      </c>
      <c r="P120" s="45">
        <f t="shared" si="78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20.25" hidden="1" customHeight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0">L124+L127</f>
        <v>42000</v>
      </c>
      <c r="M121" s="45">
        <f t="shared" ca="1" si="80"/>
        <v>42000</v>
      </c>
      <c r="N121" s="45">
        <f t="shared" ca="1" si="80"/>
        <v>42000</v>
      </c>
      <c r="O121" s="45">
        <f t="shared" ca="1" si="77"/>
        <v>100</v>
      </c>
      <c r="P121" s="45">
        <f t="shared" ca="1" si="78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20.25" customHeight="1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1">L123+L124</f>
        <v>0</v>
      </c>
      <c r="M122" s="38">
        <f t="shared" ca="1" si="81"/>
        <v>0</v>
      </c>
      <c r="N122" s="38">
        <f t="shared" ca="1" si="81"/>
        <v>0</v>
      </c>
      <c r="O122" s="38">
        <f t="shared" ca="1" si="77"/>
        <v>0</v>
      </c>
      <c r="P122" s="38">
        <f t="shared" ca="1" si="78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20.25" hidden="1" customHeight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7"/>
        <v>0</v>
      </c>
      <c r="P123" s="45">
        <f t="shared" si="78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20.25" hidden="1" customHeight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IFERROR(__xludf.DUMMYFUNCTION("IMPORTRANGE(""https://docs.google.com/spreadsheets/d/1kC41EOXpGBFOW658Fs3oD8beYlym0-zO54WY-2Qnp9I/edit?usp=share_link"",""กระบี่!L124"")
+IMPORTRANGE(""https://docs.google.com/spreadsheets/d/1FbzMZY_f3MDiEuK7RpCQKrilJ_kpX0Wm7QBZ1L7EjIU/edit?usp=share_link"&amp;""",""ชุมพร!L124"")+IMPORTRANGE(""https://docs.google.com/spreadsheets/d/1v5sN-00LrXuhBxw4dkh2GrG_z4l5oAqOdJRBCsUyMaM/edit?usp=share_link"",""ตรัง!L124"")+IMPORTRANGE(""https://docs.google.com/spreadsheets/d/1T5rRTzFc79aSIvqnzkZNvwPstq829QYz_xALlO1Z0s8/edi"&amp;"t?usp=share_link"",""นครศรีธรรมราช!L124"")+IMPORTRANGE(""https://docs.google.com/spreadsheets/d/1BeghqumK0IvCmRd2QOy6_afsZq7ZtAGrSnVJy2u7WmY/edit?usp=share_link"",""นราธิวาส!L124"")+IMPORTRANGE(""https://docs.google.com/spreadsheets/d/1IwnW3-jjRf74MCLW-6P"&amp;"iFwMUffRQXZwZA7YM609NmRc/edit?usp=share_link"",""ปัตตานี!L124"")+IMPORTRANGE(""https://docs.google.com/spreadsheets/d/1vl4QWbWdFruual5o_wdo6ZSqXZ_it806oja4CctTLKs/edit?usp=share_link"",""พังงา!L124"")+IMPORTRANGE(""https://docs.google.com/spreadsheets/d/1"&amp;"b6QssHQp2FoAPSMKHOy273KNzAomaIKhtdlvuZ_zDNE/edit?usp=share_link"",""พัทลุง!L124"")+IMPORTRANGE(""https://docs.google.com/spreadsheets/d/1o7UZe4_OqlqtLDHrj01Z2YFRSZDf1DMy1n3XViHaxRc/edit?usp=share_link"",""ภูเก็ต!L124"")+IMPORTRANGE(""https://docs.google.c"&amp;"om/spreadsheets/d/1ctPm1vUzcUCPuOj9-eoHUD85PqINFqUB0TjdSWmR5-c/edit?usp=share_link"",""ยะลา!L124"")+IMPORTRANGE(""https://docs.google.com/spreadsheets/d/1YiDIE7Klmt8osgdapRqYWNr7iPGFSsiJqq46S7PYRE0/edit?usp=share_link"",""ระนอง!L124"")+IMPORTRANGE(""https"&amp;"://docs.google.com/spreadsheets/d/16o_4B-V7AWw_6E93bSpXj_XxVv1oVQctk-B6z1dNEWU/edit?usp=share_link"",""สงขลา!L124"")+IMPORTRANGE(""https://docs.google.com/spreadsheets/d/16cywr71Fj4fA5OGRHsZh30ZG2gwJhMAQv69oVBzYHv0/edit?usp=share_link"",""สตูล!L124"")+IMP"&amp;"ORTRANGE(""https://docs.google.com/spreadsheets/d/1vO9Sws6kMtrVtyvrAJptINXjK8TFBoX9xLYOVK_C8bQ/edit?usp=share_link"",""สุราษฎร์ธานี!L124"")"),0)</f>
        <v>0</v>
      </c>
      <c r="M124" s="45">
        <f ca="1">IFERROR(__xludf.DUMMYFUNCTION("IMPORTRANGE(""https://docs.google.com/spreadsheets/d/1kC41EOXpGBFOW658Fs3oD8beYlym0-zO54WY-2Qnp9I/edit?usp=share_link"",""กระบี่!M124"")
+IMPORTRANGE(""https://docs.google.com/spreadsheets/d/1FbzMZY_f3MDiEuK7RpCQKrilJ_kpX0Wm7QBZ1L7EjIU/edit?usp=share_link"&amp;""",""ชุมพร!M124"")+IMPORTRANGE(""https://docs.google.com/spreadsheets/d/1v5sN-00LrXuhBxw4dkh2GrG_z4l5oAqOdJRBCsUyMaM/edit?usp=share_link"",""ตรัง!M124"")+IMPORTRANGE(""https://docs.google.com/spreadsheets/d/1T5rRTzFc79aSIvqnzkZNvwPstq829QYz_xALlO1Z0s8/edi"&amp;"t?usp=share_link"",""นครศรีธรรมราช!M124"")+IMPORTRANGE(""https://docs.google.com/spreadsheets/d/1BeghqumK0IvCmRd2QOy6_afsZq7ZtAGrSnVJy2u7WmY/edit?usp=share_link"",""นราธิวาส!M124"")+IMPORTRANGE(""https://docs.google.com/spreadsheets/d/1IwnW3-jjRf74MCLW-6P"&amp;"iFwMUffRQXZwZA7YM609NmRc/edit?usp=share_link"",""ปัตตานี!M124"")+IMPORTRANGE(""https://docs.google.com/spreadsheets/d/1vl4QWbWdFruual5o_wdo6ZSqXZ_it806oja4CctTLKs/edit?usp=share_link"",""พังงา!M124"")+IMPORTRANGE(""https://docs.google.com/spreadsheets/d/1"&amp;"b6QssHQp2FoAPSMKHOy273KNzAomaIKhtdlvuZ_zDNE/edit?usp=share_link"",""พัทลุง!M124"")+IMPORTRANGE(""https://docs.google.com/spreadsheets/d/1o7UZe4_OqlqtLDHrj01Z2YFRSZDf1DMy1n3XViHaxRc/edit?usp=share_link"",""ภูเก็ต!M124"")+IMPORTRANGE(""https://docs.google.c"&amp;"om/spreadsheets/d/1ctPm1vUzcUCPuOj9-eoHUD85PqINFqUB0TjdSWmR5-c/edit?usp=share_link"",""ยะลา!M124"")+IMPORTRANGE(""https://docs.google.com/spreadsheets/d/1YiDIE7Klmt8osgdapRqYWNr7iPGFSsiJqq46S7PYRE0/edit?usp=share_link"",""ระนอง!M124"")+IMPORTRANGE(""https"&amp;"://docs.google.com/spreadsheets/d/16o_4B-V7AWw_6E93bSpXj_XxVv1oVQctk-B6z1dNEWU/edit?usp=share_link"",""สงขลา!M124"")+IMPORTRANGE(""https://docs.google.com/spreadsheets/d/16cywr71Fj4fA5OGRHsZh30ZG2gwJhMAQv69oVBzYHv0/edit?usp=share_link"",""สตูล!M124"")+IMP"&amp;"ORTRANGE(""https://docs.google.com/spreadsheets/d/1vO9Sws6kMtrVtyvrAJptINXjK8TFBoX9xLYOVK_C8bQ/edit?usp=share_link"",""สุราษฎร์ธานี!M124"")"),0)</f>
        <v>0</v>
      </c>
      <c r="N124" s="45">
        <f ca="1">IFERROR(__xludf.DUMMYFUNCTION("IMPORTRANGE(""https://docs.google.com/spreadsheets/d/1kC41EOXpGBFOW658Fs3oD8beYlym0-zO54WY-2Qnp9I/edit?usp=share_link"",""กระบี่!N124"")
+IMPORTRANGE(""https://docs.google.com/spreadsheets/d/1FbzMZY_f3MDiEuK7RpCQKrilJ_kpX0Wm7QBZ1L7EjIU/edit?usp=share_link"&amp;""",""ชุมพร!N124"")+IMPORTRANGE(""https://docs.google.com/spreadsheets/d/1v5sN-00LrXuhBxw4dkh2GrG_z4l5oAqOdJRBCsUyMaM/edit?usp=share_link"",""ตรัง!N124"")+IMPORTRANGE(""https://docs.google.com/spreadsheets/d/1T5rRTzFc79aSIvqnzkZNvwPstq829QYz_xALlO1Z0s8/edi"&amp;"t?usp=share_link"",""นครศรีธรรมราช!N124"")+IMPORTRANGE(""https://docs.google.com/spreadsheets/d/1BeghqumK0IvCmRd2QOy6_afsZq7ZtAGrSnVJy2u7WmY/edit?usp=share_link"",""นราธิวาส!N124"")+IMPORTRANGE(""https://docs.google.com/spreadsheets/d/1IwnW3-jjRf74MCLW-6P"&amp;"iFwMUffRQXZwZA7YM609NmRc/edit?usp=share_link"",""ปัตตานี!N124"")+IMPORTRANGE(""https://docs.google.com/spreadsheets/d/1vl4QWbWdFruual5o_wdo6ZSqXZ_it806oja4CctTLKs/edit?usp=share_link"",""พังงา!N124"")+IMPORTRANGE(""https://docs.google.com/spreadsheets/d/1"&amp;"b6QssHQp2FoAPSMKHOy273KNzAomaIKhtdlvuZ_zDNE/edit?usp=share_link"",""พัทลุง!N124"")+IMPORTRANGE(""https://docs.google.com/spreadsheets/d/1o7UZe4_OqlqtLDHrj01Z2YFRSZDf1DMy1n3XViHaxRc/edit?usp=share_link"",""ภูเก็ต!N124"")+IMPORTRANGE(""https://docs.google.c"&amp;"om/spreadsheets/d/1ctPm1vUzcUCPuOj9-eoHUD85PqINFqUB0TjdSWmR5-c/edit?usp=share_link"",""ยะลา!N124"")+IMPORTRANGE(""https://docs.google.com/spreadsheets/d/1YiDIE7Klmt8osgdapRqYWNr7iPGFSsiJqq46S7PYRE0/edit?usp=share_link"",""ระนอง!N124"")+IMPORTRANGE(""https"&amp;"://docs.google.com/spreadsheets/d/16o_4B-V7AWw_6E93bSpXj_XxVv1oVQctk-B6z1dNEWU/edit?usp=share_link"",""สงขลา!N124"")+IMPORTRANGE(""https://docs.google.com/spreadsheets/d/16cywr71Fj4fA5OGRHsZh30ZG2gwJhMAQv69oVBzYHv0/edit?usp=share_link"",""สตูล!N124"")+IMP"&amp;"ORTRANGE(""https://docs.google.com/spreadsheets/d/1vO9Sws6kMtrVtyvrAJptINXjK8TFBoX9xLYOVK_C8bQ/edit?usp=share_link"",""สุราษฎร์ธานี!N124"")"),0)</f>
        <v>0</v>
      </c>
      <c r="O124" s="45">
        <f t="shared" ca="1" si="77"/>
        <v>0</v>
      </c>
      <c r="P124" s="45">
        <f t="shared" ca="1" si="78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20.25" customHeight="1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2">L126+L127</f>
        <v>42000</v>
      </c>
      <c r="M125" s="38">
        <f t="shared" ca="1" si="82"/>
        <v>42000</v>
      </c>
      <c r="N125" s="38">
        <f t="shared" ca="1" si="82"/>
        <v>42000</v>
      </c>
      <c r="O125" s="38">
        <f t="shared" ca="1" si="77"/>
        <v>100</v>
      </c>
      <c r="P125" s="38">
        <f t="shared" ca="1" si="78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20.25" hidden="1" customHeight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7"/>
        <v>0</v>
      </c>
      <c r="P126" s="45">
        <f t="shared" si="78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0.25" hidden="1" customHeight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IFERROR(__xludf.DUMMYFUNCTION("IMPORTRANGE(""https://docs.google.com/spreadsheets/d/1kC41EOXpGBFOW658Fs3oD8beYlym0-zO54WY-2Qnp9I/edit?usp=share_link"",""กระบี่!L127"")
+IMPORTRANGE(""https://docs.google.com/spreadsheets/d/1FbzMZY_f3MDiEuK7RpCQKrilJ_kpX0Wm7QBZ1L7EjIU/edit?usp=share_link"&amp;""",""ชุมพร!L127"")+IMPORTRANGE(""https://docs.google.com/spreadsheets/d/1v5sN-00LrXuhBxw4dkh2GrG_z4l5oAqOdJRBCsUyMaM/edit?usp=share_link"",""ตรัง!L127"")+IMPORTRANGE(""https://docs.google.com/spreadsheets/d/1T5rRTzFc79aSIvqnzkZNvwPstq829QYz_xALlO1Z0s8/edi"&amp;"t?usp=share_link"",""นครศรีธรรมราช!L127"")+IMPORTRANGE(""https://docs.google.com/spreadsheets/d/1BeghqumK0IvCmRd2QOy6_afsZq7ZtAGrSnVJy2u7WmY/edit?usp=share_link"",""นราธิวาส!L127"")+IMPORTRANGE(""https://docs.google.com/spreadsheets/d/1IwnW3-jjRf74MCLW-6P"&amp;"iFwMUffRQXZwZA7YM609NmRc/edit?usp=share_link"",""ปัตตานี!L127"")+IMPORTRANGE(""https://docs.google.com/spreadsheets/d/1vl4QWbWdFruual5o_wdo6ZSqXZ_it806oja4CctTLKs/edit?usp=share_link"",""พังงา!L127"")+IMPORTRANGE(""https://docs.google.com/spreadsheets/d/1"&amp;"b6QssHQp2FoAPSMKHOy273KNzAomaIKhtdlvuZ_zDNE/edit?usp=share_link"",""พัทลุง!L127"")+IMPORTRANGE(""https://docs.google.com/spreadsheets/d/1o7UZe4_OqlqtLDHrj01Z2YFRSZDf1DMy1n3XViHaxRc/edit?usp=share_link"",""ภูเก็ต!L127"")+IMPORTRANGE(""https://docs.google.c"&amp;"om/spreadsheets/d/1ctPm1vUzcUCPuOj9-eoHUD85PqINFqUB0TjdSWmR5-c/edit?usp=share_link"",""ยะลา!L127"")+IMPORTRANGE(""https://docs.google.com/spreadsheets/d/1YiDIE7Klmt8osgdapRqYWNr7iPGFSsiJqq46S7PYRE0/edit?usp=share_link"",""ระนอง!L127"")+IMPORTRANGE(""https"&amp;"://docs.google.com/spreadsheets/d/16o_4B-V7AWw_6E93bSpXj_XxVv1oVQctk-B6z1dNEWU/edit?usp=share_link"",""สงขลา!L127"")+IMPORTRANGE(""https://docs.google.com/spreadsheets/d/16cywr71Fj4fA5OGRHsZh30ZG2gwJhMAQv69oVBzYHv0/edit?usp=share_link"",""สตูล!L127"")+IMP"&amp;"ORTRANGE(""https://docs.google.com/spreadsheets/d/1vO9Sws6kMtrVtyvrAJptINXjK8TFBoX9xLYOVK_C8bQ/edit?usp=share_link"",""สุราษฎร์ธานี!L127"")"),42000)</f>
        <v>42000</v>
      </c>
      <c r="M127" s="45">
        <f ca="1">IFERROR(__xludf.DUMMYFUNCTION("IMPORTRANGE(""https://docs.google.com/spreadsheets/d/1kC41EOXpGBFOW658Fs3oD8beYlym0-zO54WY-2Qnp9I/edit?usp=share_link"",""กระบี่!M127"")
+IMPORTRANGE(""https://docs.google.com/spreadsheets/d/1FbzMZY_f3MDiEuK7RpCQKrilJ_kpX0Wm7QBZ1L7EjIU/edit?usp=share_link"&amp;""",""ชุมพร!M127"")+IMPORTRANGE(""https://docs.google.com/spreadsheets/d/1v5sN-00LrXuhBxw4dkh2GrG_z4l5oAqOdJRBCsUyMaM/edit?usp=share_link"",""ตรัง!M127"")+IMPORTRANGE(""https://docs.google.com/spreadsheets/d/1T5rRTzFc79aSIvqnzkZNvwPstq829QYz_xALlO1Z0s8/edi"&amp;"t?usp=share_link"",""นครศรีธรรมราช!M127"")+IMPORTRANGE(""https://docs.google.com/spreadsheets/d/1BeghqumK0IvCmRd2QOy6_afsZq7ZtAGrSnVJy2u7WmY/edit?usp=share_link"",""นราธิวาส!M127"")+IMPORTRANGE(""https://docs.google.com/spreadsheets/d/1IwnW3-jjRf74MCLW-6P"&amp;"iFwMUffRQXZwZA7YM609NmRc/edit?usp=share_link"",""ปัตตานี!M127"")+IMPORTRANGE(""https://docs.google.com/spreadsheets/d/1vl4QWbWdFruual5o_wdo6ZSqXZ_it806oja4CctTLKs/edit?usp=share_link"",""พังงา!M127"")+IMPORTRANGE(""https://docs.google.com/spreadsheets/d/1"&amp;"b6QssHQp2FoAPSMKHOy273KNzAomaIKhtdlvuZ_zDNE/edit?usp=share_link"",""พัทลุง!M127"")+IMPORTRANGE(""https://docs.google.com/spreadsheets/d/1o7UZe4_OqlqtLDHrj01Z2YFRSZDf1DMy1n3XViHaxRc/edit?usp=share_link"",""ภูเก็ต!M127"")+IMPORTRANGE(""https://docs.google.c"&amp;"om/spreadsheets/d/1ctPm1vUzcUCPuOj9-eoHUD85PqINFqUB0TjdSWmR5-c/edit?usp=share_link"",""ยะลา!M127"")+IMPORTRANGE(""https://docs.google.com/spreadsheets/d/1YiDIE7Klmt8osgdapRqYWNr7iPGFSsiJqq46S7PYRE0/edit?usp=share_link"",""ระนอง!M127"")+IMPORTRANGE(""https"&amp;"://docs.google.com/spreadsheets/d/16o_4B-V7AWw_6E93bSpXj_XxVv1oVQctk-B6z1dNEWU/edit?usp=share_link"",""สงขลา!M127"")+IMPORTRANGE(""https://docs.google.com/spreadsheets/d/16cywr71Fj4fA5OGRHsZh30ZG2gwJhMAQv69oVBzYHv0/edit?usp=share_link"",""สตูล!M127"")+IMP"&amp;"ORTRANGE(""https://docs.google.com/spreadsheets/d/1vO9Sws6kMtrVtyvrAJptINXjK8TFBoX9xLYOVK_C8bQ/edit?usp=share_link"",""สุราษฎร์ธานี!M127"")"),42000)</f>
        <v>42000</v>
      </c>
      <c r="N127" s="45">
        <f ca="1">IFERROR(__xludf.DUMMYFUNCTION("IMPORTRANGE(""https://docs.google.com/spreadsheets/d/1kC41EOXpGBFOW658Fs3oD8beYlym0-zO54WY-2Qnp9I/edit?usp=share_link"",""กระบี่!N127"")
+IMPORTRANGE(""https://docs.google.com/spreadsheets/d/1FbzMZY_f3MDiEuK7RpCQKrilJ_kpX0Wm7QBZ1L7EjIU/edit?usp=share_link"&amp;""",""ชุมพร!N127"")+IMPORTRANGE(""https://docs.google.com/spreadsheets/d/1v5sN-00LrXuhBxw4dkh2GrG_z4l5oAqOdJRBCsUyMaM/edit?usp=share_link"",""ตรัง!N127"")+IMPORTRANGE(""https://docs.google.com/spreadsheets/d/1T5rRTzFc79aSIvqnzkZNvwPstq829QYz_xALlO1Z0s8/edi"&amp;"t?usp=share_link"",""นครศรีธรรมราช!N127"")+IMPORTRANGE(""https://docs.google.com/spreadsheets/d/1BeghqumK0IvCmRd2QOy6_afsZq7ZtAGrSnVJy2u7WmY/edit?usp=share_link"",""นราธิวาส!N127"")+IMPORTRANGE(""https://docs.google.com/spreadsheets/d/1IwnW3-jjRf74MCLW-6P"&amp;"iFwMUffRQXZwZA7YM609NmRc/edit?usp=share_link"",""ปัตตานี!N127"")+IMPORTRANGE(""https://docs.google.com/spreadsheets/d/1vl4QWbWdFruual5o_wdo6ZSqXZ_it806oja4CctTLKs/edit?usp=share_link"",""พังงา!N127"")+IMPORTRANGE(""https://docs.google.com/spreadsheets/d/1"&amp;"b6QssHQp2FoAPSMKHOy273KNzAomaIKhtdlvuZ_zDNE/edit?usp=share_link"",""พัทลุง!N127"")+IMPORTRANGE(""https://docs.google.com/spreadsheets/d/1o7UZe4_OqlqtLDHrj01Z2YFRSZDf1DMy1n3XViHaxRc/edit?usp=share_link"",""ภูเก็ต!N127"")+IMPORTRANGE(""https://docs.google.c"&amp;"om/spreadsheets/d/1ctPm1vUzcUCPuOj9-eoHUD85PqINFqUB0TjdSWmR5-c/edit?usp=share_link"",""ยะลา!N127"")+IMPORTRANGE(""https://docs.google.com/spreadsheets/d/1YiDIE7Klmt8osgdapRqYWNr7iPGFSsiJqq46S7PYRE0/edit?usp=share_link"",""ระนอง!N127"")+IMPORTRANGE(""https"&amp;"://docs.google.com/spreadsheets/d/16o_4B-V7AWw_6E93bSpXj_XxVv1oVQctk-B6z1dNEWU/edit?usp=share_link"",""สงขลา!N127"")+IMPORTRANGE(""https://docs.google.com/spreadsheets/d/16cywr71Fj4fA5OGRHsZh30ZG2gwJhMAQv69oVBzYHv0/edit?usp=share_link"",""สตูล!N127"")+IMP"&amp;"ORTRANGE(""https://docs.google.com/spreadsheets/d/1vO9Sws6kMtrVtyvrAJptINXjK8TFBoX9xLYOVK_C8bQ/edit?usp=share_link"",""สุราษฎร์ธานี!N127"")"),42000)</f>
        <v>42000</v>
      </c>
      <c r="O127" s="45">
        <f t="shared" ca="1" si="77"/>
        <v>100</v>
      </c>
      <c r="P127" s="45">
        <f t="shared" ca="1" si="78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20.25" customHeight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20.25" customHeight="1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20.25" customHeight="1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3">I146</f>
        <v>9</v>
      </c>
      <c r="J130" s="144">
        <f t="shared" ca="1" si="83"/>
        <v>6</v>
      </c>
      <c r="K130" s="145">
        <f t="shared" ref="K130:K131" ca="1" si="84">IF(I130&gt;0,J130*100/I130,0)</f>
        <v>66.666666666666671</v>
      </c>
      <c r="L130" s="146"/>
      <c r="M130" s="146"/>
      <c r="N130" s="146"/>
      <c r="O130" s="146"/>
      <c r="P130" s="146"/>
    </row>
    <row r="131" spans="1:26" ht="20.25" customHeight="1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5">I143</f>
        <v>90</v>
      </c>
      <c r="J131" s="144">
        <f t="shared" ca="1" si="85"/>
        <v>90</v>
      </c>
      <c r="K131" s="145">
        <f t="shared" ca="1" si="84"/>
        <v>100</v>
      </c>
      <c r="L131" s="146"/>
      <c r="M131" s="146"/>
      <c r="N131" s="146"/>
      <c r="O131" s="146"/>
      <c r="P131" s="146"/>
    </row>
    <row r="132" spans="1:26" ht="20.25" customHeight="1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6">L133+L134</f>
        <v>2365095</v>
      </c>
      <c r="M132" s="155">
        <f t="shared" ca="1" si="86"/>
        <v>2066000</v>
      </c>
      <c r="N132" s="155">
        <f t="shared" ca="1" si="86"/>
        <v>1604233.77</v>
      </c>
      <c r="O132" s="155">
        <f t="shared" ref="O132:O140" ca="1" si="87">IF(L132&gt;0,N132*100/L132,0)</f>
        <v>67.829570059553632</v>
      </c>
      <c r="P132" s="155">
        <f t="shared" ref="P132:P140" ca="1" si="88">IF(M132&gt;0,N132*100/M132,0)</f>
        <v>77.649262826718299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20.25" hidden="1" customHeight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89">L136+L139</f>
        <v>0</v>
      </c>
      <c r="M133" s="45">
        <f t="shared" si="89"/>
        <v>0</v>
      </c>
      <c r="N133" s="45">
        <f t="shared" si="89"/>
        <v>0</v>
      </c>
      <c r="O133" s="45">
        <f t="shared" si="87"/>
        <v>0</v>
      </c>
      <c r="P133" s="45">
        <f t="shared" si="88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0.25" hidden="1" customHeight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0">L137+L140</f>
        <v>2365095</v>
      </c>
      <c r="M134" s="45">
        <f t="shared" ca="1" si="90"/>
        <v>2066000</v>
      </c>
      <c r="N134" s="45">
        <f t="shared" ca="1" si="90"/>
        <v>1604233.77</v>
      </c>
      <c r="O134" s="45">
        <f t="shared" ca="1" si="87"/>
        <v>67.829570059553632</v>
      </c>
      <c r="P134" s="45">
        <f t="shared" ca="1" si="88"/>
        <v>77.649262826718299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0.25" customHeight="1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1">L136+L137</f>
        <v>1438095</v>
      </c>
      <c r="M135" s="38">
        <f t="shared" ca="1" si="91"/>
        <v>1145000</v>
      </c>
      <c r="N135" s="38">
        <f t="shared" ca="1" si="91"/>
        <v>683233.77</v>
      </c>
      <c r="O135" s="38">
        <f t="shared" ca="1" si="87"/>
        <v>47.509640879079619</v>
      </c>
      <c r="P135" s="38">
        <f t="shared" ca="1" si="88"/>
        <v>59.671071615720521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20.25" hidden="1" customHeight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7"/>
        <v>0</v>
      </c>
      <c r="P136" s="45">
        <f t="shared" si="88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20.25" hidden="1" customHeight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IFERROR(__xludf.DUMMYFUNCTION("IMPORTRANGE(""https://docs.google.com/spreadsheets/d/1kC41EOXpGBFOW658Fs3oD8beYlym0-zO54WY-2Qnp9I/edit?usp=share_link"",""กระบี่!L137"")
+IMPORTRANGE(""https://docs.google.com/spreadsheets/d/1FbzMZY_f3MDiEuK7RpCQKrilJ_kpX0Wm7QBZ1L7EjIU/edit?usp=share_link"&amp;""",""ชุมพร!L137"")+IMPORTRANGE(""https://docs.google.com/spreadsheets/d/1v5sN-00LrXuhBxw4dkh2GrG_z4l5oAqOdJRBCsUyMaM/edit?usp=share_link"",""ตรัง!L137"")+IMPORTRANGE(""https://docs.google.com/spreadsheets/d/1T5rRTzFc79aSIvqnzkZNvwPstq829QYz_xALlO1Z0s8/edi"&amp;"t?usp=share_link"",""นครศรีธรรมราช!L137"")+IMPORTRANGE(""https://docs.google.com/spreadsheets/d/1BeghqumK0IvCmRd2QOy6_afsZq7ZtAGrSnVJy2u7WmY/edit?usp=share_link"",""นราธิวาส!L137"")+IMPORTRANGE(""https://docs.google.com/spreadsheets/d/1IwnW3-jjRf74MCLW-6P"&amp;"iFwMUffRQXZwZA7YM609NmRc/edit?usp=share_link"",""ปัตตานี!L137"")+IMPORTRANGE(""https://docs.google.com/spreadsheets/d/1vl4QWbWdFruual5o_wdo6ZSqXZ_it806oja4CctTLKs/edit?usp=share_link"",""พังงา!L137"")+IMPORTRANGE(""https://docs.google.com/spreadsheets/d/1"&amp;"b6QssHQp2FoAPSMKHOy273KNzAomaIKhtdlvuZ_zDNE/edit?usp=share_link"",""พัทลุง!L137"")+IMPORTRANGE(""https://docs.google.com/spreadsheets/d/1o7UZe4_OqlqtLDHrj01Z2YFRSZDf1DMy1n3XViHaxRc/edit?usp=share_link"",""ภูเก็ต!L137"")+IMPORTRANGE(""https://docs.google.c"&amp;"om/spreadsheets/d/1ctPm1vUzcUCPuOj9-eoHUD85PqINFqUB0TjdSWmR5-c/edit?usp=share_link"",""ยะลา!L137"")+IMPORTRANGE(""https://docs.google.com/spreadsheets/d/1YiDIE7Klmt8osgdapRqYWNr7iPGFSsiJqq46S7PYRE0/edit?usp=share_link"",""ระนอง!L137"")+IMPORTRANGE(""https"&amp;"://docs.google.com/spreadsheets/d/16o_4B-V7AWw_6E93bSpXj_XxVv1oVQctk-B6z1dNEWU/edit?usp=share_link"",""สงขลา!L137"")+IMPORTRANGE(""https://docs.google.com/spreadsheets/d/16cywr71Fj4fA5OGRHsZh30ZG2gwJhMAQv69oVBzYHv0/edit?usp=share_link"",""สตูล!L137"")+IMP"&amp;"ORTRANGE(""https://docs.google.com/spreadsheets/d/1vO9Sws6kMtrVtyvrAJptINXjK8TFBoX9xLYOVK_C8bQ/edit?usp=share_link"",""สุราษฎร์ธานี!L137"")"),1438095)</f>
        <v>1438095</v>
      </c>
      <c r="M137" s="45">
        <f ca="1">IFERROR(__xludf.DUMMYFUNCTION("IMPORTRANGE(""https://docs.google.com/spreadsheets/d/1kC41EOXpGBFOW658Fs3oD8beYlym0-zO54WY-2Qnp9I/edit?usp=share_link"",""กระบี่!M137"")
+IMPORTRANGE(""https://docs.google.com/spreadsheets/d/1FbzMZY_f3MDiEuK7RpCQKrilJ_kpX0Wm7QBZ1L7EjIU/edit?usp=share_link"&amp;""",""ชุมพร!M137"")+IMPORTRANGE(""https://docs.google.com/spreadsheets/d/1v5sN-00LrXuhBxw4dkh2GrG_z4l5oAqOdJRBCsUyMaM/edit?usp=share_link"",""ตรัง!M137"")+IMPORTRANGE(""https://docs.google.com/spreadsheets/d/1T5rRTzFc79aSIvqnzkZNvwPstq829QYz_xALlO1Z0s8/edi"&amp;"t?usp=share_link"",""นครศรีธรรมราช!M137"")+IMPORTRANGE(""https://docs.google.com/spreadsheets/d/1BeghqumK0IvCmRd2QOy6_afsZq7ZtAGrSnVJy2u7WmY/edit?usp=share_link"",""นราธิวาส!M137"")+IMPORTRANGE(""https://docs.google.com/spreadsheets/d/1IwnW3-jjRf74MCLW-6P"&amp;"iFwMUffRQXZwZA7YM609NmRc/edit?usp=share_link"",""ปัตตานี!M137"")+IMPORTRANGE(""https://docs.google.com/spreadsheets/d/1vl4QWbWdFruual5o_wdo6ZSqXZ_it806oja4CctTLKs/edit?usp=share_link"",""พังงา!M137"")+IMPORTRANGE(""https://docs.google.com/spreadsheets/d/1"&amp;"b6QssHQp2FoAPSMKHOy273KNzAomaIKhtdlvuZ_zDNE/edit?usp=share_link"",""พัทลุง!M137"")+IMPORTRANGE(""https://docs.google.com/spreadsheets/d/1o7UZe4_OqlqtLDHrj01Z2YFRSZDf1DMy1n3XViHaxRc/edit?usp=share_link"",""ภูเก็ต!M137"")+IMPORTRANGE(""https://docs.google.c"&amp;"om/spreadsheets/d/1ctPm1vUzcUCPuOj9-eoHUD85PqINFqUB0TjdSWmR5-c/edit?usp=share_link"",""ยะลา!M137"")+IMPORTRANGE(""https://docs.google.com/spreadsheets/d/1YiDIE7Klmt8osgdapRqYWNr7iPGFSsiJqq46S7PYRE0/edit?usp=share_link"",""ระนอง!M137"")+IMPORTRANGE(""https"&amp;"://docs.google.com/spreadsheets/d/16o_4B-V7AWw_6E93bSpXj_XxVv1oVQctk-B6z1dNEWU/edit?usp=share_link"",""สงขลา!M137"")+IMPORTRANGE(""https://docs.google.com/spreadsheets/d/16cywr71Fj4fA5OGRHsZh30ZG2gwJhMAQv69oVBzYHv0/edit?usp=share_link"",""สตูล!M137"")+IMP"&amp;"ORTRANGE(""https://docs.google.com/spreadsheets/d/1vO9Sws6kMtrVtyvrAJptINXjK8TFBoX9xLYOVK_C8bQ/edit?usp=share_link"",""สุราษฎร์ธานี!M137"")"),1145000)</f>
        <v>1145000</v>
      </c>
      <c r="N137" s="45">
        <f ca="1">IFERROR(__xludf.DUMMYFUNCTION("IMPORTRANGE(""https://docs.google.com/spreadsheets/d/1kC41EOXpGBFOW658Fs3oD8beYlym0-zO54WY-2Qnp9I/edit?usp=share_link"",""กระบี่!N137"")
+IMPORTRANGE(""https://docs.google.com/spreadsheets/d/1FbzMZY_f3MDiEuK7RpCQKrilJ_kpX0Wm7QBZ1L7EjIU/edit?usp=share_link"&amp;""",""ชุมพร!N137"")+IMPORTRANGE(""https://docs.google.com/spreadsheets/d/1v5sN-00LrXuhBxw4dkh2GrG_z4l5oAqOdJRBCsUyMaM/edit?usp=share_link"",""ตรัง!N137"")+IMPORTRANGE(""https://docs.google.com/spreadsheets/d/1T5rRTzFc79aSIvqnzkZNvwPstq829QYz_xALlO1Z0s8/edi"&amp;"t?usp=share_link"",""นครศรีธรรมราช!N137"")+IMPORTRANGE(""https://docs.google.com/spreadsheets/d/1BeghqumK0IvCmRd2QOy6_afsZq7ZtAGrSnVJy2u7WmY/edit?usp=share_link"",""นราธิวาส!N137"")+IMPORTRANGE(""https://docs.google.com/spreadsheets/d/1IwnW3-jjRf74MCLW-6P"&amp;"iFwMUffRQXZwZA7YM609NmRc/edit?usp=share_link"",""ปัตตานี!N137"")+IMPORTRANGE(""https://docs.google.com/spreadsheets/d/1vl4QWbWdFruual5o_wdo6ZSqXZ_it806oja4CctTLKs/edit?usp=share_link"",""พังงา!N137"")+IMPORTRANGE(""https://docs.google.com/spreadsheets/d/1"&amp;"b6QssHQp2FoAPSMKHOy273KNzAomaIKhtdlvuZ_zDNE/edit?usp=share_link"",""พัทลุง!N137"")+IMPORTRANGE(""https://docs.google.com/spreadsheets/d/1o7UZe4_OqlqtLDHrj01Z2YFRSZDf1DMy1n3XViHaxRc/edit?usp=share_link"",""ภูเก็ต!N137"")+IMPORTRANGE(""https://docs.google.c"&amp;"om/spreadsheets/d/1ctPm1vUzcUCPuOj9-eoHUD85PqINFqUB0TjdSWmR5-c/edit?usp=share_link"",""ยะลา!N137"")+IMPORTRANGE(""https://docs.google.com/spreadsheets/d/1YiDIE7Klmt8osgdapRqYWNr7iPGFSsiJqq46S7PYRE0/edit?usp=share_link"",""ระนอง!N137"")+IMPORTRANGE(""https"&amp;"://docs.google.com/spreadsheets/d/16o_4B-V7AWw_6E93bSpXj_XxVv1oVQctk-B6z1dNEWU/edit?usp=share_link"",""สงขลา!N137"")+IMPORTRANGE(""https://docs.google.com/spreadsheets/d/16cywr71Fj4fA5OGRHsZh30ZG2gwJhMAQv69oVBzYHv0/edit?usp=share_link"",""สตูล!N137"")+IMP"&amp;"ORTRANGE(""https://docs.google.com/spreadsheets/d/1vO9Sws6kMtrVtyvrAJptINXjK8TFBoX9xLYOVK_C8bQ/edit?usp=share_link"",""สุราษฎร์ธานี!N137"")"),683233.77)</f>
        <v>683233.77</v>
      </c>
      <c r="O137" s="45">
        <f t="shared" ca="1" si="87"/>
        <v>47.509640879079619</v>
      </c>
      <c r="P137" s="45">
        <f t="shared" ca="1" si="88"/>
        <v>59.671071615720521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20.25" customHeight="1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2">L139+L140</f>
        <v>927000</v>
      </c>
      <c r="M138" s="38">
        <f t="shared" ca="1" si="92"/>
        <v>921000</v>
      </c>
      <c r="N138" s="38">
        <f t="shared" ca="1" si="92"/>
        <v>921000</v>
      </c>
      <c r="O138" s="38">
        <f t="shared" ca="1" si="87"/>
        <v>99.35275080906149</v>
      </c>
      <c r="P138" s="38">
        <f t="shared" ca="1" si="88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20.25" hidden="1" customHeight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7"/>
        <v>0</v>
      </c>
      <c r="P139" s="45">
        <f t="shared" si="88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20.25" hidden="1" customHeight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IFERROR(__xludf.DUMMYFUNCTION("IMPORTRANGE(""https://docs.google.com/spreadsheets/d/1kC41EOXpGBFOW658Fs3oD8beYlym0-zO54WY-2Qnp9I/edit?usp=share_link"",""กระบี่!L140"")
+IMPORTRANGE(""https://docs.google.com/spreadsheets/d/1FbzMZY_f3MDiEuK7RpCQKrilJ_kpX0Wm7QBZ1L7EjIU/edit?usp=share_link"&amp;""",""ชุมพร!L140"")+IMPORTRANGE(""https://docs.google.com/spreadsheets/d/1v5sN-00LrXuhBxw4dkh2GrG_z4l5oAqOdJRBCsUyMaM/edit?usp=share_link"",""ตรัง!L140"")+IMPORTRANGE(""https://docs.google.com/spreadsheets/d/1T5rRTzFc79aSIvqnzkZNvwPstq829QYz_xALlO1Z0s8/edi"&amp;"t?usp=share_link"",""นครศรีธรรมราช!L140"")+IMPORTRANGE(""https://docs.google.com/spreadsheets/d/1BeghqumK0IvCmRd2QOy6_afsZq7ZtAGrSnVJy2u7WmY/edit?usp=share_link"",""นราธิวาส!L140"")+IMPORTRANGE(""https://docs.google.com/spreadsheets/d/1IwnW3-jjRf74MCLW-6P"&amp;"iFwMUffRQXZwZA7YM609NmRc/edit?usp=share_link"",""ปัตตานี!L140"")+IMPORTRANGE(""https://docs.google.com/spreadsheets/d/1vl4QWbWdFruual5o_wdo6ZSqXZ_it806oja4CctTLKs/edit?usp=share_link"",""พังงา!L140"")+IMPORTRANGE(""https://docs.google.com/spreadsheets/d/1"&amp;"b6QssHQp2FoAPSMKHOy273KNzAomaIKhtdlvuZ_zDNE/edit?usp=share_link"",""พัทลุง!L140"")+IMPORTRANGE(""https://docs.google.com/spreadsheets/d/1o7UZe4_OqlqtLDHrj01Z2YFRSZDf1DMy1n3XViHaxRc/edit?usp=share_link"",""ภูเก็ต!L140"")+IMPORTRANGE(""https://docs.google.c"&amp;"om/spreadsheets/d/1ctPm1vUzcUCPuOj9-eoHUD85PqINFqUB0TjdSWmR5-c/edit?usp=share_link"",""ยะลา!L140"")+IMPORTRANGE(""https://docs.google.com/spreadsheets/d/1YiDIE7Klmt8osgdapRqYWNr7iPGFSsiJqq46S7PYRE0/edit?usp=share_link"",""ระนอง!L140"")+IMPORTRANGE(""https"&amp;"://docs.google.com/spreadsheets/d/16o_4B-V7AWw_6E93bSpXj_XxVv1oVQctk-B6z1dNEWU/edit?usp=share_link"",""สงขลา!L140"")+IMPORTRANGE(""https://docs.google.com/spreadsheets/d/16cywr71Fj4fA5OGRHsZh30ZG2gwJhMAQv69oVBzYHv0/edit?usp=share_link"",""สตูล!L140"")+IMP"&amp;"ORTRANGE(""https://docs.google.com/spreadsheets/d/1vO9Sws6kMtrVtyvrAJptINXjK8TFBoX9xLYOVK_C8bQ/edit?usp=share_link"",""สุราษฎร์ธานี!L140"")"),927000)</f>
        <v>927000</v>
      </c>
      <c r="M140" s="45">
        <f ca="1">IFERROR(__xludf.DUMMYFUNCTION("IMPORTRANGE(""https://docs.google.com/spreadsheets/d/1kC41EOXpGBFOW658Fs3oD8beYlym0-zO54WY-2Qnp9I/edit?usp=share_link"",""กระบี่!M140"")
+IMPORTRANGE(""https://docs.google.com/spreadsheets/d/1FbzMZY_f3MDiEuK7RpCQKrilJ_kpX0Wm7QBZ1L7EjIU/edit?usp=share_link"&amp;""",""ชุมพร!M140"")+IMPORTRANGE(""https://docs.google.com/spreadsheets/d/1v5sN-00LrXuhBxw4dkh2GrG_z4l5oAqOdJRBCsUyMaM/edit?usp=share_link"",""ตรัง!M140"")+IMPORTRANGE(""https://docs.google.com/spreadsheets/d/1T5rRTzFc79aSIvqnzkZNvwPstq829QYz_xALlO1Z0s8/edi"&amp;"t?usp=share_link"",""นครศรีธรรมราช!M140"")+IMPORTRANGE(""https://docs.google.com/spreadsheets/d/1BeghqumK0IvCmRd2QOy6_afsZq7ZtAGrSnVJy2u7WmY/edit?usp=share_link"",""นราธิวาส!M140"")+IMPORTRANGE(""https://docs.google.com/spreadsheets/d/1IwnW3-jjRf74MCLW-6P"&amp;"iFwMUffRQXZwZA7YM609NmRc/edit?usp=share_link"",""ปัตตานี!M140"")+IMPORTRANGE(""https://docs.google.com/spreadsheets/d/1vl4QWbWdFruual5o_wdo6ZSqXZ_it806oja4CctTLKs/edit?usp=share_link"",""พังงา!M140"")+IMPORTRANGE(""https://docs.google.com/spreadsheets/d/1"&amp;"b6QssHQp2FoAPSMKHOy273KNzAomaIKhtdlvuZ_zDNE/edit?usp=share_link"",""พัทลุง!M140"")+IMPORTRANGE(""https://docs.google.com/spreadsheets/d/1o7UZe4_OqlqtLDHrj01Z2YFRSZDf1DMy1n3XViHaxRc/edit?usp=share_link"",""ภูเก็ต!M140"")+IMPORTRANGE(""https://docs.google.c"&amp;"om/spreadsheets/d/1ctPm1vUzcUCPuOj9-eoHUD85PqINFqUB0TjdSWmR5-c/edit?usp=share_link"",""ยะลา!M140"")+IMPORTRANGE(""https://docs.google.com/spreadsheets/d/1YiDIE7Klmt8osgdapRqYWNr7iPGFSsiJqq46S7PYRE0/edit?usp=share_link"",""ระนอง!M140"")+IMPORTRANGE(""https"&amp;"://docs.google.com/spreadsheets/d/16o_4B-V7AWw_6E93bSpXj_XxVv1oVQctk-B6z1dNEWU/edit?usp=share_link"",""สงขลา!M140"")+IMPORTRANGE(""https://docs.google.com/spreadsheets/d/16cywr71Fj4fA5OGRHsZh30ZG2gwJhMAQv69oVBzYHv0/edit?usp=share_link"",""สตูล!M140"")+IMP"&amp;"ORTRANGE(""https://docs.google.com/spreadsheets/d/1vO9Sws6kMtrVtyvrAJptINXjK8TFBoX9xLYOVK_C8bQ/edit?usp=share_link"",""สุราษฎร์ธานี!M140"")"),921000)</f>
        <v>921000</v>
      </c>
      <c r="N140" s="45">
        <f ca="1">IFERROR(__xludf.DUMMYFUNCTION("IMPORTRANGE(""https://docs.google.com/spreadsheets/d/1kC41EOXpGBFOW658Fs3oD8beYlym0-zO54WY-2Qnp9I/edit?usp=share_link"",""กระบี่!N140"")
+IMPORTRANGE(""https://docs.google.com/spreadsheets/d/1FbzMZY_f3MDiEuK7RpCQKrilJ_kpX0Wm7QBZ1L7EjIU/edit?usp=share_link"&amp;""",""ชุมพร!N140"")+IMPORTRANGE(""https://docs.google.com/spreadsheets/d/1v5sN-00LrXuhBxw4dkh2GrG_z4l5oAqOdJRBCsUyMaM/edit?usp=share_link"",""ตรัง!N140"")+IMPORTRANGE(""https://docs.google.com/spreadsheets/d/1T5rRTzFc79aSIvqnzkZNvwPstq829QYz_xALlO1Z0s8/edi"&amp;"t?usp=share_link"",""นครศรีธรรมราช!N140"")+IMPORTRANGE(""https://docs.google.com/spreadsheets/d/1BeghqumK0IvCmRd2QOy6_afsZq7ZtAGrSnVJy2u7WmY/edit?usp=share_link"",""นราธิวาส!N140"")+IMPORTRANGE(""https://docs.google.com/spreadsheets/d/1IwnW3-jjRf74MCLW-6P"&amp;"iFwMUffRQXZwZA7YM609NmRc/edit?usp=share_link"",""ปัตตานี!N140"")+IMPORTRANGE(""https://docs.google.com/spreadsheets/d/1vl4QWbWdFruual5o_wdo6ZSqXZ_it806oja4CctTLKs/edit?usp=share_link"",""พังงา!N140"")+IMPORTRANGE(""https://docs.google.com/spreadsheets/d/1"&amp;"b6QssHQp2FoAPSMKHOy273KNzAomaIKhtdlvuZ_zDNE/edit?usp=share_link"",""พัทลุง!N140"")+IMPORTRANGE(""https://docs.google.com/spreadsheets/d/1o7UZe4_OqlqtLDHrj01Z2YFRSZDf1DMy1n3XViHaxRc/edit?usp=share_link"",""ภูเก็ต!N140"")+IMPORTRANGE(""https://docs.google.c"&amp;"om/spreadsheets/d/1ctPm1vUzcUCPuOj9-eoHUD85PqINFqUB0TjdSWmR5-c/edit?usp=share_link"",""ยะลา!N140"")+IMPORTRANGE(""https://docs.google.com/spreadsheets/d/1YiDIE7Klmt8osgdapRqYWNr7iPGFSsiJqq46S7PYRE0/edit?usp=share_link"",""ระนอง!N140"")+IMPORTRANGE(""https"&amp;"://docs.google.com/spreadsheets/d/16o_4B-V7AWw_6E93bSpXj_XxVv1oVQctk-B6z1dNEWU/edit?usp=share_link"",""สงขลา!N140"")+IMPORTRANGE(""https://docs.google.com/spreadsheets/d/16cywr71Fj4fA5OGRHsZh30ZG2gwJhMAQv69oVBzYHv0/edit?usp=share_link"",""สตูล!N140"")+IMP"&amp;"ORTRANGE(""https://docs.google.com/spreadsheets/d/1vO9Sws6kMtrVtyvrAJptINXjK8TFBoX9xLYOVK_C8bQ/edit?usp=share_link"",""สุราษฎร์ธานี!N140"")"),921000)</f>
        <v>921000</v>
      </c>
      <c r="O140" s="45">
        <f t="shared" ca="1" si="87"/>
        <v>99.35275080906149</v>
      </c>
      <c r="P140" s="45">
        <f t="shared" ca="1" si="88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20.25" customHeight="1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20.25" customHeight="1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IFERROR(__xludf.DUMMYFUNCTION("IMPORTRANGE(""https://docs.google.com/spreadsheets/d/1kC41EOXpGBFOW658Fs3oD8beYlym0-zO54WY-2Qnp9I/edit?usp=share_link"",""กระบี่!J142"")
+IMPORTRANGE(""https://docs.google.com/spreadsheets/d/1FbzMZY_f3MDiEuK7RpCQKrilJ_kpX0Wm7QBZ1L7EjIU/edit?usp=share_link"&amp;""",""ชุมพร!J142"")+IMPORTRANGE(""https://docs.google.com/spreadsheets/d/1v5sN-00LrXuhBxw4dkh2GrG_z4l5oAqOdJRBCsUyMaM/edit?usp=share_link"",""ตรัง!J142"")+IMPORTRANGE(""https://docs.google.com/spreadsheets/d/1T5rRTzFc79aSIvqnzkZNvwPstq829QYz_xALlO1Z0s8/edi"&amp;"t?usp=share_link"",""นครศรีธรรมราช!J142"")+IMPORTRANGE(""https://docs.google.com/spreadsheets/d/1BeghqumK0IvCmRd2QOy6_afsZq7ZtAGrSnVJy2u7WmY/edit?usp=share_link"",""นราธิวาส!J142"")+IMPORTRANGE(""https://docs.google.com/spreadsheets/d/1IwnW3-jjRf74MCLW-6P"&amp;"iFwMUffRQXZwZA7YM609NmRc/edit?usp=share_link"",""ปัตตานี!J142"")+IMPORTRANGE(""https://docs.google.com/spreadsheets/d/1vl4QWbWdFruual5o_wdo6ZSqXZ_it806oja4CctTLKs/edit?usp=share_link"",""พังงา!J142"")+IMPORTRANGE(""https://docs.google.com/spreadsheets/d/1"&amp;"b6QssHQp2FoAPSMKHOy273KNzAomaIKhtdlvuZ_zDNE/edit?usp=share_link"",""พัทลุง!J142"")+IMPORTRANGE(""https://docs.google.com/spreadsheets/d/1o7UZe4_OqlqtLDHrj01Z2YFRSZDf1DMy1n3XViHaxRc/edit?usp=share_link"",""ภูเก็ต!J142"")+IMPORTRANGE(""https://docs.google.c"&amp;"om/spreadsheets/d/1ctPm1vUzcUCPuOj9-eoHUD85PqINFqUB0TjdSWmR5-c/edit?usp=share_link"",""ยะลา!J142"")+IMPORTRANGE(""https://docs.google.com/spreadsheets/d/1YiDIE7Klmt8osgdapRqYWNr7iPGFSsiJqq46S7PYRE0/edit?usp=share_link"",""ระนอง!J142"")+IMPORTRANGE(""https"&amp;"://docs.google.com/spreadsheets/d/16o_4B-V7AWw_6E93bSpXj_XxVv1oVQctk-B6z1dNEWU/edit?usp=share_link"",""สงขลา!J142"")+IMPORTRANGE(""https://docs.google.com/spreadsheets/d/16cywr71Fj4fA5OGRHsZh30ZG2gwJhMAQv69oVBzYHv0/edit?usp=share_link"",""สตูล!J142"")+IMP"&amp;"ORTRANGE(""https://docs.google.com/spreadsheets/d/1vO9Sws6kMtrVtyvrAJptINXjK8TFBoX9xLYOVK_C8bQ/edit?usp=share_link"",""สุราษฎร์ธานี!J142"")"),10)</f>
        <v>10</v>
      </c>
      <c r="K142" s="38"/>
      <c r="L142" s="38"/>
      <c r="M142" s="38"/>
      <c r="N142" s="38"/>
      <c r="O142" s="38"/>
      <c r="P142" s="38"/>
    </row>
    <row r="143" spans="1:26" ht="20.25" customHeight="1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90</v>
      </c>
      <c r="J143" s="37">
        <f ca="1">IFERROR(__xludf.DUMMYFUNCTION("IMPORTRANGE(""https://docs.google.com/spreadsheets/d/1kC41EOXpGBFOW658Fs3oD8beYlym0-zO54WY-2Qnp9I/edit?usp=share_link"",""กระบี่!J143"")
+IMPORTRANGE(""https://docs.google.com/spreadsheets/d/1FbzMZY_f3MDiEuK7RpCQKrilJ_kpX0Wm7QBZ1L7EjIU/edit?usp=share_link"&amp;""",""ชุมพร!J143"")+IMPORTRANGE(""https://docs.google.com/spreadsheets/d/1v5sN-00LrXuhBxw4dkh2GrG_z4l5oAqOdJRBCsUyMaM/edit?usp=share_link"",""ตรัง!J143"")+IMPORTRANGE(""https://docs.google.com/spreadsheets/d/1T5rRTzFc79aSIvqnzkZNvwPstq829QYz_xALlO1Z0s8/edi"&amp;"t?usp=share_link"",""นครศรีธรรมราช!J143"")+IMPORTRANGE(""https://docs.google.com/spreadsheets/d/1BeghqumK0IvCmRd2QOy6_afsZq7ZtAGrSnVJy2u7WmY/edit?usp=share_link"",""นราธิวาส!J143"")+IMPORTRANGE(""https://docs.google.com/spreadsheets/d/1IwnW3-jjRf74MCLW-6P"&amp;"iFwMUffRQXZwZA7YM609NmRc/edit?usp=share_link"",""ปัตตานี!J143"")+IMPORTRANGE(""https://docs.google.com/spreadsheets/d/1vl4QWbWdFruual5o_wdo6ZSqXZ_it806oja4CctTLKs/edit?usp=share_link"",""พังงา!J143"")+IMPORTRANGE(""https://docs.google.com/spreadsheets/d/1"&amp;"b6QssHQp2FoAPSMKHOy273KNzAomaIKhtdlvuZ_zDNE/edit?usp=share_link"",""พัทลุง!J143"")+IMPORTRANGE(""https://docs.google.com/spreadsheets/d/1o7UZe4_OqlqtLDHrj01Z2YFRSZDf1DMy1n3XViHaxRc/edit?usp=share_link"",""ภูเก็ต!J143"")+IMPORTRANGE(""https://docs.google.c"&amp;"om/spreadsheets/d/1ctPm1vUzcUCPuOj9-eoHUD85PqINFqUB0TjdSWmR5-c/edit?usp=share_link"",""ยะลา!J143"")+IMPORTRANGE(""https://docs.google.com/spreadsheets/d/1YiDIE7Klmt8osgdapRqYWNr7iPGFSsiJqq46S7PYRE0/edit?usp=share_link"",""ระนอง!J143"")+IMPORTRANGE(""https"&amp;"://docs.google.com/spreadsheets/d/16o_4B-V7AWw_6E93bSpXj_XxVv1oVQctk-B6z1dNEWU/edit?usp=share_link"",""สงขลา!J143"")+IMPORTRANGE(""https://docs.google.com/spreadsheets/d/16cywr71Fj4fA5OGRHsZh30ZG2gwJhMAQv69oVBzYHv0/edit?usp=share_link"",""สตูล!J143"")+IMP"&amp;"ORTRANGE(""https://docs.google.com/spreadsheets/d/1vO9Sws6kMtrVtyvrAJptINXjK8TFBoX9xLYOVK_C8bQ/edit?usp=share_link"",""สุราษฎร์ธานี!J143"")"),90)</f>
        <v>90</v>
      </c>
      <c r="K143" s="38">
        <f t="shared" ref="K143:K146" ca="1" si="93">IF(I143&gt;0,J143*100/I143,0)</f>
        <v>100</v>
      </c>
      <c r="L143" s="38"/>
      <c r="M143" s="38"/>
      <c r="N143" s="38"/>
      <c r="O143" s="38"/>
      <c r="P143" s="38"/>
    </row>
    <row r="144" spans="1:26" ht="20.25" customHeight="1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IFERROR(__xludf.DUMMYFUNCTION("IMPORTRANGE(""https://docs.google.com/spreadsheets/d/1kC41EOXpGBFOW658Fs3oD8beYlym0-zO54WY-2Qnp9I/edit?usp=share_link"",""กระบี่!I144"")
+IMPORTRANGE(""https://docs.google.com/spreadsheets/d/1FbzMZY_f3MDiEuK7RpCQKrilJ_kpX0Wm7QBZ1L7EjIU/edit?usp=share_link"&amp;""",""ชุมพร!I144"")+IMPORTRANGE(""https://docs.google.com/spreadsheets/d/1v5sN-00LrXuhBxw4dkh2GrG_z4l5oAqOdJRBCsUyMaM/edit?usp=share_link"",""ตรัง!I144"")+IMPORTRANGE(""https://docs.google.com/spreadsheets/d/1T5rRTzFc79aSIvqnzkZNvwPstq829QYz_xALlO1Z0s8/edi"&amp;"t?usp=share_link"",""นครศรีธรรมราช!I144"")+IMPORTRANGE(""https://docs.google.com/spreadsheets/d/1BeghqumK0IvCmRd2QOy6_afsZq7ZtAGrSnVJy2u7WmY/edit?usp=share_link"",""นราธิวาส!I144"")+IMPORTRANGE(""https://docs.google.com/spreadsheets/d/1IwnW3-jjRf74MCLW-6P"&amp;"iFwMUffRQXZwZA7YM609NmRc/edit?usp=share_link"",""ปัตตานี!I144"")+IMPORTRANGE(""https://docs.google.com/spreadsheets/d/1vl4QWbWdFruual5o_wdo6ZSqXZ_it806oja4CctTLKs/edit?usp=share_link"",""พังงา!I144"")+IMPORTRANGE(""https://docs.google.com/spreadsheets/d/1"&amp;"b6QssHQp2FoAPSMKHOy273KNzAomaIKhtdlvuZ_zDNE/edit?usp=share_link"",""พัทลุง!I144"")+IMPORTRANGE(""https://docs.google.com/spreadsheets/d/1o7UZe4_OqlqtLDHrj01Z2YFRSZDf1DMy1n3XViHaxRc/edit?usp=share_link"",""ภูเก็ต!I144"")+IMPORTRANGE(""https://docs.google.c"&amp;"om/spreadsheets/d/1ctPm1vUzcUCPuOj9-eoHUD85PqINFqUB0TjdSWmR5-c/edit?usp=share_link"",""ยะลา!I144"")+IMPORTRANGE(""https://docs.google.com/spreadsheets/d/1YiDIE7Klmt8osgdapRqYWNr7iPGFSsiJqq46S7PYRE0/edit?usp=share_link"",""ระนอง!I144"")+IMPORTRANGE(""https"&amp;"://docs.google.com/spreadsheets/d/16o_4B-V7AWw_6E93bSpXj_XxVv1oVQctk-B6z1dNEWU/edit?usp=share_link"",""สงขลา!I144"")+IMPORTRANGE(""https://docs.google.com/spreadsheets/d/16cywr71Fj4fA5OGRHsZh30ZG2gwJhMAQv69oVBzYHv0/edit?usp=share_link"",""สตูล!I144"")+IMP"&amp;"ORTRANGE(""https://docs.google.com/spreadsheets/d/1vO9Sws6kMtrVtyvrAJptINXjK8TFBoX9xLYOVK_C8bQ/edit?usp=share_link"",""สุราษฎร์ธานี!I144"")"),45)</f>
        <v>45</v>
      </c>
      <c r="J144" s="183">
        <f ca="1">IFERROR(__xludf.DUMMYFUNCTION("IMPORTRANGE(""https://docs.google.com/spreadsheets/d/1kC41EOXpGBFOW658Fs3oD8beYlym0-zO54WY-2Qnp9I/edit?usp=share_link"",""กระบี่!J144"")
+IMPORTRANGE(""https://docs.google.com/spreadsheets/d/1FbzMZY_f3MDiEuK7RpCQKrilJ_kpX0Wm7QBZ1L7EjIU/edit?usp=share_link"&amp;""",""ชุมพร!J144"")+IMPORTRANGE(""https://docs.google.com/spreadsheets/d/1v5sN-00LrXuhBxw4dkh2GrG_z4l5oAqOdJRBCsUyMaM/edit?usp=share_link"",""ตรัง!J144"")+IMPORTRANGE(""https://docs.google.com/spreadsheets/d/1T5rRTzFc79aSIvqnzkZNvwPstq829QYz_xALlO1Z0s8/edi"&amp;"t?usp=share_link"",""นครศรีธรรมราช!J144"")+IMPORTRANGE(""https://docs.google.com/spreadsheets/d/1BeghqumK0IvCmRd2QOy6_afsZq7ZtAGrSnVJy2u7WmY/edit?usp=share_link"",""นราธิวาส!J144"")+IMPORTRANGE(""https://docs.google.com/spreadsheets/d/1IwnW3-jjRf74MCLW-6P"&amp;"iFwMUffRQXZwZA7YM609NmRc/edit?usp=share_link"",""ปัตตานี!J144"")+IMPORTRANGE(""https://docs.google.com/spreadsheets/d/1vl4QWbWdFruual5o_wdo6ZSqXZ_it806oja4CctTLKs/edit?usp=share_link"",""พังงา!J144"")+IMPORTRANGE(""https://docs.google.com/spreadsheets/d/1"&amp;"b6QssHQp2FoAPSMKHOy273KNzAomaIKhtdlvuZ_zDNE/edit?usp=share_link"",""พัทลุง!J144"")+IMPORTRANGE(""https://docs.google.com/spreadsheets/d/1o7UZe4_OqlqtLDHrj01Z2YFRSZDf1DMy1n3XViHaxRc/edit?usp=share_link"",""ภูเก็ต!J144"")+IMPORTRANGE(""https://docs.google.c"&amp;"om/spreadsheets/d/1ctPm1vUzcUCPuOj9-eoHUD85PqINFqUB0TjdSWmR5-c/edit?usp=share_link"",""ยะลา!J144"")+IMPORTRANGE(""https://docs.google.com/spreadsheets/d/1YiDIE7Klmt8osgdapRqYWNr7iPGFSsiJqq46S7PYRE0/edit?usp=share_link"",""ระนอง!J144"")+IMPORTRANGE(""https"&amp;"://docs.google.com/spreadsheets/d/16o_4B-V7AWw_6E93bSpXj_XxVv1oVQctk-B6z1dNEWU/edit?usp=share_link"",""สงขลา!J144"")+IMPORTRANGE(""https://docs.google.com/spreadsheets/d/16cywr71Fj4fA5OGRHsZh30ZG2gwJhMAQv69oVBzYHv0/edit?usp=share_link"",""สตูล!J144"")+IMP"&amp;"ORTRANGE(""https://docs.google.com/spreadsheets/d/1vO9Sws6kMtrVtyvrAJptINXjK8TFBoX9xLYOVK_C8bQ/edit?usp=share_link"",""สุราษฎร์ธานี!J144"")"),55)</f>
        <v>55</v>
      </c>
      <c r="K144" s="38">
        <f t="shared" ca="1" si="93"/>
        <v>122.22222222222223</v>
      </c>
      <c r="L144" s="38"/>
      <c r="M144" s="38"/>
      <c r="N144" s="38"/>
      <c r="O144" s="38"/>
      <c r="P144" s="38"/>
    </row>
    <row r="145" spans="1:26" ht="20.25" customHeight="1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IFERROR(__xludf.DUMMYFUNCTION("IMPORTRANGE(""https://docs.google.com/spreadsheets/d/1kC41EOXpGBFOW658Fs3oD8beYlym0-zO54WY-2Qnp9I/edit?usp=share_link"",""กระบี่!I145"")
+IMPORTRANGE(""https://docs.google.com/spreadsheets/d/1FbzMZY_f3MDiEuK7RpCQKrilJ_kpX0Wm7QBZ1L7EjIU/edit?usp=share_link"&amp;""",""ชุมพร!I145"")+IMPORTRANGE(""https://docs.google.com/spreadsheets/d/1v5sN-00LrXuhBxw4dkh2GrG_z4l5oAqOdJRBCsUyMaM/edit?usp=share_link"",""ตรัง!I145"")+IMPORTRANGE(""https://docs.google.com/spreadsheets/d/1T5rRTzFc79aSIvqnzkZNvwPstq829QYz_xALlO1Z0s8/edi"&amp;"t?usp=share_link"",""นครศรีธรรมราช!I145"")+IMPORTRANGE(""https://docs.google.com/spreadsheets/d/1BeghqumK0IvCmRd2QOy6_afsZq7ZtAGrSnVJy2u7WmY/edit?usp=share_link"",""นราธิวาส!I145"")+IMPORTRANGE(""https://docs.google.com/spreadsheets/d/1IwnW3-jjRf74MCLW-6P"&amp;"iFwMUffRQXZwZA7YM609NmRc/edit?usp=share_link"",""ปัตตานี!I145"")+IMPORTRANGE(""https://docs.google.com/spreadsheets/d/1vl4QWbWdFruual5o_wdo6ZSqXZ_it806oja4CctTLKs/edit?usp=share_link"",""พังงา!I145"")+IMPORTRANGE(""https://docs.google.com/spreadsheets/d/1"&amp;"b6QssHQp2FoAPSMKHOy273KNzAomaIKhtdlvuZ_zDNE/edit?usp=share_link"",""พัทลุง!I145"")+IMPORTRANGE(""https://docs.google.com/spreadsheets/d/1o7UZe4_OqlqtLDHrj01Z2YFRSZDf1DMy1n3XViHaxRc/edit?usp=share_link"",""ภูเก็ต!I145"")+IMPORTRANGE(""https://docs.google.c"&amp;"om/spreadsheets/d/1ctPm1vUzcUCPuOj9-eoHUD85PqINFqUB0TjdSWmR5-c/edit?usp=share_link"",""ยะลา!I145"")+IMPORTRANGE(""https://docs.google.com/spreadsheets/d/1YiDIE7Klmt8osgdapRqYWNr7iPGFSsiJqq46S7PYRE0/edit?usp=share_link"",""ระนอง!I145"")+IMPORTRANGE(""https"&amp;"://docs.google.com/spreadsheets/d/16o_4B-V7AWw_6E93bSpXj_XxVv1oVQctk-B6z1dNEWU/edit?usp=share_link"",""สงขลา!I145"")+IMPORTRANGE(""https://docs.google.com/spreadsheets/d/16cywr71Fj4fA5OGRHsZh30ZG2gwJhMAQv69oVBzYHv0/edit?usp=share_link"",""สตูล!I145"")+IMP"&amp;"ORTRANGE(""https://docs.google.com/spreadsheets/d/1vO9Sws6kMtrVtyvrAJptINXjK8TFBoX9xLYOVK_C8bQ/edit?usp=share_link"",""สุราษฎร์ธานี!I145"")"),90)</f>
        <v>90</v>
      </c>
      <c r="J145" s="183">
        <f ca="1">IFERROR(__xludf.DUMMYFUNCTION("IMPORTRANGE(""https://docs.google.com/spreadsheets/d/1kC41EOXpGBFOW658Fs3oD8beYlym0-zO54WY-2Qnp9I/edit?usp=share_link"",""กระบี่!J145"")
+IMPORTRANGE(""https://docs.google.com/spreadsheets/d/1FbzMZY_f3MDiEuK7RpCQKrilJ_kpX0Wm7QBZ1L7EjIU/edit?usp=share_link"&amp;""",""ชุมพร!J145"")+IMPORTRANGE(""https://docs.google.com/spreadsheets/d/1v5sN-00LrXuhBxw4dkh2GrG_z4l5oAqOdJRBCsUyMaM/edit?usp=share_link"",""ตรัง!J145"")+IMPORTRANGE(""https://docs.google.com/spreadsheets/d/1T5rRTzFc79aSIvqnzkZNvwPstq829QYz_xALlO1Z0s8/edi"&amp;"t?usp=share_link"",""นครศรีธรรมราช!J145"")+IMPORTRANGE(""https://docs.google.com/spreadsheets/d/1BeghqumK0IvCmRd2QOy6_afsZq7ZtAGrSnVJy2u7WmY/edit?usp=share_link"",""นราธิวาส!J145"")+IMPORTRANGE(""https://docs.google.com/spreadsheets/d/1IwnW3-jjRf74MCLW-6P"&amp;"iFwMUffRQXZwZA7YM609NmRc/edit?usp=share_link"",""ปัตตานี!J145"")+IMPORTRANGE(""https://docs.google.com/spreadsheets/d/1vl4QWbWdFruual5o_wdo6ZSqXZ_it806oja4CctTLKs/edit?usp=share_link"",""พังงา!J145"")+IMPORTRANGE(""https://docs.google.com/spreadsheets/d/1"&amp;"b6QssHQp2FoAPSMKHOy273KNzAomaIKhtdlvuZ_zDNE/edit?usp=share_link"",""พัทลุง!J145"")+IMPORTRANGE(""https://docs.google.com/spreadsheets/d/1o7UZe4_OqlqtLDHrj01Z2YFRSZDf1DMy1n3XViHaxRc/edit?usp=share_link"",""ภูเก็ต!J145"")+IMPORTRANGE(""https://docs.google.c"&amp;"om/spreadsheets/d/1ctPm1vUzcUCPuOj9-eoHUD85PqINFqUB0TjdSWmR5-c/edit?usp=share_link"",""ยะลา!J145"")+IMPORTRANGE(""https://docs.google.com/spreadsheets/d/1YiDIE7Klmt8osgdapRqYWNr7iPGFSsiJqq46S7PYRE0/edit?usp=share_link"",""ระนอง!J145"")+IMPORTRANGE(""https"&amp;"://docs.google.com/spreadsheets/d/16o_4B-V7AWw_6E93bSpXj_XxVv1oVQctk-B6z1dNEWU/edit?usp=share_link"",""สงขลา!J145"")+IMPORTRANGE(""https://docs.google.com/spreadsheets/d/16cywr71Fj4fA5OGRHsZh30ZG2gwJhMAQv69oVBzYHv0/edit?usp=share_link"",""สตูล!J145"")+IMP"&amp;"ORTRANGE(""https://docs.google.com/spreadsheets/d/1vO9Sws6kMtrVtyvrAJptINXjK8TFBoX9xLYOVK_C8bQ/edit?usp=share_link"",""สุราษฎร์ธานี!J145"")"),90)</f>
        <v>90</v>
      </c>
      <c r="K145" s="38">
        <f t="shared" ca="1" si="93"/>
        <v>100</v>
      </c>
      <c r="L145" s="38"/>
      <c r="M145" s="38"/>
      <c r="N145" s="38"/>
      <c r="O145" s="38"/>
      <c r="P145" s="38"/>
    </row>
    <row r="146" spans="1:26" ht="20.25" customHeight="1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IFERROR(__xludf.DUMMYFUNCTION("IMPORTRANGE(""https://docs.google.com/spreadsheets/d/1kC41EOXpGBFOW658Fs3oD8beYlym0-zO54WY-2Qnp9I/edit?usp=share_link"",""กระบี่!I146"")
+IMPORTRANGE(""https://docs.google.com/spreadsheets/d/1FbzMZY_f3MDiEuK7RpCQKrilJ_kpX0Wm7QBZ1L7EjIU/edit?usp=share_link"&amp;""",""ชุมพร!I146"")+IMPORTRANGE(""https://docs.google.com/spreadsheets/d/1v5sN-00LrXuhBxw4dkh2GrG_z4l5oAqOdJRBCsUyMaM/edit?usp=share_link"",""ตรัง!I146"")+IMPORTRANGE(""https://docs.google.com/spreadsheets/d/1T5rRTzFc79aSIvqnzkZNvwPstq829QYz_xALlO1Z0s8/edi"&amp;"t?usp=share_link"",""นครศรีธรรมราช!I146"")+IMPORTRANGE(""https://docs.google.com/spreadsheets/d/1BeghqumK0IvCmRd2QOy6_afsZq7ZtAGrSnVJy2u7WmY/edit?usp=share_link"",""นราธิวาส!I146"")+IMPORTRANGE(""https://docs.google.com/spreadsheets/d/1IwnW3-jjRf74MCLW-6P"&amp;"iFwMUffRQXZwZA7YM609NmRc/edit?usp=share_link"",""ปัตตานี!I146"")+IMPORTRANGE(""https://docs.google.com/spreadsheets/d/1vl4QWbWdFruual5o_wdo6ZSqXZ_it806oja4CctTLKs/edit?usp=share_link"",""พังงา!I146"")+IMPORTRANGE(""https://docs.google.com/spreadsheets/d/1"&amp;"b6QssHQp2FoAPSMKHOy273KNzAomaIKhtdlvuZ_zDNE/edit?usp=share_link"",""พัทลุง!I146"")+IMPORTRANGE(""https://docs.google.com/spreadsheets/d/1o7UZe4_OqlqtLDHrj01Z2YFRSZDf1DMy1n3XViHaxRc/edit?usp=share_link"",""ภูเก็ต!I146"")+IMPORTRANGE(""https://docs.google.c"&amp;"om/spreadsheets/d/1ctPm1vUzcUCPuOj9-eoHUD85PqINFqUB0TjdSWmR5-c/edit?usp=share_link"",""ยะลา!I146"")+IMPORTRANGE(""https://docs.google.com/spreadsheets/d/1YiDIE7Klmt8osgdapRqYWNr7iPGFSsiJqq46S7PYRE0/edit?usp=share_link"",""ระนอง!I146"")+IMPORTRANGE(""https"&amp;"://docs.google.com/spreadsheets/d/16o_4B-V7AWw_6E93bSpXj_XxVv1oVQctk-B6z1dNEWU/edit?usp=share_link"",""สงขลา!I146"")+IMPORTRANGE(""https://docs.google.com/spreadsheets/d/16cywr71Fj4fA5OGRHsZh30ZG2gwJhMAQv69oVBzYHv0/edit?usp=share_link"",""สตูล!I146"")+IMP"&amp;"ORTRANGE(""https://docs.google.com/spreadsheets/d/1vO9Sws6kMtrVtyvrAJptINXjK8TFBoX9xLYOVK_C8bQ/edit?usp=share_link"",""สุราษฎร์ธานี!I146"")"),9)</f>
        <v>9</v>
      </c>
      <c r="J146" s="183">
        <f ca="1">IFERROR(__xludf.DUMMYFUNCTION("IMPORTRANGE(""https://docs.google.com/spreadsheets/d/1kC41EOXpGBFOW658Fs3oD8beYlym0-zO54WY-2Qnp9I/edit?usp=share_link"",""กระบี่!J146"")
+IMPORTRANGE(""https://docs.google.com/spreadsheets/d/1FbzMZY_f3MDiEuK7RpCQKrilJ_kpX0Wm7QBZ1L7EjIU/edit?usp=share_link"&amp;""",""ชุมพร!J146"")+IMPORTRANGE(""https://docs.google.com/spreadsheets/d/1v5sN-00LrXuhBxw4dkh2GrG_z4l5oAqOdJRBCsUyMaM/edit?usp=share_link"",""ตรัง!J146"")+IMPORTRANGE(""https://docs.google.com/spreadsheets/d/1T5rRTzFc79aSIvqnzkZNvwPstq829QYz_xALlO1Z0s8/edi"&amp;"t?usp=share_link"",""นครศรีธรรมราช!J146"")+IMPORTRANGE(""https://docs.google.com/spreadsheets/d/1BeghqumK0IvCmRd2QOy6_afsZq7ZtAGrSnVJy2u7WmY/edit?usp=share_link"",""นราธิวาส!J146"")+IMPORTRANGE(""https://docs.google.com/spreadsheets/d/1IwnW3-jjRf74MCLW-6P"&amp;"iFwMUffRQXZwZA7YM609NmRc/edit?usp=share_link"",""ปัตตานี!J146"")+IMPORTRANGE(""https://docs.google.com/spreadsheets/d/1vl4QWbWdFruual5o_wdo6ZSqXZ_it806oja4CctTLKs/edit?usp=share_link"",""พังงา!J146"")+IMPORTRANGE(""https://docs.google.com/spreadsheets/d/1"&amp;"b6QssHQp2FoAPSMKHOy273KNzAomaIKhtdlvuZ_zDNE/edit?usp=share_link"",""พัทลุง!J146"")+IMPORTRANGE(""https://docs.google.com/spreadsheets/d/1o7UZe4_OqlqtLDHrj01Z2YFRSZDf1DMy1n3XViHaxRc/edit?usp=share_link"",""ภูเก็ต!J146"")+IMPORTRANGE(""https://docs.google.c"&amp;"om/spreadsheets/d/1ctPm1vUzcUCPuOj9-eoHUD85PqINFqUB0TjdSWmR5-c/edit?usp=share_link"",""ยะลา!J146"")+IMPORTRANGE(""https://docs.google.com/spreadsheets/d/1YiDIE7Klmt8osgdapRqYWNr7iPGFSsiJqq46S7PYRE0/edit?usp=share_link"",""ระนอง!J146"")+IMPORTRANGE(""https"&amp;"://docs.google.com/spreadsheets/d/16o_4B-V7AWw_6E93bSpXj_XxVv1oVQctk-B6z1dNEWU/edit?usp=share_link"",""สงขลา!J146"")+IMPORTRANGE(""https://docs.google.com/spreadsheets/d/16cywr71Fj4fA5OGRHsZh30ZG2gwJhMAQv69oVBzYHv0/edit?usp=share_link"",""สตูล!J146"")+IMP"&amp;"ORTRANGE(""https://docs.google.com/spreadsheets/d/1vO9Sws6kMtrVtyvrAJptINXjK8TFBoX9xLYOVK_C8bQ/edit?usp=share_link"",""สุราษฎร์ธานี!J146"")"),6)</f>
        <v>6</v>
      </c>
      <c r="K146" s="38">
        <f t="shared" ca="1" si="93"/>
        <v>66.666666666666671</v>
      </c>
      <c r="L146" s="38"/>
      <c r="M146" s="38"/>
      <c r="N146" s="38"/>
      <c r="O146" s="38"/>
      <c r="P146" s="38"/>
    </row>
    <row r="147" spans="1:26" ht="20.25" customHeight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20.25" customHeight="1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4">I159</f>
        <v>40</v>
      </c>
      <c r="J148" s="144">
        <f t="shared" ca="1" si="94"/>
        <v>20</v>
      </c>
      <c r="K148" s="145">
        <f ca="1">IF(I148&gt;0,J148*100/I148,0)</f>
        <v>50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20.25" customHeight="1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5">L150+L151</f>
        <v>20000</v>
      </c>
      <c r="M149" s="155">
        <f t="shared" ca="1" si="95"/>
        <v>55820</v>
      </c>
      <c r="N149" s="155">
        <f t="shared" ca="1" si="95"/>
        <v>40452</v>
      </c>
      <c r="O149" s="155">
        <f t="shared" ref="O149:O157" ca="1" si="96">IF(L149&gt;0,N149*100/L149,0)</f>
        <v>202.26</v>
      </c>
      <c r="P149" s="155">
        <f t="shared" ref="P149:P157" ca="1" si="97">IF(M149&gt;0,N149*100/M149,0)</f>
        <v>72.468649229666781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20.25" hidden="1" customHeight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8">L153+L156</f>
        <v>0</v>
      </c>
      <c r="M150" s="45">
        <f t="shared" si="98"/>
        <v>0</v>
      </c>
      <c r="N150" s="45">
        <f t="shared" si="98"/>
        <v>0</v>
      </c>
      <c r="O150" s="45">
        <f t="shared" si="96"/>
        <v>0</v>
      </c>
      <c r="P150" s="45">
        <f t="shared" si="97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20.25" hidden="1" customHeight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99">L154+L157</f>
        <v>20000</v>
      </c>
      <c r="M151" s="45">
        <f t="shared" ca="1" si="99"/>
        <v>55820</v>
      </c>
      <c r="N151" s="45">
        <f t="shared" ca="1" si="99"/>
        <v>40452</v>
      </c>
      <c r="O151" s="45">
        <f t="shared" ca="1" si="96"/>
        <v>202.26</v>
      </c>
      <c r="P151" s="45">
        <f t="shared" ca="1" si="97"/>
        <v>72.468649229666781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20.25" customHeight="1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0">L153+L154</f>
        <v>20000</v>
      </c>
      <c r="M152" s="38">
        <f t="shared" ca="1" si="100"/>
        <v>55820</v>
      </c>
      <c r="N152" s="38">
        <f t="shared" ca="1" si="100"/>
        <v>40452</v>
      </c>
      <c r="O152" s="38">
        <f t="shared" ca="1" si="96"/>
        <v>202.26</v>
      </c>
      <c r="P152" s="38">
        <f t="shared" ca="1" si="97"/>
        <v>72.468649229666781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20.25" hidden="1" customHeight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6"/>
        <v>0</v>
      </c>
      <c r="P153" s="45">
        <f t="shared" si="97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20.25" hidden="1" customHeight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IFERROR(__xludf.DUMMYFUNCTION("IMPORTRANGE(""https://docs.google.com/spreadsheets/d/1kC41EOXpGBFOW658Fs3oD8beYlym0-zO54WY-2Qnp9I/edit?usp=share_link"",""กระบี่!L154"")
+IMPORTRANGE(""https://docs.google.com/spreadsheets/d/1FbzMZY_f3MDiEuK7RpCQKrilJ_kpX0Wm7QBZ1L7EjIU/edit?usp=share_link"&amp;""",""ชุมพร!L154"")+IMPORTRANGE(""https://docs.google.com/spreadsheets/d/1v5sN-00LrXuhBxw4dkh2GrG_z4l5oAqOdJRBCsUyMaM/edit?usp=share_link"",""ตรัง!L154"")+IMPORTRANGE(""https://docs.google.com/spreadsheets/d/1T5rRTzFc79aSIvqnzkZNvwPstq829QYz_xALlO1Z0s8/edi"&amp;"t?usp=share_link"",""นครศรีธรรมราช!L154"")+IMPORTRANGE(""https://docs.google.com/spreadsheets/d/1BeghqumK0IvCmRd2QOy6_afsZq7ZtAGrSnVJy2u7WmY/edit?usp=share_link"",""นราธิวาส!L154"")+IMPORTRANGE(""https://docs.google.com/spreadsheets/d/1IwnW3-jjRf74MCLW-6P"&amp;"iFwMUffRQXZwZA7YM609NmRc/edit?usp=share_link"",""ปัตตานี!L154"")+IMPORTRANGE(""https://docs.google.com/spreadsheets/d/1vl4QWbWdFruual5o_wdo6ZSqXZ_it806oja4CctTLKs/edit?usp=share_link"",""พังงา!L154"")+IMPORTRANGE(""https://docs.google.com/spreadsheets/d/1"&amp;"b6QssHQp2FoAPSMKHOy273KNzAomaIKhtdlvuZ_zDNE/edit?usp=share_link"",""พัทลุง!L154"")+IMPORTRANGE(""https://docs.google.com/spreadsheets/d/1o7UZe4_OqlqtLDHrj01Z2YFRSZDf1DMy1n3XViHaxRc/edit?usp=share_link"",""ภูเก็ต!L154"")+IMPORTRANGE(""https://docs.google.c"&amp;"om/spreadsheets/d/1ctPm1vUzcUCPuOj9-eoHUD85PqINFqUB0TjdSWmR5-c/edit?usp=share_link"",""ยะลา!L154"")+IMPORTRANGE(""https://docs.google.com/spreadsheets/d/1YiDIE7Klmt8osgdapRqYWNr7iPGFSsiJqq46S7PYRE0/edit?usp=share_link"",""ระนอง!L154"")+IMPORTRANGE(""https"&amp;"://docs.google.com/spreadsheets/d/16o_4B-V7AWw_6E93bSpXj_XxVv1oVQctk-B6z1dNEWU/edit?usp=share_link"",""สงขลา!L154"")+IMPORTRANGE(""https://docs.google.com/spreadsheets/d/16cywr71Fj4fA5OGRHsZh30ZG2gwJhMAQv69oVBzYHv0/edit?usp=share_link"",""สตูล!L154"")+IMP"&amp;"ORTRANGE(""https://docs.google.com/spreadsheets/d/1vO9Sws6kMtrVtyvrAJptINXjK8TFBoX9xLYOVK_C8bQ/edit?usp=share_link"",""สุราษฎร์ธานี!L154"")"),20000)</f>
        <v>20000</v>
      </c>
      <c r="M154" s="45">
        <f ca="1">IFERROR(__xludf.DUMMYFUNCTION("IMPORTRANGE(""https://docs.google.com/spreadsheets/d/1kC41EOXpGBFOW658Fs3oD8beYlym0-zO54WY-2Qnp9I/edit?usp=share_link"",""กระบี่!M154"")
+IMPORTRANGE(""https://docs.google.com/spreadsheets/d/1FbzMZY_f3MDiEuK7RpCQKrilJ_kpX0Wm7QBZ1L7EjIU/edit?usp=share_link"&amp;""",""ชุมพร!M154"")+IMPORTRANGE(""https://docs.google.com/spreadsheets/d/1v5sN-00LrXuhBxw4dkh2GrG_z4l5oAqOdJRBCsUyMaM/edit?usp=share_link"",""ตรัง!M154"")+IMPORTRANGE(""https://docs.google.com/spreadsheets/d/1T5rRTzFc79aSIvqnzkZNvwPstq829QYz_xALlO1Z0s8/edi"&amp;"t?usp=share_link"",""นครศรีธรรมราช!M154"")+IMPORTRANGE(""https://docs.google.com/spreadsheets/d/1BeghqumK0IvCmRd2QOy6_afsZq7ZtAGrSnVJy2u7WmY/edit?usp=share_link"",""นราธิวาส!M154"")+IMPORTRANGE(""https://docs.google.com/spreadsheets/d/1IwnW3-jjRf74MCLW-6P"&amp;"iFwMUffRQXZwZA7YM609NmRc/edit?usp=share_link"",""ปัตตานี!M154"")+IMPORTRANGE(""https://docs.google.com/spreadsheets/d/1vl4QWbWdFruual5o_wdo6ZSqXZ_it806oja4CctTLKs/edit?usp=share_link"",""พังงา!M154"")+IMPORTRANGE(""https://docs.google.com/spreadsheets/d/1"&amp;"b6QssHQp2FoAPSMKHOy273KNzAomaIKhtdlvuZ_zDNE/edit?usp=share_link"",""พัทลุง!M154"")+IMPORTRANGE(""https://docs.google.com/spreadsheets/d/1o7UZe4_OqlqtLDHrj01Z2YFRSZDf1DMy1n3XViHaxRc/edit?usp=share_link"",""ภูเก็ต!M154"")+IMPORTRANGE(""https://docs.google.c"&amp;"om/spreadsheets/d/1ctPm1vUzcUCPuOj9-eoHUD85PqINFqUB0TjdSWmR5-c/edit?usp=share_link"",""ยะลา!M154"")+IMPORTRANGE(""https://docs.google.com/spreadsheets/d/1YiDIE7Klmt8osgdapRqYWNr7iPGFSsiJqq46S7PYRE0/edit?usp=share_link"",""ระนอง!M154"")+IMPORTRANGE(""https"&amp;"://docs.google.com/spreadsheets/d/16o_4B-V7AWw_6E93bSpXj_XxVv1oVQctk-B6z1dNEWU/edit?usp=share_link"",""สงขลา!M154"")+IMPORTRANGE(""https://docs.google.com/spreadsheets/d/16cywr71Fj4fA5OGRHsZh30ZG2gwJhMAQv69oVBzYHv0/edit?usp=share_link"",""สตูล!M154"")+IMP"&amp;"ORTRANGE(""https://docs.google.com/spreadsheets/d/1vO9Sws6kMtrVtyvrAJptINXjK8TFBoX9xLYOVK_C8bQ/edit?usp=share_link"",""สุราษฎร์ธานี!M154"")"),55820)</f>
        <v>55820</v>
      </c>
      <c r="N154" s="45">
        <f ca="1">IFERROR(__xludf.DUMMYFUNCTION("IMPORTRANGE(""https://docs.google.com/spreadsheets/d/1kC41EOXpGBFOW658Fs3oD8beYlym0-zO54WY-2Qnp9I/edit?usp=share_link"",""กระบี่!N154"")
+IMPORTRANGE(""https://docs.google.com/spreadsheets/d/1FbzMZY_f3MDiEuK7RpCQKrilJ_kpX0Wm7QBZ1L7EjIU/edit?usp=share_link"&amp;""",""ชุมพร!N154"")+IMPORTRANGE(""https://docs.google.com/spreadsheets/d/1v5sN-00LrXuhBxw4dkh2GrG_z4l5oAqOdJRBCsUyMaM/edit?usp=share_link"",""ตรัง!N154"")+IMPORTRANGE(""https://docs.google.com/spreadsheets/d/1T5rRTzFc79aSIvqnzkZNvwPstq829QYz_xALlO1Z0s8/edi"&amp;"t?usp=share_link"",""นครศรีธรรมราช!N154"")+IMPORTRANGE(""https://docs.google.com/spreadsheets/d/1BeghqumK0IvCmRd2QOy6_afsZq7ZtAGrSnVJy2u7WmY/edit?usp=share_link"",""นราธิวาส!N154"")+IMPORTRANGE(""https://docs.google.com/spreadsheets/d/1IwnW3-jjRf74MCLW-6P"&amp;"iFwMUffRQXZwZA7YM609NmRc/edit?usp=share_link"",""ปัตตานี!N154"")+IMPORTRANGE(""https://docs.google.com/spreadsheets/d/1vl4QWbWdFruual5o_wdo6ZSqXZ_it806oja4CctTLKs/edit?usp=share_link"",""พังงา!N154"")+IMPORTRANGE(""https://docs.google.com/spreadsheets/d/1"&amp;"b6QssHQp2FoAPSMKHOy273KNzAomaIKhtdlvuZ_zDNE/edit?usp=share_link"",""พัทลุง!N154"")+IMPORTRANGE(""https://docs.google.com/spreadsheets/d/1o7UZe4_OqlqtLDHrj01Z2YFRSZDf1DMy1n3XViHaxRc/edit?usp=share_link"",""ภูเก็ต!N154"")+IMPORTRANGE(""https://docs.google.c"&amp;"om/spreadsheets/d/1ctPm1vUzcUCPuOj9-eoHUD85PqINFqUB0TjdSWmR5-c/edit?usp=share_link"",""ยะลา!N154"")+IMPORTRANGE(""https://docs.google.com/spreadsheets/d/1YiDIE7Klmt8osgdapRqYWNr7iPGFSsiJqq46S7PYRE0/edit?usp=share_link"",""ระนอง!N154"")+IMPORTRANGE(""https"&amp;"://docs.google.com/spreadsheets/d/16o_4B-V7AWw_6E93bSpXj_XxVv1oVQctk-B6z1dNEWU/edit?usp=share_link"",""สงขลา!N154"")+IMPORTRANGE(""https://docs.google.com/spreadsheets/d/16cywr71Fj4fA5OGRHsZh30ZG2gwJhMAQv69oVBzYHv0/edit?usp=share_link"",""สตูล!N154"")+IMP"&amp;"ORTRANGE(""https://docs.google.com/spreadsheets/d/1vO9Sws6kMtrVtyvrAJptINXjK8TFBoX9xLYOVK_C8bQ/edit?usp=share_link"",""สุราษฎร์ธานี!N154"")"),40452)</f>
        <v>40452</v>
      </c>
      <c r="O154" s="45">
        <f t="shared" ca="1" si="96"/>
        <v>202.26</v>
      </c>
      <c r="P154" s="45">
        <f t="shared" ca="1" si="97"/>
        <v>72.468649229666781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20.25" customHeight="1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1">L156+L157</f>
        <v>0</v>
      </c>
      <c r="M155" s="38">
        <f t="shared" ca="1" si="101"/>
        <v>0</v>
      </c>
      <c r="N155" s="38">
        <f t="shared" ca="1" si="101"/>
        <v>0</v>
      </c>
      <c r="O155" s="38">
        <f t="shared" ca="1" si="96"/>
        <v>0</v>
      </c>
      <c r="P155" s="38">
        <f t="shared" ca="1" si="97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20.25" hidden="1" customHeight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6"/>
        <v>0</v>
      </c>
      <c r="P156" s="45">
        <f t="shared" si="97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20.25" hidden="1" customHeight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IFERROR(__xludf.DUMMYFUNCTION("IMPORTRANGE(""https://docs.google.com/spreadsheets/d/1kC41EOXpGBFOW658Fs3oD8beYlym0-zO54WY-2Qnp9I/edit?usp=share_link"",""กระบี่!L157"")
+IMPORTRANGE(""https://docs.google.com/spreadsheets/d/1FbzMZY_f3MDiEuK7RpCQKrilJ_kpX0Wm7QBZ1L7EjIU/edit?usp=share_link"&amp;""",""ชุมพร!L157"")+IMPORTRANGE(""https://docs.google.com/spreadsheets/d/1v5sN-00LrXuhBxw4dkh2GrG_z4l5oAqOdJRBCsUyMaM/edit?usp=share_link"",""ตรัง!L157"")+IMPORTRANGE(""https://docs.google.com/spreadsheets/d/1T5rRTzFc79aSIvqnzkZNvwPstq829QYz_xALlO1Z0s8/edi"&amp;"t?usp=share_link"",""นครศรีธรรมราช!L157"")+IMPORTRANGE(""https://docs.google.com/spreadsheets/d/1BeghqumK0IvCmRd2QOy6_afsZq7ZtAGrSnVJy2u7WmY/edit?usp=share_link"",""นราธิวาส!L157"")+IMPORTRANGE(""https://docs.google.com/spreadsheets/d/1IwnW3-jjRf74MCLW-6P"&amp;"iFwMUffRQXZwZA7YM609NmRc/edit?usp=share_link"",""ปัตตานี!L157"")+IMPORTRANGE(""https://docs.google.com/spreadsheets/d/1vl4QWbWdFruual5o_wdo6ZSqXZ_it806oja4CctTLKs/edit?usp=share_link"",""พังงา!L157"")+IMPORTRANGE(""https://docs.google.com/spreadsheets/d/1"&amp;"b6QssHQp2FoAPSMKHOy273KNzAomaIKhtdlvuZ_zDNE/edit?usp=share_link"",""พัทลุง!L157"")+IMPORTRANGE(""https://docs.google.com/spreadsheets/d/1o7UZe4_OqlqtLDHrj01Z2YFRSZDf1DMy1n3XViHaxRc/edit?usp=share_link"",""ภูเก็ต!L157"")+IMPORTRANGE(""https://docs.google.c"&amp;"om/spreadsheets/d/1ctPm1vUzcUCPuOj9-eoHUD85PqINFqUB0TjdSWmR5-c/edit?usp=share_link"",""ยะลา!L157"")+IMPORTRANGE(""https://docs.google.com/spreadsheets/d/1YiDIE7Klmt8osgdapRqYWNr7iPGFSsiJqq46S7PYRE0/edit?usp=share_link"",""ระนอง!L157"")+IMPORTRANGE(""https"&amp;"://docs.google.com/spreadsheets/d/16o_4B-V7AWw_6E93bSpXj_XxVv1oVQctk-B6z1dNEWU/edit?usp=share_link"",""สงขลา!L157"")+IMPORTRANGE(""https://docs.google.com/spreadsheets/d/16cywr71Fj4fA5OGRHsZh30ZG2gwJhMAQv69oVBzYHv0/edit?usp=share_link"",""สตูล!L157"")+IMP"&amp;"ORTRANGE(""https://docs.google.com/spreadsheets/d/1vO9Sws6kMtrVtyvrAJptINXjK8TFBoX9xLYOVK_C8bQ/edit?usp=share_link"",""สุราษฎร์ธานี!L157"")"),0)</f>
        <v>0</v>
      </c>
      <c r="M157" s="45">
        <f ca="1">IFERROR(__xludf.DUMMYFUNCTION("IMPORTRANGE(""https://docs.google.com/spreadsheets/d/1kC41EOXpGBFOW658Fs3oD8beYlym0-zO54WY-2Qnp9I/edit?usp=share_link"",""กระบี่!M157"")
+IMPORTRANGE(""https://docs.google.com/spreadsheets/d/1FbzMZY_f3MDiEuK7RpCQKrilJ_kpX0Wm7QBZ1L7EjIU/edit?usp=share_link"&amp;""",""ชุมพร!M157"")+IMPORTRANGE(""https://docs.google.com/spreadsheets/d/1v5sN-00LrXuhBxw4dkh2GrG_z4l5oAqOdJRBCsUyMaM/edit?usp=share_link"",""ตรัง!M157"")+IMPORTRANGE(""https://docs.google.com/spreadsheets/d/1T5rRTzFc79aSIvqnzkZNvwPstq829QYz_xALlO1Z0s8/edi"&amp;"t?usp=share_link"",""นครศรีธรรมราช!M157"")+IMPORTRANGE(""https://docs.google.com/spreadsheets/d/1BeghqumK0IvCmRd2QOy6_afsZq7ZtAGrSnVJy2u7WmY/edit?usp=share_link"",""นราธิวาส!M157"")+IMPORTRANGE(""https://docs.google.com/spreadsheets/d/1IwnW3-jjRf74MCLW-6P"&amp;"iFwMUffRQXZwZA7YM609NmRc/edit?usp=share_link"",""ปัตตานี!M157"")+IMPORTRANGE(""https://docs.google.com/spreadsheets/d/1vl4QWbWdFruual5o_wdo6ZSqXZ_it806oja4CctTLKs/edit?usp=share_link"",""พังงา!M157"")+IMPORTRANGE(""https://docs.google.com/spreadsheets/d/1"&amp;"b6QssHQp2FoAPSMKHOy273KNzAomaIKhtdlvuZ_zDNE/edit?usp=share_link"",""พัทลุง!M157"")+IMPORTRANGE(""https://docs.google.com/spreadsheets/d/1o7UZe4_OqlqtLDHrj01Z2YFRSZDf1DMy1n3XViHaxRc/edit?usp=share_link"",""ภูเก็ต!M157"")+IMPORTRANGE(""https://docs.google.c"&amp;"om/spreadsheets/d/1ctPm1vUzcUCPuOj9-eoHUD85PqINFqUB0TjdSWmR5-c/edit?usp=share_link"",""ยะลา!M157"")+IMPORTRANGE(""https://docs.google.com/spreadsheets/d/1YiDIE7Klmt8osgdapRqYWNr7iPGFSsiJqq46S7PYRE0/edit?usp=share_link"",""ระนอง!M157"")+IMPORTRANGE(""https"&amp;"://docs.google.com/spreadsheets/d/16o_4B-V7AWw_6E93bSpXj_XxVv1oVQctk-B6z1dNEWU/edit?usp=share_link"",""สงขลา!M157"")+IMPORTRANGE(""https://docs.google.com/spreadsheets/d/16cywr71Fj4fA5OGRHsZh30ZG2gwJhMAQv69oVBzYHv0/edit?usp=share_link"",""สตูล!M157"")+IMP"&amp;"ORTRANGE(""https://docs.google.com/spreadsheets/d/1vO9Sws6kMtrVtyvrAJptINXjK8TFBoX9xLYOVK_C8bQ/edit?usp=share_link"",""สุราษฎร์ธานี!M157"")"),0)</f>
        <v>0</v>
      </c>
      <c r="N157" s="45">
        <f ca="1">IFERROR(__xludf.DUMMYFUNCTION("IMPORTRANGE(""https://docs.google.com/spreadsheets/d/1kC41EOXpGBFOW658Fs3oD8beYlym0-zO54WY-2Qnp9I/edit?usp=share_link"",""กระบี่!N157"")
+IMPORTRANGE(""https://docs.google.com/spreadsheets/d/1FbzMZY_f3MDiEuK7RpCQKrilJ_kpX0Wm7QBZ1L7EjIU/edit?usp=share_link"&amp;""",""ชุมพร!N157"")+IMPORTRANGE(""https://docs.google.com/spreadsheets/d/1v5sN-00LrXuhBxw4dkh2GrG_z4l5oAqOdJRBCsUyMaM/edit?usp=share_link"",""ตรัง!N157"")+IMPORTRANGE(""https://docs.google.com/spreadsheets/d/1T5rRTzFc79aSIvqnzkZNvwPstq829QYz_xALlO1Z0s8/edi"&amp;"t?usp=share_link"",""นครศรีธรรมราช!N157"")+IMPORTRANGE(""https://docs.google.com/spreadsheets/d/1BeghqumK0IvCmRd2QOy6_afsZq7ZtAGrSnVJy2u7WmY/edit?usp=share_link"",""นราธิวาส!N157"")+IMPORTRANGE(""https://docs.google.com/spreadsheets/d/1IwnW3-jjRf74MCLW-6P"&amp;"iFwMUffRQXZwZA7YM609NmRc/edit?usp=share_link"",""ปัตตานี!N157"")+IMPORTRANGE(""https://docs.google.com/spreadsheets/d/1vl4QWbWdFruual5o_wdo6ZSqXZ_it806oja4CctTLKs/edit?usp=share_link"",""พังงา!N157"")+IMPORTRANGE(""https://docs.google.com/spreadsheets/d/1"&amp;"b6QssHQp2FoAPSMKHOy273KNzAomaIKhtdlvuZ_zDNE/edit?usp=share_link"",""พัทลุง!N157"")+IMPORTRANGE(""https://docs.google.com/spreadsheets/d/1o7UZe4_OqlqtLDHrj01Z2YFRSZDf1DMy1n3XViHaxRc/edit?usp=share_link"",""ภูเก็ต!N157"")+IMPORTRANGE(""https://docs.google.c"&amp;"om/spreadsheets/d/1ctPm1vUzcUCPuOj9-eoHUD85PqINFqUB0TjdSWmR5-c/edit?usp=share_link"",""ยะลา!N157"")+IMPORTRANGE(""https://docs.google.com/spreadsheets/d/1YiDIE7Klmt8osgdapRqYWNr7iPGFSsiJqq46S7PYRE0/edit?usp=share_link"",""ระนอง!N157"")+IMPORTRANGE(""https"&amp;"://docs.google.com/spreadsheets/d/16o_4B-V7AWw_6E93bSpXj_XxVv1oVQctk-B6z1dNEWU/edit?usp=share_link"",""สงขลา!N157"")+IMPORTRANGE(""https://docs.google.com/spreadsheets/d/16cywr71Fj4fA5OGRHsZh30ZG2gwJhMAQv69oVBzYHv0/edit?usp=share_link"",""สตูล!N157"")+IMP"&amp;"ORTRANGE(""https://docs.google.com/spreadsheets/d/1vO9Sws6kMtrVtyvrAJptINXjK8TFBoX9xLYOVK_C8bQ/edit?usp=share_link"",""สุราษฎร์ธานี!N157"")"),0)</f>
        <v>0</v>
      </c>
      <c r="O157" s="45">
        <f t="shared" ca="1" si="96"/>
        <v>0</v>
      </c>
      <c r="P157" s="45">
        <f t="shared" ca="1" si="97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20.25" customHeight="1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20.25" customHeight="1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IFERROR(__xludf.DUMMYFUNCTION("IMPORTRANGE(""https://docs.google.com/spreadsheets/d/1kC41EOXpGBFOW658Fs3oD8beYlym0-zO54WY-2Qnp9I/edit?usp=share_link"",""กระบี่!I159"")
+IMPORTRANGE(""https://docs.google.com/spreadsheets/d/1FbzMZY_f3MDiEuK7RpCQKrilJ_kpX0Wm7QBZ1L7EjIU/edit?usp=share_link"&amp;""",""ชุมพร!I159"")+IMPORTRANGE(""https://docs.google.com/spreadsheets/d/1v5sN-00LrXuhBxw4dkh2GrG_z4l5oAqOdJRBCsUyMaM/edit?usp=share_link"",""ตรัง!I159"")+IMPORTRANGE(""https://docs.google.com/spreadsheets/d/1T5rRTzFc79aSIvqnzkZNvwPstq829QYz_xALlO1Z0s8/edi"&amp;"t?usp=share_link"",""นครศรีธรรมราช!I159"")+IMPORTRANGE(""https://docs.google.com/spreadsheets/d/1BeghqumK0IvCmRd2QOy6_afsZq7ZtAGrSnVJy2u7WmY/edit?usp=share_link"",""นราธิวาส!I159"")+IMPORTRANGE(""https://docs.google.com/spreadsheets/d/1IwnW3-jjRf74MCLW-6P"&amp;"iFwMUffRQXZwZA7YM609NmRc/edit?usp=share_link"",""ปัตตานี!I159"")+IMPORTRANGE(""https://docs.google.com/spreadsheets/d/1vl4QWbWdFruual5o_wdo6ZSqXZ_it806oja4CctTLKs/edit?usp=share_link"",""พังงา!I159"")+IMPORTRANGE(""https://docs.google.com/spreadsheets/d/1"&amp;"b6QssHQp2FoAPSMKHOy273KNzAomaIKhtdlvuZ_zDNE/edit?usp=share_link"",""พัทลุง!I159"")+IMPORTRANGE(""https://docs.google.com/spreadsheets/d/1o7UZe4_OqlqtLDHrj01Z2YFRSZDf1DMy1n3XViHaxRc/edit?usp=share_link"",""ภูเก็ต!I159"")+IMPORTRANGE(""https://docs.google.c"&amp;"om/spreadsheets/d/1ctPm1vUzcUCPuOj9-eoHUD85PqINFqUB0TjdSWmR5-c/edit?usp=share_link"",""ยะลา!I159"")+IMPORTRANGE(""https://docs.google.com/spreadsheets/d/1YiDIE7Klmt8osgdapRqYWNr7iPGFSsiJqq46S7PYRE0/edit?usp=share_link"",""ระนอง!I159"")+IMPORTRANGE(""https"&amp;"://docs.google.com/spreadsheets/d/16o_4B-V7AWw_6E93bSpXj_XxVv1oVQctk-B6z1dNEWU/edit?usp=share_link"",""สงขลา!I159"")+IMPORTRANGE(""https://docs.google.com/spreadsheets/d/16cywr71Fj4fA5OGRHsZh30ZG2gwJhMAQv69oVBzYHv0/edit?usp=share_link"",""สตูล!I159"")+IMP"&amp;"ORTRANGE(""https://docs.google.com/spreadsheets/d/1vO9Sws6kMtrVtyvrAJptINXjK8TFBoX9xLYOVK_C8bQ/edit?usp=share_link"",""สุราษฎร์ธานี!I159"")"),40)</f>
        <v>40</v>
      </c>
      <c r="J159" s="183">
        <f ca="1">IFERROR(__xludf.DUMMYFUNCTION("IMPORTRANGE(""https://docs.google.com/spreadsheets/d/1kC41EOXpGBFOW658Fs3oD8beYlym0-zO54WY-2Qnp9I/edit?usp=share_link"",""กระบี่!J159"")
+IMPORTRANGE(""https://docs.google.com/spreadsheets/d/1FbzMZY_f3MDiEuK7RpCQKrilJ_kpX0Wm7QBZ1L7EjIU/edit?usp=share_link"&amp;""",""ชุมพร!J159"")+IMPORTRANGE(""https://docs.google.com/spreadsheets/d/1v5sN-00LrXuhBxw4dkh2GrG_z4l5oAqOdJRBCsUyMaM/edit?usp=share_link"",""ตรัง!J159"")+IMPORTRANGE(""https://docs.google.com/spreadsheets/d/1T5rRTzFc79aSIvqnzkZNvwPstq829QYz_xALlO1Z0s8/edi"&amp;"t?usp=share_link"",""นครศรีธรรมราช!J159"")+IMPORTRANGE(""https://docs.google.com/spreadsheets/d/1BeghqumK0IvCmRd2QOy6_afsZq7ZtAGrSnVJy2u7WmY/edit?usp=share_link"",""นราธิวาส!J159"")+IMPORTRANGE(""https://docs.google.com/spreadsheets/d/1IwnW3-jjRf74MCLW-6P"&amp;"iFwMUffRQXZwZA7YM609NmRc/edit?usp=share_link"",""ปัตตานี!J159"")+IMPORTRANGE(""https://docs.google.com/spreadsheets/d/1vl4QWbWdFruual5o_wdo6ZSqXZ_it806oja4CctTLKs/edit?usp=share_link"",""พังงา!J159"")+IMPORTRANGE(""https://docs.google.com/spreadsheets/d/1"&amp;"b6QssHQp2FoAPSMKHOy273KNzAomaIKhtdlvuZ_zDNE/edit?usp=share_link"",""พัทลุง!J159"")+IMPORTRANGE(""https://docs.google.com/spreadsheets/d/1o7UZe4_OqlqtLDHrj01Z2YFRSZDf1DMy1n3XViHaxRc/edit?usp=share_link"",""ภูเก็ต!J159"")+IMPORTRANGE(""https://docs.google.c"&amp;"om/spreadsheets/d/1ctPm1vUzcUCPuOj9-eoHUD85PqINFqUB0TjdSWmR5-c/edit?usp=share_link"",""ยะลา!J159"")+IMPORTRANGE(""https://docs.google.com/spreadsheets/d/1YiDIE7Klmt8osgdapRqYWNr7iPGFSsiJqq46S7PYRE0/edit?usp=share_link"",""ระนอง!J159"")+IMPORTRANGE(""https"&amp;"://docs.google.com/spreadsheets/d/16o_4B-V7AWw_6E93bSpXj_XxVv1oVQctk-B6z1dNEWU/edit?usp=share_link"",""สงขลา!J159"")+IMPORTRANGE(""https://docs.google.com/spreadsheets/d/16cywr71Fj4fA5OGRHsZh30ZG2gwJhMAQv69oVBzYHv0/edit?usp=share_link"",""สตูล!J159"")+IMP"&amp;"ORTRANGE(""https://docs.google.com/spreadsheets/d/1vO9Sws6kMtrVtyvrAJptINXjK8TFBoX9xLYOVK_C8bQ/edit?usp=share_link"",""สุราษฎร์ธานี!J159"")"),20)</f>
        <v>20</v>
      </c>
      <c r="K159" s="38">
        <f ca="1">IF(I159&gt;0,J159*100/I159,0)</f>
        <v>50</v>
      </c>
      <c r="L159" s="38"/>
      <c r="M159" s="38"/>
      <c r="N159" s="38"/>
      <c r="O159" s="38"/>
      <c r="P159" s="38"/>
    </row>
    <row r="160" spans="1:26" ht="20.25" hidden="1" customHeight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20.25" hidden="1" customHeight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20.25" customHeight="1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20.25" customHeight="1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20.25" customHeight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2">I174+I177</f>
        <v>139</v>
      </c>
      <c r="J164" s="253">
        <f t="shared" ca="1" si="102"/>
        <v>139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20.25" customHeight="1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3">L166+L167</f>
        <v>271695</v>
      </c>
      <c r="M165" s="155">
        <f t="shared" ca="1" si="103"/>
        <v>499895</v>
      </c>
      <c r="N165" s="155">
        <f t="shared" ca="1" si="103"/>
        <v>495219</v>
      </c>
      <c r="O165" s="155">
        <f t="shared" ref="O165:O173" ca="1" si="104">IF(L165&gt;0,N165*100/L165,0)</f>
        <v>182.27019267929111</v>
      </c>
      <c r="P165" s="155">
        <f t="shared" ref="P165:P173" ca="1" si="105">IF(M165&gt;0,N165*100/M165,0)</f>
        <v>99.064603566749014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20.25" hidden="1" customHeight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6">L169+L172</f>
        <v>0</v>
      </c>
      <c r="M166" s="45">
        <f t="shared" si="106"/>
        <v>0</v>
      </c>
      <c r="N166" s="45">
        <f t="shared" si="106"/>
        <v>0</v>
      </c>
      <c r="O166" s="45">
        <f t="shared" si="104"/>
        <v>0</v>
      </c>
      <c r="P166" s="45">
        <f t="shared" si="105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20.25" hidden="1" customHeight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7">L170+L173</f>
        <v>271695</v>
      </c>
      <c r="M167" s="45">
        <f t="shared" ca="1" si="107"/>
        <v>499895</v>
      </c>
      <c r="N167" s="45">
        <f t="shared" ca="1" si="107"/>
        <v>495219</v>
      </c>
      <c r="O167" s="45">
        <f t="shared" ca="1" si="104"/>
        <v>182.27019267929111</v>
      </c>
      <c r="P167" s="45">
        <f t="shared" ca="1" si="105"/>
        <v>99.064603566749014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20.25" customHeight="1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8">L169+L170</f>
        <v>271695</v>
      </c>
      <c r="M168" s="38">
        <f t="shared" ca="1" si="108"/>
        <v>499895</v>
      </c>
      <c r="N168" s="38">
        <f t="shared" ca="1" si="108"/>
        <v>495219</v>
      </c>
      <c r="O168" s="38">
        <f t="shared" ca="1" si="104"/>
        <v>182.27019267929111</v>
      </c>
      <c r="P168" s="38">
        <f t="shared" ca="1" si="105"/>
        <v>99.064603566749014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20.25" hidden="1" customHeight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4"/>
        <v>0</v>
      </c>
      <c r="P169" s="45">
        <f t="shared" si="105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20.25" hidden="1" customHeight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IFERROR(__xludf.DUMMYFUNCTION("IMPORTRANGE(""https://docs.google.com/spreadsheets/d/1kC41EOXpGBFOW658Fs3oD8beYlym0-zO54WY-2Qnp9I/edit?usp=share_link"",""กระบี่!L170"")
+IMPORTRANGE(""https://docs.google.com/spreadsheets/d/1FbzMZY_f3MDiEuK7RpCQKrilJ_kpX0Wm7QBZ1L7EjIU/edit?usp=share_link"&amp;""",""ชุมพร!L170"")+IMPORTRANGE(""https://docs.google.com/spreadsheets/d/1v5sN-00LrXuhBxw4dkh2GrG_z4l5oAqOdJRBCsUyMaM/edit?usp=share_link"",""ตรัง!L170"")+IMPORTRANGE(""https://docs.google.com/spreadsheets/d/1T5rRTzFc79aSIvqnzkZNvwPstq829QYz_xALlO1Z0s8/edi"&amp;"t?usp=share_link"",""นครศรีธรรมราช!L170"")+IMPORTRANGE(""https://docs.google.com/spreadsheets/d/1BeghqumK0IvCmRd2QOy6_afsZq7ZtAGrSnVJy2u7WmY/edit?usp=share_link"",""นราธิวาส!L170"")+IMPORTRANGE(""https://docs.google.com/spreadsheets/d/1IwnW3-jjRf74MCLW-6P"&amp;"iFwMUffRQXZwZA7YM609NmRc/edit?usp=share_link"",""ปัตตานี!L170"")+IMPORTRANGE(""https://docs.google.com/spreadsheets/d/1vl4QWbWdFruual5o_wdo6ZSqXZ_it806oja4CctTLKs/edit?usp=share_link"",""พังงา!L170"")+IMPORTRANGE(""https://docs.google.com/spreadsheets/d/1"&amp;"b6QssHQp2FoAPSMKHOy273KNzAomaIKhtdlvuZ_zDNE/edit?usp=share_link"",""พัทลุง!L170"")+IMPORTRANGE(""https://docs.google.com/spreadsheets/d/1o7UZe4_OqlqtLDHrj01Z2YFRSZDf1DMy1n3XViHaxRc/edit?usp=share_link"",""ภูเก็ต!L170"")+IMPORTRANGE(""https://docs.google.c"&amp;"om/spreadsheets/d/1ctPm1vUzcUCPuOj9-eoHUD85PqINFqUB0TjdSWmR5-c/edit?usp=share_link"",""ยะลา!L170"")+IMPORTRANGE(""https://docs.google.com/spreadsheets/d/1YiDIE7Klmt8osgdapRqYWNr7iPGFSsiJqq46S7PYRE0/edit?usp=share_link"",""ระนอง!L170"")+IMPORTRANGE(""https"&amp;"://docs.google.com/spreadsheets/d/16o_4B-V7AWw_6E93bSpXj_XxVv1oVQctk-B6z1dNEWU/edit?usp=share_link"",""สงขลา!L170"")+IMPORTRANGE(""https://docs.google.com/spreadsheets/d/16cywr71Fj4fA5OGRHsZh30ZG2gwJhMAQv69oVBzYHv0/edit?usp=share_link"",""สตูล!L170"")+IMP"&amp;"ORTRANGE(""https://docs.google.com/spreadsheets/d/1vO9Sws6kMtrVtyvrAJptINXjK8TFBoX9xLYOVK_C8bQ/edit?usp=share_link"",""สุราษฎร์ธานี!L170"")"),271695)</f>
        <v>271695</v>
      </c>
      <c r="M170" s="45">
        <f ca="1">IFERROR(__xludf.DUMMYFUNCTION("IMPORTRANGE(""https://docs.google.com/spreadsheets/d/1kC41EOXpGBFOW658Fs3oD8beYlym0-zO54WY-2Qnp9I/edit?usp=share_link"",""กระบี่!M170"")
+IMPORTRANGE(""https://docs.google.com/spreadsheets/d/1FbzMZY_f3MDiEuK7RpCQKrilJ_kpX0Wm7QBZ1L7EjIU/edit?usp=share_link"&amp;""",""ชุมพร!M170"")+IMPORTRANGE(""https://docs.google.com/spreadsheets/d/1v5sN-00LrXuhBxw4dkh2GrG_z4l5oAqOdJRBCsUyMaM/edit?usp=share_link"",""ตรัง!M170"")+IMPORTRANGE(""https://docs.google.com/spreadsheets/d/1T5rRTzFc79aSIvqnzkZNvwPstq829QYz_xALlO1Z0s8/edi"&amp;"t?usp=share_link"",""นครศรีธรรมราช!M170"")+IMPORTRANGE(""https://docs.google.com/spreadsheets/d/1BeghqumK0IvCmRd2QOy6_afsZq7ZtAGrSnVJy2u7WmY/edit?usp=share_link"",""นราธิวาส!M170"")+IMPORTRANGE(""https://docs.google.com/spreadsheets/d/1IwnW3-jjRf74MCLW-6P"&amp;"iFwMUffRQXZwZA7YM609NmRc/edit?usp=share_link"",""ปัตตานี!M170"")+IMPORTRANGE(""https://docs.google.com/spreadsheets/d/1vl4QWbWdFruual5o_wdo6ZSqXZ_it806oja4CctTLKs/edit?usp=share_link"",""พังงา!M170"")+IMPORTRANGE(""https://docs.google.com/spreadsheets/d/1"&amp;"b6QssHQp2FoAPSMKHOy273KNzAomaIKhtdlvuZ_zDNE/edit?usp=share_link"",""พัทลุง!M170"")+IMPORTRANGE(""https://docs.google.com/spreadsheets/d/1o7UZe4_OqlqtLDHrj01Z2YFRSZDf1DMy1n3XViHaxRc/edit?usp=share_link"",""ภูเก็ต!M170"")+IMPORTRANGE(""https://docs.google.c"&amp;"om/spreadsheets/d/1ctPm1vUzcUCPuOj9-eoHUD85PqINFqUB0TjdSWmR5-c/edit?usp=share_link"",""ยะลา!M170"")+IMPORTRANGE(""https://docs.google.com/spreadsheets/d/1YiDIE7Klmt8osgdapRqYWNr7iPGFSsiJqq46S7PYRE0/edit?usp=share_link"",""ระนอง!M170"")+IMPORTRANGE(""https"&amp;"://docs.google.com/spreadsheets/d/16o_4B-V7AWw_6E93bSpXj_XxVv1oVQctk-B6z1dNEWU/edit?usp=share_link"",""สงขลา!M170"")+IMPORTRANGE(""https://docs.google.com/spreadsheets/d/16cywr71Fj4fA5OGRHsZh30ZG2gwJhMAQv69oVBzYHv0/edit?usp=share_link"",""สตูล!M170"")+IMP"&amp;"ORTRANGE(""https://docs.google.com/spreadsheets/d/1vO9Sws6kMtrVtyvrAJptINXjK8TFBoX9xLYOVK_C8bQ/edit?usp=share_link"",""สุราษฎร์ธานี!M170"")"),499895)</f>
        <v>499895</v>
      </c>
      <c r="N170" s="45">
        <f ca="1">IFERROR(__xludf.DUMMYFUNCTION("IMPORTRANGE(""https://docs.google.com/spreadsheets/d/1kC41EOXpGBFOW658Fs3oD8beYlym0-zO54WY-2Qnp9I/edit?usp=share_link"",""กระบี่!N170"")
+IMPORTRANGE(""https://docs.google.com/spreadsheets/d/1FbzMZY_f3MDiEuK7RpCQKrilJ_kpX0Wm7QBZ1L7EjIU/edit?usp=share_link"&amp;""",""ชุมพร!N170"")+IMPORTRANGE(""https://docs.google.com/spreadsheets/d/1v5sN-00LrXuhBxw4dkh2GrG_z4l5oAqOdJRBCsUyMaM/edit?usp=share_link"",""ตรัง!N170"")+IMPORTRANGE(""https://docs.google.com/spreadsheets/d/1T5rRTzFc79aSIvqnzkZNvwPstq829QYz_xALlO1Z0s8/edi"&amp;"t?usp=share_link"",""นครศรีธรรมราช!N170"")+IMPORTRANGE(""https://docs.google.com/spreadsheets/d/1BeghqumK0IvCmRd2QOy6_afsZq7ZtAGrSnVJy2u7WmY/edit?usp=share_link"",""นราธิวาส!N170"")+IMPORTRANGE(""https://docs.google.com/spreadsheets/d/1IwnW3-jjRf74MCLW-6P"&amp;"iFwMUffRQXZwZA7YM609NmRc/edit?usp=share_link"",""ปัตตานี!N170"")+IMPORTRANGE(""https://docs.google.com/spreadsheets/d/1vl4QWbWdFruual5o_wdo6ZSqXZ_it806oja4CctTLKs/edit?usp=share_link"",""พังงา!N170"")+IMPORTRANGE(""https://docs.google.com/spreadsheets/d/1"&amp;"b6QssHQp2FoAPSMKHOy273KNzAomaIKhtdlvuZ_zDNE/edit?usp=share_link"",""พัทลุง!N170"")+IMPORTRANGE(""https://docs.google.com/spreadsheets/d/1o7UZe4_OqlqtLDHrj01Z2YFRSZDf1DMy1n3XViHaxRc/edit?usp=share_link"",""ภูเก็ต!N170"")+IMPORTRANGE(""https://docs.google.c"&amp;"om/spreadsheets/d/1ctPm1vUzcUCPuOj9-eoHUD85PqINFqUB0TjdSWmR5-c/edit?usp=share_link"",""ยะลา!N170"")+IMPORTRANGE(""https://docs.google.com/spreadsheets/d/1YiDIE7Klmt8osgdapRqYWNr7iPGFSsiJqq46S7PYRE0/edit?usp=share_link"",""ระนอง!N170"")+IMPORTRANGE(""https"&amp;"://docs.google.com/spreadsheets/d/16o_4B-V7AWw_6E93bSpXj_XxVv1oVQctk-B6z1dNEWU/edit?usp=share_link"",""สงขลา!N170"")+IMPORTRANGE(""https://docs.google.com/spreadsheets/d/16cywr71Fj4fA5OGRHsZh30ZG2gwJhMAQv69oVBzYHv0/edit?usp=share_link"",""สตูล!N170"")+IMP"&amp;"ORTRANGE(""https://docs.google.com/spreadsheets/d/1vO9Sws6kMtrVtyvrAJptINXjK8TFBoX9xLYOVK_C8bQ/edit?usp=share_link"",""สุราษฎร์ธานี!N170"")"),495219)</f>
        <v>495219</v>
      </c>
      <c r="O170" s="45">
        <f t="shared" ca="1" si="104"/>
        <v>182.27019267929111</v>
      </c>
      <c r="P170" s="45">
        <f t="shared" ca="1" si="105"/>
        <v>99.064603566749014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20.25" customHeight="1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09">L172+L173</f>
        <v>0</v>
      </c>
      <c r="M171" s="38">
        <f t="shared" ca="1" si="109"/>
        <v>0</v>
      </c>
      <c r="N171" s="38">
        <f t="shared" ca="1" si="109"/>
        <v>0</v>
      </c>
      <c r="O171" s="38">
        <f t="shared" ca="1" si="104"/>
        <v>0</v>
      </c>
      <c r="P171" s="38">
        <f t="shared" ca="1" si="105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20.25" hidden="1" customHeight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4"/>
        <v>0</v>
      </c>
      <c r="P172" s="45">
        <f t="shared" si="105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20.25" hidden="1" customHeight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IFERROR(__xludf.DUMMYFUNCTION("IMPORTRANGE(""https://docs.google.com/spreadsheets/d/1kC41EOXpGBFOW658Fs3oD8beYlym0-zO54WY-2Qnp9I/edit?usp=share_link"",""กระบี่!L173"")
+IMPORTRANGE(""https://docs.google.com/spreadsheets/d/1FbzMZY_f3MDiEuK7RpCQKrilJ_kpX0Wm7QBZ1L7EjIU/edit?usp=share_link"&amp;""",""ชุมพร!L173"")+IMPORTRANGE(""https://docs.google.com/spreadsheets/d/1v5sN-00LrXuhBxw4dkh2GrG_z4l5oAqOdJRBCsUyMaM/edit?usp=share_link"",""ตรัง!L173"")+IMPORTRANGE(""https://docs.google.com/spreadsheets/d/1T5rRTzFc79aSIvqnzkZNvwPstq829QYz_xALlO1Z0s8/edi"&amp;"t?usp=share_link"",""นครศรีธรรมราช!L173"")+IMPORTRANGE(""https://docs.google.com/spreadsheets/d/1BeghqumK0IvCmRd2QOy6_afsZq7ZtAGrSnVJy2u7WmY/edit?usp=share_link"",""นราธิวาส!L173"")+IMPORTRANGE(""https://docs.google.com/spreadsheets/d/1IwnW3-jjRf74MCLW-6P"&amp;"iFwMUffRQXZwZA7YM609NmRc/edit?usp=share_link"",""ปัตตานี!L173"")+IMPORTRANGE(""https://docs.google.com/spreadsheets/d/1vl4QWbWdFruual5o_wdo6ZSqXZ_it806oja4CctTLKs/edit?usp=share_link"",""พังงา!L173"")+IMPORTRANGE(""https://docs.google.com/spreadsheets/d/1"&amp;"b6QssHQp2FoAPSMKHOy273KNzAomaIKhtdlvuZ_zDNE/edit?usp=share_link"",""พัทลุง!L173"")+IMPORTRANGE(""https://docs.google.com/spreadsheets/d/1o7UZe4_OqlqtLDHrj01Z2YFRSZDf1DMy1n3XViHaxRc/edit?usp=share_link"",""ภูเก็ต!L173"")+IMPORTRANGE(""https://docs.google.c"&amp;"om/spreadsheets/d/1ctPm1vUzcUCPuOj9-eoHUD85PqINFqUB0TjdSWmR5-c/edit?usp=share_link"",""ยะลา!L173"")+IMPORTRANGE(""https://docs.google.com/spreadsheets/d/1YiDIE7Klmt8osgdapRqYWNr7iPGFSsiJqq46S7PYRE0/edit?usp=share_link"",""ระนอง!L173"")+IMPORTRANGE(""https"&amp;"://docs.google.com/spreadsheets/d/16o_4B-V7AWw_6E93bSpXj_XxVv1oVQctk-B6z1dNEWU/edit?usp=share_link"",""สงขลา!L173"")+IMPORTRANGE(""https://docs.google.com/spreadsheets/d/16cywr71Fj4fA5OGRHsZh30ZG2gwJhMAQv69oVBzYHv0/edit?usp=share_link"",""สตูล!L173"")+IMP"&amp;"ORTRANGE(""https://docs.google.com/spreadsheets/d/1vO9Sws6kMtrVtyvrAJptINXjK8TFBoX9xLYOVK_C8bQ/edit?usp=share_link"",""สุราษฎร์ธานี!L173"")"),0)</f>
        <v>0</v>
      </c>
      <c r="M173" s="45">
        <f ca="1">IFERROR(__xludf.DUMMYFUNCTION("IMPORTRANGE(""https://docs.google.com/spreadsheets/d/1kC41EOXpGBFOW658Fs3oD8beYlym0-zO54WY-2Qnp9I/edit?usp=share_link"",""กระบี่!M173"")
+IMPORTRANGE(""https://docs.google.com/spreadsheets/d/1FbzMZY_f3MDiEuK7RpCQKrilJ_kpX0Wm7QBZ1L7EjIU/edit?usp=share_link"&amp;""",""ชุมพร!M173"")+IMPORTRANGE(""https://docs.google.com/spreadsheets/d/1v5sN-00LrXuhBxw4dkh2GrG_z4l5oAqOdJRBCsUyMaM/edit?usp=share_link"",""ตรัง!M173"")+IMPORTRANGE(""https://docs.google.com/spreadsheets/d/1T5rRTzFc79aSIvqnzkZNvwPstq829QYz_xALlO1Z0s8/edi"&amp;"t?usp=share_link"",""นครศรีธรรมราช!M173"")+IMPORTRANGE(""https://docs.google.com/spreadsheets/d/1BeghqumK0IvCmRd2QOy6_afsZq7ZtAGrSnVJy2u7WmY/edit?usp=share_link"",""นราธิวาส!M173"")+IMPORTRANGE(""https://docs.google.com/spreadsheets/d/1IwnW3-jjRf74MCLW-6P"&amp;"iFwMUffRQXZwZA7YM609NmRc/edit?usp=share_link"",""ปัตตานี!M173"")+IMPORTRANGE(""https://docs.google.com/spreadsheets/d/1vl4QWbWdFruual5o_wdo6ZSqXZ_it806oja4CctTLKs/edit?usp=share_link"",""พังงา!M173"")+IMPORTRANGE(""https://docs.google.com/spreadsheets/d/1"&amp;"b6QssHQp2FoAPSMKHOy273KNzAomaIKhtdlvuZ_zDNE/edit?usp=share_link"",""พัทลุง!M173"")+IMPORTRANGE(""https://docs.google.com/spreadsheets/d/1o7UZe4_OqlqtLDHrj01Z2YFRSZDf1DMy1n3XViHaxRc/edit?usp=share_link"",""ภูเก็ต!M173"")+IMPORTRANGE(""https://docs.google.c"&amp;"om/spreadsheets/d/1ctPm1vUzcUCPuOj9-eoHUD85PqINFqUB0TjdSWmR5-c/edit?usp=share_link"",""ยะลา!M173"")+IMPORTRANGE(""https://docs.google.com/spreadsheets/d/1YiDIE7Klmt8osgdapRqYWNr7iPGFSsiJqq46S7PYRE0/edit?usp=share_link"",""ระนอง!M173"")+IMPORTRANGE(""https"&amp;"://docs.google.com/spreadsheets/d/16o_4B-V7AWw_6E93bSpXj_XxVv1oVQctk-B6z1dNEWU/edit?usp=share_link"",""สงขลา!M173"")+IMPORTRANGE(""https://docs.google.com/spreadsheets/d/16cywr71Fj4fA5OGRHsZh30ZG2gwJhMAQv69oVBzYHv0/edit?usp=share_link"",""สตูล!M173"")+IMP"&amp;"ORTRANGE(""https://docs.google.com/spreadsheets/d/1vO9Sws6kMtrVtyvrAJptINXjK8TFBoX9xLYOVK_C8bQ/edit?usp=share_link"",""สุราษฎร์ธานี!M173"")"),0)</f>
        <v>0</v>
      </c>
      <c r="N173" s="45">
        <f ca="1">IFERROR(__xludf.DUMMYFUNCTION("IMPORTRANGE(""https://docs.google.com/spreadsheets/d/1kC41EOXpGBFOW658Fs3oD8beYlym0-zO54WY-2Qnp9I/edit?usp=share_link"",""กระบี่!N173"")
+IMPORTRANGE(""https://docs.google.com/spreadsheets/d/1FbzMZY_f3MDiEuK7RpCQKrilJ_kpX0Wm7QBZ1L7EjIU/edit?usp=share_link"&amp;""",""ชุมพร!N173"")+IMPORTRANGE(""https://docs.google.com/spreadsheets/d/1v5sN-00LrXuhBxw4dkh2GrG_z4l5oAqOdJRBCsUyMaM/edit?usp=share_link"",""ตรัง!N173"")+IMPORTRANGE(""https://docs.google.com/spreadsheets/d/1T5rRTzFc79aSIvqnzkZNvwPstq829QYz_xALlO1Z0s8/edi"&amp;"t?usp=share_link"",""นครศรีธรรมราช!N173"")+IMPORTRANGE(""https://docs.google.com/spreadsheets/d/1BeghqumK0IvCmRd2QOy6_afsZq7ZtAGrSnVJy2u7WmY/edit?usp=share_link"",""นราธิวาส!N173"")+IMPORTRANGE(""https://docs.google.com/spreadsheets/d/1IwnW3-jjRf74MCLW-6P"&amp;"iFwMUffRQXZwZA7YM609NmRc/edit?usp=share_link"",""ปัตตานี!N173"")+IMPORTRANGE(""https://docs.google.com/spreadsheets/d/1vl4QWbWdFruual5o_wdo6ZSqXZ_it806oja4CctTLKs/edit?usp=share_link"",""พังงา!N173"")+IMPORTRANGE(""https://docs.google.com/spreadsheets/d/1"&amp;"b6QssHQp2FoAPSMKHOy273KNzAomaIKhtdlvuZ_zDNE/edit?usp=share_link"",""พัทลุง!N173"")+IMPORTRANGE(""https://docs.google.com/spreadsheets/d/1o7UZe4_OqlqtLDHrj01Z2YFRSZDf1DMy1n3XViHaxRc/edit?usp=share_link"",""ภูเก็ต!N173"")+IMPORTRANGE(""https://docs.google.c"&amp;"om/spreadsheets/d/1ctPm1vUzcUCPuOj9-eoHUD85PqINFqUB0TjdSWmR5-c/edit?usp=share_link"",""ยะลา!N173"")+IMPORTRANGE(""https://docs.google.com/spreadsheets/d/1YiDIE7Klmt8osgdapRqYWNr7iPGFSsiJqq46S7PYRE0/edit?usp=share_link"",""ระนอง!N173"")+IMPORTRANGE(""https"&amp;"://docs.google.com/spreadsheets/d/16o_4B-V7AWw_6E93bSpXj_XxVv1oVQctk-B6z1dNEWU/edit?usp=share_link"",""สงขลา!N173"")+IMPORTRANGE(""https://docs.google.com/spreadsheets/d/16cywr71Fj4fA5OGRHsZh30ZG2gwJhMAQv69oVBzYHv0/edit?usp=share_link"",""สตูล!N173"")+IMP"&amp;"ORTRANGE(""https://docs.google.com/spreadsheets/d/1vO9Sws6kMtrVtyvrAJptINXjK8TFBoX9xLYOVK_C8bQ/edit?usp=share_link"",""สุราษฎร์ธานี!N173"")"),0)</f>
        <v>0</v>
      </c>
      <c r="O173" s="45">
        <f t="shared" ca="1" si="104"/>
        <v>0</v>
      </c>
      <c r="P173" s="45">
        <f t="shared" ca="1" si="105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20.25" customHeight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0">I176</f>
        <v>139</v>
      </c>
      <c r="J174" s="261">
        <f t="shared" ca="1" si="110"/>
        <v>139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20.25" customHeight="1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20.25" customHeight="1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IFERROR(__xludf.DUMMYFUNCTION("IMPORTRANGE(""https://docs.google.com/spreadsheets/d/1kC41EOXpGBFOW658Fs3oD8beYlym0-zO54WY-2Qnp9I/edit?usp=share_link"",""กระบี่!I176"")
+IMPORTRANGE(""https://docs.google.com/spreadsheets/d/1FbzMZY_f3MDiEuK7RpCQKrilJ_kpX0Wm7QBZ1L7EjIU/edit?usp=share_link"&amp;""",""ชุมพร!I176"")+IMPORTRANGE(""https://docs.google.com/spreadsheets/d/1v5sN-00LrXuhBxw4dkh2GrG_z4l5oAqOdJRBCsUyMaM/edit?usp=share_link"",""ตรัง!I176"")+IMPORTRANGE(""https://docs.google.com/spreadsheets/d/1T5rRTzFc79aSIvqnzkZNvwPstq829QYz_xALlO1Z0s8/edi"&amp;"t?usp=share_link"",""นครศรีธรรมราช!I176"")+IMPORTRANGE(""https://docs.google.com/spreadsheets/d/1BeghqumK0IvCmRd2QOy6_afsZq7ZtAGrSnVJy2u7WmY/edit?usp=share_link"",""นราธิวาส!I176"")+IMPORTRANGE(""https://docs.google.com/spreadsheets/d/1IwnW3-jjRf74MCLW-6P"&amp;"iFwMUffRQXZwZA7YM609NmRc/edit?usp=share_link"",""ปัตตานี!I176"")+IMPORTRANGE(""https://docs.google.com/spreadsheets/d/1vl4QWbWdFruual5o_wdo6ZSqXZ_it806oja4CctTLKs/edit?usp=share_link"",""พังงา!I176"")+IMPORTRANGE(""https://docs.google.com/spreadsheets/d/1"&amp;"b6QssHQp2FoAPSMKHOy273KNzAomaIKhtdlvuZ_zDNE/edit?usp=share_link"",""พัทลุง!I176"")+IMPORTRANGE(""https://docs.google.com/spreadsheets/d/1o7UZe4_OqlqtLDHrj01Z2YFRSZDf1DMy1n3XViHaxRc/edit?usp=share_link"",""ภูเก็ต!I176"")+IMPORTRANGE(""https://docs.google.c"&amp;"om/spreadsheets/d/1ctPm1vUzcUCPuOj9-eoHUD85PqINFqUB0TjdSWmR5-c/edit?usp=share_link"",""ยะลา!I176"")+IMPORTRANGE(""https://docs.google.com/spreadsheets/d/1YiDIE7Klmt8osgdapRqYWNr7iPGFSsiJqq46S7PYRE0/edit?usp=share_link"",""ระนอง!I176"")+IMPORTRANGE(""https"&amp;"://docs.google.com/spreadsheets/d/16o_4B-V7AWw_6E93bSpXj_XxVv1oVQctk-B6z1dNEWU/edit?usp=share_link"",""สงขลา!I176"")+IMPORTRANGE(""https://docs.google.com/spreadsheets/d/16cywr71Fj4fA5OGRHsZh30ZG2gwJhMAQv69oVBzYHv0/edit?usp=share_link"",""สตูล!I176"")+IMP"&amp;"ORTRANGE(""https://docs.google.com/spreadsheets/d/1vO9Sws6kMtrVtyvrAJptINXjK8TFBoX9xLYOVK_C8bQ/edit?usp=share_link"",""สุราษฎร์ธานี!I176"")"),139)</f>
        <v>139</v>
      </c>
      <c r="J176" s="183">
        <f ca="1">IFERROR(__xludf.DUMMYFUNCTION("IMPORTRANGE(""https://docs.google.com/spreadsheets/d/1kC41EOXpGBFOW658Fs3oD8beYlym0-zO54WY-2Qnp9I/edit?usp=share_link"",""กระบี่!J176"")
+IMPORTRANGE(""https://docs.google.com/spreadsheets/d/1FbzMZY_f3MDiEuK7RpCQKrilJ_kpX0Wm7QBZ1L7EjIU/edit?usp=share_link"&amp;""",""ชุมพร!J176"")+IMPORTRANGE(""https://docs.google.com/spreadsheets/d/1v5sN-00LrXuhBxw4dkh2GrG_z4l5oAqOdJRBCsUyMaM/edit?usp=share_link"",""ตรัง!J176"")+IMPORTRANGE(""https://docs.google.com/spreadsheets/d/1T5rRTzFc79aSIvqnzkZNvwPstq829QYz_xALlO1Z0s8/edi"&amp;"t?usp=share_link"",""นครศรีธรรมราช!J176"")+IMPORTRANGE(""https://docs.google.com/spreadsheets/d/1BeghqumK0IvCmRd2QOy6_afsZq7ZtAGrSnVJy2u7WmY/edit?usp=share_link"",""นราธิวาส!J176"")+IMPORTRANGE(""https://docs.google.com/spreadsheets/d/1IwnW3-jjRf74MCLW-6P"&amp;"iFwMUffRQXZwZA7YM609NmRc/edit?usp=share_link"",""ปัตตานี!J176"")+IMPORTRANGE(""https://docs.google.com/spreadsheets/d/1vl4QWbWdFruual5o_wdo6ZSqXZ_it806oja4CctTLKs/edit?usp=share_link"",""พังงา!J176"")+IMPORTRANGE(""https://docs.google.com/spreadsheets/d/1"&amp;"b6QssHQp2FoAPSMKHOy273KNzAomaIKhtdlvuZ_zDNE/edit?usp=share_link"",""พัทลุง!J176"")+IMPORTRANGE(""https://docs.google.com/spreadsheets/d/1o7UZe4_OqlqtLDHrj01Z2YFRSZDf1DMy1n3XViHaxRc/edit?usp=share_link"",""ภูเก็ต!J176"")+IMPORTRANGE(""https://docs.google.c"&amp;"om/spreadsheets/d/1ctPm1vUzcUCPuOj9-eoHUD85PqINFqUB0TjdSWmR5-c/edit?usp=share_link"",""ยะลา!J176"")+IMPORTRANGE(""https://docs.google.com/spreadsheets/d/1YiDIE7Klmt8osgdapRqYWNr7iPGFSsiJqq46S7PYRE0/edit?usp=share_link"",""ระนอง!J176"")+IMPORTRANGE(""https"&amp;"://docs.google.com/spreadsheets/d/16o_4B-V7AWw_6E93bSpXj_XxVv1oVQctk-B6z1dNEWU/edit?usp=share_link"",""สงขลา!J176"")+IMPORTRANGE(""https://docs.google.com/spreadsheets/d/16cywr71Fj4fA5OGRHsZh30ZG2gwJhMAQv69oVBzYHv0/edit?usp=share_link"",""สตูล!J176"")+IMP"&amp;"ORTRANGE(""https://docs.google.com/spreadsheets/d/1vO9Sws6kMtrVtyvrAJptINXjK8TFBoX9xLYOVK_C8bQ/edit?usp=share_link"",""สุราษฎร์ธานี!J176"")"),139)</f>
        <v>139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20.25" hidden="1" customHeight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20.25" hidden="1" customHeight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20.25" hidden="1" customHeight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20.25" customHeight="1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1">I225+I226</f>
        <v>140</v>
      </c>
      <c r="J180" s="253">
        <f t="shared" ca="1" si="111"/>
        <v>150</v>
      </c>
      <c r="K180" s="254">
        <f ca="1">IF(I180&gt;0,J180*100/I180,0)</f>
        <v>107.14285714285714</v>
      </c>
      <c r="L180" s="255"/>
      <c r="M180" s="255"/>
      <c r="N180" s="255"/>
      <c r="O180" s="255"/>
      <c r="P180" s="255"/>
    </row>
    <row r="181" spans="1:26" ht="20.25" customHeight="1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2">L182+L183</f>
        <v>2070000</v>
      </c>
      <c r="M181" s="155">
        <f t="shared" ca="1" si="112"/>
        <v>1698905</v>
      </c>
      <c r="N181" s="155">
        <f t="shared" ca="1" si="112"/>
        <v>1117694.93</v>
      </c>
      <c r="O181" s="155">
        <f t="shared" ref="O181:O189" ca="1" si="113">IF(L181&gt;0,N181*100/L181,0)</f>
        <v>53.99492415458937</v>
      </c>
      <c r="P181" s="155">
        <f t="shared" ref="P181:P189" ca="1" si="114">IF(M181&gt;0,N181*100/M181,0)</f>
        <v>65.789136532060354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20.25" hidden="1" customHeight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5">L185+L188</f>
        <v>0</v>
      </c>
      <c r="M182" s="45">
        <f t="shared" si="115"/>
        <v>0</v>
      </c>
      <c r="N182" s="45">
        <f t="shared" si="115"/>
        <v>0</v>
      </c>
      <c r="O182" s="45">
        <f t="shared" si="113"/>
        <v>0</v>
      </c>
      <c r="P182" s="45">
        <f t="shared" si="11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20.25" hidden="1" customHeight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6">L186+L189</f>
        <v>2070000</v>
      </c>
      <c r="M183" s="45">
        <f t="shared" ca="1" si="116"/>
        <v>1698905</v>
      </c>
      <c r="N183" s="45">
        <f t="shared" ca="1" si="116"/>
        <v>1117694.93</v>
      </c>
      <c r="O183" s="45">
        <f t="shared" ca="1" si="113"/>
        <v>53.99492415458937</v>
      </c>
      <c r="P183" s="45">
        <f t="shared" ca="1" si="114"/>
        <v>65.789136532060354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20.25" customHeight="1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7">L185+L186</f>
        <v>2070000</v>
      </c>
      <c r="M184" s="38">
        <f t="shared" ca="1" si="117"/>
        <v>1698905</v>
      </c>
      <c r="N184" s="38">
        <f t="shared" ca="1" si="117"/>
        <v>1117694.93</v>
      </c>
      <c r="O184" s="38">
        <f t="shared" ca="1" si="113"/>
        <v>53.99492415458937</v>
      </c>
      <c r="P184" s="38">
        <f t="shared" ca="1" si="114"/>
        <v>65.789136532060354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20.25" hidden="1" customHeight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3"/>
        <v>0</v>
      </c>
      <c r="P185" s="45">
        <f t="shared" si="11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20.25" hidden="1" customHeight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IFERROR(__xludf.DUMMYFUNCTION("IMPORTRANGE(""https://docs.google.com/spreadsheets/d/1kC41EOXpGBFOW658Fs3oD8beYlym0-zO54WY-2Qnp9I/edit?usp=share_link"",""กระบี่!L186"")
+IMPORTRANGE(""https://docs.google.com/spreadsheets/d/1FbzMZY_f3MDiEuK7RpCQKrilJ_kpX0Wm7QBZ1L7EjIU/edit?usp=share_link"&amp;""",""ชุมพร!L186"")+IMPORTRANGE(""https://docs.google.com/spreadsheets/d/1v5sN-00LrXuhBxw4dkh2GrG_z4l5oAqOdJRBCsUyMaM/edit?usp=share_link"",""ตรัง!L186"")+IMPORTRANGE(""https://docs.google.com/spreadsheets/d/1T5rRTzFc79aSIvqnzkZNvwPstq829QYz_xALlO1Z0s8/edi"&amp;"t?usp=share_link"",""นครศรีธรรมราช!L186"")+IMPORTRANGE(""https://docs.google.com/spreadsheets/d/1BeghqumK0IvCmRd2QOy6_afsZq7ZtAGrSnVJy2u7WmY/edit?usp=share_link"",""นราธิวาส!L186"")+IMPORTRANGE(""https://docs.google.com/spreadsheets/d/1IwnW3-jjRf74MCLW-6P"&amp;"iFwMUffRQXZwZA7YM609NmRc/edit?usp=share_link"",""ปัตตานี!L186"")+IMPORTRANGE(""https://docs.google.com/spreadsheets/d/1vl4QWbWdFruual5o_wdo6ZSqXZ_it806oja4CctTLKs/edit?usp=share_link"",""พังงา!L186"")+IMPORTRANGE(""https://docs.google.com/spreadsheets/d/1"&amp;"b6QssHQp2FoAPSMKHOy273KNzAomaIKhtdlvuZ_zDNE/edit?usp=share_link"",""พัทลุง!L186"")+IMPORTRANGE(""https://docs.google.com/spreadsheets/d/1o7UZe4_OqlqtLDHrj01Z2YFRSZDf1DMy1n3XViHaxRc/edit?usp=share_link"",""ภูเก็ต!L186"")+IMPORTRANGE(""https://docs.google.c"&amp;"om/spreadsheets/d/1ctPm1vUzcUCPuOj9-eoHUD85PqINFqUB0TjdSWmR5-c/edit?usp=share_link"",""ยะลา!L186"")+IMPORTRANGE(""https://docs.google.com/spreadsheets/d/1YiDIE7Klmt8osgdapRqYWNr7iPGFSsiJqq46S7PYRE0/edit?usp=share_link"",""ระนอง!L186"")+IMPORTRANGE(""https"&amp;"://docs.google.com/spreadsheets/d/16o_4B-V7AWw_6E93bSpXj_XxVv1oVQctk-B6z1dNEWU/edit?usp=share_link"",""สงขลา!L186"")+IMPORTRANGE(""https://docs.google.com/spreadsheets/d/16cywr71Fj4fA5OGRHsZh30ZG2gwJhMAQv69oVBzYHv0/edit?usp=share_link"",""สตูล!L186"")+IMP"&amp;"ORTRANGE(""https://docs.google.com/spreadsheets/d/1vO9Sws6kMtrVtyvrAJptINXjK8TFBoX9xLYOVK_C8bQ/edit?usp=share_link"",""สุราษฎร์ธานี!L186"")"),2070000)</f>
        <v>2070000</v>
      </c>
      <c r="M186" s="45">
        <f ca="1">IFERROR(__xludf.DUMMYFUNCTION("IMPORTRANGE(""https://docs.google.com/spreadsheets/d/1kC41EOXpGBFOW658Fs3oD8beYlym0-zO54WY-2Qnp9I/edit?usp=share_link"",""กระบี่!M186"")
+IMPORTRANGE(""https://docs.google.com/spreadsheets/d/1FbzMZY_f3MDiEuK7RpCQKrilJ_kpX0Wm7QBZ1L7EjIU/edit?usp=share_link"&amp;""",""ชุมพร!M186"")+IMPORTRANGE(""https://docs.google.com/spreadsheets/d/1v5sN-00LrXuhBxw4dkh2GrG_z4l5oAqOdJRBCsUyMaM/edit?usp=share_link"",""ตรัง!M186"")+IMPORTRANGE(""https://docs.google.com/spreadsheets/d/1T5rRTzFc79aSIvqnzkZNvwPstq829QYz_xALlO1Z0s8/edi"&amp;"t?usp=share_link"",""นครศรีธรรมราช!M186"")+IMPORTRANGE(""https://docs.google.com/spreadsheets/d/1BeghqumK0IvCmRd2QOy6_afsZq7ZtAGrSnVJy2u7WmY/edit?usp=share_link"",""นราธิวาส!M186"")+IMPORTRANGE(""https://docs.google.com/spreadsheets/d/1IwnW3-jjRf74MCLW-6P"&amp;"iFwMUffRQXZwZA7YM609NmRc/edit?usp=share_link"",""ปัตตานี!M186"")+IMPORTRANGE(""https://docs.google.com/spreadsheets/d/1vl4QWbWdFruual5o_wdo6ZSqXZ_it806oja4CctTLKs/edit?usp=share_link"",""พังงา!M186"")+IMPORTRANGE(""https://docs.google.com/spreadsheets/d/1"&amp;"b6QssHQp2FoAPSMKHOy273KNzAomaIKhtdlvuZ_zDNE/edit?usp=share_link"",""พัทลุง!M186"")+IMPORTRANGE(""https://docs.google.com/spreadsheets/d/1o7UZe4_OqlqtLDHrj01Z2YFRSZDf1DMy1n3XViHaxRc/edit?usp=share_link"",""ภูเก็ต!M186"")+IMPORTRANGE(""https://docs.google.c"&amp;"om/spreadsheets/d/1ctPm1vUzcUCPuOj9-eoHUD85PqINFqUB0TjdSWmR5-c/edit?usp=share_link"",""ยะลา!M186"")+IMPORTRANGE(""https://docs.google.com/spreadsheets/d/1YiDIE7Klmt8osgdapRqYWNr7iPGFSsiJqq46S7PYRE0/edit?usp=share_link"",""ระนอง!M186"")+IMPORTRANGE(""https"&amp;"://docs.google.com/spreadsheets/d/16o_4B-V7AWw_6E93bSpXj_XxVv1oVQctk-B6z1dNEWU/edit?usp=share_link"",""สงขลา!M186"")+IMPORTRANGE(""https://docs.google.com/spreadsheets/d/16cywr71Fj4fA5OGRHsZh30ZG2gwJhMAQv69oVBzYHv0/edit?usp=share_link"",""สตูล!M186"")+IMP"&amp;"ORTRANGE(""https://docs.google.com/spreadsheets/d/1vO9Sws6kMtrVtyvrAJptINXjK8TFBoX9xLYOVK_C8bQ/edit?usp=share_link"",""สุราษฎร์ธานี!M186"")"),1698905)</f>
        <v>1698905</v>
      </c>
      <c r="N186" s="45">
        <f ca="1">IFERROR(__xludf.DUMMYFUNCTION("IMPORTRANGE(""https://docs.google.com/spreadsheets/d/1kC41EOXpGBFOW658Fs3oD8beYlym0-zO54WY-2Qnp9I/edit?usp=share_link"",""กระบี่!N186"")
+IMPORTRANGE(""https://docs.google.com/spreadsheets/d/1FbzMZY_f3MDiEuK7RpCQKrilJ_kpX0Wm7QBZ1L7EjIU/edit?usp=share_link"&amp;""",""ชุมพร!N186"")+IMPORTRANGE(""https://docs.google.com/spreadsheets/d/1v5sN-00LrXuhBxw4dkh2GrG_z4l5oAqOdJRBCsUyMaM/edit?usp=share_link"",""ตรัง!N186"")+IMPORTRANGE(""https://docs.google.com/spreadsheets/d/1T5rRTzFc79aSIvqnzkZNvwPstq829QYz_xALlO1Z0s8/edi"&amp;"t?usp=share_link"",""นครศรีธรรมราช!N186"")+IMPORTRANGE(""https://docs.google.com/spreadsheets/d/1BeghqumK0IvCmRd2QOy6_afsZq7ZtAGrSnVJy2u7WmY/edit?usp=share_link"",""นราธิวาส!N186"")+IMPORTRANGE(""https://docs.google.com/spreadsheets/d/1IwnW3-jjRf74MCLW-6P"&amp;"iFwMUffRQXZwZA7YM609NmRc/edit?usp=share_link"",""ปัตตานี!N186"")+IMPORTRANGE(""https://docs.google.com/spreadsheets/d/1vl4QWbWdFruual5o_wdo6ZSqXZ_it806oja4CctTLKs/edit?usp=share_link"",""พังงา!N186"")+IMPORTRANGE(""https://docs.google.com/spreadsheets/d/1"&amp;"b6QssHQp2FoAPSMKHOy273KNzAomaIKhtdlvuZ_zDNE/edit?usp=share_link"",""พัทลุง!N186"")+IMPORTRANGE(""https://docs.google.com/spreadsheets/d/1o7UZe4_OqlqtLDHrj01Z2YFRSZDf1DMy1n3XViHaxRc/edit?usp=share_link"",""ภูเก็ต!N186"")+IMPORTRANGE(""https://docs.google.c"&amp;"om/spreadsheets/d/1ctPm1vUzcUCPuOj9-eoHUD85PqINFqUB0TjdSWmR5-c/edit?usp=share_link"",""ยะลา!N186"")+IMPORTRANGE(""https://docs.google.com/spreadsheets/d/1YiDIE7Klmt8osgdapRqYWNr7iPGFSsiJqq46S7PYRE0/edit?usp=share_link"",""ระนอง!N186"")+IMPORTRANGE(""https"&amp;"://docs.google.com/spreadsheets/d/16o_4B-V7AWw_6E93bSpXj_XxVv1oVQctk-B6z1dNEWU/edit?usp=share_link"",""สงขลา!N186"")+IMPORTRANGE(""https://docs.google.com/spreadsheets/d/16cywr71Fj4fA5OGRHsZh30ZG2gwJhMAQv69oVBzYHv0/edit?usp=share_link"",""สตูล!N186"")+IMP"&amp;"ORTRANGE(""https://docs.google.com/spreadsheets/d/1vO9Sws6kMtrVtyvrAJptINXjK8TFBoX9xLYOVK_C8bQ/edit?usp=share_link"",""สุราษฎร์ธานี!N186"")"),1117694.93)</f>
        <v>1117694.93</v>
      </c>
      <c r="O186" s="45">
        <f t="shared" ca="1" si="113"/>
        <v>53.99492415458937</v>
      </c>
      <c r="P186" s="45">
        <f t="shared" ca="1" si="114"/>
        <v>65.789136532060354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20.25" customHeight="1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8">L188+L189</f>
        <v>0</v>
      </c>
      <c r="M187" s="38">
        <f t="shared" ca="1" si="118"/>
        <v>0</v>
      </c>
      <c r="N187" s="38">
        <f t="shared" ca="1" si="118"/>
        <v>0</v>
      </c>
      <c r="O187" s="38">
        <f t="shared" ca="1" si="113"/>
        <v>0</v>
      </c>
      <c r="P187" s="38">
        <f t="shared" ca="1" si="11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20.25" hidden="1" customHeight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3"/>
        <v>0</v>
      </c>
      <c r="P188" s="45">
        <f t="shared" si="11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20.25" hidden="1" customHeight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IFERROR(__xludf.DUMMYFUNCTION("IMPORTRANGE(""https://docs.google.com/spreadsheets/d/1kC41EOXpGBFOW658Fs3oD8beYlym0-zO54WY-2Qnp9I/edit?usp=share_link"",""กระบี่!L189"")
+IMPORTRANGE(""https://docs.google.com/spreadsheets/d/1FbzMZY_f3MDiEuK7RpCQKrilJ_kpX0Wm7QBZ1L7EjIU/edit?usp=share_link"&amp;""",""ชุมพร!L189"")+IMPORTRANGE(""https://docs.google.com/spreadsheets/d/1v5sN-00LrXuhBxw4dkh2GrG_z4l5oAqOdJRBCsUyMaM/edit?usp=share_link"",""ตรัง!L189"")+IMPORTRANGE(""https://docs.google.com/spreadsheets/d/1T5rRTzFc79aSIvqnzkZNvwPstq829QYz_xALlO1Z0s8/edi"&amp;"t?usp=share_link"",""นครศรีธรรมราช!L189"")+IMPORTRANGE(""https://docs.google.com/spreadsheets/d/1BeghqumK0IvCmRd2QOy6_afsZq7ZtAGrSnVJy2u7WmY/edit?usp=share_link"",""นราธิวาส!L189"")+IMPORTRANGE(""https://docs.google.com/spreadsheets/d/1IwnW3-jjRf74MCLW-6P"&amp;"iFwMUffRQXZwZA7YM609NmRc/edit?usp=share_link"",""ปัตตานี!L189"")+IMPORTRANGE(""https://docs.google.com/spreadsheets/d/1vl4QWbWdFruual5o_wdo6ZSqXZ_it806oja4CctTLKs/edit?usp=share_link"",""พังงา!L189"")+IMPORTRANGE(""https://docs.google.com/spreadsheets/d/1"&amp;"b6QssHQp2FoAPSMKHOy273KNzAomaIKhtdlvuZ_zDNE/edit?usp=share_link"",""พัทลุง!L189"")+IMPORTRANGE(""https://docs.google.com/spreadsheets/d/1o7UZe4_OqlqtLDHrj01Z2YFRSZDf1DMy1n3XViHaxRc/edit?usp=share_link"",""ภูเก็ต!L189"")+IMPORTRANGE(""https://docs.google.c"&amp;"om/spreadsheets/d/1ctPm1vUzcUCPuOj9-eoHUD85PqINFqUB0TjdSWmR5-c/edit?usp=share_link"",""ยะลา!L189"")+IMPORTRANGE(""https://docs.google.com/spreadsheets/d/1YiDIE7Klmt8osgdapRqYWNr7iPGFSsiJqq46S7PYRE0/edit?usp=share_link"",""ระนอง!L189"")+IMPORTRANGE(""https"&amp;"://docs.google.com/spreadsheets/d/16o_4B-V7AWw_6E93bSpXj_XxVv1oVQctk-B6z1dNEWU/edit?usp=share_link"",""สงขลา!L189"")+IMPORTRANGE(""https://docs.google.com/spreadsheets/d/16cywr71Fj4fA5OGRHsZh30ZG2gwJhMAQv69oVBzYHv0/edit?usp=share_link"",""สตูล!L189"")+IMP"&amp;"ORTRANGE(""https://docs.google.com/spreadsheets/d/1vO9Sws6kMtrVtyvrAJptINXjK8TFBoX9xLYOVK_C8bQ/edit?usp=share_link"",""สุราษฎร์ธานี!L189"")"),0)</f>
        <v>0</v>
      </c>
      <c r="M189" s="45">
        <f ca="1">IFERROR(__xludf.DUMMYFUNCTION("IMPORTRANGE(""https://docs.google.com/spreadsheets/d/1kC41EOXpGBFOW658Fs3oD8beYlym0-zO54WY-2Qnp9I/edit?usp=share_link"",""กระบี่!M189"")
+IMPORTRANGE(""https://docs.google.com/spreadsheets/d/1FbzMZY_f3MDiEuK7RpCQKrilJ_kpX0Wm7QBZ1L7EjIU/edit?usp=share_link"&amp;""",""ชุมพร!M189"")+IMPORTRANGE(""https://docs.google.com/spreadsheets/d/1v5sN-00LrXuhBxw4dkh2GrG_z4l5oAqOdJRBCsUyMaM/edit?usp=share_link"",""ตรัง!M189"")+IMPORTRANGE(""https://docs.google.com/spreadsheets/d/1T5rRTzFc79aSIvqnzkZNvwPstq829QYz_xALlO1Z0s8/edi"&amp;"t?usp=share_link"",""นครศรีธรรมราช!M189"")+IMPORTRANGE(""https://docs.google.com/spreadsheets/d/1BeghqumK0IvCmRd2QOy6_afsZq7ZtAGrSnVJy2u7WmY/edit?usp=share_link"",""นราธิวาส!M189"")+IMPORTRANGE(""https://docs.google.com/spreadsheets/d/1IwnW3-jjRf74MCLW-6P"&amp;"iFwMUffRQXZwZA7YM609NmRc/edit?usp=share_link"",""ปัตตานี!M189"")+IMPORTRANGE(""https://docs.google.com/spreadsheets/d/1vl4QWbWdFruual5o_wdo6ZSqXZ_it806oja4CctTLKs/edit?usp=share_link"",""พังงา!M189"")+IMPORTRANGE(""https://docs.google.com/spreadsheets/d/1"&amp;"b6QssHQp2FoAPSMKHOy273KNzAomaIKhtdlvuZ_zDNE/edit?usp=share_link"",""พัทลุง!M189"")+IMPORTRANGE(""https://docs.google.com/spreadsheets/d/1o7UZe4_OqlqtLDHrj01Z2YFRSZDf1DMy1n3XViHaxRc/edit?usp=share_link"",""ภูเก็ต!M189"")+IMPORTRANGE(""https://docs.google.c"&amp;"om/spreadsheets/d/1ctPm1vUzcUCPuOj9-eoHUD85PqINFqUB0TjdSWmR5-c/edit?usp=share_link"",""ยะลา!M189"")+IMPORTRANGE(""https://docs.google.com/spreadsheets/d/1YiDIE7Klmt8osgdapRqYWNr7iPGFSsiJqq46S7PYRE0/edit?usp=share_link"",""ระนอง!M189"")+IMPORTRANGE(""https"&amp;"://docs.google.com/spreadsheets/d/16o_4B-V7AWw_6E93bSpXj_XxVv1oVQctk-B6z1dNEWU/edit?usp=share_link"",""สงขลา!M189"")+IMPORTRANGE(""https://docs.google.com/spreadsheets/d/16cywr71Fj4fA5OGRHsZh30ZG2gwJhMAQv69oVBzYHv0/edit?usp=share_link"",""สตูล!M189"")+IMP"&amp;"ORTRANGE(""https://docs.google.com/spreadsheets/d/1vO9Sws6kMtrVtyvrAJptINXjK8TFBoX9xLYOVK_C8bQ/edit?usp=share_link"",""สุราษฎร์ธานี!M189"")"),0)</f>
        <v>0</v>
      </c>
      <c r="N189" s="45">
        <f ca="1">IFERROR(__xludf.DUMMYFUNCTION("IMPORTRANGE(""https://docs.google.com/spreadsheets/d/1kC41EOXpGBFOW658Fs3oD8beYlym0-zO54WY-2Qnp9I/edit?usp=share_link"",""กระบี่!N189"")
+IMPORTRANGE(""https://docs.google.com/spreadsheets/d/1FbzMZY_f3MDiEuK7RpCQKrilJ_kpX0Wm7QBZ1L7EjIU/edit?usp=share_link"&amp;""",""ชุมพร!N189"")+IMPORTRANGE(""https://docs.google.com/spreadsheets/d/1v5sN-00LrXuhBxw4dkh2GrG_z4l5oAqOdJRBCsUyMaM/edit?usp=share_link"",""ตรัง!N189"")+IMPORTRANGE(""https://docs.google.com/spreadsheets/d/1T5rRTzFc79aSIvqnzkZNvwPstq829QYz_xALlO1Z0s8/edi"&amp;"t?usp=share_link"",""นครศรีธรรมราช!N189"")+IMPORTRANGE(""https://docs.google.com/spreadsheets/d/1BeghqumK0IvCmRd2QOy6_afsZq7ZtAGrSnVJy2u7WmY/edit?usp=share_link"",""นราธิวาส!N189"")+IMPORTRANGE(""https://docs.google.com/spreadsheets/d/1IwnW3-jjRf74MCLW-6P"&amp;"iFwMUffRQXZwZA7YM609NmRc/edit?usp=share_link"",""ปัตตานี!N189"")+IMPORTRANGE(""https://docs.google.com/spreadsheets/d/1vl4QWbWdFruual5o_wdo6ZSqXZ_it806oja4CctTLKs/edit?usp=share_link"",""พังงา!N189"")+IMPORTRANGE(""https://docs.google.com/spreadsheets/d/1"&amp;"b6QssHQp2FoAPSMKHOy273KNzAomaIKhtdlvuZ_zDNE/edit?usp=share_link"",""พัทลุง!N189"")+IMPORTRANGE(""https://docs.google.com/spreadsheets/d/1o7UZe4_OqlqtLDHrj01Z2YFRSZDf1DMy1n3XViHaxRc/edit?usp=share_link"",""ภูเก็ต!N189"")+IMPORTRANGE(""https://docs.google.c"&amp;"om/spreadsheets/d/1ctPm1vUzcUCPuOj9-eoHUD85PqINFqUB0TjdSWmR5-c/edit?usp=share_link"",""ยะลา!N189"")+IMPORTRANGE(""https://docs.google.com/spreadsheets/d/1YiDIE7Klmt8osgdapRqYWNr7iPGFSsiJqq46S7PYRE0/edit?usp=share_link"",""ระนอง!N189"")+IMPORTRANGE(""https"&amp;"://docs.google.com/spreadsheets/d/16o_4B-V7AWw_6E93bSpXj_XxVv1oVQctk-B6z1dNEWU/edit?usp=share_link"",""สงขลา!N189"")+IMPORTRANGE(""https://docs.google.com/spreadsheets/d/16cywr71Fj4fA5OGRHsZh30ZG2gwJhMAQv69oVBzYHv0/edit?usp=share_link"",""สตูล!N189"")+IMP"&amp;"ORTRANGE(""https://docs.google.com/spreadsheets/d/1vO9Sws6kMtrVtyvrAJptINXjK8TFBoX9xLYOVK_C8bQ/edit?usp=share_link"",""สุราษฎร์ธานี!N189"")"),0)</f>
        <v>0</v>
      </c>
      <c r="O189" s="45">
        <f t="shared" ca="1" si="113"/>
        <v>0</v>
      </c>
      <c r="P189" s="45">
        <f t="shared" ca="1" si="11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20.25" customHeight="1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19">I193</f>
        <v>56</v>
      </c>
      <c r="J190" s="272">
        <f t="shared" ca="1" si="119"/>
        <v>27</v>
      </c>
      <c r="K190" s="273">
        <f ca="1">IF(I190&gt;0,J190*100/I190,0)</f>
        <v>48.214285714285715</v>
      </c>
      <c r="L190" s="262"/>
      <c r="M190" s="262"/>
      <c r="N190" s="262"/>
      <c r="O190" s="262"/>
      <c r="P190" s="262"/>
    </row>
    <row r="191" spans="1:26" ht="20.25" customHeight="1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IFERROR(__xludf.DUMMYFUNCTION("IMPORTRANGE(""https://docs.google.com/spreadsheets/d/1kC41EOXpGBFOW658Fs3oD8beYlym0-zO54WY-2Qnp9I/edit?usp=share_link"",""กระบี่!L191"")
+IMPORTRANGE(""https://docs.google.com/spreadsheets/d/1FbzMZY_f3MDiEuK7RpCQKrilJ_kpX0Wm7QBZ1L7EjIU/edit?usp=share_link"&amp;""",""ชุมพร!L191"")+IMPORTRANGE(""https://docs.google.com/spreadsheets/d/1v5sN-00LrXuhBxw4dkh2GrG_z4l5oAqOdJRBCsUyMaM/edit?usp=share_link"",""ตรัง!L191"")+IMPORTRANGE(""https://docs.google.com/spreadsheets/d/1T5rRTzFc79aSIvqnzkZNvwPstq829QYz_xALlO1Z0s8/edi"&amp;"t?usp=share_link"",""นครศรีธรรมราช!L191"")+IMPORTRANGE(""https://docs.google.com/spreadsheets/d/1BeghqumK0IvCmRd2QOy6_afsZq7ZtAGrSnVJy2u7WmY/edit?usp=share_link"",""นราธิวาส!L191"")+IMPORTRANGE(""https://docs.google.com/spreadsheets/d/1IwnW3-jjRf74MCLW-6P"&amp;"iFwMUffRQXZwZA7YM609NmRc/edit?usp=share_link"",""ปัตตานี!L191"")+IMPORTRANGE(""https://docs.google.com/spreadsheets/d/1vl4QWbWdFruual5o_wdo6ZSqXZ_it806oja4CctTLKs/edit?usp=share_link"",""พังงา!L191"")+IMPORTRANGE(""https://docs.google.com/spreadsheets/d/1"&amp;"b6QssHQp2FoAPSMKHOy273KNzAomaIKhtdlvuZ_zDNE/edit?usp=share_link"",""พัทลุง!L191"")+IMPORTRANGE(""https://docs.google.com/spreadsheets/d/1o7UZe4_OqlqtLDHrj01Z2YFRSZDf1DMy1n3XViHaxRc/edit?usp=share_link"",""ภูเก็ต!L191"")+IMPORTRANGE(""https://docs.google.c"&amp;"om/spreadsheets/d/1ctPm1vUzcUCPuOj9-eoHUD85PqINFqUB0TjdSWmR5-c/edit?usp=share_link"",""ยะลา!L191"")+IMPORTRANGE(""https://docs.google.com/spreadsheets/d/1YiDIE7Klmt8osgdapRqYWNr7iPGFSsiJqq46S7PYRE0/edit?usp=share_link"",""ระนอง!L191"")+IMPORTRANGE(""https"&amp;"://docs.google.com/spreadsheets/d/16o_4B-V7AWw_6E93bSpXj_XxVv1oVQctk-B6z1dNEWU/edit?usp=share_link"",""สงขลา!L191"")+IMPORTRANGE(""https://docs.google.com/spreadsheets/d/16cywr71Fj4fA5OGRHsZh30ZG2gwJhMAQv69oVBzYHv0/edit?usp=share_link"",""สตูล!L191"")+IMP"&amp;"ORTRANGE(""https://docs.google.com/spreadsheets/d/1vO9Sws6kMtrVtyvrAJptINXjK8TFBoX9xLYOVK_C8bQ/edit?usp=share_link"",""สุราษฎร์ธานี!L191"")"),84000)</f>
        <v>84000</v>
      </c>
      <c r="M191" s="155"/>
      <c r="N191" s="276">
        <f ca="1">IFERROR(__xludf.DUMMYFUNCTION("IMPORTRANGE(""https://docs.google.com/spreadsheets/d/1kC41EOXpGBFOW658Fs3oD8beYlym0-zO54WY-2Qnp9I/edit?usp=share_link"",""กระบี่!N191"")
+IMPORTRANGE(""https://docs.google.com/spreadsheets/d/1FbzMZY_f3MDiEuK7RpCQKrilJ_kpX0Wm7QBZ1L7EjIU/edit?usp=share_link"&amp;""",""ชุมพร!N191"")+IMPORTRANGE(""https://docs.google.com/spreadsheets/d/1v5sN-00LrXuhBxw4dkh2GrG_z4l5oAqOdJRBCsUyMaM/edit?usp=share_link"",""ตรัง!N191"")+IMPORTRANGE(""https://docs.google.com/spreadsheets/d/1T5rRTzFc79aSIvqnzkZNvwPstq829QYz_xALlO1Z0s8/edi"&amp;"t?usp=share_link"",""นครศรีธรรมราช!N191"")+IMPORTRANGE(""https://docs.google.com/spreadsheets/d/1BeghqumK0IvCmRd2QOy6_afsZq7ZtAGrSnVJy2u7WmY/edit?usp=share_link"",""นราธิวาส!N191"")+IMPORTRANGE(""https://docs.google.com/spreadsheets/d/1IwnW3-jjRf74MCLW-6P"&amp;"iFwMUffRQXZwZA7YM609NmRc/edit?usp=share_link"",""ปัตตานี!N191"")+IMPORTRANGE(""https://docs.google.com/spreadsheets/d/1vl4QWbWdFruual5o_wdo6ZSqXZ_it806oja4CctTLKs/edit?usp=share_link"",""พังงา!N191"")+IMPORTRANGE(""https://docs.google.com/spreadsheets/d/1"&amp;"b6QssHQp2FoAPSMKHOy273KNzAomaIKhtdlvuZ_zDNE/edit?usp=share_link"",""พัทลุง!N191"")+IMPORTRANGE(""https://docs.google.com/spreadsheets/d/1o7UZe4_OqlqtLDHrj01Z2YFRSZDf1DMy1n3XViHaxRc/edit?usp=share_link"",""ภูเก็ต!N191"")+IMPORTRANGE(""https://docs.google.c"&amp;"om/spreadsheets/d/1ctPm1vUzcUCPuOj9-eoHUD85PqINFqUB0TjdSWmR5-c/edit?usp=share_link"",""ยะลา!N191"")+IMPORTRANGE(""https://docs.google.com/spreadsheets/d/1YiDIE7Klmt8osgdapRqYWNr7iPGFSsiJqq46S7PYRE0/edit?usp=share_link"",""ระนอง!N191"")+IMPORTRANGE(""https"&amp;"://docs.google.com/spreadsheets/d/16o_4B-V7AWw_6E93bSpXj_XxVv1oVQctk-B6z1dNEWU/edit?usp=share_link"",""สงขลา!N191"")+IMPORTRANGE(""https://docs.google.com/spreadsheets/d/16cywr71Fj4fA5OGRHsZh30ZG2gwJhMAQv69oVBzYHv0/edit?usp=share_link"",""สตูล!N191"")+IMP"&amp;"ORTRANGE(""https://docs.google.com/spreadsheets/d/1vO9Sws6kMtrVtyvrAJptINXjK8TFBoX9xLYOVK_C8bQ/edit?usp=share_link"",""สุราษฎร์ธานี!N191"")"),27164)</f>
        <v>27164</v>
      </c>
      <c r="O191" s="155">
        <f ca="1">IF(L191&gt;0,N191*100/L191,0)</f>
        <v>32.338095238095235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20.25" customHeight="1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20.25" customHeight="1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IFERROR(__xludf.DUMMYFUNCTION("IMPORTRANGE(""https://docs.google.com/spreadsheets/d/1kC41EOXpGBFOW658Fs3oD8beYlym0-zO54WY-2Qnp9I/edit?usp=share_link"",""กระบี่!I193"")
+IMPORTRANGE(""https://docs.google.com/spreadsheets/d/1FbzMZY_f3MDiEuK7RpCQKrilJ_kpX0Wm7QBZ1L7EjIU/edit?usp=share_link"&amp;""",""ชุมพร!I193"")+IMPORTRANGE(""https://docs.google.com/spreadsheets/d/1v5sN-00LrXuhBxw4dkh2GrG_z4l5oAqOdJRBCsUyMaM/edit?usp=share_link"",""ตรัง!I193"")+IMPORTRANGE(""https://docs.google.com/spreadsheets/d/1T5rRTzFc79aSIvqnzkZNvwPstq829QYz_xALlO1Z0s8/edi"&amp;"t?usp=share_link"",""นครศรีธรรมราช!I193"")+IMPORTRANGE(""https://docs.google.com/spreadsheets/d/1BeghqumK0IvCmRd2QOy6_afsZq7ZtAGrSnVJy2u7WmY/edit?usp=share_link"",""นราธิวาส!I193"")+IMPORTRANGE(""https://docs.google.com/spreadsheets/d/1IwnW3-jjRf74MCLW-6P"&amp;"iFwMUffRQXZwZA7YM609NmRc/edit?usp=share_link"",""ปัตตานี!I193"")+IMPORTRANGE(""https://docs.google.com/spreadsheets/d/1vl4QWbWdFruual5o_wdo6ZSqXZ_it806oja4CctTLKs/edit?usp=share_link"",""พังงา!I193"")+IMPORTRANGE(""https://docs.google.com/spreadsheets/d/1"&amp;"b6QssHQp2FoAPSMKHOy273KNzAomaIKhtdlvuZ_zDNE/edit?usp=share_link"",""พัทลุง!I193"")+IMPORTRANGE(""https://docs.google.com/spreadsheets/d/1o7UZe4_OqlqtLDHrj01Z2YFRSZDf1DMy1n3XViHaxRc/edit?usp=share_link"",""ภูเก็ต!I193"")+IMPORTRANGE(""https://docs.google.c"&amp;"om/spreadsheets/d/1ctPm1vUzcUCPuOj9-eoHUD85PqINFqUB0TjdSWmR5-c/edit?usp=share_link"",""ยะลา!I193"")+IMPORTRANGE(""https://docs.google.com/spreadsheets/d/1YiDIE7Klmt8osgdapRqYWNr7iPGFSsiJqq46S7PYRE0/edit?usp=share_link"",""ระนอง!I193"")+IMPORTRANGE(""https"&amp;"://docs.google.com/spreadsheets/d/16o_4B-V7AWw_6E93bSpXj_XxVv1oVQctk-B6z1dNEWU/edit?usp=share_link"",""สงขลา!I193"")+IMPORTRANGE(""https://docs.google.com/spreadsheets/d/16cywr71Fj4fA5OGRHsZh30ZG2gwJhMAQv69oVBzYHv0/edit?usp=share_link"",""สตูล!I193"")+IMP"&amp;"ORTRANGE(""https://docs.google.com/spreadsheets/d/1vO9Sws6kMtrVtyvrAJptINXjK8TFBoX9xLYOVK_C8bQ/edit?usp=share_link"",""สุราษฎร์ธานี!I193"")"),56)</f>
        <v>56</v>
      </c>
      <c r="J193" s="183">
        <f ca="1">IFERROR(__xludf.DUMMYFUNCTION("IMPORTRANGE(""https://docs.google.com/spreadsheets/d/1kC41EOXpGBFOW658Fs3oD8beYlym0-zO54WY-2Qnp9I/edit?usp=share_link"",""กระบี่!J193"")
+IMPORTRANGE(""https://docs.google.com/spreadsheets/d/1FbzMZY_f3MDiEuK7RpCQKrilJ_kpX0Wm7QBZ1L7EjIU/edit?usp=share_link"&amp;""",""ชุมพร!J193"")+IMPORTRANGE(""https://docs.google.com/spreadsheets/d/1v5sN-00LrXuhBxw4dkh2GrG_z4l5oAqOdJRBCsUyMaM/edit?usp=share_link"",""ตรัง!J193"")+IMPORTRANGE(""https://docs.google.com/spreadsheets/d/1T5rRTzFc79aSIvqnzkZNvwPstq829QYz_xALlO1Z0s8/edi"&amp;"t?usp=share_link"",""นครศรีธรรมราช!J193"")+IMPORTRANGE(""https://docs.google.com/spreadsheets/d/1BeghqumK0IvCmRd2QOy6_afsZq7ZtAGrSnVJy2u7WmY/edit?usp=share_link"",""นราธิวาส!J193"")+IMPORTRANGE(""https://docs.google.com/spreadsheets/d/1IwnW3-jjRf74MCLW-6P"&amp;"iFwMUffRQXZwZA7YM609NmRc/edit?usp=share_link"",""ปัตตานี!J193"")+IMPORTRANGE(""https://docs.google.com/spreadsheets/d/1vl4QWbWdFruual5o_wdo6ZSqXZ_it806oja4CctTLKs/edit?usp=share_link"",""พังงา!J193"")+IMPORTRANGE(""https://docs.google.com/spreadsheets/d/1"&amp;"b6QssHQp2FoAPSMKHOy273KNzAomaIKhtdlvuZ_zDNE/edit?usp=share_link"",""พัทลุง!J193"")+IMPORTRANGE(""https://docs.google.com/spreadsheets/d/1o7UZe4_OqlqtLDHrj01Z2YFRSZDf1DMy1n3XViHaxRc/edit?usp=share_link"",""ภูเก็ต!J193"")+IMPORTRANGE(""https://docs.google.c"&amp;"om/spreadsheets/d/1ctPm1vUzcUCPuOj9-eoHUD85PqINFqUB0TjdSWmR5-c/edit?usp=share_link"",""ยะลา!J193"")+IMPORTRANGE(""https://docs.google.com/spreadsheets/d/1YiDIE7Klmt8osgdapRqYWNr7iPGFSsiJqq46S7PYRE0/edit?usp=share_link"",""ระนอง!J193"")+IMPORTRANGE(""https"&amp;"://docs.google.com/spreadsheets/d/16o_4B-V7AWw_6E93bSpXj_XxVv1oVQctk-B6z1dNEWU/edit?usp=share_link"",""สงขลา!J193"")+IMPORTRANGE(""https://docs.google.com/spreadsheets/d/16cywr71Fj4fA5OGRHsZh30ZG2gwJhMAQv69oVBzYHv0/edit?usp=share_link"",""สตูล!J193"")+IMP"&amp;"ORTRANGE(""https://docs.google.com/spreadsheets/d/1vO9Sws6kMtrVtyvrAJptINXjK8TFBoX9xLYOVK_C8bQ/edit?usp=share_link"",""สุราษฎร์ธานี!J193"")"),27)</f>
        <v>27</v>
      </c>
      <c r="K193" s="38">
        <f ca="1">IF(I193&gt;0,J193*100/I193,0)</f>
        <v>48.214285714285715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20.25" customHeight="1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995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20.25" customHeight="1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IFERROR(__xludf.DUMMYFUNCTION("IMPORTRANGE(""https://docs.google.com/spreadsheets/d/1kC41EOXpGBFOW658Fs3oD8beYlym0-zO54WY-2Qnp9I/edit?usp=share_link"",""กระบี่!J195"")
+IMPORTRANGE(""https://docs.google.com/spreadsheets/d/1FbzMZY_f3MDiEuK7RpCQKrilJ_kpX0Wm7QBZ1L7EjIU/edit?usp=share_link"&amp;""",""ชุมพร!J195"")+IMPORTRANGE(""https://docs.google.com/spreadsheets/d/1v5sN-00LrXuhBxw4dkh2GrG_z4l5oAqOdJRBCsUyMaM/edit?usp=share_link"",""ตรัง!J195"")+IMPORTRANGE(""https://docs.google.com/spreadsheets/d/1T5rRTzFc79aSIvqnzkZNvwPstq829QYz_xALlO1Z0s8/edi"&amp;"t?usp=share_link"",""นครศรีธรรมราช!J195"")+IMPORTRANGE(""https://docs.google.com/spreadsheets/d/1BeghqumK0IvCmRd2QOy6_afsZq7ZtAGrSnVJy2u7WmY/edit?usp=share_link"",""นราธิวาส!J195"")+IMPORTRANGE(""https://docs.google.com/spreadsheets/d/1IwnW3-jjRf74MCLW-6P"&amp;"iFwMUffRQXZwZA7YM609NmRc/edit?usp=share_link"",""ปัตตานี!J195"")+IMPORTRANGE(""https://docs.google.com/spreadsheets/d/1vl4QWbWdFruual5o_wdo6ZSqXZ_it806oja4CctTLKs/edit?usp=share_link"",""พังงา!J195"")+IMPORTRANGE(""https://docs.google.com/spreadsheets/d/1"&amp;"b6QssHQp2FoAPSMKHOy273KNzAomaIKhtdlvuZ_zDNE/edit?usp=share_link"",""พัทลุง!J195"")+IMPORTRANGE(""https://docs.google.com/spreadsheets/d/1o7UZe4_OqlqtLDHrj01Z2YFRSZDf1DMy1n3XViHaxRc/edit?usp=share_link"",""ภูเก็ต!J195"")+IMPORTRANGE(""https://docs.google.c"&amp;"om/spreadsheets/d/1ctPm1vUzcUCPuOj9-eoHUD85PqINFqUB0TjdSWmR5-c/edit?usp=share_link"",""ยะลา!J195"")+IMPORTRANGE(""https://docs.google.com/spreadsheets/d/1YiDIE7Klmt8osgdapRqYWNr7iPGFSsiJqq46S7PYRE0/edit?usp=share_link"",""ระนอง!J195"")+IMPORTRANGE(""https"&amp;"://docs.google.com/spreadsheets/d/16o_4B-V7AWw_6E93bSpXj_XxVv1oVQctk-B6z1dNEWU/edit?usp=share_link"",""สงขลา!J195"")+IMPORTRANGE(""https://docs.google.com/spreadsheets/d/16cywr71Fj4fA5OGRHsZh30ZG2gwJhMAQv69oVBzYHv0/edit?usp=share_link"",""สตูล!J195"")+IMP"&amp;"ORTRANGE(""https://docs.google.com/spreadsheets/d/1vO9Sws6kMtrVtyvrAJptINXjK8TFBoX9xLYOVK_C8bQ/edit?usp=share_link"",""สุราษฎร์ธานี!J195"")"),995)</f>
        <v>995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20.25" customHeight="1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IFERROR(__xludf.DUMMYFUNCTION("IMPORTRANGE(""https://docs.google.com/spreadsheets/d/1kC41EOXpGBFOW658Fs3oD8beYlym0-zO54WY-2Qnp9I/edit?usp=share_link"",""กระบี่!J196"")
+IMPORTRANGE(""https://docs.google.com/spreadsheets/d/1FbzMZY_f3MDiEuK7RpCQKrilJ_kpX0Wm7QBZ1L7EjIU/edit?usp=share_link"&amp;""",""ชุมพร!J196"")+IMPORTRANGE(""https://docs.google.com/spreadsheets/d/1v5sN-00LrXuhBxw4dkh2GrG_z4l5oAqOdJRBCsUyMaM/edit?usp=share_link"",""ตรัง!J196"")+IMPORTRANGE(""https://docs.google.com/spreadsheets/d/1T5rRTzFc79aSIvqnzkZNvwPstq829QYz_xALlO1Z0s8/edi"&amp;"t?usp=share_link"",""นครศรีธรรมราช!J196"")+IMPORTRANGE(""https://docs.google.com/spreadsheets/d/1BeghqumK0IvCmRd2QOy6_afsZq7ZtAGrSnVJy2u7WmY/edit?usp=share_link"",""นราธิวาส!J196"")+IMPORTRANGE(""https://docs.google.com/spreadsheets/d/1IwnW3-jjRf74MCLW-6P"&amp;"iFwMUffRQXZwZA7YM609NmRc/edit?usp=share_link"",""ปัตตานี!J196"")+IMPORTRANGE(""https://docs.google.com/spreadsheets/d/1vl4QWbWdFruual5o_wdo6ZSqXZ_it806oja4CctTLKs/edit?usp=share_link"",""พังงา!J196"")+IMPORTRANGE(""https://docs.google.com/spreadsheets/d/1"&amp;"b6QssHQp2FoAPSMKHOy273KNzAomaIKhtdlvuZ_zDNE/edit?usp=share_link"",""พัทลุง!J196"")+IMPORTRANGE(""https://docs.google.com/spreadsheets/d/1o7UZe4_OqlqtLDHrj01Z2YFRSZDf1DMy1n3XViHaxRc/edit?usp=share_link"",""ภูเก็ต!J196"")+IMPORTRANGE(""https://docs.google.c"&amp;"om/spreadsheets/d/1ctPm1vUzcUCPuOj9-eoHUD85PqINFqUB0TjdSWmR5-c/edit?usp=share_link"",""ยะลา!J196"")+IMPORTRANGE(""https://docs.google.com/spreadsheets/d/1YiDIE7Klmt8osgdapRqYWNr7iPGFSsiJqq46S7PYRE0/edit?usp=share_link"",""ระนอง!J196"")+IMPORTRANGE(""https"&amp;"://docs.google.com/spreadsheets/d/16o_4B-V7AWw_6E93bSpXj_XxVv1oVQctk-B6z1dNEWU/edit?usp=share_link"",""สงขลา!J196"")+IMPORTRANGE(""https://docs.google.com/spreadsheets/d/16cywr71Fj4fA5OGRHsZh30ZG2gwJhMAQv69oVBzYHv0/edit?usp=share_link"",""สตูล!J196"")+IMP"&amp;"ORTRANGE(""https://docs.google.com/spreadsheets/d/1vO9Sws6kMtrVtyvrAJptINXjK8TFBoX9xLYOVK_C8bQ/edit?usp=share_link"",""สุราษฎร์ธานี!J196"")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20.25" customHeight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0">I204</f>
        <v>28</v>
      </c>
      <c r="J197" s="272">
        <f t="shared" ca="1" si="120"/>
        <v>28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20.25" customHeight="1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374000</v>
      </c>
      <c r="M198" s="155"/>
      <c r="N198" s="155">
        <f ca="1">N199+N200+N201+N202</f>
        <v>288802.62</v>
      </c>
      <c r="O198" s="155">
        <f ca="1">IF(L198&gt;0,N198*100/L198,0)</f>
        <v>77.219951871657756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20.25" customHeight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IFERROR(__xludf.DUMMYFUNCTION("IMPORTRANGE(""https://docs.google.com/spreadsheets/d/1kC41EOXpGBFOW658Fs3oD8beYlym0-zO54WY-2Qnp9I/edit?usp=share_link"",""กระบี่!L199"")
+IMPORTRANGE(""https://docs.google.com/spreadsheets/d/1FbzMZY_f3MDiEuK7RpCQKrilJ_kpX0Wm7QBZ1L7EjIU/edit?usp=share_link"&amp;""",""ชุมพร!L199"")+IMPORTRANGE(""https://docs.google.com/spreadsheets/d/1v5sN-00LrXuhBxw4dkh2GrG_z4l5oAqOdJRBCsUyMaM/edit?usp=share_link"",""ตรัง!L199"")+IMPORTRANGE(""https://docs.google.com/spreadsheets/d/1T5rRTzFc79aSIvqnzkZNvwPstq829QYz_xALlO1Z0s8/edi"&amp;"t?usp=share_link"",""นครศรีธรรมราช!L199"")+IMPORTRANGE(""https://docs.google.com/spreadsheets/d/1BeghqumK0IvCmRd2QOy6_afsZq7ZtAGrSnVJy2u7WmY/edit?usp=share_link"",""นราธิวาส!L199"")+IMPORTRANGE(""https://docs.google.com/spreadsheets/d/1IwnW3-jjRf74MCLW-6P"&amp;"iFwMUffRQXZwZA7YM609NmRc/edit?usp=share_link"",""ปัตตานี!L199"")+IMPORTRANGE(""https://docs.google.com/spreadsheets/d/1vl4QWbWdFruual5o_wdo6ZSqXZ_it806oja4CctTLKs/edit?usp=share_link"",""พังงา!L199"")+IMPORTRANGE(""https://docs.google.com/spreadsheets/d/1"&amp;"b6QssHQp2FoAPSMKHOy273KNzAomaIKhtdlvuZ_zDNE/edit?usp=share_link"",""พัทลุง!L199"")+IMPORTRANGE(""https://docs.google.com/spreadsheets/d/1o7UZe4_OqlqtLDHrj01Z2YFRSZDf1DMy1n3XViHaxRc/edit?usp=share_link"",""ภูเก็ต!L199"")+IMPORTRANGE(""https://docs.google.c"&amp;"om/spreadsheets/d/1ctPm1vUzcUCPuOj9-eoHUD85PqINFqUB0TjdSWmR5-c/edit?usp=share_link"",""ยะลา!L199"")+IMPORTRANGE(""https://docs.google.com/spreadsheets/d/1YiDIE7Klmt8osgdapRqYWNr7iPGFSsiJqq46S7PYRE0/edit?usp=share_link"",""ระนอง!L199"")+IMPORTRANGE(""https"&amp;"://docs.google.com/spreadsheets/d/16o_4B-V7AWw_6E93bSpXj_XxVv1oVQctk-B6z1dNEWU/edit?usp=share_link"",""สงขลา!L199"")+IMPORTRANGE(""https://docs.google.com/spreadsheets/d/16cywr71Fj4fA5OGRHsZh30ZG2gwJhMAQv69oVBzYHv0/edit?usp=share_link"",""สตูล!L199"")+IMP"&amp;"ORTRANGE(""https://docs.google.com/spreadsheets/d/1vO9Sws6kMtrVtyvrAJptINXjK8TFBoX9xLYOVK_C8bQ/edit?usp=share_link"",""สุราษฎร์ธานี!L199"")"),28000)</f>
        <v>28000</v>
      </c>
      <c r="M199" s="38"/>
      <c r="N199" s="283">
        <f ca="1">IFERROR(__xludf.DUMMYFUNCTION("IMPORTRANGE(""https://docs.google.com/spreadsheets/d/1kC41EOXpGBFOW658Fs3oD8beYlym0-zO54WY-2Qnp9I/edit?usp=share_link"",""กระบี่!N199"")
+IMPORTRANGE(""https://docs.google.com/spreadsheets/d/1FbzMZY_f3MDiEuK7RpCQKrilJ_kpX0Wm7QBZ1L7EjIU/edit?usp=share_link"&amp;""",""ชุมพร!N199"")+IMPORTRANGE(""https://docs.google.com/spreadsheets/d/1v5sN-00LrXuhBxw4dkh2GrG_z4l5oAqOdJRBCsUyMaM/edit?usp=share_link"",""ตรัง!N199"")+IMPORTRANGE(""https://docs.google.com/spreadsheets/d/1T5rRTzFc79aSIvqnzkZNvwPstq829QYz_xALlO1Z0s8/edi"&amp;"t?usp=share_link"",""นครศรีธรรมราช!N199"")+IMPORTRANGE(""https://docs.google.com/spreadsheets/d/1BeghqumK0IvCmRd2QOy6_afsZq7ZtAGrSnVJy2u7WmY/edit?usp=share_link"",""นราธิวาส!N199"")+IMPORTRANGE(""https://docs.google.com/spreadsheets/d/1IwnW3-jjRf74MCLW-6P"&amp;"iFwMUffRQXZwZA7YM609NmRc/edit?usp=share_link"",""ปัตตานี!N199"")+IMPORTRANGE(""https://docs.google.com/spreadsheets/d/1vl4QWbWdFruual5o_wdo6ZSqXZ_it806oja4CctTLKs/edit?usp=share_link"",""พังงา!N199"")+IMPORTRANGE(""https://docs.google.com/spreadsheets/d/1"&amp;"b6QssHQp2FoAPSMKHOy273KNzAomaIKhtdlvuZ_zDNE/edit?usp=share_link"",""พัทลุง!N199"")+IMPORTRANGE(""https://docs.google.com/spreadsheets/d/1o7UZe4_OqlqtLDHrj01Z2YFRSZDf1DMy1n3XViHaxRc/edit?usp=share_link"",""ภูเก็ต!N199"")+IMPORTRANGE(""https://docs.google.c"&amp;"om/spreadsheets/d/1ctPm1vUzcUCPuOj9-eoHUD85PqINFqUB0TjdSWmR5-c/edit?usp=share_link"",""ยะลา!N199"")+IMPORTRANGE(""https://docs.google.com/spreadsheets/d/1YiDIE7Klmt8osgdapRqYWNr7iPGFSsiJqq46S7PYRE0/edit?usp=share_link"",""ระนอง!N199"")+IMPORTRANGE(""https"&amp;"://docs.google.com/spreadsheets/d/16o_4B-V7AWw_6E93bSpXj_XxVv1oVQctk-B6z1dNEWU/edit?usp=share_link"",""สงขลา!N199"")+IMPORTRANGE(""https://docs.google.com/spreadsheets/d/16cywr71Fj4fA5OGRHsZh30ZG2gwJhMAQv69oVBzYHv0/edit?usp=share_link"",""สตูล!N199"")+IMP"&amp;"ORTRANGE(""https://docs.google.com/spreadsheets/d/1vO9Sws6kMtrVtyvrAJptINXjK8TFBoX9xLYOVK_C8bQ/edit?usp=share_link"",""สุราษฎร์ธานี!N199"")"),15539)</f>
        <v>15539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20.25" customHeight="1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IFERROR(__xludf.DUMMYFUNCTION("IMPORTRANGE(""https://docs.google.com/spreadsheets/d/1kC41EOXpGBFOW658Fs3oD8beYlym0-zO54WY-2Qnp9I/edit?usp=share_link"",""กระบี่!L200"")
+IMPORTRANGE(""https://docs.google.com/spreadsheets/d/1FbzMZY_f3MDiEuK7RpCQKrilJ_kpX0Wm7QBZ1L7EjIU/edit?usp=share_link"&amp;""",""ชุมพร!L200"")+IMPORTRANGE(""https://docs.google.com/spreadsheets/d/1v5sN-00LrXuhBxw4dkh2GrG_z4l5oAqOdJRBCsUyMaM/edit?usp=share_link"",""ตรัง!L200"")+IMPORTRANGE(""https://docs.google.com/spreadsheets/d/1T5rRTzFc79aSIvqnzkZNvwPstq829QYz_xALlO1Z0s8/edi"&amp;"t?usp=share_link"",""นครศรีธรรมราช!L200"")+IMPORTRANGE(""https://docs.google.com/spreadsheets/d/1BeghqumK0IvCmRd2QOy6_afsZq7ZtAGrSnVJy2u7WmY/edit?usp=share_link"",""นราธิวาส!L200"")+IMPORTRANGE(""https://docs.google.com/spreadsheets/d/1IwnW3-jjRf74MCLW-6P"&amp;"iFwMUffRQXZwZA7YM609NmRc/edit?usp=share_link"",""ปัตตานี!L200"")+IMPORTRANGE(""https://docs.google.com/spreadsheets/d/1vl4QWbWdFruual5o_wdo6ZSqXZ_it806oja4CctTLKs/edit?usp=share_link"",""พังงา!L200"")+IMPORTRANGE(""https://docs.google.com/spreadsheets/d/1"&amp;"b6QssHQp2FoAPSMKHOy273KNzAomaIKhtdlvuZ_zDNE/edit?usp=share_link"",""พัทลุง!L200"")+IMPORTRANGE(""https://docs.google.com/spreadsheets/d/1o7UZe4_OqlqtLDHrj01Z2YFRSZDf1DMy1n3XViHaxRc/edit?usp=share_link"",""ภูเก็ต!L200"")+IMPORTRANGE(""https://docs.google.c"&amp;"om/spreadsheets/d/1ctPm1vUzcUCPuOj9-eoHUD85PqINFqUB0TjdSWmR5-c/edit?usp=share_link"",""ยะลา!L200"")+IMPORTRANGE(""https://docs.google.com/spreadsheets/d/1YiDIE7Klmt8osgdapRqYWNr7iPGFSsiJqq46S7PYRE0/edit?usp=share_link"",""ระนอง!L200"")+IMPORTRANGE(""https"&amp;"://docs.google.com/spreadsheets/d/16o_4B-V7AWw_6E93bSpXj_XxVv1oVQctk-B6z1dNEWU/edit?usp=share_link"",""สงขลา!L200"")+IMPORTRANGE(""https://docs.google.com/spreadsheets/d/16cywr71Fj4fA5OGRHsZh30ZG2gwJhMAQv69oVBzYHv0/edit?usp=share_link"",""สตูล!L200"")+IMP"&amp;"ORTRANGE(""https://docs.google.com/spreadsheets/d/1vO9Sws6kMtrVtyvrAJptINXjK8TFBoX9xLYOVK_C8bQ/edit?usp=share_link"",""สุราษฎร์ธานี!L200"")"),224000)</f>
        <v>224000</v>
      </c>
      <c r="M200" s="38"/>
      <c r="N200" s="283">
        <f ca="1">IFERROR(__xludf.DUMMYFUNCTION("IMPORTRANGE(""https://docs.google.com/spreadsheets/d/1kC41EOXpGBFOW658Fs3oD8beYlym0-zO54WY-2Qnp9I/edit?usp=share_link"",""กระบี่!N200"")
+IMPORTRANGE(""https://docs.google.com/spreadsheets/d/1FbzMZY_f3MDiEuK7RpCQKrilJ_kpX0Wm7QBZ1L7EjIU/edit?usp=share_link"&amp;""",""ชุมพร!N200"")+IMPORTRANGE(""https://docs.google.com/spreadsheets/d/1v5sN-00LrXuhBxw4dkh2GrG_z4l5oAqOdJRBCsUyMaM/edit?usp=share_link"",""ตรัง!N200"")+IMPORTRANGE(""https://docs.google.com/spreadsheets/d/1T5rRTzFc79aSIvqnzkZNvwPstq829QYz_xALlO1Z0s8/edi"&amp;"t?usp=share_link"",""นครศรีธรรมราช!N200"")+IMPORTRANGE(""https://docs.google.com/spreadsheets/d/1BeghqumK0IvCmRd2QOy6_afsZq7ZtAGrSnVJy2u7WmY/edit?usp=share_link"",""นราธิวาส!N200"")+IMPORTRANGE(""https://docs.google.com/spreadsheets/d/1IwnW3-jjRf74MCLW-6P"&amp;"iFwMUffRQXZwZA7YM609NmRc/edit?usp=share_link"",""ปัตตานี!N200"")+IMPORTRANGE(""https://docs.google.com/spreadsheets/d/1vl4QWbWdFruual5o_wdo6ZSqXZ_it806oja4CctTLKs/edit?usp=share_link"",""พังงา!N200"")+IMPORTRANGE(""https://docs.google.com/spreadsheets/d/1"&amp;"b6QssHQp2FoAPSMKHOy273KNzAomaIKhtdlvuZ_zDNE/edit?usp=share_link"",""พัทลุง!N200"")+IMPORTRANGE(""https://docs.google.com/spreadsheets/d/1o7UZe4_OqlqtLDHrj01Z2YFRSZDf1DMy1n3XViHaxRc/edit?usp=share_link"",""ภูเก็ต!N200"")+IMPORTRANGE(""https://docs.google.c"&amp;"om/spreadsheets/d/1ctPm1vUzcUCPuOj9-eoHUD85PqINFqUB0TjdSWmR5-c/edit?usp=share_link"",""ยะลา!N200"")+IMPORTRANGE(""https://docs.google.com/spreadsheets/d/1YiDIE7Klmt8osgdapRqYWNr7iPGFSsiJqq46S7PYRE0/edit?usp=share_link"",""ระนอง!N200"")+IMPORTRANGE(""https"&amp;"://docs.google.com/spreadsheets/d/16o_4B-V7AWw_6E93bSpXj_XxVv1oVQctk-B6z1dNEWU/edit?usp=share_link"",""สงขลา!N200"")+IMPORTRANGE(""https://docs.google.com/spreadsheets/d/16cywr71Fj4fA5OGRHsZh30ZG2gwJhMAQv69oVBzYHv0/edit?usp=share_link"",""สตูล!N200"")+IMP"&amp;"ORTRANGE(""https://docs.google.com/spreadsheets/d/1vO9Sws6kMtrVtyvrAJptINXjK8TFBoX9xLYOVK_C8bQ/edit?usp=share_link"",""สุราษฎร์ธานี!N200"")"),225173.62)</f>
        <v>225173.62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20.25" customHeight="1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IFERROR(__xludf.DUMMYFUNCTION("IMPORTRANGE(""https://docs.google.com/spreadsheets/d/1kC41EOXpGBFOW658Fs3oD8beYlym0-zO54WY-2Qnp9I/edit?usp=share_link"",""กระบี่!L201"")
+IMPORTRANGE(""https://docs.google.com/spreadsheets/d/1FbzMZY_f3MDiEuK7RpCQKrilJ_kpX0Wm7QBZ1L7EjIU/edit?usp=share_link"&amp;""",""ชุมพร!L201"")+IMPORTRANGE(""https://docs.google.com/spreadsheets/d/1v5sN-00LrXuhBxw4dkh2GrG_z4l5oAqOdJRBCsUyMaM/edit?usp=share_link"",""ตรัง!L201"")+IMPORTRANGE(""https://docs.google.com/spreadsheets/d/1T5rRTzFc79aSIvqnzkZNvwPstq829QYz_xALlO1Z0s8/edi"&amp;"t?usp=share_link"",""นครศรีธรรมราช!L201"")+IMPORTRANGE(""https://docs.google.com/spreadsheets/d/1BeghqumK0IvCmRd2QOy6_afsZq7ZtAGrSnVJy2u7WmY/edit?usp=share_link"",""นราธิวาส!L201"")+IMPORTRANGE(""https://docs.google.com/spreadsheets/d/1IwnW3-jjRf74MCLW-6P"&amp;"iFwMUffRQXZwZA7YM609NmRc/edit?usp=share_link"",""ปัตตานี!L201"")+IMPORTRANGE(""https://docs.google.com/spreadsheets/d/1vl4QWbWdFruual5o_wdo6ZSqXZ_it806oja4CctTLKs/edit?usp=share_link"",""พังงา!L201"")+IMPORTRANGE(""https://docs.google.com/spreadsheets/d/1"&amp;"b6QssHQp2FoAPSMKHOy273KNzAomaIKhtdlvuZ_zDNE/edit?usp=share_link"",""พัทลุง!L201"")+IMPORTRANGE(""https://docs.google.com/spreadsheets/d/1o7UZe4_OqlqtLDHrj01Z2YFRSZDf1DMy1n3XViHaxRc/edit?usp=share_link"",""ภูเก็ต!L201"")+IMPORTRANGE(""https://docs.google.c"&amp;"om/spreadsheets/d/1ctPm1vUzcUCPuOj9-eoHUD85PqINFqUB0TjdSWmR5-c/edit?usp=share_link"",""ยะลา!L201"")+IMPORTRANGE(""https://docs.google.com/spreadsheets/d/1YiDIE7Klmt8osgdapRqYWNr7iPGFSsiJqq46S7PYRE0/edit?usp=share_link"",""ระนอง!L201"")+IMPORTRANGE(""https"&amp;"://docs.google.com/spreadsheets/d/16o_4B-V7AWw_6E93bSpXj_XxVv1oVQctk-B6z1dNEWU/edit?usp=share_link"",""สงขลา!L201"")+IMPORTRANGE(""https://docs.google.com/spreadsheets/d/16cywr71Fj4fA5OGRHsZh30ZG2gwJhMAQv69oVBzYHv0/edit?usp=share_link"",""สตูล!L201"")+IMP"&amp;"ORTRANGE(""https://docs.google.com/spreadsheets/d/1vO9Sws6kMtrVtyvrAJptINXjK8TFBoX9xLYOVK_C8bQ/edit?usp=share_link"",""สุราษฎร์ธานี!L201"")"),112000)</f>
        <v>112000</v>
      </c>
      <c r="M201" s="38"/>
      <c r="N201" s="283">
        <f ca="1">IFERROR(__xludf.DUMMYFUNCTION("IMPORTRANGE(""https://docs.google.com/spreadsheets/d/1kC41EOXpGBFOW658Fs3oD8beYlym0-zO54WY-2Qnp9I/edit?usp=share_link"",""กระบี่!N201"")
+IMPORTRANGE(""https://docs.google.com/spreadsheets/d/1FbzMZY_f3MDiEuK7RpCQKrilJ_kpX0Wm7QBZ1L7EjIU/edit?usp=share_link"&amp;""",""ชุมพร!N201"")+IMPORTRANGE(""https://docs.google.com/spreadsheets/d/1v5sN-00LrXuhBxw4dkh2GrG_z4l5oAqOdJRBCsUyMaM/edit?usp=share_link"",""ตรัง!N201"")+IMPORTRANGE(""https://docs.google.com/spreadsheets/d/1T5rRTzFc79aSIvqnzkZNvwPstq829QYz_xALlO1Z0s8/edi"&amp;"t?usp=share_link"",""นครศรีธรรมราช!N201"")+IMPORTRANGE(""https://docs.google.com/spreadsheets/d/1BeghqumK0IvCmRd2QOy6_afsZq7ZtAGrSnVJy2u7WmY/edit?usp=share_link"",""นราธิวาส!N201"")+IMPORTRANGE(""https://docs.google.com/spreadsheets/d/1IwnW3-jjRf74MCLW-6P"&amp;"iFwMUffRQXZwZA7YM609NmRc/edit?usp=share_link"",""ปัตตานี!N201"")+IMPORTRANGE(""https://docs.google.com/spreadsheets/d/1vl4QWbWdFruual5o_wdo6ZSqXZ_it806oja4CctTLKs/edit?usp=share_link"",""พังงา!N201"")+IMPORTRANGE(""https://docs.google.com/spreadsheets/d/1"&amp;"b6QssHQp2FoAPSMKHOy273KNzAomaIKhtdlvuZ_zDNE/edit?usp=share_link"",""พัทลุง!N201"")+IMPORTRANGE(""https://docs.google.com/spreadsheets/d/1o7UZe4_OqlqtLDHrj01Z2YFRSZDf1DMy1n3XViHaxRc/edit?usp=share_link"",""ภูเก็ต!N201"")+IMPORTRANGE(""https://docs.google.c"&amp;"om/spreadsheets/d/1ctPm1vUzcUCPuOj9-eoHUD85PqINFqUB0TjdSWmR5-c/edit?usp=share_link"",""ยะลา!N201"")+IMPORTRANGE(""https://docs.google.com/spreadsheets/d/1YiDIE7Klmt8osgdapRqYWNr7iPGFSsiJqq46S7PYRE0/edit?usp=share_link"",""ระนอง!N201"")+IMPORTRANGE(""https"&amp;"://docs.google.com/spreadsheets/d/16o_4B-V7AWw_6E93bSpXj_XxVv1oVQctk-B6z1dNEWU/edit?usp=share_link"",""สงขลา!N201"")+IMPORTRANGE(""https://docs.google.com/spreadsheets/d/16cywr71Fj4fA5OGRHsZh30ZG2gwJhMAQv69oVBzYHv0/edit?usp=share_link"",""สตูล!N201"")+IMP"&amp;"ORTRANGE(""https://docs.google.com/spreadsheets/d/1vO9Sws6kMtrVtyvrAJptINXjK8TFBoX9xLYOVK_C8bQ/edit?usp=share_link"",""สุราษฎร์ธานี!N201"")"),48090)</f>
        <v>48090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20.25" customHeight="1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IFERROR(__xludf.DUMMYFUNCTION("IMPORTRANGE(""https://docs.google.com/spreadsheets/d/1kC41EOXpGBFOW658Fs3oD8beYlym0-zO54WY-2Qnp9I/edit?usp=share_link"",""กระบี่!L202"")
+IMPORTRANGE(""https://docs.google.com/spreadsheets/d/1FbzMZY_f3MDiEuK7RpCQKrilJ_kpX0Wm7QBZ1L7EjIU/edit?usp=share_link"&amp;""",""ชุมพร!L202"")+IMPORTRANGE(""https://docs.google.com/spreadsheets/d/1v5sN-00LrXuhBxw4dkh2GrG_z4l5oAqOdJRBCsUyMaM/edit?usp=share_link"",""ตรัง!L202"")+IMPORTRANGE(""https://docs.google.com/spreadsheets/d/1T5rRTzFc79aSIvqnzkZNvwPstq829QYz_xALlO1Z0s8/edi"&amp;"t?usp=share_link"",""นครศรีธรรมราช!L202"")+IMPORTRANGE(""https://docs.google.com/spreadsheets/d/1BeghqumK0IvCmRd2QOy6_afsZq7ZtAGrSnVJy2u7WmY/edit?usp=share_link"",""นราธิวาส!L202"")+IMPORTRANGE(""https://docs.google.com/spreadsheets/d/1IwnW3-jjRf74MCLW-6P"&amp;"iFwMUffRQXZwZA7YM609NmRc/edit?usp=share_link"",""ปัตตานี!L202"")+IMPORTRANGE(""https://docs.google.com/spreadsheets/d/1vl4QWbWdFruual5o_wdo6ZSqXZ_it806oja4CctTLKs/edit?usp=share_link"",""พังงา!L202"")+IMPORTRANGE(""https://docs.google.com/spreadsheets/d/1"&amp;"b6QssHQp2FoAPSMKHOy273KNzAomaIKhtdlvuZ_zDNE/edit?usp=share_link"",""พัทลุง!L202"")+IMPORTRANGE(""https://docs.google.com/spreadsheets/d/1o7UZe4_OqlqtLDHrj01Z2YFRSZDf1DMy1n3XViHaxRc/edit?usp=share_link"",""ภูเก็ต!L202"")+IMPORTRANGE(""https://docs.google.c"&amp;"om/spreadsheets/d/1ctPm1vUzcUCPuOj9-eoHUD85PqINFqUB0TjdSWmR5-c/edit?usp=share_link"",""ยะลา!L202"")+IMPORTRANGE(""https://docs.google.com/spreadsheets/d/1YiDIE7Klmt8osgdapRqYWNr7iPGFSsiJqq46S7PYRE0/edit?usp=share_link"",""ระนอง!L202"")+IMPORTRANGE(""https"&amp;"://docs.google.com/spreadsheets/d/16o_4B-V7AWw_6E93bSpXj_XxVv1oVQctk-B6z1dNEWU/edit?usp=share_link"",""สงขลา!L202"")+IMPORTRANGE(""https://docs.google.com/spreadsheets/d/16cywr71Fj4fA5OGRHsZh30ZG2gwJhMAQv69oVBzYHv0/edit?usp=share_link"",""สตูล!L202"")+IMP"&amp;"ORTRANGE(""https://docs.google.com/spreadsheets/d/1vO9Sws6kMtrVtyvrAJptINXjK8TFBoX9xLYOVK_C8bQ/edit?usp=share_link"",""สุราษฎร์ธานี!L202"")"),10000)</f>
        <v>10000</v>
      </c>
      <c r="M202" s="38"/>
      <c r="N202" s="283">
        <f ca="1">IFERROR(__xludf.DUMMYFUNCTION("IMPORTRANGE(""https://docs.google.com/spreadsheets/d/1kC41EOXpGBFOW658Fs3oD8beYlym0-zO54WY-2Qnp9I/edit?usp=share_link"",""กระบี่!N202"")
+IMPORTRANGE(""https://docs.google.com/spreadsheets/d/1FbzMZY_f3MDiEuK7RpCQKrilJ_kpX0Wm7QBZ1L7EjIU/edit?usp=share_link"&amp;""",""ชุมพร!N202"")+IMPORTRANGE(""https://docs.google.com/spreadsheets/d/1v5sN-00LrXuhBxw4dkh2GrG_z4l5oAqOdJRBCsUyMaM/edit?usp=share_link"",""ตรัง!N202"")+IMPORTRANGE(""https://docs.google.com/spreadsheets/d/1T5rRTzFc79aSIvqnzkZNvwPstq829QYz_xALlO1Z0s8/edi"&amp;"t?usp=share_link"",""นครศรีธรรมราช!N202"")+IMPORTRANGE(""https://docs.google.com/spreadsheets/d/1BeghqumK0IvCmRd2QOy6_afsZq7ZtAGrSnVJy2u7WmY/edit?usp=share_link"",""นราธิวาส!N202"")+IMPORTRANGE(""https://docs.google.com/spreadsheets/d/1IwnW3-jjRf74MCLW-6P"&amp;"iFwMUffRQXZwZA7YM609NmRc/edit?usp=share_link"",""ปัตตานี!N202"")+IMPORTRANGE(""https://docs.google.com/spreadsheets/d/1vl4QWbWdFruual5o_wdo6ZSqXZ_it806oja4CctTLKs/edit?usp=share_link"",""พังงา!N202"")+IMPORTRANGE(""https://docs.google.com/spreadsheets/d/1"&amp;"b6QssHQp2FoAPSMKHOy273KNzAomaIKhtdlvuZ_zDNE/edit?usp=share_link"",""พัทลุง!N202"")+IMPORTRANGE(""https://docs.google.com/spreadsheets/d/1o7UZe4_OqlqtLDHrj01Z2YFRSZDf1DMy1n3XViHaxRc/edit?usp=share_link"",""ภูเก็ต!N202"")+IMPORTRANGE(""https://docs.google.c"&amp;"om/spreadsheets/d/1ctPm1vUzcUCPuOj9-eoHUD85PqINFqUB0TjdSWmR5-c/edit?usp=share_link"",""ยะลา!N202"")+IMPORTRANGE(""https://docs.google.com/spreadsheets/d/1YiDIE7Klmt8osgdapRqYWNr7iPGFSsiJqq46S7PYRE0/edit?usp=share_link"",""ระนอง!N202"")+IMPORTRANGE(""https"&amp;"://docs.google.com/spreadsheets/d/16o_4B-V7AWw_6E93bSpXj_XxVv1oVQctk-B6z1dNEWU/edit?usp=share_link"",""สงขลา!N202"")+IMPORTRANGE(""https://docs.google.com/spreadsheets/d/16cywr71Fj4fA5OGRHsZh30ZG2gwJhMAQv69oVBzYHv0/edit?usp=share_link"",""สตูล!N202"")+IMP"&amp;"ORTRANGE(""https://docs.google.com/spreadsheets/d/1vO9Sws6kMtrVtyvrAJptINXjK8TFBoX9xLYOVK_C8bQ/edit?usp=share_link"",""สุราษฎร์ธานี!N202"")"),0)</f>
        <v>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20.25" customHeight="1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20.25" customHeight="1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IFERROR(__xludf.DUMMYFUNCTION("IMPORTRANGE(""https://docs.google.com/spreadsheets/d/1kC41EOXpGBFOW658Fs3oD8beYlym0-zO54WY-2Qnp9I/edit?usp=share_link"",""กระบี่!I204"")
+IMPORTRANGE(""https://docs.google.com/spreadsheets/d/1FbzMZY_f3MDiEuK7RpCQKrilJ_kpX0Wm7QBZ1L7EjIU/edit?usp=share_link"&amp;""",""ชุมพร!I204"")+IMPORTRANGE(""https://docs.google.com/spreadsheets/d/1v5sN-00LrXuhBxw4dkh2GrG_z4l5oAqOdJRBCsUyMaM/edit?usp=share_link"",""ตรัง!I204"")+IMPORTRANGE(""https://docs.google.com/spreadsheets/d/1T5rRTzFc79aSIvqnzkZNvwPstq829QYz_xALlO1Z0s8/edi"&amp;"t?usp=share_link"",""นครศรีธรรมราช!I204"")+IMPORTRANGE(""https://docs.google.com/spreadsheets/d/1BeghqumK0IvCmRd2QOy6_afsZq7ZtAGrSnVJy2u7WmY/edit?usp=share_link"",""นราธิวาส!I204"")+IMPORTRANGE(""https://docs.google.com/spreadsheets/d/1IwnW3-jjRf74MCLW-6P"&amp;"iFwMUffRQXZwZA7YM609NmRc/edit?usp=share_link"",""ปัตตานี!I204"")+IMPORTRANGE(""https://docs.google.com/spreadsheets/d/1vl4QWbWdFruual5o_wdo6ZSqXZ_it806oja4CctTLKs/edit?usp=share_link"",""พังงา!I204"")+IMPORTRANGE(""https://docs.google.com/spreadsheets/d/1"&amp;"b6QssHQp2FoAPSMKHOy273KNzAomaIKhtdlvuZ_zDNE/edit?usp=share_link"",""พัทลุง!I204"")+IMPORTRANGE(""https://docs.google.com/spreadsheets/d/1o7UZe4_OqlqtLDHrj01Z2YFRSZDf1DMy1n3XViHaxRc/edit?usp=share_link"",""ภูเก็ต!I204"")+IMPORTRANGE(""https://docs.google.c"&amp;"om/spreadsheets/d/1ctPm1vUzcUCPuOj9-eoHUD85PqINFqUB0TjdSWmR5-c/edit?usp=share_link"",""ยะลา!I204"")+IMPORTRANGE(""https://docs.google.com/spreadsheets/d/1YiDIE7Klmt8osgdapRqYWNr7iPGFSsiJqq46S7PYRE0/edit?usp=share_link"",""ระนอง!I204"")+IMPORTRANGE(""https"&amp;"://docs.google.com/spreadsheets/d/16o_4B-V7AWw_6E93bSpXj_XxVv1oVQctk-B6z1dNEWU/edit?usp=share_link"",""สงขลา!I204"")+IMPORTRANGE(""https://docs.google.com/spreadsheets/d/16cywr71Fj4fA5OGRHsZh30ZG2gwJhMAQv69oVBzYHv0/edit?usp=share_link"",""สตูล!I204"")+IMP"&amp;"ORTRANGE(""https://docs.google.com/spreadsheets/d/1vO9Sws6kMtrVtyvrAJptINXjK8TFBoX9xLYOVK_C8bQ/edit?usp=share_link"",""สุราษฎร์ธานี!I204"")"),28)</f>
        <v>28</v>
      </c>
      <c r="J204" s="183">
        <f ca="1">IFERROR(__xludf.DUMMYFUNCTION("IMPORTRANGE(""https://docs.google.com/spreadsheets/d/1kC41EOXpGBFOW658Fs3oD8beYlym0-zO54WY-2Qnp9I/edit?usp=share_link"",""กระบี่!J204"")
+IMPORTRANGE(""https://docs.google.com/spreadsheets/d/1FbzMZY_f3MDiEuK7RpCQKrilJ_kpX0Wm7QBZ1L7EjIU/edit?usp=share_link"&amp;""",""ชุมพร!J204"")+IMPORTRANGE(""https://docs.google.com/spreadsheets/d/1v5sN-00LrXuhBxw4dkh2GrG_z4l5oAqOdJRBCsUyMaM/edit?usp=share_link"",""ตรัง!J204"")+IMPORTRANGE(""https://docs.google.com/spreadsheets/d/1T5rRTzFc79aSIvqnzkZNvwPstq829QYz_xALlO1Z0s8/edi"&amp;"t?usp=share_link"",""นครศรีธรรมราช!J204"")+IMPORTRANGE(""https://docs.google.com/spreadsheets/d/1BeghqumK0IvCmRd2QOy6_afsZq7ZtAGrSnVJy2u7WmY/edit?usp=share_link"",""นราธิวาส!J204"")+IMPORTRANGE(""https://docs.google.com/spreadsheets/d/1IwnW3-jjRf74MCLW-6P"&amp;"iFwMUffRQXZwZA7YM609NmRc/edit?usp=share_link"",""ปัตตานี!J204"")+IMPORTRANGE(""https://docs.google.com/spreadsheets/d/1vl4QWbWdFruual5o_wdo6ZSqXZ_it806oja4CctTLKs/edit?usp=share_link"",""พังงา!J204"")+IMPORTRANGE(""https://docs.google.com/spreadsheets/d/1"&amp;"b6QssHQp2FoAPSMKHOy273KNzAomaIKhtdlvuZ_zDNE/edit?usp=share_link"",""พัทลุง!J204"")+IMPORTRANGE(""https://docs.google.com/spreadsheets/d/1o7UZe4_OqlqtLDHrj01Z2YFRSZDf1DMy1n3XViHaxRc/edit?usp=share_link"",""ภูเก็ต!J204"")+IMPORTRANGE(""https://docs.google.c"&amp;"om/spreadsheets/d/1ctPm1vUzcUCPuOj9-eoHUD85PqINFqUB0TjdSWmR5-c/edit?usp=share_link"",""ยะลา!J204"")+IMPORTRANGE(""https://docs.google.com/spreadsheets/d/1YiDIE7Klmt8osgdapRqYWNr7iPGFSsiJqq46S7PYRE0/edit?usp=share_link"",""ระนอง!J204"")+IMPORTRANGE(""https"&amp;"://docs.google.com/spreadsheets/d/16o_4B-V7AWw_6E93bSpXj_XxVv1oVQctk-B6z1dNEWU/edit?usp=share_link"",""สงขลา!J204"")+IMPORTRANGE(""https://docs.google.com/spreadsheets/d/16cywr71Fj4fA5OGRHsZh30ZG2gwJhMAQv69oVBzYHv0/edit?usp=share_link"",""สตูล!J204"")+IMP"&amp;"ORTRANGE(""https://docs.google.com/spreadsheets/d/1vO9Sws6kMtrVtyvrAJptINXjK8TFBoX9xLYOVK_C8bQ/edit?usp=share_link"",""สุราษฎร์ธานี!J204"")"),28)</f>
        <v>28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20.25" customHeight="1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20.25" customHeight="1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IFERROR(__xludf.DUMMYFUNCTION("IMPORTRANGE(""https://docs.google.com/spreadsheets/d/1kC41EOXpGBFOW658Fs3oD8beYlym0-zO54WY-2Qnp9I/edit?usp=share_link"",""กระบี่!I206"")
+IMPORTRANGE(""https://docs.google.com/spreadsheets/d/1FbzMZY_f3MDiEuK7RpCQKrilJ_kpX0Wm7QBZ1L7EjIU/edit?usp=share_link"&amp;""",""ชุมพร!I206"")+IMPORTRANGE(""https://docs.google.com/spreadsheets/d/1v5sN-00LrXuhBxw4dkh2GrG_z4l5oAqOdJRBCsUyMaM/edit?usp=share_link"",""ตรัง!I206"")+IMPORTRANGE(""https://docs.google.com/spreadsheets/d/1T5rRTzFc79aSIvqnzkZNvwPstq829QYz_xALlO1Z0s8/edi"&amp;"t?usp=share_link"",""นครศรีธรรมราช!I206"")+IMPORTRANGE(""https://docs.google.com/spreadsheets/d/1BeghqumK0IvCmRd2QOy6_afsZq7ZtAGrSnVJy2u7WmY/edit?usp=share_link"",""นราธิวาส!I206"")+IMPORTRANGE(""https://docs.google.com/spreadsheets/d/1IwnW3-jjRf74MCLW-6P"&amp;"iFwMUffRQXZwZA7YM609NmRc/edit?usp=share_link"",""ปัตตานี!I206"")+IMPORTRANGE(""https://docs.google.com/spreadsheets/d/1vl4QWbWdFruual5o_wdo6ZSqXZ_it806oja4CctTLKs/edit?usp=share_link"",""พังงา!I206"")+IMPORTRANGE(""https://docs.google.com/spreadsheets/d/1"&amp;"b6QssHQp2FoAPSMKHOy273KNzAomaIKhtdlvuZ_zDNE/edit?usp=share_link"",""พัทลุง!I206"")+IMPORTRANGE(""https://docs.google.com/spreadsheets/d/1o7UZe4_OqlqtLDHrj01Z2YFRSZDf1DMy1n3XViHaxRc/edit?usp=share_link"",""ภูเก็ต!I206"")+IMPORTRANGE(""https://docs.google.c"&amp;"om/spreadsheets/d/1ctPm1vUzcUCPuOj9-eoHUD85PqINFqUB0TjdSWmR5-c/edit?usp=share_link"",""ยะลา!I206"")+IMPORTRANGE(""https://docs.google.com/spreadsheets/d/1YiDIE7Klmt8osgdapRqYWNr7iPGFSsiJqq46S7PYRE0/edit?usp=share_link"",""ระนอง!I206"")+IMPORTRANGE(""https"&amp;"://docs.google.com/spreadsheets/d/16o_4B-V7AWw_6E93bSpXj_XxVv1oVQctk-B6z1dNEWU/edit?usp=share_link"",""สงขลา!I206"")+IMPORTRANGE(""https://docs.google.com/spreadsheets/d/16cywr71Fj4fA5OGRHsZh30ZG2gwJhMAQv69oVBzYHv0/edit?usp=share_link"",""สตูล!I206"")+IMP"&amp;"ORTRANGE(""https://docs.google.com/spreadsheets/d/1vO9Sws6kMtrVtyvrAJptINXjK8TFBoX9xLYOVK_C8bQ/edit?usp=share_link"",""สุราษฎร์ธานี!I206"")"),28)</f>
        <v>28</v>
      </c>
      <c r="J206" s="183">
        <f ca="1">IFERROR(__xludf.DUMMYFUNCTION("IMPORTRANGE(""https://docs.google.com/spreadsheets/d/1kC41EOXpGBFOW658Fs3oD8beYlym0-zO54WY-2Qnp9I/edit?usp=share_link"",""กระบี่!J206"")
+IMPORTRANGE(""https://docs.google.com/spreadsheets/d/1FbzMZY_f3MDiEuK7RpCQKrilJ_kpX0Wm7QBZ1L7EjIU/edit?usp=share_link"&amp;""",""ชุมพร!J206"")+IMPORTRANGE(""https://docs.google.com/spreadsheets/d/1v5sN-00LrXuhBxw4dkh2GrG_z4l5oAqOdJRBCsUyMaM/edit?usp=share_link"",""ตรัง!J206"")+IMPORTRANGE(""https://docs.google.com/spreadsheets/d/1T5rRTzFc79aSIvqnzkZNvwPstq829QYz_xALlO1Z0s8/edi"&amp;"t?usp=share_link"",""นครศรีธรรมราช!J206"")+IMPORTRANGE(""https://docs.google.com/spreadsheets/d/1BeghqumK0IvCmRd2QOy6_afsZq7ZtAGrSnVJy2u7WmY/edit?usp=share_link"",""นราธิวาส!J206"")+IMPORTRANGE(""https://docs.google.com/spreadsheets/d/1IwnW3-jjRf74MCLW-6P"&amp;"iFwMUffRQXZwZA7YM609NmRc/edit?usp=share_link"",""ปัตตานี!J206"")+IMPORTRANGE(""https://docs.google.com/spreadsheets/d/1vl4QWbWdFruual5o_wdo6ZSqXZ_it806oja4CctTLKs/edit?usp=share_link"",""พังงา!J206"")+IMPORTRANGE(""https://docs.google.com/spreadsheets/d/1"&amp;"b6QssHQp2FoAPSMKHOy273KNzAomaIKhtdlvuZ_zDNE/edit?usp=share_link"",""พัทลุง!J206"")+IMPORTRANGE(""https://docs.google.com/spreadsheets/d/1o7UZe4_OqlqtLDHrj01Z2YFRSZDf1DMy1n3XViHaxRc/edit?usp=share_link"",""ภูเก็ต!J206"")+IMPORTRANGE(""https://docs.google.c"&amp;"om/spreadsheets/d/1ctPm1vUzcUCPuOj9-eoHUD85PqINFqUB0TjdSWmR5-c/edit?usp=share_link"",""ยะลา!J206"")+IMPORTRANGE(""https://docs.google.com/spreadsheets/d/1YiDIE7Klmt8osgdapRqYWNr7iPGFSsiJqq46S7PYRE0/edit?usp=share_link"",""ระนอง!J206"")+IMPORTRANGE(""https"&amp;"://docs.google.com/spreadsheets/d/16o_4B-V7AWw_6E93bSpXj_XxVv1oVQctk-B6z1dNEWU/edit?usp=share_link"",""สงขลา!J206"")+IMPORTRANGE(""https://docs.google.com/spreadsheets/d/16cywr71Fj4fA5OGRHsZh30ZG2gwJhMAQv69oVBzYHv0/edit?usp=share_link"",""สตูล!J206"")+IMP"&amp;"ORTRANGE(""https://docs.google.com/spreadsheets/d/1vO9Sws6kMtrVtyvrAJptINXjK8TFBoX9xLYOVK_C8bQ/edit?usp=share_link"",""สุราษฎร์ธานี!J206"")"),17)</f>
        <v>17</v>
      </c>
      <c r="K206" s="163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20.25" customHeight="1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IFERROR(__xludf.DUMMYFUNCTION("IMPORTRANGE(""https://docs.google.com/spreadsheets/d/1kC41EOXpGBFOW658Fs3oD8beYlym0-zO54WY-2Qnp9I/edit?usp=share_link"",""กระบี่!I207"")
+IMPORTRANGE(""https://docs.google.com/spreadsheets/d/1FbzMZY_f3MDiEuK7RpCQKrilJ_kpX0Wm7QBZ1L7EjIU/edit?usp=share_link"&amp;""",""ชุมพร!I207"")+IMPORTRANGE(""https://docs.google.com/spreadsheets/d/1v5sN-00LrXuhBxw4dkh2GrG_z4l5oAqOdJRBCsUyMaM/edit?usp=share_link"",""ตรัง!I207"")+IMPORTRANGE(""https://docs.google.com/spreadsheets/d/1T5rRTzFc79aSIvqnzkZNvwPstq829QYz_xALlO1Z0s8/edi"&amp;"t?usp=share_link"",""นครศรีธรรมราช!I207"")+IMPORTRANGE(""https://docs.google.com/spreadsheets/d/1BeghqumK0IvCmRd2QOy6_afsZq7ZtAGrSnVJy2u7WmY/edit?usp=share_link"",""นราธิวาส!I207"")+IMPORTRANGE(""https://docs.google.com/spreadsheets/d/1IwnW3-jjRf74MCLW-6P"&amp;"iFwMUffRQXZwZA7YM609NmRc/edit?usp=share_link"",""ปัตตานี!I207"")+IMPORTRANGE(""https://docs.google.com/spreadsheets/d/1vl4QWbWdFruual5o_wdo6ZSqXZ_it806oja4CctTLKs/edit?usp=share_link"",""พังงา!I207"")+IMPORTRANGE(""https://docs.google.com/spreadsheets/d/1"&amp;"b6QssHQp2FoAPSMKHOy273KNzAomaIKhtdlvuZ_zDNE/edit?usp=share_link"",""พัทลุง!I207"")+IMPORTRANGE(""https://docs.google.com/spreadsheets/d/1o7UZe4_OqlqtLDHrj01Z2YFRSZDf1DMy1n3XViHaxRc/edit?usp=share_link"",""ภูเก็ต!I207"")+IMPORTRANGE(""https://docs.google.c"&amp;"om/spreadsheets/d/1ctPm1vUzcUCPuOj9-eoHUD85PqINFqUB0TjdSWmR5-c/edit?usp=share_link"",""ยะลา!I207"")+IMPORTRANGE(""https://docs.google.com/spreadsheets/d/1YiDIE7Klmt8osgdapRqYWNr7iPGFSsiJqq46S7PYRE0/edit?usp=share_link"",""ระนอง!I207"")+IMPORTRANGE(""https"&amp;"://docs.google.com/spreadsheets/d/16o_4B-V7AWw_6E93bSpXj_XxVv1oVQctk-B6z1dNEWU/edit?usp=share_link"",""สงขลา!I207"")+IMPORTRANGE(""https://docs.google.com/spreadsheets/d/16cywr71Fj4fA5OGRHsZh30ZG2gwJhMAQv69oVBzYHv0/edit?usp=share_link"",""สตูล!I207"")+IMP"&amp;"ORTRANGE(""https://docs.google.com/spreadsheets/d/1vO9Sws6kMtrVtyvrAJptINXjK8TFBoX9xLYOVK_C8bQ/edit?usp=share_link"",""สุราษฎร์ธานี!I207"")"),2)</f>
        <v>2</v>
      </c>
      <c r="J207" s="183">
        <f ca="1">IFERROR(__xludf.DUMMYFUNCTION("IMPORTRANGE(""https://docs.google.com/spreadsheets/d/1kC41EOXpGBFOW658Fs3oD8beYlym0-zO54WY-2Qnp9I/edit?usp=share_link"",""กระบี่!J207"")
+IMPORTRANGE(""https://docs.google.com/spreadsheets/d/1FbzMZY_f3MDiEuK7RpCQKrilJ_kpX0Wm7QBZ1L7EjIU/edit?usp=share_link"&amp;""",""ชุมพร!J207"")+IMPORTRANGE(""https://docs.google.com/spreadsheets/d/1v5sN-00LrXuhBxw4dkh2GrG_z4l5oAqOdJRBCsUyMaM/edit?usp=share_link"",""ตรัง!J207"")+IMPORTRANGE(""https://docs.google.com/spreadsheets/d/1T5rRTzFc79aSIvqnzkZNvwPstq829QYz_xALlO1Z0s8/edi"&amp;"t?usp=share_link"",""นครศรีธรรมราช!J207"")+IMPORTRANGE(""https://docs.google.com/spreadsheets/d/1BeghqumK0IvCmRd2QOy6_afsZq7ZtAGrSnVJy2u7WmY/edit?usp=share_link"",""นราธิวาส!J207"")+IMPORTRANGE(""https://docs.google.com/spreadsheets/d/1IwnW3-jjRf74MCLW-6P"&amp;"iFwMUffRQXZwZA7YM609NmRc/edit?usp=share_link"",""ปัตตานี!J207"")+IMPORTRANGE(""https://docs.google.com/spreadsheets/d/1vl4QWbWdFruual5o_wdo6ZSqXZ_it806oja4CctTLKs/edit?usp=share_link"",""พังงา!J207"")+IMPORTRANGE(""https://docs.google.com/spreadsheets/d/1"&amp;"b6QssHQp2FoAPSMKHOy273KNzAomaIKhtdlvuZ_zDNE/edit?usp=share_link"",""พัทลุง!J207"")+IMPORTRANGE(""https://docs.google.com/spreadsheets/d/1o7UZe4_OqlqtLDHrj01Z2YFRSZDf1DMy1n3XViHaxRc/edit?usp=share_link"",""ภูเก็ต!J207"")+IMPORTRANGE(""https://docs.google.c"&amp;"om/spreadsheets/d/1ctPm1vUzcUCPuOj9-eoHUD85PqINFqUB0TjdSWmR5-c/edit?usp=share_link"",""ยะลา!J207"")+IMPORTRANGE(""https://docs.google.com/spreadsheets/d/1YiDIE7Klmt8osgdapRqYWNr7iPGFSsiJqq46S7PYRE0/edit?usp=share_link"",""ระนอง!J207"")+IMPORTRANGE(""https"&amp;"://docs.google.com/spreadsheets/d/16o_4B-V7AWw_6E93bSpXj_XxVv1oVQctk-B6z1dNEWU/edit?usp=share_link"",""สงขลา!J207"")+IMPORTRANGE(""https://docs.google.com/spreadsheets/d/16cywr71Fj4fA5OGRHsZh30ZG2gwJhMAQv69oVBzYHv0/edit?usp=share_link"",""สตูล!J207"")+IMP"&amp;"ORTRANGE(""https://docs.google.com/spreadsheets/d/1vO9Sws6kMtrVtyvrAJptINXjK8TFBoX9xLYOVK_C8bQ/edit?usp=share_link"",""สุราษฎร์ธานี!J207"")"),40)</f>
        <v>40</v>
      </c>
      <c r="K207" s="163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20.25" customHeight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1">I215</f>
        <v>10</v>
      </c>
      <c r="J208" s="272">
        <f t="shared" ca="1" si="121"/>
        <v>10</v>
      </c>
      <c r="K208" s="273">
        <f ca="1">IF(I208&gt;0,J208*100/I208,0)</f>
        <v>100</v>
      </c>
      <c r="L208" s="262"/>
      <c r="M208" s="262"/>
      <c r="N208" s="262"/>
      <c r="O208" s="262"/>
      <c r="P208" s="262"/>
    </row>
    <row r="209" spans="1:26" ht="20.25" customHeight="1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140000</v>
      </c>
      <c r="M209" s="155"/>
      <c r="N209" s="155">
        <f ca="1">N210+N211+N212</f>
        <v>81805</v>
      </c>
      <c r="O209" s="155">
        <f ca="1">IF(L209&gt;0,N209*100/L209,0)</f>
        <v>58.432142857142857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20.25" customHeight="1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IFERROR(__xludf.DUMMYFUNCTION("IMPORTRANGE(""https://docs.google.com/spreadsheets/d/1kC41EOXpGBFOW658Fs3oD8beYlym0-zO54WY-2Qnp9I/edit?usp=share_link"",""กระบี่!L210"")
+IMPORTRANGE(""https://docs.google.com/spreadsheets/d/1FbzMZY_f3MDiEuK7RpCQKrilJ_kpX0Wm7QBZ1L7EjIU/edit?usp=share_link"&amp;""",""ชุมพร!L210"")+IMPORTRANGE(""https://docs.google.com/spreadsheets/d/1v5sN-00LrXuhBxw4dkh2GrG_z4l5oAqOdJRBCsUyMaM/edit?usp=share_link"",""ตรัง!L210"")+IMPORTRANGE(""https://docs.google.com/spreadsheets/d/1T5rRTzFc79aSIvqnzkZNvwPstq829QYz_xALlO1Z0s8/edi"&amp;"t?usp=share_link"",""นครศรีธรรมราช!L210"")+IMPORTRANGE(""https://docs.google.com/spreadsheets/d/1BeghqumK0IvCmRd2QOy6_afsZq7ZtAGrSnVJy2u7WmY/edit?usp=share_link"",""นราธิวาส!L210"")+IMPORTRANGE(""https://docs.google.com/spreadsheets/d/1IwnW3-jjRf74MCLW-6P"&amp;"iFwMUffRQXZwZA7YM609NmRc/edit?usp=share_link"",""ปัตตานี!L210"")+IMPORTRANGE(""https://docs.google.com/spreadsheets/d/1vl4QWbWdFruual5o_wdo6ZSqXZ_it806oja4CctTLKs/edit?usp=share_link"",""พังงา!L210"")+IMPORTRANGE(""https://docs.google.com/spreadsheets/d/1"&amp;"b6QssHQp2FoAPSMKHOy273KNzAomaIKhtdlvuZ_zDNE/edit?usp=share_link"",""พัทลุง!L210"")+IMPORTRANGE(""https://docs.google.com/spreadsheets/d/1o7UZe4_OqlqtLDHrj01Z2YFRSZDf1DMy1n3XViHaxRc/edit?usp=share_link"",""ภูเก็ต!L210"")+IMPORTRANGE(""https://docs.google.c"&amp;"om/spreadsheets/d/1ctPm1vUzcUCPuOj9-eoHUD85PqINFqUB0TjdSWmR5-c/edit?usp=share_link"",""ยะลา!L210"")+IMPORTRANGE(""https://docs.google.com/spreadsheets/d/1YiDIE7Klmt8osgdapRqYWNr7iPGFSsiJqq46S7PYRE0/edit?usp=share_link"",""ระนอง!L210"")+IMPORTRANGE(""https"&amp;"://docs.google.com/spreadsheets/d/16o_4B-V7AWw_6E93bSpXj_XxVv1oVQctk-B6z1dNEWU/edit?usp=share_link"",""สงขลา!L210"")+IMPORTRANGE(""https://docs.google.com/spreadsheets/d/16cywr71Fj4fA5OGRHsZh30ZG2gwJhMAQv69oVBzYHv0/edit?usp=share_link"",""สตูล!L210"")+IMP"&amp;"ORTRANGE(""https://docs.google.com/spreadsheets/d/1vO9Sws6kMtrVtyvrAJptINXjK8TFBoX9xLYOVK_C8bQ/edit?usp=share_link"",""สุราษฎร์ธานี!L210"")"),10000)</f>
        <v>10000</v>
      </c>
      <c r="M210" s="38"/>
      <c r="N210" s="283">
        <f ca="1">IFERROR(__xludf.DUMMYFUNCTION("IMPORTRANGE(""https://docs.google.com/spreadsheets/d/1kC41EOXpGBFOW658Fs3oD8beYlym0-zO54WY-2Qnp9I/edit?usp=share_link"",""กระบี่!N210"")
+IMPORTRANGE(""https://docs.google.com/spreadsheets/d/1FbzMZY_f3MDiEuK7RpCQKrilJ_kpX0Wm7QBZ1L7EjIU/edit?usp=share_link"&amp;""",""ชุมพร!N210"")+IMPORTRANGE(""https://docs.google.com/spreadsheets/d/1v5sN-00LrXuhBxw4dkh2GrG_z4l5oAqOdJRBCsUyMaM/edit?usp=share_link"",""ตรัง!N210"")+IMPORTRANGE(""https://docs.google.com/spreadsheets/d/1T5rRTzFc79aSIvqnzkZNvwPstq829QYz_xALlO1Z0s8/edi"&amp;"t?usp=share_link"",""นครศรีธรรมราช!N210"")+IMPORTRANGE(""https://docs.google.com/spreadsheets/d/1BeghqumK0IvCmRd2QOy6_afsZq7ZtAGrSnVJy2u7WmY/edit?usp=share_link"",""นราธิวาส!N210"")+IMPORTRANGE(""https://docs.google.com/spreadsheets/d/1IwnW3-jjRf74MCLW-6P"&amp;"iFwMUffRQXZwZA7YM609NmRc/edit?usp=share_link"",""ปัตตานี!N210"")+IMPORTRANGE(""https://docs.google.com/spreadsheets/d/1vl4QWbWdFruual5o_wdo6ZSqXZ_it806oja4CctTLKs/edit?usp=share_link"",""พังงา!N210"")+IMPORTRANGE(""https://docs.google.com/spreadsheets/d/1"&amp;"b6QssHQp2FoAPSMKHOy273KNzAomaIKhtdlvuZ_zDNE/edit?usp=share_link"",""พัทลุง!N210"")+IMPORTRANGE(""https://docs.google.com/spreadsheets/d/1o7UZe4_OqlqtLDHrj01Z2YFRSZDf1DMy1n3XViHaxRc/edit?usp=share_link"",""ภูเก็ต!N210"")+IMPORTRANGE(""https://docs.google.c"&amp;"om/spreadsheets/d/1ctPm1vUzcUCPuOj9-eoHUD85PqINFqUB0TjdSWmR5-c/edit?usp=share_link"",""ยะลา!N210"")+IMPORTRANGE(""https://docs.google.com/spreadsheets/d/1YiDIE7Klmt8osgdapRqYWNr7iPGFSsiJqq46S7PYRE0/edit?usp=share_link"",""ระนอง!N210"")+IMPORTRANGE(""https"&amp;"://docs.google.com/spreadsheets/d/16o_4B-V7AWw_6E93bSpXj_XxVv1oVQctk-B6z1dNEWU/edit?usp=share_link"",""สงขลา!N210"")+IMPORTRANGE(""https://docs.google.com/spreadsheets/d/16cywr71Fj4fA5OGRHsZh30ZG2gwJhMAQv69oVBzYHv0/edit?usp=share_link"",""สตูล!N210"")+IMP"&amp;"ORTRANGE(""https://docs.google.com/spreadsheets/d/1vO9Sws6kMtrVtyvrAJptINXjK8TFBoX9xLYOVK_C8bQ/edit?usp=share_link"",""สุราษฎร์ธานี!N210"")"),1500)</f>
        <v>1500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20.25" customHeight="1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IFERROR(__xludf.DUMMYFUNCTION("IMPORTRANGE(""https://docs.google.com/spreadsheets/d/1kC41EOXpGBFOW658Fs3oD8beYlym0-zO54WY-2Qnp9I/edit?usp=share_link"",""กระบี่!L211"")
+IMPORTRANGE(""https://docs.google.com/spreadsheets/d/1FbzMZY_f3MDiEuK7RpCQKrilJ_kpX0Wm7QBZ1L7EjIU/edit?usp=share_link"&amp;""",""ชุมพร!L211"")+IMPORTRANGE(""https://docs.google.com/spreadsheets/d/1v5sN-00LrXuhBxw4dkh2GrG_z4l5oAqOdJRBCsUyMaM/edit?usp=share_link"",""ตรัง!L211"")+IMPORTRANGE(""https://docs.google.com/spreadsheets/d/1T5rRTzFc79aSIvqnzkZNvwPstq829QYz_xALlO1Z0s8/edi"&amp;"t?usp=share_link"",""นครศรีธรรมราช!L211"")+IMPORTRANGE(""https://docs.google.com/spreadsheets/d/1BeghqumK0IvCmRd2QOy6_afsZq7ZtAGrSnVJy2u7WmY/edit?usp=share_link"",""นราธิวาส!L211"")+IMPORTRANGE(""https://docs.google.com/spreadsheets/d/1IwnW3-jjRf74MCLW-6P"&amp;"iFwMUffRQXZwZA7YM609NmRc/edit?usp=share_link"",""ปัตตานี!L211"")+IMPORTRANGE(""https://docs.google.com/spreadsheets/d/1vl4QWbWdFruual5o_wdo6ZSqXZ_it806oja4CctTLKs/edit?usp=share_link"",""พังงา!L211"")+IMPORTRANGE(""https://docs.google.com/spreadsheets/d/1"&amp;"b6QssHQp2FoAPSMKHOy273KNzAomaIKhtdlvuZ_zDNE/edit?usp=share_link"",""พัทลุง!L211"")+IMPORTRANGE(""https://docs.google.com/spreadsheets/d/1o7UZe4_OqlqtLDHrj01Z2YFRSZDf1DMy1n3XViHaxRc/edit?usp=share_link"",""ภูเก็ต!L211"")+IMPORTRANGE(""https://docs.google.c"&amp;"om/spreadsheets/d/1ctPm1vUzcUCPuOj9-eoHUD85PqINFqUB0TjdSWmR5-c/edit?usp=share_link"",""ยะลา!L211"")+IMPORTRANGE(""https://docs.google.com/spreadsheets/d/1YiDIE7Klmt8osgdapRqYWNr7iPGFSsiJqq46S7PYRE0/edit?usp=share_link"",""ระนอง!L211"")+IMPORTRANGE(""https"&amp;"://docs.google.com/spreadsheets/d/16o_4B-V7AWw_6E93bSpXj_XxVv1oVQctk-B6z1dNEWU/edit?usp=share_link"",""สงขลา!L211"")+IMPORTRANGE(""https://docs.google.com/spreadsheets/d/16cywr71Fj4fA5OGRHsZh30ZG2gwJhMAQv69oVBzYHv0/edit?usp=share_link"",""สตูล!L211"")+IMP"&amp;"ORTRANGE(""https://docs.google.com/spreadsheets/d/1vO9Sws6kMtrVtyvrAJptINXjK8TFBoX9xLYOVK_C8bQ/edit?usp=share_link"",""สุราษฎร์ธานี!L211"")"),50000)</f>
        <v>50000</v>
      </c>
      <c r="M211" s="38"/>
      <c r="N211" s="283">
        <f ca="1">IFERROR(__xludf.DUMMYFUNCTION("IMPORTRANGE(""https://docs.google.com/spreadsheets/d/1kC41EOXpGBFOW658Fs3oD8beYlym0-zO54WY-2Qnp9I/edit?usp=share_link"",""กระบี่!N211"")
+IMPORTRANGE(""https://docs.google.com/spreadsheets/d/1FbzMZY_f3MDiEuK7RpCQKrilJ_kpX0Wm7QBZ1L7EjIU/edit?usp=share_link"&amp;""",""ชุมพร!N211"")+IMPORTRANGE(""https://docs.google.com/spreadsheets/d/1v5sN-00LrXuhBxw4dkh2GrG_z4l5oAqOdJRBCsUyMaM/edit?usp=share_link"",""ตรัง!N211"")+IMPORTRANGE(""https://docs.google.com/spreadsheets/d/1T5rRTzFc79aSIvqnzkZNvwPstq829QYz_xALlO1Z0s8/edi"&amp;"t?usp=share_link"",""นครศรีธรรมราช!N211"")+IMPORTRANGE(""https://docs.google.com/spreadsheets/d/1BeghqumK0IvCmRd2QOy6_afsZq7ZtAGrSnVJy2u7WmY/edit?usp=share_link"",""นราธิวาส!N211"")+IMPORTRANGE(""https://docs.google.com/spreadsheets/d/1IwnW3-jjRf74MCLW-6P"&amp;"iFwMUffRQXZwZA7YM609NmRc/edit?usp=share_link"",""ปัตตานี!N211"")+IMPORTRANGE(""https://docs.google.com/spreadsheets/d/1vl4QWbWdFruual5o_wdo6ZSqXZ_it806oja4CctTLKs/edit?usp=share_link"",""พังงา!N211"")+IMPORTRANGE(""https://docs.google.com/spreadsheets/d/1"&amp;"b6QssHQp2FoAPSMKHOy273KNzAomaIKhtdlvuZ_zDNE/edit?usp=share_link"",""พัทลุง!N211"")+IMPORTRANGE(""https://docs.google.com/spreadsheets/d/1o7UZe4_OqlqtLDHrj01Z2YFRSZDf1DMy1n3XViHaxRc/edit?usp=share_link"",""ภูเก็ต!N211"")+IMPORTRANGE(""https://docs.google.c"&amp;"om/spreadsheets/d/1ctPm1vUzcUCPuOj9-eoHUD85PqINFqUB0TjdSWmR5-c/edit?usp=share_link"",""ยะลา!N211"")+IMPORTRANGE(""https://docs.google.com/spreadsheets/d/1YiDIE7Klmt8osgdapRqYWNr7iPGFSsiJqq46S7PYRE0/edit?usp=share_link"",""ระนอง!N211"")+IMPORTRANGE(""https"&amp;"://docs.google.com/spreadsheets/d/16o_4B-V7AWw_6E93bSpXj_XxVv1oVQctk-B6z1dNEWU/edit?usp=share_link"",""สงขลา!N211"")+IMPORTRANGE(""https://docs.google.com/spreadsheets/d/16cywr71Fj4fA5OGRHsZh30ZG2gwJhMAQv69oVBzYHv0/edit?usp=share_link"",""สตูล!N211"")+IMP"&amp;"ORTRANGE(""https://docs.google.com/spreadsheets/d/1vO9Sws6kMtrVtyvrAJptINXjK8TFBoX9xLYOVK_C8bQ/edit?usp=share_link"",""สุราษฎร์ธานี!N211"")"),0)</f>
        <v>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20.25" customHeight="1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IFERROR(__xludf.DUMMYFUNCTION("IMPORTRANGE(""https://docs.google.com/spreadsheets/d/1kC41EOXpGBFOW658Fs3oD8beYlym0-zO54WY-2Qnp9I/edit?usp=share_link"",""กระบี่!L212"")
+IMPORTRANGE(""https://docs.google.com/spreadsheets/d/1FbzMZY_f3MDiEuK7RpCQKrilJ_kpX0Wm7QBZ1L7EjIU/edit?usp=share_link"&amp;""",""ชุมพร!L212"")+IMPORTRANGE(""https://docs.google.com/spreadsheets/d/1v5sN-00LrXuhBxw4dkh2GrG_z4l5oAqOdJRBCsUyMaM/edit?usp=share_link"",""ตรัง!L212"")+IMPORTRANGE(""https://docs.google.com/spreadsheets/d/1T5rRTzFc79aSIvqnzkZNvwPstq829QYz_xALlO1Z0s8/edi"&amp;"t?usp=share_link"",""นครศรีธรรมราช!L212"")+IMPORTRANGE(""https://docs.google.com/spreadsheets/d/1BeghqumK0IvCmRd2QOy6_afsZq7ZtAGrSnVJy2u7WmY/edit?usp=share_link"",""นราธิวาส!L212"")+IMPORTRANGE(""https://docs.google.com/spreadsheets/d/1IwnW3-jjRf74MCLW-6P"&amp;"iFwMUffRQXZwZA7YM609NmRc/edit?usp=share_link"",""ปัตตานี!L212"")+IMPORTRANGE(""https://docs.google.com/spreadsheets/d/1vl4QWbWdFruual5o_wdo6ZSqXZ_it806oja4CctTLKs/edit?usp=share_link"",""พังงา!L212"")+IMPORTRANGE(""https://docs.google.com/spreadsheets/d/1"&amp;"b6QssHQp2FoAPSMKHOy273KNzAomaIKhtdlvuZ_zDNE/edit?usp=share_link"",""พัทลุง!L212"")+IMPORTRANGE(""https://docs.google.com/spreadsheets/d/1o7UZe4_OqlqtLDHrj01Z2YFRSZDf1DMy1n3XViHaxRc/edit?usp=share_link"",""ภูเก็ต!L212"")+IMPORTRANGE(""https://docs.google.c"&amp;"om/spreadsheets/d/1ctPm1vUzcUCPuOj9-eoHUD85PqINFqUB0TjdSWmR5-c/edit?usp=share_link"",""ยะลา!L212"")+IMPORTRANGE(""https://docs.google.com/spreadsheets/d/1YiDIE7Klmt8osgdapRqYWNr7iPGFSsiJqq46S7PYRE0/edit?usp=share_link"",""ระนอง!L212"")+IMPORTRANGE(""https"&amp;"://docs.google.com/spreadsheets/d/16o_4B-V7AWw_6E93bSpXj_XxVv1oVQctk-B6z1dNEWU/edit?usp=share_link"",""สงขลา!L212"")+IMPORTRANGE(""https://docs.google.com/spreadsheets/d/16cywr71Fj4fA5OGRHsZh30ZG2gwJhMAQv69oVBzYHv0/edit?usp=share_link"",""สตูล!L212"")+IMP"&amp;"ORTRANGE(""https://docs.google.com/spreadsheets/d/1vO9Sws6kMtrVtyvrAJptINXjK8TFBoX9xLYOVK_C8bQ/edit?usp=share_link"",""สุราษฎร์ธานี!L212"")"),80000)</f>
        <v>80000</v>
      </c>
      <c r="M212" s="38"/>
      <c r="N212" s="283">
        <f ca="1">IFERROR(__xludf.DUMMYFUNCTION("IMPORTRANGE(""https://docs.google.com/spreadsheets/d/1kC41EOXpGBFOW658Fs3oD8beYlym0-zO54WY-2Qnp9I/edit?usp=share_link"",""กระบี่!N212"")
+IMPORTRANGE(""https://docs.google.com/spreadsheets/d/1FbzMZY_f3MDiEuK7RpCQKrilJ_kpX0Wm7QBZ1L7EjIU/edit?usp=share_link"&amp;""",""ชุมพร!N212"")+IMPORTRANGE(""https://docs.google.com/spreadsheets/d/1v5sN-00LrXuhBxw4dkh2GrG_z4l5oAqOdJRBCsUyMaM/edit?usp=share_link"",""ตรัง!N212"")+IMPORTRANGE(""https://docs.google.com/spreadsheets/d/1T5rRTzFc79aSIvqnzkZNvwPstq829QYz_xALlO1Z0s8/edi"&amp;"t?usp=share_link"",""นครศรีธรรมราช!N212"")+IMPORTRANGE(""https://docs.google.com/spreadsheets/d/1BeghqumK0IvCmRd2QOy6_afsZq7ZtAGrSnVJy2u7WmY/edit?usp=share_link"",""นราธิวาส!N212"")+IMPORTRANGE(""https://docs.google.com/spreadsheets/d/1IwnW3-jjRf74MCLW-6P"&amp;"iFwMUffRQXZwZA7YM609NmRc/edit?usp=share_link"",""ปัตตานี!N212"")+IMPORTRANGE(""https://docs.google.com/spreadsheets/d/1vl4QWbWdFruual5o_wdo6ZSqXZ_it806oja4CctTLKs/edit?usp=share_link"",""พังงา!N212"")+IMPORTRANGE(""https://docs.google.com/spreadsheets/d/1"&amp;"b6QssHQp2FoAPSMKHOy273KNzAomaIKhtdlvuZ_zDNE/edit?usp=share_link"",""พัทลุง!N212"")+IMPORTRANGE(""https://docs.google.com/spreadsheets/d/1o7UZe4_OqlqtLDHrj01Z2YFRSZDf1DMy1n3XViHaxRc/edit?usp=share_link"",""ภูเก็ต!N212"")+IMPORTRANGE(""https://docs.google.c"&amp;"om/spreadsheets/d/1ctPm1vUzcUCPuOj9-eoHUD85PqINFqUB0TjdSWmR5-c/edit?usp=share_link"",""ยะลา!N212"")+IMPORTRANGE(""https://docs.google.com/spreadsheets/d/1YiDIE7Klmt8osgdapRqYWNr7iPGFSsiJqq46S7PYRE0/edit?usp=share_link"",""ระนอง!N212"")+IMPORTRANGE(""https"&amp;"://docs.google.com/spreadsheets/d/16o_4B-V7AWw_6E93bSpXj_XxVv1oVQctk-B6z1dNEWU/edit?usp=share_link"",""สงขลา!N212"")+IMPORTRANGE(""https://docs.google.com/spreadsheets/d/16cywr71Fj4fA5OGRHsZh30ZG2gwJhMAQv69oVBzYHv0/edit?usp=share_link"",""สตูล!N212"")+IMP"&amp;"ORTRANGE(""https://docs.google.com/spreadsheets/d/1vO9Sws6kMtrVtyvrAJptINXjK8TFBoX9xLYOVK_C8bQ/edit?usp=share_link"",""สุราษฎร์ธานี!N212"")"),80305)</f>
        <v>80305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20.25" customHeight="1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20.25" customHeight="1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IFERROR(__xludf.DUMMYFUNCTION("IMPORTRANGE(""https://docs.google.com/spreadsheets/d/1kC41EOXpGBFOW658Fs3oD8beYlym0-zO54WY-2Qnp9I/edit?usp=share_link"",""กระบี่!I214"")
+IMPORTRANGE(""https://docs.google.com/spreadsheets/d/1FbzMZY_f3MDiEuK7RpCQKrilJ_kpX0Wm7QBZ1L7EjIU/edit?usp=share_link"&amp;""",""ชุมพร!I214"")+IMPORTRANGE(""https://docs.google.com/spreadsheets/d/1v5sN-00LrXuhBxw4dkh2GrG_z4l5oAqOdJRBCsUyMaM/edit?usp=share_link"",""ตรัง!I214"")+IMPORTRANGE(""https://docs.google.com/spreadsheets/d/1T5rRTzFc79aSIvqnzkZNvwPstq829QYz_xALlO1Z0s8/edi"&amp;"t?usp=share_link"",""นครศรีธรรมราช!I214"")+IMPORTRANGE(""https://docs.google.com/spreadsheets/d/1BeghqumK0IvCmRd2QOy6_afsZq7ZtAGrSnVJy2u7WmY/edit?usp=share_link"",""นราธิวาส!I214"")+IMPORTRANGE(""https://docs.google.com/spreadsheets/d/1IwnW3-jjRf74MCLW-6P"&amp;"iFwMUffRQXZwZA7YM609NmRc/edit?usp=share_link"",""ปัตตานี!I214"")+IMPORTRANGE(""https://docs.google.com/spreadsheets/d/1vl4QWbWdFruual5o_wdo6ZSqXZ_it806oja4CctTLKs/edit?usp=share_link"",""พังงา!I214"")+IMPORTRANGE(""https://docs.google.com/spreadsheets/d/1"&amp;"b6QssHQp2FoAPSMKHOy273KNzAomaIKhtdlvuZ_zDNE/edit?usp=share_link"",""พัทลุง!I214"")+IMPORTRANGE(""https://docs.google.com/spreadsheets/d/1o7UZe4_OqlqtLDHrj01Z2YFRSZDf1DMy1n3XViHaxRc/edit?usp=share_link"",""ภูเก็ต!I214"")+IMPORTRANGE(""https://docs.google.c"&amp;"om/spreadsheets/d/1ctPm1vUzcUCPuOj9-eoHUD85PqINFqUB0TjdSWmR5-c/edit?usp=share_link"",""ยะลา!I214"")+IMPORTRANGE(""https://docs.google.com/spreadsheets/d/1YiDIE7Klmt8osgdapRqYWNr7iPGFSsiJqq46S7PYRE0/edit?usp=share_link"",""ระนอง!I214"")+IMPORTRANGE(""https"&amp;"://docs.google.com/spreadsheets/d/16o_4B-V7AWw_6E93bSpXj_XxVv1oVQctk-B6z1dNEWU/edit?usp=share_link"",""สงขลา!I214"")+IMPORTRANGE(""https://docs.google.com/spreadsheets/d/16cywr71Fj4fA5OGRHsZh30ZG2gwJhMAQv69oVBzYHv0/edit?usp=share_link"",""สตูล!I214"")+IMP"&amp;"ORTRANGE(""https://docs.google.com/spreadsheets/d/1vO9Sws6kMtrVtyvrAJptINXjK8TFBoX9xLYOVK_C8bQ/edit?usp=share_link"",""สุราษฎร์ธานี!I214"")"),10)</f>
        <v>10</v>
      </c>
      <c r="J214" s="183">
        <f ca="1">IFERROR(__xludf.DUMMYFUNCTION("IMPORTRANGE(""https://docs.google.com/spreadsheets/d/1kC41EOXpGBFOW658Fs3oD8beYlym0-zO54WY-2Qnp9I/edit?usp=share_link"",""กระบี่!J214"")
+IMPORTRANGE(""https://docs.google.com/spreadsheets/d/1FbzMZY_f3MDiEuK7RpCQKrilJ_kpX0Wm7QBZ1L7EjIU/edit?usp=share_link"&amp;""",""ชุมพร!J214"")+IMPORTRANGE(""https://docs.google.com/spreadsheets/d/1v5sN-00LrXuhBxw4dkh2GrG_z4l5oAqOdJRBCsUyMaM/edit?usp=share_link"",""ตรัง!J214"")+IMPORTRANGE(""https://docs.google.com/spreadsheets/d/1T5rRTzFc79aSIvqnzkZNvwPstq829QYz_xALlO1Z0s8/edi"&amp;"t?usp=share_link"",""นครศรีธรรมราช!J214"")+IMPORTRANGE(""https://docs.google.com/spreadsheets/d/1BeghqumK0IvCmRd2QOy6_afsZq7ZtAGrSnVJy2u7WmY/edit?usp=share_link"",""นราธิวาส!J214"")+IMPORTRANGE(""https://docs.google.com/spreadsheets/d/1IwnW3-jjRf74MCLW-6P"&amp;"iFwMUffRQXZwZA7YM609NmRc/edit?usp=share_link"",""ปัตตานี!J214"")+IMPORTRANGE(""https://docs.google.com/spreadsheets/d/1vl4QWbWdFruual5o_wdo6ZSqXZ_it806oja4CctTLKs/edit?usp=share_link"",""พังงา!J214"")+IMPORTRANGE(""https://docs.google.com/spreadsheets/d/1"&amp;"b6QssHQp2FoAPSMKHOy273KNzAomaIKhtdlvuZ_zDNE/edit?usp=share_link"",""พัทลุง!J214"")+IMPORTRANGE(""https://docs.google.com/spreadsheets/d/1o7UZe4_OqlqtLDHrj01Z2YFRSZDf1DMy1n3XViHaxRc/edit?usp=share_link"",""ภูเก็ต!J214"")+IMPORTRANGE(""https://docs.google.c"&amp;"om/spreadsheets/d/1ctPm1vUzcUCPuOj9-eoHUD85PqINFqUB0TjdSWmR5-c/edit?usp=share_link"",""ยะลา!J214"")+IMPORTRANGE(""https://docs.google.com/spreadsheets/d/1YiDIE7Klmt8osgdapRqYWNr7iPGFSsiJqq46S7PYRE0/edit?usp=share_link"",""ระนอง!J214"")+IMPORTRANGE(""https"&amp;"://docs.google.com/spreadsheets/d/16o_4B-V7AWw_6E93bSpXj_XxVv1oVQctk-B6z1dNEWU/edit?usp=share_link"",""สงขลา!J214"")+IMPORTRANGE(""https://docs.google.com/spreadsheets/d/16cywr71Fj4fA5OGRHsZh30ZG2gwJhMAQv69oVBzYHv0/edit?usp=share_link"",""สตูล!J214"")+IMP"&amp;"ORTRANGE(""https://docs.google.com/spreadsheets/d/1vO9Sws6kMtrVtyvrAJptINXjK8TFBoX9xLYOVK_C8bQ/edit?usp=share_link"",""สุราษฎร์ธานี!J214"")"),1)</f>
        <v>1</v>
      </c>
      <c r="K214" s="38">
        <f t="shared" ref="K214:K216" ca="1" si="122">IF(I214&gt;0,J214*100/I214,0)</f>
        <v>10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20.25" customHeight="1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IFERROR(__xludf.DUMMYFUNCTION("IMPORTRANGE(""https://docs.google.com/spreadsheets/d/1kC41EOXpGBFOW658Fs3oD8beYlym0-zO54WY-2Qnp9I/edit?usp=share_link"",""กระบี่!I215"")
+IMPORTRANGE(""https://docs.google.com/spreadsheets/d/1FbzMZY_f3MDiEuK7RpCQKrilJ_kpX0Wm7QBZ1L7EjIU/edit?usp=share_link"&amp;""",""ชุมพร!I215"")+IMPORTRANGE(""https://docs.google.com/spreadsheets/d/1v5sN-00LrXuhBxw4dkh2GrG_z4l5oAqOdJRBCsUyMaM/edit?usp=share_link"",""ตรัง!I215"")+IMPORTRANGE(""https://docs.google.com/spreadsheets/d/1T5rRTzFc79aSIvqnzkZNvwPstq829QYz_xALlO1Z0s8/edi"&amp;"t?usp=share_link"",""นครศรีธรรมราช!I215"")+IMPORTRANGE(""https://docs.google.com/spreadsheets/d/1BeghqumK0IvCmRd2QOy6_afsZq7ZtAGrSnVJy2u7WmY/edit?usp=share_link"",""นราธิวาส!I215"")+IMPORTRANGE(""https://docs.google.com/spreadsheets/d/1IwnW3-jjRf74MCLW-6P"&amp;"iFwMUffRQXZwZA7YM609NmRc/edit?usp=share_link"",""ปัตตานี!I215"")+IMPORTRANGE(""https://docs.google.com/spreadsheets/d/1vl4QWbWdFruual5o_wdo6ZSqXZ_it806oja4CctTLKs/edit?usp=share_link"",""พังงา!I215"")+IMPORTRANGE(""https://docs.google.com/spreadsheets/d/1"&amp;"b6QssHQp2FoAPSMKHOy273KNzAomaIKhtdlvuZ_zDNE/edit?usp=share_link"",""พัทลุง!I215"")+IMPORTRANGE(""https://docs.google.com/spreadsheets/d/1o7UZe4_OqlqtLDHrj01Z2YFRSZDf1DMy1n3XViHaxRc/edit?usp=share_link"",""ภูเก็ต!I215"")+IMPORTRANGE(""https://docs.google.c"&amp;"om/spreadsheets/d/1ctPm1vUzcUCPuOj9-eoHUD85PqINFqUB0TjdSWmR5-c/edit?usp=share_link"",""ยะลา!I215"")+IMPORTRANGE(""https://docs.google.com/spreadsheets/d/1YiDIE7Klmt8osgdapRqYWNr7iPGFSsiJqq46S7PYRE0/edit?usp=share_link"",""ระนอง!I215"")+IMPORTRANGE(""https"&amp;"://docs.google.com/spreadsheets/d/16o_4B-V7AWw_6E93bSpXj_XxVv1oVQctk-B6z1dNEWU/edit?usp=share_link"",""สงขลา!I215"")+IMPORTRANGE(""https://docs.google.com/spreadsheets/d/16cywr71Fj4fA5OGRHsZh30ZG2gwJhMAQv69oVBzYHv0/edit?usp=share_link"",""สตูล!I215"")+IMP"&amp;"ORTRANGE(""https://docs.google.com/spreadsheets/d/1vO9Sws6kMtrVtyvrAJptINXjK8TFBoX9xLYOVK_C8bQ/edit?usp=share_link"",""สุราษฎร์ธานี!I215"")"),10)</f>
        <v>10</v>
      </c>
      <c r="J215" s="183">
        <f ca="1">IFERROR(__xludf.DUMMYFUNCTION("IMPORTRANGE(""https://docs.google.com/spreadsheets/d/1kC41EOXpGBFOW658Fs3oD8beYlym0-zO54WY-2Qnp9I/edit?usp=share_link"",""กระบี่!J215"")
+IMPORTRANGE(""https://docs.google.com/spreadsheets/d/1FbzMZY_f3MDiEuK7RpCQKrilJ_kpX0Wm7QBZ1L7EjIU/edit?usp=share_link"&amp;""",""ชุมพร!J215"")+IMPORTRANGE(""https://docs.google.com/spreadsheets/d/1v5sN-00LrXuhBxw4dkh2GrG_z4l5oAqOdJRBCsUyMaM/edit?usp=share_link"",""ตรัง!J215"")+IMPORTRANGE(""https://docs.google.com/spreadsheets/d/1T5rRTzFc79aSIvqnzkZNvwPstq829QYz_xALlO1Z0s8/edi"&amp;"t?usp=share_link"",""นครศรีธรรมราช!J215"")+IMPORTRANGE(""https://docs.google.com/spreadsheets/d/1BeghqumK0IvCmRd2QOy6_afsZq7ZtAGrSnVJy2u7WmY/edit?usp=share_link"",""นราธิวาส!J215"")+IMPORTRANGE(""https://docs.google.com/spreadsheets/d/1IwnW3-jjRf74MCLW-6P"&amp;"iFwMUffRQXZwZA7YM609NmRc/edit?usp=share_link"",""ปัตตานี!J215"")+IMPORTRANGE(""https://docs.google.com/spreadsheets/d/1vl4QWbWdFruual5o_wdo6ZSqXZ_it806oja4CctTLKs/edit?usp=share_link"",""พังงา!J215"")+IMPORTRANGE(""https://docs.google.com/spreadsheets/d/1"&amp;"b6QssHQp2FoAPSMKHOy273KNzAomaIKhtdlvuZ_zDNE/edit?usp=share_link"",""พัทลุง!J215"")+IMPORTRANGE(""https://docs.google.com/spreadsheets/d/1o7UZe4_OqlqtLDHrj01Z2YFRSZDf1DMy1n3XViHaxRc/edit?usp=share_link"",""ภูเก็ต!J215"")+IMPORTRANGE(""https://docs.google.c"&amp;"om/spreadsheets/d/1ctPm1vUzcUCPuOj9-eoHUD85PqINFqUB0TjdSWmR5-c/edit?usp=share_link"",""ยะลา!J215"")+IMPORTRANGE(""https://docs.google.com/spreadsheets/d/1YiDIE7Klmt8osgdapRqYWNr7iPGFSsiJqq46S7PYRE0/edit?usp=share_link"",""ระนอง!J215"")+IMPORTRANGE(""https"&amp;"://docs.google.com/spreadsheets/d/16o_4B-V7AWw_6E93bSpXj_XxVv1oVQctk-B6z1dNEWU/edit?usp=share_link"",""สงขลา!J215"")+IMPORTRANGE(""https://docs.google.com/spreadsheets/d/16cywr71Fj4fA5OGRHsZh30ZG2gwJhMAQv69oVBzYHv0/edit?usp=share_link"",""สตูล!J215"")+IMP"&amp;"ORTRANGE(""https://docs.google.com/spreadsheets/d/1vO9Sws6kMtrVtyvrAJptINXjK8TFBoX9xLYOVK_C8bQ/edit?usp=share_link"",""สุราษฎร์ธานี!J215"")"),10)</f>
        <v>10</v>
      </c>
      <c r="K215" s="38">
        <f t="shared" ca="1" si="12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20.25" customHeight="1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3">I224</f>
        <v>239000</v>
      </c>
      <c r="J216" s="272">
        <f t="shared" ca="1" si="123"/>
        <v>5000</v>
      </c>
      <c r="K216" s="273">
        <f t="shared" ca="1" si="122"/>
        <v>2.0920502092050208</v>
      </c>
      <c r="L216" s="262"/>
      <c r="M216" s="262"/>
      <c r="N216" s="262"/>
      <c r="O216" s="262"/>
      <c r="P216" s="262"/>
    </row>
    <row r="217" spans="1:26" ht="20.25" customHeight="1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153600</v>
      </c>
      <c r="M217" s="155"/>
      <c r="N217" s="155">
        <f ca="1">N218+N219+N220</f>
        <v>39176.699999999997</v>
      </c>
      <c r="O217" s="155">
        <f ca="1">IF(L217&gt;0,N217*100/L217,0)</f>
        <v>25.505664062499996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20.25" customHeight="1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IFERROR(__xludf.DUMMYFUNCTION("IMPORTRANGE(""https://docs.google.com/spreadsheets/d/1kC41EOXpGBFOW658Fs3oD8beYlym0-zO54WY-2Qnp9I/edit?usp=share_link"",""กระบี่!L218"")
+IMPORTRANGE(""https://docs.google.com/spreadsheets/d/1FbzMZY_f3MDiEuK7RpCQKrilJ_kpX0Wm7QBZ1L7EjIU/edit?usp=share_link"&amp;""",""ชุมพร!L218"")+IMPORTRANGE(""https://docs.google.com/spreadsheets/d/1v5sN-00LrXuhBxw4dkh2GrG_z4l5oAqOdJRBCsUyMaM/edit?usp=share_link"",""ตรัง!L218"")+IMPORTRANGE(""https://docs.google.com/spreadsheets/d/1T5rRTzFc79aSIvqnzkZNvwPstq829QYz_xALlO1Z0s8/edi"&amp;"t?usp=share_link"",""นครศรีธรรมราช!L218"")+IMPORTRANGE(""https://docs.google.com/spreadsheets/d/1BeghqumK0IvCmRd2QOy6_afsZq7ZtAGrSnVJy2u7WmY/edit?usp=share_link"",""นราธิวาส!L218"")+IMPORTRANGE(""https://docs.google.com/spreadsheets/d/1IwnW3-jjRf74MCLW-6P"&amp;"iFwMUffRQXZwZA7YM609NmRc/edit?usp=share_link"",""ปัตตานี!L218"")+IMPORTRANGE(""https://docs.google.com/spreadsheets/d/1vl4QWbWdFruual5o_wdo6ZSqXZ_it806oja4CctTLKs/edit?usp=share_link"",""พังงา!L218"")+IMPORTRANGE(""https://docs.google.com/spreadsheets/d/1"&amp;"b6QssHQp2FoAPSMKHOy273KNzAomaIKhtdlvuZ_zDNE/edit?usp=share_link"",""พัทลุง!L218"")+IMPORTRANGE(""https://docs.google.com/spreadsheets/d/1o7UZe4_OqlqtLDHrj01Z2YFRSZDf1DMy1n3XViHaxRc/edit?usp=share_link"",""ภูเก็ต!L218"")+IMPORTRANGE(""https://docs.google.c"&amp;"om/spreadsheets/d/1ctPm1vUzcUCPuOj9-eoHUD85PqINFqUB0TjdSWmR5-c/edit?usp=share_link"",""ยะลา!L218"")+IMPORTRANGE(""https://docs.google.com/spreadsheets/d/1YiDIE7Klmt8osgdapRqYWNr7iPGFSsiJqq46S7PYRE0/edit?usp=share_link"",""ระนอง!L218"")+IMPORTRANGE(""https"&amp;"://docs.google.com/spreadsheets/d/16o_4B-V7AWw_6E93bSpXj_XxVv1oVQctk-B6z1dNEWU/edit?usp=share_link"",""สงขลา!L218"")+IMPORTRANGE(""https://docs.google.com/spreadsheets/d/16cywr71Fj4fA5OGRHsZh30ZG2gwJhMAQv69oVBzYHv0/edit?usp=share_link"",""สตูล!L218"")+IMP"&amp;"ORTRANGE(""https://docs.google.com/spreadsheets/d/1vO9Sws6kMtrVtyvrAJptINXjK8TFBoX9xLYOVK_C8bQ/edit?usp=share_link"",""สุราษฎร์ธานี!L218"")"),43000)</f>
        <v>43000</v>
      </c>
      <c r="M218" s="38"/>
      <c r="N218" s="283">
        <f ca="1">IFERROR(__xludf.DUMMYFUNCTION("IMPORTRANGE(""https://docs.google.com/spreadsheets/d/1kC41EOXpGBFOW658Fs3oD8beYlym0-zO54WY-2Qnp9I/edit?usp=share_link"",""กระบี่!N218"")
+IMPORTRANGE(""https://docs.google.com/spreadsheets/d/1FbzMZY_f3MDiEuK7RpCQKrilJ_kpX0Wm7QBZ1L7EjIU/edit?usp=share_link"&amp;""",""ชุมพร!N218"")+IMPORTRANGE(""https://docs.google.com/spreadsheets/d/1v5sN-00LrXuhBxw4dkh2GrG_z4l5oAqOdJRBCsUyMaM/edit?usp=share_link"",""ตรัง!N218"")+IMPORTRANGE(""https://docs.google.com/spreadsheets/d/1T5rRTzFc79aSIvqnzkZNvwPstq829QYz_xALlO1Z0s8/edi"&amp;"t?usp=share_link"",""นครศรีธรรมราช!N218"")+IMPORTRANGE(""https://docs.google.com/spreadsheets/d/1BeghqumK0IvCmRd2QOy6_afsZq7ZtAGrSnVJy2u7WmY/edit?usp=share_link"",""นราธิวาส!N218"")+IMPORTRANGE(""https://docs.google.com/spreadsheets/d/1IwnW3-jjRf74MCLW-6P"&amp;"iFwMUffRQXZwZA7YM609NmRc/edit?usp=share_link"",""ปัตตานี!N218"")+IMPORTRANGE(""https://docs.google.com/spreadsheets/d/1vl4QWbWdFruual5o_wdo6ZSqXZ_it806oja4CctTLKs/edit?usp=share_link"",""พังงา!N218"")+IMPORTRANGE(""https://docs.google.com/spreadsheets/d/1"&amp;"b6QssHQp2FoAPSMKHOy273KNzAomaIKhtdlvuZ_zDNE/edit?usp=share_link"",""พัทลุง!N218"")+IMPORTRANGE(""https://docs.google.com/spreadsheets/d/1o7UZe4_OqlqtLDHrj01Z2YFRSZDf1DMy1n3XViHaxRc/edit?usp=share_link"",""ภูเก็ต!N218"")+IMPORTRANGE(""https://docs.google.c"&amp;"om/spreadsheets/d/1ctPm1vUzcUCPuOj9-eoHUD85PqINFqUB0TjdSWmR5-c/edit?usp=share_link"",""ยะลา!N218"")+IMPORTRANGE(""https://docs.google.com/spreadsheets/d/1YiDIE7Klmt8osgdapRqYWNr7iPGFSsiJqq46S7PYRE0/edit?usp=share_link"",""ระนอง!N218"")+IMPORTRANGE(""https"&amp;"://docs.google.com/spreadsheets/d/16o_4B-V7AWw_6E93bSpXj_XxVv1oVQctk-B6z1dNEWU/edit?usp=share_link"",""สงขลา!N218"")+IMPORTRANGE(""https://docs.google.com/spreadsheets/d/16cywr71Fj4fA5OGRHsZh30ZG2gwJhMAQv69oVBzYHv0/edit?usp=share_link"",""สตูล!N218"")+IMP"&amp;"ORTRANGE(""https://docs.google.com/spreadsheets/d/1vO9Sws6kMtrVtyvrAJptINXjK8TFBoX9xLYOVK_C8bQ/edit?usp=share_link"",""สุราษฎร์ธานี!N218"")"),2970)</f>
        <v>2970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20.25" customHeight="1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IFERROR(__xludf.DUMMYFUNCTION("IMPORTRANGE(""https://docs.google.com/spreadsheets/d/1kC41EOXpGBFOW658Fs3oD8beYlym0-zO54WY-2Qnp9I/edit?usp=share_link"",""กระบี่!L219"")
+IMPORTRANGE(""https://docs.google.com/spreadsheets/d/1FbzMZY_f3MDiEuK7RpCQKrilJ_kpX0Wm7QBZ1L7EjIU/edit?usp=share_link"&amp;""",""ชุมพร!L219"")+IMPORTRANGE(""https://docs.google.com/spreadsheets/d/1v5sN-00LrXuhBxw4dkh2GrG_z4l5oAqOdJRBCsUyMaM/edit?usp=share_link"",""ตรัง!L219"")+IMPORTRANGE(""https://docs.google.com/spreadsheets/d/1T5rRTzFc79aSIvqnzkZNvwPstq829QYz_xALlO1Z0s8/edi"&amp;"t?usp=share_link"",""นครศรีธรรมราช!L219"")+IMPORTRANGE(""https://docs.google.com/spreadsheets/d/1BeghqumK0IvCmRd2QOy6_afsZq7ZtAGrSnVJy2u7WmY/edit?usp=share_link"",""นราธิวาส!L219"")+IMPORTRANGE(""https://docs.google.com/spreadsheets/d/1IwnW3-jjRf74MCLW-6P"&amp;"iFwMUffRQXZwZA7YM609NmRc/edit?usp=share_link"",""ปัตตานี!L219"")+IMPORTRANGE(""https://docs.google.com/spreadsheets/d/1vl4QWbWdFruual5o_wdo6ZSqXZ_it806oja4CctTLKs/edit?usp=share_link"",""พังงา!L219"")+IMPORTRANGE(""https://docs.google.com/spreadsheets/d/1"&amp;"b6QssHQp2FoAPSMKHOy273KNzAomaIKhtdlvuZ_zDNE/edit?usp=share_link"",""พัทลุง!L219"")+IMPORTRANGE(""https://docs.google.com/spreadsheets/d/1o7UZe4_OqlqtLDHrj01Z2YFRSZDf1DMy1n3XViHaxRc/edit?usp=share_link"",""ภูเก็ต!L219"")+IMPORTRANGE(""https://docs.google.c"&amp;"om/spreadsheets/d/1ctPm1vUzcUCPuOj9-eoHUD85PqINFqUB0TjdSWmR5-c/edit?usp=share_link"",""ยะลา!L219"")+IMPORTRANGE(""https://docs.google.com/spreadsheets/d/1YiDIE7Klmt8osgdapRqYWNr7iPGFSsiJqq46S7PYRE0/edit?usp=share_link"",""ระนอง!L219"")+IMPORTRANGE(""https"&amp;"://docs.google.com/spreadsheets/d/16o_4B-V7AWw_6E93bSpXj_XxVv1oVQctk-B6z1dNEWU/edit?usp=share_link"",""สงขลา!L219"")+IMPORTRANGE(""https://docs.google.com/spreadsheets/d/16cywr71Fj4fA5OGRHsZh30ZG2gwJhMAQv69oVBzYHv0/edit?usp=share_link"",""สตูล!L219"")+IMP"&amp;"ORTRANGE(""https://docs.google.com/spreadsheets/d/1vO9Sws6kMtrVtyvrAJptINXjK8TFBoX9xLYOVK_C8bQ/edit?usp=share_link"",""สุราษฎร์ธานี!L219"")"),70600)</f>
        <v>70600</v>
      </c>
      <c r="M219" s="38"/>
      <c r="N219" s="283">
        <f ca="1">IFERROR(__xludf.DUMMYFUNCTION("IMPORTRANGE(""https://docs.google.com/spreadsheets/d/1kC41EOXpGBFOW658Fs3oD8beYlym0-zO54WY-2Qnp9I/edit?usp=share_link"",""กระบี่!N219"")
+IMPORTRANGE(""https://docs.google.com/spreadsheets/d/1FbzMZY_f3MDiEuK7RpCQKrilJ_kpX0Wm7QBZ1L7EjIU/edit?usp=share_link"&amp;""",""ชุมพร!N219"")+IMPORTRANGE(""https://docs.google.com/spreadsheets/d/1v5sN-00LrXuhBxw4dkh2GrG_z4l5oAqOdJRBCsUyMaM/edit?usp=share_link"",""ตรัง!N219"")+IMPORTRANGE(""https://docs.google.com/spreadsheets/d/1T5rRTzFc79aSIvqnzkZNvwPstq829QYz_xALlO1Z0s8/edi"&amp;"t?usp=share_link"",""นครศรีธรรมราช!N219"")+IMPORTRANGE(""https://docs.google.com/spreadsheets/d/1BeghqumK0IvCmRd2QOy6_afsZq7ZtAGrSnVJy2u7WmY/edit?usp=share_link"",""นราธิวาส!N219"")+IMPORTRANGE(""https://docs.google.com/spreadsheets/d/1IwnW3-jjRf74MCLW-6P"&amp;"iFwMUffRQXZwZA7YM609NmRc/edit?usp=share_link"",""ปัตตานี!N219"")+IMPORTRANGE(""https://docs.google.com/spreadsheets/d/1vl4QWbWdFruual5o_wdo6ZSqXZ_it806oja4CctTLKs/edit?usp=share_link"",""พังงา!N219"")+IMPORTRANGE(""https://docs.google.com/spreadsheets/d/1"&amp;"b6QssHQp2FoAPSMKHOy273KNzAomaIKhtdlvuZ_zDNE/edit?usp=share_link"",""พัทลุง!N219"")+IMPORTRANGE(""https://docs.google.com/spreadsheets/d/1o7UZe4_OqlqtLDHrj01Z2YFRSZDf1DMy1n3XViHaxRc/edit?usp=share_link"",""ภูเก็ต!N219"")+IMPORTRANGE(""https://docs.google.c"&amp;"om/spreadsheets/d/1ctPm1vUzcUCPuOj9-eoHUD85PqINFqUB0TjdSWmR5-c/edit?usp=share_link"",""ยะลา!N219"")+IMPORTRANGE(""https://docs.google.com/spreadsheets/d/1YiDIE7Klmt8osgdapRqYWNr7iPGFSsiJqq46S7PYRE0/edit?usp=share_link"",""ระนอง!N219"")+IMPORTRANGE(""https"&amp;"://docs.google.com/spreadsheets/d/16o_4B-V7AWw_6E93bSpXj_XxVv1oVQctk-B6z1dNEWU/edit?usp=share_link"",""สงขลา!N219"")+IMPORTRANGE(""https://docs.google.com/spreadsheets/d/16cywr71Fj4fA5OGRHsZh30ZG2gwJhMAQv69oVBzYHv0/edit?usp=share_link"",""สตูล!N219"")+IMP"&amp;"ORTRANGE(""https://docs.google.com/spreadsheets/d/1vO9Sws6kMtrVtyvrAJptINXjK8TFBoX9xLYOVK_C8bQ/edit?usp=share_link"",""สุราษฎร์ธานี!N219"")"),0)</f>
        <v>0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20.25" customHeight="1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IFERROR(__xludf.DUMMYFUNCTION("IMPORTRANGE(""https://docs.google.com/spreadsheets/d/1kC41EOXpGBFOW658Fs3oD8beYlym0-zO54WY-2Qnp9I/edit?usp=share_link"",""กระบี่!L220"")
+IMPORTRANGE(""https://docs.google.com/spreadsheets/d/1FbzMZY_f3MDiEuK7RpCQKrilJ_kpX0Wm7QBZ1L7EjIU/edit?usp=share_link"&amp;""",""ชุมพร!L220"")+IMPORTRANGE(""https://docs.google.com/spreadsheets/d/1v5sN-00LrXuhBxw4dkh2GrG_z4l5oAqOdJRBCsUyMaM/edit?usp=share_link"",""ตรัง!L220"")+IMPORTRANGE(""https://docs.google.com/spreadsheets/d/1T5rRTzFc79aSIvqnzkZNvwPstq829QYz_xALlO1Z0s8/edi"&amp;"t?usp=share_link"",""นครศรีธรรมราช!L220"")+IMPORTRANGE(""https://docs.google.com/spreadsheets/d/1BeghqumK0IvCmRd2QOy6_afsZq7ZtAGrSnVJy2u7WmY/edit?usp=share_link"",""นราธิวาส!L220"")+IMPORTRANGE(""https://docs.google.com/spreadsheets/d/1IwnW3-jjRf74MCLW-6P"&amp;"iFwMUffRQXZwZA7YM609NmRc/edit?usp=share_link"",""ปัตตานี!L220"")+IMPORTRANGE(""https://docs.google.com/spreadsheets/d/1vl4QWbWdFruual5o_wdo6ZSqXZ_it806oja4CctTLKs/edit?usp=share_link"",""พังงา!L220"")+IMPORTRANGE(""https://docs.google.com/spreadsheets/d/1"&amp;"b6QssHQp2FoAPSMKHOy273KNzAomaIKhtdlvuZ_zDNE/edit?usp=share_link"",""พัทลุง!L220"")+IMPORTRANGE(""https://docs.google.com/spreadsheets/d/1o7UZe4_OqlqtLDHrj01Z2YFRSZDf1DMy1n3XViHaxRc/edit?usp=share_link"",""ภูเก็ต!L220"")+IMPORTRANGE(""https://docs.google.c"&amp;"om/spreadsheets/d/1ctPm1vUzcUCPuOj9-eoHUD85PqINFqUB0TjdSWmR5-c/edit?usp=share_link"",""ยะลา!L220"")+IMPORTRANGE(""https://docs.google.com/spreadsheets/d/1YiDIE7Klmt8osgdapRqYWNr7iPGFSsiJqq46S7PYRE0/edit?usp=share_link"",""ระนอง!L220"")+IMPORTRANGE(""https"&amp;"://docs.google.com/spreadsheets/d/16o_4B-V7AWw_6E93bSpXj_XxVv1oVQctk-B6z1dNEWU/edit?usp=share_link"",""สงขลา!L220"")+IMPORTRANGE(""https://docs.google.com/spreadsheets/d/16cywr71Fj4fA5OGRHsZh30ZG2gwJhMAQv69oVBzYHv0/edit?usp=share_link"",""สตูล!L220"")+IMP"&amp;"ORTRANGE(""https://docs.google.com/spreadsheets/d/1vO9Sws6kMtrVtyvrAJptINXjK8TFBoX9xLYOVK_C8bQ/edit?usp=share_link"",""สุราษฎร์ธานี!L220"")"),40000)</f>
        <v>40000</v>
      </c>
      <c r="M220" s="38"/>
      <c r="N220" s="283">
        <f ca="1">IFERROR(__xludf.DUMMYFUNCTION("IMPORTRANGE(""https://docs.google.com/spreadsheets/d/1kC41EOXpGBFOW658Fs3oD8beYlym0-zO54WY-2Qnp9I/edit?usp=share_link"",""กระบี่!N220"")
+IMPORTRANGE(""https://docs.google.com/spreadsheets/d/1FbzMZY_f3MDiEuK7RpCQKrilJ_kpX0Wm7QBZ1L7EjIU/edit?usp=share_link"&amp;""",""ชุมพร!N220"")+IMPORTRANGE(""https://docs.google.com/spreadsheets/d/1v5sN-00LrXuhBxw4dkh2GrG_z4l5oAqOdJRBCsUyMaM/edit?usp=share_link"",""ตรัง!N220"")+IMPORTRANGE(""https://docs.google.com/spreadsheets/d/1T5rRTzFc79aSIvqnzkZNvwPstq829QYz_xALlO1Z0s8/edi"&amp;"t?usp=share_link"",""นครศรีธรรมราช!N220"")+IMPORTRANGE(""https://docs.google.com/spreadsheets/d/1BeghqumK0IvCmRd2QOy6_afsZq7ZtAGrSnVJy2u7WmY/edit?usp=share_link"",""นราธิวาส!N220"")+IMPORTRANGE(""https://docs.google.com/spreadsheets/d/1IwnW3-jjRf74MCLW-6P"&amp;"iFwMUffRQXZwZA7YM609NmRc/edit?usp=share_link"",""ปัตตานี!N220"")+IMPORTRANGE(""https://docs.google.com/spreadsheets/d/1vl4QWbWdFruual5o_wdo6ZSqXZ_it806oja4CctTLKs/edit?usp=share_link"",""พังงา!N220"")+IMPORTRANGE(""https://docs.google.com/spreadsheets/d/1"&amp;"b6QssHQp2FoAPSMKHOy273KNzAomaIKhtdlvuZ_zDNE/edit?usp=share_link"",""พัทลุง!N220"")+IMPORTRANGE(""https://docs.google.com/spreadsheets/d/1o7UZe4_OqlqtLDHrj01Z2YFRSZDf1DMy1n3XViHaxRc/edit?usp=share_link"",""ภูเก็ต!N220"")+IMPORTRANGE(""https://docs.google.c"&amp;"om/spreadsheets/d/1ctPm1vUzcUCPuOj9-eoHUD85PqINFqUB0TjdSWmR5-c/edit?usp=share_link"",""ยะลา!N220"")+IMPORTRANGE(""https://docs.google.com/spreadsheets/d/1YiDIE7Klmt8osgdapRqYWNr7iPGFSsiJqq46S7PYRE0/edit?usp=share_link"",""ระนอง!N220"")+IMPORTRANGE(""https"&amp;"://docs.google.com/spreadsheets/d/16o_4B-V7AWw_6E93bSpXj_XxVv1oVQctk-B6z1dNEWU/edit?usp=share_link"",""สงขลา!N220"")+IMPORTRANGE(""https://docs.google.com/spreadsheets/d/16cywr71Fj4fA5OGRHsZh30ZG2gwJhMAQv69oVBzYHv0/edit?usp=share_link"",""สตูล!N220"")+IMP"&amp;"ORTRANGE(""https://docs.google.com/spreadsheets/d/1vO9Sws6kMtrVtyvrAJptINXjK8TFBoX9xLYOVK_C8bQ/edit?usp=share_link"",""สุราษฎร์ธานี!N220"")"),36206.7)</f>
        <v>36206.699999999997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20.25" customHeight="1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20.25" customHeight="1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20.25" customHeight="1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IFERROR(__xludf.DUMMYFUNCTION("IMPORTRANGE(""https://docs.google.com/spreadsheets/d/1kC41EOXpGBFOW658Fs3oD8beYlym0-zO54WY-2Qnp9I/edit?usp=share_link"",""กระบี่!I223"")
+IMPORTRANGE(""https://docs.google.com/spreadsheets/d/1FbzMZY_f3MDiEuK7RpCQKrilJ_kpX0Wm7QBZ1L7EjIU/edit?usp=share_link"&amp;""",""ชุมพร!I223"")+IMPORTRANGE(""https://docs.google.com/spreadsheets/d/1v5sN-00LrXuhBxw4dkh2GrG_z4l5oAqOdJRBCsUyMaM/edit?usp=share_link"",""ตรัง!I223"")+IMPORTRANGE(""https://docs.google.com/spreadsheets/d/1T5rRTzFc79aSIvqnzkZNvwPstq829QYz_xALlO1Z0s8/edi"&amp;"t?usp=share_link"",""นครศรีธรรมราช!I223"")+IMPORTRANGE(""https://docs.google.com/spreadsheets/d/1BeghqumK0IvCmRd2QOy6_afsZq7ZtAGrSnVJy2u7WmY/edit?usp=share_link"",""นราธิวาส!I223"")+IMPORTRANGE(""https://docs.google.com/spreadsheets/d/1IwnW3-jjRf74MCLW-6P"&amp;"iFwMUffRQXZwZA7YM609NmRc/edit?usp=share_link"",""ปัตตานี!I223"")+IMPORTRANGE(""https://docs.google.com/spreadsheets/d/1vl4QWbWdFruual5o_wdo6ZSqXZ_it806oja4CctTLKs/edit?usp=share_link"",""พังงา!I223"")+IMPORTRANGE(""https://docs.google.com/spreadsheets/d/1"&amp;"b6QssHQp2FoAPSMKHOy273KNzAomaIKhtdlvuZ_zDNE/edit?usp=share_link"",""พัทลุง!I223"")+IMPORTRANGE(""https://docs.google.com/spreadsheets/d/1o7UZe4_OqlqtLDHrj01Z2YFRSZDf1DMy1n3XViHaxRc/edit?usp=share_link"",""ภูเก็ต!I223"")+IMPORTRANGE(""https://docs.google.c"&amp;"om/spreadsheets/d/1ctPm1vUzcUCPuOj9-eoHUD85PqINFqUB0TjdSWmR5-c/edit?usp=share_link"",""ยะลา!I223"")+IMPORTRANGE(""https://docs.google.com/spreadsheets/d/1YiDIE7Klmt8osgdapRqYWNr7iPGFSsiJqq46S7PYRE0/edit?usp=share_link"",""ระนอง!I223"")+IMPORTRANGE(""https"&amp;"://docs.google.com/spreadsheets/d/16o_4B-V7AWw_6E93bSpXj_XxVv1oVQctk-B6z1dNEWU/edit?usp=share_link"",""สงขลา!I223"")+IMPORTRANGE(""https://docs.google.com/spreadsheets/d/16cywr71Fj4fA5OGRHsZh30ZG2gwJhMAQv69oVBzYHv0/edit?usp=share_link"",""สตูล!I223"")+IMP"&amp;"ORTRANGE(""https://docs.google.com/spreadsheets/d/1vO9Sws6kMtrVtyvrAJptINXjK8TFBoX9xLYOVK_C8bQ/edit?usp=share_link"",""สุราษฎร์ธานี!I223"")"),239000)</f>
        <v>239000</v>
      </c>
      <c r="J223" s="183">
        <f ca="1">IFERROR(__xludf.DUMMYFUNCTION("IMPORTRANGE(""https://docs.google.com/spreadsheets/d/1kC41EOXpGBFOW658Fs3oD8beYlym0-zO54WY-2Qnp9I/edit?usp=share_link"",""กระบี่!J223"")
+IMPORTRANGE(""https://docs.google.com/spreadsheets/d/1FbzMZY_f3MDiEuK7RpCQKrilJ_kpX0Wm7QBZ1L7EjIU/edit?usp=share_link"&amp;""",""ชุมพร!J223"")+IMPORTRANGE(""https://docs.google.com/spreadsheets/d/1v5sN-00LrXuhBxw4dkh2GrG_z4l5oAqOdJRBCsUyMaM/edit?usp=share_link"",""ตรัง!J223"")+IMPORTRANGE(""https://docs.google.com/spreadsheets/d/1T5rRTzFc79aSIvqnzkZNvwPstq829QYz_xALlO1Z0s8/edi"&amp;"t?usp=share_link"",""นครศรีธรรมราช!J223"")+IMPORTRANGE(""https://docs.google.com/spreadsheets/d/1BeghqumK0IvCmRd2QOy6_afsZq7ZtAGrSnVJy2u7WmY/edit?usp=share_link"",""นราธิวาส!J223"")+IMPORTRANGE(""https://docs.google.com/spreadsheets/d/1IwnW3-jjRf74MCLW-6P"&amp;"iFwMUffRQXZwZA7YM609NmRc/edit?usp=share_link"",""ปัตตานี!J223"")+IMPORTRANGE(""https://docs.google.com/spreadsheets/d/1vl4QWbWdFruual5o_wdo6ZSqXZ_it806oja4CctTLKs/edit?usp=share_link"",""พังงา!J223"")+IMPORTRANGE(""https://docs.google.com/spreadsheets/d/1"&amp;"b6QssHQp2FoAPSMKHOy273KNzAomaIKhtdlvuZ_zDNE/edit?usp=share_link"",""พัทลุง!J223"")+IMPORTRANGE(""https://docs.google.com/spreadsheets/d/1o7UZe4_OqlqtLDHrj01Z2YFRSZDf1DMy1n3XViHaxRc/edit?usp=share_link"",""ภูเก็ต!J223"")+IMPORTRANGE(""https://docs.google.c"&amp;"om/spreadsheets/d/1ctPm1vUzcUCPuOj9-eoHUD85PqINFqUB0TjdSWmR5-c/edit?usp=share_link"",""ยะลา!J223"")+IMPORTRANGE(""https://docs.google.com/spreadsheets/d/1YiDIE7Klmt8osgdapRqYWNr7iPGFSsiJqq46S7PYRE0/edit?usp=share_link"",""ระนอง!J223"")+IMPORTRANGE(""https"&amp;"://docs.google.com/spreadsheets/d/16o_4B-V7AWw_6E93bSpXj_XxVv1oVQctk-B6z1dNEWU/edit?usp=share_link"",""สงขลา!J223"")+IMPORTRANGE(""https://docs.google.com/spreadsheets/d/16cywr71Fj4fA5OGRHsZh30ZG2gwJhMAQv69oVBzYHv0/edit?usp=share_link"",""สตูล!J223"")+IMP"&amp;"ORTRANGE(""https://docs.google.com/spreadsheets/d/1vO9Sws6kMtrVtyvrAJptINXjK8TFBoX9xLYOVK_C8bQ/edit?usp=share_link"",""สุราษฎร์ธานี!J223"")"),70000)</f>
        <v>70000</v>
      </c>
      <c r="K223" s="163">
        <f t="shared" ref="K223:K226" ca="1" si="124">IF(I223&gt;0,J223*100/I223,0)</f>
        <v>29.288702928870293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20.25" customHeight="1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IFERROR(__xludf.DUMMYFUNCTION("IMPORTRANGE(""https://docs.google.com/spreadsheets/d/1kC41EOXpGBFOW658Fs3oD8beYlym0-zO54WY-2Qnp9I/edit?usp=share_link"",""กระบี่!I224"")
+IMPORTRANGE(""https://docs.google.com/spreadsheets/d/1FbzMZY_f3MDiEuK7RpCQKrilJ_kpX0Wm7QBZ1L7EjIU/edit?usp=share_link"&amp;""",""ชุมพร!I224"")+IMPORTRANGE(""https://docs.google.com/spreadsheets/d/1v5sN-00LrXuhBxw4dkh2GrG_z4l5oAqOdJRBCsUyMaM/edit?usp=share_link"",""ตรัง!I224"")+IMPORTRANGE(""https://docs.google.com/spreadsheets/d/1T5rRTzFc79aSIvqnzkZNvwPstq829QYz_xALlO1Z0s8/edi"&amp;"t?usp=share_link"",""นครศรีธรรมราช!I224"")+IMPORTRANGE(""https://docs.google.com/spreadsheets/d/1BeghqumK0IvCmRd2QOy6_afsZq7ZtAGrSnVJy2u7WmY/edit?usp=share_link"",""นราธิวาส!I224"")+IMPORTRANGE(""https://docs.google.com/spreadsheets/d/1IwnW3-jjRf74MCLW-6P"&amp;"iFwMUffRQXZwZA7YM609NmRc/edit?usp=share_link"",""ปัตตานี!I224"")+IMPORTRANGE(""https://docs.google.com/spreadsheets/d/1vl4QWbWdFruual5o_wdo6ZSqXZ_it806oja4CctTLKs/edit?usp=share_link"",""พังงา!I224"")+IMPORTRANGE(""https://docs.google.com/spreadsheets/d/1"&amp;"b6QssHQp2FoAPSMKHOy273KNzAomaIKhtdlvuZ_zDNE/edit?usp=share_link"",""พัทลุง!I224"")+IMPORTRANGE(""https://docs.google.com/spreadsheets/d/1o7UZe4_OqlqtLDHrj01Z2YFRSZDf1DMy1n3XViHaxRc/edit?usp=share_link"",""ภูเก็ต!I224"")+IMPORTRANGE(""https://docs.google.c"&amp;"om/spreadsheets/d/1ctPm1vUzcUCPuOj9-eoHUD85PqINFqUB0TjdSWmR5-c/edit?usp=share_link"",""ยะลา!I224"")+IMPORTRANGE(""https://docs.google.com/spreadsheets/d/1YiDIE7Klmt8osgdapRqYWNr7iPGFSsiJqq46S7PYRE0/edit?usp=share_link"",""ระนอง!I224"")+IMPORTRANGE(""https"&amp;"://docs.google.com/spreadsheets/d/16o_4B-V7AWw_6E93bSpXj_XxVv1oVQctk-B6z1dNEWU/edit?usp=share_link"",""สงขลา!I224"")+IMPORTRANGE(""https://docs.google.com/spreadsheets/d/16cywr71Fj4fA5OGRHsZh30ZG2gwJhMAQv69oVBzYHv0/edit?usp=share_link"",""สตูล!I224"")+IMP"&amp;"ORTRANGE(""https://docs.google.com/spreadsheets/d/1vO9Sws6kMtrVtyvrAJptINXjK8TFBoX9xLYOVK_C8bQ/edit?usp=share_link"",""สุราษฎร์ธานี!I224"")"),239000)</f>
        <v>239000</v>
      </c>
      <c r="J224" s="183">
        <f ca="1">IFERROR(__xludf.DUMMYFUNCTION("IMPORTRANGE(""https://docs.google.com/spreadsheets/d/1kC41EOXpGBFOW658Fs3oD8beYlym0-zO54WY-2Qnp9I/edit?usp=share_link"",""กระบี่!J224"")
+IMPORTRANGE(""https://docs.google.com/spreadsheets/d/1FbzMZY_f3MDiEuK7RpCQKrilJ_kpX0Wm7QBZ1L7EjIU/edit?usp=share_link"&amp;""",""ชุมพร!J224"")+IMPORTRANGE(""https://docs.google.com/spreadsheets/d/1v5sN-00LrXuhBxw4dkh2GrG_z4l5oAqOdJRBCsUyMaM/edit?usp=share_link"",""ตรัง!J224"")+IMPORTRANGE(""https://docs.google.com/spreadsheets/d/1T5rRTzFc79aSIvqnzkZNvwPstq829QYz_xALlO1Z0s8/edi"&amp;"t?usp=share_link"",""นครศรีธรรมราช!J224"")+IMPORTRANGE(""https://docs.google.com/spreadsheets/d/1BeghqumK0IvCmRd2QOy6_afsZq7ZtAGrSnVJy2u7WmY/edit?usp=share_link"",""นราธิวาส!J224"")+IMPORTRANGE(""https://docs.google.com/spreadsheets/d/1IwnW3-jjRf74MCLW-6P"&amp;"iFwMUffRQXZwZA7YM609NmRc/edit?usp=share_link"",""ปัตตานี!J224"")+IMPORTRANGE(""https://docs.google.com/spreadsheets/d/1vl4QWbWdFruual5o_wdo6ZSqXZ_it806oja4CctTLKs/edit?usp=share_link"",""พังงา!J224"")+IMPORTRANGE(""https://docs.google.com/spreadsheets/d/1"&amp;"b6QssHQp2FoAPSMKHOy273KNzAomaIKhtdlvuZ_zDNE/edit?usp=share_link"",""พัทลุง!J224"")+IMPORTRANGE(""https://docs.google.com/spreadsheets/d/1o7UZe4_OqlqtLDHrj01Z2YFRSZDf1DMy1n3XViHaxRc/edit?usp=share_link"",""ภูเก็ต!J224"")+IMPORTRANGE(""https://docs.google.c"&amp;"om/spreadsheets/d/1ctPm1vUzcUCPuOj9-eoHUD85PqINFqUB0TjdSWmR5-c/edit?usp=share_link"",""ยะลา!J224"")+IMPORTRANGE(""https://docs.google.com/spreadsheets/d/1YiDIE7Klmt8osgdapRqYWNr7iPGFSsiJqq46S7PYRE0/edit?usp=share_link"",""ระนอง!J224"")+IMPORTRANGE(""https"&amp;"://docs.google.com/spreadsheets/d/16o_4B-V7AWw_6E93bSpXj_XxVv1oVQctk-B6z1dNEWU/edit?usp=share_link"",""สงขลา!J224"")+IMPORTRANGE(""https://docs.google.com/spreadsheets/d/16cywr71Fj4fA5OGRHsZh30ZG2gwJhMAQv69oVBzYHv0/edit?usp=share_link"",""สตูล!J224"")+IMP"&amp;"ORTRANGE(""https://docs.google.com/spreadsheets/d/1vO9Sws6kMtrVtyvrAJptINXjK8TFBoX9xLYOVK_C8bQ/edit?usp=share_link"",""สุราษฎร์ธานี!J224"")"),5000)</f>
        <v>5000</v>
      </c>
      <c r="K224" s="163">
        <f t="shared" ca="1" si="124"/>
        <v>2.0920502092050208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20.25" customHeight="1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IFERROR(__xludf.DUMMYFUNCTION("IMPORTRANGE(""https://docs.google.com/spreadsheets/d/1kC41EOXpGBFOW658Fs3oD8beYlym0-zO54WY-2Qnp9I/edit?usp=share_link"",""กระบี่!I225"")
+IMPORTRANGE(""https://docs.google.com/spreadsheets/d/1FbzMZY_f3MDiEuK7RpCQKrilJ_kpX0Wm7QBZ1L7EjIU/edit?usp=share_link"&amp;""",""ชุมพร!I225"")+IMPORTRANGE(""https://docs.google.com/spreadsheets/d/1v5sN-00LrXuhBxw4dkh2GrG_z4l5oAqOdJRBCsUyMaM/edit?usp=share_link"",""ตรัง!I225"")+IMPORTRANGE(""https://docs.google.com/spreadsheets/d/1T5rRTzFc79aSIvqnzkZNvwPstq829QYz_xALlO1Z0s8/edi"&amp;"t?usp=share_link"",""นครศรีธรรมราช!I225"")+IMPORTRANGE(""https://docs.google.com/spreadsheets/d/1BeghqumK0IvCmRd2QOy6_afsZq7ZtAGrSnVJy2u7WmY/edit?usp=share_link"",""นราธิวาส!I225"")+IMPORTRANGE(""https://docs.google.com/spreadsheets/d/1IwnW3-jjRf74MCLW-6P"&amp;"iFwMUffRQXZwZA7YM609NmRc/edit?usp=share_link"",""ปัตตานี!I225"")+IMPORTRANGE(""https://docs.google.com/spreadsheets/d/1vl4QWbWdFruual5o_wdo6ZSqXZ_it806oja4CctTLKs/edit?usp=share_link"",""พังงา!I225"")+IMPORTRANGE(""https://docs.google.com/spreadsheets/d/1"&amp;"b6QssHQp2FoAPSMKHOy273KNzAomaIKhtdlvuZ_zDNE/edit?usp=share_link"",""พัทลุง!I225"")+IMPORTRANGE(""https://docs.google.com/spreadsheets/d/1o7UZe4_OqlqtLDHrj01Z2YFRSZDf1DMy1n3XViHaxRc/edit?usp=share_link"",""ภูเก็ต!I225"")+IMPORTRANGE(""https://docs.google.c"&amp;"om/spreadsheets/d/1ctPm1vUzcUCPuOj9-eoHUD85PqINFqUB0TjdSWmR5-c/edit?usp=share_link"",""ยะลา!I225"")+IMPORTRANGE(""https://docs.google.com/spreadsheets/d/1YiDIE7Klmt8osgdapRqYWNr7iPGFSsiJqq46S7PYRE0/edit?usp=share_link"",""ระนอง!I225"")+IMPORTRANGE(""https"&amp;"://docs.google.com/spreadsheets/d/16o_4B-V7AWw_6E93bSpXj_XxVv1oVQctk-B6z1dNEWU/edit?usp=share_link"",""สงขลา!I225"")+IMPORTRANGE(""https://docs.google.com/spreadsheets/d/16cywr71Fj4fA5OGRHsZh30ZG2gwJhMAQv69oVBzYHv0/edit?usp=share_link"",""สตูล!I225"")+IMP"&amp;"ORTRANGE(""https://docs.google.com/spreadsheets/d/1vO9Sws6kMtrVtyvrAJptINXjK8TFBoX9xLYOVK_C8bQ/edit?usp=share_link"",""สุราษฎร์ธานี!I225"")"),40)</f>
        <v>40</v>
      </c>
      <c r="J225" s="183">
        <f ca="1">IFERROR(__xludf.DUMMYFUNCTION("IMPORTRANGE(""https://docs.google.com/spreadsheets/d/1kC41EOXpGBFOW658Fs3oD8beYlym0-zO54WY-2Qnp9I/edit?usp=share_link"",""กระบี่!J225"")
+IMPORTRANGE(""https://docs.google.com/spreadsheets/d/1FbzMZY_f3MDiEuK7RpCQKrilJ_kpX0Wm7QBZ1L7EjIU/edit?usp=share_link"&amp;""",""ชุมพร!J225"")+IMPORTRANGE(""https://docs.google.com/spreadsheets/d/1v5sN-00LrXuhBxw4dkh2GrG_z4l5oAqOdJRBCsUyMaM/edit?usp=share_link"",""ตรัง!J225"")+IMPORTRANGE(""https://docs.google.com/spreadsheets/d/1T5rRTzFc79aSIvqnzkZNvwPstq829QYz_xALlO1Z0s8/edi"&amp;"t?usp=share_link"",""นครศรีธรรมราช!J225"")+IMPORTRANGE(""https://docs.google.com/spreadsheets/d/1BeghqumK0IvCmRd2QOy6_afsZq7ZtAGrSnVJy2u7WmY/edit?usp=share_link"",""นราธิวาส!J225"")+IMPORTRANGE(""https://docs.google.com/spreadsheets/d/1IwnW3-jjRf74MCLW-6P"&amp;"iFwMUffRQXZwZA7YM609NmRc/edit?usp=share_link"",""ปัตตานี!J225"")+IMPORTRANGE(""https://docs.google.com/spreadsheets/d/1vl4QWbWdFruual5o_wdo6ZSqXZ_it806oja4CctTLKs/edit?usp=share_link"",""พังงา!J225"")+IMPORTRANGE(""https://docs.google.com/spreadsheets/d/1"&amp;"b6QssHQp2FoAPSMKHOy273KNzAomaIKhtdlvuZ_zDNE/edit?usp=share_link"",""พัทลุง!J225"")+IMPORTRANGE(""https://docs.google.com/spreadsheets/d/1o7UZe4_OqlqtLDHrj01Z2YFRSZDf1DMy1n3XViHaxRc/edit?usp=share_link"",""ภูเก็ต!J225"")+IMPORTRANGE(""https://docs.google.c"&amp;"om/spreadsheets/d/1ctPm1vUzcUCPuOj9-eoHUD85PqINFqUB0TjdSWmR5-c/edit?usp=share_link"",""ยะลา!J225"")+IMPORTRANGE(""https://docs.google.com/spreadsheets/d/1YiDIE7Klmt8osgdapRqYWNr7iPGFSsiJqq46S7PYRE0/edit?usp=share_link"",""ระนอง!J225"")+IMPORTRANGE(""https"&amp;"://docs.google.com/spreadsheets/d/16o_4B-V7AWw_6E93bSpXj_XxVv1oVQctk-B6z1dNEWU/edit?usp=share_link"",""สงขลา!J225"")+IMPORTRANGE(""https://docs.google.com/spreadsheets/d/16cywr71Fj4fA5OGRHsZh30ZG2gwJhMAQv69oVBzYHv0/edit?usp=share_link"",""สตูล!J225"")+IMP"&amp;"ORTRANGE(""https://docs.google.com/spreadsheets/d/1vO9Sws6kMtrVtyvrAJptINXjK8TFBoX9xLYOVK_C8bQ/edit?usp=share_link"",""สุราษฎร์ธานี!J225"")"),40)</f>
        <v>40</v>
      </c>
      <c r="K225" s="163">
        <f t="shared" ca="1" si="124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20.25" customHeight="1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5">I237+I248</f>
        <v>100</v>
      </c>
      <c r="J226" s="299">
        <f t="shared" ca="1" si="125"/>
        <v>110</v>
      </c>
      <c r="K226" s="300">
        <f t="shared" ca="1" si="124"/>
        <v>110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20.25" customHeight="1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6">L238+L249</f>
        <v>293300</v>
      </c>
      <c r="M227" s="311"/>
      <c r="N227" s="311">
        <f t="shared" ref="N227:N231" ca="1" si="127">N238+N249</f>
        <v>159552.33000000002</v>
      </c>
      <c r="O227" s="312"/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20.25" customHeight="1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6"/>
        <v>165000</v>
      </c>
      <c r="M228" s="322"/>
      <c r="N228" s="322">
        <f t="shared" ca="1" si="127"/>
        <v>74013.33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20.25" customHeight="1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6"/>
        <v>88300</v>
      </c>
      <c r="M229" s="322"/>
      <c r="N229" s="322">
        <f t="shared" ca="1" si="127"/>
        <v>85539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20.25" customHeight="1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6"/>
        <v>0</v>
      </c>
      <c r="M230" s="322"/>
      <c r="N230" s="322">
        <f t="shared" ca="1" si="127"/>
        <v>0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20.25" customHeight="1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6"/>
        <v>40000</v>
      </c>
      <c r="M231" s="322"/>
      <c r="N231" s="322">
        <f t="shared" ca="1" si="127"/>
        <v>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20.25" customHeight="1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20.25" customHeight="1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8">I244+I255</f>
        <v>100</v>
      </c>
      <c r="J233" s="326">
        <f t="shared" ca="1" si="128"/>
        <v>110</v>
      </c>
      <c r="K233" s="322">
        <f ca="1">IF(I233&gt;0,J233*100/I233,0)</f>
        <v>110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20.25" customHeight="1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20.25" customHeight="1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29">I246+I257</f>
        <v>0</v>
      </c>
      <c r="J235" s="326">
        <f t="shared" ca="1" si="129"/>
        <v>0</v>
      </c>
      <c r="K235" s="322">
        <f t="shared" ref="K235:K237" ca="1" si="130">IF(I235&gt;0,J235*100/I235,0)</f>
        <v>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20.25" customHeight="1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1">I247+I258</f>
        <v>4</v>
      </c>
      <c r="J236" s="326">
        <f t="shared" ca="1" si="131"/>
        <v>0</v>
      </c>
      <c r="K236" s="322">
        <f t="shared" ca="1" si="130"/>
        <v>0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20.25" hidden="1" customHeight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2">I244</f>
        <v>100</v>
      </c>
      <c r="J237" s="345">
        <f t="shared" ca="1" si="132"/>
        <v>110</v>
      </c>
      <c r="K237" s="346">
        <f t="shared" ca="1" si="130"/>
        <v>110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20.25" hidden="1" customHeight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293300</v>
      </c>
      <c r="M238" s="356"/>
      <c r="N238" s="356">
        <f ca="1">N239+N240+N241+N242</f>
        <v>159552.33000000002</v>
      </c>
      <c r="O238" s="356">
        <f ca="1">IF(L238&gt;0,N238*100/L238,0)</f>
        <v>54.39902147971361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20.25" hidden="1" customHeight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IFERROR(__xludf.DUMMYFUNCTION("IMPORTRANGE(""https://docs.google.com/spreadsheets/d/1kC41EOXpGBFOW658Fs3oD8beYlym0-zO54WY-2Qnp9I/edit?usp=share_link"",""กระบี่!L239"")
+IMPORTRANGE(""https://docs.google.com/spreadsheets/d/1FbzMZY_f3MDiEuK7RpCQKrilJ_kpX0Wm7QBZ1L7EjIU/edit?usp=share_link"&amp;""",""ชุมพร!L239"")+IMPORTRANGE(""https://docs.google.com/spreadsheets/d/1v5sN-00LrXuhBxw4dkh2GrG_z4l5oAqOdJRBCsUyMaM/edit?usp=share_link"",""ตรัง!L239"")+IMPORTRANGE(""https://docs.google.com/spreadsheets/d/1T5rRTzFc79aSIvqnzkZNvwPstq829QYz_xALlO1Z0s8/edi"&amp;"t?usp=share_link"",""นครศรีธรรมราช!L239"")+IMPORTRANGE(""https://docs.google.com/spreadsheets/d/1BeghqumK0IvCmRd2QOy6_afsZq7ZtAGrSnVJy2u7WmY/edit?usp=share_link"",""นราธิวาส!L239"")+IMPORTRANGE(""https://docs.google.com/spreadsheets/d/1IwnW3-jjRf74MCLW-6P"&amp;"iFwMUffRQXZwZA7YM609NmRc/edit?usp=share_link"",""ปัตตานี!L239"")+IMPORTRANGE(""https://docs.google.com/spreadsheets/d/1vl4QWbWdFruual5o_wdo6ZSqXZ_it806oja4CctTLKs/edit?usp=share_link"",""พังงา!L239"")+IMPORTRANGE(""https://docs.google.com/spreadsheets/d/1"&amp;"b6QssHQp2FoAPSMKHOy273KNzAomaIKhtdlvuZ_zDNE/edit?usp=share_link"",""พัทลุง!L239"")+IMPORTRANGE(""https://docs.google.com/spreadsheets/d/1o7UZe4_OqlqtLDHrj01Z2YFRSZDf1DMy1n3XViHaxRc/edit?usp=share_link"",""ภูเก็ต!L239"")+IMPORTRANGE(""https://docs.google.c"&amp;"om/spreadsheets/d/1ctPm1vUzcUCPuOj9-eoHUD85PqINFqUB0TjdSWmR5-c/edit?usp=share_link"",""ยะลา!L239"")+IMPORTRANGE(""https://docs.google.com/spreadsheets/d/1YiDIE7Klmt8osgdapRqYWNr7iPGFSsiJqq46S7PYRE0/edit?usp=share_link"",""ระนอง!L239"")+IMPORTRANGE(""https"&amp;"://docs.google.com/spreadsheets/d/16o_4B-V7AWw_6E93bSpXj_XxVv1oVQctk-B6z1dNEWU/edit?usp=share_link"",""สงขลา!L239"")+IMPORTRANGE(""https://docs.google.com/spreadsheets/d/16cywr71Fj4fA5OGRHsZh30ZG2gwJhMAQv69oVBzYHv0/edit?usp=share_link"",""สตูล!L239"")+IMP"&amp;"ORTRANGE(""https://docs.google.com/spreadsheets/d/1vO9Sws6kMtrVtyvrAJptINXjK8TFBoX9xLYOVK_C8bQ/edit?usp=share_link"",""สุราษฎร์ธานี!L239"")"),165000)</f>
        <v>165000</v>
      </c>
      <c r="M239" s="45"/>
      <c r="N239" s="358">
        <f ca="1">IFERROR(__xludf.DUMMYFUNCTION("IMPORTRANGE(""https://docs.google.com/spreadsheets/d/1kC41EOXpGBFOW658Fs3oD8beYlym0-zO54WY-2Qnp9I/edit?usp=share_link"",""กระบี่!N239"")
+IMPORTRANGE(""https://docs.google.com/spreadsheets/d/1FbzMZY_f3MDiEuK7RpCQKrilJ_kpX0Wm7QBZ1L7EjIU/edit?usp=share_link"&amp;""",""ชุมพร!N239"")+IMPORTRANGE(""https://docs.google.com/spreadsheets/d/1v5sN-00LrXuhBxw4dkh2GrG_z4l5oAqOdJRBCsUyMaM/edit?usp=share_link"",""ตรัง!N239"")+IMPORTRANGE(""https://docs.google.com/spreadsheets/d/1T5rRTzFc79aSIvqnzkZNvwPstq829QYz_xALlO1Z0s8/edi"&amp;"t?usp=share_link"",""นครศรีธรรมราช!N239"")+IMPORTRANGE(""https://docs.google.com/spreadsheets/d/1BeghqumK0IvCmRd2QOy6_afsZq7ZtAGrSnVJy2u7WmY/edit?usp=share_link"",""นราธิวาส!N239"")+IMPORTRANGE(""https://docs.google.com/spreadsheets/d/1IwnW3-jjRf74MCLW-6P"&amp;"iFwMUffRQXZwZA7YM609NmRc/edit?usp=share_link"",""ปัตตานี!N239"")+IMPORTRANGE(""https://docs.google.com/spreadsheets/d/1vl4QWbWdFruual5o_wdo6ZSqXZ_it806oja4CctTLKs/edit?usp=share_link"",""พังงา!N239"")+IMPORTRANGE(""https://docs.google.com/spreadsheets/d/1"&amp;"b6QssHQp2FoAPSMKHOy273KNzAomaIKhtdlvuZ_zDNE/edit?usp=share_link"",""พัทลุง!N239"")+IMPORTRANGE(""https://docs.google.com/spreadsheets/d/1o7UZe4_OqlqtLDHrj01Z2YFRSZDf1DMy1n3XViHaxRc/edit?usp=share_link"",""ภูเก็ต!N239"")+IMPORTRANGE(""https://docs.google.c"&amp;"om/spreadsheets/d/1ctPm1vUzcUCPuOj9-eoHUD85PqINFqUB0TjdSWmR5-c/edit?usp=share_link"",""ยะลา!N239"")+IMPORTRANGE(""https://docs.google.com/spreadsheets/d/1YiDIE7Klmt8osgdapRqYWNr7iPGFSsiJqq46S7PYRE0/edit?usp=share_link"",""ระนอง!N239"")+IMPORTRANGE(""https"&amp;"://docs.google.com/spreadsheets/d/16o_4B-V7AWw_6E93bSpXj_XxVv1oVQctk-B6z1dNEWU/edit?usp=share_link"",""สงขลา!N239"")+IMPORTRANGE(""https://docs.google.com/spreadsheets/d/16cywr71Fj4fA5OGRHsZh30ZG2gwJhMAQv69oVBzYHv0/edit?usp=share_link"",""สตูล!N239"")+IMP"&amp;"ORTRANGE(""https://docs.google.com/spreadsheets/d/1vO9Sws6kMtrVtyvrAJptINXjK8TFBoX9xLYOVK_C8bQ/edit?usp=share_link"",""สุราษฎร์ธานี!N239"")"),74013.33)</f>
        <v>74013.33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20.25" hidden="1" customHeight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IFERROR(__xludf.DUMMYFUNCTION("IMPORTRANGE(""https://docs.google.com/spreadsheets/d/1kC41EOXpGBFOW658Fs3oD8beYlym0-zO54WY-2Qnp9I/edit?usp=share_link"",""กระบี่!L240"")
+IMPORTRANGE(""https://docs.google.com/spreadsheets/d/1FbzMZY_f3MDiEuK7RpCQKrilJ_kpX0Wm7QBZ1L7EjIU/edit?usp=share_link"&amp;""",""ชุมพร!L240"")+IMPORTRANGE(""https://docs.google.com/spreadsheets/d/1v5sN-00LrXuhBxw4dkh2GrG_z4l5oAqOdJRBCsUyMaM/edit?usp=share_link"",""ตรัง!L240"")+IMPORTRANGE(""https://docs.google.com/spreadsheets/d/1T5rRTzFc79aSIvqnzkZNvwPstq829QYz_xALlO1Z0s8/edi"&amp;"t?usp=share_link"",""นครศรีธรรมราช!L240"")+IMPORTRANGE(""https://docs.google.com/spreadsheets/d/1BeghqumK0IvCmRd2QOy6_afsZq7ZtAGrSnVJy2u7WmY/edit?usp=share_link"",""นราธิวาส!L240"")+IMPORTRANGE(""https://docs.google.com/spreadsheets/d/1IwnW3-jjRf74MCLW-6P"&amp;"iFwMUffRQXZwZA7YM609NmRc/edit?usp=share_link"",""ปัตตานี!L240"")+IMPORTRANGE(""https://docs.google.com/spreadsheets/d/1vl4QWbWdFruual5o_wdo6ZSqXZ_it806oja4CctTLKs/edit?usp=share_link"",""พังงา!L240"")+IMPORTRANGE(""https://docs.google.com/spreadsheets/d/1"&amp;"b6QssHQp2FoAPSMKHOy273KNzAomaIKhtdlvuZ_zDNE/edit?usp=share_link"",""พัทลุง!L240"")+IMPORTRANGE(""https://docs.google.com/spreadsheets/d/1o7UZe4_OqlqtLDHrj01Z2YFRSZDf1DMy1n3XViHaxRc/edit?usp=share_link"",""ภูเก็ต!L240"")+IMPORTRANGE(""https://docs.google.c"&amp;"om/spreadsheets/d/1ctPm1vUzcUCPuOj9-eoHUD85PqINFqUB0TjdSWmR5-c/edit?usp=share_link"",""ยะลา!L240"")+IMPORTRANGE(""https://docs.google.com/spreadsheets/d/1YiDIE7Klmt8osgdapRqYWNr7iPGFSsiJqq46S7PYRE0/edit?usp=share_link"",""ระนอง!L240"")+IMPORTRANGE(""https"&amp;"://docs.google.com/spreadsheets/d/16o_4B-V7AWw_6E93bSpXj_XxVv1oVQctk-B6z1dNEWU/edit?usp=share_link"",""สงขลา!L240"")+IMPORTRANGE(""https://docs.google.com/spreadsheets/d/16cywr71Fj4fA5OGRHsZh30ZG2gwJhMAQv69oVBzYHv0/edit?usp=share_link"",""สตูล!L240"")+IMP"&amp;"ORTRANGE(""https://docs.google.com/spreadsheets/d/1vO9Sws6kMtrVtyvrAJptINXjK8TFBoX9xLYOVK_C8bQ/edit?usp=share_link"",""สุราษฎร์ธานี!L240"")"),88300)</f>
        <v>88300</v>
      </c>
      <c r="M240" s="45"/>
      <c r="N240" s="358">
        <f ca="1">IFERROR(__xludf.DUMMYFUNCTION("IMPORTRANGE(""https://docs.google.com/spreadsheets/d/1kC41EOXpGBFOW658Fs3oD8beYlym0-zO54WY-2Qnp9I/edit?usp=share_link"",""กระบี่!N240"")
+IMPORTRANGE(""https://docs.google.com/spreadsheets/d/1FbzMZY_f3MDiEuK7RpCQKrilJ_kpX0Wm7QBZ1L7EjIU/edit?usp=share_link"&amp;""",""ชุมพร!N240"")+IMPORTRANGE(""https://docs.google.com/spreadsheets/d/1v5sN-00LrXuhBxw4dkh2GrG_z4l5oAqOdJRBCsUyMaM/edit?usp=share_link"",""ตรัง!N240"")+IMPORTRANGE(""https://docs.google.com/spreadsheets/d/1T5rRTzFc79aSIvqnzkZNvwPstq829QYz_xALlO1Z0s8/edi"&amp;"t?usp=share_link"",""นครศรีธรรมราช!N240"")+IMPORTRANGE(""https://docs.google.com/spreadsheets/d/1BeghqumK0IvCmRd2QOy6_afsZq7ZtAGrSnVJy2u7WmY/edit?usp=share_link"",""นราธิวาส!N240"")+IMPORTRANGE(""https://docs.google.com/spreadsheets/d/1IwnW3-jjRf74MCLW-6P"&amp;"iFwMUffRQXZwZA7YM609NmRc/edit?usp=share_link"",""ปัตตานี!N240"")+IMPORTRANGE(""https://docs.google.com/spreadsheets/d/1vl4QWbWdFruual5o_wdo6ZSqXZ_it806oja4CctTLKs/edit?usp=share_link"",""พังงา!N240"")+IMPORTRANGE(""https://docs.google.com/spreadsheets/d/1"&amp;"b6QssHQp2FoAPSMKHOy273KNzAomaIKhtdlvuZ_zDNE/edit?usp=share_link"",""พัทลุง!N240"")+IMPORTRANGE(""https://docs.google.com/spreadsheets/d/1o7UZe4_OqlqtLDHrj01Z2YFRSZDf1DMy1n3XViHaxRc/edit?usp=share_link"",""ภูเก็ต!N240"")+IMPORTRANGE(""https://docs.google.c"&amp;"om/spreadsheets/d/1ctPm1vUzcUCPuOj9-eoHUD85PqINFqUB0TjdSWmR5-c/edit?usp=share_link"",""ยะลา!N240"")+IMPORTRANGE(""https://docs.google.com/spreadsheets/d/1YiDIE7Klmt8osgdapRqYWNr7iPGFSsiJqq46S7PYRE0/edit?usp=share_link"",""ระนอง!N240"")+IMPORTRANGE(""https"&amp;"://docs.google.com/spreadsheets/d/16o_4B-V7AWw_6E93bSpXj_XxVv1oVQctk-B6z1dNEWU/edit?usp=share_link"",""สงขลา!N240"")+IMPORTRANGE(""https://docs.google.com/spreadsheets/d/16cywr71Fj4fA5OGRHsZh30ZG2gwJhMAQv69oVBzYHv0/edit?usp=share_link"",""สตูล!N240"")+IMP"&amp;"ORTRANGE(""https://docs.google.com/spreadsheets/d/1vO9Sws6kMtrVtyvrAJptINXjK8TFBoX9xLYOVK_C8bQ/edit?usp=share_link"",""สุราษฎร์ธานี!N240"")"),85539)</f>
        <v>85539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20.25" hidden="1" customHeight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IFERROR(__xludf.DUMMYFUNCTION("IMPORTRANGE(""https://docs.google.com/spreadsheets/d/1kC41EOXpGBFOW658Fs3oD8beYlym0-zO54WY-2Qnp9I/edit?usp=share_link"",""กระบี่!L241"")
+IMPORTRANGE(""https://docs.google.com/spreadsheets/d/1FbzMZY_f3MDiEuK7RpCQKrilJ_kpX0Wm7QBZ1L7EjIU/edit?usp=share_link"&amp;""",""ชุมพร!L241"")+IMPORTRANGE(""https://docs.google.com/spreadsheets/d/1v5sN-00LrXuhBxw4dkh2GrG_z4l5oAqOdJRBCsUyMaM/edit?usp=share_link"",""ตรัง!L241"")+IMPORTRANGE(""https://docs.google.com/spreadsheets/d/1T5rRTzFc79aSIvqnzkZNvwPstq829QYz_xALlO1Z0s8/edi"&amp;"t?usp=share_link"",""นครศรีธรรมราช!L241"")+IMPORTRANGE(""https://docs.google.com/spreadsheets/d/1BeghqumK0IvCmRd2QOy6_afsZq7ZtAGrSnVJy2u7WmY/edit?usp=share_link"",""นราธิวาส!L241"")+IMPORTRANGE(""https://docs.google.com/spreadsheets/d/1IwnW3-jjRf74MCLW-6P"&amp;"iFwMUffRQXZwZA7YM609NmRc/edit?usp=share_link"",""ปัตตานี!L241"")+IMPORTRANGE(""https://docs.google.com/spreadsheets/d/1vl4QWbWdFruual5o_wdo6ZSqXZ_it806oja4CctTLKs/edit?usp=share_link"",""พังงา!L241"")+IMPORTRANGE(""https://docs.google.com/spreadsheets/d/1"&amp;"b6QssHQp2FoAPSMKHOy273KNzAomaIKhtdlvuZ_zDNE/edit?usp=share_link"",""พัทลุง!L241"")+IMPORTRANGE(""https://docs.google.com/spreadsheets/d/1o7UZe4_OqlqtLDHrj01Z2YFRSZDf1DMy1n3XViHaxRc/edit?usp=share_link"",""ภูเก็ต!L241"")+IMPORTRANGE(""https://docs.google.c"&amp;"om/spreadsheets/d/1ctPm1vUzcUCPuOj9-eoHUD85PqINFqUB0TjdSWmR5-c/edit?usp=share_link"",""ยะลา!L241"")+IMPORTRANGE(""https://docs.google.com/spreadsheets/d/1YiDIE7Klmt8osgdapRqYWNr7iPGFSsiJqq46S7PYRE0/edit?usp=share_link"",""ระนอง!L241"")+IMPORTRANGE(""https"&amp;"://docs.google.com/spreadsheets/d/16o_4B-V7AWw_6E93bSpXj_XxVv1oVQctk-B6z1dNEWU/edit?usp=share_link"",""สงขลา!L241"")+IMPORTRANGE(""https://docs.google.com/spreadsheets/d/16cywr71Fj4fA5OGRHsZh30ZG2gwJhMAQv69oVBzYHv0/edit?usp=share_link"",""สตูล!L241"")+IMP"&amp;"ORTRANGE(""https://docs.google.com/spreadsheets/d/1vO9Sws6kMtrVtyvrAJptINXjK8TFBoX9xLYOVK_C8bQ/edit?usp=share_link"",""สุราษฎร์ธานี!L241"")"),0)</f>
        <v>0</v>
      </c>
      <c r="M241" s="45"/>
      <c r="N241" s="358">
        <f ca="1">IFERROR(__xludf.DUMMYFUNCTION("IMPORTRANGE(""https://docs.google.com/spreadsheets/d/1kC41EOXpGBFOW658Fs3oD8beYlym0-zO54WY-2Qnp9I/edit?usp=share_link"",""กระบี่!N241"")
+IMPORTRANGE(""https://docs.google.com/spreadsheets/d/1FbzMZY_f3MDiEuK7RpCQKrilJ_kpX0Wm7QBZ1L7EjIU/edit?usp=share_link"&amp;""",""ชุมพร!N241"")+IMPORTRANGE(""https://docs.google.com/spreadsheets/d/1v5sN-00LrXuhBxw4dkh2GrG_z4l5oAqOdJRBCsUyMaM/edit?usp=share_link"",""ตรัง!N241"")+IMPORTRANGE(""https://docs.google.com/spreadsheets/d/1T5rRTzFc79aSIvqnzkZNvwPstq829QYz_xALlO1Z0s8/edi"&amp;"t?usp=share_link"",""นครศรีธรรมราช!N241"")+IMPORTRANGE(""https://docs.google.com/spreadsheets/d/1BeghqumK0IvCmRd2QOy6_afsZq7ZtAGrSnVJy2u7WmY/edit?usp=share_link"",""นราธิวาส!N241"")+IMPORTRANGE(""https://docs.google.com/spreadsheets/d/1IwnW3-jjRf74MCLW-6P"&amp;"iFwMUffRQXZwZA7YM609NmRc/edit?usp=share_link"",""ปัตตานี!N241"")+IMPORTRANGE(""https://docs.google.com/spreadsheets/d/1vl4QWbWdFruual5o_wdo6ZSqXZ_it806oja4CctTLKs/edit?usp=share_link"",""พังงา!N241"")+IMPORTRANGE(""https://docs.google.com/spreadsheets/d/1"&amp;"b6QssHQp2FoAPSMKHOy273KNzAomaIKhtdlvuZ_zDNE/edit?usp=share_link"",""พัทลุง!N241"")+IMPORTRANGE(""https://docs.google.com/spreadsheets/d/1o7UZe4_OqlqtLDHrj01Z2YFRSZDf1DMy1n3XViHaxRc/edit?usp=share_link"",""ภูเก็ต!N241"")+IMPORTRANGE(""https://docs.google.c"&amp;"om/spreadsheets/d/1ctPm1vUzcUCPuOj9-eoHUD85PqINFqUB0TjdSWmR5-c/edit?usp=share_link"",""ยะลา!N241"")+IMPORTRANGE(""https://docs.google.com/spreadsheets/d/1YiDIE7Klmt8osgdapRqYWNr7iPGFSsiJqq46S7PYRE0/edit?usp=share_link"",""ระนอง!N241"")+IMPORTRANGE(""https"&amp;"://docs.google.com/spreadsheets/d/16o_4B-V7AWw_6E93bSpXj_XxVv1oVQctk-B6z1dNEWU/edit?usp=share_link"",""สงขลา!N241"")+IMPORTRANGE(""https://docs.google.com/spreadsheets/d/16cywr71Fj4fA5OGRHsZh30ZG2gwJhMAQv69oVBzYHv0/edit?usp=share_link"",""สตูล!N241"")+IMP"&amp;"ORTRANGE(""https://docs.google.com/spreadsheets/d/1vO9Sws6kMtrVtyvrAJptINXjK8TFBoX9xLYOVK_C8bQ/edit?usp=share_link"",""สุราษฎร์ธานี!N241"")"),0)</f>
        <v>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20.25" hidden="1" customHeight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IFERROR(__xludf.DUMMYFUNCTION("IMPORTRANGE(""https://docs.google.com/spreadsheets/d/1kC41EOXpGBFOW658Fs3oD8beYlym0-zO54WY-2Qnp9I/edit?usp=share_link"",""กระบี่!L242"")
+IMPORTRANGE(""https://docs.google.com/spreadsheets/d/1FbzMZY_f3MDiEuK7RpCQKrilJ_kpX0Wm7QBZ1L7EjIU/edit?usp=share_link"&amp;""",""ชุมพร!L242"")+IMPORTRANGE(""https://docs.google.com/spreadsheets/d/1v5sN-00LrXuhBxw4dkh2GrG_z4l5oAqOdJRBCsUyMaM/edit?usp=share_link"",""ตรัง!L242"")+IMPORTRANGE(""https://docs.google.com/spreadsheets/d/1T5rRTzFc79aSIvqnzkZNvwPstq829QYz_xALlO1Z0s8/edi"&amp;"t?usp=share_link"",""นครศรีธรรมราช!L242"")+IMPORTRANGE(""https://docs.google.com/spreadsheets/d/1BeghqumK0IvCmRd2QOy6_afsZq7ZtAGrSnVJy2u7WmY/edit?usp=share_link"",""นราธิวาส!L242"")+IMPORTRANGE(""https://docs.google.com/spreadsheets/d/1IwnW3-jjRf74MCLW-6P"&amp;"iFwMUffRQXZwZA7YM609NmRc/edit?usp=share_link"",""ปัตตานี!L242"")+IMPORTRANGE(""https://docs.google.com/spreadsheets/d/1vl4QWbWdFruual5o_wdo6ZSqXZ_it806oja4CctTLKs/edit?usp=share_link"",""พังงา!L242"")+IMPORTRANGE(""https://docs.google.com/spreadsheets/d/1"&amp;"b6QssHQp2FoAPSMKHOy273KNzAomaIKhtdlvuZ_zDNE/edit?usp=share_link"",""พัทลุง!L242"")+IMPORTRANGE(""https://docs.google.com/spreadsheets/d/1o7UZe4_OqlqtLDHrj01Z2YFRSZDf1DMy1n3XViHaxRc/edit?usp=share_link"",""ภูเก็ต!L242"")+IMPORTRANGE(""https://docs.google.c"&amp;"om/spreadsheets/d/1ctPm1vUzcUCPuOj9-eoHUD85PqINFqUB0TjdSWmR5-c/edit?usp=share_link"",""ยะลา!L242"")+IMPORTRANGE(""https://docs.google.com/spreadsheets/d/1YiDIE7Klmt8osgdapRqYWNr7iPGFSsiJqq46S7PYRE0/edit?usp=share_link"",""ระนอง!L242"")+IMPORTRANGE(""https"&amp;"://docs.google.com/spreadsheets/d/16o_4B-V7AWw_6E93bSpXj_XxVv1oVQctk-B6z1dNEWU/edit?usp=share_link"",""สงขลา!L242"")+IMPORTRANGE(""https://docs.google.com/spreadsheets/d/16cywr71Fj4fA5OGRHsZh30ZG2gwJhMAQv69oVBzYHv0/edit?usp=share_link"",""สตูล!L242"")+IMP"&amp;"ORTRANGE(""https://docs.google.com/spreadsheets/d/1vO9Sws6kMtrVtyvrAJptINXjK8TFBoX9xLYOVK_C8bQ/edit?usp=share_link"",""สุราษฎร์ธานี!L242"")"),40000)</f>
        <v>40000</v>
      </c>
      <c r="M242" s="45"/>
      <c r="N242" s="358">
        <f ca="1">IFERROR(__xludf.DUMMYFUNCTION("IMPORTRANGE(""https://docs.google.com/spreadsheets/d/1kC41EOXpGBFOW658Fs3oD8beYlym0-zO54WY-2Qnp9I/edit?usp=share_link"",""กระบี่!N242"")
+IMPORTRANGE(""https://docs.google.com/spreadsheets/d/1FbzMZY_f3MDiEuK7RpCQKrilJ_kpX0Wm7QBZ1L7EjIU/edit?usp=share_link"&amp;""",""ชุมพร!N242"")+IMPORTRANGE(""https://docs.google.com/spreadsheets/d/1v5sN-00LrXuhBxw4dkh2GrG_z4l5oAqOdJRBCsUyMaM/edit?usp=share_link"",""ตรัง!N242"")+IMPORTRANGE(""https://docs.google.com/spreadsheets/d/1T5rRTzFc79aSIvqnzkZNvwPstq829QYz_xALlO1Z0s8/edi"&amp;"t?usp=share_link"",""นครศรีธรรมราช!N242"")+IMPORTRANGE(""https://docs.google.com/spreadsheets/d/1BeghqumK0IvCmRd2QOy6_afsZq7ZtAGrSnVJy2u7WmY/edit?usp=share_link"",""นราธิวาส!N242"")+IMPORTRANGE(""https://docs.google.com/spreadsheets/d/1IwnW3-jjRf74MCLW-6P"&amp;"iFwMUffRQXZwZA7YM609NmRc/edit?usp=share_link"",""ปัตตานี!N242"")+IMPORTRANGE(""https://docs.google.com/spreadsheets/d/1vl4QWbWdFruual5o_wdo6ZSqXZ_it806oja4CctTLKs/edit?usp=share_link"",""พังงา!N242"")+IMPORTRANGE(""https://docs.google.com/spreadsheets/d/1"&amp;"b6QssHQp2FoAPSMKHOy273KNzAomaIKhtdlvuZ_zDNE/edit?usp=share_link"",""พัทลุง!N242"")+IMPORTRANGE(""https://docs.google.com/spreadsheets/d/1o7UZe4_OqlqtLDHrj01Z2YFRSZDf1DMy1n3XViHaxRc/edit?usp=share_link"",""ภูเก็ต!N242"")+IMPORTRANGE(""https://docs.google.c"&amp;"om/spreadsheets/d/1ctPm1vUzcUCPuOj9-eoHUD85PqINFqUB0TjdSWmR5-c/edit?usp=share_link"",""ยะลา!N242"")+IMPORTRANGE(""https://docs.google.com/spreadsheets/d/1YiDIE7Klmt8osgdapRqYWNr7iPGFSsiJqq46S7PYRE0/edit?usp=share_link"",""ระนอง!N242"")+IMPORTRANGE(""https"&amp;"://docs.google.com/spreadsheets/d/16o_4B-V7AWw_6E93bSpXj_XxVv1oVQctk-B6z1dNEWU/edit?usp=share_link"",""สงขลา!N242"")+IMPORTRANGE(""https://docs.google.com/spreadsheets/d/16cywr71Fj4fA5OGRHsZh30ZG2gwJhMAQv69oVBzYHv0/edit?usp=share_link"",""สตูล!N242"")+IMP"&amp;"ORTRANGE(""https://docs.google.com/spreadsheets/d/1vO9Sws6kMtrVtyvrAJptINXjK8TFBoX9xLYOVK_C8bQ/edit?usp=share_link"",""สุราษฎร์ธานี!N242"")"),0)</f>
        <v>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20.25" hidden="1" customHeight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20.25" hidden="1" customHeight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IFERROR(__xludf.DUMMYFUNCTION("IMPORTRANGE(""https://docs.google.com/spreadsheets/d/1kC41EOXpGBFOW658Fs3oD8beYlym0-zO54WY-2Qnp9I/edit?usp=share_link"",""กระบี่!I244"")
+IMPORTRANGE(""https://docs.google.com/spreadsheets/d/1FbzMZY_f3MDiEuK7RpCQKrilJ_kpX0Wm7QBZ1L7EjIU/edit?usp=share_link"&amp;""",""ชุมพร!I244"")+IMPORTRANGE(""https://docs.google.com/spreadsheets/d/1v5sN-00LrXuhBxw4dkh2GrG_z4l5oAqOdJRBCsUyMaM/edit?usp=share_link"",""ตรัง!I244"")+IMPORTRANGE(""https://docs.google.com/spreadsheets/d/1T5rRTzFc79aSIvqnzkZNvwPstq829QYz_xALlO1Z0s8/edi"&amp;"t?usp=share_link"",""นครศรีธรรมราช!I244"")+IMPORTRANGE(""https://docs.google.com/spreadsheets/d/1BeghqumK0IvCmRd2QOy6_afsZq7ZtAGrSnVJy2u7WmY/edit?usp=share_link"",""นราธิวาส!I244"")+IMPORTRANGE(""https://docs.google.com/spreadsheets/d/1IwnW3-jjRf74MCLW-6P"&amp;"iFwMUffRQXZwZA7YM609NmRc/edit?usp=share_link"",""ปัตตานี!I244"")+IMPORTRANGE(""https://docs.google.com/spreadsheets/d/1vl4QWbWdFruual5o_wdo6ZSqXZ_it806oja4CctTLKs/edit?usp=share_link"",""พังงา!I244"")+IMPORTRANGE(""https://docs.google.com/spreadsheets/d/1"&amp;"b6QssHQp2FoAPSMKHOy273KNzAomaIKhtdlvuZ_zDNE/edit?usp=share_link"",""พัทลุง!I244"")+IMPORTRANGE(""https://docs.google.com/spreadsheets/d/1o7UZe4_OqlqtLDHrj01Z2YFRSZDf1DMy1n3XViHaxRc/edit?usp=share_link"",""ภูเก็ต!I244"")+IMPORTRANGE(""https://docs.google.c"&amp;"om/spreadsheets/d/1ctPm1vUzcUCPuOj9-eoHUD85PqINFqUB0TjdSWmR5-c/edit?usp=share_link"",""ยะลา!I244"")+IMPORTRANGE(""https://docs.google.com/spreadsheets/d/1YiDIE7Klmt8osgdapRqYWNr7iPGFSsiJqq46S7PYRE0/edit?usp=share_link"",""ระนอง!I244"")+IMPORTRANGE(""https"&amp;"://docs.google.com/spreadsheets/d/16o_4B-V7AWw_6E93bSpXj_XxVv1oVQctk-B6z1dNEWU/edit?usp=share_link"",""สงขลา!I244"")+IMPORTRANGE(""https://docs.google.com/spreadsheets/d/16cywr71Fj4fA5OGRHsZh30ZG2gwJhMAQv69oVBzYHv0/edit?usp=share_link"",""สตูล!I244"")+IMP"&amp;"ORTRANGE(""https://docs.google.com/spreadsheets/d/1vO9Sws6kMtrVtyvrAJptINXjK8TFBoX9xLYOVK_C8bQ/edit?usp=share_link"",""สุราษฎร์ธานี!I244"")"),100)</f>
        <v>100</v>
      </c>
      <c r="J244" s="371">
        <f ca="1">IFERROR(__xludf.DUMMYFUNCTION("IMPORTRANGE(""https://docs.google.com/spreadsheets/d/1kC41EOXpGBFOW658Fs3oD8beYlym0-zO54WY-2Qnp9I/edit?usp=share_link"",""กระบี่!J244"")
+IMPORTRANGE(""https://docs.google.com/spreadsheets/d/1FbzMZY_f3MDiEuK7RpCQKrilJ_kpX0Wm7QBZ1L7EjIU/edit?usp=share_link"&amp;""",""ชุมพร!J244"")+IMPORTRANGE(""https://docs.google.com/spreadsheets/d/1v5sN-00LrXuhBxw4dkh2GrG_z4l5oAqOdJRBCsUyMaM/edit?usp=share_link"",""ตรัง!J244"")+IMPORTRANGE(""https://docs.google.com/spreadsheets/d/1T5rRTzFc79aSIvqnzkZNvwPstq829QYz_xALlO1Z0s8/edi"&amp;"t?usp=share_link"",""นครศรีธรรมราช!J244"")+IMPORTRANGE(""https://docs.google.com/spreadsheets/d/1BeghqumK0IvCmRd2QOy6_afsZq7ZtAGrSnVJy2u7WmY/edit?usp=share_link"",""นราธิวาส!J244"")+IMPORTRANGE(""https://docs.google.com/spreadsheets/d/1IwnW3-jjRf74MCLW-6P"&amp;"iFwMUffRQXZwZA7YM609NmRc/edit?usp=share_link"",""ปัตตานี!J244"")+IMPORTRANGE(""https://docs.google.com/spreadsheets/d/1vl4QWbWdFruual5o_wdo6ZSqXZ_it806oja4CctTLKs/edit?usp=share_link"",""พังงา!J244"")+IMPORTRANGE(""https://docs.google.com/spreadsheets/d/1"&amp;"b6QssHQp2FoAPSMKHOy273KNzAomaIKhtdlvuZ_zDNE/edit?usp=share_link"",""พัทลุง!J244"")+IMPORTRANGE(""https://docs.google.com/spreadsheets/d/1o7UZe4_OqlqtLDHrj01Z2YFRSZDf1DMy1n3XViHaxRc/edit?usp=share_link"",""ภูเก็ต!J244"")+IMPORTRANGE(""https://docs.google.c"&amp;"om/spreadsheets/d/1ctPm1vUzcUCPuOj9-eoHUD85PqINFqUB0TjdSWmR5-c/edit?usp=share_link"",""ยะลา!J244"")+IMPORTRANGE(""https://docs.google.com/spreadsheets/d/1YiDIE7Klmt8osgdapRqYWNr7iPGFSsiJqq46S7PYRE0/edit?usp=share_link"",""ระนอง!J244"")+IMPORTRANGE(""https"&amp;"://docs.google.com/spreadsheets/d/16o_4B-V7AWw_6E93bSpXj_XxVv1oVQctk-B6z1dNEWU/edit?usp=share_link"",""สงขลา!J244"")+IMPORTRANGE(""https://docs.google.com/spreadsheets/d/16cywr71Fj4fA5OGRHsZh30ZG2gwJhMAQv69oVBzYHv0/edit?usp=share_link"",""สตูล!J244"")+IMP"&amp;"ORTRANGE(""https://docs.google.com/spreadsheets/d/1vO9Sws6kMtrVtyvrAJptINXjK8TFBoX9xLYOVK_C8bQ/edit?usp=share_link"",""สุราษฎร์ธานี!J244"")"),110)</f>
        <v>110</v>
      </c>
      <c r="K244" s="45">
        <f ca="1">IF(I244&gt;0,J244*100/I244,0)</f>
        <v>110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20.25" hidden="1" customHeight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20.25" hidden="1" customHeight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IFERROR(__xludf.DUMMYFUNCTION("IMPORTRANGE(""https://docs.google.com/spreadsheets/d/1kC41EOXpGBFOW658Fs3oD8beYlym0-zO54WY-2Qnp9I/edit?usp=share_link"",""กระบี่!I246"")
+IMPORTRANGE(""https://docs.google.com/spreadsheets/d/1FbzMZY_f3MDiEuK7RpCQKrilJ_kpX0Wm7QBZ1L7EjIU/edit?usp=share_link"&amp;""",""ชุมพร!I246"")+IMPORTRANGE(""https://docs.google.com/spreadsheets/d/1v5sN-00LrXuhBxw4dkh2GrG_z4l5oAqOdJRBCsUyMaM/edit?usp=share_link"",""ตรัง!I246"")+IMPORTRANGE(""https://docs.google.com/spreadsheets/d/1T5rRTzFc79aSIvqnzkZNvwPstq829QYz_xALlO1Z0s8/edi"&amp;"t?usp=share_link"",""นครศรีธรรมราช!I246"")+IMPORTRANGE(""https://docs.google.com/spreadsheets/d/1BeghqumK0IvCmRd2QOy6_afsZq7ZtAGrSnVJy2u7WmY/edit?usp=share_link"",""นราธิวาส!I246"")+IMPORTRANGE(""https://docs.google.com/spreadsheets/d/1IwnW3-jjRf74MCLW-6P"&amp;"iFwMUffRQXZwZA7YM609NmRc/edit?usp=share_link"",""ปัตตานี!I246"")+IMPORTRANGE(""https://docs.google.com/spreadsheets/d/1vl4QWbWdFruual5o_wdo6ZSqXZ_it806oja4CctTLKs/edit?usp=share_link"",""พังงา!I246"")+IMPORTRANGE(""https://docs.google.com/spreadsheets/d/1"&amp;"b6QssHQp2FoAPSMKHOy273KNzAomaIKhtdlvuZ_zDNE/edit?usp=share_link"",""พัทลุง!I246"")+IMPORTRANGE(""https://docs.google.com/spreadsheets/d/1o7UZe4_OqlqtLDHrj01Z2YFRSZDf1DMy1n3XViHaxRc/edit?usp=share_link"",""ภูเก็ต!I246"")+IMPORTRANGE(""https://docs.google.c"&amp;"om/spreadsheets/d/1ctPm1vUzcUCPuOj9-eoHUD85PqINFqUB0TjdSWmR5-c/edit?usp=share_link"",""ยะลา!I246"")+IMPORTRANGE(""https://docs.google.com/spreadsheets/d/1YiDIE7Klmt8osgdapRqYWNr7iPGFSsiJqq46S7PYRE0/edit?usp=share_link"",""ระนอง!I246"")+IMPORTRANGE(""https"&amp;"://docs.google.com/spreadsheets/d/16o_4B-V7AWw_6E93bSpXj_XxVv1oVQctk-B6z1dNEWU/edit?usp=share_link"",""สงขลา!I246"")+IMPORTRANGE(""https://docs.google.com/spreadsheets/d/16cywr71Fj4fA5OGRHsZh30ZG2gwJhMAQv69oVBzYHv0/edit?usp=share_link"",""สตูล!I246"")+IMP"&amp;"ORTRANGE(""https://docs.google.com/spreadsheets/d/1vO9Sws6kMtrVtyvrAJptINXjK8TFBoX9xLYOVK_C8bQ/edit?usp=share_link"",""สุราษฎร์ธานี!I246"")"),0)</f>
        <v>0</v>
      </c>
      <c r="J246" s="371">
        <f ca="1">IFERROR(__xludf.DUMMYFUNCTION("IMPORTRANGE(""https://docs.google.com/spreadsheets/d/1kC41EOXpGBFOW658Fs3oD8beYlym0-zO54WY-2Qnp9I/edit?usp=share_link"",""กระบี่!J246"")
+IMPORTRANGE(""https://docs.google.com/spreadsheets/d/1FbzMZY_f3MDiEuK7RpCQKrilJ_kpX0Wm7QBZ1L7EjIU/edit?usp=share_link"&amp;""",""ชุมพร!J246"")+IMPORTRANGE(""https://docs.google.com/spreadsheets/d/1v5sN-00LrXuhBxw4dkh2GrG_z4l5oAqOdJRBCsUyMaM/edit?usp=share_link"",""ตรัง!J246"")+IMPORTRANGE(""https://docs.google.com/spreadsheets/d/1T5rRTzFc79aSIvqnzkZNvwPstq829QYz_xALlO1Z0s8/edi"&amp;"t?usp=share_link"",""นครศรีธรรมราช!J246"")+IMPORTRANGE(""https://docs.google.com/spreadsheets/d/1BeghqumK0IvCmRd2QOy6_afsZq7ZtAGrSnVJy2u7WmY/edit?usp=share_link"",""นราธิวาส!J246"")+IMPORTRANGE(""https://docs.google.com/spreadsheets/d/1IwnW3-jjRf74MCLW-6P"&amp;"iFwMUffRQXZwZA7YM609NmRc/edit?usp=share_link"",""ปัตตานี!J246"")+IMPORTRANGE(""https://docs.google.com/spreadsheets/d/1vl4QWbWdFruual5o_wdo6ZSqXZ_it806oja4CctTLKs/edit?usp=share_link"",""พังงา!J246"")+IMPORTRANGE(""https://docs.google.com/spreadsheets/d/1"&amp;"b6QssHQp2FoAPSMKHOy273KNzAomaIKhtdlvuZ_zDNE/edit?usp=share_link"",""พัทลุง!J246"")+IMPORTRANGE(""https://docs.google.com/spreadsheets/d/1o7UZe4_OqlqtLDHrj01Z2YFRSZDf1DMy1n3XViHaxRc/edit?usp=share_link"",""ภูเก็ต!J246"")+IMPORTRANGE(""https://docs.google.c"&amp;"om/spreadsheets/d/1ctPm1vUzcUCPuOj9-eoHUD85PqINFqUB0TjdSWmR5-c/edit?usp=share_link"",""ยะลา!J246"")+IMPORTRANGE(""https://docs.google.com/spreadsheets/d/1YiDIE7Klmt8osgdapRqYWNr7iPGFSsiJqq46S7PYRE0/edit?usp=share_link"",""ระนอง!J246"")+IMPORTRANGE(""https"&amp;"://docs.google.com/spreadsheets/d/16o_4B-V7AWw_6E93bSpXj_XxVv1oVQctk-B6z1dNEWU/edit?usp=share_link"",""สงขลา!J246"")+IMPORTRANGE(""https://docs.google.com/spreadsheets/d/16cywr71Fj4fA5OGRHsZh30ZG2gwJhMAQv69oVBzYHv0/edit?usp=share_link"",""สตูล!J246"")+IMP"&amp;"ORTRANGE(""https://docs.google.com/spreadsheets/d/1vO9Sws6kMtrVtyvrAJptINXjK8TFBoX9xLYOVK_C8bQ/edit?usp=share_link"",""สุราษฎร์ธานี!J246"")"),0)</f>
        <v>0</v>
      </c>
      <c r="K246" s="45">
        <f t="shared" ref="K246:K248" ca="1" si="133">IF(I246&gt;0,J246*100/I246,0)</f>
        <v>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20.25" hidden="1" customHeight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IFERROR(__xludf.DUMMYFUNCTION("IMPORTRANGE(""https://docs.google.com/spreadsheets/d/1kC41EOXpGBFOW658Fs3oD8beYlym0-zO54WY-2Qnp9I/edit?usp=share_link"",""กระบี่!I247"")
+IMPORTRANGE(""https://docs.google.com/spreadsheets/d/1FbzMZY_f3MDiEuK7RpCQKrilJ_kpX0Wm7QBZ1L7EjIU/edit?usp=share_link"&amp;""",""ชุมพร!I247"")+IMPORTRANGE(""https://docs.google.com/spreadsheets/d/1v5sN-00LrXuhBxw4dkh2GrG_z4l5oAqOdJRBCsUyMaM/edit?usp=share_link"",""ตรัง!I247"")+IMPORTRANGE(""https://docs.google.com/spreadsheets/d/1T5rRTzFc79aSIvqnzkZNvwPstq829QYz_xALlO1Z0s8/edi"&amp;"t?usp=share_link"",""นครศรีธรรมราช!I247"")+IMPORTRANGE(""https://docs.google.com/spreadsheets/d/1BeghqumK0IvCmRd2QOy6_afsZq7ZtAGrSnVJy2u7WmY/edit?usp=share_link"",""นราธิวาส!I247"")+IMPORTRANGE(""https://docs.google.com/spreadsheets/d/1IwnW3-jjRf74MCLW-6P"&amp;"iFwMUffRQXZwZA7YM609NmRc/edit?usp=share_link"",""ปัตตานี!I247"")+IMPORTRANGE(""https://docs.google.com/spreadsheets/d/1vl4QWbWdFruual5o_wdo6ZSqXZ_it806oja4CctTLKs/edit?usp=share_link"",""พังงา!I247"")+IMPORTRANGE(""https://docs.google.com/spreadsheets/d/1"&amp;"b6QssHQp2FoAPSMKHOy273KNzAomaIKhtdlvuZ_zDNE/edit?usp=share_link"",""พัทลุง!I247"")+IMPORTRANGE(""https://docs.google.com/spreadsheets/d/1o7UZe4_OqlqtLDHrj01Z2YFRSZDf1DMy1n3XViHaxRc/edit?usp=share_link"",""ภูเก็ต!I247"")+IMPORTRANGE(""https://docs.google.c"&amp;"om/spreadsheets/d/1ctPm1vUzcUCPuOj9-eoHUD85PqINFqUB0TjdSWmR5-c/edit?usp=share_link"",""ยะลา!I247"")+IMPORTRANGE(""https://docs.google.com/spreadsheets/d/1YiDIE7Klmt8osgdapRqYWNr7iPGFSsiJqq46S7PYRE0/edit?usp=share_link"",""ระนอง!I247"")+IMPORTRANGE(""https"&amp;"://docs.google.com/spreadsheets/d/16o_4B-V7AWw_6E93bSpXj_XxVv1oVQctk-B6z1dNEWU/edit?usp=share_link"",""สงขลา!I247"")+IMPORTRANGE(""https://docs.google.com/spreadsheets/d/16cywr71Fj4fA5OGRHsZh30ZG2gwJhMAQv69oVBzYHv0/edit?usp=share_link"",""สตูล!I247"")+IMP"&amp;"ORTRANGE(""https://docs.google.com/spreadsheets/d/1vO9Sws6kMtrVtyvrAJptINXjK8TFBoX9xLYOVK_C8bQ/edit?usp=share_link"",""สุราษฎร์ธานี!I247"")"),4)</f>
        <v>4</v>
      </c>
      <c r="J247" s="371">
        <f ca="1">IFERROR(__xludf.DUMMYFUNCTION("IMPORTRANGE(""https://docs.google.com/spreadsheets/d/1kC41EOXpGBFOW658Fs3oD8beYlym0-zO54WY-2Qnp9I/edit?usp=share_link"",""กระบี่!J247"")
+IMPORTRANGE(""https://docs.google.com/spreadsheets/d/1FbzMZY_f3MDiEuK7RpCQKrilJ_kpX0Wm7QBZ1L7EjIU/edit?usp=share_link"&amp;""",""ชุมพร!J247"")+IMPORTRANGE(""https://docs.google.com/spreadsheets/d/1v5sN-00LrXuhBxw4dkh2GrG_z4l5oAqOdJRBCsUyMaM/edit?usp=share_link"",""ตรัง!J247"")+IMPORTRANGE(""https://docs.google.com/spreadsheets/d/1T5rRTzFc79aSIvqnzkZNvwPstq829QYz_xALlO1Z0s8/edi"&amp;"t?usp=share_link"",""นครศรีธรรมราช!J247"")+IMPORTRANGE(""https://docs.google.com/spreadsheets/d/1BeghqumK0IvCmRd2QOy6_afsZq7ZtAGrSnVJy2u7WmY/edit?usp=share_link"",""นราธิวาส!J247"")+IMPORTRANGE(""https://docs.google.com/spreadsheets/d/1IwnW3-jjRf74MCLW-6P"&amp;"iFwMUffRQXZwZA7YM609NmRc/edit?usp=share_link"",""ปัตตานี!J247"")+IMPORTRANGE(""https://docs.google.com/spreadsheets/d/1vl4QWbWdFruual5o_wdo6ZSqXZ_it806oja4CctTLKs/edit?usp=share_link"",""พังงา!J247"")+IMPORTRANGE(""https://docs.google.com/spreadsheets/d/1"&amp;"b6QssHQp2FoAPSMKHOy273KNzAomaIKhtdlvuZ_zDNE/edit?usp=share_link"",""พัทลุง!J247"")+IMPORTRANGE(""https://docs.google.com/spreadsheets/d/1o7UZe4_OqlqtLDHrj01Z2YFRSZDf1DMy1n3XViHaxRc/edit?usp=share_link"",""ภูเก็ต!J247"")+IMPORTRANGE(""https://docs.google.c"&amp;"om/spreadsheets/d/1ctPm1vUzcUCPuOj9-eoHUD85PqINFqUB0TjdSWmR5-c/edit?usp=share_link"",""ยะลา!J247"")+IMPORTRANGE(""https://docs.google.com/spreadsheets/d/1YiDIE7Klmt8osgdapRqYWNr7iPGFSsiJqq46S7PYRE0/edit?usp=share_link"",""ระนอง!J247"")+IMPORTRANGE(""https"&amp;"://docs.google.com/spreadsheets/d/16o_4B-V7AWw_6E93bSpXj_XxVv1oVQctk-B6z1dNEWU/edit?usp=share_link"",""สงขลา!J247"")+IMPORTRANGE(""https://docs.google.com/spreadsheets/d/16cywr71Fj4fA5OGRHsZh30ZG2gwJhMAQv69oVBzYHv0/edit?usp=share_link"",""สตูล!J247"")+IMP"&amp;"ORTRANGE(""https://docs.google.com/spreadsheets/d/1vO9Sws6kMtrVtyvrAJptINXjK8TFBoX9xLYOVK_C8bQ/edit?usp=share_link"",""สุราษฎร์ธานี!J247"")"),0)</f>
        <v>0</v>
      </c>
      <c r="K247" s="45">
        <f t="shared" ca="1" si="133"/>
        <v>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20.25" hidden="1" customHeight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4">I255</f>
        <v>0</v>
      </c>
      <c r="J248" s="345">
        <f t="shared" ca="1" si="134"/>
        <v>0</v>
      </c>
      <c r="K248" s="346">
        <f t="shared" ca="1" si="133"/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20.25" hidden="1" customHeight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 ca="1"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20.25" hidden="1" customHeight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IFERROR(__xludf.DUMMYFUNCTION("IMPORTRANGE(""https://docs.google.com/spreadsheets/d/1kC41EOXpGBFOW658Fs3oD8beYlym0-zO54WY-2Qnp9I/edit?usp=share_link"",""กระบี่!L250"")
+IMPORTRANGE(""https://docs.google.com/spreadsheets/d/1FbzMZY_f3MDiEuK7RpCQKrilJ_kpX0Wm7QBZ1L7EjIU/edit?usp=share_link"&amp;""",""ชุมพร!L250"")+IMPORTRANGE(""https://docs.google.com/spreadsheets/d/1v5sN-00LrXuhBxw4dkh2GrG_z4l5oAqOdJRBCsUyMaM/edit?usp=share_link"",""ตรัง!L250"")+IMPORTRANGE(""https://docs.google.com/spreadsheets/d/1T5rRTzFc79aSIvqnzkZNvwPstq829QYz_xALlO1Z0s8/edi"&amp;"t?usp=share_link"",""นครศรีธรรมราช!L250"")+IMPORTRANGE(""https://docs.google.com/spreadsheets/d/1BeghqumK0IvCmRd2QOy6_afsZq7ZtAGrSnVJy2u7WmY/edit?usp=share_link"",""นราธิวาส!L250"")+IMPORTRANGE(""https://docs.google.com/spreadsheets/d/1IwnW3-jjRf74MCLW-6P"&amp;"iFwMUffRQXZwZA7YM609NmRc/edit?usp=share_link"",""ปัตตานี!L250"")+IMPORTRANGE(""https://docs.google.com/spreadsheets/d/1vl4QWbWdFruual5o_wdo6ZSqXZ_it806oja4CctTLKs/edit?usp=share_link"",""พังงา!L250"")+IMPORTRANGE(""https://docs.google.com/spreadsheets/d/1"&amp;"b6QssHQp2FoAPSMKHOy273KNzAomaIKhtdlvuZ_zDNE/edit?usp=share_link"",""พัทลุง!L250"")+IMPORTRANGE(""https://docs.google.com/spreadsheets/d/1o7UZe4_OqlqtLDHrj01Z2YFRSZDf1DMy1n3XViHaxRc/edit?usp=share_link"",""ภูเก็ต!L250"")+IMPORTRANGE(""https://docs.google.c"&amp;"om/spreadsheets/d/1ctPm1vUzcUCPuOj9-eoHUD85PqINFqUB0TjdSWmR5-c/edit?usp=share_link"",""ยะลา!L250"")+IMPORTRANGE(""https://docs.google.com/spreadsheets/d/1YiDIE7Klmt8osgdapRqYWNr7iPGFSsiJqq46S7PYRE0/edit?usp=share_link"",""ระนอง!L250"")+IMPORTRANGE(""https"&amp;"://docs.google.com/spreadsheets/d/16o_4B-V7AWw_6E93bSpXj_XxVv1oVQctk-B6z1dNEWU/edit?usp=share_link"",""สงขลา!L250"")+IMPORTRANGE(""https://docs.google.com/spreadsheets/d/16cywr71Fj4fA5OGRHsZh30ZG2gwJhMAQv69oVBzYHv0/edit?usp=share_link"",""สตูล!L250"")+IMP"&amp;"ORTRANGE(""https://docs.google.com/spreadsheets/d/1vO9Sws6kMtrVtyvrAJptINXjK8TFBoX9xLYOVK_C8bQ/edit?usp=share_link"",""สุราษฎร์ธานี!L250"")"),0)</f>
        <v>0</v>
      </c>
      <c r="M250" s="45"/>
      <c r="N250" s="358">
        <f ca="1">IFERROR(__xludf.DUMMYFUNCTION("IMPORTRANGE(""https://docs.google.com/spreadsheets/d/1kC41EOXpGBFOW658Fs3oD8beYlym0-zO54WY-2Qnp9I/edit?usp=share_link"",""กระบี่!N250"")
+IMPORTRANGE(""https://docs.google.com/spreadsheets/d/1FbzMZY_f3MDiEuK7RpCQKrilJ_kpX0Wm7QBZ1L7EjIU/edit?usp=share_link"&amp;""",""ชุมพร!N250"")+IMPORTRANGE(""https://docs.google.com/spreadsheets/d/1v5sN-00LrXuhBxw4dkh2GrG_z4l5oAqOdJRBCsUyMaM/edit?usp=share_link"",""ตรัง!N250"")+IMPORTRANGE(""https://docs.google.com/spreadsheets/d/1T5rRTzFc79aSIvqnzkZNvwPstq829QYz_xALlO1Z0s8/edi"&amp;"t?usp=share_link"",""นครศรีธรรมราช!N250"")+IMPORTRANGE(""https://docs.google.com/spreadsheets/d/1BeghqumK0IvCmRd2QOy6_afsZq7ZtAGrSnVJy2u7WmY/edit?usp=share_link"",""นราธิวาส!N250"")+IMPORTRANGE(""https://docs.google.com/spreadsheets/d/1IwnW3-jjRf74MCLW-6P"&amp;"iFwMUffRQXZwZA7YM609NmRc/edit?usp=share_link"",""ปัตตานี!N250"")+IMPORTRANGE(""https://docs.google.com/spreadsheets/d/1vl4QWbWdFruual5o_wdo6ZSqXZ_it806oja4CctTLKs/edit?usp=share_link"",""พังงา!N250"")+IMPORTRANGE(""https://docs.google.com/spreadsheets/d/1"&amp;"b6QssHQp2FoAPSMKHOy273KNzAomaIKhtdlvuZ_zDNE/edit?usp=share_link"",""พัทลุง!N250"")+IMPORTRANGE(""https://docs.google.com/spreadsheets/d/1o7UZe4_OqlqtLDHrj01Z2YFRSZDf1DMy1n3XViHaxRc/edit?usp=share_link"",""ภูเก็ต!N250"")+IMPORTRANGE(""https://docs.google.c"&amp;"om/spreadsheets/d/1ctPm1vUzcUCPuOj9-eoHUD85PqINFqUB0TjdSWmR5-c/edit?usp=share_link"",""ยะลา!N250"")+IMPORTRANGE(""https://docs.google.com/spreadsheets/d/1YiDIE7Klmt8osgdapRqYWNr7iPGFSsiJqq46S7PYRE0/edit?usp=share_link"",""ระนอง!N250"")+IMPORTRANGE(""https"&amp;"://docs.google.com/spreadsheets/d/16o_4B-V7AWw_6E93bSpXj_XxVv1oVQctk-B6z1dNEWU/edit?usp=share_link"",""สงขลา!N250"")+IMPORTRANGE(""https://docs.google.com/spreadsheets/d/16cywr71Fj4fA5OGRHsZh30ZG2gwJhMAQv69oVBzYHv0/edit?usp=share_link"",""สตูล!N250"")+IMP"&amp;"ORTRANGE(""https://docs.google.com/spreadsheets/d/1vO9Sws6kMtrVtyvrAJptINXjK8TFBoX9xLYOVK_C8bQ/edit?usp=share_link"",""สุราษฎร์ธานี!N250"")"),0)</f>
        <v>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20.25" hidden="1" customHeight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IFERROR(__xludf.DUMMYFUNCTION("IMPORTRANGE(""https://docs.google.com/spreadsheets/d/1kC41EOXpGBFOW658Fs3oD8beYlym0-zO54WY-2Qnp9I/edit?usp=share_link"",""กระบี่!L251"")
+IMPORTRANGE(""https://docs.google.com/spreadsheets/d/1FbzMZY_f3MDiEuK7RpCQKrilJ_kpX0Wm7QBZ1L7EjIU/edit?usp=share_link"&amp;""",""ชุมพร!L251"")+IMPORTRANGE(""https://docs.google.com/spreadsheets/d/1v5sN-00LrXuhBxw4dkh2GrG_z4l5oAqOdJRBCsUyMaM/edit?usp=share_link"",""ตรัง!L251"")+IMPORTRANGE(""https://docs.google.com/spreadsheets/d/1T5rRTzFc79aSIvqnzkZNvwPstq829QYz_xALlO1Z0s8/edi"&amp;"t?usp=share_link"",""นครศรีธรรมราช!L251"")+IMPORTRANGE(""https://docs.google.com/spreadsheets/d/1BeghqumK0IvCmRd2QOy6_afsZq7ZtAGrSnVJy2u7WmY/edit?usp=share_link"",""นราธิวาส!L251"")+IMPORTRANGE(""https://docs.google.com/spreadsheets/d/1IwnW3-jjRf74MCLW-6P"&amp;"iFwMUffRQXZwZA7YM609NmRc/edit?usp=share_link"",""ปัตตานี!L251"")+IMPORTRANGE(""https://docs.google.com/spreadsheets/d/1vl4QWbWdFruual5o_wdo6ZSqXZ_it806oja4CctTLKs/edit?usp=share_link"",""พังงา!L251"")+IMPORTRANGE(""https://docs.google.com/spreadsheets/d/1"&amp;"b6QssHQp2FoAPSMKHOy273KNzAomaIKhtdlvuZ_zDNE/edit?usp=share_link"",""พัทลุง!L251"")+IMPORTRANGE(""https://docs.google.com/spreadsheets/d/1o7UZe4_OqlqtLDHrj01Z2YFRSZDf1DMy1n3XViHaxRc/edit?usp=share_link"",""ภูเก็ต!L251"")+IMPORTRANGE(""https://docs.google.c"&amp;"om/spreadsheets/d/1ctPm1vUzcUCPuOj9-eoHUD85PqINFqUB0TjdSWmR5-c/edit?usp=share_link"",""ยะลา!L251"")+IMPORTRANGE(""https://docs.google.com/spreadsheets/d/1YiDIE7Klmt8osgdapRqYWNr7iPGFSsiJqq46S7PYRE0/edit?usp=share_link"",""ระนอง!L251"")+IMPORTRANGE(""https"&amp;"://docs.google.com/spreadsheets/d/16o_4B-V7AWw_6E93bSpXj_XxVv1oVQctk-B6z1dNEWU/edit?usp=share_link"",""สงขลา!L251"")+IMPORTRANGE(""https://docs.google.com/spreadsheets/d/16cywr71Fj4fA5OGRHsZh30ZG2gwJhMAQv69oVBzYHv0/edit?usp=share_link"",""สตูล!L251"")+IMP"&amp;"ORTRANGE(""https://docs.google.com/spreadsheets/d/1vO9Sws6kMtrVtyvrAJptINXjK8TFBoX9xLYOVK_C8bQ/edit?usp=share_link"",""สุราษฎร์ธานี!L251"")"),0)</f>
        <v>0</v>
      </c>
      <c r="M251" s="45"/>
      <c r="N251" s="358">
        <f ca="1">IFERROR(__xludf.DUMMYFUNCTION("IMPORTRANGE(""https://docs.google.com/spreadsheets/d/1kC41EOXpGBFOW658Fs3oD8beYlym0-zO54WY-2Qnp9I/edit?usp=share_link"",""กระบี่!N251"")
+IMPORTRANGE(""https://docs.google.com/spreadsheets/d/1FbzMZY_f3MDiEuK7RpCQKrilJ_kpX0Wm7QBZ1L7EjIU/edit?usp=share_link"&amp;""",""ชุมพร!N251"")+IMPORTRANGE(""https://docs.google.com/spreadsheets/d/1v5sN-00LrXuhBxw4dkh2GrG_z4l5oAqOdJRBCsUyMaM/edit?usp=share_link"",""ตรัง!N251"")+IMPORTRANGE(""https://docs.google.com/spreadsheets/d/1T5rRTzFc79aSIvqnzkZNvwPstq829QYz_xALlO1Z0s8/edi"&amp;"t?usp=share_link"",""นครศรีธรรมราช!N251"")+IMPORTRANGE(""https://docs.google.com/spreadsheets/d/1BeghqumK0IvCmRd2QOy6_afsZq7ZtAGrSnVJy2u7WmY/edit?usp=share_link"",""นราธิวาส!N251"")+IMPORTRANGE(""https://docs.google.com/spreadsheets/d/1IwnW3-jjRf74MCLW-6P"&amp;"iFwMUffRQXZwZA7YM609NmRc/edit?usp=share_link"",""ปัตตานี!N251"")+IMPORTRANGE(""https://docs.google.com/spreadsheets/d/1vl4QWbWdFruual5o_wdo6ZSqXZ_it806oja4CctTLKs/edit?usp=share_link"",""พังงา!N251"")+IMPORTRANGE(""https://docs.google.com/spreadsheets/d/1"&amp;"b6QssHQp2FoAPSMKHOy273KNzAomaIKhtdlvuZ_zDNE/edit?usp=share_link"",""พัทลุง!N251"")+IMPORTRANGE(""https://docs.google.com/spreadsheets/d/1o7UZe4_OqlqtLDHrj01Z2YFRSZDf1DMy1n3XViHaxRc/edit?usp=share_link"",""ภูเก็ต!N251"")+IMPORTRANGE(""https://docs.google.c"&amp;"om/spreadsheets/d/1ctPm1vUzcUCPuOj9-eoHUD85PqINFqUB0TjdSWmR5-c/edit?usp=share_link"",""ยะลา!N251"")+IMPORTRANGE(""https://docs.google.com/spreadsheets/d/1YiDIE7Klmt8osgdapRqYWNr7iPGFSsiJqq46S7PYRE0/edit?usp=share_link"",""ระนอง!N251"")+IMPORTRANGE(""https"&amp;"://docs.google.com/spreadsheets/d/16o_4B-V7AWw_6E93bSpXj_XxVv1oVQctk-B6z1dNEWU/edit?usp=share_link"",""สงขลา!N251"")+IMPORTRANGE(""https://docs.google.com/spreadsheets/d/16cywr71Fj4fA5OGRHsZh30ZG2gwJhMAQv69oVBzYHv0/edit?usp=share_link"",""สตูล!N251"")+IMP"&amp;"ORTRANGE(""https://docs.google.com/spreadsheets/d/1vO9Sws6kMtrVtyvrAJptINXjK8TFBoX9xLYOVK_C8bQ/edit?usp=share_link"",""สุราษฎร์ธานี!N251"")"),0)</f>
        <v>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20.25" hidden="1" customHeight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IFERROR(__xludf.DUMMYFUNCTION("IMPORTRANGE(""https://docs.google.com/spreadsheets/d/1kC41EOXpGBFOW658Fs3oD8beYlym0-zO54WY-2Qnp9I/edit?usp=share_link"",""กระบี่!L252"")
+IMPORTRANGE(""https://docs.google.com/spreadsheets/d/1FbzMZY_f3MDiEuK7RpCQKrilJ_kpX0Wm7QBZ1L7EjIU/edit?usp=share_link"&amp;""",""ชุมพร!L252"")+IMPORTRANGE(""https://docs.google.com/spreadsheets/d/1v5sN-00LrXuhBxw4dkh2GrG_z4l5oAqOdJRBCsUyMaM/edit?usp=share_link"",""ตรัง!L252"")+IMPORTRANGE(""https://docs.google.com/spreadsheets/d/1T5rRTzFc79aSIvqnzkZNvwPstq829QYz_xALlO1Z0s8/edi"&amp;"t?usp=share_link"",""นครศรีธรรมราช!L252"")+IMPORTRANGE(""https://docs.google.com/spreadsheets/d/1BeghqumK0IvCmRd2QOy6_afsZq7ZtAGrSnVJy2u7WmY/edit?usp=share_link"",""นราธิวาส!L252"")+IMPORTRANGE(""https://docs.google.com/spreadsheets/d/1IwnW3-jjRf74MCLW-6P"&amp;"iFwMUffRQXZwZA7YM609NmRc/edit?usp=share_link"",""ปัตตานี!L252"")+IMPORTRANGE(""https://docs.google.com/spreadsheets/d/1vl4QWbWdFruual5o_wdo6ZSqXZ_it806oja4CctTLKs/edit?usp=share_link"",""พังงา!L252"")+IMPORTRANGE(""https://docs.google.com/spreadsheets/d/1"&amp;"b6QssHQp2FoAPSMKHOy273KNzAomaIKhtdlvuZ_zDNE/edit?usp=share_link"",""พัทลุง!L252"")+IMPORTRANGE(""https://docs.google.com/spreadsheets/d/1o7UZe4_OqlqtLDHrj01Z2YFRSZDf1DMy1n3XViHaxRc/edit?usp=share_link"",""ภูเก็ต!L252"")+IMPORTRANGE(""https://docs.google.c"&amp;"om/spreadsheets/d/1ctPm1vUzcUCPuOj9-eoHUD85PqINFqUB0TjdSWmR5-c/edit?usp=share_link"",""ยะลา!L252"")+IMPORTRANGE(""https://docs.google.com/spreadsheets/d/1YiDIE7Klmt8osgdapRqYWNr7iPGFSsiJqq46S7PYRE0/edit?usp=share_link"",""ระนอง!L252"")+IMPORTRANGE(""https"&amp;"://docs.google.com/spreadsheets/d/16o_4B-V7AWw_6E93bSpXj_XxVv1oVQctk-B6z1dNEWU/edit?usp=share_link"",""สงขลา!L252"")+IMPORTRANGE(""https://docs.google.com/spreadsheets/d/16cywr71Fj4fA5OGRHsZh30ZG2gwJhMAQv69oVBzYHv0/edit?usp=share_link"",""สตูล!L252"")+IMP"&amp;"ORTRANGE(""https://docs.google.com/spreadsheets/d/1vO9Sws6kMtrVtyvrAJptINXjK8TFBoX9xLYOVK_C8bQ/edit?usp=share_link"",""สุราษฎร์ธานี!L252"")"),0)</f>
        <v>0</v>
      </c>
      <c r="M252" s="45"/>
      <c r="N252" s="358">
        <f ca="1">IFERROR(__xludf.DUMMYFUNCTION("IMPORTRANGE(""https://docs.google.com/spreadsheets/d/1kC41EOXpGBFOW658Fs3oD8beYlym0-zO54WY-2Qnp9I/edit?usp=share_link"",""กระบี่!N252"")
+IMPORTRANGE(""https://docs.google.com/spreadsheets/d/1FbzMZY_f3MDiEuK7RpCQKrilJ_kpX0Wm7QBZ1L7EjIU/edit?usp=share_link"&amp;""",""ชุมพร!N252"")+IMPORTRANGE(""https://docs.google.com/spreadsheets/d/1v5sN-00LrXuhBxw4dkh2GrG_z4l5oAqOdJRBCsUyMaM/edit?usp=share_link"",""ตรัง!N252"")+IMPORTRANGE(""https://docs.google.com/spreadsheets/d/1T5rRTzFc79aSIvqnzkZNvwPstq829QYz_xALlO1Z0s8/edi"&amp;"t?usp=share_link"",""นครศรีธรรมราช!N252"")+IMPORTRANGE(""https://docs.google.com/spreadsheets/d/1BeghqumK0IvCmRd2QOy6_afsZq7ZtAGrSnVJy2u7WmY/edit?usp=share_link"",""นราธิวาส!N252"")+IMPORTRANGE(""https://docs.google.com/spreadsheets/d/1IwnW3-jjRf74MCLW-6P"&amp;"iFwMUffRQXZwZA7YM609NmRc/edit?usp=share_link"",""ปัตตานี!N252"")+IMPORTRANGE(""https://docs.google.com/spreadsheets/d/1vl4QWbWdFruual5o_wdo6ZSqXZ_it806oja4CctTLKs/edit?usp=share_link"",""พังงา!N252"")+IMPORTRANGE(""https://docs.google.com/spreadsheets/d/1"&amp;"b6QssHQp2FoAPSMKHOy273KNzAomaIKhtdlvuZ_zDNE/edit?usp=share_link"",""พัทลุง!N252"")+IMPORTRANGE(""https://docs.google.com/spreadsheets/d/1o7UZe4_OqlqtLDHrj01Z2YFRSZDf1DMy1n3XViHaxRc/edit?usp=share_link"",""ภูเก็ต!N252"")+IMPORTRANGE(""https://docs.google.c"&amp;"om/spreadsheets/d/1ctPm1vUzcUCPuOj9-eoHUD85PqINFqUB0TjdSWmR5-c/edit?usp=share_link"",""ยะลา!N252"")+IMPORTRANGE(""https://docs.google.com/spreadsheets/d/1YiDIE7Klmt8osgdapRqYWNr7iPGFSsiJqq46S7PYRE0/edit?usp=share_link"",""ระนอง!N252"")+IMPORTRANGE(""https"&amp;"://docs.google.com/spreadsheets/d/16o_4B-V7AWw_6E93bSpXj_XxVv1oVQctk-B6z1dNEWU/edit?usp=share_link"",""สงขลา!N252"")+IMPORTRANGE(""https://docs.google.com/spreadsheets/d/16cywr71Fj4fA5OGRHsZh30ZG2gwJhMAQv69oVBzYHv0/edit?usp=share_link"",""สตูล!N252"")+IMP"&amp;"ORTRANGE(""https://docs.google.com/spreadsheets/d/1vO9Sws6kMtrVtyvrAJptINXjK8TFBoX9xLYOVK_C8bQ/edit?usp=share_link"",""สุราษฎร์ธานี!N252"")"),0)</f>
        <v>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20.25" hidden="1" customHeight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IFERROR(__xludf.DUMMYFUNCTION("IMPORTRANGE(""https://docs.google.com/spreadsheets/d/1kC41EOXpGBFOW658Fs3oD8beYlym0-zO54WY-2Qnp9I/edit?usp=share_link"",""กระบี่!L253"")
+IMPORTRANGE(""https://docs.google.com/spreadsheets/d/1FbzMZY_f3MDiEuK7RpCQKrilJ_kpX0Wm7QBZ1L7EjIU/edit?usp=share_link"&amp;""",""ชุมพร!L253"")+IMPORTRANGE(""https://docs.google.com/spreadsheets/d/1v5sN-00LrXuhBxw4dkh2GrG_z4l5oAqOdJRBCsUyMaM/edit?usp=share_link"",""ตรัง!L253"")+IMPORTRANGE(""https://docs.google.com/spreadsheets/d/1T5rRTzFc79aSIvqnzkZNvwPstq829QYz_xALlO1Z0s8/edi"&amp;"t?usp=share_link"",""นครศรีธรรมราช!L253"")+IMPORTRANGE(""https://docs.google.com/spreadsheets/d/1BeghqumK0IvCmRd2QOy6_afsZq7ZtAGrSnVJy2u7WmY/edit?usp=share_link"",""นราธิวาส!L253"")+IMPORTRANGE(""https://docs.google.com/spreadsheets/d/1IwnW3-jjRf74MCLW-6P"&amp;"iFwMUffRQXZwZA7YM609NmRc/edit?usp=share_link"",""ปัตตานี!L253"")+IMPORTRANGE(""https://docs.google.com/spreadsheets/d/1vl4QWbWdFruual5o_wdo6ZSqXZ_it806oja4CctTLKs/edit?usp=share_link"",""พังงา!L253"")+IMPORTRANGE(""https://docs.google.com/spreadsheets/d/1"&amp;"b6QssHQp2FoAPSMKHOy273KNzAomaIKhtdlvuZ_zDNE/edit?usp=share_link"",""พัทลุง!L253"")+IMPORTRANGE(""https://docs.google.com/spreadsheets/d/1o7UZe4_OqlqtLDHrj01Z2YFRSZDf1DMy1n3XViHaxRc/edit?usp=share_link"",""ภูเก็ต!L253"")+IMPORTRANGE(""https://docs.google.c"&amp;"om/spreadsheets/d/1ctPm1vUzcUCPuOj9-eoHUD85PqINFqUB0TjdSWmR5-c/edit?usp=share_link"",""ยะลา!L253"")+IMPORTRANGE(""https://docs.google.com/spreadsheets/d/1YiDIE7Klmt8osgdapRqYWNr7iPGFSsiJqq46S7PYRE0/edit?usp=share_link"",""ระนอง!L253"")+IMPORTRANGE(""https"&amp;"://docs.google.com/spreadsheets/d/16o_4B-V7AWw_6E93bSpXj_XxVv1oVQctk-B6z1dNEWU/edit?usp=share_link"",""สงขลา!L253"")+IMPORTRANGE(""https://docs.google.com/spreadsheets/d/16cywr71Fj4fA5OGRHsZh30ZG2gwJhMAQv69oVBzYHv0/edit?usp=share_link"",""สตูล!L253"")+IMP"&amp;"ORTRANGE(""https://docs.google.com/spreadsheets/d/1vO9Sws6kMtrVtyvrAJptINXjK8TFBoX9xLYOVK_C8bQ/edit?usp=share_link"",""สุราษฎร์ธานี!L253"")"),0)</f>
        <v>0</v>
      </c>
      <c r="M253" s="45"/>
      <c r="N253" s="358">
        <f ca="1">IFERROR(__xludf.DUMMYFUNCTION("IMPORTRANGE(""https://docs.google.com/spreadsheets/d/1kC41EOXpGBFOW658Fs3oD8beYlym0-zO54WY-2Qnp9I/edit?usp=share_link"",""กระบี่!N253"")
+IMPORTRANGE(""https://docs.google.com/spreadsheets/d/1FbzMZY_f3MDiEuK7RpCQKrilJ_kpX0Wm7QBZ1L7EjIU/edit?usp=share_link"&amp;""",""ชุมพร!N253"")+IMPORTRANGE(""https://docs.google.com/spreadsheets/d/1v5sN-00LrXuhBxw4dkh2GrG_z4l5oAqOdJRBCsUyMaM/edit?usp=share_link"",""ตรัง!N253"")+IMPORTRANGE(""https://docs.google.com/spreadsheets/d/1T5rRTzFc79aSIvqnzkZNvwPstq829QYz_xALlO1Z0s8/edi"&amp;"t?usp=share_link"",""นครศรีธรรมราช!N253"")+IMPORTRANGE(""https://docs.google.com/spreadsheets/d/1BeghqumK0IvCmRd2QOy6_afsZq7ZtAGrSnVJy2u7WmY/edit?usp=share_link"",""นราธิวาส!N253"")+IMPORTRANGE(""https://docs.google.com/spreadsheets/d/1IwnW3-jjRf74MCLW-6P"&amp;"iFwMUffRQXZwZA7YM609NmRc/edit?usp=share_link"",""ปัตตานี!N253"")+IMPORTRANGE(""https://docs.google.com/spreadsheets/d/1vl4QWbWdFruual5o_wdo6ZSqXZ_it806oja4CctTLKs/edit?usp=share_link"",""พังงา!N253"")+IMPORTRANGE(""https://docs.google.com/spreadsheets/d/1"&amp;"b6QssHQp2FoAPSMKHOy273KNzAomaIKhtdlvuZ_zDNE/edit?usp=share_link"",""พัทลุง!N253"")+IMPORTRANGE(""https://docs.google.com/spreadsheets/d/1o7UZe4_OqlqtLDHrj01Z2YFRSZDf1DMy1n3XViHaxRc/edit?usp=share_link"",""ภูเก็ต!N253"")+IMPORTRANGE(""https://docs.google.c"&amp;"om/spreadsheets/d/1ctPm1vUzcUCPuOj9-eoHUD85PqINFqUB0TjdSWmR5-c/edit?usp=share_link"",""ยะลา!N253"")+IMPORTRANGE(""https://docs.google.com/spreadsheets/d/1YiDIE7Klmt8osgdapRqYWNr7iPGFSsiJqq46S7PYRE0/edit?usp=share_link"",""ระนอง!N253"")+IMPORTRANGE(""https"&amp;"://docs.google.com/spreadsheets/d/16o_4B-V7AWw_6E93bSpXj_XxVv1oVQctk-B6z1dNEWU/edit?usp=share_link"",""สงขลา!N253"")+IMPORTRANGE(""https://docs.google.com/spreadsheets/d/16cywr71Fj4fA5OGRHsZh30ZG2gwJhMAQv69oVBzYHv0/edit?usp=share_link"",""สตูล!N253"")+IMP"&amp;"ORTRANGE(""https://docs.google.com/spreadsheets/d/1vO9Sws6kMtrVtyvrAJptINXjK8TFBoX9xLYOVK_C8bQ/edit?usp=share_link"",""สุราษฎร์ธานี!N253"")"),0)</f>
        <v>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20.25" hidden="1" customHeight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20.25" hidden="1" customHeight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IFERROR(__xludf.DUMMYFUNCTION("IMPORTRANGE(""https://docs.google.com/spreadsheets/d/1kC41EOXpGBFOW658Fs3oD8beYlym0-zO54WY-2Qnp9I/edit?usp=share_link"",""กระบี่!I255"")
+IMPORTRANGE(""https://docs.google.com/spreadsheets/d/1FbzMZY_f3MDiEuK7RpCQKrilJ_kpX0Wm7QBZ1L7EjIU/edit?usp=share_link"&amp;""",""ชุมพร!I255"")+IMPORTRANGE(""https://docs.google.com/spreadsheets/d/1v5sN-00LrXuhBxw4dkh2GrG_z4l5oAqOdJRBCsUyMaM/edit?usp=share_link"",""ตรัง!I255"")+IMPORTRANGE(""https://docs.google.com/spreadsheets/d/1T5rRTzFc79aSIvqnzkZNvwPstq829QYz_xALlO1Z0s8/edi"&amp;"t?usp=share_link"",""นครศรีธรรมราช!I255"")+IMPORTRANGE(""https://docs.google.com/spreadsheets/d/1BeghqumK0IvCmRd2QOy6_afsZq7ZtAGrSnVJy2u7WmY/edit?usp=share_link"",""นราธิวาส!I255"")+IMPORTRANGE(""https://docs.google.com/spreadsheets/d/1IwnW3-jjRf74MCLW-6P"&amp;"iFwMUffRQXZwZA7YM609NmRc/edit?usp=share_link"",""ปัตตานี!I255"")+IMPORTRANGE(""https://docs.google.com/spreadsheets/d/1vl4QWbWdFruual5o_wdo6ZSqXZ_it806oja4CctTLKs/edit?usp=share_link"",""พังงา!I255"")+IMPORTRANGE(""https://docs.google.com/spreadsheets/d/1"&amp;"b6QssHQp2FoAPSMKHOy273KNzAomaIKhtdlvuZ_zDNE/edit?usp=share_link"",""พัทลุง!I255"")+IMPORTRANGE(""https://docs.google.com/spreadsheets/d/1o7UZe4_OqlqtLDHrj01Z2YFRSZDf1DMy1n3XViHaxRc/edit?usp=share_link"",""ภูเก็ต!I255"")+IMPORTRANGE(""https://docs.google.c"&amp;"om/spreadsheets/d/1ctPm1vUzcUCPuOj9-eoHUD85PqINFqUB0TjdSWmR5-c/edit?usp=share_link"",""ยะลา!I255"")+IMPORTRANGE(""https://docs.google.com/spreadsheets/d/1YiDIE7Klmt8osgdapRqYWNr7iPGFSsiJqq46S7PYRE0/edit?usp=share_link"",""ระนอง!I255"")+IMPORTRANGE(""https"&amp;"://docs.google.com/spreadsheets/d/16o_4B-V7AWw_6E93bSpXj_XxVv1oVQctk-B6z1dNEWU/edit?usp=share_link"",""สงขลา!I255"")+IMPORTRANGE(""https://docs.google.com/spreadsheets/d/16cywr71Fj4fA5OGRHsZh30ZG2gwJhMAQv69oVBzYHv0/edit?usp=share_link"",""สตูล!I255"")+IMP"&amp;"ORTRANGE(""https://docs.google.com/spreadsheets/d/1vO9Sws6kMtrVtyvrAJptINXjK8TFBoX9xLYOVK_C8bQ/edit?usp=share_link"",""สุราษฎร์ธานี!I255"")"),0)</f>
        <v>0</v>
      </c>
      <c r="J255" s="371">
        <f ca="1">IFERROR(__xludf.DUMMYFUNCTION("IMPORTRANGE(""https://docs.google.com/spreadsheets/d/1kC41EOXpGBFOW658Fs3oD8beYlym0-zO54WY-2Qnp9I/edit?usp=share_link"",""กระบี่!J255"")
+IMPORTRANGE(""https://docs.google.com/spreadsheets/d/1FbzMZY_f3MDiEuK7RpCQKrilJ_kpX0Wm7QBZ1L7EjIU/edit?usp=share_link"&amp;""",""ชุมพร!J255"")+IMPORTRANGE(""https://docs.google.com/spreadsheets/d/1v5sN-00LrXuhBxw4dkh2GrG_z4l5oAqOdJRBCsUyMaM/edit?usp=share_link"",""ตรัง!J255"")+IMPORTRANGE(""https://docs.google.com/spreadsheets/d/1T5rRTzFc79aSIvqnzkZNvwPstq829QYz_xALlO1Z0s8/edi"&amp;"t?usp=share_link"",""นครศรีธรรมราช!J255"")+IMPORTRANGE(""https://docs.google.com/spreadsheets/d/1BeghqumK0IvCmRd2QOy6_afsZq7ZtAGrSnVJy2u7WmY/edit?usp=share_link"",""นราธิวาส!J255"")+IMPORTRANGE(""https://docs.google.com/spreadsheets/d/1IwnW3-jjRf74MCLW-6P"&amp;"iFwMUffRQXZwZA7YM609NmRc/edit?usp=share_link"",""ปัตตานี!J255"")+IMPORTRANGE(""https://docs.google.com/spreadsheets/d/1vl4QWbWdFruual5o_wdo6ZSqXZ_it806oja4CctTLKs/edit?usp=share_link"",""พังงา!J255"")+IMPORTRANGE(""https://docs.google.com/spreadsheets/d/1"&amp;"b6QssHQp2FoAPSMKHOy273KNzAomaIKhtdlvuZ_zDNE/edit?usp=share_link"",""พัทลุง!J255"")+IMPORTRANGE(""https://docs.google.com/spreadsheets/d/1o7UZe4_OqlqtLDHrj01Z2YFRSZDf1DMy1n3XViHaxRc/edit?usp=share_link"",""ภูเก็ต!J255"")+IMPORTRANGE(""https://docs.google.c"&amp;"om/spreadsheets/d/1ctPm1vUzcUCPuOj9-eoHUD85PqINFqUB0TjdSWmR5-c/edit?usp=share_link"",""ยะลา!J255"")+IMPORTRANGE(""https://docs.google.com/spreadsheets/d/1YiDIE7Klmt8osgdapRqYWNr7iPGFSsiJqq46S7PYRE0/edit?usp=share_link"",""ระนอง!J255"")+IMPORTRANGE(""https"&amp;"://docs.google.com/spreadsheets/d/16o_4B-V7AWw_6E93bSpXj_XxVv1oVQctk-B6z1dNEWU/edit?usp=share_link"",""สงขลา!J255"")+IMPORTRANGE(""https://docs.google.com/spreadsheets/d/16cywr71Fj4fA5OGRHsZh30ZG2gwJhMAQv69oVBzYHv0/edit?usp=share_link"",""สตูล!J255"")+IMP"&amp;"ORTRANGE(""https://docs.google.com/spreadsheets/d/1vO9Sws6kMtrVtyvrAJptINXjK8TFBoX9xLYOVK_C8bQ/edit?usp=share_link"",""สุราษฎร์ธานี!J255"")"),0)</f>
        <v>0</v>
      </c>
      <c r="K255" s="45">
        <f ca="1">IF(I255&gt;0,J255*100/I255,0)</f>
        <v>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20.25" hidden="1" customHeight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20.25" hidden="1" customHeight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IFERROR(__xludf.DUMMYFUNCTION("IMPORTRANGE(""https://docs.google.com/spreadsheets/d/1kC41EOXpGBFOW658Fs3oD8beYlym0-zO54WY-2Qnp9I/edit?usp=share_link"",""กระบี่!I257"")
+IMPORTRANGE(""https://docs.google.com/spreadsheets/d/1FbzMZY_f3MDiEuK7RpCQKrilJ_kpX0Wm7QBZ1L7EjIU/edit?usp=share_link"&amp;""",""ชุมพร!I257"")+IMPORTRANGE(""https://docs.google.com/spreadsheets/d/1v5sN-00LrXuhBxw4dkh2GrG_z4l5oAqOdJRBCsUyMaM/edit?usp=share_link"",""ตรัง!I257"")+IMPORTRANGE(""https://docs.google.com/spreadsheets/d/1T5rRTzFc79aSIvqnzkZNvwPstq829QYz_xALlO1Z0s8/edi"&amp;"t?usp=share_link"",""นครศรีธรรมราช!I257"")+IMPORTRANGE(""https://docs.google.com/spreadsheets/d/1BeghqumK0IvCmRd2QOy6_afsZq7ZtAGrSnVJy2u7WmY/edit?usp=share_link"",""นราธิวาส!I257"")+IMPORTRANGE(""https://docs.google.com/spreadsheets/d/1IwnW3-jjRf74MCLW-6P"&amp;"iFwMUffRQXZwZA7YM609NmRc/edit?usp=share_link"",""ปัตตานี!I257"")+IMPORTRANGE(""https://docs.google.com/spreadsheets/d/1vl4QWbWdFruual5o_wdo6ZSqXZ_it806oja4CctTLKs/edit?usp=share_link"",""พังงา!I257"")+IMPORTRANGE(""https://docs.google.com/spreadsheets/d/1"&amp;"b6QssHQp2FoAPSMKHOy273KNzAomaIKhtdlvuZ_zDNE/edit?usp=share_link"",""พัทลุง!I257"")+IMPORTRANGE(""https://docs.google.com/spreadsheets/d/1o7UZe4_OqlqtLDHrj01Z2YFRSZDf1DMy1n3XViHaxRc/edit?usp=share_link"",""ภูเก็ต!I257"")+IMPORTRANGE(""https://docs.google.c"&amp;"om/spreadsheets/d/1ctPm1vUzcUCPuOj9-eoHUD85PqINFqUB0TjdSWmR5-c/edit?usp=share_link"",""ยะลา!I257"")+IMPORTRANGE(""https://docs.google.com/spreadsheets/d/1YiDIE7Klmt8osgdapRqYWNr7iPGFSsiJqq46S7PYRE0/edit?usp=share_link"",""ระนอง!I257"")+IMPORTRANGE(""https"&amp;"://docs.google.com/spreadsheets/d/16o_4B-V7AWw_6E93bSpXj_XxVv1oVQctk-B6z1dNEWU/edit?usp=share_link"",""สงขลา!I257"")+IMPORTRANGE(""https://docs.google.com/spreadsheets/d/16cywr71Fj4fA5OGRHsZh30ZG2gwJhMAQv69oVBzYHv0/edit?usp=share_link"",""สตูล!I257"")+IMP"&amp;"ORTRANGE(""https://docs.google.com/spreadsheets/d/1vO9Sws6kMtrVtyvrAJptINXjK8TFBoX9xLYOVK_C8bQ/edit?usp=share_link"",""สุราษฎร์ธานี!I257"")"),0)</f>
        <v>0</v>
      </c>
      <c r="J257" s="371">
        <f ca="1">IFERROR(__xludf.DUMMYFUNCTION("IMPORTRANGE(""https://docs.google.com/spreadsheets/d/1kC41EOXpGBFOW658Fs3oD8beYlym0-zO54WY-2Qnp9I/edit?usp=share_link"",""กระบี่!J257"")
+IMPORTRANGE(""https://docs.google.com/spreadsheets/d/1FbzMZY_f3MDiEuK7RpCQKrilJ_kpX0Wm7QBZ1L7EjIU/edit?usp=share_link"&amp;""",""ชุมพร!J257"")+IMPORTRANGE(""https://docs.google.com/spreadsheets/d/1v5sN-00LrXuhBxw4dkh2GrG_z4l5oAqOdJRBCsUyMaM/edit?usp=share_link"",""ตรัง!J257"")+IMPORTRANGE(""https://docs.google.com/spreadsheets/d/1T5rRTzFc79aSIvqnzkZNvwPstq829QYz_xALlO1Z0s8/edi"&amp;"t?usp=share_link"",""นครศรีธรรมราช!J257"")+IMPORTRANGE(""https://docs.google.com/spreadsheets/d/1BeghqumK0IvCmRd2QOy6_afsZq7ZtAGrSnVJy2u7WmY/edit?usp=share_link"",""นราธิวาส!J257"")+IMPORTRANGE(""https://docs.google.com/spreadsheets/d/1IwnW3-jjRf74MCLW-6P"&amp;"iFwMUffRQXZwZA7YM609NmRc/edit?usp=share_link"",""ปัตตานี!J257"")+IMPORTRANGE(""https://docs.google.com/spreadsheets/d/1vl4QWbWdFruual5o_wdo6ZSqXZ_it806oja4CctTLKs/edit?usp=share_link"",""พังงา!J257"")+IMPORTRANGE(""https://docs.google.com/spreadsheets/d/1"&amp;"b6QssHQp2FoAPSMKHOy273KNzAomaIKhtdlvuZ_zDNE/edit?usp=share_link"",""พัทลุง!J257"")+IMPORTRANGE(""https://docs.google.com/spreadsheets/d/1o7UZe4_OqlqtLDHrj01Z2YFRSZDf1DMy1n3XViHaxRc/edit?usp=share_link"",""ภูเก็ต!J257"")+IMPORTRANGE(""https://docs.google.c"&amp;"om/spreadsheets/d/1ctPm1vUzcUCPuOj9-eoHUD85PqINFqUB0TjdSWmR5-c/edit?usp=share_link"",""ยะลา!J257"")+IMPORTRANGE(""https://docs.google.com/spreadsheets/d/1YiDIE7Klmt8osgdapRqYWNr7iPGFSsiJqq46S7PYRE0/edit?usp=share_link"",""ระนอง!J257"")+IMPORTRANGE(""https"&amp;"://docs.google.com/spreadsheets/d/16o_4B-V7AWw_6E93bSpXj_XxVv1oVQctk-B6z1dNEWU/edit?usp=share_link"",""สงขลา!J257"")+IMPORTRANGE(""https://docs.google.com/spreadsheets/d/16cywr71Fj4fA5OGRHsZh30ZG2gwJhMAQv69oVBzYHv0/edit?usp=share_link"",""สตูล!J257"")+IMP"&amp;"ORTRANGE(""https://docs.google.com/spreadsheets/d/1vO9Sws6kMtrVtyvrAJptINXjK8TFBoX9xLYOVK_C8bQ/edit?usp=share_link"",""สุราษฎร์ธานี!J257"")"),0)</f>
        <v>0</v>
      </c>
      <c r="K257" s="45">
        <f t="shared" ref="K257:K258" ca="1" si="135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20.25" hidden="1" customHeight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IFERROR(__xludf.DUMMYFUNCTION("IMPORTRANGE(""https://docs.google.com/spreadsheets/d/1kC41EOXpGBFOW658Fs3oD8beYlym0-zO54WY-2Qnp9I/edit?usp=share_link"",""กระบี่!I258"")
+IMPORTRANGE(""https://docs.google.com/spreadsheets/d/1FbzMZY_f3MDiEuK7RpCQKrilJ_kpX0Wm7QBZ1L7EjIU/edit?usp=share_link"&amp;""",""ชุมพร!I258"")+IMPORTRANGE(""https://docs.google.com/spreadsheets/d/1v5sN-00LrXuhBxw4dkh2GrG_z4l5oAqOdJRBCsUyMaM/edit?usp=share_link"",""ตรัง!I258"")+IMPORTRANGE(""https://docs.google.com/spreadsheets/d/1T5rRTzFc79aSIvqnzkZNvwPstq829QYz_xALlO1Z0s8/edi"&amp;"t?usp=share_link"",""นครศรีธรรมราช!I258"")+IMPORTRANGE(""https://docs.google.com/spreadsheets/d/1BeghqumK0IvCmRd2QOy6_afsZq7ZtAGrSnVJy2u7WmY/edit?usp=share_link"",""นราธิวาส!I258"")+IMPORTRANGE(""https://docs.google.com/spreadsheets/d/1IwnW3-jjRf74MCLW-6P"&amp;"iFwMUffRQXZwZA7YM609NmRc/edit?usp=share_link"",""ปัตตานี!I258"")+IMPORTRANGE(""https://docs.google.com/spreadsheets/d/1vl4QWbWdFruual5o_wdo6ZSqXZ_it806oja4CctTLKs/edit?usp=share_link"",""พังงา!I258"")+IMPORTRANGE(""https://docs.google.com/spreadsheets/d/1"&amp;"b6QssHQp2FoAPSMKHOy273KNzAomaIKhtdlvuZ_zDNE/edit?usp=share_link"",""พัทลุง!I258"")+IMPORTRANGE(""https://docs.google.com/spreadsheets/d/1o7UZe4_OqlqtLDHrj01Z2YFRSZDf1DMy1n3XViHaxRc/edit?usp=share_link"",""ภูเก็ต!I258"")+IMPORTRANGE(""https://docs.google.c"&amp;"om/spreadsheets/d/1ctPm1vUzcUCPuOj9-eoHUD85PqINFqUB0TjdSWmR5-c/edit?usp=share_link"",""ยะลา!I258"")+IMPORTRANGE(""https://docs.google.com/spreadsheets/d/1YiDIE7Klmt8osgdapRqYWNr7iPGFSsiJqq46S7PYRE0/edit?usp=share_link"",""ระนอง!I258"")+IMPORTRANGE(""https"&amp;"://docs.google.com/spreadsheets/d/16o_4B-V7AWw_6E93bSpXj_XxVv1oVQctk-B6z1dNEWU/edit?usp=share_link"",""สงขลา!I258"")+IMPORTRANGE(""https://docs.google.com/spreadsheets/d/16cywr71Fj4fA5OGRHsZh30ZG2gwJhMAQv69oVBzYHv0/edit?usp=share_link"",""สตูล!I258"")+IMP"&amp;"ORTRANGE(""https://docs.google.com/spreadsheets/d/1vO9Sws6kMtrVtyvrAJptINXjK8TFBoX9xLYOVK_C8bQ/edit?usp=share_link"",""สุราษฎร์ธานี!I258"")"),0)</f>
        <v>0</v>
      </c>
      <c r="J258" s="371">
        <f ca="1">IFERROR(__xludf.DUMMYFUNCTION("IMPORTRANGE(""https://docs.google.com/spreadsheets/d/1kC41EOXpGBFOW658Fs3oD8beYlym0-zO54WY-2Qnp9I/edit?usp=share_link"",""กระบี่!J258"")
+IMPORTRANGE(""https://docs.google.com/spreadsheets/d/1FbzMZY_f3MDiEuK7RpCQKrilJ_kpX0Wm7QBZ1L7EjIU/edit?usp=share_link"&amp;""",""ชุมพร!J258"")+IMPORTRANGE(""https://docs.google.com/spreadsheets/d/1v5sN-00LrXuhBxw4dkh2GrG_z4l5oAqOdJRBCsUyMaM/edit?usp=share_link"",""ตรัง!J258"")+IMPORTRANGE(""https://docs.google.com/spreadsheets/d/1T5rRTzFc79aSIvqnzkZNvwPstq829QYz_xALlO1Z0s8/edi"&amp;"t?usp=share_link"",""นครศรีธรรมราช!J258"")+IMPORTRANGE(""https://docs.google.com/spreadsheets/d/1BeghqumK0IvCmRd2QOy6_afsZq7ZtAGrSnVJy2u7WmY/edit?usp=share_link"",""นราธิวาส!J258"")+IMPORTRANGE(""https://docs.google.com/spreadsheets/d/1IwnW3-jjRf74MCLW-6P"&amp;"iFwMUffRQXZwZA7YM609NmRc/edit?usp=share_link"",""ปัตตานี!J258"")+IMPORTRANGE(""https://docs.google.com/spreadsheets/d/1vl4QWbWdFruual5o_wdo6ZSqXZ_it806oja4CctTLKs/edit?usp=share_link"",""พังงา!J258"")+IMPORTRANGE(""https://docs.google.com/spreadsheets/d/1"&amp;"b6QssHQp2FoAPSMKHOy273KNzAomaIKhtdlvuZ_zDNE/edit?usp=share_link"",""พัทลุง!J258"")+IMPORTRANGE(""https://docs.google.com/spreadsheets/d/1o7UZe4_OqlqtLDHrj01Z2YFRSZDf1DMy1n3XViHaxRc/edit?usp=share_link"",""ภูเก็ต!J258"")+IMPORTRANGE(""https://docs.google.c"&amp;"om/spreadsheets/d/1ctPm1vUzcUCPuOj9-eoHUD85PqINFqUB0TjdSWmR5-c/edit?usp=share_link"",""ยะลา!J258"")+IMPORTRANGE(""https://docs.google.com/spreadsheets/d/1YiDIE7Klmt8osgdapRqYWNr7iPGFSsiJqq46S7PYRE0/edit?usp=share_link"",""ระนอง!J258"")+IMPORTRANGE(""https"&amp;"://docs.google.com/spreadsheets/d/16o_4B-V7AWw_6E93bSpXj_XxVv1oVQctk-B6z1dNEWU/edit?usp=share_link"",""สงขลา!J258"")+IMPORTRANGE(""https://docs.google.com/spreadsheets/d/16cywr71Fj4fA5OGRHsZh30ZG2gwJhMAQv69oVBzYHv0/edit?usp=share_link"",""สตูล!J258"")+IMP"&amp;"ORTRANGE(""https://docs.google.com/spreadsheets/d/1vO9Sws6kMtrVtyvrAJptINXjK8TFBoX9xLYOVK_C8bQ/edit?usp=share_link"",""สุราษฎร์ธานี!J258"")"),0)</f>
        <v>0</v>
      </c>
      <c r="K258" s="45">
        <f t="shared" ca="1" si="135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20.25" customHeight="1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20.25" customHeight="1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6">I271</f>
        <v>286</v>
      </c>
      <c r="J260" s="253">
        <f t="shared" ca="1" si="136"/>
        <v>38</v>
      </c>
      <c r="K260" s="254">
        <f ca="1">IF(I260&gt;0,J260*100/I260,0)</f>
        <v>13.286713286713287</v>
      </c>
      <c r="L260" s="255"/>
      <c r="M260" s="255"/>
      <c r="N260" s="255"/>
      <c r="O260" s="255"/>
      <c r="P260" s="255"/>
    </row>
    <row r="261" spans="1:26" ht="20.25" customHeight="1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7">L262+L263</f>
        <v>641700</v>
      </c>
      <c r="M261" s="155">
        <f t="shared" ca="1" si="137"/>
        <v>250100</v>
      </c>
      <c r="N261" s="155">
        <f t="shared" ca="1" si="137"/>
        <v>141970.94</v>
      </c>
      <c r="O261" s="155">
        <f t="shared" ref="O261:O269" ca="1" si="138">IF(L261&gt;0,N261*100/L261,0)</f>
        <v>22.124191990026493</v>
      </c>
      <c r="P261" s="155">
        <f t="shared" ref="P261:P269" ca="1" si="139">IF(M261&gt;0,N261*100/M261,0)</f>
        <v>56.765669732107156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20.25" hidden="1" customHeight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0">L265+L268</f>
        <v>0</v>
      </c>
      <c r="M262" s="45">
        <f t="shared" si="140"/>
        <v>0</v>
      </c>
      <c r="N262" s="45">
        <f t="shared" si="140"/>
        <v>0</v>
      </c>
      <c r="O262" s="45">
        <f t="shared" si="138"/>
        <v>0</v>
      </c>
      <c r="P262" s="45">
        <f t="shared" si="13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20.25" hidden="1" customHeight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1">L266+L269</f>
        <v>641700</v>
      </c>
      <c r="M263" s="45">
        <f t="shared" ca="1" si="141"/>
        <v>250100</v>
      </c>
      <c r="N263" s="45">
        <f t="shared" ca="1" si="141"/>
        <v>141970.94</v>
      </c>
      <c r="O263" s="45">
        <f t="shared" ca="1" si="138"/>
        <v>22.124191990026493</v>
      </c>
      <c r="P263" s="45">
        <f t="shared" ca="1" si="139"/>
        <v>56.765669732107156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20.25" customHeight="1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2">L265+L266</f>
        <v>641700</v>
      </c>
      <c r="M264" s="38">
        <f t="shared" ca="1" si="142"/>
        <v>250100</v>
      </c>
      <c r="N264" s="38">
        <f t="shared" ca="1" si="142"/>
        <v>141970.94</v>
      </c>
      <c r="O264" s="38">
        <f t="shared" ca="1" si="138"/>
        <v>22.124191990026493</v>
      </c>
      <c r="P264" s="38">
        <f t="shared" ca="1" si="139"/>
        <v>56.765669732107156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20.25" hidden="1" customHeight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8"/>
        <v>0</v>
      </c>
      <c r="P265" s="45">
        <f t="shared" si="13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20.25" hidden="1" customHeight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IFERROR(__xludf.DUMMYFUNCTION("IMPORTRANGE(""https://docs.google.com/spreadsheets/d/1kC41EOXpGBFOW658Fs3oD8beYlym0-zO54WY-2Qnp9I/edit?usp=share_link"",""กระบี่!L266"")
+IMPORTRANGE(""https://docs.google.com/spreadsheets/d/1FbzMZY_f3MDiEuK7RpCQKrilJ_kpX0Wm7QBZ1L7EjIU/edit?usp=share_link"&amp;""",""ชุมพร!L266"")+IMPORTRANGE(""https://docs.google.com/spreadsheets/d/1v5sN-00LrXuhBxw4dkh2GrG_z4l5oAqOdJRBCsUyMaM/edit?usp=share_link"",""ตรัง!L266"")+IMPORTRANGE(""https://docs.google.com/spreadsheets/d/1T5rRTzFc79aSIvqnzkZNvwPstq829QYz_xALlO1Z0s8/edi"&amp;"t?usp=share_link"",""นครศรีธรรมราช!L266"")+IMPORTRANGE(""https://docs.google.com/spreadsheets/d/1BeghqumK0IvCmRd2QOy6_afsZq7ZtAGrSnVJy2u7WmY/edit?usp=share_link"",""นราธิวาส!L266"")+IMPORTRANGE(""https://docs.google.com/spreadsheets/d/1IwnW3-jjRf74MCLW-6P"&amp;"iFwMUffRQXZwZA7YM609NmRc/edit?usp=share_link"",""ปัตตานี!L266"")+IMPORTRANGE(""https://docs.google.com/spreadsheets/d/1vl4QWbWdFruual5o_wdo6ZSqXZ_it806oja4CctTLKs/edit?usp=share_link"",""พังงา!L266"")+IMPORTRANGE(""https://docs.google.com/spreadsheets/d/1"&amp;"b6QssHQp2FoAPSMKHOy273KNzAomaIKhtdlvuZ_zDNE/edit?usp=share_link"",""พัทลุง!L266"")+IMPORTRANGE(""https://docs.google.com/spreadsheets/d/1o7UZe4_OqlqtLDHrj01Z2YFRSZDf1DMy1n3XViHaxRc/edit?usp=share_link"",""ภูเก็ต!L266"")+IMPORTRANGE(""https://docs.google.c"&amp;"om/spreadsheets/d/1ctPm1vUzcUCPuOj9-eoHUD85PqINFqUB0TjdSWmR5-c/edit?usp=share_link"",""ยะลา!L266"")+IMPORTRANGE(""https://docs.google.com/spreadsheets/d/1YiDIE7Klmt8osgdapRqYWNr7iPGFSsiJqq46S7PYRE0/edit?usp=share_link"",""ระนอง!L266"")+IMPORTRANGE(""https"&amp;"://docs.google.com/spreadsheets/d/16o_4B-V7AWw_6E93bSpXj_XxVv1oVQctk-B6z1dNEWU/edit?usp=share_link"",""สงขลา!L266"")+IMPORTRANGE(""https://docs.google.com/spreadsheets/d/16cywr71Fj4fA5OGRHsZh30ZG2gwJhMAQv69oVBzYHv0/edit?usp=share_link"",""สตูล!L266"")+IMP"&amp;"ORTRANGE(""https://docs.google.com/spreadsheets/d/1vO9Sws6kMtrVtyvrAJptINXjK8TFBoX9xLYOVK_C8bQ/edit?usp=share_link"",""สุราษฎร์ธานี!L266"")"),641700)</f>
        <v>641700</v>
      </c>
      <c r="M266" s="45">
        <f ca="1">IFERROR(__xludf.DUMMYFUNCTION("IMPORTRANGE(""https://docs.google.com/spreadsheets/d/1kC41EOXpGBFOW658Fs3oD8beYlym0-zO54WY-2Qnp9I/edit?usp=share_link"",""กระบี่!M266"")
+IMPORTRANGE(""https://docs.google.com/spreadsheets/d/1FbzMZY_f3MDiEuK7RpCQKrilJ_kpX0Wm7QBZ1L7EjIU/edit?usp=share_link"&amp;""",""ชุมพร!M266"")+IMPORTRANGE(""https://docs.google.com/spreadsheets/d/1v5sN-00LrXuhBxw4dkh2GrG_z4l5oAqOdJRBCsUyMaM/edit?usp=share_link"",""ตรัง!M266"")+IMPORTRANGE(""https://docs.google.com/spreadsheets/d/1T5rRTzFc79aSIvqnzkZNvwPstq829QYz_xALlO1Z0s8/edi"&amp;"t?usp=share_link"",""นครศรีธรรมราช!M266"")+IMPORTRANGE(""https://docs.google.com/spreadsheets/d/1BeghqumK0IvCmRd2QOy6_afsZq7ZtAGrSnVJy2u7WmY/edit?usp=share_link"",""นราธิวาส!M266"")+IMPORTRANGE(""https://docs.google.com/spreadsheets/d/1IwnW3-jjRf74MCLW-6P"&amp;"iFwMUffRQXZwZA7YM609NmRc/edit?usp=share_link"",""ปัตตานี!M266"")+IMPORTRANGE(""https://docs.google.com/spreadsheets/d/1vl4QWbWdFruual5o_wdo6ZSqXZ_it806oja4CctTLKs/edit?usp=share_link"",""พังงา!M266"")+IMPORTRANGE(""https://docs.google.com/spreadsheets/d/1"&amp;"b6QssHQp2FoAPSMKHOy273KNzAomaIKhtdlvuZ_zDNE/edit?usp=share_link"",""พัทลุง!M266"")+IMPORTRANGE(""https://docs.google.com/spreadsheets/d/1o7UZe4_OqlqtLDHrj01Z2YFRSZDf1DMy1n3XViHaxRc/edit?usp=share_link"",""ภูเก็ต!M266"")+IMPORTRANGE(""https://docs.google.c"&amp;"om/spreadsheets/d/1ctPm1vUzcUCPuOj9-eoHUD85PqINFqUB0TjdSWmR5-c/edit?usp=share_link"",""ยะลา!M266"")+IMPORTRANGE(""https://docs.google.com/spreadsheets/d/1YiDIE7Klmt8osgdapRqYWNr7iPGFSsiJqq46S7PYRE0/edit?usp=share_link"",""ระนอง!M266"")+IMPORTRANGE(""https"&amp;"://docs.google.com/spreadsheets/d/16o_4B-V7AWw_6E93bSpXj_XxVv1oVQctk-B6z1dNEWU/edit?usp=share_link"",""สงขลา!M266"")+IMPORTRANGE(""https://docs.google.com/spreadsheets/d/16cywr71Fj4fA5OGRHsZh30ZG2gwJhMAQv69oVBzYHv0/edit?usp=share_link"",""สตูล!M266"")+IMP"&amp;"ORTRANGE(""https://docs.google.com/spreadsheets/d/1vO9Sws6kMtrVtyvrAJptINXjK8TFBoX9xLYOVK_C8bQ/edit?usp=share_link"",""สุราษฎร์ธานี!M266"")"),250100)</f>
        <v>250100</v>
      </c>
      <c r="N266" s="45">
        <f ca="1">IFERROR(__xludf.DUMMYFUNCTION("IMPORTRANGE(""https://docs.google.com/spreadsheets/d/1kC41EOXpGBFOW658Fs3oD8beYlym0-zO54WY-2Qnp9I/edit?usp=share_link"",""กระบี่!N266"")
+IMPORTRANGE(""https://docs.google.com/spreadsheets/d/1FbzMZY_f3MDiEuK7RpCQKrilJ_kpX0Wm7QBZ1L7EjIU/edit?usp=share_link"&amp;""",""ชุมพร!N266"")+IMPORTRANGE(""https://docs.google.com/spreadsheets/d/1v5sN-00LrXuhBxw4dkh2GrG_z4l5oAqOdJRBCsUyMaM/edit?usp=share_link"",""ตรัง!N266"")+IMPORTRANGE(""https://docs.google.com/spreadsheets/d/1T5rRTzFc79aSIvqnzkZNvwPstq829QYz_xALlO1Z0s8/edi"&amp;"t?usp=share_link"",""นครศรีธรรมราช!N266"")+IMPORTRANGE(""https://docs.google.com/spreadsheets/d/1BeghqumK0IvCmRd2QOy6_afsZq7ZtAGrSnVJy2u7WmY/edit?usp=share_link"",""นราธิวาส!N266"")+IMPORTRANGE(""https://docs.google.com/spreadsheets/d/1IwnW3-jjRf74MCLW-6P"&amp;"iFwMUffRQXZwZA7YM609NmRc/edit?usp=share_link"",""ปัตตานี!N266"")+IMPORTRANGE(""https://docs.google.com/spreadsheets/d/1vl4QWbWdFruual5o_wdo6ZSqXZ_it806oja4CctTLKs/edit?usp=share_link"",""พังงา!N266"")+IMPORTRANGE(""https://docs.google.com/spreadsheets/d/1"&amp;"b6QssHQp2FoAPSMKHOy273KNzAomaIKhtdlvuZ_zDNE/edit?usp=share_link"",""พัทลุง!N266"")+IMPORTRANGE(""https://docs.google.com/spreadsheets/d/1o7UZe4_OqlqtLDHrj01Z2YFRSZDf1DMy1n3XViHaxRc/edit?usp=share_link"",""ภูเก็ต!N266"")+IMPORTRANGE(""https://docs.google.c"&amp;"om/spreadsheets/d/1ctPm1vUzcUCPuOj9-eoHUD85PqINFqUB0TjdSWmR5-c/edit?usp=share_link"",""ยะลา!N266"")+IMPORTRANGE(""https://docs.google.com/spreadsheets/d/1YiDIE7Klmt8osgdapRqYWNr7iPGFSsiJqq46S7PYRE0/edit?usp=share_link"",""ระนอง!N266"")+IMPORTRANGE(""https"&amp;"://docs.google.com/spreadsheets/d/16o_4B-V7AWw_6E93bSpXj_XxVv1oVQctk-B6z1dNEWU/edit?usp=share_link"",""สงขลา!N266"")+IMPORTRANGE(""https://docs.google.com/spreadsheets/d/16cywr71Fj4fA5OGRHsZh30ZG2gwJhMAQv69oVBzYHv0/edit?usp=share_link"",""สตูล!N266"")+IMP"&amp;"ORTRANGE(""https://docs.google.com/spreadsheets/d/1vO9Sws6kMtrVtyvrAJptINXjK8TFBoX9xLYOVK_C8bQ/edit?usp=share_link"",""สุราษฎร์ธานี!N266"")"),141970.94)</f>
        <v>141970.94</v>
      </c>
      <c r="O266" s="45">
        <f t="shared" ca="1" si="138"/>
        <v>22.124191990026493</v>
      </c>
      <c r="P266" s="45">
        <f t="shared" ca="1" si="139"/>
        <v>56.765669732107156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20.25" customHeight="1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3">L268+L269</f>
        <v>0</v>
      </c>
      <c r="M267" s="38">
        <f t="shared" ca="1" si="143"/>
        <v>0</v>
      </c>
      <c r="N267" s="38">
        <f t="shared" ca="1" si="143"/>
        <v>0</v>
      </c>
      <c r="O267" s="38">
        <f t="shared" ca="1" si="138"/>
        <v>0</v>
      </c>
      <c r="P267" s="38">
        <f t="shared" ca="1" si="13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20.25" hidden="1" customHeight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8"/>
        <v>0</v>
      </c>
      <c r="P268" s="45">
        <f t="shared" si="13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20.25" hidden="1" customHeight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IFERROR(__xludf.DUMMYFUNCTION("IMPORTRANGE(""https://docs.google.com/spreadsheets/d/1kC41EOXpGBFOW658Fs3oD8beYlym0-zO54WY-2Qnp9I/edit?usp=share_link"",""กระบี่!L269"")
+IMPORTRANGE(""https://docs.google.com/spreadsheets/d/1FbzMZY_f3MDiEuK7RpCQKrilJ_kpX0Wm7QBZ1L7EjIU/edit?usp=share_link"&amp;""",""ชุมพร!L269"")+IMPORTRANGE(""https://docs.google.com/spreadsheets/d/1v5sN-00LrXuhBxw4dkh2GrG_z4l5oAqOdJRBCsUyMaM/edit?usp=share_link"",""ตรัง!L269"")+IMPORTRANGE(""https://docs.google.com/spreadsheets/d/1T5rRTzFc79aSIvqnzkZNvwPstq829QYz_xALlO1Z0s8/edi"&amp;"t?usp=share_link"",""นครศรีธรรมราช!L269"")+IMPORTRANGE(""https://docs.google.com/spreadsheets/d/1BeghqumK0IvCmRd2QOy6_afsZq7ZtAGrSnVJy2u7WmY/edit?usp=share_link"",""นราธิวาส!L269"")+IMPORTRANGE(""https://docs.google.com/spreadsheets/d/1IwnW3-jjRf74MCLW-6P"&amp;"iFwMUffRQXZwZA7YM609NmRc/edit?usp=share_link"",""ปัตตานี!L269"")+IMPORTRANGE(""https://docs.google.com/spreadsheets/d/1vl4QWbWdFruual5o_wdo6ZSqXZ_it806oja4CctTLKs/edit?usp=share_link"",""พังงา!L269"")+IMPORTRANGE(""https://docs.google.com/spreadsheets/d/1"&amp;"b6QssHQp2FoAPSMKHOy273KNzAomaIKhtdlvuZ_zDNE/edit?usp=share_link"",""พัทลุง!L269"")+IMPORTRANGE(""https://docs.google.com/spreadsheets/d/1o7UZe4_OqlqtLDHrj01Z2YFRSZDf1DMy1n3XViHaxRc/edit?usp=share_link"",""ภูเก็ต!L269"")+IMPORTRANGE(""https://docs.google.c"&amp;"om/spreadsheets/d/1ctPm1vUzcUCPuOj9-eoHUD85PqINFqUB0TjdSWmR5-c/edit?usp=share_link"",""ยะลา!L269"")+IMPORTRANGE(""https://docs.google.com/spreadsheets/d/1YiDIE7Klmt8osgdapRqYWNr7iPGFSsiJqq46S7PYRE0/edit?usp=share_link"",""ระนอง!L269"")+IMPORTRANGE(""https"&amp;"://docs.google.com/spreadsheets/d/16o_4B-V7AWw_6E93bSpXj_XxVv1oVQctk-B6z1dNEWU/edit?usp=share_link"",""สงขลา!L269"")+IMPORTRANGE(""https://docs.google.com/spreadsheets/d/16cywr71Fj4fA5OGRHsZh30ZG2gwJhMAQv69oVBzYHv0/edit?usp=share_link"",""สตูล!L269"")+IMP"&amp;"ORTRANGE(""https://docs.google.com/spreadsheets/d/1vO9Sws6kMtrVtyvrAJptINXjK8TFBoX9xLYOVK_C8bQ/edit?usp=share_link"",""สุราษฎร์ธานี!L269"")"),0)</f>
        <v>0</v>
      </c>
      <c r="M269" s="45">
        <f ca="1">IFERROR(__xludf.DUMMYFUNCTION("IMPORTRANGE(""https://docs.google.com/spreadsheets/d/1kC41EOXpGBFOW658Fs3oD8beYlym0-zO54WY-2Qnp9I/edit?usp=share_link"",""กระบี่!M269"")
+IMPORTRANGE(""https://docs.google.com/spreadsheets/d/1FbzMZY_f3MDiEuK7RpCQKrilJ_kpX0Wm7QBZ1L7EjIU/edit?usp=share_link"&amp;""",""ชุมพร!M269"")+IMPORTRANGE(""https://docs.google.com/spreadsheets/d/1v5sN-00LrXuhBxw4dkh2GrG_z4l5oAqOdJRBCsUyMaM/edit?usp=share_link"",""ตรัง!M269"")+IMPORTRANGE(""https://docs.google.com/spreadsheets/d/1T5rRTzFc79aSIvqnzkZNvwPstq829QYz_xALlO1Z0s8/edi"&amp;"t?usp=share_link"",""นครศรีธรรมราช!M269"")+IMPORTRANGE(""https://docs.google.com/spreadsheets/d/1BeghqumK0IvCmRd2QOy6_afsZq7ZtAGrSnVJy2u7WmY/edit?usp=share_link"",""นราธิวาส!M269"")+IMPORTRANGE(""https://docs.google.com/spreadsheets/d/1IwnW3-jjRf74MCLW-6P"&amp;"iFwMUffRQXZwZA7YM609NmRc/edit?usp=share_link"",""ปัตตานี!M269"")+IMPORTRANGE(""https://docs.google.com/spreadsheets/d/1vl4QWbWdFruual5o_wdo6ZSqXZ_it806oja4CctTLKs/edit?usp=share_link"",""พังงา!M269"")+IMPORTRANGE(""https://docs.google.com/spreadsheets/d/1"&amp;"b6QssHQp2FoAPSMKHOy273KNzAomaIKhtdlvuZ_zDNE/edit?usp=share_link"",""พัทลุง!M269"")+IMPORTRANGE(""https://docs.google.com/spreadsheets/d/1o7UZe4_OqlqtLDHrj01Z2YFRSZDf1DMy1n3XViHaxRc/edit?usp=share_link"",""ภูเก็ต!M269"")+IMPORTRANGE(""https://docs.google.c"&amp;"om/spreadsheets/d/1ctPm1vUzcUCPuOj9-eoHUD85PqINFqUB0TjdSWmR5-c/edit?usp=share_link"",""ยะลา!M269"")+IMPORTRANGE(""https://docs.google.com/spreadsheets/d/1YiDIE7Klmt8osgdapRqYWNr7iPGFSsiJqq46S7PYRE0/edit?usp=share_link"",""ระนอง!M269"")+IMPORTRANGE(""https"&amp;"://docs.google.com/spreadsheets/d/16o_4B-V7AWw_6E93bSpXj_XxVv1oVQctk-B6z1dNEWU/edit?usp=share_link"",""สงขลา!M269"")+IMPORTRANGE(""https://docs.google.com/spreadsheets/d/16cywr71Fj4fA5OGRHsZh30ZG2gwJhMAQv69oVBzYHv0/edit?usp=share_link"",""สตูล!M269"")+IMP"&amp;"ORTRANGE(""https://docs.google.com/spreadsheets/d/1vO9Sws6kMtrVtyvrAJptINXjK8TFBoX9xLYOVK_C8bQ/edit?usp=share_link"",""สุราษฎร์ธานี!M269"")"),0)</f>
        <v>0</v>
      </c>
      <c r="N269" s="45">
        <f ca="1">IFERROR(__xludf.DUMMYFUNCTION("IMPORTRANGE(""https://docs.google.com/spreadsheets/d/1kC41EOXpGBFOW658Fs3oD8beYlym0-zO54WY-2Qnp9I/edit?usp=share_link"",""กระบี่!N269"")
+IMPORTRANGE(""https://docs.google.com/spreadsheets/d/1FbzMZY_f3MDiEuK7RpCQKrilJ_kpX0Wm7QBZ1L7EjIU/edit?usp=share_link"&amp;""",""ชุมพร!N269"")+IMPORTRANGE(""https://docs.google.com/spreadsheets/d/1v5sN-00LrXuhBxw4dkh2GrG_z4l5oAqOdJRBCsUyMaM/edit?usp=share_link"",""ตรัง!N269"")+IMPORTRANGE(""https://docs.google.com/spreadsheets/d/1T5rRTzFc79aSIvqnzkZNvwPstq829QYz_xALlO1Z0s8/edi"&amp;"t?usp=share_link"",""นครศรีธรรมราช!N269"")+IMPORTRANGE(""https://docs.google.com/spreadsheets/d/1BeghqumK0IvCmRd2QOy6_afsZq7ZtAGrSnVJy2u7WmY/edit?usp=share_link"",""นราธิวาส!N269"")+IMPORTRANGE(""https://docs.google.com/spreadsheets/d/1IwnW3-jjRf74MCLW-6P"&amp;"iFwMUffRQXZwZA7YM609NmRc/edit?usp=share_link"",""ปัตตานี!N269"")+IMPORTRANGE(""https://docs.google.com/spreadsheets/d/1vl4QWbWdFruual5o_wdo6ZSqXZ_it806oja4CctTLKs/edit?usp=share_link"",""พังงา!N269"")+IMPORTRANGE(""https://docs.google.com/spreadsheets/d/1"&amp;"b6QssHQp2FoAPSMKHOy273KNzAomaIKhtdlvuZ_zDNE/edit?usp=share_link"",""พัทลุง!N269"")+IMPORTRANGE(""https://docs.google.com/spreadsheets/d/1o7UZe4_OqlqtLDHrj01Z2YFRSZDf1DMy1n3XViHaxRc/edit?usp=share_link"",""ภูเก็ต!N269"")+IMPORTRANGE(""https://docs.google.c"&amp;"om/spreadsheets/d/1ctPm1vUzcUCPuOj9-eoHUD85PqINFqUB0TjdSWmR5-c/edit?usp=share_link"",""ยะลา!N269"")+IMPORTRANGE(""https://docs.google.com/spreadsheets/d/1YiDIE7Klmt8osgdapRqYWNr7iPGFSsiJqq46S7PYRE0/edit?usp=share_link"",""ระนอง!N269"")+IMPORTRANGE(""https"&amp;"://docs.google.com/spreadsheets/d/16o_4B-V7AWw_6E93bSpXj_XxVv1oVQctk-B6z1dNEWU/edit?usp=share_link"",""สงขลา!N269"")+IMPORTRANGE(""https://docs.google.com/spreadsheets/d/16cywr71Fj4fA5OGRHsZh30ZG2gwJhMAQv69oVBzYHv0/edit?usp=share_link"",""สตูล!N269"")+IMP"&amp;"ORTRANGE(""https://docs.google.com/spreadsheets/d/1vO9Sws6kMtrVtyvrAJptINXjK8TFBoX9xLYOVK_C8bQ/edit?usp=share_link"",""สุราษฎร์ธานี!N269"")"),0)</f>
        <v>0</v>
      </c>
      <c r="O269" s="45">
        <f t="shared" ca="1" si="138"/>
        <v>0</v>
      </c>
      <c r="P269" s="45">
        <f t="shared" ca="1" si="13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20.25" customHeight="1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20.25" customHeight="1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IFERROR(__xludf.DUMMYFUNCTION("IMPORTRANGE(""https://docs.google.com/spreadsheets/d/1kC41EOXpGBFOW658Fs3oD8beYlym0-zO54WY-2Qnp9I/edit?usp=share_link"",""กระบี่!I271"")
+IMPORTRANGE(""https://docs.google.com/spreadsheets/d/1FbzMZY_f3MDiEuK7RpCQKrilJ_kpX0Wm7QBZ1L7EjIU/edit?usp=share_link"&amp;""",""ชุมพร!I271"")+IMPORTRANGE(""https://docs.google.com/spreadsheets/d/1v5sN-00LrXuhBxw4dkh2GrG_z4l5oAqOdJRBCsUyMaM/edit?usp=share_link"",""ตรัง!I271"")+IMPORTRANGE(""https://docs.google.com/spreadsheets/d/1T5rRTzFc79aSIvqnzkZNvwPstq829QYz_xALlO1Z0s8/edi"&amp;"t?usp=share_link"",""นครศรีธรรมราช!I271"")+IMPORTRANGE(""https://docs.google.com/spreadsheets/d/1BeghqumK0IvCmRd2QOy6_afsZq7ZtAGrSnVJy2u7WmY/edit?usp=share_link"",""นราธิวาส!I271"")+IMPORTRANGE(""https://docs.google.com/spreadsheets/d/1IwnW3-jjRf74MCLW-6P"&amp;"iFwMUffRQXZwZA7YM609NmRc/edit?usp=share_link"",""ปัตตานี!I271"")+IMPORTRANGE(""https://docs.google.com/spreadsheets/d/1vl4QWbWdFruual5o_wdo6ZSqXZ_it806oja4CctTLKs/edit?usp=share_link"",""พังงา!I271"")+IMPORTRANGE(""https://docs.google.com/spreadsheets/d/1"&amp;"b6QssHQp2FoAPSMKHOy273KNzAomaIKhtdlvuZ_zDNE/edit?usp=share_link"",""พัทลุง!I271"")+IMPORTRANGE(""https://docs.google.com/spreadsheets/d/1o7UZe4_OqlqtLDHrj01Z2YFRSZDf1DMy1n3XViHaxRc/edit?usp=share_link"",""ภูเก็ต!I271"")+IMPORTRANGE(""https://docs.google.c"&amp;"om/spreadsheets/d/1ctPm1vUzcUCPuOj9-eoHUD85PqINFqUB0TjdSWmR5-c/edit?usp=share_link"",""ยะลา!I271"")+IMPORTRANGE(""https://docs.google.com/spreadsheets/d/1YiDIE7Klmt8osgdapRqYWNr7iPGFSsiJqq46S7PYRE0/edit?usp=share_link"",""ระนอง!I271"")+IMPORTRANGE(""https"&amp;"://docs.google.com/spreadsheets/d/16o_4B-V7AWw_6E93bSpXj_XxVv1oVQctk-B6z1dNEWU/edit?usp=share_link"",""สงขลา!I271"")+IMPORTRANGE(""https://docs.google.com/spreadsheets/d/16cywr71Fj4fA5OGRHsZh30ZG2gwJhMAQv69oVBzYHv0/edit?usp=share_link"",""สตูล!I271"")+IMP"&amp;"ORTRANGE(""https://docs.google.com/spreadsheets/d/1vO9Sws6kMtrVtyvrAJptINXjK8TFBoX9xLYOVK_C8bQ/edit?usp=share_link"",""สุราษฎร์ธานี!I271"")"),286)</f>
        <v>286</v>
      </c>
      <c r="J271" s="183">
        <f ca="1">IFERROR(__xludf.DUMMYFUNCTION("IMPORTRANGE(""https://docs.google.com/spreadsheets/d/1kC41EOXpGBFOW658Fs3oD8beYlym0-zO54WY-2Qnp9I/edit?usp=share_link"",""กระบี่!J271"")
+IMPORTRANGE(""https://docs.google.com/spreadsheets/d/1FbzMZY_f3MDiEuK7RpCQKrilJ_kpX0Wm7QBZ1L7EjIU/edit?usp=share_link"&amp;""",""ชุมพร!J271"")+IMPORTRANGE(""https://docs.google.com/spreadsheets/d/1v5sN-00LrXuhBxw4dkh2GrG_z4l5oAqOdJRBCsUyMaM/edit?usp=share_link"",""ตรัง!J271"")+IMPORTRANGE(""https://docs.google.com/spreadsheets/d/1T5rRTzFc79aSIvqnzkZNvwPstq829QYz_xALlO1Z0s8/edi"&amp;"t?usp=share_link"",""นครศรีธรรมราช!J271"")+IMPORTRANGE(""https://docs.google.com/spreadsheets/d/1BeghqumK0IvCmRd2QOy6_afsZq7ZtAGrSnVJy2u7WmY/edit?usp=share_link"",""นราธิวาส!J271"")+IMPORTRANGE(""https://docs.google.com/spreadsheets/d/1IwnW3-jjRf74MCLW-6P"&amp;"iFwMUffRQXZwZA7YM609NmRc/edit?usp=share_link"",""ปัตตานี!J271"")+IMPORTRANGE(""https://docs.google.com/spreadsheets/d/1vl4QWbWdFruual5o_wdo6ZSqXZ_it806oja4CctTLKs/edit?usp=share_link"",""พังงา!J271"")+IMPORTRANGE(""https://docs.google.com/spreadsheets/d/1"&amp;"b6QssHQp2FoAPSMKHOy273KNzAomaIKhtdlvuZ_zDNE/edit?usp=share_link"",""พัทลุง!J271"")+IMPORTRANGE(""https://docs.google.com/spreadsheets/d/1o7UZe4_OqlqtLDHrj01Z2YFRSZDf1DMy1n3XViHaxRc/edit?usp=share_link"",""ภูเก็ต!J271"")+IMPORTRANGE(""https://docs.google.c"&amp;"om/spreadsheets/d/1ctPm1vUzcUCPuOj9-eoHUD85PqINFqUB0TjdSWmR5-c/edit?usp=share_link"",""ยะลา!J271"")+IMPORTRANGE(""https://docs.google.com/spreadsheets/d/1YiDIE7Klmt8osgdapRqYWNr7iPGFSsiJqq46S7PYRE0/edit?usp=share_link"",""ระนอง!J271"")+IMPORTRANGE(""https"&amp;"://docs.google.com/spreadsheets/d/16o_4B-V7AWw_6E93bSpXj_XxVv1oVQctk-B6z1dNEWU/edit?usp=share_link"",""สงขลา!J271"")+IMPORTRANGE(""https://docs.google.com/spreadsheets/d/16cywr71Fj4fA5OGRHsZh30ZG2gwJhMAQv69oVBzYHv0/edit?usp=share_link"",""สตูล!J271"")+IMP"&amp;"ORTRANGE(""https://docs.google.com/spreadsheets/d/1vO9Sws6kMtrVtyvrAJptINXjK8TFBoX9xLYOVK_C8bQ/edit?usp=share_link"",""สุราษฎร์ธานี!J271"")"),38)</f>
        <v>38</v>
      </c>
      <c r="K271" s="163">
        <f ca="1">IF(I271&gt;0,J271*100/I271,0)</f>
        <v>13.286713286713287</v>
      </c>
      <c r="L271" s="163"/>
      <c r="M271" s="163"/>
      <c r="N271" s="163"/>
      <c r="O271" s="163"/>
      <c r="P271" s="163"/>
    </row>
    <row r="272" spans="1:26" ht="20.25" hidden="1" customHeight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20.25" customHeight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20.25" customHeight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20.25" customHeight="1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4">I288</f>
        <v>20</v>
      </c>
      <c r="J275" s="406">
        <f t="shared" ca="1" si="144"/>
        <v>20</v>
      </c>
      <c r="K275" s="407">
        <f t="shared" ref="K275:K276" ca="1" si="145">IF(I275&gt;0,J275*100/I275,0)</f>
        <v>100</v>
      </c>
      <c r="L275" s="408"/>
      <c r="M275" s="408"/>
      <c r="N275" s="408"/>
      <c r="O275" s="408"/>
      <c r="P275" s="408"/>
    </row>
    <row r="276" spans="1:26" ht="20.25" customHeight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46">I287</f>
        <v>200</v>
      </c>
      <c r="J276" s="410">
        <f t="shared" ca="1" si="146"/>
        <v>100</v>
      </c>
      <c r="K276" s="408">
        <f t="shared" ca="1" si="145"/>
        <v>50</v>
      </c>
      <c r="L276" s="408"/>
      <c r="M276" s="408"/>
      <c r="N276" s="408"/>
      <c r="O276" s="408"/>
      <c r="P276" s="408"/>
    </row>
    <row r="277" spans="1:26" ht="20.25" customHeight="1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7">L278+L279</f>
        <v>86270</v>
      </c>
      <c r="M277" s="155">
        <f t="shared" ca="1" si="147"/>
        <v>86270</v>
      </c>
      <c r="N277" s="155">
        <f t="shared" ca="1" si="147"/>
        <v>65105</v>
      </c>
      <c r="O277" s="155">
        <f t="shared" ref="O277:O285" ca="1" si="148">IF(L277&gt;0,N277*100/L277,0)</f>
        <v>75.466558479193225</v>
      </c>
      <c r="P277" s="155">
        <f t="shared" ref="P277:P285" ca="1" si="149">IF(M277&gt;0,N277*100/M277,0)</f>
        <v>75.466558479193225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20.25" hidden="1" customHeight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0">L281+L284</f>
        <v>0</v>
      </c>
      <c r="M278" s="45">
        <f t="shared" si="150"/>
        <v>0</v>
      </c>
      <c r="N278" s="45">
        <f t="shared" si="150"/>
        <v>0</v>
      </c>
      <c r="O278" s="45">
        <f t="shared" si="148"/>
        <v>0</v>
      </c>
      <c r="P278" s="45">
        <f t="shared" si="149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20.25" hidden="1" customHeight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1">L282+L285</f>
        <v>86270</v>
      </c>
      <c r="M279" s="45">
        <f t="shared" ca="1" si="151"/>
        <v>86270</v>
      </c>
      <c r="N279" s="45">
        <f t="shared" ca="1" si="151"/>
        <v>65105</v>
      </c>
      <c r="O279" s="45">
        <f t="shared" ca="1" si="148"/>
        <v>75.466558479193225</v>
      </c>
      <c r="P279" s="45">
        <f t="shared" ca="1" si="149"/>
        <v>75.466558479193225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20.25" customHeight="1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2">L281+L282</f>
        <v>86270</v>
      </c>
      <c r="M280" s="38">
        <f t="shared" ca="1" si="152"/>
        <v>86270</v>
      </c>
      <c r="N280" s="38">
        <f t="shared" ca="1" si="152"/>
        <v>65105</v>
      </c>
      <c r="O280" s="38">
        <f t="shared" ca="1" si="148"/>
        <v>75.466558479193225</v>
      </c>
      <c r="P280" s="38">
        <f t="shared" ca="1" si="149"/>
        <v>75.466558479193225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20.25" hidden="1" customHeight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8"/>
        <v>0</v>
      </c>
      <c r="P281" s="45">
        <f t="shared" si="149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20.25" hidden="1" customHeight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IFERROR(__xludf.DUMMYFUNCTION("IMPORTRANGE(""https://docs.google.com/spreadsheets/d/1kC41EOXpGBFOW658Fs3oD8beYlym0-zO54WY-2Qnp9I/edit?usp=share_link"",""กระบี่!L282"")
+IMPORTRANGE(""https://docs.google.com/spreadsheets/d/1FbzMZY_f3MDiEuK7RpCQKrilJ_kpX0Wm7QBZ1L7EjIU/edit?usp=share_link"&amp;""",""ชุมพร!L282"")+IMPORTRANGE(""https://docs.google.com/spreadsheets/d/1v5sN-00LrXuhBxw4dkh2GrG_z4l5oAqOdJRBCsUyMaM/edit?usp=share_link"",""ตรัง!L282"")+IMPORTRANGE(""https://docs.google.com/spreadsheets/d/1T5rRTzFc79aSIvqnzkZNvwPstq829QYz_xALlO1Z0s8/edi"&amp;"t?usp=share_link"",""นครศรีธรรมราช!L282"")+IMPORTRANGE(""https://docs.google.com/spreadsheets/d/1BeghqumK0IvCmRd2QOy6_afsZq7ZtAGrSnVJy2u7WmY/edit?usp=share_link"",""นราธิวาส!L282"")+IMPORTRANGE(""https://docs.google.com/spreadsheets/d/1IwnW3-jjRf74MCLW-6P"&amp;"iFwMUffRQXZwZA7YM609NmRc/edit?usp=share_link"",""ปัตตานี!L282"")+IMPORTRANGE(""https://docs.google.com/spreadsheets/d/1vl4QWbWdFruual5o_wdo6ZSqXZ_it806oja4CctTLKs/edit?usp=share_link"",""พังงา!L282"")+IMPORTRANGE(""https://docs.google.com/spreadsheets/d/1"&amp;"b6QssHQp2FoAPSMKHOy273KNzAomaIKhtdlvuZ_zDNE/edit?usp=share_link"",""พัทลุง!L282"")+IMPORTRANGE(""https://docs.google.com/spreadsheets/d/1o7UZe4_OqlqtLDHrj01Z2YFRSZDf1DMy1n3XViHaxRc/edit?usp=share_link"",""ภูเก็ต!L282"")+IMPORTRANGE(""https://docs.google.c"&amp;"om/spreadsheets/d/1ctPm1vUzcUCPuOj9-eoHUD85PqINFqUB0TjdSWmR5-c/edit?usp=share_link"",""ยะลา!L282"")+IMPORTRANGE(""https://docs.google.com/spreadsheets/d/1YiDIE7Klmt8osgdapRqYWNr7iPGFSsiJqq46S7PYRE0/edit?usp=share_link"",""ระนอง!L282"")+IMPORTRANGE(""https"&amp;"://docs.google.com/spreadsheets/d/16o_4B-V7AWw_6E93bSpXj_XxVv1oVQctk-B6z1dNEWU/edit?usp=share_link"",""สงขลา!L282"")+IMPORTRANGE(""https://docs.google.com/spreadsheets/d/16cywr71Fj4fA5OGRHsZh30ZG2gwJhMAQv69oVBzYHv0/edit?usp=share_link"",""สตูล!L282"")+IMP"&amp;"ORTRANGE(""https://docs.google.com/spreadsheets/d/1vO9Sws6kMtrVtyvrAJptINXjK8TFBoX9xLYOVK_C8bQ/edit?usp=share_link"",""สุราษฎร์ธานี!L282"")"),86270)</f>
        <v>86270</v>
      </c>
      <c r="M282" s="45">
        <f ca="1">IFERROR(__xludf.DUMMYFUNCTION("IMPORTRANGE(""https://docs.google.com/spreadsheets/d/1kC41EOXpGBFOW658Fs3oD8beYlym0-zO54WY-2Qnp9I/edit?usp=share_link"",""กระบี่!M282"")
+IMPORTRANGE(""https://docs.google.com/spreadsheets/d/1FbzMZY_f3MDiEuK7RpCQKrilJ_kpX0Wm7QBZ1L7EjIU/edit?usp=share_link"&amp;""",""ชุมพร!M282"")+IMPORTRANGE(""https://docs.google.com/spreadsheets/d/1v5sN-00LrXuhBxw4dkh2GrG_z4l5oAqOdJRBCsUyMaM/edit?usp=share_link"",""ตรัง!M282"")+IMPORTRANGE(""https://docs.google.com/spreadsheets/d/1T5rRTzFc79aSIvqnzkZNvwPstq829QYz_xALlO1Z0s8/edi"&amp;"t?usp=share_link"",""นครศรีธรรมราช!M282"")+IMPORTRANGE(""https://docs.google.com/spreadsheets/d/1BeghqumK0IvCmRd2QOy6_afsZq7ZtAGrSnVJy2u7WmY/edit?usp=share_link"",""นราธิวาส!M282"")+IMPORTRANGE(""https://docs.google.com/spreadsheets/d/1IwnW3-jjRf74MCLW-6P"&amp;"iFwMUffRQXZwZA7YM609NmRc/edit?usp=share_link"",""ปัตตานี!M282"")+IMPORTRANGE(""https://docs.google.com/spreadsheets/d/1vl4QWbWdFruual5o_wdo6ZSqXZ_it806oja4CctTLKs/edit?usp=share_link"",""พังงา!M282"")+IMPORTRANGE(""https://docs.google.com/spreadsheets/d/1"&amp;"b6QssHQp2FoAPSMKHOy273KNzAomaIKhtdlvuZ_zDNE/edit?usp=share_link"",""พัทลุง!M282"")+IMPORTRANGE(""https://docs.google.com/spreadsheets/d/1o7UZe4_OqlqtLDHrj01Z2YFRSZDf1DMy1n3XViHaxRc/edit?usp=share_link"",""ภูเก็ต!M282"")+IMPORTRANGE(""https://docs.google.c"&amp;"om/spreadsheets/d/1ctPm1vUzcUCPuOj9-eoHUD85PqINFqUB0TjdSWmR5-c/edit?usp=share_link"",""ยะลา!M282"")+IMPORTRANGE(""https://docs.google.com/spreadsheets/d/1YiDIE7Klmt8osgdapRqYWNr7iPGFSsiJqq46S7PYRE0/edit?usp=share_link"",""ระนอง!M282"")+IMPORTRANGE(""https"&amp;"://docs.google.com/spreadsheets/d/16o_4B-V7AWw_6E93bSpXj_XxVv1oVQctk-B6z1dNEWU/edit?usp=share_link"",""สงขลา!M282"")+IMPORTRANGE(""https://docs.google.com/spreadsheets/d/16cywr71Fj4fA5OGRHsZh30ZG2gwJhMAQv69oVBzYHv0/edit?usp=share_link"",""สตูล!M282"")+IMP"&amp;"ORTRANGE(""https://docs.google.com/spreadsheets/d/1vO9Sws6kMtrVtyvrAJptINXjK8TFBoX9xLYOVK_C8bQ/edit?usp=share_link"",""สุราษฎร์ธานี!M282"")"),86270)</f>
        <v>86270</v>
      </c>
      <c r="N282" s="45">
        <f ca="1">IFERROR(__xludf.DUMMYFUNCTION("IMPORTRANGE(""https://docs.google.com/spreadsheets/d/1kC41EOXpGBFOW658Fs3oD8beYlym0-zO54WY-2Qnp9I/edit?usp=share_link"",""กระบี่!N282"")
+IMPORTRANGE(""https://docs.google.com/spreadsheets/d/1FbzMZY_f3MDiEuK7RpCQKrilJ_kpX0Wm7QBZ1L7EjIU/edit?usp=share_link"&amp;""",""ชุมพร!N282"")+IMPORTRANGE(""https://docs.google.com/spreadsheets/d/1v5sN-00LrXuhBxw4dkh2GrG_z4l5oAqOdJRBCsUyMaM/edit?usp=share_link"",""ตรัง!N282"")+IMPORTRANGE(""https://docs.google.com/spreadsheets/d/1T5rRTzFc79aSIvqnzkZNvwPstq829QYz_xALlO1Z0s8/edi"&amp;"t?usp=share_link"",""นครศรีธรรมราช!N282"")+IMPORTRANGE(""https://docs.google.com/spreadsheets/d/1BeghqumK0IvCmRd2QOy6_afsZq7ZtAGrSnVJy2u7WmY/edit?usp=share_link"",""นราธิวาส!N282"")+IMPORTRANGE(""https://docs.google.com/spreadsheets/d/1IwnW3-jjRf74MCLW-6P"&amp;"iFwMUffRQXZwZA7YM609NmRc/edit?usp=share_link"",""ปัตตานี!N282"")+IMPORTRANGE(""https://docs.google.com/spreadsheets/d/1vl4QWbWdFruual5o_wdo6ZSqXZ_it806oja4CctTLKs/edit?usp=share_link"",""พังงา!N282"")+IMPORTRANGE(""https://docs.google.com/spreadsheets/d/1"&amp;"b6QssHQp2FoAPSMKHOy273KNzAomaIKhtdlvuZ_zDNE/edit?usp=share_link"",""พัทลุง!N282"")+IMPORTRANGE(""https://docs.google.com/spreadsheets/d/1o7UZe4_OqlqtLDHrj01Z2YFRSZDf1DMy1n3XViHaxRc/edit?usp=share_link"",""ภูเก็ต!N282"")+IMPORTRANGE(""https://docs.google.c"&amp;"om/spreadsheets/d/1ctPm1vUzcUCPuOj9-eoHUD85PqINFqUB0TjdSWmR5-c/edit?usp=share_link"",""ยะลา!N282"")+IMPORTRANGE(""https://docs.google.com/spreadsheets/d/1YiDIE7Klmt8osgdapRqYWNr7iPGFSsiJqq46S7PYRE0/edit?usp=share_link"",""ระนอง!N282"")+IMPORTRANGE(""https"&amp;"://docs.google.com/spreadsheets/d/16o_4B-V7AWw_6E93bSpXj_XxVv1oVQctk-B6z1dNEWU/edit?usp=share_link"",""สงขลา!N282"")+IMPORTRANGE(""https://docs.google.com/spreadsheets/d/16cywr71Fj4fA5OGRHsZh30ZG2gwJhMAQv69oVBzYHv0/edit?usp=share_link"",""สตูล!N282"")+IMP"&amp;"ORTRANGE(""https://docs.google.com/spreadsheets/d/1vO9Sws6kMtrVtyvrAJptINXjK8TFBoX9xLYOVK_C8bQ/edit?usp=share_link"",""สุราษฎร์ธานี!N282"")"),65105)</f>
        <v>65105</v>
      </c>
      <c r="O282" s="45">
        <f t="shared" ca="1" si="148"/>
        <v>75.466558479193225</v>
      </c>
      <c r="P282" s="45">
        <f t="shared" ca="1" si="149"/>
        <v>75.466558479193225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20.25" customHeight="1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3">L284+L285</f>
        <v>0</v>
      </c>
      <c r="M283" s="38">
        <f t="shared" ca="1" si="153"/>
        <v>0</v>
      </c>
      <c r="N283" s="38">
        <f t="shared" ca="1" si="153"/>
        <v>0</v>
      </c>
      <c r="O283" s="38">
        <f t="shared" ca="1" si="148"/>
        <v>0</v>
      </c>
      <c r="P283" s="38">
        <f t="shared" ca="1" si="149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20.25" hidden="1" customHeight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8"/>
        <v>0</v>
      </c>
      <c r="P284" s="45">
        <f t="shared" si="149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20.25" hidden="1" customHeight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IFERROR(__xludf.DUMMYFUNCTION("IMPORTRANGE(""https://docs.google.com/spreadsheets/d/1kC41EOXpGBFOW658Fs3oD8beYlym0-zO54WY-2Qnp9I/edit?usp=share_link"",""กระบี่!L285"")
+IMPORTRANGE(""https://docs.google.com/spreadsheets/d/1FbzMZY_f3MDiEuK7RpCQKrilJ_kpX0Wm7QBZ1L7EjIU/edit?usp=share_link"&amp;""",""ชุมพร!L285"")+IMPORTRANGE(""https://docs.google.com/spreadsheets/d/1v5sN-00LrXuhBxw4dkh2GrG_z4l5oAqOdJRBCsUyMaM/edit?usp=share_link"",""ตรัง!L285"")+IMPORTRANGE(""https://docs.google.com/spreadsheets/d/1T5rRTzFc79aSIvqnzkZNvwPstq829QYz_xALlO1Z0s8/edi"&amp;"t?usp=share_link"",""นครศรีธรรมราช!L285"")+IMPORTRANGE(""https://docs.google.com/spreadsheets/d/1BeghqumK0IvCmRd2QOy6_afsZq7ZtAGrSnVJy2u7WmY/edit?usp=share_link"",""นราธิวาส!L285"")+IMPORTRANGE(""https://docs.google.com/spreadsheets/d/1IwnW3-jjRf74MCLW-6P"&amp;"iFwMUffRQXZwZA7YM609NmRc/edit?usp=share_link"",""ปัตตานี!L285"")+IMPORTRANGE(""https://docs.google.com/spreadsheets/d/1vl4QWbWdFruual5o_wdo6ZSqXZ_it806oja4CctTLKs/edit?usp=share_link"",""พังงา!L285"")+IMPORTRANGE(""https://docs.google.com/spreadsheets/d/1"&amp;"b6QssHQp2FoAPSMKHOy273KNzAomaIKhtdlvuZ_zDNE/edit?usp=share_link"",""พัทลุง!L285"")+IMPORTRANGE(""https://docs.google.com/spreadsheets/d/1o7UZe4_OqlqtLDHrj01Z2YFRSZDf1DMy1n3XViHaxRc/edit?usp=share_link"",""ภูเก็ต!L285"")+IMPORTRANGE(""https://docs.google.c"&amp;"om/spreadsheets/d/1ctPm1vUzcUCPuOj9-eoHUD85PqINFqUB0TjdSWmR5-c/edit?usp=share_link"",""ยะลา!L285"")+IMPORTRANGE(""https://docs.google.com/spreadsheets/d/1YiDIE7Klmt8osgdapRqYWNr7iPGFSsiJqq46S7PYRE0/edit?usp=share_link"",""ระนอง!L285"")+IMPORTRANGE(""https"&amp;"://docs.google.com/spreadsheets/d/16o_4B-V7AWw_6E93bSpXj_XxVv1oVQctk-B6z1dNEWU/edit?usp=share_link"",""สงขลา!L285"")+IMPORTRANGE(""https://docs.google.com/spreadsheets/d/16cywr71Fj4fA5OGRHsZh30ZG2gwJhMAQv69oVBzYHv0/edit?usp=share_link"",""สตูล!L285"")+IMP"&amp;"ORTRANGE(""https://docs.google.com/spreadsheets/d/1vO9Sws6kMtrVtyvrAJptINXjK8TFBoX9xLYOVK_C8bQ/edit?usp=share_link"",""สุราษฎร์ธานี!L285"")"),0)</f>
        <v>0</v>
      </c>
      <c r="M285" s="45">
        <f ca="1">IFERROR(__xludf.DUMMYFUNCTION("IMPORTRANGE(""https://docs.google.com/spreadsheets/d/1kC41EOXpGBFOW658Fs3oD8beYlym0-zO54WY-2Qnp9I/edit?usp=share_link"",""กระบี่!M285"")
+IMPORTRANGE(""https://docs.google.com/spreadsheets/d/1FbzMZY_f3MDiEuK7RpCQKrilJ_kpX0Wm7QBZ1L7EjIU/edit?usp=share_link"&amp;""",""ชุมพร!M285"")+IMPORTRANGE(""https://docs.google.com/spreadsheets/d/1v5sN-00LrXuhBxw4dkh2GrG_z4l5oAqOdJRBCsUyMaM/edit?usp=share_link"",""ตรัง!M285"")+IMPORTRANGE(""https://docs.google.com/spreadsheets/d/1T5rRTzFc79aSIvqnzkZNvwPstq829QYz_xALlO1Z0s8/edi"&amp;"t?usp=share_link"",""นครศรีธรรมราช!M285"")+IMPORTRANGE(""https://docs.google.com/spreadsheets/d/1BeghqumK0IvCmRd2QOy6_afsZq7ZtAGrSnVJy2u7WmY/edit?usp=share_link"",""นราธิวาส!M285"")+IMPORTRANGE(""https://docs.google.com/spreadsheets/d/1IwnW3-jjRf74MCLW-6P"&amp;"iFwMUffRQXZwZA7YM609NmRc/edit?usp=share_link"",""ปัตตานี!M285"")+IMPORTRANGE(""https://docs.google.com/spreadsheets/d/1vl4QWbWdFruual5o_wdo6ZSqXZ_it806oja4CctTLKs/edit?usp=share_link"",""พังงา!M285"")+IMPORTRANGE(""https://docs.google.com/spreadsheets/d/1"&amp;"b6QssHQp2FoAPSMKHOy273KNzAomaIKhtdlvuZ_zDNE/edit?usp=share_link"",""พัทลุง!M285"")+IMPORTRANGE(""https://docs.google.com/spreadsheets/d/1o7UZe4_OqlqtLDHrj01Z2YFRSZDf1DMy1n3XViHaxRc/edit?usp=share_link"",""ภูเก็ต!M285"")+IMPORTRANGE(""https://docs.google.c"&amp;"om/spreadsheets/d/1ctPm1vUzcUCPuOj9-eoHUD85PqINFqUB0TjdSWmR5-c/edit?usp=share_link"",""ยะลา!M285"")+IMPORTRANGE(""https://docs.google.com/spreadsheets/d/1YiDIE7Klmt8osgdapRqYWNr7iPGFSsiJqq46S7PYRE0/edit?usp=share_link"",""ระนอง!M285"")+IMPORTRANGE(""https"&amp;"://docs.google.com/spreadsheets/d/16o_4B-V7AWw_6E93bSpXj_XxVv1oVQctk-B6z1dNEWU/edit?usp=share_link"",""สงขลา!M285"")+IMPORTRANGE(""https://docs.google.com/spreadsheets/d/16cywr71Fj4fA5OGRHsZh30ZG2gwJhMAQv69oVBzYHv0/edit?usp=share_link"",""สตูล!M285"")+IMP"&amp;"ORTRANGE(""https://docs.google.com/spreadsheets/d/1vO9Sws6kMtrVtyvrAJptINXjK8TFBoX9xLYOVK_C8bQ/edit?usp=share_link"",""สุราษฎร์ธานี!M285"")"),0)</f>
        <v>0</v>
      </c>
      <c r="N285" s="45">
        <f ca="1">IFERROR(__xludf.DUMMYFUNCTION("IMPORTRANGE(""https://docs.google.com/spreadsheets/d/1kC41EOXpGBFOW658Fs3oD8beYlym0-zO54WY-2Qnp9I/edit?usp=share_link"",""กระบี่!N285"")
+IMPORTRANGE(""https://docs.google.com/spreadsheets/d/1FbzMZY_f3MDiEuK7RpCQKrilJ_kpX0Wm7QBZ1L7EjIU/edit?usp=share_link"&amp;""",""ชุมพร!N285"")+IMPORTRANGE(""https://docs.google.com/spreadsheets/d/1v5sN-00LrXuhBxw4dkh2GrG_z4l5oAqOdJRBCsUyMaM/edit?usp=share_link"",""ตรัง!N285"")+IMPORTRANGE(""https://docs.google.com/spreadsheets/d/1T5rRTzFc79aSIvqnzkZNvwPstq829QYz_xALlO1Z0s8/edi"&amp;"t?usp=share_link"",""นครศรีธรรมราช!N285"")+IMPORTRANGE(""https://docs.google.com/spreadsheets/d/1BeghqumK0IvCmRd2QOy6_afsZq7ZtAGrSnVJy2u7WmY/edit?usp=share_link"",""นราธิวาส!N285"")+IMPORTRANGE(""https://docs.google.com/spreadsheets/d/1IwnW3-jjRf74MCLW-6P"&amp;"iFwMUffRQXZwZA7YM609NmRc/edit?usp=share_link"",""ปัตตานี!N285"")+IMPORTRANGE(""https://docs.google.com/spreadsheets/d/1vl4QWbWdFruual5o_wdo6ZSqXZ_it806oja4CctTLKs/edit?usp=share_link"",""พังงา!N285"")+IMPORTRANGE(""https://docs.google.com/spreadsheets/d/1"&amp;"b6QssHQp2FoAPSMKHOy273KNzAomaIKhtdlvuZ_zDNE/edit?usp=share_link"",""พัทลุง!N285"")+IMPORTRANGE(""https://docs.google.com/spreadsheets/d/1o7UZe4_OqlqtLDHrj01Z2YFRSZDf1DMy1n3XViHaxRc/edit?usp=share_link"",""ภูเก็ต!N285"")+IMPORTRANGE(""https://docs.google.c"&amp;"om/spreadsheets/d/1ctPm1vUzcUCPuOj9-eoHUD85PqINFqUB0TjdSWmR5-c/edit?usp=share_link"",""ยะลา!N285"")+IMPORTRANGE(""https://docs.google.com/spreadsheets/d/1YiDIE7Klmt8osgdapRqYWNr7iPGFSsiJqq46S7PYRE0/edit?usp=share_link"",""ระนอง!N285"")+IMPORTRANGE(""https"&amp;"://docs.google.com/spreadsheets/d/16o_4B-V7AWw_6E93bSpXj_XxVv1oVQctk-B6z1dNEWU/edit?usp=share_link"",""สงขลา!N285"")+IMPORTRANGE(""https://docs.google.com/spreadsheets/d/16cywr71Fj4fA5OGRHsZh30ZG2gwJhMAQv69oVBzYHv0/edit?usp=share_link"",""สตูล!N285"")+IMP"&amp;"ORTRANGE(""https://docs.google.com/spreadsheets/d/1vO9Sws6kMtrVtyvrAJptINXjK8TFBoX9xLYOVK_C8bQ/edit?usp=share_link"",""สุราษฎร์ธานี!N285"")"),0)</f>
        <v>0</v>
      </c>
      <c r="O285" s="45">
        <f t="shared" ca="1" si="148"/>
        <v>0</v>
      </c>
      <c r="P285" s="45">
        <f t="shared" ca="1" si="149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20.25" customHeight="1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20.25" customHeight="1">
      <c r="A287" s="170"/>
      <c r="B287" s="171"/>
      <c r="C287" s="171"/>
      <c r="D287" s="41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IFERROR(__xludf.DUMMYFUNCTION("IMPORTRANGE(""https://docs.google.com/spreadsheets/d/1kC41EOXpGBFOW658Fs3oD8beYlym0-zO54WY-2Qnp9I/edit?usp=share_link"",""กระบี่!I287"")
+IMPORTRANGE(""https://docs.google.com/spreadsheets/d/1FbzMZY_f3MDiEuK7RpCQKrilJ_kpX0Wm7QBZ1L7EjIU/edit?usp=share_link"&amp;""",""ชุมพร!I287"")+IMPORTRANGE(""https://docs.google.com/spreadsheets/d/1v5sN-00LrXuhBxw4dkh2GrG_z4l5oAqOdJRBCsUyMaM/edit?usp=share_link"",""ตรัง!I287"")+IMPORTRANGE(""https://docs.google.com/spreadsheets/d/1T5rRTzFc79aSIvqnzkZNvwPstq829QYz_xALlO1Z0s8/edi"&amp;"t?usp=share_link"",""นครศรีธรรมราช!I287"")+IMPORTRANGE(""https://docs.google.com/spreadsheets/d/1BeghqumK0IvCmRd2QOy6_afsZq7ZtAGrSnVJy2u7WmY/edit?usp=share_link"",""นราธิวาส!I287"")+IMPORTRANGE(""https://docs.google.com/spreadsheets/d/1IwnW3-jjRf74MCLW-6P"&amp;"iFwMUffRQXZwZA7YM609NmRc/edit?usp=share_link"",""ปัตตานี!I287"")+IMPORTRANGE(""https://docs.google.com/spreadsheets/d/1vl4QWbWdFruual5o_wdo6ZSqXZ_it806oja4CctTLKs/edit?usp=share_link"",""พังงา!I287"")+IMPORTRANGE(""https://docs.google.com/spreadsheets/d/1"&amp;"b6QssHQp2FoAPSMKHOy273KNzAomaIKhtdlvuZ_zDNE/edit?usp=share_link"",""พัทลุง!I287"")+IMPORTRANGE(""https://docs.google.com/spreadsheets/d/1o7UZe4_OqlqtLDHrj01Z2YFRSZDf1DMy1n3XViHaxRc/edit?usp=share_link"",""ภูเก็ต!I287"")+IMPORTRANGE(""https://docs.google.c"&amp;"om/spreadsheets/d/1ctPm1vUzcUCPuOj9-eoHUD85PqINFqUB0TjdSWmR5-c/edit?usp=share_link"",""ยะลา!I287"")+IMPORTRANGE(""https://docs.google.com/spreadsheets/d/1YiDIE7Klmt8osgdapRqYWNr7iPGFSsiJqq46S7PYRE0/edit?usp=share_link"",""ระนอง!I287"")+IMPORTRANGE(""https"&amp;"://docs.google.com/spreadsheets/d/16o_4B-V7AWw_6E93bSpXj_XxVv1oVQctk-B6z1dNEWU/edit?usp=share_link"",""สงขลา!I287"")+IMPORTRANGE(""https://docs.google.com/spreadsheets/d/16cywr71Fj4fA5OGRHsZh30ZG2gwJhMAQv69oVBzYHv0/edit?usp=share_link"",""สตูล!I287"")+IMP"&amp;"ORTRANGE(""https://docs.google.com/spreadsheets/d/1vO9Sws6kMtrVtyvrAJptINXjK8TFBoX9xLYOVK_C8bQ/edit?usp=share_link"",""สุราษฎร์ธานี!I287"")"),200)</f>
        <v>200</v>
      </c>
      <c r="J287" s="183">
        <f ca="1">IFERROR(__xludf.DUMMYFUNCTION("IMPORTRANGE(""https://docs.google.com/spreadsheets/d/1kC41EOXpGBFOW658Fs3oD8beYlym0-zO54WY-2Qnp9I/edit?usp=share_link"",""กระบี่!J287"")
+IMPORTRANGE(""https://docs.google.com/spreadsheets/d/1FbzMZY_f3MDiEuK7RpCQKrilJ_kpX0Wm7QBZ1L7EjIU/edit?usp=share_link"&amp;""",""ชุมพร!J287"")+IMPORTRANGE(""https://docs.google.com/spreadsheets/d/1v5sN-00LrXuhBxw4dkh2GrG_z4l5oAqOdJRBCsUyMaM/edit?usp=share_link"",""ตรัง!J287"")+IMPORTRANGE(""https://docs.google.com/spreadsheets/d/1T5rRTzFc79aSIvqnzkZNvwPstq829QYz_xALlO1Z0s8/edi"&amp;"t?usp=share_link"",""นครศรีธรรมราช!J287"")+IMPORTRANGE(""https://docs.google.com/spreadsheets/d/1BeghqumK0IvCmRd2QOy6_afsZq7ZtAGrSnVJy2u7WmY/edit?usp=share_link"",""นราธิวาส!J287"")+IMPORTRANGE(""https://docs.google.com/spreadsheets/d/1IwnW3-jjRf74MCLW-6P"&amp;"iFwMUffRQXZwZA7YM609NmRc/edit?usp=share_link"",""ปัตตานี!J287"")+IMPORTRANGE(""https://docs.google.com/spreadsheets/d/1vl4QWbWdFruual5o_wdo6ZSqXZ_it806oja4CctTLKs/edit?usp=share_link"",""พังงา!J287"")+IMPORTRANGE(""https://docs.google.com/spreadsheets/d/1"&amp;"b6QssHQp2FoAPSMKHOy273KNzAomaIKhtdlvuZ_zDNE/edit?usp=share_link"",""พัทลุง!J287"")+IMPORTRANGE(""https://docs.google.com/spreadsheets/d/1o7UZe4_OqlqtLDHrj01Z2YFRSZDf1DMy1n3XViHaxRc/edit?usp=share_link"",""ภูเก็ต!J287"")+IMPORTRANGE(""https://docs.google.c"&amp;"om/spreadsheets/d/1ctPm1vUzcUCPuOj9-eoHUD85PqINFqUB0TjdSWmR5-c/edit?usp=share_link"",""ยะลา!J287"")+IMPORTRANGE(""https://docs.google.com/spreadsheets/d/1YiDIE7Klmt8osgdapRqYWNr7iPGFSsiJqq46S7PYRE0/edit?usp=share_link"",""ระนอง!J287"")+IMPORTRANGE(""https"&amp;"://docs.google.com/spreadsheets/d/16o_4B-V7AWw_6E93bSpXj_XxVv1oVQctk-B6z1dNEWU/edit?usp=share_link"",""สงขลา!J287"")+IMPORTRANGE(""https://docs.google.com/spreadsheets/d/16cywr71Fj4fA5OGRHsZh30ZG2gwJhMAQv69oVBzYHv0/edit?usp=share_link"",""สตูล!J287"")+IMP"&amp;"ORTRANGE(""https://docs.google.com/spreadsheets/d/1vO9Sws6kMtrVtyvrAJptINXjK8TFBoX9xLYOVK_C8bQ/edit?usp=share_link"",""สุราษฎร์ธานี!J287"")"),100)</f>
        <v>100</v>
      </c>
      <c r="K287" s="163">
        <f t="shared" ref="K287:K288" ca="1" si="154">IF(I287&gt;0,J287*100/I287,0)</f>
        <v>50</v>
      </c>
      <c r="L287" s="163"/>
      <c r="M287" s="163"/>
      <c r="N287" s="163"/>
      <c r="O287" s="163"/>
      <c r="P287" s="163"/>
    </row>
    <row r="288" spans="1:26" ht="20.25" customHeight="1">
      <c r="A288" s="170"/>
      <c r="B288" s="171"/>
      <c r="C288" s="171"/>
      <c r="D288" s="411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IFERROR(__xludf.DUMMYFUNCTION("IMPORTRANGE(""https://docs.google.com/spreadsheets/d/1kC41EOXpGBFOW658Fs3oD8beYlym0-zO54WY-2Qnp9I/edit?usp=share_link"",""กระบี่!I288"")
+IMPORTRANGE(""https://docs.google.com/spreadsheets/d/1FbzMZY_f3MDiEuK7RpCQKrilJ_kpX0Wm7QBZ1L7EjIU/edit?usp=share_link"&amp;""",""ชุมพร!I288"")+IMPORTRANGE(""https://docs.google.com/spreadsheets/d/1v5sN-00LrXuhBxw4dkh2GrG_z4l5oAqOdJRBCsUyMaM/edit?usp=share_link"",""ตรัง!I288"")+IMPORTRANGE(""https://docs.google.com/spreadsheets/d/1T5rRTzFc79aSIvqnzkZNvwPstq829QYz_xALlO1Z0s8/edi"&amp;"t?usp=share_link"",""นครศรีธรรมราช!I288"")+IMPORTRANGE(""https://docs.google.com/spreadsheets/d/1BeghqumK0IvCmRd2QOy6_afsZq7ZtAGrSnVJy2u7WmY/edit?usp=share_link"",""นราธิวาส!I288"")+IMPORTRANGE(""https://docs.google.com/spreadsheets/d/1IwnW3-jjRf74MCLW-6P"&amp;"iFwMUffRQXZwZA7YM609NmRc/edit?usp=share_link"",""ปัตตานี!I288"")+IMPORTRANGE(""https://docs.google.com/spreadsheets/d/1vl4QWbWdFruual5o_wdo6ZSqXZ_it806oja4CctTLKs/edit?usp=share_link"",""พังงา!I288"")+IMPORTRANGE(""https://docs.google.com/spreadsheets/d/1"&amp;"b6QssHQp2FoAPSMKHOy273KNzAomaIKhtdlvuZ_zDNE/edit?usp=share_link"",""พัทลุง!I288"")+IMPORTRANGE(""https://docs.google.com/spreadsheets/d/1o7UZe4_OqlqtLDHrj01Z2YFRSZDf1DMy1n3XViHaxRc/edit?usp=share_link"",""ภูเก็ต!I288"")+IMPORTRANGE(""https://docs.google.c"&amp;"om/spreadsheets/d/1ctPm1vUzcUCPuOj9-eoHUD85PqINFqUB0TjdSWmR5-c/edit?usp=share_link"",""ยะลา!I288"")+IMPORTRANGE(""https://docs.google.com/spreadsheets/d/1YiDIE7Klmt8osgdapRqYWNr7iPGFSsiJqq46S7PYRE0/edit?usp=share_link"",""ระนอง!I288"")+IMPORTRANGE(""https"&amp;"://docs.google.com/spreadsheets/d/16o_4B-V7AWw_6E93bSpXj_XxVv1oVQctk-B6z1dNEWU/edit?usp=share_link"",""สงขลา!I288"")+IMPORTRANGE(""https://docs.google.com/spreadsheets/d/16cywr71Fj4fA5OGRHsZh30ZG2gwJhMAQv69oVBzYHv0/edit?usp=share_link"",""สตูล!I288"")+IMP"&amp;"ORTRANGE(""https://docs.google.com/spreadsheets/d/1vO9Sws6kMtrVtyvrAJptINXjK8TFBoX9xLYOVK_C8bQ/edit?usp=share_link"",""สุราษฎร์ธานี!I288"")"),20)</f>
        <v>20</v>
      </c>
      <c r="J288" s="194">
        <f ca="1">IFERROR(__xludf.DUMMYFUNCTION("IMPORTRANGE(""https://docs.google.com/spreadsheets/d/1kC41EOXpGBFOW658Fs3oD8beYlym0-zO54WY-2Qnp9I/edit?usp=share_link"",""กระบี่!J288"")
+IMPORTRANGE(""https://docs.google.com/spreadsheets/d/1FbzMZY_f3MDiEuK7RpCQKrilJ_kpX0Wm7QBZ1L7EjIU/edit?usp=share_link"&amp;""",""ชุมพร!J288"")+IMPORTRANGE(""https://docs.google.com/spreadsheets/d/1v5sN-00LrXuhBxw4dkh2GrG_z4l5oAqOdJRBCsUyMaM/edit?usp=share_link"",""ตรัง!J288"")+IMPORTRANGE(""https://docs.google.com/spreadsheets/d/1T5rRTzFc79aSIvqnzkZNvwPstq829QYz_xALlO1Z0s8/edi"&amp;"t?usp=share_link"",""นครศรีธรรมราช!J288"")+IMPORTRANGE(""https://docs.google.com/spreadsheets/d/1BeghqumK0IvCmRd2QOy6_afsZq7ZtAGrSnVJy2u7WmY/edit?usp=share_link"",""นราธิวาส!J288"")+IMPORTRANGE(""https://docs.google.com/spreadsheets/d/1IwnW3-jjRf74MCLW-6P"&amp;"iFwMUffRQXZwZA7YM609NmRc/edit?usp=share_link"",""ปัตตานี!J288"")+IMPORTRANGE(""https://docs.google.com/spreadsheets/d/1vl4QWbWdFruual5o_wdo6ZSqXZ_it806oja4CctTLKs/edit?usp=share_link"",""พังงา!J288"")+IMPORTRANGE(""https://docs.google.com/spreadsheets/d/1"&amp;"b6QssHQp2FoAPSMKHOy273KNzAomaIKhtdlvuZ_zDNE/edit?usp=share_link"",""พัทลุง!J288"")+IMPORTRANGE(""https://docs.google.com/spreadsheets/d/1o7UZe4_OqlqtLDHrj01Z2YFRSZDf1DMy1n3XViHaxRc/edit?usp=share_link"",""ภูเก็ต!J288"")+IMPORTRANGE(""https://docs.google.c"&amp;"om/spreadsheets/d/1ctPm1vUzcUCPuOj9-eoHUD85PqINFqUB0TjdSWmR5-c/edit?usp=share_link"",""ยะลา!J288"")+IMPORTRANGE(""https://docs.google.com/spreadsheets/d/1YiDIE7Klmt8osgdapRqYWNr7iPGFSsiJqq46S7PYRE0/edit?usp=share_link"",""ระนอง!J288"")+IMPORTRANGE(""https"&amp;"://docs.google.com/spreadsheets/d/16o_4B-V7AWw_6E93bSpXj_XxVv1oVQctk-B6z1dNEWU/edit?usp=share_link"",""สงขลา!J288"")+IMPORTRANGE(""https://docs.google.com/spreadsheets/d/16cywr71Fj4fA5OGRHsZh30ZG2gwJhMAQv69oVBzYHv0/edit?usp=share_link"",""สตูล!J288"")+IMP"&amp;"ORTRANGE(""https://docs.google.com/spreadsheets/d/1vO9Sws6kMtrVtyvrAJptINXjK8TFBoX9xLYOVK_C8bQ/edit?usp=share_link"",""สุราษฎร์ธานี!J288"")"),20)</f>
        <v>20</v>
      </c>
      <c r="K288" s="412">
        <f t="shared" ca="1" si="154"/>
        <v>100</v>
      </c>
      <c r="L288" s="163"/>
      <c r="M288" s="163"/>
      <c r="N288" s="163"/>
      <c r="O288" s="163"/>
      <c r="P288" s="163"/>
    </row>
    <row r="289" spans="1:26" ht="20.25" customHeight="1">
      <c r="A289" s="170"/>
      <c r="B289" s="171"/>
      <c r="C289" s="171"/>
      <c r="D289" s="413"/>
      <c r="E289" s="414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20.25" customHeight="1">
      <c r="A290" s="170"/>
      <c r="B290" s="171"/>
      <c r="C290" s="171"/>
      <c r="D290" s="413"/>
      <c r="E290" s="411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IFERROR(__xludf.DUMMYFUNCTION("IMPORTRANGE(""https://docs.google.com/spreadsheets/d/1kC41EOXpGBFOW658Fs3oD8beYlym0-zO54WY-2Qnp9I/edit?usp=share_link"",""กระบี่!I290"")
+IMPORTRANGE(""https://docs.google.com/spreadsheets/d/1FbzMZY_f3MDiEuK7RpCQKrilJ_kpX0Wm7QBZ1L7EjIU/edit?usp=share_link"&amp;""",""ชุมพร!I290"")+IMPORTRANGE(""https://docs.google.com/spreadsheets/d/1v5sN-00LrXuhBxw4dkh2GrG_z4l5oAqOdJRBCsUyMaM/edit?usp=share_link"",""ตรัง!I290"")+IMPORTRANGE(""https://docs.google.com/spreadsheets/d/1T5rRTzFc79aSIvqnzkZNvwPstq829QYz_xALlO1Z0s8/edi"&amp;"t?usp=share_link"",""นครศรีธรรมราช!I290"")+IMPORTRANGE(""https://docs.google.com/spreadsheets/d/1BeghqumK0IvCmRd2QOy6_afsZq7ZtAGrSnVJy2u7WmY/edit?usp=share_link"",""นราธิวาส!I290"")+IMPORTRANGE(""https://docs.google.com/spreadsheets/d/1IwnW3-jjRf74MCLW-6P"&amp;"iFwMUffRQXZwZA7YM609NmRc/edit?usp=share_link"",""ปัตตานี!I290"")+IMPORTRANGE(""https://docs.google.com/spreadsheets/d/1vl4QWbWdFruual5o_wdo6ZSqXZ_it806oja4CctTLKs/edit?usp=share_link"",""พังงา!I290"")+IMPORTRANGE(""https://docs.google.com/spreadsheets/d/1"&amp;"b6QssHQp2FoAPSMKHOy273KNzAomaIKhtdlvuZ_zDNE/edit?usp=share_link"",""พัทลุง!I290"")+IMPORTRANGE(""https://docs.google.com/spreadsheets/d/1o7UZe4_OqlqtLDHrj01Z2YFRSZDf1DMy1n3XViHaxRc/edit?usp=share_link"",""ภูเก็ต!I290"")+IMPORTRANGE(""https://docs.google.c"&amp;"om/spreadsheets/d/1ctPm1vUzcUCPuOj9-eoHUD85PqINFqUB0TjdSWmR5-c/edit?usp=share_link"",""ยะลา!I290"")+IMPORTRANGE(""https://docs.google.com/spreadsheets/d/1YiDIE7Klmt8osgdapRqYWNr7iPGFSsiJqq46S7PYRE0/edit?usp=share_link"",""ระนอง!I290"")+IMPORTRANGE(""https"&amp;"://docs.google.com/spreadsheets/d/16o_4B-V7AWw_6E93bSpXj_XxVv1oVQctk-B6z1dNEWU/edit?usp=share_link"",""สงขลา!I290"")+IMPORTRANGE(""https://docs.google.com/spreadsheets/d/16cywr71Fj4fA5OGRHsZh30ZG2gwJhMAQv69oVBzYHv0/edit?usp=share_link"",""สตูล!I290"")+IMP"&amp;"ORTRANGE(""https://docs.google.com/spreadsheets/d/1vO9Sws6kMtrVtyvrAJptINXjK8TFBoX9xLYOVK_C8bQ/edit?usp=share_link"",""สุราษฎร์ธานี!I290"")"),20)</f>
        <v>20</v>
      </c>
      <c r="J290" s="183">
        <f ca="1">IFERROR(__xludf.DUMMYFUNCTION("IMPORTRANGE(""https://docs.google.com/spreadsheets/d/1kC41EOXpGBFOW658Fs3oD8beYlym0-zO54WY-2Qnp9I/edit?usp=share_link"",""กระบี่!J290"")
+IMPORTRANGE(""https://docs.google.com/spreadsheets/d/1FbzMZY_f3MDiEuK7RpCQKrilJ_kpX0Wm7QBZ1L7EjIU/edit?usp=share_link"&amp;""",""ชุมพร!J290"")+IMPORTRANGE(""https://docs.google.com/spreadsheets/d/1v5sN-00LrXuhBxw4dkh2GrG_z4l5oAqOdJRBCsUyMaM/edit?usp=share_link"",""ตรัง!J290"")+IMPORTRANGE(""https://docs.google.com/spreadsheets/d/1T5rRTzFc79aSIvqnzkZNvwPstq829QYz_xALlO1Z0s8/edi"&amp;"t?usp=share_link"",""นครศรีธรรมราช!J290"")+IMPORTRANGE(""https://docs.google.com/spreadsheets/d/1BeghqumK0IvCmRd2QOy6_afsZq7ZtAGrSnVJy2u7WmY/edit?usp=share_link"",""นราธิวาส!J290"")+IMPORTRANGE(""https://docs.google.com/spreadsheets/d/1IwnW3-jjRf74MCLW-6P"&amp;"iFwMUffRQXZwZA7YM609NmRc/edit?usp=share_link"",""ปัตตานี!J290"")+IMPORTRANGE(""https://docs.google.com/spreadsheets/d/1vl4QWbWdFruual5o_wdo6ZSqXZ_it806oja4CctTLKs/edit?usp=share_link"",""พังงา!J290"")+IMPORTRANGE(""https://docs.google.com/spreadsheets/d/1"&amp;"b6QssHQp2FoAPSMKHOy273KNzAomaIKhtdlvuZ_zDNE/edit?usp=share_link"",""พัทลุง!J290"")+IMPORTRANGE(""https://docs.google.com/spreadsheets/d/1o7UZe4_OqlqtLDHrj01Z2YFRSZDf1DMy1n3XViHaxRc/edit?usp=share_link"",""ภูเก็ต!J290"")+IMPORTRANGE(""https://docs.google.c"&amp;"om/spreadsheets/d/1ctPm1vUzcUCPuOj9-eoHUD85PqINFqUB0TjdSWmR5-c/edit?usp=share_link"",""ยะลา!J290"")+IMPORTRANGE(""https://docs.google.com/spreadsheets/d/1YiDIE7Klmt8osgdapRqYWNr7iPGFSsiJqq46S7PYRE0/edit?usp=share_link"",""ระนอง!J290"")+IMPORTRANGE(""https"&amp;"://docs.google.com/spreadsheets/d/16o_4B-V7AWw_6E93bSpXj_XxVv1oVQctk-B6z1dNEWU/edit?usp=share_link"",""สงขลา!J290"")+IMPORTRANGE(""https://docs.google.com/spreadsheets/d/16cywr71Fj4fA5OGRHsZh30ZG2gwJhMAQv69oVBzYHv0/edit?usp=share_link"",""สตูล!J290"")+IMP"&amp;"ORTRANGE(""https://docs.google.com/spreadsheets/d/1vO9Sws6kMtrVtyvrAJptINXjK8TFBoX9xLYOVK_C8bQ/edit?usp=share_link"",""สุราษฎร์ธานี!J290"")"),20)</f>
        <v>20</v>
      </c>
      <c r="K290" s="163">
        <f t="shared" ref="K290:K291" ca="1" si="155">IF(I290&gt;0,J290*100/I290,0)</f>
        <v>100</v>
      </c>
      <c r="L290" s="163"/>
      <c r="M290" s="163"/>
      <c r="N290" s="163"/>
      <c r="O290" s="163"/>
      <c r="P290" s="163"/>
    </row>
    <row r="291" spans="1:26" ht="20.25" customHeight="1">
      <c r="A291" s="170"/>
      <c r="B291" s="171"/>
      <c r="C291" s="171"/>
      <c r="D291" s="178"/>
      <c r="E291" s="411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IFERROR(__xludf.DUMMYFUNCTION("IMPORTRANGE(""https://docs.google.com/spreadsheets/d/1kC41EOXpGBFOW658Fs3oD8beYlym0-zO54WY-2Qnp9I/edit?usp=share_link"",""กระบี่!I291"")
+IMPORTRANGE(""https://docs.google.com/spreadsheets/d/1FbzMZY_f3MDiEuK7RpCQKrilJ_kpX0Wm7QBZ1L7EjIU/edit?usp=share_link"&amp;""",""ชุมพร!I291"")+IMPORTRANGE(""https://docs.google.com/spreadsheets/d/1v5sN-00LrXuhBxw4dkh2GrG_z4l5oAqOdJRBCsUyMaM/edit?usp=share_link"",""ตรัง!I291"")+IMPORTRANGE(""https://docs.google.com/spreadsheets/d/1T5rRTzFc79aSIvqnzkZNvwPstq829QYz_xALlO1Z0s8/edi"&amp;"t?usp=share_link"",""นครศรีธรรมราช!I291"")+IMPORTRANGE(""https://docs.google.com/spreadsheets/d/1BeghqumK0IvCmRd2QOy6_afsZq7ZtAGrSnVJy2u7WmY/edit?usp=share_link"",""นราธิวาส!I291"")+IMPORTRANGE(""https://docs.google.com/spreadsheets/d/1IwnW3-jjRf74MCLW-6P"&amp;"iFwMUffRQXZwZA7YM609NmRc/edit?usp=share_link"",""ปัตตานี!I291"")+IMPORTRANGE(""https://docs.google.com/spreadsheets/d/1vl4QWbWdFruual5o_wdo6ZSqXZ_it806oja4CctTLKs/edit?usp=share_link"",""พังงา!I291"")+IMPORTRANGE(""https://docs.google.com/spreadsheets/d/1"&amp;"b6QssHQp2FoAPSMKHOy273KNzAomaIKhtdlvuZ_zDNE/edit?usp=share_link"",""พัทลุง!I291"")+IMPORTRANGE(""https://docs.google.com/spreadsheets/d/1o7UZe4_OqlqtLDHrj01Z2YFRSZDf1DMy1n3XViHaxRc/edit?usp=share_link"",""ภูเก็ต!I291"")+IMPORTRANGE(""https://docs.google.c"&amp;"om/spreadsheets/d/1ctPm1vUzcUCPuOj9-eoHUD85PqINFqUB0TjdSWmR5-c/edit?usp=share_link"",""ยะลา!I291"")+IMPORTRANGE(""https://docs.google.com/spreadsheets/d/1YiDIE7Klmt8osgdapRqYWNr7iPGFSsiJqq46S7PYRE0/edit?usp=share_link"",""ระนอง!I291"")+IMPORTRANGE(""https"&amp;"://docs.google.com/spreadsheets/d/16o_4B-V7AWw_6E93bSpXj_XxVv1oVQctk-B6z1dNEWU/edit?usp=share_link"",""สงขลา!I291"")+IMPORTRANGE(""https://docs.google.com/spreadsheets/d/16cywr71Fj4fA5OGRHsZh30ZG2gwJhMAQv69oVBzYHv0/edit?usp=share_link"",""สตูล!I291"")+IMP"&amp;"ORTRANGE(""https://docs.google.com/spreadsheets/d/1vO9Sws6kMtrVtyvrAJptINXjK8TFBoX9xLYOVK_C8bQ/edit?usp=share_link"",""สุราษฎร์ธานี!I291"")"),20)</f>
        <v>20</v>
      </c>
      <c r="J291" s="183">
        <f ca="1">IFERROR(__xludf.DUMMYFUNCTION("IMPORTRANGE(""https://docs.google.com/spreadsheets/d/1kC41EOXpGBFOW658Fs3oD8beYlym0-zO54WY-2Qnp9I/edit?usp=share_link"",""กระบี่!J291"")
+IMPORTRANGE(""https://docs.google.com/spreadsheets/d/1FbzMZY_f3MDiEuK7RpCQKrilJ_kpX0Wm7QBZ1L7EjIU/edit?usp=share_link"&amp;""",""ชุมพร!J291"")+IMPORTRANGE(""https://docs.google.com/spreadsheets/d/1v5sN-00LrXuhBxw4dkh2GrG_z4l5oAqOdJRBCsUyMaM/edit?usp=share_link"",""ตรัง!J291"")+IMPORTRANGE(""https://docs.google.com/spreadsheets/d/1T5rRTzFc79aSIvqnzkZNvwPstq829QYz_xALlO1Z0s8/edi"&amp;"t?usp=share_link"",""นครศรีธรรมราช!J291"")+IMPORTRANGE(""https://docs.google.com/spreadsheets/d/1BeghqumK0IvCmRd2QOy6_afsZq7ZtAGrSnVJy2u7WmY/edit?usp=share_link"",""นราธิวาส!J291"")+IMPORTRANGE(""https://docs.google.com/spreadsheets/d/1IwnW3-jjRf74MCLW-6P"&amp;"iFwMUffRQXZwZA7YM609NmRc/edit?usp=share_link"",""ปัตตานี!J291"")+IMPORTRANGE(""https://docs.google.com/spreadsheets/d/1vl4QWbWdFruual5o_wdo6ZSqXZ_it806oja4CctTLKs/edit?usp=share_link"",""พังงา!J291"")+IMPORTRANGE(""https://docs.google.com/spreadsheets/d/1"&amp;"b6QssHQp2FoAPSMKHOy273KNzAomaIKhtdlvuZ_zDNE/edit?usp=share_link"",""พัทลุง!J291"")+IMPORTRANGE(""https://docs.google.com/spreadsheets/d/1o7UZe4_OqlqtLDHrj01Z2YFRSZDf1DMy1n3XViHaxRc/edit?usp=share_link"",""ภูเก็ต!J291"")+IMPORTRANGE(""https://docs.google.c"&amp;"om/spreadsheets/d/1ctPm1vUzcUCPuOj9-eoHUD85PqINFqUB0TjdSWmR5-c/edit?usp=share_link"",""ยะลา!J291"")+IMPORTRANGE(""https://docs.google.com/spreadsheets/d/1YiDIE7Klmt8osgdapRqYWNr7iPGFSsiJqq46S7PYRE0/edit?usp=share_link"",""ระนอง!J291"")+IMPORTRANGE(""https"&amp;"://docs.google.com/spreadsheets/d/16o_4B-V7AWw_6E93bSpXj_XxVv1oVQctk-B6z1dNEWU/edit?usp=share_link"",""สงขลา!J291"")+IMPORTRANGE(""https://docs.google.com/spreadsheets/d/16cywr71Fj4fA5OGRHsZh30ZG2gwJhMAQv69oVBzYHv0/edit?usp=share_link"",""สตูล!J291"")+IMP"&amp;"ORTRANGE(""https://docs.google.com/spreadsheets/d/1vO9Sws6kMtrVtyvrAJptINXjK8TFBoX9xLYOVK_C8bQ/edit?usp=share_link"",""สุราษฎร์ธานี!J291"")"),20)</f>
        <v>20</v>
      </c>
      <c r="K291" s="163">
        <f t="shared" ca="1" si="155"/>
        <v>100</v>
      </c>
      <c r="L291" s="163"/>
      <c r="M291" s="163"/>
      <c r="N291" s="163"/>
      <c r="O291" s="163"/>
      <c r="P291" s="163"/>
    </row>
    <row r="292" spans="1:26" ht="20.25" customHeight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20.25" customHeight="1">
      <c r="A293" s="170"/>
      <c r="B293" s="171"/>
      <c r="C293" s="171"/>
      <c r="D293" s="413"/>
      <c r="E293" s="411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IFERROR(__xludf.DUMMYFUNCTION("IMPORTRANGE(""https://docs.google.com/spreadsheets/d/1kC41EOXpGBFOW658Fs3oD8beYlym0-zO54WY-2Qnp9I/edit?usp=share_link"",""กระบี่!I293"")
+IMPORTRANGE(""https://docs.google.com/spreadsheets/d/1FbzMZY_f3MDiEuK7RpCQKrilJ_kpX0Wm7QBZ1L7EjIU/edit?usp=share_link"&amp;""",""ชุมพร!I293"")+IMPORTRANGE(""https://docs.google.com/spreadsheets/d/1v5sN-00LrXuhBxw4dkh2GrG_z4l5oAqOdJRBCsUyMaM/edit?usp=share_link"",""ตรัง!I293"")+IMPORTRANGE(""https://docs.google.com/spreadsheets/d/1T5rRTzFc79aSIvqnzkZNvwPstq829QYz_xALlO1Z0s8/edi"&amp;"t?usp=share_link"",""นครศรีธรรมราช!I293"")+IMPORTRANGE(""https://docs.google.com/spreadsheets/d/1BeghqumK0IvCmRd2QOy6_afsZq7ZtAGrSnVJy2u7WmY/edit?usp=share_link"",""นราธิวาส!I293"")+IMPORTRANGE(""https://docs.google.com/spreadsheets/d/1IwnW3-jjRf74MCLW-6P"&amp;"iFwMUffRQXZwZA7YM609NmRc/edit?usp=share_link"",""ปัตตานี!I293"")+IMPORTRANGE(""https://docs.google.com/spreadsheets/d/1vl4QWbWdFruual5o_wdo6ZSqXZ_it806oja4CctTLKs/edit?usp=share_link"",""พังงา!I293"")+IMPORTRANGE(""https://docs.google.com/spreadsheets/d/1"&amp;"b6QssHQp2FoAPSMKHOy273KNzAomaIKhtdlvuZ_zDNE/edit?usp=share_link"",""พัทลุง!I293"")+IMPORTRANGE(""https://docs.google.com/spreadsheets/d/1o7UZe4_OqlqtLDHrj01Z2YFRSZDf1DMy1n3XViHaxRc/edit?usp=share_link"",""ภูเก็ต!I293"")+IMPORTRANGE(""https://docs.google.c"&amp;"om/spreadsheets/d/1ctPm1vUzcUCPuOj9-eoHUD85PqINFqUB0TjdSWmR5-c/edit?usp=share_link"",""ยะลา!I293"")+IMPORTRANGE(""https://docs.google.com/spreadsheets/d/1YiDIE7Klmt8osgdapRqYWNr7iPGFSsiJqq46S7PYRE0/edit?usp=share_link"",""ระนอง!I293"")+IMPORTRANGE(""https"&amp;"://docs.google.com/spreadsheets/d/16o_4B-V7AWw_6E93bSpXj_XxVv1oVQctk-B6z1dNEWU/edit?usp=share_link"",""สงขลา!I293"")+IMPORTRANGE(""https://docs.google.com/spreadsheets/d/16cywr71Fj4fA5OGRHsZh30ZG2gwJhMAQv69oVBzYHv0/edit?usp=share_link"",""สตูล!I293"")+IMP"&amp;"ORTRANGE(""https://docs.google.com/spreadsheets/d/1vO9Sws6kMtrVtyvrAJptINXjK8TFBoX9xLYOVK_C8bQ/edit?usp=share_link"",""สุราษฎร์ธานี!I293"")"),20)</f>
        <v>20</v>
      </c>
      <c r="J293" s="183">
        <f ca="1">IFERROR(__xludf.DUMMYFUNCTION("IMPORTRANGE(""https://docs.google.com/spreadsheets/d/1kC41EOXpGBFOW658Fs3oD8beYlym0-zO54WY-2Qnp9I/edit?usp=share_link"",""กระบี่!J293"")
+IMPORTRANGE(""https://docs.google.com/spreadsheets/d/1FbzMZY_f3MDiEuK7RpCQKrilJ_kpX0Wm7QBZ1L7EjIU/edit?usp=share_link"&amp;""",""ชุมพร!J293"")+IMPORTRANGE(""https://docs.google.com/spreadsheets/d/1v5sN-00LrXuhBxw4dkh2GrG_z4l5oAqOdJRBCsUyMaM/edit?usp=share_link"",""ตรัง!J293"")+IMPORTRANGE(""https://docs.google.com/spreadsheets/d/1T5rRTzFc79aSIvqnzkZNvwPstq829QYz_xALlO1Z0s8/edi"&amp;"t?usp=share_link"",""นครศรีธรรมราช!J293"")+IMPORTRANGE(""https://docs.google.com/spreadsheets/d/1BeghqumK0IvCmRd2QOy6_afsZq7ZtAGrSnVJy2u7WmY/edit?usp=share_link"",""นราธิวาส!J293"")+IMPORTRANGE(""https://docs.google.com/spreadsheets/d/1IwnW3-jjRf74MCLW-6P"&amp;"iFwMUffRQXZwZA7YM609NmRc/edit?usp=share_link"",""ปัตตานี!J293"")+IMPORTRANGE(""https://docs.google.com/spreadsheets/d/1vl4QWbWdFruual5o_wdo6ZSqXZ_it806oja4CctTLKs/edit?usp=share_link"",""พังงา!J293"")+IMPORTRANGE(""https://docs.google.com/spreadsheets/d/1"&amp;"b6QssHQp2FoAPSMKHOy273KNzAomaIKhtdlvuZ_zDNE/edit?usp=share_link"",""พัทลุง!J293"")+IMPORTRANGE(""https://docs.google.com/spreadsheets/d/1o7UZe4_OqlqtLDHrj01Z2YFRSZDf1DMy1n3XViHaxRc/edit?usp=share_link"",""ภูเก็ต!J293"")+IMPORTRANGE(""https://docs.google.c"&amp;"om/spreadsheets/d/1ctPm1vUzcUCPuOj9-eoHUD85PqINFqUB0TjdSWmR5-c/edit?usp=share_link"",""ยะลา!J293"")+IMPORTRANGE(""https://docs.google.com/spreadsheets/d/1YiDIE7Klmt8osgdapRqYWNr7iPGFSsiJqq46S7PYRE0/edit?usp=share_link"",""ระนอง!J293"")+IMPORTRANGE(""https"&amp;"://docs.google.com/spreadsheets/d/16o_4B-V7AWw_6E93bSpXj_XxVv1oVQctk-B6z1dNEWU/edit?usp=share_link"",""สงขลา!J293"")+IMPORTRANGE(""https://docs.google.com/spreadsheets/d/16cywr71Fj4fA5OGRHsZh30ZG2gwJhMAQv69oVBzYHv0/edit?usp=share_link"",""สตูล!J293"")+IMP"&amp;"ORTRANGE(""https://docs.google.com/spreadsheets/d/1vO9Sws6kMtrVtyvrAJptINXjK8TFBoX9xLYOVK_C8bQ/edit?usp=share_link"",""สุราษฎร์ธานี!J293"")"),20)</f>
        <v>20</v>
      </c>
      <c r="K293" s="163">
        <f t="shared" ref="K293:K294" ca="1" si="156">IF(I293&gt;0,J293*100/I293,0)</f>
        <v>100</v>
      </c>
      <c r="L293" s="163"/>
      <c r="M293" s="163"/>
      <c r="N293" s="163"/>
      <c r="O293" s="163"/>
      <c r="P293" s="163"/>
    </row>
    <row r="294" spans="1:26" ht="20.25" customHeight="1">
      <c r="A294" s="378"/>
      <c r="B294" s="379"/>
      <c r="C294" s="379"/>
      <c r="D294" s="381"/>
      <c r="E294" s="422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IFERROR(__xludf.DUMMYFUNCTION("IMPORTRANGE(""https://docs.google.com/spreadsheets/d/1kC41EOXpGBFOW658Fs3oD8beYlym0-zO54WY-2Qnp9I/edit?usp=share_link"",""กระบี่!I294"")
+IMPORTRANGE(""https://docs.google.com/spreadsheets/d/1FbzMZY_f3MDiEuK7RpCQKrilJ_kpX0Wm7QBZ1L7EjIU/edit?usp=share_link"&amp;""",""ชุมพร!I294"")+IMPORTRANGE(""https://docs.google.com/spreadsheets/d/1v5sN-00LrXuhBxw4dkh2GrG_z4l5oAqOdJRBCsUyMaM/edit?usp=share_link"",""ตรัง!I294"")+IMPORTRANGE(""https://docs.google.com/spreadsheets/d/1T5rRTzFc79aSIvqnzkZNvwPstq829QYz_xALlO1Z0s8/edi"&amp;"t?usp=share_link"",""นครศรีธรรมราช!I294"")+IMPORTRANGE(""https://docs.google.com/spreadsheets/d/1BeghqumK0IvCmRd2QOy6_afsZq7ZtAGrSnVJy2u7WmY/edit?usp=share_link"",""นราธิวาส!I294"")+IMPORTRANGE(""https://docs.google.com/spreadsheets/d/1IwnW3-jjRf74MCLW-6P"&amp;"iFwMUffRQXZwZA7YM609NmRc/edit?usp=share_link"",""ปัตตานี!I294"")+IMPORTRANGE(""https://docs.google.com/spreadsheets/d/1vl4QWbWdFruual5o_wdo6ZSqXZ_it806oja4CctTLKs/edit?usp=share_link"",""พังงา!I294"")+IMPORTRANGE(""https://docs.google.com/spreadsheets/d/1"&amp;"b6QssHQp2FoAPSMKHOy273KNzAomaIKhtdlvuZ_zDNE/edit?usp=share_link"",""พัทลุง!I294"")+IMPORTRANGE(""https://docs.google.com/spreadsheets/d/1o7UZe4_OqlqtLDHrj01Z2YFRSZDf1DMy1n3XViHaxRc/edit?usp=share_link"",""ภูเก็ต!I294"")+IMPORTRANGE(""https://docs.google.c"&amp;"om/spreadsheets/d/1ctPm1vUzcUCPuOj9-eoHUD85PqINFqUB0TjdSWmR5-c/edit?usp=share_link"",""ยะลา!I294"")+IMPORTRANGE(""https://docs.google.com/spreadsheets/d/1YiDIE7Klmt8osgdapRqYWNr7iPGFSsiJqq46S7PYRE0/edit?usp=share_link"",""ระนอง!I294"")+IMPORTRANGE(""https"&amp;"://docs.google.com/spreadsheets/d/16o_4B-V7AWw_6E93bSpXj_XxVv1oVQctk-B6z1dNEWU/edit?usp=share_link"",""สงขลา!I294"")+IMPORTRANGE(""https://docs.google.com/spreadsheets/d/16cywr71Fj4fA5OGRHsZh30ZG2gwJhMAQv69oVBzYHv0/edit?usp=share_link"",""สตูล!I294"")+IMP"&amp;"ORTRANGE(""https://docs.google.com/spreadsheets/d/1vO9Sws6kMtrVtyvrAJptINXjK8TFBoX9xLYOVK_C8bQ/edit?usp=share_link"",""สุราษฎร์ธานี!I294"")"),20)</f>
        <v>20</v>
      </c>
      <c r="J294" s="425">
        <f ca="1">IFERROR(__xludf.DUMMYFUNCTION("IMPORTRANGE(""https://docs.google.com/spreadsheets/d/1kC41EOXpGBFOW658Fs3oD8beYlym0-zO54WY-2Qnp9I/edit?usp=share_link"",""กระบี่!J294"")
+IMPORTRANGE(""https://docs.google.com/spreadsheets/d/1FbzMZY_f3MDiEuK7RpCQKrilJ_kpX0Wm7QBZ1L7EjIU/edit?usp=share_link"&amp;""",""ชุมพร!J294"")+IMPORTRANGE(""https://docs.google.com/spreadsheets/d/1v5sN-00LrXuhBxw4dkh2GrG_z4l5oAqOdJRBCsUyMaM/edit?usp=share_link"",""ตรัง!J294"")+IMPORTRANGE(""https://docs.google.com/spreadsheets/d/1T5rRTzFc79aSIvqnzkZNvwPstq829QYz_xALlO1Z0s8/edi"&amp;"t?usp=share_link"",""นครศรีธรรมราช!J294"")+IMPORTRANGE(""https://docs.google.com/spreadsheets/d/1BeghqumK0IvCmRd2QOy6_afsZq7ZtAGrSnVJy2u7WmY/edit?usp=share_link"",""นราธิวาส!J294"")+IMPORTRANGE(""https://docs.google.com/spreadsheets/d/1IwnW3-jjRf74MCLW-6P"&amp;"iFwMUffRQXZwZA7YM609NmRc/edit?usp=share_link"",""ปัตตานี!J294"")+IMPORTRANGE(""https://docs.google.com/spreadsheets/d/1vl4QWbWdFruual5o_wdo6ZSqXZ_it806oja4CctTLKs/edit?usp=share_link"",""พังงา!J294"")+IMPORTRANGE(""https://docs.google.com/spreadsheets/d/1"&amp;"b6QssHQp2FoAPSMKHOy273KNzAomaIKhtdlvuZ_zDNE/edit?usp=share_link"",""พัทลุง!J294"")+IMPORTRANGE(""https://docs.google.com/spreadsheets/d/1o7UZe4_OqlqtLDHrj01Z2YFRSZDf1DMy1n3XViHaxRc/edit?usp=share_link"",""ภูเก็ต!J294"")+IMPORTRANGE(""https://docs.google.c"&amp;"om/spreadsheets/d/1ctPm1vUzcUCPuOj9-eoHUD85PqINFqUB0TjdSWmR5-c/edit?usp=share_link"",""ยะลา!J294"")+IMPORTRANGE(""https://docs.google.com/spreadsheets/d/1YiDIE7Klmt8osgdapRqYWNr7iPGFSsiJqq46S7PYRE0/edit?usp=share_link"",""ระนอง!J294"")+IMPORTRANGE(""https"&amp;"://docs.google.com/spreadsheets/d/16o_4B-V7AWw_6E93bSpXj_XxVv1oVQctk-B6z1dNEWU/edit?usp=share_link"",""สงขลา!J294"")+IMPORTRANGE(""https://docs.google.com/spreadsheets/d/16cywr71Fj4fA5OGRHsZh30ZG2gwJhMAQv69oVBzYHv0/edit?usp=share_link"",""สตูล!J294"")+IMP"&amp;"ORTRANGE(""https://docs.google.com/spreadsheets/d/1vO9Sws6kMtrVtyvrAJptINXjK8TFBoX9xLYOVK_C8bQ/edit?usp=share_link"",""สุราษฎร์ธานี!J294"")"),20)</f>
        <v>20</v>
      </c>
      <c r="K294" s="385">
        <f t="shared" ca="1" si="156"/>
        <v>100</v>
      </c>
      <c r="L294" s="385"/>
      <c r="M294" s="385"/>
      <c r="N294" s="385"/>
      <c r="O294" s="385"/>
      <c r="P294" s="385"/>
    </row>
    <row r="295" spans="1:26" ht="20.25" customHeight="1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20.25" customHeight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20.25" customHeight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57">I309</f>
        <v>100</v>
      </c>
      <c r="J297" s="445">
        <f t="shared" ca="1" si="157"/>
        <v>100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20.25" customHeight="1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8">L299+L300</f>
        <v>412000</v>
      </c>
      <c r="M298" s="155">
        <f t="shared" ca="1" si="158"/>
        <v>322000</v>
      </c>
      <c r="N298" s="155">
        <f t="shared" ca="1" si="158"/>
        <v>251625</v>
      </c>
      <c r="O298" s="155">
        <f t="shared" ref="O298:O306" ca="1" si="159">IF(L298&gt;0,N298*100/L298,0)</f>
        <v>61.074029126213595</v>
      </c>
      <c r="P298" s="155">
        <f t="shared" ref="P298:P306" ca="1" si="160">IF(M298&gt;0,N298*100/M298,0)</f>
        <v>78.144409937888199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20.25" hidden="1" customHeight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1">L302+L305</f>
        <v>0</v>
      </c>
      <c r="M299" s="45">
        <f t="shared" si="161"/>
        <v>0</v>
      </c>
      <c r="N299" s="45">
        <f t="shared" si="161"/>
        <v>0</v>
      </c>
      <c r="O299" s="45">
        <f t="shared" si="159"/>
        <v>0</v>
      </c>
      <c r="P299" s="45">
        <f t="shared" si="160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20.25" hidden="1" customHeight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2">L303+L306</f>
        <v>412000</v>
      </c>
      <c r="M300" s="45">
        <f t="shared" ca="1" si="162"/>
        <v>322000</v>
      </c>
      <c r="N300" s="45">
        <f t="shared" ca="1" si="162"/>
        <v>251625</v>
      </c>
      <c r="O300" s="45">
        <f t="shared" ca="1" si="159"/>
        <v>61.074029126213595</v>
      </c>
      <c r="P300" s="45">
        <f t="shared" ca="1" si="160"/>
        <v>78.144409937888199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20.25" customHeight="1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3">L302+L303</f>
        <v>412000</v>
      </c>
      <c r="M301" s="38">
        <f t="shared" ca="1" si="163"/>
        <v>322000</v>
      </c>
      <c r="N301" s="38">
        <f t="shared" ca="1" si="163"/>
        <v>251625</v>
      </c>
      <c r="O301" s="38">
        <f t="shared" ca="1" si="159"/>
        <v>61.074029126213595</v>
      </c>
      <c r="P301" s="38">
        <f t="shared" ca="1" si="160"/>
        <v>78.144409937888199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20.25" hidden="1" customHeight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59"/>
        <v>0</v>
      </c>
      <c r="P302" s="45">
        <f t="shared" si="160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20.25" hidden="1" customHeight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IFERROR(__xludf.DUMMYFUNCTION("IMPORTRANGE(""https://docs.google.com/spreadsheets/d/1kC41EOXpGBFOW658Fs3oD8beYlym0-zO54WY-2Qnp9I/edit?usp=share_link"",""กระบี่!L303"")
+IMPORTRANGE(""https://docs.google.com/spreadsheets/d/1FbzMZY_f3MDiEuK7RpCQKrilJ_kpX0Wm7QBZ1L7EjIU/edit?usp=share_link"&amp;""",""ชุมพร!L303"")+IMPORTRANGE(""https://docs.google.com/spreadsheets/d/1v5sN-00LrXuhBxw4dkh2GrG_z4l5oAqOdJRBCsUyMaM/edit?usp=share_link"",""ตรัง!L303"")+IMPORTRANGE(""https://docs.google.com/spreadsheets/d/1T5rRTzFc79aSIvqnzkZNvwPstq829QYz_xALlO1Z0s8/edi"&amp;"t?usp=share_link"",""นครศรีธรรมราช!L303"")+IMPORTRANGE(""https://docs.google.com/spreadsheets/d/1BeghqumK0IvCmRd2QOy6_afsZq7ZtAGrSnVJy2u7WmY/edit?usp=share_link"",""นราธิวาส!L303"")+IMPORTRANGE(""https://docs.google.com/spreadsheets/d/1IwnW3-jjRf74MCLW-6P"&amp;"iFwMUffRQXZwZA7YM609NmRc/edit?usp=share_link"",""ปัตตานี!L303"")+IMPORTRANGE(""https://docs.google.com/spreadsheets/d/1vl4QWbWdFruual5o_wdo6ZSqXZ_it806oja4CctTLKs/edit?usp=share_link"",""พังงา!L303"")+IMPORTRANGE(""https://docs.google.com/spreadsheets/d/1"&amp;"b6QssHQp2FoAPSMKHOy273KNzAomaIKhtdlvuZ_zDNE/edit?usp=share_link"",""พัทลุง!L303"")+IMPORTRANGE(""https://docs.google.com/spreadsheets/d/1o7UZe4_OqlqtLDHrj01Z2YFRSZDf1DMy1n3XViHaxRc/edit?usp=share_link"",""ภูเก็ต!L303"")+IMPORTRANGE(""https://docs.google.c"&amp;"om/spreadsheets/d/1ctPm1vUzcUCPuOj9-eoHUD85PqINFqUB0TjdSWmR5-c/edit?usp=share_link"",""ยะลา!L303"")+IMPORTRANGE(""https://docs.google.com/spreadsheets/d/1YiDIE7Klmt8osgdapRqYWNr7iPGFSsiJqq46S7PYRE0/edit?usp=share_link"",""ระนอง!L303"")+IMPORTRANGE(""https"&amp;"://docs.google.com/spreadsheets/d/16o_4B-V7AWw_6E93bSpXj_XxVv1oVQctk-B6z1dNEWU/edit?usp=share_link"",""สงขลา!L303"")+IMPORTRANGE(""https://docs.google.com/spreadsheets/d/16cywr71Fj4fA5OGRHsZh30ZG2gwJhMAQv69oVBzYHv0/edit?usp=share_link"",""สตูล!L303"")+IMP"&amp;"ORTRANGE(""https://docs.google.com/spreadsheets/d/1vO9Sws6kMtrVtyvrAJptINXjK8TFBoX9xLYOVK_C8bQ/edit?usp=share_link"",""สุราษฎร์ธานี!L303"")"),412000)</f>
        <v>412000</v>
      </c>
      <c r="M303" s="45">
        <f ca="1">IFERROR(__xludf.DUMMYFUNCTION("IMPORTRANGE(""https://docs.google.com/spreadsheets/d/1kC41EOXpGBFOW658Fs3oD8beYlym0-zO54WY-2Qnp9I/edit?usp=share_link"",""กระบี่!M303"")
+IMPORTRANGE(""https://docs.google.com/spreadsheets/d/1FbzMZY_f3MDiEuK7RpCQKrilJ_kpX0Wm7QBZ1L7EjIU/edit?usp=share_link"&amp;""",""ชุมพร!M303"")+IMPORTRANGE(""https://docs.google.com/spreadsheets/d/1v5sN-00LrXuhBxw4dkh2GrG_z4l5oAqOdJRBCsUyMaM/edit?usp=share_link"",""ตรัง!M303"")+IMPORTRANGE(""https://docs.google.com/spreadsheets/d/1T5rRTzFc79aSIvqnzkZNvwPstq829QYz_xALlO1Z0s8/edi"&amp;"t?usp=share_link"",""นครศรีธรรมราช!M303"")+IMPORTRANGE(""https://docs.google.com/spreadsheets/d/1BeghqumK0IvCmRd2QOy6_afsZq7ZtAGrSnVJy2u7WmY/edit?usp=share_link"",""นราธิวาส!M303"")+IMPORTRANGE(""https://docs.google.com/spreadsheets/d/1IwnW3-jjRf74MCLW-6P"&amp;"iFwMUffRQXZwZA7YM609NmRc/edit?usp=share_link"",""ปัตตานี!M303"")+IMPORTRANGE(""https://docs.google.com/spreadsheets/d/1vl4QWbWdFruual5o_wdo6ZSqXZ_it806oja4CctTLKs/edit?usp=share_link"",""พังงา!M303"")+IMPORTRANGE(""https://docs.google.com/spreadsheets/d/1"&amp;"b6QssHQp2FoAPSMKHOy273KNzAomaIKhtdlvuZ_zDNE/edit?usp=share_link"",""พัทลุง!M303"")+IMPORTRANGE(""https://docs.google.com/spreadsheets/d/1o7UZe4_OqlqtLDHrj01Z2YFRSZDf1DMy1n3XViHaxRc/edit?usp=share_link"",""ภูเก็ต!M303"")+IMPORTRANGE(""https://docs.google.c"&amp;"om/spreadsheets/d/1ctPm1vUzcUCPuOj9-eoHUD85PqINFqUB0TjdSWmR5-c/edit?usp=share_link"",""ยะลา!M303"")+IMPORTRANGE(""https://docs.google.com/spreadsheets/d/1YiDIE7Klmt8osgdapRqYWNr7iPGFSsiJqq46S7PYRE0/edit?usp=share_link"",""ระนอง!M303"")+IMPORTRANGE(""https"&amp;"://docs.google.com/spreadsheets/d/16o_4B-V7AWw_6E93bSpXj_XxVv1oVQctk-B6z1dNEWU/edit?usp=share_link"",""สงขลา!M303"")+IMPORTRANGE(""https://docs.google.com/spreadsheets/d/16cywr71Fj4fA5OGRHsZh30ZG2gwJhMAQv69oVBzYHv0/edit?usp=share_link"",""สตูล!M303"")+IMP"&amp;"ORTRANGE(""https://docs.google.com/spreadsheets/d/1vO9Sws6kMtrVtyvrAJptINXjK8TFBoX9xLYOVK_C8bQ/edit?usp=share_link"",""สุราษฎร์ธานี!M303"")"),322000)</f>
        <v>322000</v>
      </c>
      <c r="N303" s="45">
        <f ca="1">IFERROR(__xludf.DUMMYFUNCTION("IMPORTRANGE(""https://docs.google.com/spreadsheets/d/1kC41EOXpGBFOW658Fs3oD8beYlym0-zO54WY-2Qnp9I/edit?usp=share_link"",""กระบี่!N303"")
+IMPORTRANGE(""https://docs.google.com/spreadsheets/d/1FbzMZY_f3MDiEuK7RpCQKrilJ_kpX0Wm7QBZ1L7EjIU/edit?usp=share_link"&amp;""",""ชุมพร!N303"")+IMPORTRANGE(""https://docs.google.com/spreadsheets/d/1v5sN-00LrXuhBxw4dkh2GrG_z4l5oAqOdJRBCsUyMaM/edit?usp=share_link"",""ตรัง!N303"")+IMPORTRANGE(""https://docs.google.com/spreadsheets/d/1T5rRTzFc79aSIvqnzkZNvwPstq829QYz_xALlO1Z0s8/edi"&amp;"t?usp=share_link"",""นครศรีธรรมราช!N303"")+IMPORTRANGE(""https://docs.google.com/spreadsheets/d/1BeghqumK0IvCmRd2QOy6_afsZq7ZtAGrSnVJy2u7WmY/edit?usp=share_link"",""นราธิวาส!N303"")+IMPORTRANGE(""https://docs.google.com/spreadsheets/d/1IwnW3-jjRf74MCLW-6P"&amp;"iFwMUffRQXZwZA7YM609NmRc/edit?usp=share_link"",""ปัตตานี!N303"")+IMPORTRANGE(""https://docs.google.com/spreadsheets/d/1vl4QWbWdFruual5o_wdo6ZSqXZ_it806oja4CctTLKs/edit?usp=share_link"",""พังงา!N303"")+IMPORTRANGE(""https://docs.google.com/spreadsheets/d/1"&amp;"b6QssHQp2FoAPSMKHOy273KNzAomaIKhtdlvuZ_zDNE/edit?usp=share_link"",""พัทลุง!N303"")+IMPORTRANGE(""https://docs.google.com/spreadsheets/d/1o7UZe4_OqlqtLDHrj01Z2YFRSZDf1DMy1n3XViHaxRc/edit?usp=share_link"",""ภูเก็ต!N303"")+IMPORTRANGE(""https://docs.google.c"&amp;"om/spreadsheets/d/1ctPm1vUzcUCPuOj9-eoHUD85PqINFqUB0TjdSWmR5-c/edit?usp=share_link"",""ยะลา!N303"")+IMPORTRANGE(""https://docs.google.com/spreadsheets/d/1YiDIE7Klmt8osgdapRqYWNr7iPGFSsiJqq46S7PYRE0/edit?usp=share_link"",""ระนอง!N303"")+IMPORTRANGE(""https"&amp;"://docs.google.com/spreadsheets/d/16o_4B-V7AWw_6E93bSpXj_XxVv1oVQctk-B6z1dNEWU/edit?usp=share_link"",""สงขลา!N303"")+IMPORTRANGE(""https://docs.google.com/spreadsheets/d/16cywr71Fj4fA5OGRHsZh30ZG2gwJhMAQv69oVBzYHv0/edit?usp=share_link"",""สตูล!N303"")+IMP"&amp;"ORTRANGE(""https://docs.google.com/spreadsheets/d/1vO9Sws6kMtrVtyvrAJptINXjK8TFBoX9xLYOVK_C8bQ/edit?usp=share_link"",""สุราษฎร์ธานี!N303"")"),251625)</f>
        <v>251625</v>
      </c>
      <c r="O303" s="45">
        <f t="shared" ca="1" si="159"/>
        <v>61.074029126213595</v>
      </c>
      <c r="P303" s="45">
        <f t="shared" ca="1" si="160"/>
        <v>78.144409937888199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20.25" customHeight="1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4">L305+L306</f>
        <v>0</v>
      </c>
      <c r="M304" s="38">
        <f t="shared" ca="1" si="164"/>
        <v>0</v>
      </c>
      <c r="N304" s="38">
        <f t="shared" ca="1" si="164"/>
        <v>0</v>
      </c>
      <c r="O304" s="38">
        <f t="shared" ca="1" si="159"/>
        <v>0</v>
      </c>
      <c r="P304" s="38">
        <f t="shared" ca="1" si="160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20.25" hidden="1" customHeight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59"/>
        <v>0</v>
      </c>
      <c r="P305" s="45">
        <f t="shared" si="160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20.25" hidden="1" customHeight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IFERROR(__xludf.DUMMYFUNCTION("IMPORTRANGE(""https://docs.google.com/spreadsheets/d/1kC41EOXpGBFOW658Fs3oD8beYlym0-zO54WY-2Qnp9I/edit?usp=share_link"",""กระบี่!L306"")
+IMPORTRANGE(""https://docs.google.com/spreadsheets/d/1FbzMZY_f3MDiEuK7RpCQKrilJ_kpX0Wm7QBZ1L7EjIU/edit?usp=share_link"&amp;""",""ชุมพร!L306"")+IMPORTRANGE(""https://docs.google.com/spreadsheets/d/1v5sN-00LrXuhBxw4dkh2GrG_z4l5oAqOdJRBCsUyMaM/edit?usp=share_link"",""ตรัง!L306"")+IMPORTRANGE(""https://docs.google.com/spreadsheets/d/1T5rRTzFc79aSIvqnzkZNvwPstq829QYz_xALlO1Z0s8/edi"&amp;"t?usp=share_link"",""นครศรีธรรมราช!L306"")+IMPORTRANGE(""https://docs.google.com/spreadsheets/d/1BeghqumK0IvCmRd2QOy6_afsZq7ZtAGrSnVJy2u7WmY/edit?usp=share_link"",""นราธิวาส!L306"")+IMPORTRANGE(""https://docs.google.com/spreadsheets/d/1IwnW3-jjRf74MCLW-6P"&amp;"iFwMUffRQXZwZA7YM609NmRc/edit?usp=share_link"",""ปัตตานี!L306"")+IMPORTRANGE(""https://docs.google.com/spreadsheets/d/1vl4QWbWdFruual5o_wdo6ZSqXZ_it806oja4CctTLKs/edit?usp=share_link"",""พังงา!L306"")+IMPORTRANGE(""https://docs.google.com/spreadsheets/d/1"&amp;"b6QssHQp2FoAPSMKHOy273KNzAomaIKhtdlvuZ_zDNE/edit?usp=share_link"",""พัทลุง!L306"")+IMPORTRANGE(""https://docs.google.com/spreadsheets/d/1o7UZe4_OqlqtLDHrj01Z2YFRSZDf1DMy1n3XViHaxRc/edit?usp=share_link"",""ภูเก็ต!L306"")+IMPORTRANGE(""https://docs.google.c"&amp;"om/spreadsheets/d/1ctPm1vUzcUCPuOj9-eoHUD85PqINFqUB0TjdSWmR5-c/edit?usp=share_link"",""ยะลา!L306"")+IMPORTRANGE(""https://docs.google.com/spreadsheets/d/1YiDIE7Klmt8osgdapRqYWNr7iPGFSsiJqq46S7PYRE0/edit?usp=share_link"",""ระนอง!L306"")+IMPORTRANGE(""https"&amp;"://docs.google.com/spreadsheets/d/16o_4B-V7AWw_6E93bSpXj_XxVv1oVQctk-B6z1dNEWU/edit?usp=share_link"",""สงขลา!L306"")+IMPORTRANGE(""https://docs.google.com/spreadsheets/d/16cywr71Fj4fA5OGRHsZh30ZG2gwJhMAQv69oVBzYHv0/edit?usp=share_link"",""สตูล!L306"")+IMP"&amp;"ORTRANGE(""https://docs.google.com/spreadsheets/d/1vO9Sws6kMtrVtyvrAJptINXjK8TFBoX9xLYOVK_C8bQ/edit?usp=share_link"",""สุราษฎร์ธานี!L306"")"),0)</f>
        <v>0</v>
      </c>
      <c r="M306" s="45">
        <f ca="1">IFERROR(__xludf.DUMMYFUNCTION("IMPORTRANGE(""https://docs.google.com/spreadsheets/d/1kC41EOXpGBFOW658Fs3oD8beYlym0-zO54WY-2Qnp9I/edit?usp=share_link"",""กระบี่!M306"")
+IMPORTRANGE(""https://docs.google.com/spreadsheets/d/1FbzMZY_f3MDiEuK7RpCQKrilJ_kpX0Wm7QBZ1L7EjIU/edit?usp=share_link"&amp;""",""ชุมพร!M306"")+IMPORTRANGE(""https://docs.google.com/spreadsheets/d/1v5sN-00LrXuhBxw4dkh2GrG_z4l5oAqOdJRBCsUyMaM/edit?usp=share_link"",""ตรัง!M306"")+IMPORTRANGE(""https://docs.google.com/spreadsheets/d/1T5rRTzFc79aSIvqnzkZNvwPstq829QYz_xALlO1Z0s8/edi"&amp;"t?usp=share_link"",""นครศรีธรรมราช!M306"")+IMPORTRANGE(""https://docs.google.com/spreadsheets/d/1BeghqumK0IvCmRd2QOy6_afsZq7ZtAGrSnVJy2u7WmY/edit?usp=share_link"",""นราธิวาส!M306"")+IMPORTRANGE(""https://docs.google.com/spreadsheets/d/1IwnW3-jjRf74MCLW-6P"&amp;"iFwMUffRQXZwZA7YM609NmRc/edit?usp=share_link"",""ปัตตานี!M306"")+IMPORTRANGE(""https://docs.google.com/spreadsheets/d/1vl4QWbWdFruual5o_wdo6ZSqXZ_it806oja4CctTLKs/edit?usp=share_link"",""พังงา!M306"")+IMPORTRANGE(""https://docs.google.com/spreadsheets/d/1"&amp;"b6QssHQp2FoAPSMKHOy273KNzAomaIKhtdlvuZ_zDNE/edit?usp=share_link"",""พัทลุง!M306"")+IMPORTRANGE(""https://docs.google.com/spreadsheets/d/1o7UZe4_OqlqtLDHrj01Z2YFRSZDf1DMy1n3XViHaxRc/edit?usp=share_link"",""ภูเก็ต!M306"")+IMPORTRANGE(""https://docs.google.c"&amp;"om/spreadsheets/d/1ctPm1vUzcUCPuOj9-eoHUD85PqINFqUB0TjdSWmR5-c/edit?usp=share_link"",""ยะลา!M306"")+IMPORTRANGE(""https://docs.google.com/spreadsheets/d/1YiDIE7Klmt8osgdapRqYWNr7iPGFSsiJqq46S7PYRE0/edit?usp=share_link"",""ระนอง!M306"")+IMPORTRANGE(""https"&amp;"://docs.google.com/spreadsheets/d/16o_4B-V7AWw_6E93bSpXj_XxVv1oVQctk-B6z1dNEWU/edit?usp=share_link"",""สงขลา!M306"")+IMPORTRANGE(""https://docs.google.com/spreadsheets/d/16cywr71Fj4fA5OGRHsZh30ZG2gwJhMAQv69oVBzYHv0/edit?usp=share_link"",""สตูล!M306"")+IMP"&amp;"ORTRANGE(""https://docs.google.com/spreadsheets/d/1vO9Sws6kMtrVtyvrAJptINXjK8TFBoX9xLYOVK_C8bQ/edit?usp=share_link"",""สุราษฎร์ธานี!M306"")"),0)</f>
        <v>0</v>
      </c>
      <c r="N306" s="45">
        <f ca="1">IFERROR(__xludf.DUMMYFUNCTION("IMPORTRANGE(""https://docs.google.com/spreadsheets/d/1kC41EOXpGBFOW658Fs3oD8beYlym0-zO54WY-2Qnp9I/edit?usp=share_link"",""กระบี่!N306"")
+IMPORTRANGE(""https://docs.google.com/spreadsheets/d/1FbzMZY_f3MDiEuK7RpCQKrilJ_kpX0Wm7QBZ1L7EjIU/edit?usp=share_link"&amp;""",""ชุมพร!N306"")+IMPORTRANGE(""https://docs.google.com/spreadsheets/d/1v5sN-00LrXuhBxw4dkh2GrG_z4l5oAqOdJRBCsUyMaM/edit?usp=share_link"",""ตรัง!N306"")+IMPORTRANGE(""https://docs.google.com/spreadsheets/d/1T5rRTzFc79aSIvqnzkZNvwPstq829QYz_xALlO1Z0s8/edi"&amp;"t?usp=share_link"",""นครศรีธรรมราช!N306"")+IMPORTRANGE(""https://docs.google.com/spreadsheets/d/1BeghqumK0IvCmRd2QOy6_afsZq7ZtAGrSnVJy2u7WmY/edit?usp=share_link"",""นราธิวาส!N306"")+IMPORTRANGE(""https://docs.google.com/spreadsheets/d/1IwnW3-jjRf74MCLW-6P"&amp;"iFwMUffRQXZwZA7YM609NmRc/edit?usp=share_link"",""ปัตตานี!N306"")+IMPORTRANGE(""https://docs.google.com/spreadsheets/d/1vl4QWbWdFruual5o_wdo6ZSqXZ_it806oja4CctTLKs/edit?usp=share_link"",""พังงา!N306"")+IMPORTRANGE(""https://docs.google.com/spreadsheets/d/1"&amp;"b6QssHQp2FoAPSMKHOy273KNzAomaIKhtdlvuZ_zDNE/edit?usp=share_link"",""พัทลุง!N306"")+IMPORTRANGE(""https://docs.google.com/spreadsheets/d/1o7UZe4_OqlqtLDHrj01Z2YFRSZDf1DMy1n3XViHaxRc/edit?usp=share_link"",""ภูเก็ต!N306"")+IMPORTRANGE(""https://docs.google.c"&amp;"om/spreadsheets/d/1ctPm1vUzcUCPuOj9-eoHUD85PqINFqUB0TjdSWmR5-c/edit?usp=share_link"",""ยะลา!N306"")+IMPORTRANGE(""https://docs.google.com/spreadsheets/d/1YiDIE7Klmt8osgdapRqYWNr7iPGFSsiJqq46S7PYRE0/edit?usp=share_link"",""ระนอง!N306"")+IMPORTRANGE(""https"&amp;"://docs.google.com/spreadsheets/d/16o_4B-V7AWw_6E93bSpXj_XxVv1oVQctk-B6z1dNEWU/edit?usp=share_link"",""สงขลา!N306"")+IMPORTRANGE(""https://docs.google.com/spreadsheets/d/16cywr71Fj4fA5OGRHsZh30ZG2gwJhMAQv69oVBzYHv0/edit?usp=share_link"",""สตูล!N306"")+IMP"&amp;"ORTRANGE(""https://docs.google.com/spreadsheets/d/1vO9Sws6kMtrVtyvrAJptINXjK8TFBoX9xLYOVK_C8bQ/edit?usp=share_link"",""สุราษฎร์ธานี!N306"")"),0)</f>
        <v>0</v>
      </c>
      <c r="O306" s="45">
        <f t="shared" ca="1" si="159"/>
        <v>0</v>
      </c>
      <c r="P306" s="45">
        <f t="shared" ca="1" si="160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20.25" customHeight="1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20.25" customHeight="1">
      <c r="A308" s="170"/>
      <c r="B308" s="171"/>
      <c r="C308" s="171"/>
      <c r="D308" s="448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IFERROR(__xludf.DUMMYFUNCTION("IMPORTRANGE(""https://docs.google.com/spreadsheets/d/1kC41EOXpGBFOW658Fs3oD8beYlym0-zO54WY-2Qnp9I/edit?usp=share_link"",""กระบี่!J308"")
+IMPORTRANGE(""https://docs.google.com/spreadsheets/d/1FbzMZY_f3MDiEuK7RpCQKrilJ_kpX0Wm7QBZ1L7EjIU/edit?usp=share_link"&amp;""",""ชุมพร!J308"")+IMPORTRANGE(""https://docs.google.com/spreadsheets/d/1v5sN-00LrXuhBxw4dkh2GrG_z4l5oAqOdJRBCsUyMaM/edit?usp=share_link"",""ตรัง!J308"")+IMPORTRANGE(""https://docs.google.com/spreadsheets/d/1T5rRTzFc79aSIvqnzkZNvwPstq829QYz_xALlO1Z0s8/edi"&amp;"t?usp=share_link"",""นครศรีธรรมราช!J308"")+IMPORTRANGE(""https://docs.google.com/spreadsheets/d/1BeghqumK0IvCmRd2QOy6_afsZq7ZtAGrSnVJy2u7WmY/edit?usp=share_link"",""นราธิวาส!J308"")+IMPORTRANGE(""https://docs.google.com/spreadsheets/d/1IwnW3-jjRf74MCLW-6P"&amp;"iFwMUffRQXZwZA7YM609NmRc/edit?usp=share_link"",""ปัตตานี!J308"")+IMPORTRANGE(""https://docs.google.com/spreadsheets/d/1vl4QWbWdFruual5o_wdo6ZSqXZ_it806oja4CctTLKs/edit?usp=share_link"",""พังงา!J308"")+IMPORTRANGE(""https://docs.google.com/spreadsheets/d/1"&amp;"b6QssHQp2FoAPSMKHOy273KNzAomaIKhtdlvuZ_zDNE/edit?usp=share_link"",""พัทลุง!J308"")+IMPORTRANGE(""https://docs.google.com/spreadsheets/d/1o7UZe4_OqlqtLDHrj01Z2YFRSZDf1DMy1n3XViHaxRc/edit?usp=share_link"",""ภูเก็ต!J308"")+IMPORTRANGE(""https://docs.google.c"&amp;"om/spreadsheets/d/1ctPm1vUzcUCPuOj9-eoHUD85PqINFqUB0TjdSWmR5-c/edit?usp=share_link"",""ยะลา!J308"")+IMPORTRANGE(""https://docs.google.com/spreadsheets/d/1YiDIE7Klmt8osgdapRqYWNr7iPGFSsiJqq46S7PYRE0/edit?usp=share_link"",""ระนอง!J308"")+IMPORTRANGE(""https"&amp;"://docs.google.com/spreadsheets/d/16o_4B-V7AWw_6E93bSpXj_XxVv1oVQctk-B6z1dNEWU/edit?usp=share_link"",""สงขลา!J308"")+IMPORTRANGE(""https://docs.google.com/spreadsheets/d/16cywr71Fj4fA5OGRHsZh30ZG2gwJhMAQv69oVBzYHv0/edit?usp=share_link"",""สตูล!J308"")+IMP"&amp;"ORTRANGE(""https://docs.google.com/spreadsheets/d/1vO9Sws6kMtrVtyvrAJptINXjK8TFBoX9xLYOVK_C8bQ/edit?usp=share_link"",""สุราษฎร์ธานี!J308"")"),3)</f>
        <v>3</v>
      </c>
      <c r="K308" s="38"/>
      <c r="L308" s="38"/>
      <c r="M308" s="38"/>
      <c r="N308" s="38"/>
      <c r="O308" s="38"/>
      <c r="P308" s="38"/>
    </row>
    <row r="309" spans="1:26" ht="20.25" customHeight="1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IFERROR(__xludf.DUMMYFUNCTION("IMPORTRANGE(""https://docs.google.com/spreadsheets/d/1kC41EOXpGBFOW658Fs3oD8beYlym0-zO54WY-2Qnp9I/edit?usp=share_link"",""กระบี่!I309"")
+IMPORTRANGE(""https://docs.google.com/spreadsheets/d/1FbzMZY_f3MDiEuK7RpCQKrilJ_kpX0Wm7QBZ1L7EjIU/edit?usp=share_link"&amp;""",""ชุมพร!I309"")+IMPORTRANGE(""https://docs.google.com/spreadsheets/d/1v5sN-00LrXuhBxw4dkh2GrG_z4l5oAqOdJRBCsUyMaM/edit?usp=share_link"",""ตรัง!I309"")+IMPORTRANGE(""https://docs.google.com/spreadsheets/d/1T5rRTzFc79aSIvqnzkZNvwPstq829QYz_xALlO1Z0s8/edi"&amp;"t?usp=share_link"",""นครศรีธรรมราช!I309"")+IMPORTRANGE(""https://docs.google.com/spreadsheets/d/1BeghqumK0IvCmRd2QOy6_afsZq7ZtAGrSnVJy2u7WmY/edit?usp=share_link"",""นราธิวาส!I309"")+IMPORTRANGE(""https://docs.google.com/spreadsheets/d/1IwnW3-jjRf74MCLW-6P"&amp;"iFwMUffRQXZwZA7YM609NmRc/edit?usp=share_link"",""ปัตตานี!I309"")+IMPORTRANGE(""https://docs.google.com/spreadsheets/d/1vl4QWbWdFruual5o_wdo6ZSqXZ_it806oja4CctTLKs/edit?usp=share_link"",""พังงา!I309"")+IMPORTRANGE(""https://docs.google.com/spreadsheets/d/1"&amp;"b6QssHQp2FoAPSMKHOy273KNzAomaIKhtdlvuZ_zDNE/edit?usp=share_link"",""พัทลุง!I309"")+IMPORTRANGE(""https://docs.google.com/spreadsheets/d/1o7UZe4_OqlqtLDHrj01Z2YFRSZDf1DMy1n3XViHaxRc/edit?usp=share_link"",""ภูเก็ต!I309"")+IMPORTRANGE(""https://docs.google.c"&amp;"om/spreadsheets/d/1ctPm1vUzcUCPuOj9-eoHUD85PqINFqUB0TjdSWmR5-c/edit?usp=share_link"",""ยะลา!I309"")+IMPORTRANGE(""https://docs.google.com/spreadsheets/d/1YiDIE7Klmt8osgdapRqYWNr7iPGFSsiJqq46S7PYRE0/edit?usp=share_link"",""ระนอง!I309"")+IMPORTRANGE(""https"&amp;"://docs.google.com/spreadsheets/d/16o_4B-V7AWw_6E93bSpXj_XxVv1oVQctk-B6z1dNEWU/edit?usp=share_link"",""สงขลา!I309"")+IMPORTRANGE(""https://docs.google.com/spreadsheets/d/16cywr71Fj4fA5OGRHsZh30ZG2gwJhMAQv69oVBzYHv0/edit?usp=share_link"",""สตูล!I309"")+IMP"&amp;"ORTRANGE(""https://docs.google.com/spreadsheets/d/1vO9Sws6kMtrVtyvrAJptINXjK8TFBoX9xLYOVK_C8bQ/edit?usp=share_link"",""สุราษฎร์ธานี!I309"")"),100)</f>
        <v>100</v>
      </c>
      <c r="J309" s="183">
        <f ca="1">IFERROR(__xludf.DUMMYFUNCTION("IMPORTRANGE(""https://docs.google.com/spreadsheets/d/1kC41EOXpGBFOW658Fs3oD8beYlym0-zO54WY-2Qnp9I/edit?usp=share_link"",""กระบี่!J309"")
+IMPORTRANGE(""https://docs.google.com/spreadsheets/d/1FbzMZY_f3MDiEuK7RpCQKrilJ_kpX0Wm7QBZ1L7EjIU/edit?usp=share_link"&amp;""",""ชุมพร!J309"")+IMPORTRANGE(""https://docs.google.com/spreadsheets/d/1v5sN-00LrXuhBxw4dkh2GrG_z4l5oAqOdJRBCsUyMaM/edit?usp=share_link"",""ตรัง!J309"")+IMPORTRANGE(""https://docs.google.com/spreadsheets/d/1T5rRTzFc79aSIvqnzkZNvwPstq829QYz_xALlO1Z0s8/edi"&amp;"t?usp=share_link"",""นครศรีธรรมราช!J309"")+IMPORTRANGE(""https://docs.google.com/spreadsheets/d/1BeghqumK0IvCmRd2QOy6_afsZq7ZtAGrSnVJy2u7WmY/edit?usp=share_link"",""นราธิวาส!J309"")+IMPORTRANGE(""https://docs.google.com/spreadsheets/d/1IwnW3-jjRf74MCLW-6P"&amp;"iFwMUffRQXZwZA7YM609NmRc/edit?usp=share_link"",""ปัตตานี!J309"")+IMPORTRANGE(""https://docs.google.com/spreadsheets/d/1vl4QWbWdFruual5o_wdo6ZSqXZ_it806oja4CctTLKs/edit?usp=share_link"",""พังงา!J309"")+IMPORTRANGE(""https://docs.google.com/spreadsheets/d/1"&amp;"b6QssHQp2FoAPSMKHOy273KNzAomaIKhtdlvuZ_zDNE/edit?usp=share_link"",""พัทลุง!J309"")+IMPORTRANGE(""https://docs.google.com/spreadsheets/d/1o7UZe4_OqlqtLDHrj01Z2YFRSZDf1DMy1n3XViHaxRc/edit?usp=share_link"",""ภูเก็ต!J309"")+IMPORTRANGE(""https://docs.google.c"&amp;"om/spreadsheets/d/1ctPm1vUzcUCPuOj9-eoHUD85PqINFqUB0TjdSWmR5-c/edit?usp=share_link"",""ยะลา!J309"")+IMPORTRANGE(""https://docs.google.com/spreadsheets/d/1YiDIE7Klmt8osgdapRqYWNr7iPGFSsiJqq46S7PYRE0/edit?usp=share_link"",""ระนอง!J309"")+IMPORTRANGE(""https"&amp;"://docs.google.com/spreadsheets/d/16o_4B-V7AWw_6E93bSpXj_XxVv1oVQctk-B6z1dNEWU/edit?usp=share_link"",""สงขลา!J309"")+IMPORTRANGE(""https://docs.google.com/spreadsheets/d/16cywr71Fj4fA5OGRHsZh30ZG2gwJhMAQv69oVBzYHv0/edit?usp=share_link"",""สตูล!J309"")+IMP"&amp;"ORTRANGE(""https://docs.google.com/spreadsheets/d/1vO9Sws6kMtrVtyvrAJptINXjK8TFBoX9xLYOVK_C8bQ/edit?usp=share_link"",""สุราษฎร์ธานี!J309"")"),100)</f>
        <v>100</v>
      </c>
      <c r="K309" s="38">
        <f t="shared" ref="K309:K312" ca="1" si="165">IF(I309&gt;0,J309*100/I309,0)</f>
        <v>100</v>
      </c>
      <c r="L309" s="38"/>
      <c r="M309" s="38"/>
      <c r="N309" s="38"/>
      <c r="O309" s="38"/>
      <c r="P309" s="38"/>
    </row>
    <row r="310" spans="1:26" ht="20.25" customHeight="1">
      <c r="A310" s="170"/>
      <c r="B310" s="171"/>
      <c r="C310" s="171"/>
      <c r="D310" s="448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IFERROR(__xludf.DUMMYFUNCTION("IMPORTRANGE(""https://docs.google.com/spreadsheets/d/1kC41EOXpGBFOW658Fs3oD8beYlym0-zO54WY-2Qnp9I/edit?usp=share_link"",""กระบี่!I310"")
+IMPORTRANGE(""https://docs.google.com/spreadsheets/d/1FbzMZY_f3MDiEuK7RpCQKrilJ_kpX0Wm7QBZ1L7EjIU/edit?usp=share_link"&amp;""",""ชุมพร!I310"")+IMPORTRANGE(""https://docs.google.com/spreadsheets/d/1v5sN-00LrXuhBxw4dkh2GrG_z4l5oAqOdJRBCsUyMaM/edit?usp=share_link"",""ตรัง!I310"")+IMPORTRANGE(""https://docs.google.com/spreadsheets/d/1T5rRTzFc79aSIvqnzkZNvwPstq829QYz_xALlO1Z0s8/edi"&amp;"t?usp=share_link"",""นครศรีธรรมราช!I310"")+IMPORTRANGE(""https://docs.google.com/spreadsheets/d/1BeghqumK0IvCmRd2QOy6_afsZq7ZtAGrSnVJy2u7WmY/edit?usp=share_link"",""นราธิวาส!I310"")+IMPORTRANGE(""https://docs.google.com/spreadsheets/d/1IwnW3-jjRf74MCLW-6P"&amp;"iFwMUffRQXZwZA7YM609NmRc/edit?usp=share_link"",""ปัตตานี!I310"")+IMPORTRANGE(""https://docs.google.com/spreadsheets/d/1vl4QWbWdFruual5o_wdo6ZSqXZ_it806oja4CctTLKs/edit?usp=share_link"",""พังงา!I310"")+IMPORTRANGE(""https://docs.google.com/spreadsheets/d/1"&amp;"b6QssHQp2FoAPSMKHOy273KNzAomaIKhtdlvuZ_zDNE/edit?usp=share_link"",""พัทลุง!I310"")+IMPORTRANGE(""https://docs.google.com/spreadsheets/d/1o7UZe4_OqlqtLDHrj01Z2YFRSZDf1DMy1n3XViHaxRc/edit?usp=share_link"",""ภูเก็ต!I310"")+IMPORTRANGE(""https://docs.google.c"&amp;"om/spreadsheets/d/1ctPm1vUzcUCPuOj9-eoHUD85PqINFqUB0TjdSWmR5-c/edit?usp=share_link"",""ยะลา!I310"")+IMPORTRANGE(""https://docs.google.com/spreadsheets/d/1YiDIE7Klmt8osgdapRqYWNr7iPGFSsiJqq46S7PYRE0/edit?usp=share_link"",""ระนอง!I310"")+IMPORTRANGE(""https"&amp;"://docs.google.com/spreadsheets/d/16o_4B-V7AWw_6E93bSpXj_XxVv1oVQctk-B6z1dNEWU/edit?usp=share_link"",""สงขลา!I310"")+IMPORTRANGE(""https://docs.google.com/spreadsheets/d/16cywr71Fj4fA5OGRHsZh30ZG2gwJhMAQv69oVBzYHv0/edit?usp=share_link"",""สตูล!I310"")+IMP"&amp;"ORTRANGE(""https://docs.google.com/spreadsheets/d/1vO9Sws6kMtrVtyvrAJptINXjK8TFBoX9xLYOVK_C8bQ/edit?usp=share_link"",""สุราษฎร์ธานี!I310"")"),100)</f>
        <v>100</v>
      </c>
      <c r="J310" s="183">
        <f ca="1">IFERROR(__xludf.DUMMYFUNCTION("IMPORTRANGE(""https://docs.google.com/spreadsheets/d/1kC41EOXpGBFOW658Fs3oD8beYlym0-zO54WY-2Qnp9I/edit?usp=share_link"",""กระบี่!J310"")
+IMPORTRANGE(""https://docs.google.com/spreadsheets/d/1FbzMZY_f3MDiEuK7RpCQKrilJ_kpX0Wm7QBZ1L7EjIU/edit?usp=share_link"&amp;""",""ชุมพร!J310"")+IMPORTRANGE(""https://docs.google.com/spreadsheets/d/1v5sN-00LrXuhBxw4dkh2GrG_z4l5oAqOdJRBCsUyMaM/edit?usp=share_link"",""ตรัง!J310"")+IMPORTRANGE(""https://docs.google.com/spreadsheets/d/1T5rRTzFc79aSIvqnzkZNvwPstq829QYz_xALlO1Z0s8/edi"&amp;"t?usp=share_link"",""นครศรีธรรมราช!J310"")+IMPORTRANGE(""https://docs.google.com/spreadsheets/d/1BeghqumK0IvCmRd2QOy6_afsZq7ZtAGrSnVJy2u7WmY/edit?usp=share_link"",""นราธิวาส!J310"")+IMPORTRANGE(""https://docs.google.com/spreadsheets/d/1IwnW3-jjRf74MCLW-6P"&amp;"iFwMUffRQXZwZA7YM609NmRc/edit?usp=share_link"",""ปัตตานี!J310"")+IMPORTRANGE(""https://docs.google.com/spreadsheets/d/1vl4QWbWdFruual5o_wdo6ZSqXZ_it806oja4CctTLKs/edit?usp=share_link"",""พังงา!J310"")+IMPORTRANGE(""https://docs.google.com/spreadsheets/d/1"&amp;"b6QssHQp2FoAPSMKHOy273KNzAomaIKhtdlvuZ_zDNE/edit?usp=share_link"",""พัทลุง!J310"")+IMPORTRANGE(""https://docs.google.com/spreadsheets/d/1o7UZe4_OqlqtLDHrj01Z2YFRSZDf1DMy1n3XViHaxRc/edit?usp=share_link"",""ภูเก็ต!J310"")+IMPORTRANGE(""https://docs.google.c"&amp;"om/spreadsheets/d/1ctPm1vUzcUCPuOj9-eoHUD85PqINFqUB0TjdSWmR5-c/edit?usp=share_link"",""ยะลา!J310"")+IMPORTRANGE(""https://docs.google.com/spreadsheets/d/1YiDIE7Klmt8osgdapRqYWNr7iPGFSsiJqq46S7PYRE0/edit?usp=share_link"",""ระนอง!J310"")+IMPORTRANGE(""https"&amp;"://docs.google.com/spreadsheets/d/16o_4B-V7AWw_6E93bSpXj_XxVv1oVQctk-B6z1dNEWU/edit?usp=share_link"",""สงขลา!J310"")+IMPORTRANGE(""https://docs.google.com/spreadsheets/d/16cywr71Fj4fA5OGRHsZh30ZG2gwJhMAQv69oVBzYHv0/edit?usp=share_link"",""สตูล!J310"")+IMP"&amp;"ORTRANGE(""https://docs.google.com/spreadsheets/d/1vO9Sws6kMtrVtyvrAJptINXjK8TFBoX9xLYOVK_C8bQ/edit?usp=share_link"",""สุราษฎร์ธานี!J310"")"),80)</f>
        <v>80</v>
      </c>
      <c r="K310" s="38">
        <f t="shared" ca="1" si="165"/>
        <v>80</v>
      </c>
      <c r="L310" s="38"/>
      <c r="M310" s="38"/>
      <c r="N310" s="38"/>
      <c r="O310" s="38"/>
      <c r="P310" s="38"/>
    </row>
    <row r="311" spans="1:26" ht="20.25" customHeight="1">
      <c r="A311" s="170"/>
      <c r="B311" s="171"/>
      <c r="C311" s="171"/>
      <c r="D311" s="448" t="s">
        <v>59</v>
      </c>
      <c r="E311" s="177"/>
      <c r="F311" s="177"/>
      <c r="G311" s="179"/>
      <c r="H311" s="449" t="s">
        <v>35</v>
      </c>
      <c r="I311" s="37">
        <f ca="1">IFERROR(__xludf.DUMMYFUNCTION("IMPORTRANGE(""https://docs.google.com/spreadsheets/d/1kC41EOXpGBFOW658Fs3oD8beYlym0-zO54WY-2Qnp9I/edit?usp=share_link"",""กระบี่!I311"")
+IMPORTRANGE(""https://docs.google.com/spreadsheets/d/1FbzMZY_f3MDiEuK7RpCQKrilJ_kpX0Wm7QBZ1L7EjIU/edit?usp=share_link"&amp;""",""ชุมพร!I311"")+IMPORTRANGE(""https://docs.google.com/spreadsheets/d/1v5sN-00LrXuhBxw4dkh2GrG_z4l5oAqOdJRBCsUyMaM/edit?usp=share_link"",""ตรัง!I311"")+IMPORTRANGE(""https://docs.google.com/spreadsheets/d/1T5rRTzFc79aSIvqnzkZNvwPstq829QYz_xALlO1Z0s8/edi"&amp;"t?usp=share_link"",""นครศรีธรรมราช!I311"")+IMPORTRANGE(""https://docs.google.com/spreadsheets/d/1BeghqumK0IvCmRd2QOy6_afsZq7ZtAGrSnVJy2u7WmY/edit?usp=share_link"",""นราธิวาส!I311"")+IMPORTRANGE(""https://docs.google.com/spreadsheets/d/1IwnW3-jjRf74MCLW-6P"&amp;"iFwMUffRQXZwZA7YM609NmRc/edit?usp=share_link"",""ปัตตานี!I311"")+IMPORTRANGE(""https://docs.google.com/spreadsheets/d/1vl4QWbWdFruual5o_wdo6ZSqXZ_it806oja4CctTLKs/edit?usp=share_link"",""พังงา!I311"")+IMPORTRANGE(""https://docs.google.com/spreadsheets/d/1"&amp;"b6QssHQp2FoAPSMKHOy273KNzAomaIKhtdlvuZ_zDNE/edit?usp=share_link"",""พัทลุง!I311"")+IMPORTRANGE(""https://docs.google.com/spreadsheets/d/1o7UZe4_OqlqtLDHrj01Z2YFRSZDf1DMy1n3XViHaxRc/edit?usp=share_link"",""ภูเก็ต!I311"")+IMPORTRANGE(""https://docs.google.c"&amp;"om/spreadsheets/d/1ctPm1vUzcUCPuOj9-eoHUD85PqINFqUB0TjdSWmR5-c/edit?usp=share_link"",""ยะลา!I311"")+IMPORTRANGE(""https://docs.google.com/spreadsheets/d/1YiDIE7Klmt8osgdapRqYWNr7iPGFSsiJqq46S7PYRE0/edit?usp=share_link"",""ระนอง!I311"")+IMPORTRANGE(""https"&amp;"://docs.google.com/spreadsheets/d/16o_4B-V7AWw_6E93bSpXj_XxVv1oVQctk-B6z1dNEWU/edit?usp=share_link"",""สงขลา!I311"")+IMPORTRANGE(""https://docs.google.com/spreadsheets/d/16cywr71Fj4fA5OGRHsZh30ZG2gwJhMAQv69oVBzYHv0/edit?usp=share_link"",""สตูล!I311"")+IMP"&amp;"ORTRANGE(""https://docs.google.com/spreadsheets/d/1vO9Sws6kMtrVtyvrAJptINXjK8TFBoX9xLYOVK_C8bQ/edit?usp=share_link"",""สุราษฎร์ธานี!I311"")"),100)</f>
        <v>100</v>
      </c>
      <c r="J311" s="183">
        <f ca="1">IFERROR(__xludf.DUMMYFUNCTION("IMPORTRANGE(""https://docs.google.com/spreadsheets/d/1kC41EOXpGBFOW658Fs3oD8beYlym0-zO54WY-2Qnp9I/edit?usp=share_link"",""กระบี่!J311"")
+IMPORTRANGE(""https://docs.google.com/spreadsheets/d/1FbzMZY_f3MDiEuK7RpCQKrilJ_kpX0Wm7QBZ1L7EjIU/edit?usp=share_link"&amp;""",""ชุมพร!J311"")+IMPORTRANGE(""https://docs.google.com/spreadsheets/d/1v5sN-00LrXuhBxw4dkh2GrG_z4l5oAqOdJRBCsUyMaM/edit?usp=share_link"",""ตรัง!J311"")+IMPORTRANGE(""https://docs.google.com/spreadsheets/d/1T5rRTzFc79aSIvqnzkZNvwPstq829QYz_xALlO1Z0s8/edi"&amp;"t?usp=share_link"",""นครศรีธรรมราช!J311"")+IMPORTRANGE(""https://docs.google.com/spreadsheets/d/1BeghqumK0IvCmRd2QOy6_afsZq7ZtAGrSnVJy2u7WmY/edit?usp=share_link"",""นราธิวาส!J311"")+IMPORTRANGE(""https://docs.google.com/spreadsheets/d/1IwnW3-jjRf74MCLW-6P"&amp;"iFwMUffRQXZwZA7YM609NmRc/edit?usp=share_link"",""ปัตตานี!J311"")+IMPORTRANGE(""https://docs.google.com/spreadsheets/d/1vl4QWbWdFruual5o_wdo6ZSqXZ_it806oja4CctTLKs/edit?usp=share_link"",""พังงา!J311"")+IMPORTRANGE(""https://docs.google.com/spreadsheets/d/1"&amp;"b6QssHQp2FoAPSMKHOy273KNzAomaIKhtdlvuZ_zDNE/edit?usp=share_link"",""พัทลุง!J311"")+IMPORTRANGE(""https://docs.google.com/spreadsheets/d/1o7UZe4_OqlqtLDHrj01Z2YFRSZDf1DMy1n3XViHaxRc/edit?usp=share_link"",""ภูเก็ต!J311"")+IMPORTRANGE(""https://docs.google.c"&amp;"om/spreadsheets/d/1ctPm1vUzcUCPuOj9-eoHUD85PqINFqUB0TjdSWmR5-c/edit?usp=share_link"",""ยะลา!J311"")+IMPORTRANGE(""https://docs.google.com/spreadsheets/d/1YiDIE7Klmt8osgdapRqYWNr7iPGFSsiJqq46S7PYRE0/edit?usp=share_link"",""ระนอง!J311"")+IMPORTRANGE(""https"&amp;"://docs.google.com/spreadsheets/d/16o_4B-V7AWw_6E93bSpXj_XxVv1oVQctk-B6z1dNEWU/edit?usp=share_link"",""สงขลา!J311"")+IMPORTRANGE(""https://docs.google.com/spreadsheets/d/16cywr71Fj4fA5OGRHsZh30ZG2gwJhMAQv69oVBzYHv0/edit?usp=share_link"",""สตูล!J311"")+IMP"&amp;"ORTRANGE(""https://docs.google.com/spreadsheets/d/1vO9Sws6kMtrVtyvrAJptINXjK8TFBoX9xLYOVK_C8bQ/edit?usp=share_link"",""สุราษฎร์ธานี!J311"")"),0)</f>
        <v>0</v>
      </c>
      <c r="K311" s="38">
        <f t="shared" ca="1" si="165"/>
        <v>0</v>
      </c>
      <c r="L311" s="38"/>
      <c r="M311" s="38"/>
      <c r="N311" s="38"/>
      <c r="O311" s="38"/>
      <c r="P311" s="38"/>
    </row>
    <row r="312" spans="1:26" ht="20.25" customHeight="1">
      <c r="A312" s="170"/>
      <c r="B312" s="171"/>
      <c r="C312" s="171"/>
      <c r="D312" s="448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IFERROR(__xludf.DUMMYFUNCTION("IMPORTRANGE(""https://docs.google.com/spreadsheets/d/1kC41EOXpGBFOW658Fs3oD8beYlym0-zO54WY-2Qnp9I/edit?usp=share_link"",""กระบี่!I312"")
+IMPORTRANGE(""https://docs.google.com/spreadsheets/d/1FbzMZY_f3MDiEuK7RpCQKrilJ_kpX0Wm7QBZ1L7EjIU/edit?usp=share_link"&amp;""",""ชุมพร!I312"")+IMPORTRANGE(""https://docs.google.com/spreadsheets/d/1v5sN-00LrXuhBxw4dkh2GrG_z4l5oAqOdJRBCsUyMaM/edit?usp=share_link"",""ตรัง!I312"")+IMPORTRANGE(""https://docs.google.com/spreadsheets/d/1T5rRTzFc79aSIvqnzkZNvwPstq829QYz_xALlO1Z0s8/edi"&amp;"t?usp=share_link"",""นครศรีธรรมราช!I312"")+IMPORTRANGE(""https://docs.google.com/spreadsheets/d/1BeghqumK0IvCmRd2QOy6_afsZq7ZtAGrSnVJy2u7WmY/edit?usp=share_link"",""นราธิวาส!I312"")+IMPORTRANGE(""https://docs.google.com/spreadsheets/d/1IwnW3-jjRf74MCLW-6P"&amp;"iFwMUffRQXZwZA7YM609NmRc/edit?usp=share_link"",""ปัตตานี!I312"")+IMPORTRANGE(""https://docs.google.com/spreadsheets/d/1vl4QWbWdFruual5o_wdo6ZSqXZ_it806oja4CctTLKs/edit?usp=share_link"",""พังงา!I312"")+IMPORTRANGE(""https://docs.google.com/spreadsheets/d/1"&amp;"b6QssHQp2FoAPSMKHOy273KNzAomaIKhtdlvuZ_zDNE/edit?usp=share_link"",""พัทลุง!I312"")+IMPORTRANGE(""https://docs.google.com/spreadsheets/d/1o7UZe4_OqlqtLDHrj01Z2YFRSZDf1DMy1n3XViHaxRc/edit?usp=share_link"",""ภูเก็ต!I312"")+IMPORTRANGE(""https://docs.google.c"&amp;"om/spreadsheets/d/1ctPm1vUzcUCPuOj9-eoHUD85PqINFqUB0TjdSWmR5-c/edit?usp=share_link"",""ยะลา!I312"")+IMPORTRANGE(""https://docs.google.com/spreadsheets/d/1YiDIE7Klmt8osgdapRqYWNr7iPGFSsiJqq46S7PYRE0/edit?usp=share_link"",""ระนอง!I312"")+IMPORTRANGE(""https"&amp;"://docs.google.com/spreadsheets/d/16o_4B-V7AWw_6E93bSpXj_XxVv1oVQctk-B6z1dNEWU/edit?usp=share_link"",""สงขลา!I312"")+IMPORTRANGE(""https://docs.google.com/spreadsheets/d/16cywr71Fj4fA5OGRHsZh30ZG2gwJhMAQv69oVBzYHv0/edit?usp=share_link"",""สตูล!I312"")+IMP"&amp;"ORTRANGE(""https://docs.google.com/spreadsheets/d/1vO9Sws6kMtrVtyvrAJptINXjK8TFBoX9xLYOVK_C8bQ/edit?usp=share_link"",""สุราษฎร์ธานี!I312"")"),20)</f>
        <v>20</v>
      </c>
      <c r="J312" s="183">
        <f ca="1">IFERROR(__xludf.DUMMYFUNCTION("IMPORTRANGE(""https://docs.google.com/spreadsheets/d/1kC41EOXpGBFOW658Fs3oD8beYlym0-zO54WY-2Qnp9I/edit?usp=share_link"",""กระบี่!J312"")
+IMPORTRANGE(""https://docs.google.com/spreadsheets/d/1FbzMZY_f3MDiEuK7RpCQKrilJ_kpX0Wm7QBZ1L7EjIU/edit?usp=share_link"&amp;""",""ชุมพร!J312"")+IMPORTRANGE(""https://docs.google.com/spreadsheets/d/1v5sN-00LrXuhBxw4dkh2GrG_z4l5oAqOdJRBCsUyMaM/edit?usp=share_link"",""ตรัง!J312"")+IMPORTRANGE(""https://docs.google.com/spreadsheets/d/1T5rRTzFc79aSIvqnzkZNvwPstq829QYz_xALlO1Z0s8/edi"&amp;"t?usp=share_link"",""นครศรีธรรมราช!J312"")+IMPORTRANGE(""https://docs.google.com/spreadsheets/d/1BeghqumK0IvCmRd2QOy6_afsZq7ZtAGrSnVJy2u7WmY/edit?usp=share_link"",""นราธิวาส!J312"")+IMPORTRANGE(""https://docs.google.com/spreadsheets/d/1IwnW3-jjRf74MCLW-6P"&amp;"iFwMUffRQXZwZA7YM609NmRc/edit?usp=share_link"",""ปัตตานี!J312"")+IMPORTRANGE(""https://docs.google.com/spreadsheets/d/1vl4QWbWdFruual5o_wdo6ZSqXZ_it806oja4CctTLKs/edit?usp=share_link"",""พังงา!J312"")+IMPORTRANGE(""https://docs.google.com/spreadsheets/d/1"&amp;"b6QssHQp2FoAPSMKHOy273KNzAomaIKhtdlvuZ_zDNE/edit?usp=share_link"",""พัทลุง!J312"")+IMPORTRANGE(""https://docs.google.com/spreadsheets/d/1o7UZe4_OqlqtLDHrj01Z2YFRSZDf1DMy1n3XViHaxRc/edit?usp=share_link"",""ภูเก็ต!J312"")+IMPORTRANGE(""https://docs.google.c"&amp;"om/spreadsheets/d/1ctPm1vUzcUCPuOj9-eoHUD85PqINFqUB0TjdSWmR5-c/edit?usp=share_link"",""ยะลา!J312"")+IMPORTRANGE(""https://docs.google.com/spreadsheets/d/1YiDIE7Klmt8osgdapRqYWNr7iPGFSsiJqq46S7PYRE0/edit?usp=share_link"",""ระนอง!J312"")+IMPORTRANGE(""https"&amp;"://docs.google.com/spreadsheets/d/16o_4B-V7AWw_6E93bSpXj_XxVv1oVQctk-B6z1dNEWU/edit?usp=share_link"",""สงขลา!J312"")+IMPORTRANGE(""https://docs.google.com/spreadsheets/d/16cywr71Fj4fA5OGRHsZh30ZG2gwJhMAQv69oVBzYHv0/edit?usp=share_link"",""สตูล!J312"")+IMP"&amp;"ORTRANGE(""https://docs.google.com/spreadsheets/d/1vO9Sws6kMtrVtyvrAJptINXjK8TFBoX9xLYOVK_C8bQ/edit?usp=share_link"",""สุราษฎร์ธานี!J312"")"),4)</f>
        <v>4</v>
      </c>
      <c r="K312" s="38">
        <f t="shared" ca="1" si="165"/>
        <v>20</v>
      </c>
      <c r="L312" s="38"/>
      <c r="M312" s="38"/>
      <c r="N312" s="38"/>
      <c r="O312" s="38"/>
      <c r="P312" s="38"/>
    </row>
    <row r="313" spans="1:26" ht="20.25" customHeight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20.25" customHeight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66">I325</f>
        <v>5</v>
      </c>
      <c r="J314" s="445">
        <f t="shared" ca="1" si="166"/>
        <v>5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20.25" customHeight="1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7">L316+L317</f>
        <v>4641000</v>
      </c>
      <c r="M315" s="155">
        <f t="shared" ca="1" si="167"/>
        <v>4432900</v>
      </c>
      <c r="N315" s="155">
        <f t="shared" ca="1" si="167"/>
        <v>4076686.8899999987</v>
      </c>
      <c r="O315" s="155">
        <f t="shared" ref="O315:O323" ca="1" si="168">IF(L315&gt;0,N315*100/L315,0)</f>
        <v>87.840700064641211</v>
      </c>
      <c r="P315" s="155">
        <f t="shared" ref="P315:P323" ca="1" si="169">IF(M315&gt;0,N315*100/M315,0)</f>
        <v>91.964332378352751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20.25" hidden="1" customHeight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0">L319+L322</f>
        <v>0</v>
      </c>
      <c r="M316" s="45">
        <f t="shared" si="170"/>
        <v>0</v>
      </c>
      <c r="N316" s="45">
        <f t="shared" si="170"/>
        <v>0</v>
      </c>
      <c r="O316" s="45">
        <f t="shared" si="168"/>
        <v>0</v>
      </c>
      <c r="P316" s="45">
        <f t="shared" si="169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20.25" hidden="1" customHeight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1">L320+L323</f>
        <v>4641000</v>
      </c>
      <c r="M317" s="45">
        <f t="shared" ca="1" si="171"/>
        <v>4432900</v>
      </c>
      <c r="N317" s="45">
        <f t="shared" ca="1" si="171"/>
        <v>4076686.8899999987</v>
      </c>
      <c r="O317" s="45">
        <f t="shared" ca="1" si="168"/>
        <v>87.840700064641211</v>
      </c>
      <c r="P317" s="45">
        <f t="shared" ca="1" si="169"/>
        <v>91.964332378352751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20.25" customHeight="1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2">L319+L320</f>
        <v>1041000</v>
      </c>
      <c r="M318" s="38">
        <f t="shared" ca="1" si="172"/>
        <v>832900</v>
      </c>
      <c r="N318" s="38">
        <f t="shared" ca="1" si="172"/>
        <v>514347.56999999902</v>
      </c>
      <c r="O318" s="38">
        <f t="shared" ca="1" si="168"/>
        <v>49.408988472622383</v>
      </c>
      <c r="P318" s="38">
        <f t="shared" ca="1" si="169"/>
        <v>61.753820386600914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20.25" hidden="1" customHeight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8"/>
        <v>0</v>
      </c>
      <c r="P319" s="45">
        <f t="shared" si="169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20.25" hidden="1" customHeight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IFERROR(__xludf.DUMMYFUNCTION("IMPORTRANGE(""https://docs.google.com/spreadsheets/d/1kC41EOXpGBFOW658Fs3oD8beYlym0-zO54WY-2Qnp9I/edit?usp=share_link"",""กระบี่!L320"")
+IMPORTRANGE(""https://docs.google.com/spreadsheets/d/1FbzMZY_f3MDiEuK7RpCQKrilJ_kpX0Wm7QBZ1L7EjIU/edit?usp=share_link"&amp;""",""ชุมพร!L320"")+IMPORTRANGE(""https://docs.google.com/spreadsheets/d/1v5sN-00LrXuhBxw4dkh2GrG_z4l5oAqOdJRBCsUyMaM/edit?usp=share_link"",""ตรัง!L320"")+IMPORTRANGE(""https://docs.google.com/spreadsheets/d/1T5rRTzFc79aSIvqnzkZNvwPstq829QYz_xALlO1Z0s8/edi"&amp;"t?usp=share_link"",""นครศรีธรรมราช!L320"")+IMPORTRANGE(""https://docs.google.com/spreadsheets/d/1BeghqumK0IvCmRd2QOy6_afsZq7ZtAGrSnVJy2u7WmY/edit?usp=share_link"",""นราธิวาส!L320"")+IMPORTRANGE(""https://docs.google.com/spreadsheets/d/1IwnW3-jjRf74MCLW-6P"&amp;"iFwMUffRQXZwZA7YM609NmRc/edit?usp=share_link"",""ปัตตานี!L320"")+IMPORTRANGE(""https://docs.google.com/spreadsheets/d/1vl4QWbWdFruual5o_wdo6ZSqXZ_it806oja4CctTLKs/edit?usp=share_link"",""พังงา!L320"")+IMPORTRANGE(""https://docs.google.com/spreadsheets/d/1"&amp;"b6QssHQp2FoAPSMKHOy273KNzAomaIKhtdlvuZ_zDNE/edit?usp=share_link"",""พัทลุง!L320"")+IMPORTRANGE(""https://docs.google.com/spreadsheets/d/1o7UZe4_OqlqtLDHrj01Z2YFRSZDf1DMy1n3XViHaxRc/edit?usp=share_link"",""ภูเก็ต!L320"")+IMPORTRANGE(""https://docs.google.c"&amp;"om/spreadsheets/d/1ctPm1vUzcUCPuOj9-eoHUD85PqINFqUB0TjdSWmR5-c/edit?usp=share_link"",""ยะลา!L320"")+IMPORTRANGE(""https://docs.google.com/spreadsheets/d/1YiDIE7Klmt8osgdapRqYWNr7iPGFSsiJqq46S7PYRE0/edit?usp=share_link"",""ระนอง!L320"")+IMPORTRANGE(""https"&amp;"://docs.google.com/spreadsheets/d/16o_4B-V7AWw_6E93bSpXj_XxVv1oVQctk-B6z1dNEWU/edit?usp=share_link"",""สงขลา!L320"")+IMPORTRANGE(""https://docs.google.com/spreadsheets/d/16cywr71Fj4fA5OGRHsZh30ZG2gwJhMAQv69oVBzYHv0/edit?usp=share_link"",""สตูล!L320"")+IMP"&amp;"ORTRANGE(""https://docs.google.com/spreadsheets/d/1vO9Sws6kMtrVtyvrAJptINXjK8TFBoX9xLYOVK_C8bQ/edit?usp=share_link"",""สุราษฎร์ธานี!L320"")"),1041000)</f>
        <v>1041000</v>
      </c>
      <c r="M320" s="45">
        <f ca="1">IFERROR(__xludf.DUMMYFUNCTION("IMPORTRANGE(""https://docs.google.com/spreadsheets/d/1kC41EOXpGBFOW658Fs3oD8beYlym0-zO54WY-2Qnp9I/edit?usp=share_link"",""กระบี่!M320"")
+IMPORTRANGE(""https://docs.google.com/spreadsheets/d/1FbzMZY_f3MDiEuK7RpCQKrilJ_kpX0Wm7QBZ1L7EjIU/edit?usp=share_link"&amp;""",""ชุมพร!M320"")+IMPORTRANGE(""https://docs.google.com/spreadsheets/d/1v5sN-00LrXuhBxw4dkh2GrG_z4l5oAqOdJRBCsUyMaM/edit?usp=share_link"",""ตรัง!M320"")+IMPORTRANGE(""https://docs.google.com/spreadsheets/d/1T5rRTzFc79aSIvqnzkZNvwPstq829QYz_xALlO1Z0s8/edi"&amp;"t?usp=share_link"",""นครศรีธรรมราช!M320"")+IMPORTRANGE(""https://docs.google.com/spreadsheets/d/1BeghqumK0IvCmRd2QOy6_afsZq7ZtAGrSnVJy2u7WmY/edit?usp=share_link"",""นราธิวาส!M320"")+IMPORTRANGE(""https://docs.google.com/spreadsheets/d/1IwnW3-jjRf74MCLW-6P"&amp;"iFwMUffRQXZwZA7YM609NmRc/edit?usp=share_link"",""ปัตตานี!M320"")+IMPORTRANGE(""https://docs.google.com/spreadsheets/d/1vl4QWbWdFruual5o_wdo6ZSqXZ_it806oja4CctTLKs/edit?usp=share_link"",""พังงา!M320"")+IMPORTRANGE(""https://docs.google.com/spreadsheets/d/1"&amp;"b6QssHQp2FoAPSMKHOy273KNzAomaIKhtdlvuZ_zDNE/edit?usp=share_link"",""พัทลุง!M320"")+IMPORTRANGE(""https://docs.google.com/spreadsheets/d/1o7UZe4_OqlqtLDHrj01Z2YFRSZDf1DMy1n3XViHaxRc/edit?usp=share_link"",""ภูเก็ต!M320"")+IMPORTRANGE(""https://docs.google.c"&amp;"om/spreadsheets/d/1ctPm1vUzcUCPuOj9-eoHUD85PqINFqUB0TjdSWmR5-c/edit?usp=share_link"",""ยะลา!M320"")+IMPORTRANGE(""https://docs.google.com/spreadsheets/d/1YiDIE7Klmt8osgdapRqYWNr7iPGFSsiJqq46S7PYRE0/edit?usp=share_link"",""ระนอง!M320"")+IMPORTRANGE(""https"&amp;"://docs.google.com/spreadsheets/d/16o_4B-V7AWw_6E93bSpXj_XxVv1oVQctk-B6z1dNEWU/edit?usp=share_link"",""สงขลา!M320"")+IMPORTRANGE(""https://docs.google.com/spreadsheets/d/16cywr71Fj4fA5OGRHsZh30ZG2gwJhMAQv69oVBzYHv0/edit?usp=share_link"",""สตูล!M320"")+IMP"&amp;"ORTRANGE(""https://docs.google.com/spreadsheets/d/1vO9Sws6kMtrVtyvrAJptINXjK8TFBoX9xLYOVK_C8bQ/edit?usp=share_link"",""สุราษฎร์ธานี!M320"")"),832900)</f>
        <v>832900</v>
      </c>
      <c r="N320" s="45">
        <f ca="1">IFERROR(__xludf.DUMMYFUNCTION("IMPORTRANGE(""https://docs.google.com/spreadsheets/d/1kC41EOXpGBFOW658Fs3oD8beYlym0-zO54WY-2Qnp9I/edit?usp=share_link"",""กระบี่!N320"")
+IMPORTRANGE(""https://docs.google.com/spreadsheets/d/1FbzMZY_f3MDiEuK7RpCQKrilJ_kpX0Wm7QBZ1L7EjIU/edit?usp=share_link"&amp;""",""ชุมพร!N320"")+IMPORTRANGE(""https://docs.google.com/spreadsheets/d/1v5sN-00LrXuhBxw4dkh2GrG_z4l5oAqOdJRBCsUyMaM/edit?usp=share_link"",""ตรัง!N320"")+IMPORTRANGE(""https://docs.google.com/spreadsheets/d/1T5rRTzFc79aSIvqnzkZNvwPstq829QYz_xALlO1Z0s8/edi"&amp;"t?usp=share_link"",""นครศรีธรรมราช!N320"")+IMPORTRANGE(""https://docs.google.com/spreadsheets/d/1BeghqumK0IvCmRd2QOy6_afsZq7ZtAGrSnVJy2u7WmY/edit?usp=share_link"",""นราธิวาส!N320"")+IMPORTRANGE(""https://docs.google.com/spreadsheets/d/1IwnW3-jjRf74MCLW-6P"&amp;"iFwMUffRQXZwZA7YM609NmRc/edit?usp=share_link"",""ปัตตานี!N320"")+IMPORTRANGE(""https://docs.google.com/spreadsheets/d/1vl4QWbWdFruual5o_wdo6ZSqXZ_it806oja4CctTLKs/edit?usp=share_link"",""พังงา!N320"")+IMPORTRANGE(""https://docs.google.com/spreadsheets/d/1"&amp;"b6QssHQp2FoAPSMKHOy273KNzAomaIKhtdlvuZ_zDNE/edit?usp=share_link"",""พัทลุง!N320"")+IMPORTRANGE(""https://docs.google.com/spreadsheets/d/1o7UZe4_OqlqtLDHrj01Z2YFRSZDf1DMy1n3XViHaxRc/edit?usp=share_link"",""ภูเก็ต!N320"")+IMPORTRANGE(""https://docs.google.c"&amp;"om/spreadsheets/d/1ctPm1vUzcUCPuOj9-eoHUD85PqINFqUB0TjdSWmR5-c/edit?usp=share_link"",""ยะลา!N320"")+IMPORTRANGE(""https://docs.google.com/spreadsheets/d/1YiDIE7Klmt8osgdapRqYWNr7iPGFSsiJqq46S7PYRE0/edit?usp=share_link"",""ระนอง!N320"")+IMPORTRANGE(""https"&amp;"://docs.google.com/spreadsheets/d/16o_4B-V7AWw_6E93bSpXj_XxVv1oVQctk-B6z1dNEWU/edit?usp=share_link"",""สงขลา!N320"")+IMPORTRANGE(""https://docs.google.com/spreadsheets/d/16cywr71Fj4fA5OGRHsZh30ZG2gwJhMAQv69oVBzYHv0/edit?usp=share_link"",""สตูล!N320"")+IMP"&amp;"ORTRANGE(""https://docs.google.com/spreadsheets/d/1vO9Sws6kMtrVtyvrAJptINXjK8TFBoX9xLYOVK_C8bQ/edit?usp=share_link"",""สุราษฎร์ธานี!N320"")"),514347.569999999)</f>
        <v>514347.56999999902</v>
      </c>
      <c r="O320" s="45">
        <f t="shared" ca="1" si="168"/>
        <v>49.408988472622383</v>
      </c>
      <c r="P320" s="45">
        <f t="shared" ca="1" si="169"/>
        <v>61.753820386600914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20.25" customHeight="1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3">L322+L323</f>
        <v>3600000</v>
      </c>
      <c r="M321" s="38">
        <f t="shared" ca="1" si="173"/>
        <v>3600000</v>
      </c>
      <c r="N321" s="38">
        <f t="shared" ca="1" si="173"/>
        <v>3562339.32</v>
      </c>
      <c r="O321" s="38">
        <f t="shared" ca="1" si="168"/>
        <v>98.953869999999995</v>
      </c>
      <c r="P321" s="38">
        <f t="shared" ca="1" si="169"/>
        <v>98.953869999999995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20.25" hidden="1" customHeight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8"/>
        <v>0</v>
      </c>
      <c r="P322" s="45">
        <f t="shared" si="169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20.25" hidden="1" customHeight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IFERROR(__xludf.DUMMYFUNCTION("IMPORTRANGE(""https://docs.google.com/spreadsheets/d/1kC41EOXpGBFOW658Fs3oD8beYlym0-zO54WY-2Qnp9I/edit?usp=share_link"",""กระบี่!L323"")
+IMPORTRANGE(""https://docs.google.com/spreadsheets/d/1FbzMZY_f3MDiEuK7RpCQKrilJ_kpX0Wm7QBZ1L7EjIU/edit?usp=share_link"&amp;""",""ชุมพร!L323"")+IMPORTRANGE(""https://docs.google.com/spreadsheets/d/1v5sN-00LrXuhBxw4dkh2GrG_z4l5oAqOdJRBCsUyMaM/edit?usp=share_link"",""ตรัง!L323"")+IMPORTRANGE(""https://docs.google.com/spreadsheets/d/1T5rRTzFc79aSIvqnzkZNvwPstq829QYz_xALlO1Z0s8/edi"&amp;"t?usp=share_link"",""นครศรีธรรมราช!L323"")+IMPORTRANGE(""https://docs.google.com/spreadsheets/d/1BeghqumK0IvCmRd2QOy6_afsZq7ZtAGrSnVJy2u7WmY/edit?usp=share_link"",""นราธิวาส!L323"")+IMPORTRANGE(""https://docs.google.com/spreadsheets/d/1IwnW3-jjRf74MCLW-6P"&amp;"iFwMUffRQXZwZA7YM609NmRc/edit?usp=share_link"",""ปัตตานี!L323"")+IMPORTRANGE(""https://docs.google.com/spreadsheets/d/1vl4QWbWdFruual5o_wdo6ZSqXZ_it806oja4CctTLKs/edit?usp=share_link"",""พังงา!L323"")+IMPORTRANGE(""https://docs.google.com/spreadsheets/d/1"&amp;"b6QssHQp2FoAPSMKHOy273KNzAomaIKhtdlvuZ_zDNE/edit?usp=share_link"",""พัทลุง!L323"")+IMPORTRANGE(""https://docs.google.com/spreadsheets/d/1o7UZe4_OqlqtLDHrj01Z2YFRSZDf1DMy1n3XViHaxRc/edit?usp=share_link"",""ภูเก็ต!L323"")+IMPORTRANGE(""https://docs.google.c"&amp;"om/spreadsheets/d/1ctPm1vUzcUCPuOj9-eoHUD85PqINFqUB0TjdSWmR5-c/edit?usp=share_link"",""ยะลา!L323"")+IMPORTRANGE(""https://docs.google.com/spreadsheets/d/1YiDIE7Klmt8osgdapRqYWNr7iPGFSsiJqq46S7PYRE0/edit?usp=share_link"",""ระนอง!L323"")+IMPORTRANGE(""https"&amp;"://docs.google.com/spreadsheets/d/16o_4B-V7AWw_6E93bSpXj_XxVv1oVQctk-B6z1dNEWU/edit?usp=share_link"",""สงขลา!L323"")+IMPORTRANGE(""https://docs.google.com/spreadsheets/d/16cywr71Fj4fA5OGRHsZh30ZG2gwJhMAQv69oVBzYHv0/edit?usp=share_link"",""สตูล!L323"")+IMP"&amp;"ORTRANGE(""https://docs.google.com/spreadsheets/d/1vO9Sws6kMtrVtyvrAJptINXjK8TFBoX9xLYOVK_C8bQ/edit?usp=share_link"",""สุราษฎร์ธานี!L323"")"),3600000)</f>
        <v>3600000</v>
      </c>
      <c r="M323" s="45">
        <f ca="1">IFERROR(__xludf.DUMMYFUNCTION("IMPORTRANGE(""https://docs.google.com/spreadsheets/d/1kC41EOXpGBFOW658Fs3oD8beYlym0-zO54WY-2Qnp9I/edit?usp=share_link"",""กระบี่!M323"")
+IMPORTRANGE(""https://docs.google.com/spreadsheets/d/1FbzMZY_f3MDiEuK7RpCQKrilJ_kpX0Wm7QBZ1L7EjIU/edit?usp=share_link"&amp;""",""ชุมพร!M323"")+IMPORTRANGE(""https://docs.google.com/spreadsheets/d/1v5sN-00LrXuhBxw4dkh2GrG_z4l5oAqOdJRBCsUyMaM/edit?usp=share_link"",""ตรัง!M323"")+IMPORTRANGE(""https://docs.google.com/spreadsheets/d/1T5rRTzFc79aSIvqnzkZNvwPstq829QYz_xALlO1Z0s8/edi"&amp;"t?usp=share_link"",""นครศรีธรรมราช!M323"")+IMPORTRANGE(""https://docs.google.com/spreadsheets/d/1BeghqumK0IvCmRd2QOy6_afsZq7ZtAGrSnVJy2u7WmY/edit?usp=share_link"",""นราธิวาส!M323"")+IMPORTRANGE(""https://docs.google.com/spreadsheets/d/1IwnW3-jjRf74MCLW-6P"&amp;"iFwMUffRQXZwZA7YM609NmRc/edit?usp=share_link"",""ปัตตานี!M323"")+IMPORTRANGE(""https://docs.google.com/spreadsheets/d/1vl4QWbWdFruual5o_wdo6ZSqXZ_it806oja4CctTLKs/edit?usp=share_link"",""พังงา!M323"")+IMPORTRANGE(""https://docs.google.com/spreadsheets/d/1"&amp;"b6QssHQp2FoAPSMKHOy273KNzAomaIKhtdlvuZ_zDNE/edit?usp=share_link"",""พัทลุง!M323"")+IMPORTRANGE(""https://docs.google.com/spreadsheets/d/1o7UZe4_OqlqtLDHrj01Z2YFRSZDf1DMy1n3XViHaxRc/edit?usp=share_link"",""ภูเก็ต!M323"")+IMPORTRANGE(""https://docs.google.c"&amp;"om/spreadsheets/d/1ctPm1vUzcUCPuOj9-eoHUD85PqINFqUB0TjdSWmR5-c/edit?usp=share_link"",""ยะลา!M323"")+IMPORTRANGE(""https://docs.google.com/spreadsheets/d/1YiDIE7Klmt8osgdapRqYWNr7iPGFSsiJqq46S7PYRE0/edit?usp=share_link"",""ระนอง!M323"")+IMPORTRANGE(""https"&amp;"://docs.google.com/spreadsheets/d/16o_4B-V7AWw_6E93bSpXj_XxVv1oVQctk-B6z1dNEWU/edit?usp=share_link"",""สงขลา!M323"")+IMPORTRANGE(""https://docs.google.com/spreadsheets/d/16cywr71Fj4fA5OGRHsZh30ZG2gwJhMAQv69oVBzYHv0/edit?usp=share_link"",""สตูล!M323"")+IMP"&amp;"ORTRANGE(""https://docs.google.com/spreadsheets/d/1vO9Sws6kMtrVtyvrAJptINXjK8TFBoX9xLYOVK_C8bQ/edit?usp=share_link"",""สุราษฎร์ธานี!M323"")"),3600000)</f>
        <v>3600000</v>
      </c>
      <c r="N323" s="45">
        <f ca="1">IFERROR(__xludf.DUMMYFUNCTION("IMPORTRANGE(""https://docs.google.com/spreadsheets/d/1kC41EOXpGBFOW658Fs3oD8beYlym0-zO54WY-2Qnp9I/edit?usp=share_link"",""กระบี่!N323"")
+IMPORTRANGE(""https://docs.google.com/spreadsheets/d/1FbzMZY_f3MDiEuK7RpCQKrilJ_kpX0Wm7QBZ1L7EjIU/edit?usp=share_link"&amp;""",""ชุมพร!N323"")+IMPORTRANGE(""https://docs.google.com/spreadsheets/d/1v5sN-00LrXuhBxw4dkh2GrG_z4l5oAqOdJRBCsUyMaM/edit?usp=share_link"",""ตรัง!N323"")+IMPORTRANGE(""https://docs.google.com/spreadsheets/d/1T5rRTzFc79aSIvqnzkZNvwPstq829QYz_xALlO1Z0s8/edi"&amp;"t?usp=share_link"",""นครศรีธรรมราช!N323"")+IMPORTRANGE(""https://docs.google.com/spreadsheets/d/1BeghqumK0IvCmRd2QOy6_afsZq7ZtAGrSnVJy2u7WmY/edit?usp=share_link"",""นราธิวาส!N323"")+IMPORTRANGE(""https://docs.google.com/spreadsheets/d/1IwnW3-jjRf74MCLW-6P"&amp;"iFwMUffRQXZwZA7YM609NmRc/edit?usp=share_link"",""ปัตตานี!N323"")+IMPORTRANGE(""https://docs.google.com/spreadsheets/d/1vl4QWbWdFruual5o_wdo6ZSqXZ_it806oja4CctTLKs/edit?usp=share_link"",""พังงา!N323"")+IMPORTRANGE(""https://docs.google.com/spreadsheets/d/1"&amp;"b6QssHQp2FoAPSMKHOy273KNzAomaIKhtdlvuZ_zDNE/edit?usp=share_link"",""พัทลุง!N323"")+IMPORTRANGE(""https://docs.google.com/spreadsheets/d/1o7UZe4_OqlqtLDHrj01Z2YFRSZDf1DMy1n3XViHaxRc/edit?usp=share_link"",""ภูเก็ต!N323"")+IMPORTRANGE(""https://docs.google.c"&amp;"om/spreadsheets/d/1ctPm1vUzcUCPuOj9-eoHUD85PqINFqUB0TjdSWmR5-c/edit?usp=share_link"",""ยะลา!N323"")+IMPORTRANGE(""https://docs.google.com/spreadsheets/d/1YiDIE7Klmt8osgdapRqYWNr7iPGFSsiJqq46S7PYRE0/edit?usp=share_link"",""ระนอง!N323"")+IMPORTRANGE(""https"&amp;"://docs.google.com/spreadsheets/d/16o_4B-V7AWw_6E93bSpXj_XxVv1oVQctk-B6z1dNEWU/edit?usp=share_link"",""สงขลา!N323"")+IMPORTRANGE(""https://docs.google.com/spreadsheets/d/16cywr71Fj4fA5OGRHsZh30ZG2gwJhMAQv69oVBzYHv0/edit?usp=share_link"",""สตูล!N323"")+IMP"&amp;"ORTRANGE(""https://docs.google.com/spreadsheets/d/1vO9Sws6kMtrVtyvrAJptINXjK8TFBoX9xLYOVK_C8bQ/edit?usp=share_link"",""สุราษฎร์ธานี!N323"")"),3562339.32)</f>
        <v>3562339.32</v>
      </c>
      <c r="O323" s="45">
        <f t="shared" ca="1" si="168"/>
        <v>98.953869999999995</v>
      </c>
      <c r="P323" s="45">
        <f t="shared" ca="1" si="169"/>
        <v>98.953869999999995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20.25" customHeight="1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20.25" customHeight="1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IFERROR(__xludf.DUMMYFUNCTION("IMPORTRANGE(""https://docs.google.com/spreadsheets/d/1kC41EOXpGBFOW658Fs3oD8beYlym0-zO54WY-2Qnp9I/edit?usp=share_link"",""กระบี่!I325"")
+IMPORTRANGE(""https://docs.google.com/spreadsheets/d/1FbzMZY_f3MDiEuK7RpCQKrilJ_kpX0Wm7QBZ1L7EjIU/edit?usp=share_link"&amp;""",""ชุมพร!I325"")+IMPORTRANGE(""https://docs.google.com/spreadsheets/d/1v5sN-00LrXuhBxw4dkh2GrG_z4l5oAqOdJRBCsUyMaM/edit?usp=share_link"",""ตรัง!I325"")+IMPORTRANGE(""https://docs.google.com/spreadsheets/d/1T5rRTzFc79aSIvqnzkZNvwPstq829QYz_xALlO1Z0s8/edi"&amp;"t?usp=share_link"",""นครศรีธรรมราช!I325"")+IMPORTRANGE(""https://docs.google.com/spreadsheets/d/1BeghqumK0IvCmRd2QOy6_afsZq7ZtAGrSnVJy2u7WmY/edit?usp=share_link"",""นราธิวาส!I325"")+IMPORTRANGE(""https://docs.google.com/spreadsheets/d/1IwnW3-jjRf74MCLW-6P"&amp;"iFwMUffRQXZwZA7YM609NmRc/edit?usp=share_link"",""ปัตตานี!I325"")+IMPORTRANGE(""https://docs.google.com/spreadsheets/d/1vl4QWbWdFruual5o_wdo6ZSqXZ_it806oja4CctTLKs/edit?usp=share_link"",""พังงา!I325"")+IMPORTRANGE(""https://docs.google.com/spreadsheets/d/1"&amp;"b6QssHQp2FoAPSMKHOy273KNzAomaIKhtdlvuZ_zDNE/edit?usp=share_link"",""พัทลุง!I325"")+IMPORTRANGE(""https://docs.google.com/spreadsheets/d/1o7UZe4_OqlqtLDHrj01Z2YFRSZDf1DMy1n3XViHaxRc/edit?usp=share_link"",""ภูเก็ต!I325"")+IMPORTRANGE(""https://docs.google.c"&amp;"om/spreadsheets/d/1ctPm1vUzcUCPuOj9-eoHUD85PqINFqUB0TjdSWmR5-c/edit?usp=share_link"",""ยะลา!I325"")+IMPORTRANGE(""https://docs.google.com/spreadsheets/d/1YiDIE7Klmt8osgdapRqYWNr7iPGFSsiJqq46S7PYRE0/edit?usp=share_link"",""ระนอง!I325"")+IMPORTRANGE(""https"&amp;"://docs.google.com/spreadsheets/d/16o_4B-V7AWw_6E93bSpXj_XxVv1oVQctk-B6z1dNEWU/edit?usp=share_link"",""สงขลา!I325"")+IMPORTRANGE(""https://docs.google.com/spreadsheets/d/16cywr71Fj4fA5OGRHsZh30ZG2gwJhMAQv69oVBzYHv0/edit?usp=share_link"",""สตูล!I325"")+IMP"&amp;"ORTRANGE(""https://docs.google.com/spreadsheets/d/1vO9Sws6kMtrVtyvrAJptINXjK8TFBoX9xLYOVK_C8bQ/edit?usp=share_link"",""สุราษฎร์ธานี!I325"")"),5)</f>
        <v>5</v>
      </c>
      <c r="J325" s="183">
        <f ca="1">IFERROR(__xludf.DUMMYFUNCTION("IMPORTRANGE(""https://docs.google.com/spreadsheets/d/1kC41EOXpGBFOW658Fs3oD8beYlym0-zO54WY-2Qnp9I/edit?usp=share_link"",""กระบี่!J325"")
+IMPORTRANGE(""https://docs.google.com/spreadsheets/d/1FbzMZY_f3MDiEuK7RpCQKrilJ_kpX0Wm7QBZ1L7EjIU/edit?usp=share_link"&amp;""",""ชุมพร!J325"")+IMPORTRANGE(""https://docs.google.com/spreadsheets/d/1v5sN-00LrXuhBxw4dkh2GrG_z4l5oAqOdJRBCsUyMaM/edit?usp=share_link"",""ตรัง!J325"")+IMPORTRANGE(""https://docs.google.com/spreadsheets/d/1T5rRTzFc79aSIvqnzkZNvwPstq829QYz_xALlO1Z0s8/edi"&amp;"t?usp=share_link"",""นครศรีธรรมราช!J325"")+IMPORTRANGE(""https://docs.google.com/spreadsheets/d/1BeghqumK0IvCmRd2QOy6_afsZq7ZtAGrSnVJy2u7WmY/edit?usp=share_link"",""นราธิวาส!J325"")+IMPORTRANGE(""https://docs.google.com/spreadsheets/d/1IwnW3-jjRf74MCLW-6P"&amp;"iFwMUffRQXZwZA7YM609NmRc/edit?usp=share_link"",""ปัตตานี!J325"")+IMPORTRANGE(""https://docs.google.com/spreadsheets/d/1vl4QWbWdFruual5o_wdo6ZSqXZ_it806oja4CctTLKs/edit?usp=share_link"",""พังงา!J325"")+IMPORTRANGE(""https://docs.google.com/spreadsheets/d/1"&amp;"b6QssHQp2FoAPSMKHOy273KNzAomaIKhtdlvuZ_zDNE/edit?usp=share_link"",""พัทลุง!J325"")+IMPORTRANGE(""https://docs.google.com/spreadsheets/d/1o7UZe4_OqlqtLDHrj01Z2YFRSZDf1DMy1n3XViHaxRc/edit?usp=share_link"",""ภูเก็ต!J325"")+IMPORTRANGE(""https://docs.google.c"&amp;"om/spreadsheets/d/1ctPm1vUzcUCPuOj9-eoHUD85PqINFqUB0TjdSWmR5-c/edit?usp=share_link"",""ยะลา!J325"")+IMPORTRANGE(""https://docs.google.com/spreadsheets/d/1YiDIE7Klmt8osgdapRqYWNr7iPGFSsiJqq46S7PYRE0/edit?usp=share_link"",""ระนอง!J325"")+IMPORTRANGE(""https"&amp;"://docs.google.com/spreadsheets/d/16o_4B-V7AWw_6E93bSpXj_XxVv1oVQctk-B6z1dNEWU/edit?usp=share_link"",""สงขลา!J325"")+IMPORTRANGE(""https://docs.google.com/spreadsheets/d/16cywr71Fj4fA5OGRHsZh30ZG2gwJhMAQv69oVBzYHv0/edit?usp=share_link"",""สตูล!J325"")+IMP"&amp;"ORTRANGE(""https://docs.google.com/spreadsheets/d/1vO9Sws6kMtrVtyvrAJptINXjK8TFBoX9xLYOVK_C8bQ/edit?usp=share_link"",""สุราษฎร์ธานี!J325"")"),5)</f>
        <v>5</v>
      </c>
      <c r="K325" s="38">
        <f ca="1">IF(I325&gt;0,J325*100/I325,0)</f>
        <v>100</v>
      </c>
      <c r="L325" s="38"/>
      <c r="M325" s="38"/>
      <c r="N325" s="38"/>
      <c r="O325" s="163"/>
      <c r="P325" s="163"/>
    </row>
    <row r="326" spans="1:26" ht="20.25" customHeight="1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20.25" customHeight="1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IFERROR(__xludf.DUMMYFUNCTION("IMPORTRANGE(""https://docs.google.com/spreadsheets/d/1kC41EOXpGBFOW658Fs3oD8beYlym0-zO54WY-2Qnp9I/edit?usp=share_link"",""กระบี่!I327"")
+IMPORTRANGE(""https://docs.google.com/spreadsheets/d/1FbzMZY_f3MDiEuK7RpCQKrilJ_kpX0Wm7QBZ1L7EjIU/edit?usp=share_link"&amp;""",""ชุมพร!I327"")+IMPORTRANGE(""https://docs.google.com/spreadsheets/d/1v5sN-00LrXuhBxw4dkh2GrG_z4l5oAqOdJRBCsUyMaM/edit?usp=share_link"",""ตรัง!I327"")+IMPORTRANGE(""https://docs.google.com/spreadsheets/d/1T5rRTzFc79aSIvqnzkZNvwPstq829QYz_xALlO1Z0s8/edi"&amp;"t?usp=share_link"",""นครศรีธรรมราช!I327"")+IMPORTRANGE(""https://docs.google.com/spreadsheets/d/1BeghqumK0IvCmRd2QOy6_afsZq7ZtAGrSnVJy2u7WmY/edit?usp=share_link"",""นราธิวาส!I327"")+IMPORTRANGE(""https://docs.google.com/spreadsheets/d/1IwnW3-jjRf74MCLW-6P"&amp;"iFwMUffRQXZwZA7YM609NmRc/edit?usp=share_link"",""ปัตตานี!I327"")+IMPORTRANGE(""https://docs.google.com/spreadsheets/d/1vl4QWbWdFruual5o_wdo6ZSqXZ_it806oja4CctTLKs/edit?usp=share_link"",""พังงา!I327"")+IMPORTRANGE(""https://docs.google.com/spreadsheets/d/1"&amp;"b6QssHQp2FoAPSMKHOy273KNzAomaIKhtdlvuZ_zDNE/edit?usp=share_link"",""พัทลุง!I327"")+IMPORTRANGE(""https://docs.google.com/spreadsheets/d/1o7UZe4_OqlqtLDHrj01Z2YFRSZDf1DMy1n3XViHaxRc/edit?usp=share_link"",""ภูเก็ต!I327"")+IMPORTRANGE(""https://docs.google.c"&amp;"om/spreadsheets/d/1ctPm1vUzcUCPuOj9-eoHUD85PqINFqUB0TjdSWmR5-c/edit?usp=share_link"",""ยะลา!I327"")+IMPORTRANGE(""https://docs.google.com/spreadsheets/d/1YiDIE7Klmt8osgdapRqYWNr7iPGFSsiJqq46S7PYRE0/edit?usp=share_link"",""ระนอง!I327"")+IMPORTRANGE(""https"&amp;"://docs.google.com/spreadsheets/d/16o_4B-V7AWw_6E93bSpXj_XxVv1oVQctk-B6z1dNEWU/edit?usp=share_link"",""สงขลา!I327"")+IMPORTRANGE(""https://docs.google.com/spreadsheets/d/16cywr71Fj4fA5OGRHsZh30ZG2gwJhMAQv69oVBzYHv0/edit?usp=share_link"",""สตูล!I327"")+IMP"&amp;"ORTRANGE(""https://docs.google.com/spreadsheets/d/1vO9Sws6kMtrVtyvrAJptINXjK8TFBoX9xLYOVK_C8bQ/edit?usp=share_link"",""สุราษฎร์ธานี!I327"")"),18180)</f>
        <v>18180</v>
      </c>
      <c r="J327" s="445">
        <f ca="1">J338+J341+J342+J343</f>
        <v>19886</v>
      </c>
      <c r="K327" s="446">
        <f ca="1">IF(I327&gt;0,J327*100/I327,0)</f>
        <v>109.38393839383939</v>
      </c>
      <c r="L327" s="447"/>
      <c r="M327" s="447"/>
      <c r="N327" s="447"/>
      <c r="O327" s="447"/>
      <c r="P327" s="447"/>
    </row>
    <row r="328" spans="1:26" ht="20.25" customHeight="1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4">L329+L330</f>
        <v>2297000</v>
      </c>
      <c r="M328" s="155">
        <f t="shared" ca="1" si="174"/>
        <v>1757750</v>
      </c>
      <c r="N328" s="155">
        <f t="shared" ca="1" si="174"/>
        <v>958175.22999999905</v>
      </c>
      <c r="O328" s="155">
        <f t="shared" ref="O328:O336" ca="1" si="175">IF(L328&gt;0,N328*100/L328,0)</f>
        <v>41.71420243796252</v>
      </c>
      <c r="P328" s="155">
        <f t="shared" ref="P328:P336" ca="1" si="176">IF(M328&gt;0,N328*100/M328,0)</f>
        <v>54.511462380884602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20.25" hidden="1" customHeight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7">L332+L335</f>
        <v>0</v>
      </c>
      <c r="M329" s="45">
        <f t="shared" si="177"/>
        <v>0</v>
      </c>
      <c r="N329" s="45">
        <f t="shared" si="177"/>
        <v>0</v>
      </c>
      <c r="O329" s="45">
        <f t="shared" si="175"/>
        <v>0</v>
      </c>
      <c r="P329" s="45">
        <f t="shared" si="176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20.25" hidden="1" customHeight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8">L333+L336</f>
        <v>2297000</v>
      </c>
      <c r="M330" s="45">
        <f t="shared" ca="1" si="178"/>
        <v>1757750</v>
      </c>
      <c r="N330" s="45">
        <f t="shared" ca="1" si="178"/>
        <v>958175.22999999905</v>
      </c>
      <c r="O330" s="45">
        <f t="shared" ca="1" si="175"/>
        <v>41.71420243796252</v>
      </c>
      <c r="P330" s="45">
        <f t="shared" ca="1" si="176"/>
        <v>54.511462380884602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20.25" customHeight="1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79">L332+L333</f>
        <v>2297000</v>
      </c>
      <c r="M331" s="38">
        <f t="shared" ca="1" si="179"/>
        <v>1757750</v>
      </c>
      <c r="N331" s="38">
        <f t="shared" ca="1" si="179"/>
        <v>958175.22999999905</v>
      </c>
      <c r="O331" s="38">
        <f t="shared" ca="1" si="175"/>
        <v>41.71420243796252</v>
      </c>
      <c r="P331" s="38">
        <f t="shared" ca="1" si="176"/>
        <v>54.511462380884602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20.25" hidden="1" customHeight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5"/>
        <v>0</v>
      </c>
      <c r="P332" s="45">
        <f t="shared" si="176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20.25" hidden="1" customHeight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IFERROR(__xludf.DUMMYFUNCTION("IMPORTRANGE(""https://docs.google.com/spreadsheets/d/1kC41EOXpGBFOW658Fs3oD8beYlym0-zO54WY-2Qnp9I/edit?usp=share_link"",""กระบี่!L333"")
+IMPORTRANGE(""https://docs.google.com/spreadsheets/d/1FbzMZY_f3MDiEuK7RpCQKrilJ_kpX0Wm7QBZ1L7EjIU/edit?usp=share_link"&amp;""",""ชุมพร!L333"")+IMPORTRANGE(""https://docs.google.com/spreadsheets/d/1v5sN-00LrXuhBxw4dkh2GrG_z4l5oAqOdJRBCsUyMaM/edit?usp=share_link"",""ตรัง!L333"")+IMPORTRANGE(""https://docs.google.com/spreadsheets/d/1T5rRTzFc79aSIvqnzkZNvwPstq829QYz_xALlO1Z0s8/edi"&amp;"t?usp=share_link"",""นครศรีธรรมราช!L333"")+IMPORTRANGE(""https://docs.google.com/spreadsheets/d/1BeghqumK0IvCmRd2QOy6_afsZq7ZtAGrSnVJy2u7WmY/edit?usp=share_link"",""นราธิวาส!L333"")+IMPORTRANGE(""https://docs.google.com/spreadsheets/d/1IwnW3-jjRf74MCLW-6P"&amp;"iFwMUffRQXZwZA7YM609NmRc/edit?usp=share_link"",""ปัตตานี!L333"")+IMPORTRANGE(""https://docs.google.com/spreadsheets/d/1vl4QWbWdFruual5o_wdo6ZSqXZ_it806oja4CctTLKs/edit?usp=share_link"",""พังงา!L333"")+IMPORTRANGE(""https://docs.google.com/spreadsheets/d/1"&amp;"b6QssHQp2FoAPSMKHOy273KNzAomaIKhtdlvuZ_zDNE/edit?usp=share_link"",""พัทลุง!L333"")+IMPORTRANGE(""https://docs.google.com/spreadsheets/d/1o7UZe4_OqlqtLDHrj01Z2YFRSZDf1DMy1n3XViHaxRc/edit?usp=share_link"",""ภูเก็ต!L333"")+IMPORTRANGE(""https://docs.google.c"&amp;"om/spreadsheets/d/1ctPm1vUzcUCPuOj9-eoHUD85PqINFqUB0TjdSWmR5-c/edit?usp=share_link"",""ยะลา!L333"")+IMPORTRANGE(""https://docs.google.com/spreadsheets/d/1YiDIE7Klmt8osgdapRqYWNr7iPGFSsiJqq46S7PYRE0/edit?usp=share_link"",""ระนอง!L333"")+IMPORTRANGE(""https"&amp;"://docs.google.com/spreadsheets/d/16o_4B-V7AWw_6E93bSpXj_XxVv1oVQctk-B6z1dNEWU/edit?usp=share_link"",""สงขลา!L333"")+IMPORTRANGE(""https://docs.google.com/spreadsheets/d/16cywr71Fj4fA5OGRHsZh30ZG2gwJhMAQv69oVBzYHv0/edit?usp=share_link"",""สตูล!L333"")+IMP"&amp;"ORTRANGE(""https://docs.google.com/spreadsheets/d/1vO9Sws6kMtrVtyvrAJptINXjK8TFBoX9xLYOVK_C8bQ/edit?usp=share_link"",""สุราษฎร์ธานี!L333"")"),2297000)</f>
        <v>2297000</v>
      </c>
      <c r="M333" s="45">
        <f ca="1">IFERROR(__xludf.DUMMYFUNCTION("IMPORTRANGE(""https://docs.google.com/spreadsheets/d/1kC41EOXpGBFOW658Fs3oD8beYlym0-zO54WY-2Qnp9I/edit?usp=share_link"",""กระบี่!M333"")
+IMPORTRANGE(""https://docs.google.com/spreadsheets/d/1FbzMZY_f3MDiEuK7RpCQKrilJ_kpX0Wm7QBZ1L7EjIU/edit?usp=share_link"&amp;""",""ชุมพร!M333"")+IMPORTRANGE(""https://docs.google.com/spreadsheets/d/1v5sN-00LrXuhBxw4dkh2GrG_z4l5oAqOdJRBCsUyMaM/edit?usp=share_link"",""ตรัง!M333"")+IMPORTRANGE(""https://docs.google.com/spreadsheets/d/1T5rRTzFc79aSIvqnzkZNvwPstq829QYz_xALlO1Z0s8/edi"&amp;"t?usp=share_link"",""นครศรีธรรมราช!M333"")+IMPORTRANGE(""https://docs.google.com/spreadsheets/d/1BeghqumK0IvCmRd2QOy6_afsZq7ZtAGrSnVJy2u7WmY/edit?usp=share_link"",""นราธิวาส!M333"")+IMPORTRANGE(""https://docs.google.com/spreadsheets/d/1IwnW3-jjRf74MCLW-6P"&amp;"iFwMUffRQXZwZA7YM609NmRc/edit?usp=share_link"",""ปัตตานี!M333"")+IMPORTRANGE(""https://docs.google.com/spreadsheets/d/1vl4QWbWdFruual5o_wdo6ZSqXZ_it806oja4CctTLKs/edit?usp=share_link"",""พังงา!M333"")+IMPORTRANGE(""https://docs.google.com/spreadsheets/d/1"&amp;"b6QssHQp2FoAPSMKHOy273KNzAomaIKhtdlvuZ_zDNE/edit?usp=share_link"",""พัทลุง!M333"")+IMPORTRANGE(""https://docs.google.com/spreadsheets/d/1o7UZe4_OqlqtLDHrj01Z2YFRSZDf1DMy1n3XViHaxRc/edit?usp=share_link"",""ภูเก็ต!M333"")+IMPORTRANGE(""https://docs.google.c"&amp;"om/spreadsheets/d/1ctPm1vUzcUCPuOj9-eoHUD85PqINFqUB0TjdSWmR5-c/edit?usp=share_link"",""ยะลา!M333"")+IMPORTRANGE(""https://docs.google.com/spreadsheets/d/1YiDIE7Klmt8osgdapRqYWNr7iPGFSsiJqq46S7PYRE0/edit?usp=share_link"",""ระนอง!M333"")+IMPORTRANGE(""https"&amp;"://docs.google.com/spreadsheets/d/16o_4B-V7AWw_6E93bSpXj_XxVv1oVQctk-B6z1dNEWU/edit?usp=share_link"",""สงขลา!M333"")+IMPORTRANGE(""https://docs.google.com/spreadsheets/d/16cywr71Fj4fA5OGRHsZh30ZG2gwJhMAQv69oVBzYHv0/edit?usp=share_link"",""สตูล!M333"")+IMP"&amp;"ORTRANGE(""https://docs.google.com/spreadsheets/d/1vO9Sws6kMtrVtyvrAJptINXjK8TFBoX9xLYOVK_C8bQ/edit?usp=share_link"",""สุราษฎร์ธานี!M333"")"),1757750)</f>
        <v>1757750</v>
      </c>
      <c r="N333" s="45">
        <f ca="1">IFERROR(__xludf.DUMMYFUNCTION("IMPORTRANGE(""https://docs.google.com/spreadsheets/d/1kC41EOXpGBFOW658Fs3oD8beYlym0-zO54WY-2Qnp9I/edit?usp=share_link"",""กระบี่!N333"")
+IMPORTRANGE(""https://docs.google.com/spreadsheets/d/1FbzMZY_f3MDiEuK7RpCQKrilJ_kpX0Wm7QBZ1L7EjIU/edit?usp=share_link"&amp;""",""ชุมพร!N333"")+IMPORTRANGE(""https://docs.google.com/spreadsheets/d/1v5sN-00LrXuhBxw4dkh2GrG_z4l5oAqOdJRBCsUyMaM/edit?usp=share_link"",""ตรัง!N333"")+IMPORTRANGE(""https://docs.google.com/spreadsheets/d/1T5rRTzFc79aSIvqnzkZNvwPstq829QYz_xALlO1Z0s8/edi"&amp;"t?usp=share_link"",""นครศรีธรรมราช!N333"")+IMPORTRANGE(""https://docs.google.com/spreadsheets/d/1BeghqumK0IvCmRd2QOy6_afsZq7ZtAGrSnVJy2u7WmY/edit?usp=share_link"",""นราธิวาส!N333"")+IMPORTRANGE(""https://docs.google.com/spreadsheets/d/1IwnW3-jjRf74MCLW-6P"&amp;"iFwMUffRQXZwZA7YM609NmRc/edit?usp=share_link"",""ปัตตานี!N333"")+IMPORTRANGE(""https://docs.google.com/spreadsheets/d/1vl4QWbWdFruual5o_wdo6ZSqXZ_it806oja4CctTLKs/edit?usp=share_link"",""พังงา!N333"")+IMPORTRANGE(""https://docs.google.com/spreadsheets/d/1"&amp;"b6QssHQp2FoAPSMKHOy273KNzAomaIKhtdlvuZ_zDNE/edit?usp=share_link"",""พัทลุง!N333"")+IMPORTRANGE(""https://docs.google.com/spreadsheets/d/1o7UZe4_OqlqtLDHrj01Z2YFRSZDf1DMy1n3XViHaxRc/edit?usp=share_link"",""ภูเก็ต!N333"")+IMPORTRANGE(""https://docs.google.c"&amp;"om/spreadsheets/d/1ctPm1vUzcUCPuOj9-eoHUD85PqINFqUB0TjdSWmR5-c/edit?usp=share_link"",""ยะลา!N333"")+IMPORTRANGE(""https://docs.google.com/spreadsheets/d/1YiDIE7Klmt8osgdapRqYWNr7iPGFSsiJqq46S7PYRE0/edit?usp=share_link"",""ระนอง!N333"")+IMPORTRANGE(""https"&amp;"://docs.google.com/spreadsheets/d/16o_4B-V7AWw_6E93bSpXj_XxVv1oVQctk-B6z1dNEWU/edit?usp=share_link"",""สงขลา!N333"")+IMPORTRANGE(""https://docs.google.com/spreadsheets/d/16cywr71Fj4fA5OGRHsZh30ZG2gwJhMAQv69oVBzYHv0/edit?usp=share_link"",""สตูล!N333"")+IMP"&amp;"ORTRANGE(""https://docs.google.com/spreadsheets/d/1vO9Sws6kMtrVtyvrAJptINXjK8TFBoX9xLYOVK_C8bQ/edit?usp=share_link"",""สุราษฎร์ธานี!N333"")"),958175.229999999)</f>
        <v>958175.22999999905</v>
      </c>
      <c r="O333" s="45">
        <f t="shared" ca="1" si="175"/>
        <v>41.71420243796252</v>
      </c>
      <c r="P333" s="45">
        <f t="shared" ca="1" si="176"/>
        <v>54.511462380884602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20.25" customHeight="1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0">L335+L336</f>
        <v>0</v>
      </c>
      <c r="M334" s="38">
        <f t="shared" ca="1" si="180"/>
        <v>0</v>
      </c>
      <c r="N334" s="38">
        <f t="shared" ca="1" si="180"/>
        <v>0</v>
      </c>
      <c r="O334" s="38">
        <f t="shared" ca="1" si="175"/>
        <v>0</v>
      </c>
      <c r="P334" s="38">
        <f t="shared" ca="1" si="176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20.25" hidden="1" customHeight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5"/>
        <v>0</v>
      </c>
      <c r="P335" s="45">
        <f t="shared" si="176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20.25" hidden="1" customHeight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IFERROR(__xludf.DUMMYFUNCTION("IMPORTRANGE(""https://docs.google.com/spreadsheets/d/1kC41EOXpGBFOW658Fs3oD8beYlym0-zO54WY-2Qnp9I/edit?usp=share_link"",""กระบี่!L336"")
+IMPORTRANGE(""https://docs.google.com/spreadsheets/d/1FbzMZY_f3MDiEuK7RpCQKrilJ_kpX0Wm7QBZ1L7EjIU/edit?usp=share_link"&amp;""",""ชุมพร!L336"")+IMPORTRANGE(""https://docs.google.com/spreadsheets/d/1v5sN-00LrXuhBxw4dkh2GrG_z4l5oAqOdJRBCsUyMaM/edit?usp=share_link"",""ตรัง!L336"")+IMPORTRANGE(""https://docs.google.com/spreadsheets/d/1T5rRTzFc79aSIvqnzkZNvwPstq829QYz_xALlO1Z0s8/edi"&amp;"t?usp=share_link"",""นครศรีธรรมราช!L336"")+IMPORTRANGE(""https://docs.google.com/spreadsheets/d/1BeghqumK0IvCmRd2QOy6_afsZq7ZtAGrSnVJy2u7WmY/edit?usp=share_link"",""นราธิวาส!L336"")+IMPORTRANGE(""https://docs.google.com/spreadsheets/d/1IwnW3-jjRf74MCLW-6P"&amp;"iFwMUffRQXZwZA7YM609NmRc/edit?usp=share_link"",""ปัตตานี!L336"")+IMPORTRANGE(""https://docs.google.com/spreadsheets/d/1vl4QWbWdFruual5o_wdo6ZSqXZ_it806oja4CctTLKs/edit?usp=share_link"",""พังงา!L336"")+IMPORTRANGE(""https://docs.google.com/spreadsheets/d/1"&amp;"b6QssHQp2FoAPSMKHOy273KNzAomaIKhtdlvuZ_zDNE/edit?usp=share_link"",""พัทลุง!L336"")+IMPORTRANGE(""https://docs.google.com/spreadsheets/d/1o7UZe4_OqlqtLDHrj01Z2YFRSZDf1DMy1n3XViHaxRc/edit?usp=share_link"",""ภูเก็ต!L336"")+IMPORTRANGE(""https://docs.google.c"&amp;"om/spreadsheets/d/1ctPm1vUzcUCPuOj9-eoHUD85PqINFqUB0TjdSWmR5-c/edit?usp=share_link"",""ยะลา!L336"")+IMPORTRANGE(""https://docs.google.com/spreadsheets/d/1YiDIE7Klmt8osgdapRqYWNr7iPGFSsiJqq46S7PYRE0/edit?usp=share_link"",""ระนอง!L336"")+IMPORTRANGE(""https"&amp;"://docs.google.com/spreadsheets/d/16o_4B-V7AWw_6E93bSpXj_XxVv1oVQctk-B6z1dNEWU/edit?usp=share_link"",""สงขลา!L336"")+IMPORTRANGE(""https://docs.google.com/spreadsheets/d/16cywr71Fj4fA5OGRHsZh30ZG2gwJhMAQv69oVBzYHv0/edit?usp=share_link"",""สตูล!L336"")+IMP"&amp;"ORTRANGE(""https://docs.google.com/spreadsheets/d/1vO9Sws6kMtrVtyvrAJptINXjK8TFBoX9xLYOVK_C8bQ/edit?usp=share_link"",""สุราษฎร์ธานี!L336"")"),0)</f>
        <v>0</v>
      </c>
      <c r="M336" s="45">
        <f ca="1">IFERROR(__xludf.DUMMYFUNCTION("IMPORTRANGE(""https://docs.google.com/spreadsheets/d/1kC41EOXpGBFOW658Fs3oD8beYlym0-zO54WY-2Qnp9I/edit?usp=share_link"",""กระบี่!M336"")
+IMPORTRANGE(""https://docs.google.com/spreadsheets/d/1FbzMZY_f3MDiEuK7RpCQKrilJ_kpX0Wm7QBZ1L7EjIU/edit?usp=share_link"&amp;""",""ชุมพร!M336"")+IMPORTRANGE(""https://docs.google.com/spreadsheets/d/1v5sN-00LrXuhBxw4dkh2GrG_z4l5oAqOdJRBCsUyMaM/edit?usp=share_link"",""ตรัง!M336"")+IMPORTRANGE(""https://docs.google.com/spreadsheets/d/1T5rRTzFc79aSIvqnzkZNvwPstq829QYz_xALlO1Z0s8/edi"&amp;"t?usp=share_link"",""นครศรีธรรมราช!M336"")+IMPORTRANGE(""https://docs.google.com/spreadsheets/d/1BeghqumK0IvCmRd2QOy6_afsZq7ZtAGrSnVJy2u7WmY/edit?usp=share_link"",""นราธิวาส!M336"")+IMPORTRANGE(""https://docs.google.com/spreadsheets/d/1IwnW3-jjRf74MCLW-6P"&amp;"iFwMUffRQXZwZA7YM609NmRc/edit?usp=share_link"",""ปัตตานี!M336"")+IMPORTRANGE(""https://docs.google.com/spreadsheets/d/1vl4QWbWdFruual5o_wdo6ZSqXZ_it806oja4CctTLKs/edit?usp=share_link"",""พังงา!M336"")+IMPORTRANGE(""https://docs.google.com/spreadsheets/d/1"&amp;"b6QssHQp2FoAPSMKHOy273KNzAomaIKhtdlvuZ_zDNE/edit?usp=share_link"",""พัทลุง!M336"")+IMPORTRANGE(""https://docs.google.com/spreadsheets/d/1o7UZe4_OqlqtLDHrj01Z2YFRSZDf1DMy1n3XViHaxRc/edit?usp=share_link"",""ภูเก็ต!M336"")+IMPORTRANGE(""https://docs.google.c"&amp;"om/spreadsheets/d/1ctPm1vUzcUCPuOj9-eoHUD85PqINFqUB0TjdSWmR5-c/edit?usp=share_link"",""ยะลา!M336"")+IMPORTRANGE(""https://docs.google.com/spreadsheets/d/1YiDIE7Klmt8osgdapRqYWNr7iPGFSsiJqq46S7PYRE0/edit?usp=share_link"",""ระนอง!M336"")+IMPORTRANGE(""https"&amp;"://docs.google.com/spreadsheets/d/16o_4B-V7AWw_6E93bSpXj_XxVv1oVQctk-B6z1dNEWU/edit?usp=share_link"",""สงขลา!M336"")+IMPORTRANGE(""https://docs.google.com/spreadsheets/d/16cywr71Fj4fA5OGRHsZh30ZG2gwJhMAQv69oVBzYHv0/edit?usp=share_link"",""สตูล!M336"")+IMP"&amp;"ORTRANGE(""https://docs.google.com/spreadsheets/d/1vO9Sws6kMtrVtyvrAJptINXjK8TFBoX9xLYOVK_C8bQ/edit?usp=share_link"",""สุราษฎร์ธานี!M336"")"),0)</f>
        <v>0</v>
      </c>
      <c r="N336" s="45">
        <f ca="1">IFERROR(__xludf.DUMMYFUNCTION("IMPORTRANGE(""https://docs.google.com/spreadsheets/d/1kC41EOXpGBFOW658Fs3oD8beYlym0-zO54WY-2Qnp9I/edit?usp=share_link"",""กระบี่!N336"")
+IMPORTRANGE(""https://docs.google.com/spreadsheets/d/1FbzMZY_f3MDiEuK7RpCQKrilJ_kpX0Wm7QBZ1L7EjIU/edit?usp=share_link"&amp;""",""ชุมพร!N336"")+IMPORTRANGE(""https://docs.google.com/spreadsheets/d/1v5sN-00LrXuhBxw4dkh2GrG_z4l5oAqOdJRBCsUyMaM/edit?usp=share_link"",""ตรัง!N336"")+IMPORTRANGE(""https://docs.google.com/spreadsheets/d/1T5rRTzFc79aSIvqnzkZNvwPstq829QYz_xALlO1Z0s8/edi"&amp;"t?usp=share_link"",""นครศรีธรรมราช!N336"")+IMPORTRANGE(""https://docs.google.com/spreadsheets/d/1BeghqumK0IvCmRd2QOy6_afsZq7ZtAGrSnVJy2u7WmY/edit?usp=share_link"",""นราธิวาส!N336"")+IMPORTRANGE(""https://docs.google.com/spreadsheets/d/1IwnW3-jjRf74MCLW-6P"&amp;"iFwMUffRQXZwZA7YM609NmRc/edit?usp=share_link"",""ปัตตานี!N336"")+IMPORTRANGE(""https://docs.google.com/spreadsheets/d/1vl4QWbWdFruual5o_wdo6ZSqXZ_it806oja4CctTLKs/edit?usp=share_link"",""พังงา!N336"")+IMPORTRANGE(""https://docs.google.com/spreadsheets/d/1"&amp;"b6QssHQp2FoAPSMKHOy273KNzAomaIKhtdlvuZ_zDNE/edit?usp=share_link"",""พัทลุง!N336"")+IMPORTRANGE(""https://docs.google.com/spreadsheets/d/1o7UZe4_OqlqtLDHrj01Z2YFRSZDf1DMy1n3XViHaxRc/edit?usp=share_link"",""ภูเก็ต!N336"")+IMPORTRANGE(""https://docs.google.c"&amp;"om/spreadsheets/d/1ctPm1vUzcUCPuOj9-eoHUD85PqINFqUB0TjdSWmR5-c/edit?usp=share_link"",""ยะลา!N336"")+IMPORTRANGE(""https://docs.google.com/spreadsheets/d/1YiDIE7Klmt8osgdapRqYWNr7iPGFSsiJqq46S7PYRE0/edit?usp=share_link"",""ระนอง!N336"")+IMPORTRANGE(""https"&amp;"://docs.google.com/spreadsheets/d/16o_4B-V7AWw_6E93bSpXj_XxVv1oVQctk-B6z1dNEWU/edit?usp=share_link"",""สงขลา!N336"")+IMPORTRANGE(""https://docs.google.com/spreadsheets/d/16cywr71Fj4fA5OGRHsZh30ZG2gwJhMAQv69oVBzYHv0/edit?usp=share_link"",""สตูล!N336"")+IMP"&amp;"ORTRANGE(""https://docs.google.com/spreadsheets/d/1vO9Sws6kMtrVtyvrAJptINXjK8TFBoX9xLYOVK_C8bQ/edit?usp=share_link"",""สุราษฎร์ธานี!N336"")"),0)</f>
        <v>0</v>
      </c>
      <c r="O336" s="45">
        <f t="shared" ca="1" si="175"/>
        <v>0</v>
      </c>
      <c r="P336" s="45">
        <f t="shared" ca="1" si="176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20.25" customHeight="1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20.25" customHeight="1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IFERROR(__xludf.DUMMYFUNCTION("IMPORTRANGE(""https://docs.google.com/spreadsheets/d/1kC41EOXpGBFOW658Fs3oD8beYlym0-zO54WY-2Qnp9I/edit?usp=share_link"",""กระบี่!I338"")
+IMPORTRANGE(""https://docs.google.com/spreadsheets/d/1FbzMZY_f3MDiEuK7RpCQKrilJ_kpX0Wm7QBZ1L7EjIU/edit?usp=share_link"&amp;""",""ชุมพร!I338"")+IMPORTRANGE(""https://docs.google.com/spreadsheets/d/1v5sN-00LrXuhBxw4dkh2GrG_z4l5oAqOdJRBCsUyMaM/edit?usp=share_link"",""ตรัง!I338"")+IMPORTRANGE(""https://docs.google.com/spreadsheets/d/1T5rRTzFc79aSIvqnzkZNvwPstq829QYz_xALlO1Z0s8/edi"&amp;"t?usp=share_link"",""นครศรีธรรมราช!I338"")+IMPORTRANGE(""https://docs.google.com/spreadsheets/d/1BeghqumK0IvCmRd2QOy6_afsZq7ZtAGrSnVJy2u7WmY/edit?usp=share_link"",""นราธิวาส!I338"")+IMPORTRANGE(""https://docs.google.com/spreadsheets/d/1IwnW3-jjRf74MCLW-6P"&amp;"iFwMUffRQXZwZA7YM609NmRc/edit?usp=share_link"",""ปัตตานี!I338"")+IMPORTRANGE(""https://docs.google.com/spreadsheets/d/1vl4QWbWdFruual5o_wdo6ZSqXZ_it806oja4CctTLKs/edit?usp=share_link"",""พังงา!I338"")+IMPORTRANGE(""https://docs.google.com/spreadsheets/d/1"&amp;"b6QssHQp2FoAPSMKHOy273KNzAomaIKhtdlvuZ_zDNE/edit?usp=share_link"",""พัทลุง!I338"")+IMPORTRANGE(""https://docs.google.com/spreadsheets/d/1o7UZe4_OqlqtLDHrj01Z2YFRSZDf1DMy1n3XViHaxRc/edit?usp=share_link"",""ภูเก็ต!I338"")+IMPORTRANGE(""https://docs.google.c"&amp;"om/spreadsheets/d/1ctPm1vUzcUCPuOj9-eoHUD85PqINFqUB0TjdSWmR5-c/edit?usp=share_link"",""ยะลา!I338"")+IMPORTRANGE(""https://docs.google.com/spreadsheets/d/1YiDIE7Klmt8osgdapRqYWNr7iPGFSsiJqq46S7PYRE0/edit?usp=share_link"",""ระนอง!I338"")+IMPORTRANGE(""https"&amp;"://docs.google.com/spreadsheets/d/16o_4B-V7AWw_6E93bSpXj_XxVv1oVQctk-B6z1dNEWU/edit?usp=share_link"",""สงขลา!I338"")+IMPORTRANGE(""https://docs.google.com/spreadsheets/d/16cywr71Fj4fA5OGRHsZh30ZG2gwJhMAQv69oVBzYHv0/edit?usp=share_link"",""สตูล!I338"")+IMP"&amp;"ORTRANGE(""https://docs.google.com/spreadsheets/d/1vO9Sws6kMtrVtyvrAJptINXjK8TFBoX9xLYOVK_C8bQ/edit?usp=share_link"",""สุราษฎร์ธานี!I338"")"),18180)</f>
        <v>18180</v>
      </c>
      <c r="J338" s="270">
        <f ca="1">IFERROR(__xludf.DUMMYFUNCTION("IMPORTRANGE(""https://docs.google.com/spreadsheets/d/1kC41EOXpGBFOW658Fs3oD8beYlym0-zO54WY-2Qnp9I/edit?usp=share_link"",""กระบี่!J338"")
+IMPORTRANGE(""https://docs.google.com/spreadsheets/d/1FbzMZY_f3MDiEuK7RpCQKrilJ_kpX0Wm7QBZ1L7EjIU/edit?usp=share_link"&amp;""",""ชุมพร!J338"")+IMPORTRANGE(""https://docs.google.com/spreadsheets/d/1v5sN-00LrXuhBxw4dkh2GrG_z4l5oAqOdJRBCsUyMaM/edit?usp=share_link"",""ตรัง!J338"")+IMPORTRANGE(""https://docs.google.com/spreadsheets/d/1T5rRTzFc79aSIvqnzkZNvwPstq829QYz_xALlO1Z0s8/edi"&amp;"t?usp=share_link"",""นครศรีธรรมราช!J338"")+IMPORTRANGE(""https://docs.google.com/spreadsheets/d/1BeghqumK0IvCmRd2QOy6_afsZq7ZtAGrSnVJy2u7WmY/edit?usp=share_link"",""นราธิวาส!J338"")+IMPORTRANGE(""https://docs.google.com/spreadsheets/d/1IwnW3-jjRf74MCLW-6P"&amp;"iFwMUffRQXZwZA7YM609NmRc/edit?usp=share_link"",""ปัตตานี!J338"")+IMPORTRANGE(""https://docs.google.com/spreadsheets/d/1vl4QWbWdFruual5o_wdo6ZSqXZ_it806oja4CctTLKs/edit?usp=share_link"",""พังงา!J338"")+IMPORTRANGE(""https://docs.google.com/spreadsheets/d/1"&amp;"b6QssHQp2FoAPSMKHOy273KNzAomaIKhtdlvuZ_zDNE/edit?usp=share_link"",""พัทลุง!J338"")+IMPORTRANGE(""https://docs.google.com/spreadsheets/d/1o7UZe4_OqlqtLDHrj01Z2YFRSZDf1DMy1n3XViHaxRc/edit?usp=share_link"",""ภูเก็ต!J338"")+IMPORTRANGE(""https://docs.google.c"&amp;"om/spreadsheets/d/1ctPm1vUzcUCPuOj9-eoHUD85PqINFqUB0TjdSWmR5-c/edit?usp=share_link"",""ยะลา!J338"")+IMPORTRANGE(""https://docs.google.com/spreadsheets/d/1YiDIE7Klmt8osgdapRqYWNr7iPGFSsiJqq46S7PYRE0/edit?usp=share_link"",""ระนอง!J338"")+IMPORTRANGE(""https"&amp;"://docs.google.com/spreadsheets/d/16o_4B-V7AWw_6E93bSpXj_XxVv1oVQctk-B6z1dNEWU/edit?usp=share_link"",""สงขลา!J338"")+IMPORTRANGE(""https://docs.google.com/spreadsheets/d/16cywr71Fj4fA5OGRHsZh30ZG2gwJhMAQv69oVBzYHv0/edit?usp=share_link"",""สตูล!J338"")+IMP"&amp;"ORTRANGE(""https://docs.google.com/spreadsheets/d/1vO9Sws6kMtrVtyvrAJptINXjK8TFBoX9xLYOVK_C8bQ/edit?usp=share_link"",""สุราษฎร์ธานี!J338"")"),18533)</f>
        <v>18533</v>
      </c>
      <c r="K338" s="38">
        <f ca="1">IF(I338&gt;0,J338*100/I338,0)</f>
        <v>101.94169416941695</v>
      </c>
      <c r="L338" s="38"/>
      <c r="M338" s="38"/>
      <c r="N338" s="38"/>
      <c r="O338" s="38"/>
      <c r="P338" s="38"/>
    </row>
    <row r="339" spans="1:26" ht="20.25" customHeight="1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20.25" customHeight="1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IFERROR(__xludf.DUMMYFUNCTION("IMPORTRANGE(""https://docs.google.com/spreadsheets/d/1kC41EOXpGBFOW658Fs3oD8beYlym0-zO54WY-2Qnp9I/edit?usp=share_link"",""กระบี่!I340"")
+IMPORTRANGE(""https://docs.google.com/spreadsheets/d/1FbzMZY_f3MDiEuK7RpCQKrilJ_kpX0Wm7QBZ1L7EjIU/edit?usp=share_link"&amp;""",""ชุมพร!I340"")+IMPORTRANGE(""https://docs.google.com/spreadsheets/d/1v5sN-00LrXuhBxw4dkh2GrG_z4l5oAqOdJRBCsUyMaM/edit?usp=share_link"",""ตรัง!I340"")+IMPORTRANGE(""https://docs.google.com/spreadsheets/d/1T5rRTzFc79aSIvqnzkZNvwPstq829QYz_xALlO1Z0s8/edi"&amp;"t?usp=share_link"",""นครศรีธรรมราช!I340"")+IMPORTRANGE(""https://docs.google.com/spreadsheets/d/1BeghqumK0IvCmRd2QOy6_afsZq7ZtAGrSnVJy2u7WmY/edit?usp=share_link"",""นราธิวาส!I340"")+IMPORTRANGE(""https://docs.google.com/spreadsheets/d/1IwnW3-jjRf74MCLW-6P"&amp;"iFwMUffRQXZwZA7YM609NmRc/edit?usp=share_link"",""ปัตตานี!I340"")+IMPORTRANGE(""https://docs.google.com/spreadsheets/d/1vl4QWbWdFruual5o_wdo6ZSqXZ_it806oja4CctTLKs/edit?usp=share_link"",""พังงา!I340"")+IMPORTRANGE(""https://docs.google.com/spreadsheets/d/1"&amp;"b6QssHQp2FoAPSMKHOy273KNzAomaIKhtdlvuZ_zDNE/edit?usp=share_link"",""พัทลุง!I340"")+IMPORTRANGE(""https://docs.google.com/spreadsheets/d/1o7UZe4_OqlqtLDHrj01Z2YFRSZDf1DMy1n3XViHaxRc/edit?usp=share_link"",""ภูเก็ต!I340"")+IMPORTRANGE(""https://docs.google.c"&amp;"om/spreadsheets/d/1ctPm1vUzcUCPuOj9-eoHUD85PqINFqUB0TjdSWmR5-c/edit?usp=share_link"",""ยะลา!I340"")+IMPORTRANGE(""https://docs.google.com/spreadsheets/d/1YiDIE7Klmt8osgdapRqYWNr7iPGFSsiJqq46S7PYRE0/edit?usp=share_link"",""ระนอง!I340"")+IMPORTRANGE(""https"&amp;"://docs.google.com/spreadsheets/d/16o_4B-V7AWw_6E93bSpXj_XxVv1oVQctk-B6z1dNEWU/edit?usp=share_link"",""สงขลา!I340"")+IMPORTRANGE(""https://docs.google.com/spreadsheets/d/16cywr71Fj4fA5OGRHsZh30ZG2gwJhMAQv69oVBzYHv0/edit?usp=share_link"",""สตูล!I340"")+IMP"&amp;"ORTRANGE(""https://docs.google.com/spreadsheets/d/1vO9Sws6kMtrVtyvrAJptINXjK8TFBoX9xLYOVK_C8bQ/edit?usp=share_link"",""สุราษฎร์ธานี!I340"")"),55)</f>
        <v>55</v>
      </c>
      <c r="J340" s="270">
        <f ca="1">IFERROR(__xludf.DUMMYFUNCTION("IMPORTRANGE(""https://docs.google.com/spreadsheets/d/1kC41EOXpGBFOW658Fs3oD8beYlym0-zO54WY-2Qnp9I/edit?usp=share_link"",""กระบี่!J340"")
+IMPORTRANGE(""https://docs.google.com/spreadsheets/d/1FbzMZY_f3MDiEuK7RpCQKrilJ_kpX0Wm7QBZ1L7EjIU/edit?usp=share_link"&amp;""",""ชุมพร!J340"")+IMPORTRANGE(""https://docs.google.com/spreadsheets/d/1v5sN-00LrXuhBxw4dkh2GrG_z4l5oAqOdJRBCsUyMaM/edit?usp=share_link"",""ตรัง!J340"")+IMPORTRANGE(""https://docs.google.com/spreadsheets/d/1T5rRTzFc79aSIvqnzkZNvwPstq829QYz_xALlO1Z0s8/edi"&amp;"t?usp=share_link"",""นครศรีธรรมราช!J340"")+IMPORTRANGE(""https://docs.google.com/spreadsheets/d/1BeghqumK0IvCmRd2QOy6_afsZq7ZtAGrSnVJy2u7WmY/edit?usp=share_link"",""นราธิวาส!J340"")+IMPORTRANGE(""https://docs.google.com/spreadsheets/d/1IwnW3-jjRf74MCLW-6P"&amp;"iFwMUffRQXZwZA7YM609NmRc/edit?usp=share_link"",""ปัตตานี!J340"")+IMPORTRANGE(""https://docs.google.com/spreadsheets/d/1vl4QWbWdFruual5o_wdo6ZSqXZ_it806oja4CctTLKs/edit?usp=share_link"",""พังงา!J340"")+IMPORTRANGE(""https://docs.google.com/spreadsheets/d/1"&amp;"b6QssHQp2FoAPSMKHOy273KNzAomaIKhtdlvuZ_zDNE/edit?usp=share_link"",""พัทลุง!J340"")+IMPORTRANGE(""https://docs.google.com/spreadsheets/d/1o7UZe4_OqlqtLDHrj01Z2YFRSZDf1DMy1n3XViHaxRc/edit?usp=share_link"",""ภูเก็ต!J340"")+IMPORTRANGE(""https://docs.google.c"&amp;"om/spreadsheets/d/1ctPm1vUzcUCPuOj9-eoHUD85PqINFqUB0TjdSWmR5-c/edit?usp=share_link"",""ยะลา!J340"")+IMPORTRANGE(""https://docs.google.com/spreadsheets/d/1YiDIE7Klmt8osgdapRqYWNr7iPGFSsiJqq46S7PYRE0/edit?usp=share_link"",""ระนอง!J340"")+IMPORTRANGE(""https"&amp;"://docs.google.com/spreadsheets/d/16o_4B-V7AWw_6E93bSpXj_XxVv1oVQctk-B6z1dNEWU/edit?usp=share_link"",""สงขลา!J340"")+IMPORTRANGE(""https://docs.google.com/spreadsheets/d/16cywr71Fj4fA5OGRHsZh30ZG2gwJhMAQv69oVBzYHv0/edit?usp=share_link"",""สตูล!J340"")+IMP"&amp;"ORTRANGE(""https://docs.google.com/spreadsheets/d/1vO9Sws6kMtrVtyvrAJptINXjK8TFBoX9xLYOVK_C8bQ/edit?usp=share_link"",""สุราษฎร์ธานี!J340"")"),34)</f>
        <v>34</v>
      </c>
      <c r="K340" s="38">
        <f ca="1">IF(I340&gt;0,J340*100/I340,0)</f>
        <v>61.81818181818182</v>
      </c>
      <c r="L340" s="38"/>
      <c r="M340" s="38"/>
      <c r="N340" s="38"/>
      <c r="O340" s="38"/>
      <c r="P340" s="38"/>
    </row>
    <row r="341" spans="1:26" ht="20.25" customHeight="1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IFERROR(__xludf.DUMMYFUNCTION("IMPORTRANGE(""https://docs.google.com/spreadsheets/d/1kC41EOXpGBFOW658Fs3oD8beYlym0-zO54WY-2Qnp9I/edit?usp=share_link"",""กระบี่!J341"")
+IMPORTRANGE(""https://docs.google.com/spreadsheets/d/1FbzMZY_f3MDiEuK7RpCQKrilJ_kpX0Wm7QBZ1L7EjIU/edit?usp=share_link"&amp;""",""ชุมพร!J341"")+IMPORTRANGE(""https://docs.google.com/spreadsheets/d/1v5sN-00LrXuhBxw4dkh2GrG_z4l5oAqOdJRBCsUyMaM/edit?usp=share_link"",""ตรัง!J341"")+IMPORTRANGE(""https://docs.google.com/spreadsheets/d/1T5rRTzFc79aSIvqnzkZNvwPstq829QYz_xALlO1Z0s8/edi"&amp;"t?usp=share_link"",""นครศรีธรรมราช!J341"")+IMPORTRANGE(""https://docs.google.com/spreadsheets/d/1BeghqumK0IvCmRd2QOy6_afsZq7ZtAGrSnVJy2u7WmY/edit?usp=share_link"",""นราธิวาส!J341"")+IMPORTRANGE(""https://docs.google.com/spreadsheets/d/1IwnW3-jjRf74MCLW-6P"&amp;"iFwMUffRQXZwZA7YM609NmRc/edit?usp=share_link"",""ปัตตานี!J341"")+IMPORTRANGE(""https://docs.google.com/spreadsheets/d/1vl4QWbWdFruual5o_wdo6ZSqXZ_it806oja4CctTLKs/edit?usp=share_link"",""พังงา!J341"")+IMPORTRANGE(""https://docs.google.com/spreadsheets/d/1"&amp;"b6QssHQp2FoAPSMKHOy273KNzAomaIKhtdlvuZ_zDNE/edit?usp=share_link"",""พัทลุง!J341"")+IMPORTRANGE(""https://docs.google.com/spreadsheets/d/1o7UZe4_OqlqtLDHrj01Z2YFRSZDf1DMy1n3XViHaxRc/edit?usp=share_link"",""ภูเก็ต!J341"")+IMPORTRANGE(""https://docs.google.c"&amp;"om/spreadsheets/d/1ctPm1vUzcUCPuOj9-eoHUD85PqINFqUB0TjdSWmR5-c/edit?usp=share_link"",""ยะลา!J341"")+IMPORTRANGE(""https://docs.google.com/spreadsheets/d/1YiDIE7Klmt8osgdapRqYWNr7iPGFSsiJqq46S7PYRE0/edit?usp=share_link"",""ระนอง!J341"")+IMPORTRANGE(""https"&amp;"://docs.google.com/spreadsheets/d/16o_4B-V7AWw_6E93bSpXj_XxVv1oVQctk-B6z1dNEWU/edit?usp=share_link"",""สงขลา!J341"")+IMPORTRANGE(""https://docs.google.com/spreadsheets/d/16cywr71Fj4fA5OGRHsZh30ZG2gwJhMAQv69oVBzYHv0/edit?usp=share_link"",""สตูล!J341"")+IMP"&amp;"ORTRANGE(""https://docs.google.com/spreadsheets/d/1vO9Sws6kMtrVtyvrAJptINXjK8TFBoX9xLYOVK_C8bQ/edit?usp=share_link"",""สุราษฎร์ธานี!J341"")"),1297)</f>
        <v>1297</v>
      </c>
      <c r="K341" s="38"/>
      <c r="L341" s="38"/>
      <c r="M341" s="38"/>
      <c r="N341" s="38"/>
      <c r="O341" s="38"/>
      <c r="P341" s="38"/>
    </row>
    <row r="342" spans="1:26" ht="20.25" customHeight="1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IFERROR(__xludf.DUMMYFUNCTION("IMPORTRANGE(""https://docs.google.com/spreadsheets/d/1kC41EOXpGBFOW658Fs3oD8beYlym0-zO54WY-2Qnp9I/edit?usp=share_link"",""กระบี่!J342"")
+IMPORTRANGE(""https://docs.google.com/spreadsheets/d/1FbzMZY_f3MDiEuK7RpCQKrilJ_kpX0Wm7QBZ1L7EjIU/edit?usp=share_link"&amp;""",""ชุมพร!J342"")+IMPORTRANGE(""https://docs.google.com/spreadsheets/d/1v5sN-00LrXuhBxw4dkh2GrG_z4l5oAqOdJRBCsUyMaM/edit?usp=share_link"",""ตรัง!J342"")+IMPORTRANGE(""https://docs.google.com/spreadsheets/d/1T5rRTzFc79aSIvqnzkZNvwPstq829QYz_xALlO1Z0s8/edi"&amp;"t?usp=share_link"",""นครศรีธรรมราช!J342"")+IMPORTRANGE(""https://docs.google.com/spreadsheets/d/1BeghqumK0IvCmRd2QOy6_afsZq7ZtAGrSnVJy2u7WmY/edit?usp=share_link"",""นราธิวาส!J342"")+IMPORTRANGE(""https://docs.google.com/spreadsheets/d/1IwnW3-jjRf74MCLW-6P"&amp;"iFwMUffRQXZwZA7YM609NmRc/edit?usp=share_link"",""ปัตตานี!J342"")+IMPORTRANGE(""https://docs.google.com/spreadsheets/d/1vl4QWbWdFruual5o_wdo6ZSqXZ_it806oja4CctTLKs/edit?usp=share_link"",""พังงา!J342"")+IMPORTRANGE(""https://docs.google.com/spreadsheets/d/1"&amp;"b6QssHQp2FoAPSMKHOy273KNzAomaIKhtdlvuZ_zDNE/edit?usp=share_link"",""พัทลุง!J342"")+IMPORTRANGE(""https://docs.google.com/spreadsheets/d/1o7UZe4_OqlqtLDHrj01Z2YFRSZDf1DMy1n3XViHaxRc/edit?usp=share_link"",""ภูเก็ต!J342"")+IMPORTRANGE(""https://docs.google.c"&amp;"om/spreadsheets/d/1ctPm1vUzcUCPuOj9-eoHUD85PqINFqUB0TjdSWmR5-c/edit?usp=share_link"",""ยะลา!J342"")+IMPORTRANGE(""https://docs.google.com/spreadsheets/d/1YiDIE7Klmt8osgdapRqYWNr7iPGFSsiJqq46S7PYRE0/edit?usp=share_link"",""ระนอง!J342"")+IMPORTRANGE(""https"&amp;"://docs.google.com/spreadsheets/d/16o_4B-V7AWw_6E93bSpXj_XxVv1oVQctk-B6z1dNEWU/edit?usp=share_link"",""สงขลา!J342"")+IMPORTRANGE(""https://docs.google.com/spreadsheets/d/16cywr71Fj4fA5OGRHsZh30ZG2gwJhMAQv69oVBzYHv0/edit?usp=share_link"",""สตูล!J342"")+IMP"&amp;"ORTRANGE(""https://docs.google.com/spreadsheets/d/1vO9Sws6kMtrVtyvrAJptINXjK8TFBoX9xLYOVK_C8bQ/edit?usp=share_link"",""สุราษฎร์ธานี!J342"")"),2)</f>
        <v>2</v>
      </c>
      <c r="K342" s="38"/>
      <c r="L342" s="38"/>
      <c r="M342" s="38"/>
      <c r="N342" s="38"/>
      <c r="O342" s="38"/>
      <c r="P342" s="38"/>
    </row>
    <row r="343" spans="1:26" ht="20.25" customHeight="1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IFERROR(__xludf.DUMMYFUNCTION("IMPORTRANGE(""https://docs.google.com/spreadsheets/d/1kC41EOXpGBFOW658Fs3oD8beYlym0-zO54WY-2Qnp9I/edit?usp=share_link"",""กระบี่!J343"")
+IMPORTRANGE(""https://docs.google.com/spreadsheets/d/1FbzMZY_f3MDiEuK7RpCQKrilJ_kpX0Wm7QBZ1L7EjIU/edit?usp=share_link"&amp;""",""ชุมพร!J343"")+IMPORTRANGE(""https://docs.google.com/spreadsheets/d/1v5sN-00LrXuhBxw4dkh2GrG_z4l5oAqOdJRBCsUyMaM/edit?usp=share_link"",""ตรัง!J343"")+IMPORTRANGE(""https://docs.google.com/spreadsheets/d/1T5rRTzFc79aSIvqnzkZNvwPstq829QYz_xALlO1Z0s8/edi"&amp;"t?usp=share_link"",""นครศรีธรรมราช!J343"")+IMPORTRANGE(""https://docs.google.com/spreadsheets/d/1BeghqumK0IvCmRd2QOy6_afsZq7ZtAGrSnVJy2u7WmY/edit?usp=share_link"",""นราธิวาส!J343"")+IMPORTRANGE(""https://docs.google.com/spreadsheets/d/1IwnW3-jjRf74MCLW-6P"&amp;"iFwMUffRQXZwZA7YM609NmRc/edit?usp=share_link"",""ปัตตานี!J343"")+IMPORTRANGE(""https://docs.google.com/spreadsheets/d/1vl4QWbWdFruual5o_wdo6ZSqXZ_it806oja4CctTLKs/edit?usp=share_link"",""พังงา!J343"")+IMPORTRANGE(""https://docs.google.com/spreadsheets/d/1"&amp;"b6QssHQp2FoAPSMKHOy273KNzAomaIKhtdlvuZ_zDNE/edit?usp=share_link"",""พัทลุง!J343"")+IMPORTRANGE(""https://docs.google.com/spreadsheets/d/1o7UZe4_OqlqtLDHrj01Z2YFRSZDf1DMy1n3XViHaxRc/edit?usp=share_link"",""ภูเก็ต!J343"")+IMPORTRANGE(""https://docs.google.c"&amp;"om/spreadsheets/d/1ctPm1vUzcUCPuOj9-eoHUD85PqINFqUB0TjdSWmR5-c/edit?usp=share_link"",""ยะลา!J343"")+IMPORTRANGE(""https://docs.google.com/spreadsheets/d/1YiDIE7Klmt8osgdapRqYWNr7iPGFSsiJqq46S7PYRE0/edit?usp=share_link"",""ระนอง!J343"")+IMPORTRANGE(""https"&amp;"://docs.google.com/spreadsheets/d/16o_4B-V7AWw_6E93bSpXj_XxVv1oVQctk-B6z1dNEWU/edit?usp=share_link"",""สงขลา!J343"")+IMPORTRANGE(""https://docs.google.com/spreadsheets/d/16cywr71Fj4fA5OGRHsZh30ZG2gwJhMAQv69oVBzYHv0/edit?usp=share_link"",""สตูล!J343"")+IMP"&amp;"ORTRANGE(""https://docs.google.com/spreadsheets/d/1vO9Sws6kMtrVtyvrAJptINXjK8TFBoX9xLYOVK_C8bQ/edit?usp=share_link"",""สุราษฎร์ธานี!J343"")"),54)</f>
        <v>54</v>
      </c>
      <c r="K343" s="38"/>
      <c r="L343" s="38"/>
      <c r="M343" s="38"/>
      <c r="N343" s="38"/>
      <c r="O343" s="38"/>
      <c r="P343" s="38"/>
    </row>
    <row r="344" spans="1:26" ht="20.25" customHeight="1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20.25" customHeight="1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1">L346+L347</f>
        <v>10140670</v>
      </c>
      <c r="M345" s="155">
        <f t="shared" ca="1" si="181"/>
        <v>8470242</v>
      </c>
      <c r="N345" s="155">
        <f t="shared" ca="1" si="181"/>
        <v>5848599.9699999997</v>
      </c>
      <c r="O345" s="155">
        <f t="shared" ref="O345:O353" ca="1" si="182">IF(L345&gt;0,N345*100/L345,0)</f>
        <v>57.674689838048174</v>
      </c>
      <c r="P345" s="155">
        <f t="shared" ref="P345:P353" ca="1" si="183">IF(M345&gt;0,N345*100/M345,0)</f>
        <v>69.048794237520013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20.25" hidden="1" customHeight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4">L349+L352</f>
        <v>0</v>
      </c>
      <c r="M346" s="45">
        <f t="shared" si="184"/>
        <v>0</v>
      </c>
      <c r="N346" s="45">
        <f t="shared" si="184"/>
        <v>0</v>
      </c>
      <c r="O346" s="45">
        <f t="shared" si="182"/>
        <v>0</v>
      </c>
      <c r="P346" s="45">
        <f t="shared" si="183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20.25" hidden="1" customHeight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5">L350+L353</f>
        <v>10140670</v>
      </c>
      <c r="M347" s="45">
        <f t="shared" ca="1" si="185"/>
        <v>8470242</v>
      </c>
      <c r="N347" s="45">
        <f t="shared" ca="1" si="185"/>
        <v>5848599.9699999997</v>
      </c>
      <c r="O347" s="45">
        <f t="shared" ca="1" si="182"/>
        <v>57.674689838048174</v>
      </c>
      <c r="P347" s="45">
        <f t="shared" ca="1" si="183"/>
        <v>69.048794237520013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20.25" customHeight="1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6">L349+L350</f>
        <v>8808470</v>
      </c>
      <c r="M348" s="38">
        <f t="shared" ca="1" si="186"/>
        <v>7165432</v>
      </c>
      <c r="N348" s="38">
        <f t="shared" ca="1" si="186"/>
        <v>4543789.97</v>
      </c>
      <c r="O348" s="38">
        <f t="shared" ca="1" si="182"/>
        <v>51.584327017064254</v>
      </c>
      <c r="P348" s="38">
        <f t="shared" ca="1" si="183"/>
        <v>63.412645183151554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20.25" hidden="1" customHeight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2"/>
        <v>0</v>
      </c>
      <c r="P349" s="45">
        <f t="shared" si="183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20.25" hidden="1" customHeight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IFERROR(__xludf.DUMMYFUNCTION("IMPORTRANGE(""https://docs.google.com/spreadsheets/d/1kC41EOXpGBFOW658Fs3oD8beYlym0-zO54WY-2Qnp9I/edit?usp=share_link"",""กระบี่!L350"")
+IMPORTRANGE(""https://docs.google.com/spreadsheets/d/1FbzMZY_f3MDiEuK7RpCQKrilJ_kpX0Wm7QBZ1L7EjIU/edit?usp=share_link"&amp;""",""ชุมพร!L350"")+IMPORTRANGE(""https://docs.google.com/spreadsheets/d/1v5sN-00LrXuhBxw4dkh2GrG_z4l5oAqOdJRBCsUyMaM/edit?usp=share_link"",""ตรัง!L350"")+IMPORTRANGE(""https://docs.google.com/spreadsheets/d/1T5rRTzFc79aSIvqnzkZNvwPstq829QYz_xALlO1Z0s8/edi"&amp;"t?usp=share_link"",""นครศรีธรรมราช!L350"")+IMPORTRANGE(""https://docs.google.com/spreadsheets/d/1BeghqumK0IvCmRd2QOy6_afsZq7ZtAGrSnVJy2u7WmY/edit?usp=share_link"",""นราธิวาส!L350"")+IMPORTRANGE(""https://docs.google.com/spreadsheets/d/1IwnW3-jjRf74MCLW-6P"&amp;"iFwMUffRQXZwZA7YM609NmRc/edit?usp=share_link"",""ปัตตานี!L350"")+IMPORTRANGE(""https://docs.google.com/spreadsheets/d/1vl4QWbWdFruual5o_wdo6ZSqXZ_it806oja4CctTLKs/edit?usp=share_link"",""พังงา!L350"")+IMPORTRANGE(""https://docs.google.com/spreadsheets/d/1"&amp;"b6QssHQp2FoAPSMKHOy273KNzAomaIKhtdlvuZ_zDNE/edit?usp=share_link"",""พัทลุง!L350"")+IMPORTRANGE(""https://docs.google.com/spreadsheets/d/1o7UZe4_OqlqtLDHrj01Z2YFRSZDf1DMy1n3XViHaxRc/edit?usp=share_link"",""ภูเก็ต!L350"")+IMPORTRANGE(""https://docs.google.c"&amp;"om/spreadsheets/d/1ctPm1vUzcUCPuOj9-eoHUD85PqINFqUB0TjdSWmR5-c/edit?usp=share_link"",""ยะลา!L350"")+IMPORTRANGE(""https://docs.google.com/spreadsheets/d/1YiDIE7Klmt8osgdapRqYWNr7iPGFSsiJqq46S7PYRE0/edit?usp=share_link"",""ระนอง!L350"")+IMPORTRANGE(""https"&amp;"://docs.google.com/spreadsheets/d/16o_4B-V7AWw_6E93bSpXj_XxVv1oVQctk-B6z1dNEWU/edit?usp=share_link"",""สงขลา!L350"")+IMPORTRANGE(""https://docs.google.com/spreadsheets/d/16cywr71Fj4fA5OGRHsZh30ZG2gwJhMAQv69oVBzYHv0/edit?usp=share_link"",""สตูล!L350"")+IMP"&amp;"ORTRANGE(""https://docs.google.com/spreadsheets/d/1vO9Sws6kMtrVtyvrAJptINXjK8TFBoX9xLYOVK_C8bQ/edit?usp=share_link"",""สุราษฎร์ธานี!L350"")"),8808470)</f>
        <v>8808470</v>
      </c>
      <c r="M350" s="45">
        <f ca="1">IFERROR(__xludf.DUMMYFUNCTION("IMPORTRANGE(""https://docs.google.com/spreadsheets/d/1kC41EOXpGBFOW658Fs3oD8beYlym0-zO54WY-2Qnp9I/edit?usp=share_link"",""กระบี่!M350"")
+IMPORTRANGE(""https://docs.google.com/spreadsheets/d/1FbzMZY_f3MDiEuK7RpCQKrilJ_kpX0Wm7QBZ1L7EjIU/edit?usp=share_link"&amp;""",""ชุมพร!M350"")+IMPORTRANGE(""https://docs.google.com/spreadsheets/d/1v5sN-00LrXuhBxw4dkh2GrG_z4l5oAqOdJRBCsUyMaM/edit?usp=share_link"",""ตรัง!M350"")+IMPORTRANGE(""https://docs.google.com/spreadsheets/d/1T5rRTzFc79aSIvqnzkZNvwPstq829QYz_xALlO1Z0s8/edi"&amp;"t?usp=share_link"",""นครศรีธรรมราช!M350"")+IMPORTRANGE(""https://docs.google.com/spreadsheets/d/1BeghqumK0IvCmRd2QOy6_afsZq7ZtAGrSnVJy2u7WmY/edit?usp=share_link"",""นราธิวาส!M350"")+IMPORTRANGE(""https://docs.google.com/spreadsheets/d/1IwnW3-jjRf74MCLW-6P"&amp;"iFwMUffRQXZwZA7YM609NmRc/edit?usp=share_link"",""ปัตตานี!M350"")+IMPORTRANGE(""https://docs.google.com/spreadsheets/d/1vl4QWbWdFruual5o_wdo6ZSqXZ_it806oja4CctTLKs/edit?usp=share_link"",""พังงา!M350"")+IMPORTRANGE(""https://docs.google.com/spreadsheets/d/1"&amp;"b6QssHQp2FoAPSMKHOy273KNzAomaIKhtdlvuZ_zDNE/edit?usp=share_link"",""พัทลุง!M350"")+IMPORTRANGE(""https://docs.google.com/spreadsheets/d/1o7UZe4_OqlqtLDHrj01Z2YFRSZDf1DMy1n3XViHaxRc/edit?usp=share_link"",""ภูเก็ต!M350"")+IMPORTRANGE(""https://docs.google.c"&amp;"om/spreadsheets/d/1ctPm1vUzcUCPuOj9-eoHUD85PqINFqUB0TjdSWmR5-c/edit?usp=share_link"",""ยะลา!M350"")+IMPORTRANGE(""https://docs.google.com/spreadsheets/d/1YiDIE7Klmt8osgdapRqYWNr7iPGFSsiJqq46S7PYRE0/edit?usp=share_link"",""ระนอง!M350"")+IMPORTRANGE(""https"&amp;"://docs.google.com/spreadsheets/d/16o_4B-V7AWw_6E93bSpXj_XxVv1oVQctk-B6z1dNEWU/edit?usp=share_link"",""สงขลา!M350"")+IMPORTRANGE(""https://docs.google.com/spreadsheets/d/16cywr71Fj4fA5OGRHsZh30ZG2gwJhMAQv69oVBzYHv0/edit?usp=share_link"",""สตูล!M350"")+IMP"&amp;"ORTRANGE(""https://docs.google.com/spreadsheets/d/1vO9Sws6kMtrVtyvrAJptINXjK8TFBoX9xLYOVK_C8bQ/edit?usp=share_link"",""สุราษฎร์ธานี!M350"")"),7165432)</f>
        <v>7165432</v>
      </c>
      <c r="N350" s="45">
        <f ca="1">IFERROR(__xludf.DUMMYFUNCTION("IMPORTRANGE(""https://docs.google.com/spreadsheets/d/1kC41EOXpGBFOW658Fs3oD8beYlym0-zO54WY-2Qnp9I/edit?usp=share_link"",""กระบี่!N350"")
+IMPORTRANGE(""https://docs.google.com/spreadsheets/d/1FbzMZY_f3MDiEuK7RpCQKrilJ_kpX0Wm7QBZ1L7EjIU/edit?usp=share_link"&amp;""",""ชุมพร!N350"")+IMPORTRANGE(""https://docs.google.com/spreadsheets/d/1v5sN-00LrXuhBxw4dkh2GrG_z4l5oAqOdJRBCsUyMaM/edit?usp=share_link"",""ตรัง!N350"")+IMPORTRANGE(""https://docs.google.com/spreadsheets/d/1T5rRTzFc79aSIvqnzkZNvwPstq829QYz_xALlO1Z0s8/edi"&amp;"t?usp=share_link"",""นครศรีธรรมราช!N350"")+IMPORTRANGE(""https://docs.google.com/spreadsheets/d/1BeghqumK0IvCmRd2QOy6_afsZq7ZtAGrSnVJy2u7WmY/edit?usp=share_link"",""นราธิวาส!N350"")+IMPORTRANGE(""https://docs.google.com/spreadsheets/d/1IwnW3-jjRf74MCLW-6P"&amp;"iFwMUffRQXZwZA7YM609NmRc/edit?usp=share_link"",""ปัตตานี!N350"")+IMPORTRANGE(""https://docs.google.com/spreadsheets/d/1vl4QWbWdFruual5o_wdo6ZSqXZ_it806oja4CctTLKs/edit?usp=share_link"",""พังงา!N350"")+IMPORTRANGE(""https://docs.google.com/spreadsheets/d/1"&amp;"b6QssHQp2FoAPSMKHOy273KNzAomaIKhtdlvuZ_zDNE/edit?usp=share_link"",""พัทลุง!N350"")+IMPORTRANGE(""https://docs.google.com/spreadsheets/d/1o7UZe4_OqlqtLDHrj01Z2YFRSZDf1DMy1n3XViHaxRc/edit?usp=share_link"",""ภูเก็ต!N350"")+IMPORTRANGE(""https://docs.google.c"&amp;"om/spreadsheets/d/1ctPm1vUzcUCPuOj9-eoHUD85PqINFqUB0TjdSWmR5-c/edit?usp=share_link"",""ยะลา!N350"")+IMPORTRANGE(""https://docs.google.com/spreadsheets/d/1YiDIE7Klmt8osgdapRqYWNr7iPGFSsiJqq46S7PYRE0/edit?usp=share_link"",""ระนอง!N350"")+IMPORTRANGE(""https"&amp;"://docs.google.com/spreadsheets/d/16o_4B-V7AWw_6E93bSpXj_XxVv1oVQctk-B6z1dNEWU/edit?usp=share_link"",""สงขลา!N350"")+IMPORTRANGE(""https://docs.google.com/spreadsheets/d/16cywr71Fj4fA5OGRHsZh30ZG2gwJhMAQv69oVBzYHv0/edit?usp=share_link"",""สตูล!N350"")+IMP"&amp;"ORTRANGE(""https://docs.google.com/spreadsheets/d/1vO9Sws6kMtrVtyvrAJptINXjK8TFBoX9xLYOVK_C8bQ/edit?usp=share_link"",""สุราษฎร์ธานี!N350"")"),4543789.97)</f>
        <v>4543789.97</v>
      </c>
      <c r="O350" s="45">
        <f t="shared" ca="1" si="182"/>
        <v>51.584327017064254</v>
      </c>
      <c r="P350" s="45">
        <f t="shared" ca="1" si="183"/>
        <v>63.412645183151554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20.25" customHeight="1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7">L352+L353</f>
        <v>1332200</v>
      </c>
      <c r="M351" s="38">
        <f t="shared" ca="1" si="187"/>
        <v>1304810</v>
      </c>
      <c r="N351" s="38">
        <f t="shared" ca="1" si="187"/>
        <v>1304810</v>
      </c>
      <c r="O351" s="38">
        <f t="shared" ca="1" si="182"/>
        <v>97.944002402041733</v>
      </c>
      <c r="P351" s="38">
        <f t="shared" ca="1" si="183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20.25" hidden="1" customHeight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2"/>
        <v>0</v>
      </c>
      <c r="P352" s="45">
        <f t="shared" si="183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20.25" hidden="1" customHeight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IFERROR(__xludf.DUMMYFUNCTION("IMPORTRANGE(""https://docs.google.com/spreadsheets/d/1kC41EOXpGBFOW658Fs3oD8beYlym0-zO54WY-2Qnp9I/edit?usp=share_link"",""กระบี่!L353"")
+IMPORTRANGE(""https://docs.google.com/spreadsheets/d/1FbzMZY_f3MDiEuK7RpCQKrilJ_kpX0Wm7QBZ1L7EjIU/edit?usp=share_link"&amp;""",""ชุมพร!L353"")+IMPORTRANGE(""https://docs.google.com/spreadsheets/d/1v5sN-00LrXuhBxw4dkh2GrG_z4l5oAqOdJRBCsUyMaM/edit?usp=share_link"",""ตรัง!L353"")+IMPORTRANGE(""https://docs.google.com/spreadsheets/d/1T5rRTzFc79aSIvqnzkZNvwPstq829QYz_xALlO1Z0s8/edi"&amp;"t?usp=share_link"",""นครศรีธรรมราช!L353"")+IMPORTRANGE(""https://docs.google.com/spreadsheets/d/1BeghqumK0IvCmRd2QOy6_afsZq7ZtAGrSnVJy2u7WmY/edit?usp=share_link"",""นราธิวาส!L353"")+IMPORTRANGE(""https://docs.google.com/spreadsheets/d/1IwnW3-jjRf74MCLW-6P"&amp;"iFwMUffRQXZwZA7YM609NmRc/edit?usp=share_link"",""ปัตตานี!L353"")+IMPORTRANGE(""https://docs.google.com/spreadsheets/d/1vl4QWbWdFruual5o_wdo6ZSqXZ_it806oja4CctTLKs/edit?usp=share_link"",""พังงา!L353"")+IMPORTRANGE(""https://docs.google.com/spreadsheets/d/1"&amp;"b6QssHQp2FoAPSMKHOy273KNzAomaIKhtdlvuZ_zDNE/edit?usp=share_link"",""พัทลุง!L353"")+IMPORTRANGE(""https://docs.google.com/spreadsheets/d/1o7UZe4_OqlqtLDHrj01Z2YFRSZDf1DMy1n3XViHaxRc/edit?usp=share_link"",""ภูเก็ต!L353"")+IMPORTRANGE(""https://docs.google.c"&amp;"om/spreadsheets/d/1ctPm1vUzcUCPuOj9-eoHUD85PqINFqUB0TjdSWmR5-c/edit?usp=share_link"",""ยะลา!L353"")+IMPORTRANGE(""https://docs.google.com/spreadsheets/d/1YiDIE7Klmt8osgdapRqYWNr7iPGFSsiJqq46S7PYRE0/edit?usp=share_link"",""ระนอง!L353"")+IMPORTRANGE(""https"&amp;"://docs.google.com/spreadsheets/d/16o_4B-V7AWw_6E93bSpXj_XxVv1oVQctk-B6z1dNEWU/edit?usp=share_link"",""สงขลา!L353"")+IMPORTRANGE(""https://docs.google.com/spreadsheets/d/16cywr71Fj4fA5OGRHsZh30ZG2gwJhMAQv69oVBzYHv0/edit?usp=share_link"",""สตูล!L353"")+IMP"&amp;"ORTRANGE(""https://docs.google.com/spreadsheets/d/1vO9Sws6kMtrVtyvrAJptINXjK8TFBoX9xLYOVK_C8bQ/edit?usp=share_link"",""สุราษฎร์ธานี!L353"")"),1332200)</f>
        <v>1332200</v>
      </c>
      <c r="M353" s="45">
        <f ca="1">IFERROR(__xludf.DUMMYFUNCTION("IMPORTRANGE(""https://docs.google.com/spreadsheets/d/1kC41EOXpGBFOW658Fs3oD8beYlym0-zO54WY-2Qnp9I/edit?usp=share_link"",""กระบี่!M353"")
+IMPORTRANGE(""https://docs.google.com/spreadsheets/d/1FbzMZY_f3MDiEuK7RpCQKrilJ_kpX0Wm7QBZ1L7EjIU/edit?usp=share_link"&amp;""",""ชุมพร!M353"")+IMPORTRANGE(""https://docs.google.com/spreadsheets/d/1v5sN-00LrXuhBxw4dkh2GrG_z4l5oAqOdJRBCsUyMaM/edit?usp=share_link"",""ตรัง!M353"")+IMPORTRANGE(""https://docs.google.com/spreadsheets/d/1T5rRTzFc79aSIvqnzkZNvwPstq829QYz_xALlO1Z0s8/edi"&amp;"t?usp=share_link"",""นครศรีธรรมราช!M353"")+IMPORTRANGE(""https://docs.google.com/spreadsheets/d/1BeghqumK0IvCmRd2QOy6_afsZq7ZtAGrSnVJy2u7WmY/edit?usp=share_link"",""นราธิวาส!M353"")+IMPORTRANGE(""https://docs.google.com/spreadsheets/d/1IwnW3-jjRf74MCLW-6P"&amp;"iFwMUffRQXZwZA7YM609NmRc/edit?usp=share_link"",""ปัตตานี!M353"")+IMPORTRANGE(""https://docs.google.com/spreadsheets/d/1vl4QWbWdFruual5o_wdo6ZSqXZ_it806oja4CctTLKs/edit?usp=share_link"",""พังงา!M353"")+IMPORTRANGE(""https://docs.google.com/spreadsheets/d/1"&amp;"b6QssHQp2FoAPSMKHOy273KNzAomaIKhtdlvuZ_zDNE/edit?usp=share_link"",""พัทลุง!M353"")+IMPORTRANGE(""https://docs.google.com/spreadsheets/d/1o7UZe4_OqlqtLDHrj01Z2YFRSZDf1DMy1n3XViHaxRc/edit?usp=share_link"",""ภูเก็ต!M353"")+IMPORTRANGE(""https://docs.google.c"&amp;"om/spreadsheets/d/1ctPm1vUzcUCPuOj9-eoHUD85PqINFqUB0TjdSWmR5-c/edit?usp=share_link"",""ยะลา!M353"")+IMPORTRANGE(""https://docs.google.com/spreadsheets/d/1YiDIE7Klmt8osgdapRqYWNr7iPGFSsiJqq46S7PYRE0/edit?usp=share_link"",""ระนอง!M353"")+IMPORTRANGE(""https"&amp;"://docs.google.com/spreadsheets/d/16o_4B-V7AWw_6E93bSpXj_XxVv1oVQctk-B6z1dNEWU/edit?usp=share_link"",""สงขลา!M353"")+IMPORTRANGE(""https://docs.google.com/spreadsheets/d/16cywr71Fj4fA5OGRHsZh30ZG2gwJhMAQv69oVBzYHv0/edit?usp=share_link"",""สตูล!M353"")+IMP"&amp;"ORTRANGE(""https://docs.google.com/spreadsheets/d/1vO9Sws6kMtrVtyvrAJptINXjK8TFBoX9xLYOVK_C8bQ/edit?usp=share_link"",""สุราษฎร์ธานี!M353"")"),1304810)</f>
        <v>1304810</v>
      </c>
      <c r="N353" s="45">
        <f ca="1">IFERROR(__xludf.DUMMYFUNCTION("IMPORTRANGE(""https://docs.google.com/spreadsheets/d/1kC41EOXpGBFOW658Fs3oD8beYlym0-zO54WY-2Qnp9I/edit?usp=share_link"",""กระบี่!N353"")
+IMPORTRANGE(""https://docs.google.com/spreadsheets/d/1FbzMZY_f3MDiEuK7RpCQKrilJ_kpX0Wm7QBZ1L7EjIU/edit?usp=share_link"&amp;""",""ชุมพร!N353"")+IMPORTRANGE(""https://docs.google.com/spreadsheets/d/1v5sN-00LrXuhBxw4dkh2GrG_z4l5oAqOdJRBCsUyMaM/edit?usp=share_link"",""ตรัง!N353"")+IMPORTRANGE(""https://docs.google.com/spreadsheets/d/1T5rRTzFc79aSIvqnzkZNvwPstq829QYz_xALlO1Z0s8/edi"&amp;"t?usp=share_link"",""นครศรีธรรมราช!N353"")+IMPORTRANGE(""https://docs.google.com/spreadsheets/d/1BeghqumK0IvCmRd2QOy6_afsZq7ZtAGrSnVJy2u7WmY/edit?usp=share_link"",""นราธิวาส!N353"")+IMPORTRANGE(""https://docs.google.com/spreadsheets/d/1IwnW3-jjRf74MCLW-6P"&amp;"iFwMUffRQXZwZA7YM609NmRc/edit?usp=share_link"",""ปัตตานี!N353"")+IMPORTRANGE(""https://docs.google.com/spreadsheets/d/1vl4QWbWdFruual5o_wdo6ZSqXZ_it806oja4CctTLKs/edit?usp=share_link"",""พังงา!N353"")+IMPORTRANGE(""https://docs.google.com/spreadsheets/d/1"&amp;"b6QssHQp2FoAPSMKHOy273KNzAomaIKhtdlvuZ_zDNE/edit?usp=share_link"",""พัทลุง!N353"")+IMPORTRANGE(""https://docs.google.com/spreadsheets/d/1o7UZe4_OqlqtLDHrj01Z2YFRSZDf1DMy1n3XViHaxRc/edit?usp=share_link"",""ภูเก็ต!N353"")+IMPORTRANGE(""https://docs.google.c"&amp;"om/spreadsheets/d/1ctPm1vUzcUCPuOj9-eoHUD85PqINFqUB0TjdSWmR5-c/edit?usp=share_link"",""ยะลา!N353"")+IMPORTRANGE(""https://docs.google.com/spreadsheets/d/1YiDIE7Klmt8osgdapRqYWNr7iPGFSsiJqq46S7PYRE0/edit?usp=share_link"",""ระนอง!N353"")+IMPORTRANGE(""https"&amp;"://docs.google.com/spreadsheets/d/16o_4B-V7AWw_6E93bSpXj_XxVv1oVQctk-B6z1dNEWU/edit?usp=share_link"",""สงขลา!N353"")+IMPORTRANGE(""https://docs.google.com/spreadsheets/d/16cywr71Fj4fA5OGRHsZh30ZG2gwJhMAQv69oVBzYHv0/edit?usp=share_link"",""สตูล!N353"")+IMP"&amp;"ORTRANGE(""https://docs.google.com/spreadsheets/d/1vO9Sws6kMtrVtyvrAJptINXjK8TFBoX9xLYOVK_C8bQ/edit?usp=share_link"",""สุราษฎร์ธานี!N353"")"),1304810)</f>
        <v>1304810</v>
      </c>
      <c r="O353" s="45">
        <f t="shared" ca="1" si="182"/>
        <v>97.944002402041733</v>
      </c>
      <c r="P353" s="45">
        <f t="shared" ca="1" si="183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20.25" customHeight="1">
      <c r="A354" s="256"/>
      <c r="B354" s="264"/>
      <c r="C354" s="257"/>
      <c r="D354" s="455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20.25" customHeight="1">
      <c r="A355" s="457"/>
      <c r="B355" s="458"/>
      <c r="C355" s="459"/>
      <c r="D355" s="460" t="s">
        <v>159</v>
      </c>
      <c r="E355" s="461"/>
      <c r="F355" s="461"/>
      <c r="G355" s="462"/>
      <c r="H355" s="463" t="s">
        <v>35</v>
      </c>
      <c r="I355" s="464">
        <f ca="1">IFERROR(__xludf.DUMMYFUNCTION("IMPORTRANGE(""https://docs.google.com/spreadsheets/d/1kC41EOXpGBFOW658Fs3oD8beYlym0-zO54WY-2Qnp9I/edit?usp=share_link"",""กระบี่!I355"")
+IMPORTRANGE(""https://docs.google.com/spreadsheets/d/1FbzMZY_f3MDiEuK7RpCQKrilJ_kpX0Wm7QBZ1L7EjIU/edit?usp=share_link"&amp;""",""ชุมพร!I355"")+IMPORTRANGE(""https://docs.google.com/spreadsheets/d/1v5sN-00LrXuhBxw4dkh2GrG_z4l5oAqOdJRBCsUyMaM/edit?usp=share_link"",""ตรัง!I355"")+IMPORTRANGE(""https://docs.google.com/spreadsheets/d/1T5rRTzFc79aSIvqnzkZNvwPstq829QYz_xALlO1Z0s8/edi"&amp;"t?usp=share_link"",""นครศรีธรรมราช!I355"")+IMPORTRANGE(""https://docs.google.com/spreadsheets/d/1BeghqumK0IvCmRd2QOy6_afsZq7ZtAGrSnVJy2u7WmY/edit?usp=share_link"",""นราธิวาส!I355"")+IMPORTRANGE(""https://docs.google.com/spreadsheets/d/1IwnW3-jjRf74MCLW-6P"&amp;"iFwMUffRQXZwZA7YM609NmRc/edit?usp=share_link"",""ปัตตานี!I355"")+IMPORTRANGE(""https://docs.google.com/spreadsheets/d/1vl4QWbWdFruual5o_wdo6ZSqXZ_it806oja4CctTLKs/edit?usp=share_link"",""พังงา!I355"")+IMPORTRANGE(""https://docs.google.com/spreadsheets/d/1"&amp;"b6QssHQp2FoAPSMKHOy273KNzAomaIKhtdlvuZ_zDNE/edit?usp=share_link"",""พัทลุง!I355"")+IMPORTRANGE(""https://docs.google.com/spreadsheets/d/1o7UZe4_OqlqtLDHrj01Z2YFRSZDf1DMy1n3XViHaxRc/edit?usp=share_link"",""ภูเก็ต!I355"")+IMPORTRANGE(""https://docs.google.c"&amp;"om/spreadsheets/d/1ctPm1vUzcUCPuOj9-eoHUD85PqINFqUB0TjdSWmR5-c/edit?usp=share_link"",""ยะลา!I355"")+IMPORTRANGE(""https://docs.google.com/spreadsheets/d/1YiDIE7Klmt8osgdapRqYWNr7iPGFSsiJqq46S7PYRE0/edit?usp=share_link"",""ระนอง!I355"")+IMPORTRANGE(""https"&amp;"://docs.google.com/spreadsheets/d/16o_4B-V7AWw_6E93bSpXj_XxVv1oVQctk-B6z1dNEWU/edit?usp=share_link"",""สงขลา!I355"")+IMPORTRANGE(""https://docs.google.com/spreadsheets/d/16cywr71Fj4fA5OGRHsZh30ZG2gwJhMAQv69oVBzYHv0/edit?usp=share_link"",""สตูล!I355"")+IMP"&amp;"ORTRANGE(""https://docs.google.com/spreadsheets/d/1vO9Sws6kMtrVtyvrAJptINXjK8TFBoX9xLYOVK_C8bQ/edit?usp=share_link"",""สุราษฎร์ธานี!I355"")"),2213)</f>
        <v>2213</v>
      </c>
      <c r="J355" s="465">
        <f ca="1">J362</f>
        <v>712</v>
      </c>
      <c r="K355" s="466">
        <f ca="1">IF(I355&gt;0,J355*100/I355,0)</f>
        <v>32.17352010845007</v>
      </c>
      <c r="L355" s="467"/>
      <c r="M355" s="467"/>
      <c r="N355" s="467"/>
      <c r="O355" s="467"/>
      <c r="P355" s="467"/>
    </row>
    <row r="356" spans="1:26" ht="20.25" customHeight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20.25" customHeight="1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20.25" customHeight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IFERROR(__xludf.DUMMYFUNCTION("IMPORTRANGE(""https://docs.google.com/spreadsheets/d/1kC41EOXpGBFOW658Fs3oD8beYlym0-zO54WY-2Qnp9I/edit?usp=share_link"",""กระบี่!J358"")
+IMPORTRANGE(""https://docs.google.com/spreadsheets/d/1FbzMZY_f3MDiEuK7RpCQKrilJ_kpX0Wm7QBZ1L7EjIU/edit?usp=share_link"&amp;""",""ชุมพร!J358"")+IMPORTRANGE(""https://docs.google.com/spreadsheets/d/1v5sN-00LrXuhBxw4dkh2GrG_z4l5oAqOdJRBCsUyMaM/edit?usp=share_link"",""ตรัง!J358"")+IMPORTRANGE(""https://docs.google.com/spreadsheets/d/1T5rRTzFc79aSIvqnzkZNvwPstq829QYz_xALlO1Z0s8/edi"&amp;"t?usp=share_link"",""นครศรีธรรมราช!J358"")+IMPORTRANGE(""https://docs.google.com/spreadsheets/d/1BeghqumK0IvCmRd2QOy6_afsZq7ZtAGrSnVJy2u7WmY/edit?usp=share_link"",""นราธิวาส!J358"")+IMPORTRANGE(""https://docs.google.com/spreadsheets/d/1IwnW3-jjRf74MCLW-6P"&amp;"iFwMUffRQXZwZA7YM609NmRc/edit?usp=share_link"",""ปัตตานี!J358"")+IMPORTRANGE(""https://docs.google.com/spreadsheets/d/1vl4QWbWdFruual5o_wdo6ZSqXZ_it806oja4CctTLKs/edit?usp=share_link"",""พังงา!J358"")+IMPORTRANGE(""https://docs.google.com/spreadsheets/d/1"&amp;"b6QssHQp2FoAPSMKHOy273KNzAomaIKhtdlvuZ_zDNE/edit?usp=share_link"",""พัทลุง!J358"")+IMPORTRANGE(""https://docs.google.com/spreadsheets/d/1o7UZe4_OqlqtLDHrj01Z2YFRSZDf1DMy1n3XViHaxRc/edit?usp=share_link"",""ภูเก็ต!J358"")+IMPORTRANGE(""https://docs.google.c"&amp;"om/spreadsheets/d/1ctPm1vUzcUCPuOj9-eoHUD85PqINFqUB0TjdSWmR5-c/edit?usp=share_link"",""ยะลา!J358"")+IMPORTRANGE(""https://docs.google.com/spreadsheets/d/1YiDIE7Klmt8osgdapRqYWNr7iPGFSsiJqq46S7PYRE0/edit?usp=share_link"",""ระนอง!J358"")+IMPORTRANGE(""https"&amp;"://docs.google.com/spreadsheets/d/16o_4B-V7AWw_6E93bSpXj_XxVv1oVQctk-B6z1dNEWU/edit?usp=share_link"",""สงขลา!J358"")+IMPORTRANGE(""https://docs.google.com/spreadsheets/d/16cywr71Fj4fA5OGRHsZh30ZG2gwJhMAQv69oVBzYHv0/edit?usp=share_link"",""สตูล!J358"")+IMP"&amp;"ORTRANGE(""https://docs.google.com/spreadsheets/d/1vO9Sws6kMtrVtyvrAJptINXjK8TFBoX9xLYOVK_C8bQ/edit?usp=share_link"",""สุราษฎร์ธานี!J358"")"),1481)</f>
        <v>1481</v>
      </c>
      <c r="K358" s="38">
        <f t="shared" ref="K358:K365" si="188">IF(I358&gt;0,J358*100/I358,0)</f>
        <v>0</v>
      </c>
      <c r="L358" s="163"/>
      <c r="M358" s="163"/>
      <c r="N358" s="163"/>
      <c r="O358" s="163"/>
      <c r="P358" s="163"/>
    </row>
    <row r="359" spans="1:26" ht="20.25" customHeight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IFERROR(__xludf.DUMMYFUNCTION("IMPORTRANGE(""https://docs.google.com/spreadsheets/d/1kC41EOXpGBFOW658Fs3oD8beYlym0-zO54WY-2Qnp9I/edit?usp=share_link"",""กระบี่!I359"")
+IMPORTRANGE(""https://docs.google.com/spreadsheets/d/1FbzMZY_f3MDiEuK7RpCQKrilJ_kpX0Wm7QBZ1L7EjIU/edit?usp=share_link"&amp;""",""ชุมพร!I359"")+IMPORTRANGE(""https://docs.google.com/spreadsheets/d/1v5sN-00LrXuhBxw4dkh2GrG_z4l5oAqOdJRBCsUyMaM/edit?usp=share_link"",""ตรัง!I359"")+IMPORTRANGE(""https://docs.google.com/spreadsheets/d/1T5rRTzFc79aSIvqnzkZNvwPstq829QYz_xALlO1Z0s8/edi"&amp;"t?usp=share_link"",""นครศรีธรรมราช!I359"")+IMPORTRANGE(""https://docs.google.com/spreadsheets/d/1BeghqumK0IvCmRd2QOy6_afsZq7ZtAGrSnVJy2u7WmY/edit?usp=share_link"",""นราธิวาส!I359"")+IMPORTRANGE(""https://docs.google.com/spreadsheets/d/1IwnW3-jjRf74MCLW-6P"&amp;"iFwMUffRQXZwZA7YM609NmRc/edit?usp=share_link"",""ปัตตานี!I359"")+IMPORTRANGE(""https://docs.google.com/spreadsheets/d/1vl4QWbWdFruual5o_wdo6ZSqXZ_it806oja4CctTLKs/edit?usp=share_link"",""พังงา!I359"")+IMPORTRANGE(""https://docs.google.com/spreadsheets/d/1"&amp;"b6QssHQp2FoAPSMKHOy273KNzAomaIKhtdlvuZ_zDNE/edit?usp=share_link"",""พัทลุง!I359"")+IMPORTRANGE(""https://docs.google.com/spreadsheets/d/1o7UZe4_OqlqtLDHrj01Z2YFRSZDf1DMy1n3XViHaxRc/edit?usp=share_link"",""ภูเก็ต!I359"")+IMPORTRANGE(""https://docs.google.c"&amp;"om/spreadsheets/d/1ctPm1vUzcUCPuOj9-eoHUD85PqINFqUB0TjdSWmR5-c/edit?usp=share_link"",""ยะลา!I359"")+IMPORTRANGE(""https://docs.google.com/spreadsheets/d/1YiDIE7Klmt8osgdapRqYWNr7iPGFSsiJqq46S7PYRE0/edit?usp=share_link"",""ระนอง!I359"")+IMPORTRANGE(""https"&amp;"://docs.google.com/spreadsheets/d/16o_4B-V7AWw_6E93bSpXj_XxVv1oVQctk-B6z1dNEWU/edit?usp=share_link"",""สงขลา!I359"")+IMPORTRANGE(""https://docs.google.com/spreadsheets/d/16cywr71Fj4fA5OGRHsZh30ZG2gwJhMAQv69oVBzYHv0/edit?usp=share_link"",""สตูล!I359"")+IMP"&amp;"ORTRANGE(""https://docs.google.com/spreadsheets/d/1vO9Sws6kMtrVtyvrAJptINXjK8TFBoX9xLYOVK_C8bQ/edit?usp=share_link"",""สุราษฎร์ธานี!I359"")"),20134)</f>
        <v>20134</v>
      </c>
      <c r="J359" s="270">
        <f ca="1">IFERROR(__xludf.DUMMYFUNCTION("IMPORTRANGE(""https://docs.google.com/spreadsheets/d/1kC41EOXpGBFOW658Fs3oD8beYlym0-zO54WY-2Qnp9I/edit?usp=share_link"",""กระบี่!J359"")
+IMPORTRANGE(""https://docs.google.com/spreadsheets/d/1FbzMZY_f3MDiEuK7RpCQKrilJ_kpX0Wm7QBZ1L7EjIU/edit?usp=share_link"&amp;""",""ชุมพร!J359"")+IMPORTRANGE(""https://docs.google.com/spreadsheets/d/1v5sN-00LrXuhBxw4dkh2GrG_z4l5oAqOdJRBCsUyMaM/edit?usp=share_link"",""ตรัง!J359"")+IMPORTRANGE(""https://docs.google.com/spreadsheets/d/1T5rRTzFc79aSIvqnzkZNvwPstq829QYz_xALlO1Z0s8/edi"&amp;"t?usp=share_link"",""นครศรีธรรมราช!J359"")+IMPORTRANGE(""https://docs.google.com/spreadsheets/d/1BeghqumK0IvCmRd2QOy6_afsZq7ZtAGrSnVJy2u7WmY/edit?usp=share_link"",""นราธิวาส!J359"")+IMPORTRANGE(""https://docs.google.com/spreadsheets/d/1IwnW3-jjRf74MCLW-6P"&amp;"iFwMUffRQXZwZA7YM609NmRc/edit?usp=share_link"",""ปัตตานี!J359"")+IMPORTRANGE(""https://docs.google.com/spreadsheets/d/1vl4QWbWdFruual5o_wdo6ZSqXZ_it806oja4CctTLKs/edit?usp=share_link"",""พังงา!J359"")+IMPORTRANGE(""https://docs.google.com/spreadsheets/d/1"&amp;"b6QssHQp2FoAPSMKHOy273KNzAomaIKhtdlvuZ_zDNE/edit?usp=share_link"",""พัทลุง!J359"")+IMPORTRANGE(""https://docs.google.com/spreadsheets/d/1o7UZe4_OqlqtLDHrj01Z2YFRSZDf1DMy1n3XViHaxRc/edit?usp=share_link"",""ภูเก็ต!J359"")+IMPORTRANGE(""https://docs.google.c"&amp;"om/spreadsheets/d/1ctPm1vUzcUCPuOj9-eoHUD85PqINFqUB0TjdSWmR5-c/edit?usp=share_link"",""ยะลา!J359"")+IMPORTRANGE(""https://docs.google.com/spreadsheets/d/1YiDIE7Klmt8osgdapRqYWNr7iPGFSsiJqq46S7PYRE0/edit?usp=share_link"",""ระนอง!J359"")+IMPORTRANGE(""https"&amp;"://docs.google.com/spreadsheets/d/16o_4B-V7AWw_6E93bSpXj_XxVv1oVQctk-B6z1dNEWU/edit?usp=share_link"",""สงขลา!J359"")+IMPORTRANGE(""https://docs.google.com/spreadsheets/d/16cywr71Fj4fA5OGRHsZh30ZG2gwJhMAQv69oVBzYHv0/edit?usp=share_link"",""สตูล!J359"")+IMP"&amp;"ORTRANGE(""https://docs.google.com/spreadsheets/d/1vO9Sws6kMtrVtyvrAJptINXjK8TFBoX9xLYOVK_C8bQ/edit?usp=share_link"",""สุราษฎร์ธานี!J359"")"),12745.31)</f>
        <v>12745.31</v>
      </c>
      <c r="K359" s="38">
        <f t="shared" ca="1" si="188"/>
        <v>63.302423760802625</v>
      </c>
      <c r="L359" s="163"/>
      <c r="M359" s="163"/>
      <c r="N359" s="163"/>
      <c r="O359" s="163"/>
      <c r="P359" s="163"/>
    </row>
    <row r="360" spans="1:26" ht="20.25" customHeight="1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IFERROR(__xludf.DUMMYFUNCTION("IMPORTRANGE(""https://docs.google.com/spreadsheets/d/1kC41EOXpGBFOW658Fs3oD8beYlym0-zO54WY-2Qnp9I/edit?usp=share_link"",""กระบี่!I360"")
+IMPORTRANGE(""https://docs.google.com/spreadsheets/d/1FbzMZY_f3MDiEuK7RpCQKrilJ_kpX0Wm7QBZ1L7EjIU/edit?usp=share_link"&amp;""",""ชุมพร!I360"")+IMPORTRANGE(""https://docs.google.com/spreadsheets/d/1v5sN-00LrXuhBxw4dkh2GrG_z4l5oAqOdJRBCsUyMaM/edit?usp=share_link"",""ตรัง!I360"")+IMPORTRANGE(""https://docs.google.com/spreadsheets/d/1T5rRTzFc79aSIvqnzkZNvwPstq829QYz_xALlO1Z0s8/edi"&amp;"t?usp=share_link"",""นครศรีธรรมราช!I360"")+IMPORTRANGE(""https://docs.google.com/spreadsheets/d/1BeghqumK0IvCmRd2QOy6_afsZq7ZtAGrSnVJy2u7WmY/edit?usp=share_link"",""นราธิวาส!I360"")+IMPORTRANGE(""https://docs.google.com/spreadsheets/d/1IwnW3-jjRf74MCLW-6P"&amp;"iFwMUffRQXZwZA7YM609NmRc/edit?usp=share_link"",""ปัตตานี!I360"")+IMPORTRANGE(""https://docs.google.com/spreadsheets/d/1vl4QWbWdFruual5o_wdo6ZSqXZ_it806oja4CctTLKs/edit?usp=share_link"",""พังงา!I360"")+IMPORTRANGE(""https://docs.google.com/spreadsheets/d/1"&amp;"b6QssHQp2FoAPSMKHOy273KNzAomaIKhtdlvuZ_zDNE/edit?usp=share_link"",""พัทลุง!I360"")+IMPORTRANGE(""https://docs.google.com/spreadsheets/d/1o7UZe4_OqlqtLDHrj01Z2YFRSZDf1DMy1n3XViHaxRc/edit?usp=share_link"",""ภูเก็ต!I360"")+IMPORTRANGE(""https://docs.google.c"&amp;"om/spreadsheets/d/1ctPm1vUzcUCPuOj9-eoHUD85PqINFqUB0TjdSWmR5-c/edit?usp=share_link"",""ยะลา!I360"")+IMPORTRANGE(""https://docs.google.com/spreadsheets/d/1YiDIE7Klmt8osgdapRqYWNr7iPGFSsiJqq46S7PYRE0/edit?usp=share_link"",""ระนอง!I360"")+IMPORTRANGE(""https"&amp;"://docs.google.com/spreadsheets/d/16o_4B-V7AWw_6E93bSpXj_XxVv1oVQctk-B6z1dNEWU/edit?usp=share_link"",""สงขลา!I360"")+IMPORTRANGE(""https://docs.google.com/spreadsheets/d/16cywr71Fj4fA5OGRHsZh30ZG2gwJhMAQv69oVBzYHv0/edit?usp=share_link"",""สตูล!I360"")+IMP"&amp;"ORTRANGE(""https://docs.google.com/spreadsheets/d/1vO9Sws6kMtrVtyvrAJptINXjK8TFBoX9xLYOVK_C8bQ/edit?usp=share_link"",""สุราษฎร์ธานี!I360"")"),2213)</f>
        <v>2213</v>
      </c>
      <c r="J360" s="270">
        <f ca="1">IFERROR(__xludf.DUMMYFUNCTION("IMPORTRANGE(""https://docs.google.com/spreadsheets/d/1kC41EOXpGBFOW658Fs3oD8beYlym0-zO54WY-2Qnp9I/edit?usp=share_link"",""กระบี่!J360"")
+IMPORTRANGE(""https://docs.google.com/spreadsheets/d/1FbzMZY_f3MDiEuK7RpCQKrilJ_kpX0Wm7QBZ1L7EjIU/edit?usp=share_link"&amp;""",""ชุมพร!J360"")+IMPORTRANGE(""https://docs.google.com/spreadsheets/d/1v5sN-00LrXuhBxw4dkh2GrG_z4l5oAqOdJRBCsUyMaM/edit?usp=share_link"",""ตรัง!J360"")+IMPORTRANGE(""https://docs.google.com/spreadsheets/d/1T5rRTzFc79aSIvqnzkZNvwPstq829QYz_xALlO1Z0s8/edi"&amp;"t?usp=share_link"",""นครศรีธรรมราช!J360"")+IMPORTRANGE(""https://docs.google.com/spreadsheets/d/1BeghqumK0IvCmRd2QOy6_afsZq7ZtAGrSnVJy2u7WmY/edit?usp=share_link"",""นราธิวาส!J360"")+IMPORTRANGE(""https://docs.google.com/spreadsheets/d/1IwnW3-jjRf74MCLW-6P"&amp;"iFwMUffRQXZwZA7YM609NmRc/edit?usp=share_link"",""ปัตตานี!J360"")+IMPORTRANGE(""https://docs.google.com/spreadsheets/d/1vl4QWbWdFruual5o_wdo6ZSqXZ_it806oja4CctTLKs/edit?usp=share_link"",""พังงา!J360"")+IMPORTRANGE(""https://docs.google.com/spreadsheets/d/1"&amp;"b6QssHQp2FoAPSMKHOy273KNzAomaIKhtdlvuZ_zDNE/edit?usp=share_link"",""พัทลุง!J360"")+IMPORTRANGE(""https://docs.google.com/spreadsheets/d/1o7UZe4_OqlqtLDHrj01Z2YFRSZDf1DMy1n3XViHaxRc/edit?usp=share_link"",""ภูเก็ต!J360"")+IMPORTRANGE(""https://docs.google.c"&amp;"om/spreadsheets/d/1ctPm1vUzcUCPuOj9-eoHUD85PqINFqUB0TjdSWmR5-c/edit?usp=share_link"",""ยะลา!J360"")+IMPORTRANGE(""https://docs.google.com/spreadsheets/d/1YiDIE7Klmt8osgdapRqYWNr7iPGFSsiJqq46S7PYRE0/edit?usp=share_link"",""ระนอง!J360"")+IMPORTRANGE(""https"&amp;"://docs.google.com/spreadsheets/d/16o_4B-V7AWw_6E93bSpXj_XxVv1oVQctk-B6z1dNEWU/edit?usp=share_link"",""สงขลา!J360"")+IMPORTRANGE(""https://docs.google.com/spreadsheets/d/16cywr71Fj4fA5OGRHsZh30ZG2gwJhMAQv69oVBzYHv0/edit?usp=share_link"",""สตูล!J360"")+IMP"&amp;"ORTRANGE(""https://docs.google.com/spreadsheets/d/1vO9Sws6kMtrVtyvrAJptINXjK8TFBoX9xLYOVK_C8bQ/edit?usp=share_link"",""สุราษฎร์ธานี!J360"")"),1132)</f>
        <v>1132</v>
      </c>
      <c r="K360" s="38">
        <f t="shared" ca="1" si="188"/>
        <v>51.152281970176233</v>
      </c>
      <c r="L360" s="163"/>
      <c r="M360" s="163"/>
      <c r="N360" s="163"/>
      <c r="O360" s="163"/>
      <c r="P360" s="163"/>
    </row>
    <row r="361" spans="1:26" ht="20.25" customHeight="1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IFERROR(__xludf.DUMMYFUNCTION("IMPORTRANGE(""https://docs.google.com/spreadsheets/d/1kC41EOXpGBFOW658Fs3oD8beYlym0-zO54WY-2Qnp9I/edit?usp=share_link"",""กระบี่!J361"")
+IMPORTRANGE(""https://docs.google.com/spreadsheets/d/1FbzMZY_f3MDiEuK7RpCQKrilJ_kpX0Wm7QBZ1L7EjIU/edit?usp=share_link"&amp;""",""ชุมพร!J361"")+IMPORTRANGE(""https://docs.google.com/spreadsheets/d/1v5sN-00LrXuhBxw4dkh2GrG_z4l5oAqOdJRBCsUyMaM/edit?usp=share_link"",""ตรัง!J361"")+IMPORTRANGE(""https://docs.google.com/spreadsheets/d/1T5rRTzFc79aSIvqnzkZNvwPstq829QYz_xALlO1Z0s8/edi"&amp;"t?usp=share_link"",""นครศรีธรรมราช!J361"")+IMPORTRANGE(""https://docs.google.com/spreadsheets/d/1BeghqumK0IvCmRd2QOy6_afsZq7ZtAGrSnVJy2u7WmY/edit?usp=share_link"",""นราธิวาส!J361"")+IMPORTRANGE(""https://docs.google.com/spreadsheets/d/1IwnW3-jjRf74MCLW-6P"&amp;"iFwMUffRQXZwZA7YM609NmRc/edit?usp=share_link"",""ปัตตานี!J361"")+IMPORTRANGE(""https://docs.google.com/spreadsheets/d/1vl4QWbWdFruual5o_wdo6ZSqXZ_it806oja4CctTLKs/edit?usp=share_link"",""พังงา!J361"")+IMPORTRANGE(""https://docs.google.com/spreadsheets/d/1"&amp;"b6QssHQp2FoAPSMKHOy273KNzAomaIKhtdlvuZ_zDNE/edit?usp=share_link"",""พัทลุง!J361"")+IMPORTRANGE(""https://docs.google.com/spreadsheets/d/1o7UZe4_OqlqtLDHrj01Z2YFRSZDf1DMy1n3XViHaxRc/edit?usp=share_link"",""ภูเก็ต!J361"")+IMPORTRANGE(""https://docs.google.c"&amp;"om/spreadsheets/d/1ctPm1vUzcUCPuOj9-eoHUD85PqINFqUB0TjdSWmR5-c/edit?usp=share_link"",""ยะลา!J361"")+IMPORTRANGE(""https://docs.google.com/spreadsheets/d/1YiDIE7Klmt8osgdapRqYWNr7iPGFSsiJqq46S7PYRE0/edit?usp=share_link"",""ระนอง!J361"")+IMPORTRANGE(""https"&amp;"://docs.google.com/spreadsheets/d/16o_4B-V7AWw_6E93bSpXj_XxVv1oVQctk-B6z1dNEWU/edit?usp=share_link"",""สงขลา!J361"")+IMPORTRANGE(""https://docs.google.com/spreadsheets/d/16cywr71Fj4fA5OGRHsZh30ZG2gwJhMAQv69oVBzYHv0/edit?usp=share_link"",""สตูล!J361"")+IMP"&amp;"ORTRANGE(""https://docs.google.com/spreadsheets/d/1vO9Sws6kMtrVtyvrAJptINXjK8TFBoX9xLYOVK_C8bQ/edit?usp=share_link"",""สุราษฎร์ธานี!J361"")"),9315.98)</f>
        <v>9315.98</v>
      </c>
      <c r="K361" s="38">
        <f t="shared" si="188"/>
        <v>0</v>
      </c>
      <c r="L361" s="163"/>
      <c r="M361" s="163"/>
      <c r="N361" s="163"/>
      <c r="O361" s="163"/>
      <c r="P361" s="163"/>
    </row>
    <row r="362" spans="1:26" ht="20.25" customHeight="1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IFERROR(__xludf.DUMMYFUNCTION("IMPORTRANGE(""https://docs.google.com/spreadsheets/d/1kC41EOXpGBFOW658Fs3oD8beYlym0-zO54WY-2Qnp9I/edit?usp=share_link"",""กระบี่!I362"")
+IMPORTRANGE(""https://docs.google.com/spreadsheets/d/1FbzMZY_f3MDiEuK7RpCQKrilJ_kpX0Wm7QBZ1L7EjIU/edit?usp=share_link"&amp;""",""ชุมพร!I362"")+IMPORTRANGE(""https://docs.google.com/spreadsheets/d/1v5sN-00LrXuhBxw4dkh2GrG_z4l5oAqOdJRBCsUyMaM/edit?usp=share_link"",""ตรัง!I362"")+IMPORTRANGE(""https://docs.google.com/spreadsheets/d/1T5rRTzFc79aSIvqnzkZNvwPstq829QYz_xALlO1Z0s8/edi"&amp;"t?usp=share_link"",""นครศรีธรรมราช!I362"")+IMPORTRANGE(""https://docs.google.com/spreadsheets/d/1BeghqumK0IvCmRd2QOy6_afsZq7ZtAGrSnVJy2u7WmY/edit?usp=share_link"",""นราธิวาส!I362"")+IMPORTRANGE(""https://docs.google.com/spreadsheets/d/1IwnW3-jjRf74MCLW-6P"&amp;"iFwMUffRQXZwZA7YM609NmRc/edit?usp=share_link"",""ปัตตานี!I362"")+IMPORTRANGE(""https://docs.google.com/spreadsheets/d/1vl4QWbWdFruual5o_wdo6ZSqXZ_it806oja4CctTLKs/edit?usp=share_link"",""พังงา!I362"")+IMPORTRANGE(""https://docs.google.com/spreadsheets/d/1"&amp;"b6QssHQp2FoAPSMKHOy273KNzAomaIKhtdlvuZ_zDNE/edit?usp=share_link"",""พัทลุง!I362"")+IMPORTRANGE(""https://docs.google.com/spreadsheets/d/1o7UZe4_OqlqtLDHrj01Z2YFRSZDf1DMy1n3XViHaxRc/edit?usp=share_link"",""ภูเก็ต!I362"")+IMPORTRANGE(""https://docs.google.c"&amp;"om/spreadsheets/d/1ctPm1vUzcUCPuOj9-eoHUD85PqINFqUB0TjdSWmR5-c/edit?usp=share_link"",""ยะลา!I362"")+IMPORTRANGE(""https://docs.google.com/spreadsheets/d/1YiDIE7Klmt8osgdapRqYWNr7iPGFSsiJqq46S7PYRE0/edit?usp=share_link"",""ระนอง!I362"")+IMPORTRANGE(""https"&amp;"://docs.google.com/spreadsheets/d/16o_4B-V7AWw_6E93bSpXj_XxVv1oVQctk-B6z1dNEWU/edit?usp=share_link"",""สงขลา!I362"")+IMPORTRANGE(""https://docs.google.com/spreadsheets/d/16cywr71Fj4fA5OGRHsZh30ZG2gwJhMAQv69oVBzYHv0/edit?usp=share_link"",""สตูล!I362"")+IMP"&amp;"ORTRANGE(""https://docs.google.com/spreadsheets/d/1vO9Sws6kMtrVtyvrAJptINXjK8TFBoX9xLYOVK_C8bQ/edit?usp=share_link"",""สุราษฎร์ธานี!I362"")"),2213)</f>
        <v>2213</v>
      </c>
      <c r="J362" s="270">
        <f ca="1">IFERROR(__xludf.DUMMYFUNCTION("IMPORTRANGE(""https://docs.google.com/spreadsheets/d/1kC41EOXpGBFOW658Fs3oD8beYlym0-zO54WY-2Qnp9I/edit?usp=share_link"",""กระบี่!J362"")
+IMPORTRANGE(""https://docs.google.com/spreadsheets/d/1FbzMZY_f3MDiEuK7RpCQKrilJ_kpX0Wm7QBZ1L7EjIU/edit?usp=share_link"&amp;""",""ชุมพร!J362"")+IMPORTRANGE(""https://docs.google.com/spreadsheets/d/1v5sN-00LrXuhBxw4dkh2GrG_z4l5oAqOdJRBCsUyMaM/edit?usp=share_link"",""ตรัง!J362"")+IMPORTRANGE(""https://docs.google.com/spreadsheets/d/1T5rRTzFc79aSIvqnzkZNvwPstq829QYz_xALlO1Z0s8/edi"&amp;"t?usp=share_link"",""นครศรีธรรมราช!J362"")+IMPORTRANGE(""https://docs.google.com/spreadsheets/d/1BeghqumK0IvCmRd2QOy6_afsZq7ZtAGrSnVJy2u7WmY/edit?usp=share_link"",""นราธิวาส!J362"")+IMPORTRANGE(""https://docs.google.com/spreadsheets/d/1IwnW3-jjRf74MCLW-6P"&amp;"iFwMUffRQXZwZA7YM609NmRc/edit?usp=share_link"",""ปัตตานี!J362"")+IMPORTRANGE(""https://docs.google.com/spreadsheets/d/1vl4QWbWdFruual5o_wdo6ZSqXZ_it806oja4CctTLKs/edit?usp=share_link"",""พังงา!J362"")+IMPORTRANGE(""https://docs.google.com/spreadsheets/d/1"&amp;"b6QssHQp2FoAPSMKHOy273KNzAomaIKhtdlvuZ_zDNE/edit?usp=share_link"",""พัทลุง!J362"")+IMPORTRANGE(""https://docs.google.com/spreadsheets/d/1o7UZe4_OqlqtLDHrj01Z2YFRSZDf1DMy1n3XViHaxRc/edit?usp=share_link"",""ภูเก็ต!J362"")+IMPORTRANGE(""https://docs.google.c"&amp;"om/spreadsheets/d/1ctPm1vUzcUCPuOj9-eoHUD85PqINFqUB0TjdSWmR5-c/edit?usp=share_link"",""ยะลา!J362"")+IMPORTRANGE(""https://docs.google.com/spreadsheets/d/1YiDIE7Klmt8osgdapRqYWNr7iPGFSsiJqq46S7PYRE0/edit?usp=share_link"",""ระนอง!J362"")+IMPORTRANGE(""https"&amp;"://docs.google.com/spreadsheets/d/16o_4B-V7AWw_6E93bSpXj_XxVv1oVQctk-B6z1dNEWU/edit?usp=share_link"",""สงขลา!J362"")+IMPORTRANGE(""https://docs.google.com/spreadsheets/d/16cywr71Fj4fA5OGRHsZh30ZG2gwJhMAQv69oVBzYHv0/edit?usp=share_link"",""สตูล!J362"")+IMP"&amp;"ORTRANGE(""https://docs.google.com/spreadsheets/d/1vO9Sws6kMtrVtyvrAJptINXjK8TFBoX9xLYOVK_C8bQ/edit?usp=share_link"",""สุราษฎร์ธานี!J362"")"),712)</f>
        <v>712</v>
      </c>
      <c r="K362" s="38">
        <f t="shared" ca="1" si="188"/>
        <v>32.17352010845007</v>
      </c>
      <c r="L362" s="163"/>
      <c r="M362" s="163"/>
      <c r="N362" s="163"/>
      <c r="O362" s="163"/>
      <c r="P362" s="163"/>
    </row>
    <row r="363" spans="1:26" ht="20.25" customHeight="1">
      <c r="A363" s="471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IFERROR(__xludf.DUMMYFUNCTION("IMPORTRANGE(""https://docs.google.com/spreadsheets/d/1kC41EOXpGBFOW658Fs3oD8beYlym0-zO54WY-2Qnp9I/edit?usp=share_link"",""กระบี่!J363"")
+IMPORTRANGE(""https://docs.google.com/spreadsheets/d/1FbzMZY_f3MDiEuK7RpCQKrilJ_kpX0Wm7QBZ1L7EjIU/edit?usp=share_link"&amp;""",""ชุมพร!J363"")+IMPORTRANGE(""https://docs.google.com/spreadsheets/d/1v5sN-00LrXuhBxw4dkh2GrG_z4l5oAqOdJRBCsUyMaM/edit?usp=share_link"",""ตรัง!J363"")+IMPORTRANGE(""https://docs.google.com/spreadsheets/d/1T5rRTzFc79aSIvqnzkZNvwPstq829QYz_xALlO1Z0s8/edi"&amp;"t?usp=share_link"",""นครศรีธรรมราช!J363"")+IMPORTRANGE(""https://docs.google.com/spreadsheets/d/1BeghqumK0IvCmRd2QOy6_afsZq7ZtAGrSnVJy2u7WmY/edit?usp=share_link"",""นราธิวาส!J363"")+IMPORTRANGE(""https://docs.google.com/spreadsheets/d/1IwnW3-jjRf74MCLW-6P"&amp;"iFwMUffRQXZwZA7YM609NmRc/edit?usp=share_link"",""ปัตตานี!J363"")+IMPORTRANGE(""https://docs.google.com/spreadsheets/d/1vl4QWbWdFruual5o_wdo6ZSqXZ_it806oja4CctTLKs/edit?usp=share_link"",""พังงา!J363"")+IMPORTRANGE(""https://docs.google.com/spreadsheets/d/1"&amp;"b6QssHQp2FoAPSMKHOy273KNzAomaIKhtdlvuZ_zDNE/edit?usp=share_link"",""พัทลุง!J363"")+IMPORTRANGE(""https://docs.google.com/spreadsheets/d/1o7UZe4_OqlqtLDHrj01Z2YFRSZDf1DMy1n3XViHaxRc/edit?usp=share_link"",""ภูเก็ต!J363"")+IMPORTRANGE(""https://docs.google.c"&amp;"om/spreadsheets/d/1ctPm1vUzcUCPuOj9-eoHUD85PqINFqUB0TjdSWmR5-c/edit?usp=share_link"",""ยะลา!J363"")+IMPORTRANGE(""https://docs.google.com/spreadsheets/d/1YiDIE7Klmt8osgdapRqYWNr7iPGFSsiJqq46S7PYRE0/edit?usp=share_link"",""ระนอง!J363"")+IMPORTRANGE(""https"&amp;"://docs.google.com/spreadsheets/d/16o_4B-V7AWw_6E93bSpXj_XxVv1oVQctk-B6z1dNEWU/edit?usp=share_link"",""สงขลา!J363"")+IMPORTRANGE(""https://docs.google.com/spreadsheets/d/16cywr71Fj4fA5OGRHsZh30ZG2gwJhMAQv69oVBzYHv0/edit?usp=share_link"",""สตูล!J363"")+IMP"&amp;"ORTRANGE(""https://docs.google.com/spreadsheets/d/1vO9Sws6kMtrVtyvrAJptINXjK8TFBoX9xLYOVK_C8bQ/edit?usp=share_link"",""สุราษฎร์ธานี!J363"")"),5553.35)</f>
        <v>5553.35</v>
      </c>
      <c r="K363" s="38">
        <f t="shared" si="188"/>
        <v>0</v>
      </c>
      <c r="L363" s="163"/>
      <c r="M363" s="163"/>
      <c r="N363" s="163"/>
      <c r="O363" s="163"/>
      <c r="P363" s="163"/>
    </row>
    <row r="364" spans="1:26" ht="20.25" customHeight="1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89">I365+I374</f>
        <v>3984</v>
      </c>
      <c r="J364" s="479">
        <f t="shared" ca="1" si="189"/>
        <v>2387</v>
      </c>
      <c r="K364" s="480">
        <f t="shared" ca="1" si="188"/>
        <v>59.914658634538149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20.25" customHeight="1">
      <c r="A365" s="483"/>
      <c r="B365" s="484"/>
      <c r="C365" s="485"/>
      <c r="D365" s="486" t="s">
        <v>166</v>
      </c>
      <c r="E365" s="487"/>
      <c r="F365" s="487"/>
      <c r="G365" s="488"/>
      <c r="H365" s="489" t="s">
        <v>35</v>
      </c>
      <c r="I365" s="490">
        <f ca="1">IFERROR(__xludf.DUMMYFUNCTION("IMPORTRANGE(""https://docs.google.com/spreadsheets/d/1kC41EOXpGBFOW658Fs3oD8beYlym0-zO54WY-2Qnp9I/edit?usp=share_link"",""กระบี่!I365"")
+IMPORTRANGE(""https://docs.google.com/spreadsheets/d/1FbzMZY_f3MDiEuK7RpCQKrilJ_kpX0Wm7QBZ1L7EjIU/edit?usp=share_link"&amp;""",""ชุมพร!I365"")+IMPORTRANGE(""https://docs.google.com/spreadsheets/d/1v5sN-00LrXuhBxw4dkh2GrG_z4l5oAqOdJRBCsUyMaM/edit?usp=share_link"",""ตรัง!I365"")+IMPORTRANGE(""https://docs.google.com/spreadsheets/d/1T5rRTzFc79aSIvqnzkZNvwPstq829QYz_xALlO1Z0s8/edi"&amp;"t?usp=share_link"",""นครศรีธรรมราช!I365"")+IMPORTRANGE(""https://docs.google.com/spreadsheets/d/1BeghqumK0IvCmRd2QOy6_afsZq7ZtAGrSnVJy2u7WmY/edit?usp=share_link"",""นราธิวาส!I365"")+IMPORTRANGE(""https://docs.google.com/spreadsheets/d/1IwnW3-jjRf74MCLW-6P"&amp;"iFwMUffRQXZwZA7YM609NmRc/edit?usp=share_link"",""ปัตตานี!I365"")+IMPORTRANGE(""https://docs.google.com/spreadsheets/d/1vl4QWbWdFruual5o_wdo6ZSqXZ_it806oja4CctTLKs/edit?usp=share_link"",""พังงา!I365"")+IMPORTRANGE(""https://docs.google.com/spreadsheets/d/1"&amp;"b6QssHQp2FoAPSMKHOy273KNzAomaIKhtdlvuZ_zDNE/edit?usp=share_link"",""พัทลุง!I365"")+IMPORTRANGE(""https://docs.google.com/spreadsheets/d/1o7UZe4_OqlqtLDHrj01Z2YFRSZDf1DMy1n3XViHaxRc/edit?usp=share_link"",""ภูเก็ต!I365"")+IMPORTRANGE(""https://docs.google.c"&amp;"om/spreadsheets/d/1ctPm1vUzcUCPuOj9-eoHUD85PqINFqUB0TjdSWmR5-c/edit?usp=share_link"",""ยะลา!I365"")+IMPORTRANGE(""https://docs.google.com/spreadsheets/d/1YiDIE7Klmt8osgdapRqYWNr7iPGFSsiJqq46S7PYRE0/edit?usp=share_link"",""ระนอง!I365"")+IMPORTRANGE(""https"&amp;"://docs.google.com/spreadsheets/d/16o_4B-V7AWw_6E93bSpXj_XxVv1oVQctk-B6z1dNEWU/edit?usp=share_link"",""สงขลา!I365"")+IMPORTRANGE(""https://docs.google.com/spreadsheets/d/16cywr71Fj4fA5OGRHsZh30ZG2gwJhMAQv69oVBzYHv0/edit?usp=share_link"",""สตูล!I365"")+IMP"&amp;"ORTRANGE(""https://docs.google.com/spreadsheets/d/1vO9Sws6kMtrVtyvrAJptINXjK8TFBoX9xLYOVK_C8bQ/edit?usp=share_link"",""สุราษฎร์ธานี!I365"")"),996)</f>
        <v>996</v>
      </c>
      <c r="J365" s="491">
        <f ca="1">J372</f>
        <v>487</v>
      </c>
      <c r="K365" s="492">
        <f t="shared" ca="1" si="188"/>
        <v>48.895582329317271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20.25" customHeight="1">
      <c r="A366" s="483"/>
      <c r="B366" s="484"/>
      <c r="C366" s="485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20.25" customHeight="1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20.25" customHeight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IFERROR(__xludf.DUMMYFUNCTION("IMPORTRANGE(""https://docs.google.com/spreadsheets/d/1kC41EOXpGBFOW658Fs3oD8beYlym0-zO54WY-2Qnp9I/edit?usp=share_link"",""กระบี่!J368"")
+IMPORTRANGE(""https://docs.google.com/spreadsheets/d/1FbzMZY_f3MDiEuK7RpCQKrilJ_kpX0Wm7QBZ1L7EjIU/edit?usp=share_link"&amp;""",""ชุมพร!J368"")+IMPORTRANGE(""https://docs.google.com/spreadsheets/d/1v5sN-00LrXuhBxw4dkh2GrG_z4l5oAqOdJRBCsUyMaM/edit?usp=share_link"",""ตรัง!J368"")+IMPORTRANGE(""https://docs.google.com/spreadsheets/d/1T5rRTzFc79aSIvqnzkZNvwPstq829QYz_xALlO1Z0s8/edi"&amp;"t?usp=share_link"",""นครศรีธรรมราช!J368"")+IMPORTRANGE(""https://docs.google.com/spreadsheets/d/1BeghqumK0IvCmRd2QOy6_afsZq7ZtAGrSnVJy2u7WmY/edit?usp=share_link"",""นราธิวาส!J368"")+IMPORTRANGE(""https://docs.google.com/spreadsheets/d/1IwnW3-jjRf74MCLW-6P"&amp;"iFwMUffRQXZwZA7YM609NmRc/edit?usp=share_link"",""ปัตตานี!J368"")+IMPORTRANGE(""https://docs.google.com/spreadsheets/d/1vl4QWbWdFruual5o_wdo6ZSqXZ_it806oja4CctTLKs/edit?usp=share_link"",""พังงา!J368"")+IMPORTRANGE(""https://docs.google.com/spreadsheets/d/1"&amp;"b6QssHQp2FoAPSMKHOy273KNzAomaIKhtdlvuZ_zDNE/edit?usp=share_link"",""พัทลุง!J368"")+IMPORTRANGE(""https://docs.google.com/spreadsheets/d/1o7UZe4_OqlqtLDHrj01Z2YFRSZDf1DMy1n3XViHaxRc/edit?usp=share_link"",""ภูเก็ต!J368"")+IMPORTRANGE(""https://docs.google.c"&amp;"om/spreadsheets/d/1ctPm1vUzcUCPuOj9-eoHUD85PqINFqUB0TjdSWmR5-c/edit?usp=share_link"",""ยะลา!J368"")+IMPORTRANGE(""https://docs.google.com/spreadsheets/d/1YiDIE7Klmt8osgdapRqYWNr7iPGFSsiJqq46S7PYRE0/edit?usp=share_link"",""ระนอง!J368"")+IMPORTRANGE(""https"&amp;"://docs.google.com/spreadsheets/d/16o_4B-V7AWw_6E93bSpXj_XxVv1oVQctk-B6z1dNEWU/edit?usp=share_link"",""สงขลา!J368"")+IMPORTRANGE(""https://docs.google.com/spreadsheets/d/16cywr71Fj4fA5OGRHsZh30ZG2gwJhMAQv69oVBzYHv0/edit?usp=share_link"",""สตูล!J368"")+IMP"&amp;"ORTRANGE(""https://docs.google.com/spreadsheets/d/1vO9Sws6kMtrVtyvrAJptINXjK8TFBoX9xLYOVK_C8bQ/edit?usp=share_link"",""สุราษฎร์ธานี!J368"")"),713)</f>
        <v>713</v>
      </c>
      <c r="K368" s="38">
        <f t="shared" ref="K368:K374" si="190">IF(I368&gt;0,J368*100/I368,0)</f>
        <v>0</v>
      </c>
      <c r="L368" s="163"/>
      <c r="M368" s="163"/>
      <c r="N368" s="163"/>
      <c r="O368" s="163"/>
      <c r="P368" s="163"/>
    </row>
    <row r="369" spans="1:26" ht="20.25" customHeight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IFERROR(__xludf.DUMMYFUNCTION("IMPORTRANGE(""https://docs.google.com/spreadsheets/d/1kC41EOXpGBFOW658Fs3oD8beYlym0-zO54WY-2Qnp9I/edit?usp=share_link"",""กระบี่!I369"")
+IMPORTRANGE(""https://docs.google.com/spreadsheets/d/1FbzMZY_f3MDiEuK7RpCQKrilJ_kpX0Wm7QBZ1L7EjIU/edit?usp=share_link"&amp;""",""ชุมพร!I369"")+IMPORTRANGE(""https://docs.google.com/spreadsheets/d/1v5sN-00LrXuhBxw4dkh2GrG_z4l5oAqOdJRBCsUyMaM/edit?usp=share_link"",""ตรัง!I369"")+IMPORTRANGE(""https://docs.google.com/spreadsheets/d/1T5rRTzFc79aSIvqnzkZNvwPstq829QYz_xALlO1Z0s8/edi"&amp;"t?usp=share_link"",""นครศรีธรรมราช!I369"")+IMPORTRANGE(""https://docs.google.com/spreadsheets/d/1BeghqumK0IvCmRd2QOy6_afsZq7ZtAGrSnVJy2u7WmY/edit?usp=share_link"",""นราธิวาส!I369"")+IMPORTRANGE(""https://docs.google.com/spreadsheets/d/1IwnW3-jjRf74MCLW-6P"&amp;"iFwMUffRQXZwZA7YM609NmRc/edit?usp=share_link"",""ปัตตานี!I369"")+IMPORTRANGE(""https://docs.google.com/spreadsheets/d/1vl4QWbWdFruual5o_wdo6ZSqXZ_it806oja4CctTLKs/edit?usp=share_link"",""พังงา!I369"")+IMPORTRANGE(""https://docs.google.com/spreadsheets/d/1"&amp;"b6QssHQp2FoAPSMKHOy273KNzAomaIKhtdlvuZ_zDNE/edit?usp=share_link"",""พัทลุง!I369"")+IMPORTRANGE(""https://docs.google.com/spreadsheets/d/1o7UZe4_OqlqtLDHrj01Z2YFRSZDf1DMy1n3XViHaxRc/edit?usp=share_link"",""ภูเก็ต!I369"")+IMPORTRANGE(""https://docs.google.c"&amp;"om/spreadsheets/d/1ctPm1vUzcUCPuOj9-eoHUD85PqINFqUB0TjdSWmR5-c/edit?usp=share_link"",""ยะลา!I369"")+IMPORTRANGE(""https://docs.google.com/spreadsheets/d/1YiDIE7Klmt8osgdapRqYWNr7iPGFSsiJqq46S7PYRE0/edit?usp=share_link"",""ระนอง!I369"")+IMPORTRANGE(""https"&amp;"://docs.google.com/spreadsheets/d/16o_4B-V7AWw_6E93bSpXj_XxVv1oVQctk-B6z1dNEWU/edit?usp=share_link"",""สงขลา!I369"")+IMPORTRANGE(""https://docs.google.com/spreadsheets/d/16cywr71Fj4fA5OGRHsZh30ZG2gwJhMAQv69oVBzYHv0/edit?usp=share_link"",""สตูล!I369"")+IMP"&amp;"ORTRANGE(""https://docs.google.com/spreadsheets/d/1vO9Sws6kMtrVtyvrAJptINXjK8TFBoX9xLYOVK_C8bQ/edit?usp=share_link"",""สุราษฎร์ธานี!I369"")"),8983)</f>
        <v>8983</v>
      </c>
      <c r="J369" s="270">
        <f ca="1">IFERROR(__xludf.DUMMYFUNCTION("IMPORTRANGE(""https://docs.google.com/spreadsheets/d/1kC41EOXpGBFOW658Fs3oD8beYlym0-zO54WY-2Qnp9I/edit?usp=share_link"",""กระบี่!J369"")
+IMPORTRANGE(""https://docs.google.com/spreadsheets/d/1FbzMZY_f3MDiEuK7RpCQKrilJ_kpX0Wm7QBZ1L7EjIU/edit?usp=share_link"&amp;""",""ชุมพร!J369"")+IMPORTRANGE(""https://docs.google.com/spreadsheets/d/1v5sN-00LrXuhBxw4dkh2GrG_z4l5oAqOdJRBCsUyMaM/edit?usp=share_link"",""ตรัง!J369"")+IMPORTRANGE(""https://docs.google.com/spreadsheets/d/1T5rRTzFc79aSIvqnzkZNvwPstq829QYz_xALlO1Z0s8/edi"&amp;"t?usp=share_link"",""นครศรีธรรมราช!J369"")+IMPORTRANGE(""https://docs.google.com/spreadsheets/d/1BeghqumK0IvCmRd2QOy6_afsZq7ZtAGrSnVJy2u7WmY/edit?usp=share_link"",""นราธิวาส!J369"")+IMPORTRANGE(""https://docs.google.com/spreadsheets/d/1IwnW3-jjRf74MCLW-6P"&amp;"iFwMUffRQXZwZA7YM609NmRc/edit?usp=share_link"",""ปัตตานี!J369"")+IMPORTRANGE(""https://docs.google.com/spreadsheets/d/1vl4QWbWdFruual5o_wdo6ZSqXZ_it806oja4CctTLKs/edit?usp=share_link"",""พังงา!J369"")+IMPORTRANGE(""https://docs.google.com/spreadsheets/d/1"&amp;"b6QssHQp2FoAPSMKHOy273KNzAomaIKhtdlvuZ_zDNE/edit?usp=share_link"",""พัทลุง!J369"")+IMPORTRANGE(""https://docs.google.com/spreadsheets/d/1o7UZe4_OqlqtLDHrj01Z2YFRSZDf1DMy1n3XViHaxRc/edit?usp=share_link"",""ภูเก็ต!J369"")+IMPORTRANGE(""https://docs.google.c"&amp;"om/spreadsheets/d/1ctPm1vUzcUCPuOj9-eoHUD85PqINFqUB0TjdSWmR5-c/edit?usp=share_link"",""ยะลา!J369"")+IMPORTRANGE(""https://docs.google.com/spreadsheets/d/1YiDIE7Klmt8osgdapRqYWNr7iPGFSsiJqq46S7PYRE0/edit?usp=share_link"",""ระนอง!J369"")+IMPORTRANGE(""https"&amp;"://docs.google.com/spreadsheets/d/16o_4B-V7AWw_6E93bSpXj_XxVv1oVQctk-B6z1dNEWU/edit?usp=share_link"",""สงขลา!J369"")+IMPORTRANGE(""https://docs.google.com/spreadsheets/d/16cywr71Fj4fA5OGRHsZh30ZG2gwJhMAQv69oVBzYHv0/edit?usp=share_link"",""สตูล!J369"")+IMP"&amp;"ORTRANGE(""https://docs.google.com/spreadsheets/d/1vO9Sws6kMtrVtyvrAJptINXjK8TFBoX9xLYOVK_C8bQ/edit?usp=share_link"",""สุราษฎร์ธานี!J369"")"),5969.1)</f>
        <v>5969.1</v>
      </c>
      <c r="K369" s="38">
        <f t="shared" ca="1" si="190"/>
        <v>66.448847823666924</v>
      </c>
      <c r="L369" s="163"/>
      <c r="M369" s="163"/>
      <c r="N369" s="163"/>
      <c r="O369" s="163"/>
      <c r="P369" s="163"/>
    </row>
    <row r="370" spans="1:26" ht="20.25" customHeight="1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IFERROR(__xludf.DUMMYFUNCTION("IMPORTRANGE(""https://docs.google.com/spreadsheets/d/1kC41EOXpGBFOW658Fs3oD8beYlym0-zO54WY-2Qnp9I/edit?usp=share_link"",""กระบี่!I370"")
+IMPORTRANGE(""https://docs.google.com/spreadsheets/d/1FbzMZY_f3MDiEuK7RpCQKrilJ_kpX0Wm7QBZ1L7EjIU/edit?usp=share_link"&amp;""",""ชุมพร!I370"")+IMPORTRANGE(""https://docs.google.com/spreadsheets/d/1v5sN-00LrXuhBxw4dkh2GrG_z4l5oAqOdJRBCsUyMaM/edit?usp=share_link"",""ตรัง!I370"")+IMPORTRANGE(""https://docs.google.com/spreadsheets/d/1T5rRTzFc79aSIvqnzkZNvwPstq829QYz_xALlO1Z0s8/edi"&amp;"t?usp=share_link"",""นครศรีธรรมราช!I370"")+IMPORTRANGE(""https://docs.google.com/spreadsheets/d/1BeghqumK0IvCmRd2QOy6_afsZq7ZtAGrSnVJy2u7WmY/edit?usp=share_link"",""นราธิวาส!I370"")+IMPORTRANGE(""https://docs.google.com/spreadsheets/d/1IwnW3-jjRf74MCLW-6P"&amp;"iFwMUffRQXZwZA7YM609NmRc/edit?usp=share_link"",""ปัตตานี!I370"")+IMPORTRANGE(""https://docs.google.com/spreadsheets/d/1vl4QWbWdFruual5o_wdo6ZSqXZ_it806oja4CctTLKs/edit?usp=share_link"",""พังงา!I370"")+IMPORTRANGE(""https://docs.google.com/spreadsheets/d/1"&amp;"b6QssHQp2FoAPSMKHOy273KNzAomaIKhtdlvuZ_zDNE/edit?usp=share_link"",""พัทลุง!I370"")+IMPORTRANGE(""https://docs.google.com/spreadsheets/d/1o7UZe4_OqlqtLDHrj01Z2YFRSZDf1DMy1n3XViHaxRc/edit?usp=share_link"",""ภูเก็ต!I370"")+IMPORTRANGE(""https://docs.google.c"&amp;"om/spreadsheets/d/1ctPm1vUzcUCPuOj9-eoHUD85PqINFqUB0TjdSWmR5-c/edit?usp=share_link"",""ยะลา!I370"")+IMPORTRANGE(""https://docs.google.com/spreadsheets/d/1YiDIE7Klmt8osgdapRqYWNr7iPGFSsiJqq46S7PYRE0/edit?usp=share_link"",""ระนอง!I370"")+IMPORTRANGE(""https"&amp;"://docs.google.com/spreadsheets/d/16o_4B-V7AWw_6E93bSpXj_XxVv1oVQctk-B6z1dNEWU/edit?usp=share_link"",""สงขลา!I370"")+IMPORTRANGE(""https://docs.google.com/spreadsheets/d/16cywr71Fj4fA5OGRHsZh30ZG2gwJhMAQv69oVBzYHv0/edit?usp=share_link"",""สตูล!I370"")+IMP"&amp;"ORTRANGE(""https://docs.google.com/spreadsheets/d/1vO9Sws6kMtrVtyvrAJptINXjK8TFBoX9xLYOVK_C8bQ/edit?usp=share_link"",""สุราษฎร์ธานี!I370"")"),996)</f>
        <v>996</v>
      </c>
      <c r="J370" s="270">
        <f ca="1">IFERROR(__xludf.DUMMYFUNCTION("IMPORTRANGE(""https://docs.google.com/spreadsheets/d/1kC41EOXpGBFOW658Fs3oD8beYlym0-zO54WY-2Qnp9I/edit?usp=share_link"",""กระบี่!J370"")
+IMPORTRANGE(""https://docs.google.com/spreadsheets/d/1FbzMZY_f3MDiEuK7RpCQKrilJ_kpX0Wm7QBZ1L7EjIU/edit?usp=share_link"&amp;""",""ชุมพร!J370"")+IMPORTRANGE(""https://docs.google.com/spreadsheets/d/1v5sN-00LrXuhBxw4dkh2GrG_z4l5oAqOdJRBCsUyMaM/edit?usp=share_link"",""ตรัง!J370"")+IMPORTRANGE(""https://docs.google.com/spreadsheets/d/1T5rRTzFc79aSIvqnzkZNvwPstq829QYz_xALlO1Z0s8/edi"&amp;"t?usp=share_link"",""นครศรีธรรมราช!J370"")+IMPORTRANGE(""https://docs.google.com/spreadsheets/d/1BeghqumK0IvCmRd2QOy6_afsZq7ZtAGrSnVJy2u7WmY/edit?usp=share_link"",""นราธิวาส!J370"")+IMPORTRANGE(""https://docs.google.com/spreadsheets/d/1IwnW3-jjRf74MCLW-6P"&amp;"iFwMUffRQXZwZA7YM609NmRc/edit?usp=share_link"",""ปัตตานี!J370"")+IMPORTRANGE(""https://docs.google.com/spreadsheets/d/1vl4QWbWdFruual5o_wdo6ZSqXZ_it806oja4CctTLKs/edit?usp=share_link"",""พังงา!J370"")+IMPORTRANGE(""https://docs.google.com/spreadsheets/d/1"&amp;"b6QssHQp2FoAPSMKHOy273KNzAomaIKhtdlvuZ_zDNE/edit?usp=share_link"",""พัทลุง!J370"")+IMPORTRANGE(""https://docs.google.com/spreadsheets/d/1o7UZe4_OqlqtLDHrj01Z2YFRSZDf1DMy1n3XViHaxRc/edit?usp=share_link"",""ภูเก็ต!J370"")+IMPORTRANGE(""https://docs.google.c"&amp;"om/spreadsheets/d/1ctPm1vUzcUCPuOj9-eoHUD85PqINFqUB0TjdSWmR5-c/edit?usp=share_link"",""ยะลา!J370"")+IMPORTRANGE(""https://docs.google.com/spreadsheets/d/1YiDIE7Klmt8osgdapRqYWNr7iPGFSsiJqq46S7PYRE0/edit?usp=share_link"",""ระนอง!J370"")+IMPORTRANGE(""https"&amp;"://docs.google.com/spreadsheets/d/16o_4B-V7AWw_6E93bSpXj_XxVv1oVQctk-B6z1dNEWU/edit?usp=share_link"",""สงขลา!J370"")+IMPORTRANGE(""https://docs.google.com/spreadsheets/d/16cywr71Fj4fA5OGRHsZh30ZG2gwJhMAQv69oVBzYHv0/edit?usp=share_link"",""สตูล!J370"")+IMP"&amp;"ORTRANGE(""https://docs.google.com/spreadsheets/d/1vO9Sws6kMtrVtyvrAJptINXjK8TFBoX9xLYOVK_C8bQ/edit?usp=share_link"",""สุราษฎร์ธานี!J370"")"),554)</f>
        <v>554</v>
      </c>
      <c r="K370" s="38">
        <f t="shared" ca="1" si="190"/>
        <v>55.622489959839356</v>
      </c>
      <c r="L370" s="163"/>
      <c r="M370" s="163"/>
      <c r="N370" s="163"/>
      <c r="O370" s="163"/>
      <c r="P370" s="163"/>
    </row>
    <row r="371" spans="1:26" ht="20.25" customHeight="1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IFERROR(__xludf.DUMMYFUNCTION("IMPORTRANGE(""https://docs.google.com/spreadsheets/d/1kC41EOXpGBFOW658Fs3oD8beYlym0-zO54WY-2Qnp9I/edit?usp=share_link"",""กระบี่!J371"")
+IMPORTRANGE(""https://docs.google.com/spreadsheets/d/1FbzMZY_f3MDiEuK7RpCQKrilJ_kpX0Wm7QBZ1L7EjIU/edit?usp=share_link"&amp;""",""ชุมพร!J371"")+IMPORTRANGE(""https://docs.google.com/spreadsheets/d/1v5sN-00LrXuhBxw4dkh2GrG_z4l5oAqOdJRBCsUyMaM/edit?usp=share_link"",""ตรัง!J371"")+IMPORTRANGE(""https://docs.google.com/spreadsheets/d/1T5rRTzFc79aSIvqnzkZNvwPstq829QYz_xALlO1Z0s8/edi"&amp;"t?usp=share_link"",""นครศรีธรรมราช!J371"")+IMPORTRANGE(""https://docs.google.com/spreadsheets/d/1BeghqumK0IvCmRd2QOy6_afsZq7ZtAGrSnVJy2u7WmY/edit?usp=share_link"",""นราธิวาส!J371"")+IMPORTRANGE(""https://docs.google.com/spreadsheets/d/1IwnW3-jjRf74MCLW-6P"&amp;"iFwMUffRQXZwZA7YM609NmRc/edit?usp=share_link"",""ปัตตานี!J371"")+IMPORTRANGE(""https://docs.google.com/spreadsheets/d/1vl4QWbWdFruual5o_wdo6ZSqXZ_it806oja4CctTLKs/edit?usp=share_link"",""พังงา!J371"")+IMPORTRANGE(""https://docs.google.com/spreadsheets/d/1"&amp;"b6QssHQp2FoAPSMKHOy273KNzAomaIKhtdlvuZ_zDNE/edit?usp=share_link"",""พัทลุง!J371"")+IMPORTRANGE(""https://docs.google.com/spreadsheets/d/1o7UZe4_OqlqtLDHrj01Z2YFRSZDf1DMy1n3XViHaxRc/edit?usp=share_link"",""ภูเก็ต!J371"")+IMPORTRANGE(""https://docs.google.c"&amp;"om/spreadsheets/d/1ctPm1vUzcUCPuOj9-eoHUD85PqINFqUB0TjdSWmR5-c/edit?usp=share_link"",""ยะลา!J371"")+IMPORTRANGE(""https://docs.google.com/spreadsheets/d/1YiDIE7Klmt8osgdapRqYWNr7iPGFSsiJqq46S7PYRE0/edit?usp=share_link"",""ระนอง!J371"")+IMPORTRANGE(""https"&amp;"://docs.google.com/spreadsheets/d/16o_4B-V7AWw_6E93bSpXj_XxVv1oVQctk-B6z1dNEWU/edit?usp=share_link"",""สงขลา!J371"")+IMPORTRANGE(""https://docs.google.com/spreadsheets/d/16cywr71Fj4fA5OGRHsZh30ZG2gwJhMAQv69oVBzYHv0/edit?usp=share_link"",""สตูล!J371"")+IMP"&amp;"ORTRANGE(""https://docs.google.com/spreadsheets/d/1vO9Sws6kMtrVtyvrAJptINXjK8TFBoX9xLYOVK_C8bQ/edit?usp=share_link"",""สุราษฎร์ธานี!J371"")"),4345.04)</f>
        <v>4345.04</v>
      </c>
      <c r="K371" s="38">
        <f t="shared" si="190"/>
        <v>0</v>
      </c>
      <c r="L371" s="163"/>
      <c r="M371" s="163"/>
      <c r="N371" s="163"/>
      <c r="O371" s="163"/>
      <c r="P371" s="163"/>
    </row>
    <row r="372" spans="1:26" ht="20.25" customHeight="1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IFERROR(__xludf.DUMMYFUNCTION("IMPORTRANGE(""https://docs.google.com/spreadsheets/d/1kC41EOXpGBFOW658Fs3oD8beYlym0-zO54WY-2Qnp9I/edit?usp=share_link"",""กระบี่!I372"")
+IMPORTRANGE(""https://docs.google.com/spreadsheets/d/1FbzMZY_f3MDiEuK7RpCQKrilJ_kpX0Wm7QBZ1L7EjIU/edit?usp=share_link"&amp;""",""ชุมพร!I372"")+IMPORTRANGE(""https://docs.google.com/spreadsheets/d/1v5sN-00LrXuhBxw4dkh2GrG_z4l5oAqOdJRBCsUyMaM/edit?usp=share_link"",""ตรัง!I372"")+IMPORTRANGE(""https://docs.google.com/spreadsheets/d/1T5rRTzFc79aSIvqnzkZNvwPstq829QYz_xALlO1Z0s8/edi"&amp;"t?usp=share_link"",""นครศรีธรรมราช!I372"")+IMPORTRANGE(""https://docs.google.com/spreadsheets/d/1BeghqumK0IvCmRd2QOy6_afsZq7ZtAGrSnVJy2u7WmY/edit?usp=share_link"",""นราธิวาส!I372"")+IMPORTRANGE(""https://docs.google.com/spreadsheets/d/1IwnW3-jjRf74MCLW-6P"&amp;"iFwMUffRQXZwZA7YM609NmRc/edit?usp=share_link"",""ปัตตานี!I372"")+IMPORTRANGE(""https://docs.google.com/spreadsheets/d/1vl4QWbWdFruual5o_wdo6ZSqXZ_it806oja4CctTLKs/edit?usp=share_link"",""พังงา!I372"")+IMPORTRANGE(""https://docs.google.com/spreadsheets/d/1"&amp;"b6QssHQp2FoAPSMKHOy273KNzAomaIKhtdlvuZ_zDNE/edit?usp=share_link"",""พัทลุง!I372"")+IMPORTRANGE(""https://docs.google.com/spreadsheets/d/1o7UZe4_OqlqtLDHrj01Z2YFRSZDf1DMy1n3XViHaxRc/edit?usp=share_link"",""ภูเก็ต!I372"")+IMPORTRANGE(""https://docs.google.c"&amp;"om/spreadsheets/d/1ctPm1vUzcUCPuOj9-eoHUD85PqINFqUB0TjdSWmR5-c/edit?usp=share_link"",""ยะลา!I372"")+IMPORTRANGE(""https://docs.google.com/spreadsheets/d/1YiDIE7Klmt8osgdapRqYWNr7iPGFSsiJqq46S7PYRE0/edit?usp=share_link"",""ระนอง!I372"")+IMPORTRANGE(""https"&amp;"://docs.google.com/spreadsheets/d/16o_4B-V7AWw_6E93bSpXj_XxVv1oVQctk-B6z1dNEWU/edit?usp=share_link"",""สงขลา!I372"")+IMPORTRANGE(""https://docs.google.com/spreadsheets/d/16cywr71Fj4fA5OGRHsZh30ZG2gwJhMAQv69oVBzYHv0/edit?usp=share_link"",""สตูล!I372"")+IMP"&amp;"ORTRANGE(""https://docs.google.com/spreadsheets/d/1vO9Sws6kMtrVtyvrAJptINXjK8TFBoX9xLYOVK_C8bQ/edit?usp=share_link"",""สุราษฎร์ธานี!I372"")"),996)</f>
        <v>996</v>
      </c>
      <c r="J372" s="270">
        <f ca="1">IFERROR(__xludf.DUMMYFUNCTION("IMPORTRANGE(""https://docs.google.com/spreadsheets/d/1kC41EOXpGBFOW658Fs3oD8beYlym0-zO54WY-2Qnp9I/edit?usp=share_link"",""กระบี่!J372"")
+IMPORTRANGE(""https://docs.google.com/spreadsheets/d/1FbzMZY_f3MDiEuK7RpCQKrilJ_kpX0Wm7QBZ1L7EjIU/edit?usp=share_link"&amp;""",""ชุมพร!J372"")+IMPORTRANGE(""https://docs.google.com/spreadsheets/d/1v5sN-00LrXuhBxw4dkh2GrG_z4l5oAqOdJRBCsUyMaM/edit?usp=share_link"",""ตรัง!J372"")+IMPORTRANGE(""https://docs.google.com/spreadsheets/d/1T5rRTzFc79aSIvqnzkZNvwPstq829QYz_xALlO1Z0s8/edi"&amp;"t?usp=share_link"",""นครศรีธรรมราช!J372"")+IMPORTRANGE(""https://docs.google.com/spreadsheets/d/1BeghqumK0IvCmRd2QOy6_afsZq7ZtAGrSnVJy2u7WmY/edit?usp=share_link"",""นราธิวาส!J372"")+IMPORTRANGE(""https://docs.google.com/spreadsheets/d/1IwnW3-jjRf74MCLW-6P"&amp;"iFwMUffRQXZwZA7YM609NmRc/edit?usp=share_link"",""ปัตตานี!J372"")+IMPORTRANGE(""https://docs.google.com/spreadsheets/d/1vl4QWbWdFruual5o_wdo6ZSqXZ_it806oja4CctTLKs/edit?usp=share_link"",""พังงา!J372"")+IMPORTRANGE(""https://docs.google.com/spreadsheets/d/1"&amp;"b6QssHQp2FoAPSMKHOy273KNzAomaIKhtdlvuZ_zDNE/edit?usp=share_link"",""พัทลุง!J372"")+IMPORTRANGE(""https://docs.google.com/spreadsheets/d/1o7UZe4_OqlqtLDHrj01Z2YFRSZDf1DMy1n3XViHaxRc/edit?usp=share_link"",""ภูเก็ต!J372"")+IMPORTRANGE(""https://docs.google.c"&amp;"om/spreadsheets/d/1ctPm1vUzcUCPuOj9-eoHUD85PqINFqUB0TjdSWmR5-c/edit?usp=share_link"",""ยะลา!J372"")+IMPORTRANGE(""https://docs.google.com/spreadsheets/d/1YiDIE7Klmt8osgdapRqYWNr7iPGFSsiJqq46S7PYRE0/edit?usp=share_link"",""ระนอง!J372"")+IMPORTRANGE(""https"&amp;"://docs.google.com/spreadsheets/d/16o_4B-V7AWw_6E93bSpXj_XxVv1oVQctk-B6z1dNEWU/edit?usp=share_link"",""สงขลา!J372"")+IMPORTRANGE(""https://docs.google.com/spreadsheets/d/16cywr71Fj4fA5OGRHsZh30ZG2gwJhMAQv69oVBzYHv0/edit?usp=share_link"",""สตูล!J372"")+IMP"&amp;"ORTRANGE(""https://docs.google.com/spreadsheets/d/1vO9Sws6kMtrVtyvrAJptINXjK8TFBoX9xLYOVK_C8bQ/edit?usp=share_link"",""สุราษฎร์ธานี!J372"")"),487)</f>
        <v>487</v>
      </c>
      <c r="K372" s="38">
        <f t="shared" ca="1" si="190"/>
        <v>48.895582329317271</v>
      </c>
      <c r="L372" s="163"/>
      <c r="M372" s="163"/>
      <c r="N372" s="163"/>
      <c r="O372" s="163"/>
      <c r="P372" s="163"/>
    </row>
    <row r="373" spans="1:26" ht="20.25" customHeight="1">
      <c r="A373" s="471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IFERROR(__xludf.DUMMYFUNCTION("IMPORTRANGE(""https://docs.google.com/spreadsheets/d/1kC41EOXpGBFOW658Fs3oD8beYlym0-zO54WY-2Qnp9I/edit?usp=share_link"",""กระบี่!J373"")
+IMPORTRANGE(""https://docs.google.com/spreadsheets/d/1FbzMZY_f3MDiEuK7RpCQKrilJ_kpX0Wm7QBZ1L7EjIU/edit?usp=share_link"&amp;""",""ชุมพร!J373"")+IMPORTRANGE(""https://docs.google.com/spreadsheets/d/1v5sN-00LrXuhBxw4dkh2GrG_z4l5oAqOdJRBCsUyMaM/edit?usp=share_link"",""ตรัง!J373"")+IMPORTRANGE(""https://docs.google.com/spreadsheets/d/1T5rRTzFc79aSIvqnzkZNvwPstq829QYz_xALlO1Z0s8/edi"&amp;"t?usp=share_link"",""นครศรีธรรมราช!J373"")+IMPORTRANGE(""https://docs.google.com/spreadsheets/d/1BeghqumK0IvCmRd2QOy6_afsZq7ZtAGrSnVJy2u7WmY/edit?usp=share_link"",""นราธิวาส!J373"")+IMPORTRANGE(""https://docs.google.com/spreadsheets/d/1IwnW3-jjRf74MCLW-6P"&amp;"iFwMUffRQXZwZA7YM609NmRc/edit?usp=share_link"",""ปัตตานี!J373"")+IMPORTRANGE(""https://docs.google.com/spreadsheets/d/1vl4QWbWdFruual5o_wdo6ZSqXZ_it806oja4CctTLKs/edit?usp=share_link"",""พังงา!J373"")+IMPORTRANGE(""https://docs.google.com/spreadsheets/d/1"&amp;"b6QssHQp2FoAPSMKHOy273KNzAomaIKhtdlvuZ_zDNE/edit?usp=share_link"",""พัทลุง!J373"")+IMPORTRANGE(""https://docs.google.com/spreadsheets/d/1o7UZe4_OqlqtLDHrj01Z2YFRSZDf1DMy1n3XViHaxRc/edit?usp=share_link"",""ภูเก็ต!J373"")+IMPORTRANGE(""https://docs.google.c"&amp;"om/spreadsheets/d/1ctPm1vUzcUCPuOj9-eoHUD85PqINFqUB0TjdSWmR5-c/edit?usp=share_link"",""ยะลา!J373"")+IMPORTRANGE(""https://docs.google.com/spreadsheets/d/1YiDIE7Klmt8osgdapRqYWNr7iPGFSsiJqq46S7PYRE0/edit?usp=share_link"",""ระนอง!J373"")+IMPORTRANGE(""https"&amp;"://docs.google.com/spreadsheets/d/16o_4B-V7AWw_6E93bSpXj_XxVv1oVQctk-B6z1dNEWU/edit?usp=share_link"",""สงขลา!J373"")+IMPORTRANGE(""https://docs.google.com/spreadsheets/d/16cywr71Fj4fA5OGRHsZh30ZG2gwJhMAQv69oVBzYHv0/edit?usp=share_link"",""สตูล!J373"")+IMP"&amp;"ORTRANGE(""https://docs.google.com/spreadsheets/d/1vO9Sws6kMtrVtyvrAJptINXjK8TFBoX9xLYOVK_C8bQ/edit?usp=share_link"",""สุราษฎร์ธานี!J373"")"),3809.69)</f>
        <v>3809.69</v>
      </c>
      <c r="K373" s="38">
        <f t="shared" si="190"/>
        <v>0</v>
      </c>
      <c r="L373" s="163"/>
      <c r="M373" s="163"/>
      <c r="N373" s="163"/>
      <c r="O373" s="163"/>
      <c r="P373" s="163"/>
    </row>
    <row r="374" spans="1:26" ht="20.25" customHeight="1">
      <c r="A374" s="483"/>
      <c r="B374" s="484"/>
      <c r="C374" s="485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IFERROR(__xludf.DUMMYFUNCTION("IMPORTRANGE(""https://docs.google.com/spreadsheets/d/1kC41EOXpGBFOW658Fs3oD8beYlym0-zO54WY-2Qnp9I/edit?usp=share_link"",""กระบี่!I374"")
+IMPORTRANGE(""https://docs.google.com/spreadsheets/d/1FbzMZY_f3MDiEuK7RpCQKrilJ_kpX0Wm7QBZ1L7EjIU/edit?usp=share_link"&amp;""",""ชุมพร!I374"")+IMPORTRANGE(""https://docs.google.com/spreadsheets/d/1v5sN-00LrXuhBxw4dkh2GrG_z4l5oAqOdJRBCsUyMaM/edit?usp=share_link"",""ตรัง!I374"")+IMPORTRANGE(""https://docs.google.com/spreadsheets/d/1T5rRTzFc79aSIvqnzkZNvwPstq829QYz_xALlO1Z0s8/edi"&amp;"t?usp=share_link"",""นครศรีธรรมราช!I374"")+IMPORTRANGE(""https://docs.google.com/spreadsheets/d/1BeghqumK0IvCmRd2QOy6_afsZq7ZtAGrSnVJy2u7WmY/edit?usp=share_link"",""นราธิวาส!I374"")+IMPORTRANGE(""https://docs.google.com/spreadsheets/d/1IwnW3-jjRf74MCLW-6P"&amp;"iFwMUffRQXZwZA7YM609NmRc/edit?usp=share_link"",""ปัตตานี!I374"")+IMPORTRANGE(""https://docs.google.com/spreadsheets/d/1vl4QWbWdFruual5o_wdo6ZSqXZ_it806oja4CctTLKs/edit?usp=share_link"",""พังงา!I374"")+IMPORTRANGE(""https://docs.google.com/spreadsheets/d/1"&amp;"b6QssHQp2FoAPSMKHOy273KNzAomaIKhtdlvuZ_zDNE/edit?usp=share_link"",""พัทลุง!I374"")+IMPORTRANGE(""https://docs.google.com/spreadsheets/d/1o7UZe4_OqlqtLDHrj01Z2YFRSZDf1DMy1n3XViHaxRc/edit?usp=share_link"",""ภูเก็ต!I374"")+IMPORTRANGE(""https://docs.google.c"&amp;"om/spreadsheets/d/1ctPm1vUzcUCPuOj9-eoHUD85PqINFqUB0TjdSWmR5-c/edit?usp=share_link"",""ยะลา!I374"")+IMPORTRANGE(""https://docs.google.com/spreadsheets/d/1YiDIE7Klmt8osgdapRqYWNr7iPGFSsiJqq46S7PYRE0/edit?usp=share_link"",""ระนอง!I374"")+IMPORTRANGE(""https"&amp;"://docs.google.com/spreadsheets/d/16o_4B-V7AWw_6E93bSpXj_XxVv1oVQctk-B6z1dNEWU/edit?usp=share_link"",""สงขลา!I374"")+IMPORTRANGE(""https://docs.google.com/spreadsheets/d/16cywr71Fj4fA5OGRHsZh30ZG2gwJhMAQv69oVBzYHv0/edit?usp=share_link"",""สตูล!I374"")+IMP"&amp;"ORTRANGE(""https://docs.google.com/spreadsheets/d/1vO9Sws6kMtrVtyvrAJptINXjK8TFBoX9xLYOVK_C8bQ/edit?usp=share_link"",""สุราษฎร์ธานี!I374"")"),2988)</f>
        <v>2988</v>
      </c>
      <c r="J374" s="491">
        <f ca="1">J381</f>
        <v>1900</v>
      </c>
      <c r="K374" s="492">
        <f t="shared" ca="1" si="190"/>
        <v>63.587684069611782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20.25" customHeight="1">
      <c r="A375" s="483"/>
      <c r="B375" s="484"/>
      <c r="C375" s="485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20.25" customHeight="1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20.25" customHeight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IFERROR(__xludf.DUMMYFUNCTION("IMPORTRANGE(""https://docs.google.com/spreadsheets/d/1kC41EOXpGBFOW658Fs3oD8beYlym0-zO54WY-2Qnp9I/edit?usp=share_link"",""กระบี่!J377"")
+IMPORTRANGE(""https://docs.google.com/spreadsheets/d/1FbzMZY_f3MDiEuK7RpCQKrilJ_kpX0Wm7QBZ1L7EjIU/edit?usp=share_link"&amp;""",""ชุมพร!J377"")+IMPORTRANGE(""https://docs.google.com/spreadsheets/d/1v5sN-00LrXuhBxw4dkh2GrG_z4l5oAqOdJRBCsUyMaM/edit?usp=share_link"",""ตรัง!J377"")+IMPORTRANGE(""https://docs.google.com/spreadsheets/d/1T5rRTzFc79aSIvqnzkZNvwPstq829QYz_xALlO1Z0s8/edi"&amp;"t?usp=share_link"",""นครศรีธรรมราช!J377"")+IMPORTRANGE(""https://docs.google.com/spreadsheets/d/1BeghqumK0IvCmRd2QOy6_afsZq7ZtAGrSnVJy2u7WmY/edit?usp=share_link"",""นราธิวาส!J377"")+IMPORTRANGE(""https://docs.google.com/spreadsheets/d/1IwnW3-jjRf74MCLW-6P"&amp;"iFwMUffRQXZwZA7YM609NmRc/edit?usp=share_link"",""ปัตตานี!J377"")+IMPORTRANGE(""https://docs.google.com/spreadsheets/d/1vl4QWbWdFruual5o_wdo6ZSqXZ_it806oja4CctTLKs/edit?usp=share_link"",""พังงา!J377"")+IMPORTRANGE(""https://docs.google.com/spreadsheets/d/1"&amp;"b6QssHQp2FoAPSMKHOy273KNzAomaIKhtdlvuZ_zDNE/edit?usp=share_link"",""พัทลุง!J377"")+IMPORTRANGE(""https://docs.google.com/spreadsheets/d/1o7UZe4_OqlqtLDHrj01Z2YFRSZDf1DMy1n3XViHaxRc/edit?usp=share_link"",""ภูเก็ต!J377"")+IMPORTRANGE(""https://docs.google.c"&amp;"om/spreadsheets/d/1ctPm1vUzcUCPuOj9-eoHUD85PqINFqUB0TjdSWmR5-c/edit?usp=share_link"",""ยะลา!J377"")+IMPORTRANGE(""https://docs.google.com/spreadsheets/d/1YiDIE7Klmt8osgdapRqYWNr7iPGFSsiJqq46S7PYRE0/edit?usp=share_link"",""ระนอง!J377"")+IMPORTRANGE(""https"&amp;"://docs.google.com/spreadsheets/d/16o_4B-V7AWw_6E93bSpXj_XxVv1oVQctk-B6z1dNEWU/edit?usp=share_link"",""สงขลา!J377"")+IMPORTRANGE(""https://docs.google.com/spreadsheets/d/16cywr71Fj4fA5OGRHsZh30ZG2gwJhMAQv69oVBzYHv0/edit?usp=share_link"",""สตูล!J377"")+IMP"&amp;"ORTRANGE(""https://docs.google.com/spreadsheets/d/1vO9Sws6kMtrVtyvrAJptINXjK8TFBoX9xLYOVK_C8bQ/edit?usp=share_link"",""สุราษฎร์ธานี!J377"")"),768)</f>
        <v>768</v>
      </c>
      <c r="K377" s="498">
        <f t="shared" ref="K377:K382" si="191">IF(I377&gt;0,J377*100/I377,0)</f>
        <v>0</v>
      </c>
      <c r="L377" s="163"/>
      <c r="M377" s="163"/>
      <c r="N377" s="163"/>
      <c r="O377" s="163"/>
      <c r="P377" s="163"/>
    </row>
    <row r="378" spans="1:26" ht="20.25" customHeight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IFERROR(__xludf.DUMMYFUNCTION("IMPORTRANGE(""https://docs.google.com/spreadsheets/d/1kC41EOXpGBFOW658Fs3oD8beYlym0-zO54WY-2Qnp9I/edit?usp=share_link"",""กระบี่!I378"")
+IMPORTRANGE(""https://docs.google.com/spreadsheets/d/1FbzMZY_f3MDiEuK7RpCQKrilJ_kpX0Wm7QBZ1L7EjIU/edit?usp=share_link"&amp;""",""ชุมพร!I378"")+IMPORTRANGE(""https://docs.google.com/spreadsheets/d/1v5sN-00LrXuhBxw4dkh2GrG_z4l5oAqOdJRBCsUyMaM/edit?usp=share_link"",""ตรัง!I378"")+IMPORTRANGE(""https://docs.google.com/spreadsheets/d/1T5rRTzFc79aSIvqnzkZNvwPstq829QYz_xALlO1Z0s8/edi"&amp;"t?usp=share_link"",""นครศรีธรรมราช!I378"")+IMPORTRANGE(""https://docs.google.com/spreadsheets/d/1BeghqumK0IvCmRd2QOy6_afsZq7ZtAGrSnVJy2u7WmY/edit?usp=share_link"",""นราธิวาส!I378"")+IMPORTRANGE(""https://docs.google.com/spreadsheets/d/1IwnW3-jjRf74MCLW-6P"&amp;"iFwMUffRQXZwZA7YM609NmRc/edit?usp=share_link"",""ปัตตานี!I378"")+IMPORTRANGE(""https://docs.google.com/spreadsheets/d/1vl4QWbWdFruual5o_wdo6ZSqXZ_it806oja4CctTLKs/edit?usp=share_link"",""พังงา!I378"")+IMPORTRANGE(""https://docs.google.com/spreadsheets/d/1"&amp;"b6QssHQp2FoAPSMKHOy273KNzAomaIKhtdlvuZ_zDNE/edit?usp=share_link"",""พัทลุง!I378"")+IMPORTRANGE(""https://docs.google.com/spreadsheets/d/1o7UZe4_OqlqtLDHrj01Z2YFRSZDf1DMy1n3XViHaxRc/edit?usp=share_link"",""ภูเก็ต!I378"")+IMPORTRANGE(""https://docs.google.c"&amp;"om/spreadsheets/d/1ctPm1vUzcUCPuOj9-eoHUD85PqINFqUB0TjdSWmR5-c/edit?usp=share_link"",""ยะลา!I378"")+IMPORTRANGE(""https://docs.google.com/spreadsheets/d/1YiDIE7Klmt8osgdapRqYWNr7iPGFSsiJqq46S7PYRE0/edit?usp=share_link"",""ระนอง!I378"")+IMPORTRANGE(""https"&amp;"://docs.google.com/spreadsheets/d/16o_4B-V7AWw_6E93bSpXj_XxVv1oVQctk-B6z1dNEWU/edit?usp=share_link"",""สงขลา!I378"")+IMPORTRANGE(""https://docs.google.com/spreadsheets/d/16cywr71Fj4fA5OGRHsZh30ZG2gwJhMAQv69oVBzYHv0/edit?usp=share_link"",""สตูล!I378"")+IMP"&amp;"ORTRANGE(""https://docs.google.com/spreadsheets/d/1vO9Sws6kMtrVtyvrAJptINXjK8TFBoX9xLYOVK_C8bQ/edit?usp=share_link"",""สุราษฎร์ธานี!I378"")"),11151)</f>
        <v>11151</v>
      </c>
      <c r="J378" s="270">
        <f ca="1">IFERROR(__xludf.DUMMYFUNCTION("IMPORTRANGE(""https://docs.google.com/spreadsheets/d/1kC41EOXpGBFOW658Fs3oD8beYlym0-zO54WY-2Qnp9I/edit?usp=share_link"",""กระบี่!J378"")
+IMPORTRANGE(""https://docs.google.com/spreadsheets/d/1FbzMZY_f3MDiEuK7RpCQKrilJ_kpX0Wm7QBZ1L7EjIU/edit?usp=share_link"&amp;""",""ชุมพร!J378"")+IMPORTRANGE(""https://docs.google.com/spreadsheets/d/1v5sN-00LrXuhBxw4dkh2GrG_z4l5oAqOdJRBCsUyMaM/edit?usp=share_link"",""ตรัง!J378"")+IMPORTRANGE(""https://docs.google.com/spreadsheets/d/1T5rRTzFc79aSIvqnzkZNvwPstq829QYz_xALlO1Z0s8/edi"&amp;"t?usp=share_link"",""นครศรีธรรมราช!J378"")+IMPORTRANGE(""https://docs.google.com/spreadsheets/d/1BeghqumK0IvCmRd2QOy6_afsZq7ZtAGrSnVJy2u7WmY/edit?usp=share_link"",""นราธิวาส!J378"")+IMPORTRANGE(""https://docs.google.com/spreadsheets/d/1IwnW3-jjRf74MCLW-6P"&amp;"iFwMUffRQXZwZA7YM609NmRc/edit?usp=share_link"",""ปัตตานี!J378"")+IMPORTRANGE(""https://docs.google.com/spreadsheets/d/1vl4QWbWdFruual5o_wdo6ZSqXZ_it806oja4CctTLKs/edit?usp=share_link"",""พังงา!J378"")+IMPORTRANGE(""https://docs.google.com/spreadsheets/d/1"&amp;"b6QssHQp2FoAPSMKHOy273KNzAomaIKhtdlvuZ_zDNE/edit?usp=share_link"",""พัทลุง!J378"")+IMPORTRANGE(""https://docs.google.com/spreadsheets/d/1o7UZe4_OqlqtLDHrj01Z2YFRSZDf1DMy1n3XViHaxRc/edit?usp=share_link"",""ภูเก็ต!J378"")+IMPORTRANGE(""https://docs.google.c"&amp;"om/spreadsheets/d/1ctPm1vUzcUCPuOj9-eoHUD85PqINFqUB0TjdSWmR5-c/edit?usp=share_link"",""ยะลา!J378"")+IMPORTRANGE(""https://docs.google.com/spreadsheets/d/1YiDIE7Klmt8osgdapRqYWNr7iPGFSsiJqq46S7PYRE0/edit?usp=share_link"",""ระนอง!J378"")+IMPORTRANGE(""https"&amp;"://docs.google.com/spreadsheets/d/16o_4B-V7AWw_6E93bSpXj_XxVv1oVQctk-B6z1dNEWU/edit?usp=share_link"",""สงขลา!J378"")+IMPORTRANGE(""https://docs.google.com/spreadsheets/d/16cywr71Fj4fA5OGRHsZh30ZG2gwJhMAQv69oVBzYHv0/edit?usp=share_link"",""สตูล!J378"")+IMP"&amp;"ORTRANGE(""https://docs.google.com/spreadsheets/d/1vO9Sws6kMtrVtyvrAJptINXjK8TFBoX9xLYOVK_C8bQ/edit?usp=share_link"",""สุราษฎร์ธานี!J378"")"),6776.20999999999)</f>
        <v>6776.20999999999</v>
      </c>
      <c r="K378" s="498">
        <f t="shared" ca="1" si="191"/>
        <v>60.76773383553035</v>
      </c>
      <c r="L378" s="163"/>
      <c r="M378" s="163"/>
      <c r="N378" s="163"/>
      <c r="O378" s="163"/>
      <c r="P378" s="163"/>
    </row>
    <row r="379" spans="1:26" ht="20.25" customHeight="1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IFERROR(__xludf.DUMMYFUNCTION("IMPORTRANGE(""https://docs.google.com/spreadsheets/d/1kC41EOXpGBFOW658Fs3oD8beYlym0-zO54WY-2Qnp9I/edit?usp=share_link"",""กระบี่!I379"")
+IMPORTRANGE(""https://docs.google.com/spreadsheets/d/1FbzMZY_f3MDiEuK7RpCQKrilJ_kpX0Wm7QBZ1L7EjIU/edit?usp=share_link"&amp;""",""ชุมพร!I379"")+IMPORTRANGE(""https://docs.google.com/spreadsheets/d/1v5sN-00LrXuhBxw4dkh2GrG_z4l5oAqOdJRBCsUyMaM/edit?usp=share_link"",""ตรัง!I379"")+IMPORTRANGE(""https://docs.google.com/spreadsheets/d/1T5rRTzFc79aSIvqnzkZNvwPstq829QYz_xALlO1Z0s8/edi"&amp;"t?usp=share_link"",""นครศรีธรรมราช!I379"")+IMPORTRANGE(""https://docs.google.com/spreadsheets/d/1BeghqumK0IvCmRd2QOy6_afsZq7ZtAGrSnVJy2u7WmY/edit?usp=share_link"",""นราธิวาส!I379"")+IMPORTRANGE(""https://docs.google.com/spreadsheets/d/1IwnW3-jjRf74MCLW-6P"&amp;"iFwMUffRQXZwZA7YM609NmRc/edit?usp=share_link"",""ปัตตานี!I379"")+IMPORTRANGE(""https://docs.google.com/spreadsheets/d/1vl4QWbWdFruual5o_wdo6ZSqXZ_it806oja4CctTLKs/edit?usp=share_link"",""พังงา!I379"")+IMPORTRANGE(""https://docs.google.com/spreadsheets/d/1"&amp;"b6QssHQp2FoAPSMKHOy273KNzAomaIKhtdlvuZ_zDNE/edit?usp=share_link"",""พัทลุง!I379"")+IMPORTRANGE(""https://docs.google.com/spreadsheets/d/1o7UZe4_OqlqtLDHrj01Z2YFRSZDf1DMy1n3XViHaxRc/edit?usp=share_link"",""ภูเก็ต!I379"")+IMPORTRANGE(""https://docs.google.c"&amp;"om/spreadsheets/d/1ctPm1vUzcUCPuOj9-eoHUD85PqINFqUB0TjdSWmR5-c/edit?usp=share_link"",""ยะลา!I379"")+IMPORTRANGE(""https://docs.google.com/spreadsheets/d/1YiDIE7Klmt8osgdapRqYWNr7iPGFSsiJqq46S7PYRE0/edit?usp=share_link"",""ระนอง!I379"")+IMPORTRANGE(""https"&amp;"://docs.google.com/spreadsheets/d/16o_4B-V7AWw_6E93bSpXj_XxVv1oVQctk-B6z1dNEWU/edit?usp=share_link"",""สงขลา!I379"")+IMPORTRANGE(""https://docs.google.com/spreadsheets/d/16cywr71Fj4fA5OGRHsZh30ZG2gwJhMAQv69oVBzYHv0/edit?usp=share_link"",""สตูล!I379"")+IMP"&amp;"ORTRANGE(""https://docs.google.com/spreadsheets/d/1vO9Sws6kMtrVtyvrAJptINXjK8TFBoX9xLYOVK_C8bQ/edit?usp=share_link"",""สุราษฎร์ธานี!I379"")"),2988)</f>
        <v>2988</v>
      </c>
      <c r="J379" s="270">
        <f ca="1">IFERROR(__xludf.DUMMYFUNCTION("IMPORTRANGE(""https://docs.google.com/spreadsheets/d/1kC41EOXpGBFOW658Fs3oD8beYlym0-zO54WY-2Qnp9I/edit?usp=share_link"",""กระบี่!J379"")
+IMPORTRANGE(""https://docs.google.com/spreadsheets/d/1FbzMZY_f3MDiEuK7RpCQKrilJ_kpX0Wm7QBZ1L7EjIU/edit?usp=share_link"&amp;""",""ชุมพร!J379"")+IMPORTRANGE(""https://docs.google.com/spreadsheets/d/1v5sN-00LrXuhBxw4dkh2GrG_z4l5oAqOdJRBCsUyMaM/edit?usp=share_link"",""ตรัง!J379"")+IMPORTRANGE(""https://docs.google.com/spreadsheets/d/1T5rRTzFc79aSIvqnzkZNvwPstq829QYz_xALlO1Z0s8/edi"&amp;"t?usp=share_link"",""นครศรีธรรมราช!J379"")+IMPORTRANGE(""https://docs.google.com/spreadsheets/d/1BeghqumK0IvCmRd2QOy6_afsZq7ZtAGrSnVJy2u7WmY/edit?usp=share_link"",""นราธิวาส!J379"")+IMPORTRANGE(""https://docs.google.com/spreadsheets/d/1IwnW3-jjRf74MCLW-6P"&amp;"iFwMUffRQXZwZA7YM609NmRc/edit?usp=share_link"",""ปัตตานี!J379"")+IMPORTRANGE(""https://docs.google.com/spreadsheets/d/1vl4QWbWdFruual5o_wdo6ZSqXZ_it806oja4CctTLKs/edit?usp=share_link"",""พังงา!J379"")+IMPORTRANGE(""https://docs.google.com/spreadsheets/d/1"&amp;"b6QssHQp2FoAPSMKHOy273KNzAomaIKhtdlvuZ_zDNE/edit?usp=share_link"",""พัทลุง!J379"")+IMPORTRANGE(""https://docs.google.com/spreadsheets/d/1o7UZe4_OqlqtLDHrj01Z2YFRSZDf1DMy1n3XViHaxRc/edit?usp=share_link"",""ภูเก็ต!J379"")+IMPORTRANGE(""https://docs.google.c"&amp;"om/spreadsheets/d/1ctPm1vUzcUCPuOj9-eoHUD85PqINFqUB0TjdSWmR5-c/edit?usp=share_link"",""ยะลา!J379"")+IMPORTRANGE(""https://docs.google.com/spreadsheets/d/1YiDIE7Klmt8osgdapRqYWNr7iPGFSsiJqq46S7PYRE0/edit?usp=share_link"",""ระนอง!J379"")+IMPORTRANGE(""https"&amp;"://docs.google.com/spreadsheets/d/16o_4B-V7AWw_6E93bSpXj_XxVv1oVQctk-B6z1dNEWU/edit?usp=share_link"",""สงขลา!J379"")+IMPORTRANGE(""https://docs.google.com/spreadsheets/d/16cywr71Fj4fA5OGRHsZh30ZG2gwJhMAQv69oVBzYHv0/edit?usp=share_link"",""สตูล!J379"")+IMP"&amp;"ORTRANGE(""https://docs.google.com/spreadsheets/d/1vO9Sws6kMtrVtyvrAJptINXjK8TFBoX9xLYOVK_C8bQ/edit?usp=share_link"",""สุราษฎร์ธานี!J379"")"),2283)</f>
        <v>2283</v>
      </c>
      <c r="K379" s="498">
        <f t="shared" ca="1" si="191"/>
        <v>76.405622489959839</v>
      </c>
      <c r="L379" s="163"/>
      <c r="M379" s="163"/>
      <c r="N379" s="163"/>
      <c r="O379" s="163"/>
      <c r="P379" s="163"/>
    </row>
    <row r="380" spans="1:26" ht="20.25" customHeight="1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IFERROR(__xludf.DUMMYFUNCTION("IMPORTRANGE(""https://docs.google.com/spreadsheets/d/1kC41EOXpGBFOW658Fs3oD8beYlym0-zO54WY-2Qnp9I/edit?usp=share_link"",""กระบี่!J380"")
+IMPORTRANGE(""https://docs.google.com/spreadsheets/d/1FbzMZY_f3MDiEuK7RpCQKrilJ_kpX0Wm7QBZ1L7EjIU/edit?usp=share_link"&amp;""",""ชุมพร!J380"")+IMPORTRANGE(""https://docs.google.com/spreadsheets/d/1v5sN-00LrXuhBxw4dkh2GrG_z4l5oAqOdJRBCsUyMaM/edit?usp=share_link"",""ตรัง!J380"")+IMPORTRANGE(""https://docs.google.com/spreadsheets/d/1T5rRTzFc79aSIvqnzkZNvwPstq829QYz_xALlO1Z0s8/edi"&amp;"t?usp=share_link"",""นครศรีธรรมราช!J380"")+IMPORTRANGE(""https://docs.google.com/spreadsheets/d/1BeghqumK0IvCmRd2QOy6_afsZq7ZtAGrSnVJy2u7WmY/edit?usp=share_link"",""นราธิวาส!J380"")+IMPORTRANGE(""https://docs.google.com/spreadsheets/d/1IwnW3-jjRf74MCLW-6P"&amp;"iFwMUffRQXZwZA7YM609NmRc/edit?usp=share_link"",""ปัตตานี!J380"")+IMPORTRANGE(""https://docs.google.com/spreadsheets/d/1vl4QWbWdFruual5o_wdo6ZSqXZ_it806oja4CctTLKs/edit?usp=share_link"",""พังงา!J380"")+IMPORTRANGE(""https://docs.google.com/spreadsheets/d/1"&amp;"b6QssHQp2FoAPSMKHOy273KNzAomaIKhtdlvuZ_zDNE/edit?usp=share_link"",""พัทลุง!J380"")+IMPORTRANGE(""https://docs.google.com/spreadsheets/d/1o7UZe4_OqlqtLDHrj01Z2YFRSZDf1DMy1n3XViHaxRc/edit?usp=share_link"",""ภูเก็ต!J380"")+IMPORTRANGE(""https://docs.google.c"&amp;"om/spreadsheets/d/1ctPm1vUzcUCPuOj9-eoHUD85PqINFqUB0TjdSWmR5-c/edit?usp=share_link"",""ยะลา!J380"")+IMPORTRANGE(""https://docs.google.com/spreadsheets/d/1YiDIE7Klmt8osgdapRqYWNr7iPGFSsiJqq46S7PYRE0/edit?usp=share_link"",""ระนอง!J380"")+IMPORTRANGE(""https"&amp;"://docs.google.com/spreadsheets/d/16o_4B-V7AWw_6E93bSpXj_XxVv1oVQctk-B6z1dNEWU/edit?usp=share_link"",""สงขลา!J380"")+IMPORTRANGE(""https://docs.google.com/spreadsheets/d/16cywr71Fj4fA5OGRHsZh30ZG2gwJhMAQv69oVBzYHv0/edit?usp=share_link"",""สตูล!J380"")+IMP"&amp;"ORTRANGE(""https://docs.google.com/spreadsheets/d/1vO9Sws6kMtrVtyvrAJptINXjK8TFBoX9xLYOVK_C8bQ/edit?usp=share_link"",""สุราษฎร์ธานี!J380"")"),27044.07)</f>
        <v>27044.07</v>
      </c>
      <c r="K380" s="498">
        <f t="shared" si="191"/>
        <v>0</v>
      </c>
      <c r="L380" s="163"/>
      <c r="M380" s="163"/>
      <c r="N380" s="163"/>
      <c r="O380" s="163"/>
      <c r="P380" s="163"/>
    </row>
    <row r="381" spans="1:26" ht="20.25" customHeight="1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IFERROR(__xludf.DUMMYFUNCTION("IMPORTRANGE(""https://docs.google.com/spreadsheets/d/1kC41EOXpGBFOW658Fs3oD8beYlym0-zO54WY-2Qnp9I/edit?usp=share_link"",""กระบี่!I381"")
+IMPORTRANGE(""https://docs.google.com/spreadsheets/d/1FbzMZY_f3MDiEuK7RpCQKrilJ_kpX0Wm7QBZ1L7EjIU/edit?usp=share_link"&amp;""",""ชุมพร!I381"")+IMPORTRANGE(""https://docs.google.com/spreadsheets/d/1v5sN-00LrXuhBxw4dkh2GrG_z4l5oAqOdJRBCsUyMaM/edit?usp=share_link"",""ตรัง!I381"")+IMPORTRANGE(""https://docs.google.com/spreadsheets/d/1T5rRTzFc79aSIvqnzkZNvwPstq829QYz_xALlO1Z0s8/edi"&amp;"t?usp=share_link"",""นครศรีธรรมราช!I381"")+IMPORTRANGE(""https://docs.google.com/spreadsheets/d/1BeghqumK0IvCmRd2QOy6_afsZq7ZtAGrSnVJy2u7WmY/edit?usp=share_link"",""นราธิวาส!I381"")+IMPORTRANGE(""https://docs.google.com/spreadsheets/d/1IwnW3-jjRf74MCLW-6P"&amp;"iFwMUffRQXZwZA7YM609NmRc/edit?usp=share_link"",""ปัตตานี!I381"")+IMPORTRANGE(""https://docs.google.com/spreadsheets/d/1vl4QWbWdFruual5o_wdo6ZSqXZ_it806oja4CctTLKs/edit?usp=share_link"",""พังงา!I381"")+IMPORTRANGE(""https://docs.google.com/spreadsheets/d/1"&amp;"b6QssHQp2FoAPSMKHOy273KNzAomaIKhtdlvuZ_zDNE/edit?usp=share_link"",""พัทลุง!I381"")+IMPORTRANGE(""https://docs.google.com/spreadsheets/d/1o7UZe4_OqlqtLDHrj01Z2YFRSZDf1DMy1n3XViHaxRc/edit?usp=share_link"",""ภูเก็ต!I381"")+IMPORTRANGE(""https://docs.google.c"&amp;"om/spreadsheets/d/1ctPm1vUzcUCPuOj9-eoHUD85PqINFqUB0TjdSWmR5-c/edit?usp=share_link"",""ยะลา!I381"")+IMPORTRANGE(""https://docs.google.com/spreadsheets/d/1YiDIE7Klmt8osgdapRqYWNr7iPGFSsiJqq46S7PYRE0/edit?usp=share_link"",""ระนอง!I381"")+IMPORTRANGE(""https"&amp;"://docs.google.com/spreadsheets/d/16o_4B-V7AWw_6E93bSpXj_XxVv1oVQctk-B6z1dNEWU/edit?usp=share_link"",""สงขลา!I381"")+IMPORTRANGE(""https://docs.google.com/spreadsheets/d/16cywr71Fj4fA5OGRHsZh30ZG2gwJhMAQv69oVBzYHv0/edit?usp=share_link"",""สตูล!I381"")+IMP"&amp;"ORTRANGE(""https://docs.google.com/spreadsheets/d/1vO9Sws6kMtrVtyvrAJptINXjK8TFBoX9xLYOVK_C8bQ/edit?usp=share_link"",""สุราษฎร์ธานี!I381"")"),2988)</f>
        <v>2988</v>
      </c>
      <c r="J381" s="270">
        <f ca="1">IFERROR(__xludf.DUMMYFUNCTION("IMPORTRANGE(""https://docs.google.com/spreadsheets/d/1kC41EOXpGBFOW658Fs3oD8beYlym0-zO54WY-2Qnp9I/edit?usp=share_link"",""กระบี่!J381"")
+IMPORTRANGE(""https://docs.google.com/spreadsheets/d/1FbzMZY_f3MDiEuK7RpCQKrilJ_kpX0Wm7QBZ1L7EjIU/edit?usp=share_link"&amp;""",""ชุมพร!J381"")+IMPORTRANGE(""https://docs.google.com/spreadsheets/d/1v5sN-00LrXuhBxw4dkh2GrG_z4l5oAqOdJRBCsUyMaM/edit?usp=share_link"",""ตรัง!J381"")+IMPORTRANGE(""https://docs.google.com/spreadsheets/d/1T5rRTzFc79aSIvqnzkZNvwPstq829QYz_xALlO1Z0s8/edi"&amp;"t?usp=share_link"",""นครศรีธรรมราช!J381"")+IMPORTRANGE(""https://docs.google.com/spreadsheets/d/1BeghqumK0IvCmRd2QOy6_afsZq7ZtAGrSnVJy2u7WmY/edit?usp=share_link"",""นราธิวาส!J381"")+IMPORTRANGE(""https://docs.google.com/spreadsheets/d/1IwnW3-jjRf74MCLW-6P"&amp;"iFwMUffRQXZwZA7YM609NmRc/edit?usp=share_link"",""ปัตตานี!J381"")+IMPORTRANGE(""https://docs.google.com/spreadsheets/d/1vl4QWbWdFruual5o_wdo6ZSqXZ_it806oja4CctTLKs/edit?usp=share_link"",""พังงา!J381"")+IMPORTRANGE(""https://docs.google.com/spreadsheets/d/1"&amp;"b6QssHQp2FoAPSMKHOy273KNzAomaIKhtdlvuZ_zDNE/edit?usp=share_link"",""พัทลุง!J381"")+IMPORTRANGE(""https://docs.google.com/spreadsheets/d/1o7UZe4_OqlqtLDHrj01Z2YFRSZDf1DMy1n3XViHaxRc/edit?usp=share_link"",""ภูเก็ต!J381"")+IMPORTRANGE(""https://docs.google.c"&amp;"om/spreadsheets/d/1ctPm1vUzcUCPuOj9-eoHUD85PqINFqUB0TjdSWmR5-c/edit?usp=share_link"",""ยะลา!J381"")+IMPORTRANGE(""https://docs.google.com/spreadsheets/d/1YiDIE7Klmt8osgdapRqYWNr7iPGFSsiJqq46S7PYRE0/edit?usp=share_link"",""ระนอง!J381"")+IMPORTRANGE(""https"&amp;"://docs.google.com/spreadsheets/d/16o_4B-V7AWw_6E93bSpXj_XxVv1oVQctk-B6z1dNEWU/edit?usp=share_link"",""สงขลา!J381"")+IMPORTRANGE(""https://docs.google.com/spreadsheets/d/16cywr71Fj4fA5OGRHsZh30ZG2gwJhMAQv69oVBzYHv0/edit?usp=share_link"",""สตูล!J381"")+IMP"&amp;"ORTRANGE(""https://docs.google.com/spreadsheets/d/1vO9Sws6kMtrVtyvrAJptINXjK8TFBoX9xLYOVK_C8bQ/edit?usp=share_link"",""สุราษฎร์ธานี!J381"")"),1900)</f>
        <v>1900</v>
      </c>
      <c r="K381" s="498">
        <f t="shared" ca="1" si="191"/>
        <v>63.587684069611782</v>
      </c>
      <c r="L381" s="163"/>
      <c r="M381" s="163"/>
      <c r="N381" s="163"/>
      <c r="O381" s="163"/>
      <c r="P381" s="163"/>
    </row>
    <row r="382" spans="1:26" ht="20.25" customHeight="1">
      <c r="A382" s="471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IFERROR(__xludf.DUMMYFUNCTION("IMPORTRANGE(""https://docs.google.com/spreadsheets/d/1kC41EOXpGBFOW658Fs3oD8beYlym0-zO54WY-2Qnp9I/edit?usp=share_link"",""กระบี่!J382"")
+IMPORTRANGE(""https://docs.google.com/spreadsheets/d/1FbzMZY_f3MDiEuK7RpCQKrilJ_kpX0Wm7QBZ1L7EjIU/edit?usp=share_link"&amp;""",""ชุมพร!J382"")+IMPORTRANGE(""https://docs.google.com/spreadsheets/d/1v5sN-00LrXuhBxw4dkh2GrG_z4l5oAqOdJRBCsUyMaM/edit?usp=share_link"",""ตรัง!J382"")+IMPORTRANGE(""https://docs.google.com/spreadsheets/d/1T5rRTzFc79aSIvqnzkZNvwPstq829QYz_xALlO1Z0s8/edi"&amp;"t?usp=share_link"",""นครศรีธรรมราช!J382"")+IMPORTRANGE(""https://docs.google.com/spreadsheets/d/1BeghqumK0IvCmRd2QOy6_afsZq7ZtAGrSnVJy2u7WmY/edit?usp=share_link"",""นราธิวาส!J382"")+IMPORTRANGE(""https://docs.google.com/spreadsheets/d/1IwnW3-jjRf74MCLW-6P"&amp;"iFwMUffRQXZwZA7YM609NmRc/edit?usp=share_link"",""ปัตตานี!J382"")+IMPORTRANGE(""https://docs.google.com/spreadsheets/d/1vl4QWbWdFruual5o_wdo6ZSqXZ_it806oja4CctTLKs/edit?usp=share_link"",""พังงา!J382"")+IMPORTRANGE(""https://docs.google.com/spreadsheets/d/1"&amp;"b6QssHQp2FoAPSMKHOy273KNzAomaIKhtdlvuZ_zDNE/edit?usp=share_link"",""พัทลุง!J382"")+IMPORTRANGE(""https://docs.google.com/spreadsheets/d/1o7UZe4_OqlqtLDHrj01Z2YFRSZDf1DMy1n3XViHaxRc/edit?usp=share_link"",""ภูเก็ต!J382"")+IMPORTRANGE(""https://docs.google.c"&amp;"om/spreadsheets/d/1ctPm1vUzcUCPuOj9-eoHUD85PqINFqUB0TjdSWmR5-c/edit?usp=share_link"",""ยะลา!J382"")+IMPORTRANGE(""https://docs.google.com/spreadsheets/d/1YiDIE7Klmt8osgdapRqYWNr7iPGFSsiJqq46S7PYRE0/edit?usp=share_link"",""ระนอง!J382"")+IMPORTRANGE(""https"&amp;"://docs.google.com/spreadsheets/d/16o_4B-V7AWw_6E93bSpXj_XxVv1oVQctk-B6z1dNEWU/edit?usp=share_link"",""สงขลา!J382"")+IMPORTRANGE(""https://docs.google.com/spreadsheets/d/16cywr71Fj4fA5OGRHsZh30ZG2gwJhMAQv69oVBzYHv0/edit?usp=share_link"",""สตูล!J382"")+IMP"&amp;"ORTRANGE(""https://docs.google.com/spreadsheets/d/1vO9Sws6kMtrVtyvrAJptINXjK8TFBoX9xLYOVK_C8bQ/edit?usp=share_link"",""สุราษฎร์ธานี!J382"")"),23324.8399999999)</f>
        <v>23324.839999999898</v>
      </c>
      <c r="K382" s="498">
        <f t="shared" si="191"/>
        <v>0</v>
      </c>
      <c r="L382" s="163"/>
      <c r="M382" s="163"/>
      <c r="N382" s="163"/>
      <c r="O382" s="163"/>
      <c r="P382" s="163"/>
    </row>
    <row r="383" spans="1:26" ht="20.25" customHeight="1">
      <c r="A383" s="499"/>
      <c r="B383" s="500"/>
      <c r="C383" s="291"/>
      <c r="D383" s="501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20.25" customHeight="1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20.25" customHeight="1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IFERROR(__xludf.DUMMYFUNCTION("IMPORTRANGE(""https://docs.google.com/spreadsheets/d/1kC41EOXpGBFOW658Fs3oD8beYlym0-zO54WY-2Qnp9I/edit?usp=share_link"",""กระบี่!I385"")
+IMPORTRANGE(""https://docs.google.com/spreadsheets/d/1FbzMZY_f3MDiEuK7RpCQKrilJ_kpX0Wm7QBZ1L7EjIU/edit?usp=share_link"&amp;""",""ชุมพร!I385"")+IMPORTRANGE(""https://docs.google.com/spreadsheets/d/1v5sN-00LrXuhBxw4dkh2GrG_z4l5oAqOdJRBCsUyMaM/edit?usp=share_link"",""ตรัง!I385"")+IMPORTRANGE(""https://docs.google.com/spreadsheets/d/1T5rRTzFc79aSIvqnzkZNvwPstq829QYz_xALlO1Z0s8/edi"&amp;"t?usp=share_link"",""นครศรีธรรมราช!I385"")+IMPORTRANGE(""https://docs.google.com/spreadsheets/d/1BeghqumK0IvCmRd2QOy6_afsZq7ZtAGrSnVJy2u7WmY/edit?usp=share_link"",""นราธิวาส!I385"")+IMPORTRANGE(""https://docs.google.com/spreadsheets/d/1IwnW3-jjRf74MCLW-6P"&amp;"iFwMUffRQXZwZA7YM609NmRc/edit?usp=share_link"",""ปัตตานี!I385"")+IMPORTRANGE(""https://docs.google.com/spreadsheets/d/1vl4QWbWdFruual5o_wdo6ZSqXZ_it806oja4CctTLKs/edit?usp=share_link"",""พังงา!I385"")+IMPORTRANGE(""https://docs.google.com/spreadsheets/d/1"&amp;"b6QssHQp2FoAPSMKHOy273KNzAomaIKhtdlvuZ_zDNE/edit?usp=share_link"",""พัทลุง!I385"")+IMPORTRANGE(""https://docs.google.com/spreadsheets/d/1o7UZe4_OqlqtLDHrj01Z2YFRSZDf1DMy1n3XViHaxRc/edit?usp=share_link"",""ภูเก็ต!I385"")+IMPORTRANGE(""https://docs.google.c"&amp;"om/spreadsheets/d/1ctPm1vUzcUCPuOj9-eoHUD85PqINFqUB0TjdSWmR5-c/edit?usp=share_link"",""ยะลา!I385"")+IMPORTRANGE(""https://docs.google.com/spreadsheets/d/1YiDIE7Klmt8osgdapRqYWNr7iPGFSsiJqq46S7PYRE0/edit?usp=share_link"",""ระนอง!I385"")+IMPORTRANGE(""https"&amp;"://docs.google.com/spreadsheets/d/16o_4B-V7AWw_6E93bSpXj_XxVv1oVQctk-B6z1dNEWU/edit?usp=share_link"",""สงขลา!I385"")+IMPORTRANGE(""https://docs.google.com/spreadsheets/d/16cywr71Fj4fA5OGRHsZh30ZG2gwJhMAQv69oVBzYHv0/edit?usp=share_link"",""สตูล!I385"")+IMP"&amp;"ORTRANGE(""https://docs.google.com/spreadsheets/d/1vO9Sws6kMtrVtyvrAJptINXjK8TFBoX9xLYOVK_C8bQ/edit?usp=share_link"",""สุราษฎร์ธานี!I385"")"),332)</f>
        <v>332</v>
      </c>
      <c r="J385" s="505">
        <f ca="1">IFERROR(__xludf.DUMMYFUNCTION("IMPORTRANGE(""https://docs.google.com/spreadsheets/d/1kC41EOXpGBFOW658Fs3oD8beYlym0-zO54WY-2Qnp9I/edit?usp=share_link"",""กระบี่!J385"")
+IMPORTRANGE(""https://docs.google.com/spreadsheets/d/1FbzMZY_f3MDiEuK7RpCQKrilJ_kpX0Wm7QBZ1L7EjIU/edit?usp=share_link"&amp;""",""ชุมพร!J385"")+IMPORTRANGE(""https://docs.google.com/spreadsheets/d/1v5sN-00LrXuhBxw4dkh2GrG_z4l5oAqOdJRBCsUyMaM/edit?usp=share_link"",""ตรัง!J385"")+IMPORTRANGE(""https://docs.google.com/spreadsheets/d/1T5rRTzFc79aSIvqnzkZNvwPstq829QYz_xALlO1Z0s8/edi"&amp;"t?usp=share_link"",""นครศรีธรรมราช!J385"")+IMPORTRANGE(""https://docs.google.com/spreadsheets/d/1BeghqumK0IvCmRd2QOy6_afsZq7ZtAGrSnVJy2u7WmY/edit?usp=share_link"",""นราธิวาส!J385"")+IMPORTRANGE(""https://docs.google.com/spreadsheets/d/1IwnW3-jjRf74MCLW-6P"&amp;"iFwMUffRQXZwZA7YM609NmRc/edit?usp=share_link"",""ปัตตานี!J385"")+IMPORTRANGE(""https://docs.google.com/spreadsheets/d/1vl4QWbWdFruual5o_wdo6ZSqXZ_it806oja4CctTLKs/edit?usp=share_link"",""พังงา!J385"")+IMPORTRANGE(""https://docs.google.com/spreadsheets/d/1"&amp;"b6QssHQp2FoAPSMKHOy273KNzAomaIKhtdlvuZ_zDNE/edit?usp=share_link"",""พัทลุง!J385"")+IMPORTRANGE(""https://docs.google.com/spreadsheets/d/1o7UZe4_OqlqtLDHrj01Z2YFRSZDf1DMy1n3XViHaxRc/edit?usp=share_link"",""ภูเก็ต!J385"")+IMPORTRANGE(""https://docs.google.c"&amp;"om/spreadsheets/d/1ctPm1vUzcUCPuOj9-eoHUD85PqINFqUB0TjdSWmR5-c/edit?usp=share_link"",""ยะลา!J385"")+IMPORTRANGE(""https://docs.google.com/spreadsheets/d/1YiDIE7Klmt8osgdapRqYWNr7iPGFSsiJqq46S7PYRE0/edit?usp=share_link"",""ระนอง!J385"")+IMPORTRANGE(""https"&amp;"://docs.google.com/spreadsheets/d/16o_4B-V7AWw_6E93bSpXj_XxVv1oVQctk-B6z1dNEWU/edit?usp=share_link"",""สงขลา!J385"")+IMPORTRANGE(""https://docs.google.com/spreadsheets/d/16cywr71Fj4fA5OGRHsZh30ZG2gwJhMAQv69oVBzYHv0/edit?usp=share_link"",""สตูล!J385"")+IMP"&amp;"ORTRANGE(""https://docs.google.com/spreadsheets/d/1vO9Sws6kMtrVtyvrAJptINXjK8TFBoX9xLYOVK_C8bQ/edit?usp=share_link"",""สุราษฎร์ธานี!J385"")"),110)</f>
        <v>110</v>
      </c>
      <c r="K385" s="506">
        <f ca="1">IF(I385&gt;0,J385*100/I385,0)</f>
        <v>33.132530120481931</v>
      </c>
      <c r="L385" s="385"/>
      <c r="M385" s="385"/>
      <c r="N385" s="385"/>
      <c r="O385" s="385"/>
      <c r="P385" s="385"/>
    </row>
    <row r="386" spans="1:26" ht="20.25" customHeight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20.25" customHeight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20.25" customHeight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ca="1" si="192">I400</f>
        <v>0</v>
      </c>
      <c r="J388" s="526">
        <f t="shared" ca="1" si="192"/>
        <v>0</v>
      </c>
      <c r="K388" s="527">
        <f ca="1">IF(I388&gt;0,J388*100/I388,0)</f>
        <v>0</v>
      </c>
      <c r="L388" s="528"/>
      <c r="M388" s="528"/>
      <c r="N388" s="528"/>
      <c r="O388" s="528"/>
      <c r="P388" s="528"/>
    </row>
    <row r="389" spans="1:26" ht="20.25" customHeight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3">L390+L391</f>
        <v>26000000</v>
      </c>
      <c r="M389" s="155">
        <f t="shared" ca="1" si="193"/>
        <v>26000000</v>
      </c>
      <c r="N389" s="155">
        <f t="shared" ca="1" si="193"/>
        <v>0</v>
      </c>
      <c r="O389" s="155">
        <f t="shared" ref="O389:O397" ca="1" si="194">IF(L389&gt;0,N389*100/L389,0)</f>
        <v>0</v>
      </c>
      <c r="P389" s="155">
        <f t="shared" ref="P389:P397" ca="1" si="195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0.25" hidden="1" customHeight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6">L393+L396</f>
        <v>0</v>
      </c>
      <c r="M390" s="45">
        <f t="shared" si="196"/>
        <v>0</v>
      </c>
      <c r="N390" s="45">
        <f t="shared" si="196"/>
        <v>0</v>
      </c>
      <c r="O390" s="45">
        <f t="shared" si="194"/>
        <v>0</v>
      </c>
      <c r="P390" s="45">
        <f t="shared" si="195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20.25" hidden="1" customHeight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7">L394+L397</f>
        <v>26000000</v>
      </c>
      <c r="M391" s="45">
        <f t="shared" ca="1" si="197"/>
        <v>26000000</v>
      </c>
      <c r="N391" s="45">
        <f t="shared" ca="1" si="197"/>
        <v>0</v>
      </c>
      <c r="O391" s="45">
        <f t="shared" ca="1" si="194"/>
        <v>0</v>
      </c>
      <c r="P391" s="45">
        <f t="shared" ca="1" si="195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20.25" customHeight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8">L393+L394</f>
        <v>0</v>
      </c>
      <c r="M392" s="38">
        <f t="shared" ca="1" si="198"/>
        <v>0</v>
      </c>
      <c r="N392" s="38">
        <f t="shared" ca="1" si="198"/>
        <v>0</v>
      </c>
      <c r="O392" s="38">
        <f t="shared" ca="1" si="194"/>
        <v>0</v>
      </c>
      <c r="P392" s="38">
        <f t="shared" ca="1" si="195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20.25" hidden="1" customHeight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4"/>
        <v>0</v>
      </c>
      <c r="P393" s="45">
        <f t="shared" si="195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20.25" hidden="1" customHeight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IFERROR(__xludf.DUMMYFUNCTION("IMPORTRANGE(""https://docs.google.com/spreadsheets/d/1kC41EOXpGBFOW658Fs3oD8beYlym0-zO54WY-2Qnp9I/edit?usp=share_link"",""กระบี่!L394"")
+IMPORTRANGE(""https://docs.google.com/spreadsheets/d/1FbzMZY_f3MDiEuK7RpCQKrilJ_kpX0Wm7QBZ1L7EjIU/edit?usp=share_link"&amp;""",""ชุมพร!L394"")+IMPORTRANGE(""https://docs.google.com/spreadsheets/d/1v5sN-00LrXuhBxw4dkh2GrG_z4l5oAqOdJRBCsUyMaM/edit?usp=share_link"",""ตรัง!L394"")+IMPORTRANGE(""https://docs.google.com/spreadsheets/d/1T5rRTzFc79aSIvqnzkZNvwPstq829QYz_xALlO1Z0s8/edi"&amp;"t?usp=share_link"",""นครศรีธรรมราช!L394"")+IMPORTRANGE(""https://docs.google.com/spreadsheets/d/1BeghqumK0IvCmRd2QOy6_afsZq7ZtAGrSnVJy2u7WmY/edit?usp=share_link"",""นราธิวาส!L394"")+IMPORTRANGE(""https://docs.google.com/spreadsheets/d/1IwnW3-jjRf74MCLW-6P"&amp;"iFwMUffRQXZwZA7YM609NmRc/edit?usp=share_link"",""ปัตตานี!L394"")+IMPORTRANGE(""https://docs.google.com/spreadsheets/d/1vl4QWbWdFruual5o_wdo6ZSqXZ_it806oja4CctTLKs/edit?usp=share_link"",""พังงา!L394"")+IMPORTRANGE(""https://docs.google.com/spreadsheets/d/1"&amp;"b6QssHQp2FoAPSMKHOy273KNzAomaIKhtdlvuZ_zDNE/edit?usp=share_link"",""พัทลุง!L394"")+IMPORTRANGE(""https://docs.google.com/spreadsheets/d/1o7UZe4_OqlqtLDHrj01Z2YFRSZDf1DMy1n3XViHaxRc/edit?usp=share_link"",""ภูเก็ต!L394"")+IMPORTRANGE(""https://docs.google.c"&amp;"om/spreadsheets/d/1ctPm1vUzcUCPuOj9-eoHUD85PqINFqUB0TjdSWmR5-c/edit?usp=share_link"",""ยะลา!L394"")+IMPORTRANGE(""https://docs.google.com/spreadsheets/d/1YiDIE7Klmt8osgdapRqYWNr7iPGFSsiJqq46S7PYRE0/edit?usp=share_link"",""ระนอง!L394"")+IMPORTRANGE(""https"&amp;"://docs.google.com/spreadsheets/d/16o_4B-V7AWw_6E93bSpXj_XxVv1oVQctk-B6z1dNEWU/edit?usp=share_link"",""สงขลา!L394"")+IMPORTRANGE(""https://docs.google.com/spreadsheets/d/16cywr71Fj4fA5OGRHsZh30ZG2gwJhMAQv69oVBzYHv0/edit?usp=share_link"",""สตูล!L394"")+IMP"&amp;"ORTRANGE(""https://docs.google.com/spreadsheets/d/1vO9Sws6kMtrVtyvrAJptINXjK8TFBoX9xLYOVK_C8bQ/edit?usp=share_link"",""สุราษฎร์ธานี!L394"")"),0)</f>
        <v>0</v>
      </c>
      <c r="M394" s="45">
        <f ca="1">IFERROR(__xludf.DUMMYFUNCTION("IMPORTRANGE(""https://docs.google.com/spreadsheets/d/1kC41EOXpGBFOW658Fs3oD8beYlym0-zO54WY-2Qnp9I/edit?usp=share_link"",""กระบี่!M394"")
+IMPORTRANGE(""https://docs.google.com/spreadsheets/d/1FbzMZY_f3MDiEuK7RpCQKrilJ_kpX0Wm7QBZ1L7EjIU/edit?usp=share_link"&amp;""",""ชุมพร!M394"")+IMPORTRANGE(""https://docs.google.com/spreadsheets/d/1v5sN-00LrXuhBxw4dkh2GrG_z4l5oAqOdJRBCsUyMaM/edit?usp=share_link"",""ตรัง!M394"")+IMPORTRANGE(""https://docs.google.com/spreadsheets/d/1T5rRTzFc79aSIvqnzkZNvwPstq829QYz_xALlO1Z0s8/edi"&amp;"t?usp=share_link"",""นครศรีธรรมราช!M394"")+IMPORTRANGE(""https://docs.google.com/spreadsheets/d/1BeghqumK0IvCmRd2QOy6_afsZq7ZtAGrSnVJy2u7WmY/edit?usp=share_link"",""นราธิวาส!M394"")+IMPORTRANGE(""https://docs.google.com/spreadsheets/d/1IwnW3-jjRf74MCLW-6P"&amp;"iFwMUffRQXZwZA7YM609NmRc/edit?usp=share_link"",""ปัตตานี!M394"")+IMPORTRANGE(""https://docs.google.com/spreadsheets/d/1vl4QWbWdFruual5o_wdo6ZSqXZ_it806oja4CctTLKs/edit?usp=share_link"",""พังงา!M394"")+IMPORTRANGE(""https://docs.google.com/spreadsheets/d/1"&amp;"b6QssHQp2FoAPSMKHOy273KNzAomaIKhtdlvuZ_zDNE/edit?usp=share_link"",""พัทลุง!M394"")+IMPORTRANGE(""https://docs.google.com/spreadsheets/d/1o7UZe4_OqlqtLDHrj01Z2YFRSZDf1DMy1n3XViHaxRc/edit?usp=share_link"",""ภูเก็ต!M394"")+IMPORTRANGE(""https://docs.google.c"&amp;"om/spreadsheets/d/1ctPm1vUzcUCPuOj9-eoHUD85PqINFqUB0TjdSWmR5-c/edit?usp=share_link"",""ยะลา!M394"")+IMPORTRANGE(""https://docs.google.com/spreadsheets/d/1YiDIE7Klmt8osgdapRqYWNr7iPGFSsiJqq46S7PYRE0/edit?usp=share_link"",""ระนอง!M394"")+IMPORTRANGE(""https"&amp;"://docs.google.com/spreadsheets/d/16o_4B-V7AWw_6E93bSpXj_XxVv1oVQctk-B6z1dNEWU/edit?usp=share_link"",""สงขลา!M394"")+IMPORTRANGE(""https://docs.google.com/spreadsheets/d/16cywr71Fj4fA5OGRHsZh30ZG2gwJhMAQv69oVBzYHv0/edit?usp=share_link"",""สตูล!M394"")+IMP"&amp;"ORTRANGE(""https://docs.google.com/spreadsheets/d/1vO9Sws6kMtrVtyvrAJptINXjK8TFBoX9xLYOVK_C8bQ/edit?usp=share_link"",""สุราษฎร์ธานี!M394"")"),0)</f>
        <v>0</v>
      </c>
      <c r="N394" s="45">
        <f ca="1">IFERROR(__xludf.DUMMYFUNCTION("IMPORTRANGE(""https://docs.google.com/spreadsheets/d/1kC41EOXpGBFOW658Fs3oD8beYlym0-zO54WY-2Qnp9I/edit?usp=share_link"",""กระบี่!N394"")
+IMPORTRANGE(""https://docs.google.com/spreadsheets/d/1FbzMZY_f3MDiEuK7RpCQKrilJ_kpX0Wm7QBZ1L7EjIU/edit?usp=share_link"&amp;""",""ชุมพร!N394"")+IMPORTRANGE(""https://docs.google.com/spreadsheets/d/1v5sN-00LrXuhBxw4dkh2GrG_z4l5oAqOdJRBCsUyMaM/edit?usp=share_link"",""ตรัง!N394"")+IMPORTRANGE(""https://docs.google.com/spreadsheets/d/1T5rRTzFc79aSIvqnzkZNvwPstq829QYz_xALlO1Z0s8/edi"&amp;"t?usp=share_link"",""นครศรีธรรมราช!N394"")+IMPORTRANGE(""https://docs.google.com/spreadsheets/d/1BeghqumK0IvCmRd2QOy6_afsZq7ZtAGrSnVJy2u7WmY/edit?usp=share_link"",""นราธิวาส!N394"")+IMPORTRANGE(""https://docs.google.com/spreadsheets/d/1IwnW3-jjRf74MCLW-6P"&amp;"iFwMUffRQXZwZA7YM609NmRc/edit?usp=share_link"",""ปัตตานี!N394"")+IMPORTRANGE(""https://docs.google.com/spreadsheets/d/1vl4QWbWdFruual5o_wdo6ZSqXZ_it806oja4CctTLKs/edit?usp=share_link"",""พังงา!N394"")+IMPORTRANGE(""https://docs.google.com/spreadsheets/d/1"&amp;"b6QssHQp2FoAPSMKHOy273KNzAomaIKhtdlvuZ_zDNE/edit?usp=share_link"",""พัทลุง!N394"")+IMPORTRANGE(""https://docs.google.com/spreadsheets/d/1o7UZe4_OqlqtLDHrj01Z2YFRSZDf1DMy1n3XViHaxRc/edit?usp=share_link"",""ภูเก็ต!N394"")+IMPORTRANGE(""https://docs.google.c"&amp;"om/spreadsheets/d/1ctPm1vUzcUCPuOj9-eoHUD85PqINFqUB0TjdSWmR5-c/edit?usp=share_link"",""ยะลา!N394"")+IMPORTRANGE(""https://docs.google.com/spreadsheets/d/1YiDIE7Klmt8osgdapRqYWNr7iPGFSsiJqq46S7PYRE0/edit?usp=share_link"",""ระนอง!N394"")+IMPORTRANGE(""https"&amp;"://docs.google.com/spreadsheets/d/16o_4B-V7AWw_6E93bSpXj_XxVv1oVQctk-B6z1dNEWU/edit?usp=share_link"",""สงขลา!N394"")+IMPORTRANGE(""https://docs.google.com/spreadsheets/d/16cywr71Fj4fA5OGRHsZh30ZG2gwJhMAQv69oVBzYHv0/edit?usp=share_link"",""สตูล!N394"")+IMP"&amp;"ORTRANGE(""https://docs.google.com/spreadsheets/d/1vO9Sws6kMtrVtyvrAJptINXjK8TFBoX9xLYOVK_C8bQ/edit?usp=share_link"",""สุราษฎร์ธานี!N394"")"),0)</f>
        <v>0</v>
      </c>
      <c r="O394" s="45">
        <f t="shared" ca="1" si="194"/>
        <v>0</v>
      </c>
      <c r="P394" s="45">
        <f t="shared" ca="1" si="195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20.25" customHeight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199">L396+L397</f>
        <v>26000000</v>
      </c>
      <c r="M395" s="38">
        <f t="shared" ca="1" si="199"/>
        <v>26000000</v>
      </c>
      <c r="N395" s="38">
        <f t="shared" ca="1" si="199"/>
        <v>0</v>
      </c>
      <c r="O395" s="38">
        <f t="shared" ca="1" si="194"/>
        <v>0</v>
      </c>
      <c r="P395" s="38">
        <f t="shared" ca="1" si="195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20.25" hidden="1" customHeight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4"/>
        <v>0</v>
      </c>
      <c r="P396" s="45">
        <f t="shared" si="195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20.25" hidden="1" customHeight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IFERROR(__xludf.DUMMYFUNCTION("IMPORTRANGE(""https://docs.google.com/spreadsheets/d/1kC41EOXpGBFOW658Fs3oD8beYlym0-zO54WY-2Qnp9I/edit?usp=share_link"",""กระบี่!L397"")
+IMPORTRANGE(""https://docs.google.com/spreadsheets/d/1FbzMZY_f3MDiEuK7RpCQKrilJ_kpX0Wm7QBZ1L7EjIU/edit?usp=share_link"&amp;""",""ชุมพร!L397"")+IMPORTRANGE(""https://docs.google.com/spreadsheets/d/1v5sN-00LrXuhBxw4dkh2GrG_z4l5oAqOdJRBCsUyMaM/edit?usp=share_link"",""ตรัง!L397"")+IMPORTRANGE(""https://docs.google.com/spreadsheets/d/1T5rRTzFc79aSIvqnzkZNvwPstq829QYz_xALlO1Z0s8/edi"&amp;"t?usp=share_link"",""นครศรีธรรมราช!L397"")+IMPORTRANGE(""https://docs.google.com/spreadsheets/d/1BeghqumK0IvCmRd2QOy6_afsZq7ZtAGrSnVJy2u7WmY/edit?usp=share_link"",""นราธิวาส!L397"")+IMPORTRANGE(""https://docs.google.com/spreadsheets/d/1IwnW3-jjRf74MCLW-6P"&amp;"iFwMUffRQXZwZA7YM609NmRc/edit?usp=share_link"",""ปัตตานี!L397"")+IMPORTRANGE(""https://docs.google.com/spreadsheets/d/1vl4QWbWdFruual5o_wdo6ZSqXZ_it806oja4CctTLKs/edit?usp=share_link"",""พังงา!L397"")+IMPORTRANGE(""https://docs.google.com/spreadsheets/d/1"&amp;"b6QssHQp2FoAPSMKHOy273KNzAomaIKhtdlvuZ_zDNE/edit?usp=share_link"",""พัทลุง!L397"")+IMPORTRANGE(""https://docs.google.com/spreadsheets/d/1o7UZe4_OqlqtLDHrj01Z2YFRSZDf1DMy1n3XViHaxRc/edit?usp=share_link"",""ภูเก็ต!L397"")+IMPORTRANGE(""https://docs.google.c"&amp;"om/spreadsheets/d/1ctPm1vUzcUCPuOj9-eoHUD85PqINFqUB0TjdSWmR5-c/edit?usp=share_link"",""ยะลา!L397"")+IMPORTRANGE(""https://docs.google.com/spreadsheets/d/1YiDIE7Klmt8osgdapRqYWNr7iPGFSsiJqq46S7PYRE0/edit?usp=share_link"",""ระนอง!L397"")+IMPORTRANGE(""https"&amp;"://docs.google.com/spreadsheets/d/16o_4B-V7AWw_6E93bSpXj_XxVv1oVQctk-B6z1dNEWU/edit?usp=share_link"",""สงขลา!L397"")+IMPORTRANGE(""https://docs.google.com/spreadsheets/d/16cywr71Fj4fA5OGRHsZh30ZG2gwJhMAQv69oVBzYHv0/edit?usp=share_link"",""สตูล!L397"")+IMP"&amp;"ORTRANGE(""https://docs.google.com/spreadsheets/d/1vO9Sws6kMtrVtyvrAJptINXjK8TFBoX9xLYOVK_C8bQ/edit?usp=share_link"",""สุราษฎร์ธานี!L397"")"),26000000)</f>
        <v>26000000</v>
      </c>
      <c r="M397" s="45">
        <f ca="1">IFERROR(__xludf.DUMMYFUNCTION("IMPORTRANGE(""https://docs.google.com/spreadsheets/d/1kC41EOXpGBFOW658Fs3oD8beYlym0-zO54WY-2Qnp9I/edit?usp=share_link"",""กระบี่!M397"")
+IMPORTRANGE(""https://docs.google.com/spreadsheets/d/1FbzMZY_f3MDiEuK7RpCQKrilJ_kpX0Wm7QBZ1L7EjIU/edit?usp=share_link"&amp;""",""ชุมพร!M397"")+IMPORTRANGE(""https://docs.google.com/spreadsheets/d/1v5sN-00LrXuhBxw4dkh2GrG_z4l5oAqOdJRBCsUyMaM/edit?usp=share_link"",""ตรัง!M397"")+IMPORTRANGE(""https://docs.google.com/spreadsheets/d/1T5rRTzFc79aSIvqnzkZNvwPstq829QYz_xALlO1Z0s8/edi"&amp;"t?usp=share_link"",""นครศรีธรรมราช!M397"")+IMPORTRANGE(""https://docs.google.com/spreadsheets/d/1BeghqumK0IvCmRd2QOy6_afsZq7ZtAGrSnVJy2u7WmY/edit?usp=share_link"",""นราธิวาส!M397"")+IMPORTRANGE(""https://docs.google.com/spreadsheets/d/1IwnW3-jjRf74MCLW-6P"&amp;"iFwMUffRQXZwZA7YM609NmRc/edit?usp=share_link"",""ปัตตานี!M397"")+IMPORTRANGE(""https://docs.google.com/spreadsheets/d/1vl4QWbWdFruual5o_wdo6ZSqXZ_it806oja4CctTLKs/edit?usp=share_link"",""พังงา!M397"")+IMPORTRANGE(""https://docs.google.com/spreadsheets/d/1"&amp;"b6QssHQp2FoAPSMKHOy273KNzAomaIKhtdlvuZ_zDNE/edit?usp=share_link"",""พัทลุง!M397"")+IMPORTRANGE(""https://docs.google.com/spreadsheets/d/1o7UZe4_OqlqtLDHrj01Z2YFRSZDf1DMy1n3XViHaxRc/edit?usp=share_link"",""ภูเก็ต!M397"")+IMPORTRANGE(""https://docs.google.c"&amp;"om/spreadsheets/d/1ctPm1vUzcUCPuOj9-eoHUD85PqINFqUB0TjdSWmR5-c/edit?usp=share_link"",""ยะลา!M397"")+IMPORTRANGE(""https://docs.google.com/spreadsheets/d/1YiDIE7Klmt8osgdapRqYWNr7iPGFSsiJqq46S7PYRE0/edit?usp=share_link"",""ระนอง!M397"")+IMPORTRANGE(""https"&amp;"://docs.google.com/spreadsheets/d/16o_4B-V7AWw_6E93bSpXj_XxVv1oVQctk-B6z1dNEWU/edit?usp=share_link"",""สงขลา!M397"")+IMPORTRANGE(""https://docs.google.com/spreadsheets/d/16cywr71Fj4fA5OGRHsZh30ZG2gwJhMAQv69oVBzYHv0/edit?usp=share_link"",""สตูล!M397"")+IMP"&amp;"ORTRANGE(""https://docs.google.com/spreadsheets/d/1vO9Sws6kMtrVtyvrAJptINXjK8TFBoX9xLYOVK_C8bQ/edit?usp=share_link"",""สุราษฎร์ธานี!M397"")"),26000000)</f>
        <v>26000000</v>
      </c>
      <c r="N397" s="45">
        <f ca="1">IFERROR(__xludf.DUMMYFUNCTION("IMPORTRANGE(""https://docs.google.com/spreadsheets/d/1kC41EOXpGBFOW658Fs3oD8beYlym0-zO54WY-2Qnp9I/edit?usp=share_link"",""กระบี่!N397"")
+IMPORTRANGE(""https://docs.google.com/spreadsheets/d/1FbzMZY_f3MDiEuK7RpCQKrilJ_kpX0Wm7QBZ1L7EjIU/edit?usp=share_link"&amp;""",""ชุมพร!N397"")+IMPORTRANGE(""https://docs.google.com/spreadsheets/d/1v5sN-00LrXuhBxw4dkh2GrG_z4l5oAqOdJRBCsUyMaM/edit?usp=share_link"",""ตรัง!N397"")+IMPORTRANGE(""https://docs.google.com/spreadsheets/d/1T5rRTzFc79aSIvqnzkZNvwPstq829QYz_xALlO1Z0s8/edi"&amp;"t?usp=share_link"",""นครศรีธรรมราช!N397"")+IMPORTRANGE(""https://docs.google.com/spreadsheets/d/1BeghqumK0IvCmRd2QOy6_afsZq7ZtAGrSnVJy2u7WmY/edit?usp=share_link"",""นราธิวาส!N397"")+IMPORTRANGE(""https://docs.google.com/spreadsheets/d/1IwnW3-jjRf74MCLW-6P"&amp;"iFwMUffRQXZwZA7YM609NmRc/edit?usp=share_link"",""ปัตตานี!N397"")+IMPORTRANGE(""https://docs.google.com/spreadsheets/d/1vl4QWbWdFruual5o_wdo6ZSqXZ_it806oja4CctTLKs/edit?usp=share_link"",""พังงา!N397"")+IMPORTRANGE(""https://docs.google.com/spreadsheets/d/1"&amp;"b6QssHQp2FoAPSMKHOy273KNzAomaIKhtdlvuZ_zDNE/edit?usp=share_link"",""พัทลุง!N397"")+IMPORTRANGE(""https://docs.google.com/spreadsheets/d/1o7UZe4_OqlqtLDHrj01Z2YFRSZDf1DMy1n3XViHaxRc/edit?usp=share_link"",""ภูเก็ต!N397"")+IMPORTRANGE(""https://docs.google.c"&amp;"om/spreadsheets/d/1ctPm1vUzcUCPuOj9-eoHUD85PqINFqUB0TjdSWmR5-c/edit?usp=share_link"",""ยะลา!N397"")+IMPORTRANGE(""https://docs.google.com/spreadsheets/d/1YiDIE7Klmt8osgdapRqYWNr7iPGFSsiJqq46S7PYRE0/edit?usp=share_link"",""ระนอง!N397"")+IMPORTRANGE(""https"&amp;"://docs.google.com/spreadsheets/d/16o_4B-V7AWw_6E93bSpXj_XxVv1oVQctk-B6z1dNEWU/edit?usp=share_link"",""สงขลา!N397"")+IMPORTRANGE(""https://docs.google.com/spreadsheets/d/16cywr71Fj4fA5OGRHsZh30ZG2gwJhMAQv69oVBzYHv0/edit?usp=share_link"",""สตูล!N397"")+IMP"&amp;"ORTRANGE(""https://docs.google.com/spreadsheets/d/1vO9Sws6kMtrVtyvrAJptINXjK8TFBoX9xLYOVK_C8bQ/edit?usp=share_link"",""สุราษฎร์ธานี!N397"")"),0)</f>
        <v>0</v>
      </c>
      <c r="O397" s="45">
        <f t="shared" ca="1" si="194"/>
        <v>0</v>
      </c>
      <c r="P397" s="45">
        <f t="shared" ca="1" si="195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20.25" customHeight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20.25" customHeight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f ca="1">IFERROR(__xludf.DUMMYFUNCTION("IMPORTRANGE(""https://docs.google.com/spreadsheets/d/1kC41EOXpGBFOW658Fs3oD8beYlym0-zO54WY-2Qnp9I/edit?usp=share_link"",""กระบี่!I399"")
+IMPORTRANGE(""https://docs.google.com/spreadsheets/d/1FbzMZY_f3MDiEuK7RpCQKrilJ_kpX0Wm7QBZ1L7EjIU/edit?usp=share_link"&amp;""",""ชุมพร!I399"")+IMPORTRANGE(""https://docs.google.com/spreadsheets/d/1v5sN-00LrXuhBxw4dkh2GrG_z4l5oAqOdJRBCsUyMaM/edit?usp=share_link"",""ตรัง!I399"")+IMPORTRANGE(""https://docs.google.com/spreadsheets/d/1T5rRTzFc79aSIvqnzkZNvwPstq829QYz_xALlO1Z0s8/edi"&amp;"t?usp=share_link"",""นครศรีธรรมราช!I399"")+IMPORTRANGE(""https://docs.google.com/spreadsheets/d/1BeghqumK0IvCmRd2QOy6_afsZq7ZtAGrSnVJy2u7WmY/edit?usp=share_link"",""นราธิวาส!I399"")+IMPORTRANGE(""https://docs.google.com/spreadsheets/d/1IwnW3-jjRf74MCLW-6P"&amp;"iFwMUffRQXZwZA7YM609NmRc/edit?usp=share_link"",""ปัตตานี!I399"")+IMPORTRANGE(""https://docs.google.com/spreadsheets/d/1vl4QWbWdFruual5o_wdo6ZSqXZ_it806oja4CctTLKs/edit?usp=share_link"",""พังงา!I399"")+IMPORTRANGE(""https://docs.google.com/spreadsheets/d/1"&amp;"b6QssHQp2FoAPSMKHOy273KNzAomaIKhtdlvuZ_zDNE/edit?usp=share_link"",""พัทลุง!I399"")+IMPORTRANGE(""https://docs.google.com/spreadsheets/d/1o7UZe4_OqlqtLDHrj01Z2YFRSZDf1DMy1n3XViHaxRc/edit?usp=share_link"",""ภูเก็ต!I399"")+IMPORTRANGE(""https://docs.google.c"&amp;"om/spreadsheets/d/1ctPm1vUzcUCPuOj9-eoHUD85PqINFqUB0TjdSWmR5-c/edit?usp=share_link"",""ยะลา!I399"")+IMPORTRANGE(""https://docs.google.com/spreadsheets/d/1YiDIE7Klmt8osgdapRqYWNr7iPGFSsiJqq46S7PYRE0/edit?usp=share_link"",""ระนอง!I399"")+IMPORTRANGE(""https"&amp;"://docs.google.com/spreadsheets/d/16o_4B-V7AWw_6E93bSpXj_XxVv1oVQctk-B6z1dNEWU/edit?usp=share_link"",""สงขลา!I399"")+IMPORTRANGE(""https://docs.google.com/spreadsheets/d/16cywr71Fj4fA5OGRHsZh30ZG2gwJhMAQv69oVBzYHv0/edit?usp=share_link"",""สตูล!I399"")+IMP"&amp;"ORTRANGE(""https://docs.google.com/spreadsheets/d/1vO9Sws6kMtrVtyvrAJptINXjK8TFBoX9xLYOVK_C8bQ/edit?usp=share_link"",""สุราษฎร์ธานี!I399"")"),0)</f>
        <v>0</v>
      </c>
      <c r="J399" s="183">
        <f ca="1">IFERROR(__xludf.DUMMYFUNCTION("IMPORTRANGE(""https://docs.google.com/spreadsheets/d/1kC41EOXpGBFOW658Fs3oD8beYlym0-zO54WY-2Qnp9I/edit?usp=share_link"",""กระบี่!J399"")
+IMPORTRANGE(""https://docs.google.com/spreadsheets/d/1FbzMZY_f3MDiEuK7RpCQKrilJ_kpX0Wm7QBZ1L7EjIU/edit?usp=share_link"&amp;""",""ชุมพร!J399"")+IMPORTRANGE(""https://docs.google.com/spreadsheets/d/1v5sN-00LrXuhBxw4dkh2GrG_z4l5oAqOdJRBCsUyMaM/edit?usp=share_link"",""ตรัง!J399"")+IMPORTRANGE(""https://docs.google.com/spreadsheets/d/1T5rRTzFc79aSIvqnzkZNvwPstq829QYz_xALlO1Z0s8/edi"&amp;"t?usp=share_link"",""นครศรีธรรมราช!J399"")+IMPORTRANGE(""https://docs.google.com/spreadsheets/d/1BeghqumK0IvCmRd2QOy6_afsZq7ZtAGrSnVJy2u7WmY/edit?usp=share_link"",""นราธิวาส!J399"")+IMPORTRANGE(""https://docs.google.com/spreadsheets/d/1IwnW3-jjRf74MCLW-6P"&amp;"iFwMUffRQXZwZA7YM609NmRc/edit?usp=share_link"",""ปัตตานี!J399"")+IMPORTRANGE(""https://docs.google.com/spreadsheets/d/1vl4QWbWdFruual5o_wdo6ZSqXZ_it806oja4CctTLKs/edit?usp=share_link"",""พังงา!J399"")+IMPORTRANGE(""https://docs.google.com/spreadsheets/d/1"&amp;"b6QssHQp2FoAPSMKHOy273KNzAomaIKhtdlvuZ_zDNE/edit?usp=share_link"",""พัทลุง!J399"")+IMPORTRANGE(""https://docs.google.com/spreadsheets/d/1o7UZe4_OqlqtLDHrj01Z2YFRSZDf1DMy1n3XViHaxRc/edit?usp=share_link"",""ภูเก็ต!J399"")+IMPORTRANGE(""https://docs.google.c"&amp;"om/spreadsheets/d/1ctPm1vUzcUCPuOj9-eoHUD85PqINFqUB0TjdSWmR5-c/edit?usp=share_link"",""ยะลา!J399"")+IMPORTRANGE(""https://docs.google.com/spreadsheets/d/1YiDIE7Klmt8osgdapRqYWNr7iPGFSsiJqq46S7PYRE0/edit?usp=share_link"",""ระนอง!J399"")+IMPORTRANGE(""https"&amp;"://docs.google.com/spreadsheets/d/16o_4B-V7AWw_6E93bSpXj_XxVv1oVQctk-B6z1dNEWU/edit?usp=share_link"",""สงขลา!J399"")+IMPORTRANGE(""https://docs.google.com/spreadsheets/d/16cywr71Fj4fA5OGRHsZh30ZG2gwJhMAQv69oVBzYHv0/edit?usp=share_link"",""สตูล!J399"")+IMP"&amp;"ORTRANGE(""https://docs.google.com/spreadsheets/d/1vO9Sws6kMtrVtyvrAJptINXjK8TFBoX9xLYOVK_C8bQ/edit?usp=share_link"",""สุราษฎร์ธานี!J399"")"),0)</f>
        <v>0</v>
      </c>
      <c r="K399" s="38">
        <f t="shared" ref="K399:K401" ca="1" si="200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20.25" customHeight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IFERROR(__xludf.DUMMYFUNCTION("IMPORTRANGE(""https://docs.google.com/spreadsheets/d/1kC41EOXpGBFOW658Fs3oD8beYlym0-zO54WY-2Qnp9I/edit?usp=share_link"",""กระบี่!I400"")
+IMPORTRANGE(""https://docs.google.com/spreadsheets/d/1FbzMZY_f3MDiEuK7RpCQKrilJ_kpX0Wm7QBZ1L7EjIU/edit?usp=share_link"&amp;""",""ชุมพร!I400"")+IMPORTRANGE(""https://docs.google.com/spreadsheets/d/1v5sN-00LrXuhBxw4dkh2GrG_z4l5oAqOdJRBCsUyMaM/edit?usp=share_link"",""ตรัง!I400"")+IMPORTRANGE(""https://docs.google.com/spreadsheets/d/1T5rRTzFc79aSIvqnzkZNvwPstq829QYz_xALlO1Z0s8/edi"&amp;"t?usp=share_link"",""นครศรีธรรมราช!I400"")+IMPORTRANGE(""https://docs.google.com/spreadsheets/d/1BeghqumK0IvCmRd2QOy6_afsZq7ZtAGrSnVJy2u7WmY/edit?usp=share_link"",""นราธิวาส!I400"")+IMPORTRANGE(""https://docs.google.com/spreadsheets/d/1IwnW3-jjRf74MCLW-6P"&amp;"iFwMUffRQXZwZA7YM609NmRc/edit?usp=share_link"",""ปัตตานี!I400"")+IMPORTRANGE(""https://docs.google.com/spreadsheets/d/1vl4QWbWdFruual5o_wdo6ZSqXZ_it806oja4CctTLKs/edit?usp=share_link"",""พังงา!I400"")+IMPORTRANGE(""https://docs.google.com/spreadsheets/d/1"&amp;"b6QssHQp2FoAPSMKHOy273KNzAomaIKhtdlvuZ_zDNE/edit?usp=share_link"",""พัทลุง!I400"")+IMPORTRANGE(""https://docs.google.com/spreadsheets/d/1o7UZe4_OqlqtLDHrj01Z2YFRSZDf1DMy1n3XViHaxRc/edit?usp=share_link"",""ภูเก็ต!I400"")+IMPORTRANGE(""https://docs.google.c"&amp;"om/spreadsheets/d/1ctPm1vUzcUCPuOj9-eoHUD85PqINFqUB0TjdSWmR5-c/edit?usp=share_link"",""ยะลา!I400"")+IMPORTRANGE(""https://docs.google.com/spreadsheets/d/1YiDIE7Klmt8osgdapRqYWNr7iPGFSsiJqq46S7PYRE0/edit?usp=share_link"",""ระนอง!I400"")+IMPORTRANGE(""https"&amp;"://docs.google.com/spreadsheets/d/16o_4B-V7AWw_6E93bSpXj_XxVv1oVQctk-B6z1dNEWU/edit?usp=share_link"",""สงขลา!I400"")+IMPORTRANGE(""https://docs.google.com/spreadsheets/d/16cywr71Fj4fA5OGRHsZh30ZG2gwJhMAQv69oVBzYHv0/edit?usp=share_link"",""สตูล!I400"")+IMP"&amp;"ORTRANGE(""https://docs.google.com/spreadsheets/d/1vO9Sws6kMtrVtyvrAJptINXjK8TFBoX9xLYOVK_C8bQ/edit?usp=share_link"",""สุราษฎร์ธานี!I400"")"),0)</f>
        <v>0</v>
      </c>
      <c r="J400" s="183">
        <f ca="1">IFERROR(__xludf.DUMMYFUNCTION("IMPORTRANGE(""https://docs.google.com/spreadsheets/d/1kC41EOXpGBFOW658Fs3oD8beYlym0-zO54WY-2Qnp9I/edit?usp=share_link"",""กระบี่!J400"")
+IMPORTRANGE(""https://docs.google.com/spreadsheets/d/1FbzMZY_f3MDiEuK7RpCQKrilJ_kpX0Wm7QBZ1L7EjIU/edit?usp=share_link"&amp;""",""ชุมพร!J400"")+IMPORTRANGE(""https://docs.google.com/spreadsheets/d/1v5sN-00LrXuhBxw4dkh2GrG_z4l5oAqOdJRBCsUyMaM/edit?usp=share_link"",""ตรัง!J400"")+IMPORTRANGE(""https://docs.google.com/spreadsheets/d/1T5rRTzFc79aSIvqnzkZNvwPstq829QYz_xALlO1Z0s8/edi"&amp;"t?usp=share_link"",""นครศรีธรรมราช!J400"")+IMPORTRANGE(""https://docs.google.com/spreadsheets/d/1BeghqumK0IvCmRd2QOy6_afsZq7ZtAGrSnVJy2u7WmY/edit?usp=share_link"",""นราธิวาส!J400"")+IMPORTRANGE(""https://docs.google.com/spreadsheets/d/1IwnW3-jjRf74MCLW-6P"&amp;"iFwMUffRQXZwZA7YM609NmRc/edit?usp=share_link"",""ปัตตานี!J400"")+IMPORTRANGE(""https://docs.google.com/spreadsheets/d/1vl4QWbWdFruual5o_wdo6ZSqXZ_it806oja4CctTLKs/edit?usp=share_link"",""พังงา!J400"")+IMPORTRANGE(""https://docs.google.com/spreadsheets/d/1"&amp;"b6QssHQp2FoAPSMKHOy273KNzAomaIKhtdlvuZ_zDNE/edit?usp=share_link"",""พัทลุง!J400"")+IMPORTRANGE(""https://docs.google.com/spreadsheets/d/1o7UZe4_OqlqtLDHrj01Z2YFRSZDf1DMy1n3XViHaxRc/edit?usp=share_link"",""ภูเก็ต!J400"")+IMPORTRANGE(""https://docs.google.c"&amp;"om/spreadsheets/d/1ctPm1vUzcUCPuOj9-eoHUD85PqINFqUB0TjdSWmR5-c/edit?usp=share_link"",""ยะลา!J400"")+IMPORTRANGE(""https://docs.google.com/spreadsheets/d/1YiDIE7Klmt8osgdapRqYWNr7iPGFSsiJqq46S7PYRE0/edit?usp=share_link"",""ระนอง!J400"")+IMPORTRANGE(""https"&amp;"://docs.google.com/spreadsheets/d/16o_4B-V7AWw_6E93bSpXj_XxVv1oVQctk-B6z1dNEWU/edit?usp=share_link"",""สงขลา!J400"")+IMPORTRANGE(""https://docs.google.com/spreadsheets/d/16cywr71Fj4fA5OGRHsZh30ZG2gwJhMAQv69oVBzYHv0/edit?usp=share_link"",""สตูล!J400"")+IMP"&amp;"ORTRANGE(""https://docs.google.com/spreadsheets/d/1vO9Sws6kMtrVtyvrAJptINXjK8TFBoX9xLYOVK_C8bQ/edit?usp=share_link"",""สุราษฎร์ธานี!J400"")"),0)</f>
        <v>0</v>
      </c>
      <c r="K400" s="38">
        <f t="shared" ca="1" si="200"/>
        <v>0</v>
      </c>
      <c r="L400" s="38"/>
      <c r="M400" s="38"/>
      <c r="N400" s="38"/>
      <c r="O400" s="38"/>
      <c r="P400" s="38"/>
    </row>
    <row r="401" spans="1:26" ht="20.25" customHeight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ca="1" si="201">I412</f>
        <v>15</v>
      </c>
      <c r="J401" s="526">
        <f t="shared" ca="1" si="201"/>
        <v>5</v>
      </c>
      <c r="K401" s="527">
        <f t="shared" ca="1" si="200"/>
        <v>33.333333333333336</v>
      </c>
      <c r="L401" s="528"/>
      <c r="M401" s="528"/>
      <c r="N401" s="528"/>
      <c r="O401" s="528"/>
      <c r="P401" s="528"/>
    </row>
    <row r="402" spans="1:26" ht="20.25" customHeight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2">L403+L404</f>
        <v>34000000</v>
      </c>
      <c r="M402" s="155">
        <f t="shared" ca="1" si="202"/>
        <v>34000000</v>
      </c>
      <c r="N402" s="155">
        <f t="shared" ca="1" si="202"/>
        <v>14346241</v>
      </c>
      <c r="O402" s="155">
        <f t="shared" ref="O402:O410" ca="1" si="203">IF(L402&gt;0,N402*100/L402,0)</f>
        <v>42.194826470588232</v>
      </c>
      <c r="P402" s="155">
        <f t="shared" ref="P402:P410" ca="1" si="204">IF(M402&gt;0,N402*100/M402,0)</f>
        <v>42.194826470588232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20.25" hidden="1" customHeight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5">L406+L409</f>
        <v>0</v>
      </c>
      <c r="M403" s="45">
        <f t="shared" si="205"/>
        <v>0</v>
      </c>
      <c r="N403" s="45">
        <f t="shared" si="205"/>
        <v>0</v>
      </c>
      <c r="O403" s="45">
        <f t="shared" si="203"/>
        <v>0</v>
      </c>
      <c r="P403" s="45">
        <f t="shared" si="204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20.25" hidden="1" customHeight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6">L407+L410</f>
        <v>34000000</v>
      </c>
      <c r="M404" s="45">
        <f t="shared" ca="1" si="206"/>
        <v>34000000</v>
      </c>
      <c r="N404" s="45">
        <f t="shared" ca="1" si="206"/>
        <v>14346241</v>
      </c>
      <c r="O404" s="45">
        <f t="shared" ca="1" si="203"/>
        <v>42.194826470588232</v>
      </c>
      <c r="P404" s="45">
        <f t="shared" ca="1" si="204"/>
        <v>42.194826470588232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20.25" customHeight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7">L406+L407</f>
        <v>0</v>
      </c>
      <c r="M405" s="38">
        <f t="shared" ca="1" si="207"/>
        <v>0</v>
      </c>
      <c r="N405" s="38">
        <f t="shared" ca="1" si="207"/>
        <v>0</v>
      </c>
      <c r="O405" s="38">
        <f t="shared" ca="1" si="203"/>
        <v>0</v>
      </c>
      <c r="P405" s="38">
        <f t="shared" ca="1" si="204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20.25" hidden="1" customHeight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3"/>
        <v>0</v>
      </c>
      <c r="P406" s="45">
        <f t="shared" si="204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20.25" hidden="1" customHeight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IFERROR(__xludf.DUMMYFUNCTION("IMPORTRANGE(""https://docs.google.com/spreadsheets/d/1kC41EOXpGBFOW658Fs3oD8beYlym0-zO54WY-2Qnp9I/edit?usp=share_link"",""กระบี่!L407"")
+IMPORTRANGE(""https://docs.google.com/spreadsheets/d/1FbzMZY_f3MDiEuK7RpCQKrilJ_kpX0Wm7QBZ1L7EjIU/edit?usp=share_link"&amp;""",""ชุมพร!L407"")+IMPORTRANGE(""https://docs.google.com/spreadsheets/d/1v5sN-00LrXuhBxw4dkh2GrG_z4l5oAqOdJRBCsUyMaM/edit?usp=share_link"",""ตรัง!L407"")+IMPORTRANGE(""https://docs.google.com/spreadsheets/d/1T5rRTzFc79aSIvqnzkZNvwPstq829QYz_xALlO1Z0s8/edi"&amp;"t?usp=share_link"",""นครศรีธรรมราช!L407"")+IMPORTRANGE(""https://docs.google.com/spreadsheets/d/1BeghqumK0IvCmRd2QOy6_afsZq7ZtAGrSnVJy2u7WmY/edit?usp=share_link"",""นราธิวาส!L407"")+IMPORTRANGE(""https://docs.google.com/spreadsheets/d/1IwnW3-jjRf74MCLW-6P"&amp;"iFwMUffRQXZwZA7YM609NmRc/edit?usp=share_link"",""ปัตตานี!L407"")+IMPORTRANGE(""https://docs.google.com/spreadsheets/d/1vl4QWbWdFruual5o_wdo6ZSqXZ_it806oja4CctTLKs/edit?usp=share_link"",""พังงา!L407"")+IMPORTRANGE(""https://docs.google.com/spreadsheets/d/1"&amp;"b6QssHQp2FoAPSMKHOy273KNzAomaIKhtdlvuZ_zDNE/edit?usp=share_link"",""พัทลุง!L407"")+IMPORTRANGE(""https://docs.google.com/spreadsheets/d/1o7UZe4_OqlqtLDHrj01Z2YFRSZDf1DMy1n3XViHaxRc/edit?usp=share_link"",""ภูเก็ต!L407"")+IMPORTRANGE(""https://docs.google.c"&amp;"om/spreadsheets/d/1ctPm1vUzcUCPuOj9-eoHUD85PqINFqUB0TjdSWmR5-c/edit?usp=share_link"",""ยะลา!L407"")+IMPORTRANGE(""https://docs.google.com/spreadsheets/d/1YiDIE7Klmt8osgdapRqYWNr7iPGFSsiJqq46S7PYRE0/edit?usp=share_link"",""ระนอง!L407"")+IMPORTRANGE(""https"&amp;"://docs.google.com/spreadsheets/d/16o_4B-V7AWw_6E93bSpXj_XxVv1oVQctk-B6z1dNEWU/edit?usp=share_link"",""สงขลา!L407"")+IMPORTRANGE(""https://docs.google.com/spreadsheets/d/16cywr71Fj4fA5OGRHsZh30ZG2gwJhMAQv69oVBzYHv0/edit?usp=share_link"",""สตูล!L407"")+IMP"&amp;"ORTRANGE(""https://docs.google.com/spreadsheets/d/1vO9Sws6kMtrVtyvrAJptINXjK8TFBoX9xLYOVK_C8bQ/edit?usp=share_link"",""สุราษฎร์ธานี!L407"")"),0)</f>
        <v>0</v>
      </c>
      <c r="M407" s="45">
        <f ca="1">IFERROR(__xludf.DUMMYFUNCTION("IMPORTRANGE(""https://docs.google.com/spreadsheets/d/1kC41EOXpGBFOW658Fs3oD8beYlym0-zO54WY-2Qnp9I/edit?usp=share_link"",""กระบี่!M407"")
+IMPORTRANGE(""https://docs.google.com/spreadsheets/d/1FbzMZY_f3MDiEuK7RpCQKrilJ_kpX0Wm7QBZ1L7EjIU/edit?usp=share_link"&amp;""",""ชุมพร!M407"")+IMPORTRANGE(""https://docs.google.com/spreadsheets/d/1v5sN-00LrXuhBxw4dkh2GrG_z4l5oAqOdJRBCsUyMaM/edit?usp=share_link"",""ตรัง!M407"")+IMPORTRANGE(""https://docs.google.com/spreadsheets/d/1T5rRTzFc79aSIvqnzkZNvwPstq829QYz_xALlO1Z0s8/edi"&amp;"t?usp=share_link"",""นครศรีธรรมราช!M407"")+IMPORTRANGE(""https://docs.google.com/spreadsheets/d/1BeghqumK0IvCmRd2QOy6_afsZq7ZtAGrSnVJy2u7WmY/edit?usp=share_link"",""นราธิวาส!M407"")+IMPORTRANGE(""https://docs.google.com/spreadsheets/d/1IwnW3-jjRf74MCLW-6P"&amp;"iFwMUffRQXZwZA7YM609NmRc/edit?usp=share_link"",""ปัตตานี!M407"")+IMPORTRANGE(""https://docs.google.com/spreadsheets/d/1vl4QWbWdFruual5o_wdo6ZSqXZ_it806oja4CctTLKs/edit?usp=share_link"",""พังงา!M407"")+IMPORTRANGE(""https://docs.google.com/spreadsheets/d/1"&amp;"b6QssHQp2FoAPSMKHOy273KNzAomaIKhtdlvuZ_zDNE/edit?usp=share_link"",""พัทลุง!M407"")+IMPORTRANGE(""https://docs.google.com/spreadsheets/d/1o7UZe4_OqlqtLDHrj01Z2YFRSZDf1DMy1n3XViHaxRc/edit?usp=share_link"",""ภูเก็ต!M407"")+IMPORTRANGE(""https://docs.google.c"&amp;"om/spreadsheets/d/1ctPm1vUzcUCPuOj9-eoHUD85PqINFqUB0TjdSWmR5-c/edit?usp=share_link"",""ยะลา!M407"")+IMPORTRANGE(""https://docs.google.com/spreadsheets/d/1YiDIE7Klmt8osgdapRqYWNr7iPGFSsiJqq46S7PYRE0/edit?usp=share_link"",""ระนอง!M407"")+IMPORTRANGE(""https"&amp;"://docs.google.com/spreadsheets/d/16o_4B-V7AWw_6E93bSpXj_XxVv1oVQctk-B6z1dNEWU/edit?usp=share_link"",""สงขลา!M407"")+IMPORTRANGE(""https://docs.google.com/spreadsheets/d/16cywr71Fj4fA5OGRHsZh30ZG2gwJhMAQv69oVBzYHv0/edit?usp=share_link"",""สตูล!M407"")+IMP"&amp;"ORTRANGE(""https://docs.google.com/spreadsheets/d/1vO9Sws6kMtrVtyvrAJptINXjK8TFBoX9xLYOVK_C8bQ/edit?usp=share_link"",""สุราษฎร์ธานี!M407"")"),0)</f>
        <v>0</v>
      </c>
      <c r="N407" s="45">
        <f ca="1">IFERROR(__xludf.DUMMYFUNCTION("IMPORTRANGE(""https://docs.google.com/spreadsheets/d/1kC41EOXpGBFOW658Fs3oD8beYlym0-zO54WY-2Qnp9I/edit?usp=share_link"",""กระบี่!N407"")
+IMPORTRANGE(""https://docs.google.com/spreadsheets/d/1FbzMZY_f3MDiEuK7RpCQKrilJ_kpX0Wm7QBZ1L7EjIU/edit?usp=share_link"&amp;""",""ชุมพร!N407"")+IMPORTRANGE(""https://docs.google.com/spreadsheets/d/1v5sN-00LrXuhBxw4dkh2GrG_z4l5oAqOdJRBCsUyMaM/edit?usp=share_link"",""ตรัง!N407"")+IMPORTRANGE(""https://docs.google.com/spreadsheets/d/1T5rRTzFc79aSIvqnzkZNvwPstq829QYz_xALlO1Z0s8/edi"&amp;"t?usp=share_link"",""นครศรีธรรมราช!N407"")+IMPORTRANGE(""https://docs.google.com/spreadsheets/d/1BeghqumK0IvCmRd2QOy6_afsZq7ZtAGrSnVJy2u7WmY/edit?usp=share_link"",""นราธิวาส!N407"")+IMPORTRANGE(""https://docs.google.com/spreadsheets/d/1IwnW3-jjRf74MCLW-6P"&amp;"iFwMUffRQXZwZA7YM609NmRc/edit?usp=share_link"",""ปัตตานี!N407"")+IMPORTRANGE(""https://docs.google.com/spreadsheets/d/1vl4QWbWdFruual5o_wdo6ZSqXZ_it806oja4CctTLKs/edit?usp=share_link"",""พังงา!N407"")+IMPORTRANGE(""https://docs.google.com/spreadsheets/d/1"&amp;"b6QssHQp2FoAPSMKHOy273KNzAomaIKhtdlvuZ_zDNE/edit?usp=share_link"",""พัทลุง!N407"")+IMPORTRANGE(""https://docs.google.com/spreadsheets/d/1o7UZe4_OqlqtLDHrj01Z2YFRSZDf1DMy1n3XViHaxRc/edit?usp=share_link"",""ภูเก็ต!N407"")+IMPORTRANGE(""https://docs.google.c"&amp;"om/spreadsheets/d/1ctPm1vUzcUCPuOj9-eoHUD85PqINFqUB0TjdSWmR5-c/edit?usp=share_link"",""ยะลา!N407"")+IMPORTRANGE(""https://docs.google.com/spreadsheets/d/1YiDIE7Klmt8osgdapRqYWNr7iPGFSsiJqq46S7PYRE0/edit?usp=share_link"",""ระนอง!N407"")+IMPORTRANGE(""https"&amp;"://docs.google.com/spreadsheets/d/16o_4B-V7AWw_6E93bSpXj_XxVv1oVQctk-B6z1dNEWU/edit?usp=share_link"",""สงขลา!N407"")+IMPORTRANGE(""https://docs.google.com/spreadsheets/d/16cywr71Fj4fA5OGRHsZh30ZG2gwJhMAQv69oVBzYHv0/edit?usp=share_link"",""สตูล!N407"")+IMP"&amp;"ORTRANGE(""https://docs.google.com/spreadsheets/d/1vO9Sws6kMtrVtyvrAJptINXjK8TFBoX9xLYOVK_C8bQ/edit?usp=share_link"",""สุราษฎร์ธานี!N407"")"),0)</f>
        <v>0</v>
      </c>
      <c r="O407" s="45">
        <f t="shared" ca="1" si="203"/>
        <v>0</v>
      </c>
      <c r="P407" s="45">
        <f t="shared" ca="1" si="204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20.25" customHeight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8">L409+L410</f>
        <v>34000000</v>
      </c>
      <c r="M408" s="38">
        <f t="shared" ca="1" si="208"/>
        <v>34000000</v>
      </c>
      <c r="N408" s="38">
        <f t="shared" ca="1" si="208"/>
        <v>14346241</v>
      </c>
      <c r="O408" s="38">
        <f t="shared" ca="1" si="203"/>
        <v>42.194826470588232</v>
      </c>
      <c r="P408" s="38">
        <f t="shared" ca="1" si="204"/>
        <v>42.194826470588232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20.25" hidden="1" customHeight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3"/>
        <v>0</v>
      </c>
      <c r="P409" s="45">
        <f t="shared" si="204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20.25" hidden="1" customHeight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IFERROR(__xludf.DUMMYFUNCTION("IMPORTRANGE(""https://docs.google.com/spreadsheets/d/1kC41EOXpGBFOW658Fs3oD8beYlym0-zO54WY-2Qnp9I/edit?usp=share_link"",""กระบี่!L410"")
+IMPORTRANGE(""https://docs.google.com/spreadsheets/d/1FbzMZY_f3MDiEuK7RpCQKrilJ_kpX0Wm7QBZ1L7EjIU/edit?usp=share_link"&amp;""",""ชุมพร!L410"")+IMPORTRANGE(""https://docs.google.com/spreadsheets/d/1v5sN-00LrXuhBxw4dkh2GrG_z4l5oAqOdJRBCsUyMaM/edit?usp=share_link"",""ตรัง!L410"")+IMPORTRANGE(""https://docs.google.com/spreadsheets/d/1T5rRTzFc79aSIvqnzkZNvwPstq829QYz_xALlO1Z0s8/edi"&amp;"t?usp=share_link"",""นครศรีธรรมราช!L410"")+IMPORTRANGE(""https://docs.google.com/spreadsheets/d/1BeghqumK0IvCmRd2QOy6_afsZq7ZtAGrSnVJy2u7WmY/edit?usp=share_link"",""นราธิวาส!L410"")+IMPORTRANGE(""https://docs.google.com/spreadsheets/d/1IwnW3-jjRf74MCLW-6P"&amp;"iFwMUffRQXZwZA7YM609NmRc/edit?usp=share_link"",""ปัตตานี!L410"")+IMPORTRANGE(""https://docs.google.com/spreadsheets/d/1vl4QWbWdFruual5o_wdo6ZSqXZ_it806oja4CctTLKs/edit?usp=share_link"",""พังงา!L410"")+IMPORTRANGE(""https://docs.google.com/spreadsheets/d/1"&amp;"b6QssHQp2FoAPSMKHOy273KNzAomaIKhtdlvuZ_zDNE/edit?usp=share_link"",""พัทลุง!L410"")+IMPORTRANGE(""https://docs.google.com/spreadsheets/d/1o7UZe4_OqlqtLDHrj01Z2YFRSZDf1DMy1n3XViHaxRc/edit?usp=share_link"",""ภูเก็ต!L410"")+IMPORTRANGE(""https://docs.google.c"&amp;"om/spreadsheets/d/1ctPm1vUzcUCPuOj9-eoHUD85PqINFqUB0TjdSWmR5-c/edit?usp=share_link"",""ยะลา!L410"")+IMPORTRANGE(""https://docs.google.com/spreadsheets/d/1YiDIE7Klmt8osgdapRqYWNr7iPGFSsiJqq46S7PYRE0/edit?usp=share_link"",""ระนอง!L410"")+IMPORTRANGE(""https"&amp;"://docs.google.com/spreadsheets/d/16o_4B-V7AWw_6E93bSpXj_XxVv1oVQctk-B6z1dNEWU/edit?usp=share_link"",""สงขลา!L410"")+IMPORTRANGE(""https://docs.google.com/spreadsheets/d/16cywr71Fj4fA5OGRHsZh30ZG2gwJhMAQv69oVBzYHv0/edit?usp=share_link"",""สตูล!L410"")+IMP"&amp;"ORTRANGE(""https://docs.google.com/spreadsheets/d/1vO9Sws6kMtrVtyvrAJptINXjK8TFBoX9xLYOVK_C8bQ/edit?usp=share_link"",""สุราษฎร์ธานี!L410"")"),34000000)</f>
        <v>34000000</v>
      </c>
      <c r="M410" s="45">
        <f ca="1">IFERROR(__xludf.DUMMYFUNCTION("IMPORTRANGE(""https://docs.google.com/spreadsheets/d/1kC41EOXpGBFOW658Fs3oD8beYlym0-zO54WY-2Qnp9I/edit?usp=share_link"",""กระบี่!M410"")
+IMPORTRANGE(""https://docs.google.com/spreadsheets/d/1FbzMZY_f3MDiEuK7RpCQKrilJ_kpX0Wm7QBZ1L7EjIU/edit?usp=share_link"&amp;""",""ชุมพร!M410"")+IMPORTRANGE(""https://docs.google.com/spreadsheets/d/1v5sN-00LrXuhBxw4dkh2GrG_z4l5oAqOdJRBCsUyMaM/edit?usp=share_link"",""ตรัง!M410"")+IMPORTRANGE(""https://docs.google.com/spreadsheets/d/1T5rRTzFc79aSIvqnzkZNvwPstq829QYz_xALlO1Z0s8/edi"&amp;"t?usp=share_link"",""นครศรีธรรมราช!M410"")+IMPORTRANGE(""https://docs.google.com/spreadsheets/d/1BeghqumK0IvCmRd2QOy6_afsZq7ZtAGrSnVJy2u7WmY/edit?usp=share_link"",""นราธิวาส!M410"")+IMPORTRANGE(""https://docs.google.com/spreadsheets/d/1IwnW3-jjRf74MCLW-6P"&amp;"iFwMUffRQXZwZA7YM609NmRc/edit?usp=share_link"",""ปัตตานี!M410"")+IMPORTRANGE(""https://docs.google.com/spreadsheets/d/1vl4QWbWdFruual5o_wdo6ZSqXZ_it806oja4CctTLKs/edit?usp=share_link"",""พังงา!M410"")+IMPORTRANGE(""https://docs.google.com/spreadsheets/d/1"&amp;"b6QssHQp2FoAPSMKHOy273KNzAomaIKhtdlvuZ_zDNE/edit?usp=share_link"",""พัทลุง!M410"")+IMPORTRANGE(""https://docs.google.com/spreadsheets/d/1o7UZe4_OqlqtLDHrj01Z2YFRSZDf1DMy1n3XViHaxRc/edit?usp=share_link"",""ภูเก็ต!M410"")+IMPORTRANGE(""https://docs.google.c"&amp;"om/spreadsheets/d/1ctPm1vUzcUCPuOj9-eoHUD85PqINFqUB0TjdSWmR5-c/edit?usp=share_link"",""ยะลา!M410"")+IMPORTRANGE(""https://docs.google.com/spreadsheets/d/1YiDIE7Klmt8osgdapRqYWNr7iPGFSsiJqq46S7PYRE0/edit?usp=share_link"",""ระนอง!M410"")+IMPORTRANGE(""https"&amp;"://docs.google.com/spreadsheets/d/16o_4B-V7AWw_6E93bSpXj_XxVv1oVQctk-B6z1dNEWU/edit?usp=share_link"",""สงขลา!M410"")+IMPORTRANGE(""https://docs.google.com/spreadsheets/d/16cywr71Fj4fA5OGRHsZh30ZG2gwJhMAQv69oVBzYHv0/edit?usp=share_link"",""สตูล!M410"")+IMP"&amp;"ORTRANGE(""https://docs.google.com/spreadsheets/d/1vO9Sws6kMtrVtyvrAJptINXjK8TFBoX9xLYOVK_C8bQ/edit?usp=share_link"",""สุราษฎร์ธานี!M410"")"),34000000)</f>
        <v>34000000</v>
      </c>
      <c r="N410" s="45">
        <f ca="1">IFERROR(__xludf.DUMMYFUNCTION("IMPORTRANGE(""https://docs.google.com/spreadsheets/d/1kC41EOXpGBFOW658Fs3oD8beYlym0-zO54WY-2Qnp9I/edit?usp=share_link"",""กระบี่!N410"")
+IMPORTRANGE(""https://docs.google.com/spreadsheets/d/1FbzMZY_f3MDiEuK7RpCQKrilJ_kpX0Wm7QBZ1L7EjIU/edit?usp=share_link"&amp;""",""ชุมพร!N410"")+IMPORTRANGE(""https://docs.google.com/spreadsheets/d/1v5sN-00LrXuhBxw4dkh2GrG_z4l5oAqOdJRBCsUyMaM/edit?usp=share_link"",""ตรัง!N410"")+IMPORTRANGE(""https://docs.google.com/spreadsheets/d/1T5rRTzFc79aSIvqnzkZNvwPstq829QYz_xALlO1Z0s8/edi"&amp;"t?usp=share_link"",""นครศรีธรรมราช!N410"")+IMPORTRANGE(""https://docs.google.com/spreadsheets/d/1BeghqumK0IvCmRd2QOy6_afsZq7ZtAGrSnVJy2u7WmY/edit?usp=share_link"",""นราธิวาส!N410"")+IMPORTRANGE(""https://docs.google.com/spreadsheets/d/1IwnW3-jjRf74MCLW-6P"&amp;"iFwMUffRQXZwZA7YM609NmRc/edit?usp=share_link"",""ปัตตานี!N410"")+IMPORTRANGE(""https://docs.google.com/spreadsheets/d/1vl4QWbWdFruual5o_wdo6ZSqXZ_it806oja4CctTLKs/edit?usp=share_link"",""พังงา!N410"")+IMPORTRANGE(""https://docs.google.com/spreadsheets/d/1"&amp;"b6QssHQp2FoAPSMKHOy273KNzAomaIKhtdlvuZ_zDNE/edit?usp=share_link"",""พัทลุง!N410"")+IMPORTRANGE(""https://docs.google.com/spreadsheets/d/1o7UZe4_OqlqtLDHrj01Z2YFRSZDf1DMy1n3XViHaxRc/edit?usp=share_link"",""ภูเก็ต!N410"")+IMPORTRANGE(""https://docs.google.c"&amp;"om/spreadsheets/d/1ctPm1vUzcUCPuOj9-eoHUD85PqINFqUB0TjdSWmR5-c/edit?usp=share_link"",""ยะลา!N410"")+IMPORTRANGE(""https://docs.google.com/spreadsheets/d/1YiDIE7Klmt8osgdapRqYWNr7iPGFSsiJqq46S7PYRE0/edit?usp=share_link"",""ระนอง!N410"")+IMPORTRANGE(""https"&amp;"://docs.google.com/spreadsheets/d/16o_4B-V7AWw_6E93bSpXj_XxVv1oVQctk-B6z1dNEWU/edit?usp=share_link"",""สงขลา!N410"")+IMPORTRANGE(""https://docs.google.com/spreadsheets/d/16cywr71Fj4fA5OGRHsZh30ZG2gwJhMAQv69oVBzYHv0/edit?usp=share_link"",""สตูล!N410"")+IMP"&amp;"ORTRANGE(""https://docs.google.com/spreadsheets/d/1vO9Sws6kMtrVtyvrAJptINXjK8TFBoX9xLYOVK_C8bQ/edit?usp=share_link"",""สุราษฎร์ธานี!N410"")"),14346241)</f>
        <v>14346241</v>
      </c>
      <c r="O410" s="45">
        <f t="shared" ca="1" si="203"/>
        <v>42.194826470588232</v>
      </c>
      <c r="P410" s="45">
        <f t="shared" ca="1" si="204"/>
        <v>42.194826470588232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20.25" customHeight="1">
      <c r="A411" s="170"/>
      <c r="B411" s="171"/>
      <c r="C411" s="164" t="s">
        <v>16</v>
      </c>
      <c r="D411" s="534" t="s">
        <v>38</v>
      </c>
      <c r="E411" s="535"/>
      <c r="F411" s="535"/>
      <c r="G411" s="536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20.25" customHeight="1">
      <c r="A412" s="170"/>
      <c r="B412" s="178"/>
      <c r="C412" s="178"/>
      <c r="D412" s="181" t="s">
        <v>178</v>
      </c>
      <c r="E412" s="178"/>
      <c r="F412" s="178"/>
      <c r="G412" s="179"/>
      <c r="H412" s="537" t="s">
        <v>66</v>
      </c>
      <c r="I412" s="270">
        <f ca="1">IFERROR(__xludf.DUMMYFUNCTION("IMPORTRANGE(""https://docs.google.com/spreadsheets/d/1kC41EOXpGBFOW658Fs3oD8beYlym0-zO54WY-2Qnp9I/edit?usp=share_link"",""กระบี่!I412"")
+IMPORTRANGE(""https://docs.google.com/spreadsheets/d/1FbzMZY_f3MDiEuK7RpCQKrilJ_kpX0Wm7QBZ1L7EjIU/edit?usp=share_link"&amp;""",""ชุมพร!I412"")+IMPORTRANGE(""https://docs.google.com/spreadsheets/d/1v5sN-00LrXuhBxw4dkh2GrG_z4l5oAqOdJRBCsUyMaM/edit?usp=share_link"",""ตรัง!I412"")+IMPORTRANGE(""https://docs.google.com/spreadsheets/d/1T5rRTzFc79aSIvqnzkZNvwPstq829QYz_xALlO1Z0s8/edi"&amp;"t?usp=share_link"",""นครศรีธรรมราช!I412"")+IMPORTRANGE(""https://docs.google.com/spreadsheets/d/1BeghqumK0IvCmRd2QOy6_afsZq7ZtAGrSnVJy2u7WmY/edit?usp=share_link"",""นราธิวาส!I412"")+IMPORTRANGE(""https://docs.google.com/spreadsheets/d/1IwnW3-jjRf74MCLW-6P"&amp;"iFwMUffRQXZwZA7YM609NmRc/edit?usp=share_link"",""ปัตตานี!I412"")+IMPORTRANGE(""https://docs.google.com/spreadsheets/d/1vl4QWbWdFruual5o_wdo6ZSqXZ_it806oja4CctTLKs/edit?usp=share_link"",""พังงา!I412"")+IMPORTRANGE(""https://docs.google.com/spreadsheets/d/1"&amp;"b6QssHQp2FoAPSMKHOy273KNzAomaIKhtdlvuZ_zDNE/edit?usp=share_link"",""พัทลุง!I412"")+IMPORTRANGE(""https://docs.google.com/spreadsheets/d/1o7UZe4_OqlqtLDHrj01Z2YFRSZDf1DMy1n3XViHaxRc/edit?usp=share_link"",""ภูเก็ต!I412"")+IMPORTRANGE(""https://docs.google.c"&amp;"om/spreadsheets/d/1ctPm1vUzcUCPuOj9-eoHUD85PqINFqUB0TjdSWmR5-c/edit?usp=share_link"",""ยะลา!I412"")+IMPORTRANGE(""https://docs.google.com/spreadsheets/d/1YiDIE7Klmt8osgdapRqYWNr7iPGFSsiJqq46S7PYRE0/edit?usp=share_link"",""ระนอง!I412"")+IMPORTRANGE(""https"&amp;"://docs.google.com/spreadsheets/d/16o_4B-V7AWw_6E93bSpXj_XxVv1oVQctk-B6z1dNEWU/edit?usp=share_link"",""สงขลา!I412"")+IMPORTRANGE(""https://docs.google.com/spreadsheets/d/16cywr71Fj4fA5OGRHsZh30ZG2gwJhMAQv69oVBzYHv0/edit?usp=share_link"",""สตูล!I412"")+IMP"&amp;"ORTRANGE(""https://docs.google.com/spreadsheets/d/1vO9Sws6kMtrVtyvrAJptINXjK8TFBoX9xLYOVK_C8bQ/edit?usp=share_link"",""สุราษฎร์ธานี!I412"")"),15)</f>
        <v>15</v>
      </c>
      <c r="J412" s="183">
        <f ca="1">IFERROR(__xludf.DUMMYFUNCTION("IMPORTRANGE(""https://docs.google.com/spreadsheets/d/1kC41EOXpGBFOW658Fs3oD8beYlym0-zO54WY-2Qnp9I/edit?usp=share_link"",""กระบี่!J412"")
+IMPORTRANGE(""https://docs.google.com/spreadsheets/d/1FbzMZY_f3MDiEuK7RpCQKrilJ_kpX0Wm7QBZ1L7EjIU/edit?usp=share_link"&amp;""",""ชุมพร!J412"")+IMPORTRANGE(""https://docs.google.com/spreadsheets/d/1v5sN-00LrXuhBxw4dkh2GrG_z4l5oAqOdJRBCsUyMaM/edit?usp=share_link"",""ตรัง!J412"")+IMPORTRANGE(""https://docs.google.com/spreadsheets/d/1T5rRTzFc79aSIvqnzkZNvwPstq829QYz_xALlO1Z0s8/edi"&amp;"t?usp=share_link"",""นครศรีธรรมราช!J412"")+IMPORTRANGE(""https://docs.google.com/spreadsheets/d/1BeghqumK0IvCmRd2QOy6_afsZq7ZtAGrSnVJy2u7WmY/edit?usp=share_link"",""นราธิวาส!J412"")+IMPORTRANGE(""https://docs.google.com/spreadsheets/d/1IwnW3-jjRf74MCLW-6P"&amp;"iFwMUffRQXZwZA7YM609NmRc/edit?usp=share_link"",""ปัตตานี!J412"")+IMPORTRANGE(""https://docs.google.com/spreadsheets/d/1vl4QWbWdFruual5o_wdo6ZSqXZ_it806oja4CctTLKs/edit?usp=share_link"",""พังงา!J412"")+IMPORTRANGE(""https://docs.google.com/spreadsheets/d/1"&amp;"b6QssHQp2FoAPSMKHOy273KNzAomaIKhtdlvuZ_zDNE/edit?usp=share_link"",""พัทลุง!J412"")+IMPORTRANGE(""https://docs.google.com/spreadsheets/d/1o7UZe4_OqlqtLDHrj01Z2YFRSZDf1DMy1n3XViHaxRc/edit?usp=share_link"",""ภูเก็ต!J412"")+IMPORTRANGE(""https://docs.google.c"&amp;"om/spreadsheets/d/1ctPm1vUzcUCPuOj9-eoHUD85PqINFqUB0TjdSWmR5-c/edit?usp=share_link"",""ยะลา!J412"")+IMPORTRANGE(""https://docs.google.com/spreadsheets/d/1YiDIE7Klmt8osgdapRqYWNr7iPGFSsiJqq46S7PYRE0/edit?usp=share_link"",""ระนอง!J412"")+IMPORTRANGE(""https"&amp;"://docs.google.com/spreadsheets/d/16o_4B-V7AWw_6E93bSpXj_XxVv1oVQctk-B6z1dNEWU/edit?usp=share_link"",""สงขลา!J412"")+IMPORTRANGE(""https://docs.google.com/spreadsheets/d/16cywr71Fj4fA5OGRHsZh30ZG2gwJhMAQv69oVBzYHv0/edit?usp=share_link"",""สตูล!J412"")+IMP"&amp;"ORTRANGE(""https://docs.google.com/spreadsheets/d/1vO9Sws6kMtrVtyvrAJptINXjK8TFBoX9xLYOVK_C8bQ/edit?usp=share_link"",""สุราษฎร์ธานี!J412"")"),5)</f>
        <v>5</v>
      </c>
      <c r="K412" s="38">
        <f t="shared" ref="K412:K413" ca="1" si="209">IF(I412&gt;0,J412*100/I412,0)</f>
        <v>33.333333333333336</v>
      </c>
      <c r="L412" s="163"/>
      <c r="M412" s="163"/>
      <c r="N412" s="163"/>
      <c r="O412" s="163"/>
      <c r="P412" s="163"/>
    </row>
    <row r="413" spans="1:26" ht="20.25" customHeigh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f ca="1">IFERROR(__xludf.DUMMYFUNCTION("IMPORTRANGE(""https://docs.google.com/spreadsheets/d/1kC41EOXpGBFOW658Fs3oD8beYlym0-zO54WY-2Qnp9I/edit?usp=share_link"",""กระบี่!I413"")
+IMPORTRANGE(""https://docs.google.com/spreadsheets/d/1FbzMZY_f3MDiEuK7RpCQKrilJ_kpX0Wm7QBZ1L7EjIU/edit?usp=share_link"&amp;""",""ชุมพร!I413"")+IMPORTRANGE(""https://docs.google.com/spreadsheets/d/1v5sN-00LrXuhBxw4dkh2GrG_z4l5oAqOdJRBCsUyMaM/edit?usp=share_link"",""ตรัง!I413"")+IMPORTRANGE(""https://docs.google.com/spreadsheets/d/1T5rRTzFc79aSIvqnzkZNvwPstq829QYz_xALlO1Z0s8/edi"&amp;"t?usp=share_link"",""นครศรีธรรมราช!I413"")+IMPORTRANGE(""https://docs.google.com/spreadsheets/d/1BeghqumK0IvCmRd2QOy6_afsZq7ZtAGrSnVJy2u7WmY/edit?usp=share_link"",""นราธิวาส!I413"")+IMPORTRANGE(""https://docs.google.com/spreadsheets/d/1IwnW3-jjRf74MCLW-6P"&amp;"iFwMUffRQXZwZA7YM609NmRc/edit?usp=share_link"",""ปัตตานี!I413"")+IMPORTRANGE(""https://docs.google.com/spreadsheets/d/1vl4QWbWdFruual5o_wdo6ZSqXZ_it806oja4CctTLKs/edit?usp=share_link"",""พังงา!I413"")+IMPORTRANGE(""https://docs.google.com/spreadsheets/d/1"&amp;"b6QssHQp2FoAPSMKHOy273KNzAomaIKhtdlvuZ_zDNE/edit?usp=share_link"",""พัทลุง!I413"")+IMPORTRANGE(""https://docs.google.com/spreadsheets/d/1o7UZe4_OqlqtLDHrj01Z2YFRSZDf1DMy1n3XViHaxRc/edit?usp=share_link"",""ภูเก็ต!I413"")+IMPORTRANGE(""https://docs.google.c"&amp;"om/spreadsheets/d/1ctPm1vUzcUCPuOj9-eoHUD85PqINFqUB0TjdSWmR5-c/edit?usp=share_link"",""ยะลา!I413"")+IMPORTRANGE(""https://docs.google.com/spreadsheets/d/1YiDIE7Klmt8osgdapRqYWNr7iPGFSsiJqq46S7PYRE0/edit?usp=share_link"",""ระนอง!I413"")+IMPORTRANGE(""https"&amp;"://docs.google.com/spreadsheets/d/16o_4B-V7AWw_6E93bSpXj_XxVv1oVQctk-B6z1dNEWU/edit?usp=share_link"",""สงขลา!I413"")+IMPORTRANGE(""https://docs.google.com/spreadsheets/d/16cywr71Fj4fA5OGRHsZh30ZG2gwJhMAQv69oVBzYHv0/edit?usp=share_link"",""สตูล!I413"")+IMP"&amp;"ORTRANGE(""https://docs.google.com/spreadsheets/d/1vO9Sws6kMtrVtyvrAJptINXjK8TFBoX9xLYOVK_C8bQ/edit?usp=share_link"",""สุราษฎร์ธานี!I413"")"),0)</f>
        <v>0</v>
      </c>
      <c r="J413" s="544">
        <f ca="1">IFERROR(__xludf.DUMMYFUNCTION("IMPORTRANGE(""https://docs.google.com/spreadsheets/d/1kC41EOXpGBFOW658Fs3oD8beYlym0-zO54WY-2Qnp9I/edit?usp=share_link"",""กระบี่!J413"")
+IMPORTRANGE(""https://docs.google.com/spreadsheets/d/1FbzMZY_f3MDiEuK7RpCQKrilJ_kpX0Wm7QBZ1L7EjIU/edit?usp=share_link"&amp;""",""ชุมพร!J413"")+IMPORTRANGE(""https://docs.google.com/spreadsheets/d/1v5sN-00LrXuhBxw4dkh2GrG_z4l5oAqOdJRBCsUyMaM/edit?usp=share_link"",""ตรัง!J413"")+IMPORTRANGE(""https://docs.google.com/spreadsheets/d/1T5rRTzFc79aSIvqnzkZNvwPstq829QYz_xALlO1Z0s8/edi"&amp;"t?usp=share_link"",""นครศรีธรรมราช!J413"")+IMPORTRANGE(""https://docs.google.com/spreadsheets/d/1BeghqumK0IvCmRd2QOy6_afsZq7ZtAGrSnVJy2u7WmY/edit?usp=share_link"",""นราธิวาส!J413"")+IMPORTRANGE(""https://docs.google.com/spreadsheets/d/1IwnW3-jjRf74MCLW-6P"&amp;"iFwMUffRQXZwZA7YM609NmRc/edit?usp=share_link"",""ปัตตานี!J413"")+IMPORTRANGE(""https://docs.google.com/spreadsheets/d/1vl4QWbWdFruual5o_wdo6ZSqXZ_it806oja4CctTLKs/edit?usp=share_link"",""พังงา!J413"")+IMPORTRANGE(""https://docs.google.com/spreadsheets/d/1"&amp;"b6QssHQp2FoAPSMKHOy273KNzAomaIKhtdlvuZ_zDNE/edit?usp=share_link"",""พัทลุง!J413"")+IMPORTRANGE(""https://docs.google.com/spreadsheets/d/1o7UZe4_OqlqtLDHrj01Z2YFRSZDf1DMy1n3XViHaxRc/edit?usp=share_link"",""ภูเก็ต!J413"")+IMPORTRANGE(""https://docs.google.c"&amp;"om/spreadsheets/d/1ctPm1vUzcUCPuOj9-eoHUD85PqINFqUB0TjdSWmR5-c/edit?usp=share_link"",""ยะลา!J413"")+IMPORTRANGE(""https://docs.google.com/spreadsheets/d/1YiDIE7Klmt8osgdapRqYWNr7iPGFSsiJqq46S7PYRE0/edit?usp=share_link"",""ระนอง!J413"")+IMPORTRANGE(""https"&amp;"://docs.google.com/spreadsheets/d/16o_4B-V7AWw_6E93bSpXj_XxVv1oVQctk-B6z1dNEWU/edit?usp=share_link"",""สงขลา!J413"")+IMPORTRANGE(""https://docs.google.com/spreadsheets/d/16cywr71Fj4fA5OGRHsZh30ZG2gwJhMAQv69oVBzYHv0/edit?usp=share_link"",""สตูล!J413"")+IMP"&amp;"ORTRANGE(""https://docs.google.com/spreadsheets/d/1vO9Sws6kMtrVtyvrAJptINXjK8TFBoX9xLYOVK_C8bQ/edit?usp=share_link"",""สุราษฎร์ธานี!J413"")"),0)</f>
        <v>0</v>
      </c>
      <c r="K413" s="545">
        <f t="shared" ca="1" si="209"/>
        <v>0</v>
      </c>
      <c r="L413" s="546"/>
      <c r="M413" s="546"/>
      <c r="N413" s="546"/>
      <c r="O413" s="546"/>
      <c r="P413" s="546"/>
    </row>
    <row r="414" spans="1:26" ht="20.25" customHeight="1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210">L419+L444+L467+L502+L523+L544+L629+L655+L685+L737+L754+L770+L786+L805</f>
        <v>16089310</v>
      </c>
      <c r="M414" s="553">
        <f t="shared" ca="1" si="210"/>
        <v>16083700</v>
      </c>
      <c r="N414" s="553">
        <f t="shared" ca="1" si="210"/>
        <v>6911507.6900000004</v>
      </c>
      <c r="O414" s="553">
        <f ca="1">IF(L414&gt;0,N414*100/L414,0)</f>
        <v>42.957141667355529</v>
      </c>
      <c r="P414" s="553">
        <f ca="1">IF(M414&gt;0,N414*100/M414,0)</f>
        <v>42.972125132898526</v>
      </c>
    </row>
    <row r="415" spans="1:26" ht="20.25" customHeight="1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20.25" customHeight="1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20.25" customHeight="1">
      <c r="A417" s="563">
        <v>1</v>
      </c>
      <c r="B417" s="564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7" ca="1" si="211">I433</f>
        <v>250</v>
      </c>
      <c r="J417" s="569">
        <f t="shared" ca="1" si="211"/>
        <v>250</v>
      </c>
      <c r="K417" s="570">
        <f t="shared" ref="K417:K418" ca="1" si="212">IF(I417&gt;0,J417*100/I417,0)</f>
        <v>100</v>
      </c>
      <c r="L417" s="571"/>
      <c r="M417" s="571"/>
      <c r="N417" s="571"/>
      <c r="O417" s="571"/>
      <c r="P417" s="571"/>
    </row>
    <row r="418" spans="1:26" ht="20.25" customHeight="1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ref="I418:J418" ca="1" si="213">I434</f>
        <v>15</v>
      </c>
      <c r="J418" s="569">
        <f t="shared" ca="1" si="213"/>
        <v>14</v>
      </c>
      <c r="K418" s="570">
        <f t="shared" ca="1" si="212"/>
        <v>93.333333333333329</v>
      </c>
      <c r="L418" s="571"/>
      <c r="M418" s="571"/>
      <c r="N418" s="571"/>
      <c r="O418" s="571"/>
      <c r="P418" s="571"/>
    </row>
    <row r="419" spans="1:26" ht="20.25" customHeight="1">
      <c r="A419" s="147"/>
      <c r="B419" s="148"/>
      <c r="C419" s="148" t="s">
        <v>16</v>
      </c>
      <c r="D419" s="845" t="s">
        <v>17</v>
      </c>
      <c r="E419" s="846"/>
      <c r="F419" s="846"/>
      <c r="G419" s="151"/>
      <c r="H419" s="275" t="s">
        <v>12</v>
      </c>
      <c r="I419" s="153"/>
      <c r="J419" s="153"/>
      <c r="K419" s="154"/>
      <c r="L419" s="155">
        <f t="shared" ref="L419:N419" ca="1" si="214">L420+L421</f>
        <v>1097120</v>
      </c>
      <c r="M419" s="155">
        <f t="shared" ca="1" si="214"/>
        <v>1091510</v>
      </c>
      <c r="N419" s="155">
        <f t="shared" ca="1" si="214"/>
        <v>800936.77</v>
      </c>
      <c r="O419" s="155">
        <f t="shared" ref="O419:O424" ca="1" si="215">IF(L419&gt;0,N419*100/L419,0)</f>
        <v>73.00357025667202</v>
      </c>
      <c r="P419" s="155">
        <f t="shared" ref="P419:P424" ca="1" si="216">IF(M419&gt;0,N419*100/M419,0)</f>
        <v>73.378784436239698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20.25" hidden="1" customHeight="1">
      <c r="A420" s="156"/>
      <c r="B420" s="40"/>
      <c r="C420" s="40"/>
      <c r="D420" s="36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7">L423+L430</f>
        <v>0</v>
      </c>
      <c r="M420" s="45">
        <f t="shared" si="217"/>
        <v>0</v>
      </c>
      <c r="N420" s="45">
        <f t="shared" si="217"/>
        <v>0</v>
      </c>
      <c r="O420" s="45">
        <f t="shared" si="215"/>
        <v>0</v>
      </c>
      <c r="P420" s="45">
        <f t="shared" si="21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20.25" hidden="1" customHeight="1">
      <c r="A421" s="156"/>
      <c r="B421" s="40"/>
      <c r="C421" s="40"/>
      <c r="D421" s="36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8">L424+L431</f>
        <v>1097120</v>
      </c>
      <c r="M421" s="45">
        <f t="shared" ca="1" si="218"/>
        <v>1091510</v>
      </c>
      <c r="N421" s="45">
        <f t="shared" ca="1" si="218"/>
        <v>800936.77</v>
      </c>
      <c r="O421" s="45">
        <f t="shared" ca="1" si="215"/>
        <v>73.00357025667202</v>
      </c>
      <c r="P421" s="45">
        <f t="shared" ca="1" si="216"/>
        <v>73.378784436239698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20.25" customHeight="1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19">L423+L424</f>
        <v>1097120</v>
      </c>
      <c r="M422" s="38">
        <f t="shared" ca="1" si="219"/>
        <v>1091510</v>
      </c>
      <c r="N422" s="38">
        <f t="shared" ca="1" si="219"/>
        <v>800936.77</v>
      </c>
      <c r="O422" s="38">
        <f t="shared" ca="1" si="215"/>
        <v>73.00357025667202</v>
      </c>
      <c r="P422" s="38">
        <f t="shared" ca="1" si="216"/>
        <v>73.378784436239698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20.25" hidden="1" customHeight="1">
      <c r="A423" s="156"/>
      <c r="B423" s="40"/>
      <c r="C423" s="40"/>
      <c r="D423" s="36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5"/>
        <v>0</v>
      </c>
      <c r="P423" s="45">
        <f t="shared" si="21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20.25" hidden="1" customHeight="1">
      <c r="A424" s="156"/>
      <c r="B424" s="40"/>
      <c r="C424" s="40"/>
      <c r="D424" s="36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IFERROR(__xludf.DUMMYFUNCTION("IMPORTRANGE(""https://docs.google.com/spreadsheets/d/1kC41EOXpGBFOW658Fs3oD8beYlym0-zO54WY-2Qnp9I/edit?usp=share_link"",""กระบี่!L424"")
+IMPORTRANGE(""https://docs.google.com/spreadsheets/d/1FbzMZY_f3MDiEuK7RpCQKrilJ_kpX0Wm7QBZ1L7EjIU/edit?usp=share_link"&amp;""",""ชุมพร!L424"")+IMPORTRANGE(""https://docs.google.com/spreadsheets/d/1v5sN-00LrXuhBxw4dkh2GrG_z4l5oAqOdJRBCsUyMaM/edit?usp=share_link"",""ตรัง!L424"")+IMPORTRANGE(""https://docs.google.com/spreadsheets/d/1T5rRTzFc79aSIvqnzkZNvwPstq829QYz_xALlO1Z0s8/edi"&amp;"t?usp=share_link"",""นครศรีธรรมราช!L424"")+IMPORTRANGE(""https://docs.google.com/spreadsheets/d/1BeghqumK0IvCmRd2QOy6_afsZq7ZtAGrSnVJy2u7WmY/edit?usp=share_link"",""นราธิวาส!L424"")+IMPORTRANGE(""https://docs.google.com/spreadsheets/d/1IwnW3-jjRf74MCLW-6P"&amp;"iFwMUffRQXZwZA7YM609NmRc/edit?usp=share_link"",""ปัตตานี!L424"")+IMPORTRANGE(""https://docs.google.com/spreadsheets/d/1vl4QWbWdFruual5o_wdo6ZSqXZ_it806oja4CctTLKs/edit?usp=share_link"",""พังงา!L424"")+IMPORTRANGE(""https://docs.google.com/spreadsheets/d/1"&amp;"b6QssHQp2FoAPSMKHOy273KNzAomaIKhtdlvuZ_zDNE/edit?usp=share_link"",""พัทลุง!L424"")+IMPORTRANGE(""https://docs.google.com/spreadsheets/d/1o7UZe4_OqlqtLDHrj01Z2YFRSZDf1DMy1n3XViHaxRc/edit?usp=share_link"",""ภูเก็ต!L424"")+IMPORTRANGE(""https://docs.google.c"&amp;"om/spreadsheets/d/1ctPm1vUzcUCPuOj9-eoHUD85PqINFqUB0TjdSWmR5-c/edit?usp=share_link"",""ยะลา!L424"")+IMPORTRANGE(""https://docs.google.com/spreadsheets/d/1YiDIE7Klmt8osgdapRqYWNr7iPGFSsiJqq46S7PYRE0/edit?usp=share_link"",""ระนอง!L424"")+IMPORTRANGE(""https"&amp;"://docs.google.com/spreadsheets/d/16o_4B-V7AWw_6E93bSpXj_XxVv1oVQctk-B6z1dNEWU/edit?usp=share_link"",""สงขลา!L424"")+IMPORTRANGE(""https://docs.google.com/spreadsheets/d/16cywr71Fj4fA5OGRHsZh30ZG2gwJhMAQv69oVBzYHv0/edit?usp=share_link"",""สตูล!L424"")+IMP"&amp;"ORTRANGE(""https://docs.google.com/spreadsheets/d/1vO9Sws6kMtrVtyvrAJptINXjK8TFBoX9xLYOVK_C8bQ/edit?usp=share_link"",""สุราษฎร์ธานี!L424"")"),1097120)</f>
        <v>1097120</v>
      </c>
      <c r="M424" s="93">
        <f ca="1">IFERROR(__xludf.DUMMYFUNCTION("IMPORTRANGE(""https://docs.google.com/spreadsheets/d/1kC41EOXpGBFOW658Fs3oD8beYlym0-zO54WY-2Qnp9I/edit?usp=share_link"",""กระบี่!M424"")
+IMPORTRANGE(""https://docs.google.com/spreadsheets/d/1FbzMZY_f3MDiEuK7RpCQKrilJ_kpX0Wm7QBZ1L7EjIU/edit?usp=share_link"&amp;""",""ชุมพร!M424"")+IMPORTRANGE(""https://docs.google.com/spreadsheets/d/1v5sN-00LrXuhBxw4dkh2GrG_z4l5oAqOdJRBCsUyMaM/edit?usp=share_link"",""ตรัง!M424"")+IMPORTRANGE(""https://docs.google.com/spreadsheets/d/1T5rRTzFc79aSIvqnzkZNvwPstq829QYz_xALlO1Z0s8/edi"&amp;"t?usp=share_link"",""นครศรีธรรมราช!M424"")+IMPORTRANGE(""https://docs.google.com/spreadsheets/d/1BeghqumK0IvCmRd2QOy6_afsZq7ZtAGrSnVJy2u7WmY/edit?usp=share_link"",""นราธิวาส!M424"")+IMPORTRANGE(""https://docs.google.com/spreadsheets/d/1IwnW3-jjRf74MCLW-6P"&amp;"iFwMUffRQXZwZA7YM609NmRc/edit?usp=share_link"",""ปัตตานี!M424"")+IMPORTRANGE(""https://docs.google.com/spreadsheets/d/1vl4QWbWdFruual5o_wdo6ZSqXZ_it806oja4CctTLKs/edit?usp=share_link"",""พังงา!M424"")+IMPORTRANGE(""https://docs.google.com/spreadsheets/d/1"&amp;"b6QssHQp2FoAPSMKHOy273KNzAomaIKhtdlvuZ_zDNE/edit?usp=share_link"",""พัทลุง!M424"")+IMPORTRANGE(""https://docs.google.com/spreadsheets/d/1o7UZe4_OqlqtLDHrj01Z2YFRSZDf1DMy1n3XViHaxRc/edit?usp=share_link"",""ภูเก็ต!M424"")+IMPORTRANGE(""https://docs.google.c"&amp;"om/spreadsheets/d/1ctPm1vUzcUCPuOj9-eoHUD85PqINFqUB0TjdSWmR5-c/edit?usp=share_link"",""ยะลา!M424"")+IMPORTRANGE(""https://docs.google.com/spreadsheets/d/1YiDIE7Klmt8osgdapRqYWNr7iPGFSsiJqq46S7PYRE0/edit?usp=share_link"",""ระนอง!M424"")+IMPORTRANGE(""https"&amp;"://docs.google.com/spreadsheets/d/16o_4B-V7AWw_6E93bSpXj_XxVv1oVQctk-B6z1dNEWU/edit?usp=share_link"",""สงขลา!M424"")+IMPORTRANGE(""https://docs.google.com/spreadsheets/d/16cywr71Fj4fA5OGRHsZh30ZG2gwJhMAQv69oVBzYHv0/edit?usp=share_link"",""สตูล!M424"")+IMP"&amp;"ORTRANGE(""https://docs.google.com/spreadsheets/d/1vO9Sws6kMtrVtyvrAJptINXjK8TFBoX9xLYOVK_C8bQ/edit?usp=share_link"",""สุราษฎร์ธานี!M424"")"),1091510)</f>
        <v>1091510</v>
      </c>
      <c r="N424" s="45">
        <f ca="1">N425+N426+N427+N428</f>
        <v>800936.77</v>
      </c>
      <c r="O424" s="45">
        <f t="shared" ca="1" si="215"/>
        <v>73.00357025667202</v>
      </c>
      <c r="P424" s="45">
        <f t="shared" ca="1" si="216"/>
        <v>73.378784436239698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20.25" customHeight="1">
      <c r="A425" s="573"/>
      <c r="B425" s="574"/>
      <c r="C425" s="575"/>
      <c r="D425" s="575"/>
      <c r="E425" s="575"/>
      <c r="F425" s="576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IFERROR(__xludf.DUMMYFUNCTION("IMPORTRANGE(""https://docs.google.com/spreadsheets/d/1kC41EOXpGBFOW658Fs3oD8beYlym0-zO54WY-2Qnp9I/edit?usp=share_link"",""กระบี่!N425"")
+IMPORTRANGE(""https://docs.google.com/spreadsheets/d/1FbzMZY_f3MDiEuK7RpCQKrilJ_kpX0Wm7QBZ1L7EjIU/edit?usp=share_link"&amp;""",""ชุมพร!N425"")+IMPORTRANGE(""https://docs.google.com/spreadsheets/d/1v5sN-00LrXuhBxw4dkh2GrG_z4l5oAqOdJRBCsUyMaM/edit?usp=share_link"",""ตรัง!N425"")+IMPORTRANGE(""https://docs.google.com/spreadsheets/d/1T5rRTzFc79aSIvqnzkZNvwPstq829QYz_xALlO1Z0s8/edi"&amp;"t?usp=share_link"",""นครศรีธรรมราช!N425"")+IMPORTRANGE(""https://docs.google.com/spreadsheets/d/1BeghqumK0IvCmRd2QOy6_afsZq7ZtAGrSnVJy2u7WmY/edit?usp=share_link"",""นราธิวาส!N425"")+IMPORTRANGE(""https://docs.google.com/spreadsheets/d/1IwnW3-jjRf74MCLW-6P"&amp;"iFwMUffRQXZwZA7YM609NmRc/edit?usp=share_link"",""ปัตตานี!N425"")+IMPORTRANGE(""https://docs.google.com/spreadsheets/d/1vl4QWbWdFruual5o_wdo6ZSqXZ_it806oja4CctTLKs/edit?usp=share_link"",""พังงา!N425"")+IMPORTRANGE(""https://docs.google.com/spreadsheets/d/1"&amp;"b6QssHQp2FoAPSMKHOy273KNzAomaIKhtdlvuZ_zDNE/edit?usp=share_link"",""พัทลุง!N425"")+IMPORTRANGE(""https://docs.google.com/spreadsheets/d/1o7UZe4_OqlqtLDHrj01Z2YFRSZDf1DMy1n3XViHaxRc/edit?usp=share_link"",""ภูเก็ต!N425"")+IMPORTRANGE(""https://docs.google.c"&amp;"om/spreadsheets/d/1ctPm1vUzcUCPuOj9-eoHUD85PqINFqUB0TjdSWmR5-c/edit?usp=share_link"",""ยะลา!N425"")+IMPORTRANGE(""https://docs.google.com/spreadsheets/d/1YiDIE7Klmt8osgdapRqYWNr7iPGFSsiJqq46S7PYRE0/edit?usp=share_link"",""ระนอง!N425"")+IMPORTRANGE(""https"&amp;"://docs.google.com/spreadsheets/d/16o_4B-V7AWw_6E93bSpXj_XxVv1oVQctk-B6z1dNEWU/edit?usp=share_link"",""สงขลา!N425"")+IMPORTRANGE(""https://docs.google.com/spreadsheets/d/16cywr71Fj4fA5OGRHsZh30ZG2gwJhMAQv69oVBzYHv0/edit?usp=share_link"",""สตูล!N425"")+IMP"&amp;"ORTRANGE(""https://docs.google.com/spreadsheets/d/1vO9Sws6kMtrVtyvrAJptINXjK8TFBoX9xLYOVK_C8bQ/edit?usp=share_link"",""สุราษฎร์ธานี!N425"")"),531875)</f>
        <v>531875</v>
      </c>
      <c r="O425" s="38"/>
      <c r="P425" s="3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20.25" customHeight="1">
      <c r="A426" s="573"/>
      <c r="B426" s="574"/>
      <c r="C426" s="575"/>
      <c r="D426" s="575"/>
      <c r="E426" s="575"/>
      <c r="F426" s="576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IFERROR(__xludf.DUMMYFUNCTION("IMPORTRANGE(""https://docs.google.com/spreadsheets/d/1kC41EOXpGBFOW658Fs3oD8beYlym0-zO54WY-2Qnp9I/edit?usp=share_link"",""กระบี่!N426"")
+IMPORTRANGE(""https://docs.google.com/spreadsheets/d/1FbzMZY_f3MDiEuK7RpCQKrilJ_kpX0Wm7QBZ1L7EjIU/edit?usp=share_link"&amp;""",""ชุมพร!N426"")+IMPORTRANGE(""https://docs.google.com/spreadsheets/d/1v5sN-00LrXuhBxw4dkh2GrG_z4l5oAqOdJRBCsUyMaM/edit?usp=share_link"",""ตรัง!N426"")+IMPORTRANGE(""https://docs.google.com/spreadsheets/d/1T5rRTzFc79aSIvqnzkZNvwPstq829QYz_xALlO1Z0s8/edi"&amp;"t?usp=share_link"",""นครศรีธรรมราช!N426"")+IMPORTRANGE(""https://docs.google.com/spreadsheets/d/1BeghqumK0IvCmRd2QOy6_afsZq7ZtAGrSnVJy2u7WmY/edit?usp=share_link"",""นราธิวาส!N426"")+IMPORTRANGE(""https://docs.google.com/spreadsheets/d/1IwnW3-jjRf74MCLW-6P"&amp;"iFwMUffRQXZwZA7YM609NmRc/edit?usp=share_link"",""ปัตตานี!N426"")+IMPORTRANGE(""https://docs.google.com/spreadsheets/d/1vl4QWbWdFruual5o_wdo6ZSqXZ_it806oja4CctTLKs/edit?usp=share_link"",""พังงา!N426"")+IMPORTRANGE(""https://docs.google.com/spreadsheets/d/1"&amp;"b6QssHQp2FoAPSMKHOy273KNzAomaIKhtdlvuZ_zDNE/edit?usp=share_link"",""พัทลุง!N426"")+IMPORTRANGE(""https://docs.google.com/spreadsheets/d/1o7UZe4_OqlqtLDHrj01Z2YFRSZDf1DMy1n3XViHaxRc/edit?usp=share_link"",""ภูเก็ต!N426"")+IMPORTRANGE(""https://docs.google.c"&amp;"om/spreadsheets/d/1ctPm1vUzcUCPuOj9-eoHUD85PqINFqUB0TjdSWmR5-c/edit?usp=share_link"",""ยะลา!N426"")+IMPORTRANGE(""https://docs.google.com/spreadsheets/d/1YiDIE7Klmt8osgdapRqYWNr7iPGFSsiJqq46S7PYRE0/edit?usp=share_link"",""ระนอง!N426"")+IMPORTRANGE(""https"&amp;"://docs.google.com/spreadsheets/d/16o_4B-V7AWw_6E93bSpXj_XxVv1oVQctk-B6z1dNEWU/edit?usp=share_link"",""สงขลา!N426"")+IMPORTRANGE(""https://docs.google.com/spreadsheets/d/16cywr71Fj4fA5OGRHsZh30ZG2gwJhMAQv69oVBzYHv0/edit?usp=share_link"",""สตูล!N426"")+IMP"&amp;"ORTRANGE(""https://docs.google.com/spreadsheets/d/1vO9Sws6kMtrVtyvrAJptINXjK8TFBoX9xLYOVK_C8bQ/edit?usp=share_link"",""สุราษฎร์ธานี!N426"")"),0)</f>
        <v>0</v>
      </c>
      <c r="O426" s="38"/>
      <c r="P426" s="3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20.25" customHeight="1">
      <c r="A427" s="573"/>
      <c r="B427" s="574"/>
      <c r="C427" s="575"/>
      <c r="D427" s="575"/>
      <c r="E427" s="575"/>
      <c r="F427" s="576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IFERROR(__xludf.DUMMYFUNCTION("IMPORTRANGE(""https://docs.google.com/spreadsheets/d/1kC41EOXpGBFOW658Fs3oD8beYlym0-zO54WY-2Qnp9I/edit?usp=share_link"",""กระบี่!N427"")
+IMPORTRANGE(""https://docs.google.com/spreadsheets/d/1FbzMZY_f3MDiEuK7RpCQKrilJ_kpX0Wm7QBZ1L7EjIU/edit?usp=share_link"&amp;""",""ชุมพร!N427"")+IMPORTRANGE(""https://docs.google.com/spreadsheets/d/1v5sN-00LrXuhBxw4dkh2GrG_z4l5oAqOdJRBCsUyMaM/edit?usp=share_link"",""ตรัง!N427"")+IMPORTRANGE(""https://docs.google.com/spreadsheets/d/1T5rRTzFc79aSIvqnzkZNvwPstq829QYz_xALlO1Z0s8/edi"&amp;"t?usp=share_link"",""นครศรีธรรมราช!N427"")+IMPORTRANGE(""https://docs.google.com/spreadsheets/d/1BeghqumK0IvCmRd2QOy6_afsZq7ZtAGrSnVJy2u7WmY/edit?usp=share_link"",""นราธิวาส!N427"")+IMPORTRANGE(""https://docs.google.com/spreadsheets/d/1IwnW3-jjRf74MCLW-6P"&amp;"iFwMUffRQXZwZA7YM609NmRc/edit?usp=share_link"",""ปัตตานี!N427"")+IMPORTRANGE(""https://docs.google.com/spreadsheets/d/1vl4QWbWdFruual5o_wdo6ZSqXZ_it806oja4CctTLKs/edit?usp=share_link"",""พังงา!N427"")+IMPORTRANGE(""https://docs.google.com/spreadsheets/d/1"&amp;"b6QssHQp2FoAPSMKHOy273KNzAomaIKhtdlvuZ_zDNE/edit?usp=share_link"",""พัทลุง!N427"")+IMPORTRANGE(""https://docs.google.com/spreadsheets/d/1o7UZe4_OqlqtLDHrj01Z2YFRSZDf1DMy1n3XViHaxRc/edit?usp=share_link"",""ภูเก็ต!N427"")+IMPORTRANGE(""https://docs.google.c"&amp;"om/spreadsheets/d/1ctPm1vUzcUCPuOj9-eoHUD85PqINFqUB0TjdSWmR5-c/edit?usp=share_link"",""ยะลา!N427"")+IMPORTRANGE(""https://docs.google.com/spreadsheets/d/1YiDIE7Klmt8osgdapRqYWNr7iPGFSsiJqq46S7PYRE0/edit?usp=share_link"",""ระนอง!N427"")+IMPORTRANGE(""https"&amp;"://docs.google.com/spreadsheets/d/16o_4B-V7AWw_6E93bSpXj_XxVv1oVQctk-B6z1dNEWU/edit?usp=share_link"",""สงขลา!N427"")+IMPORTRANGE(""https://docs.google.com/spreadsheets/d/16cywr71Fj4fA5OGRHsZh30ZG2gwJhMAQv69oVBzYHv0/edit?usp=share_link"",""สตูล!N427"")+IMP"&amp;"ORTRANGE(""https://docs.google.com/spreadsheets/d/1vO9Sws6kMtrVtyvrAJptINXjK8TFBoX9xLYOVK_C8bQ/edit?usp=share_link"",""สุราษฎร์ธานี!N427"")"),0)</f>
        <v>0</v>
      </c>
      <c r="O427" s="38"/>
      <c r="P427" s="3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20.25" customHeight="1">
      <c r="A428" s="284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IFERROR(__xludf.DUMMYFUNCTION("IMPORTRANGE(""https://docs.google.com/spreadsheets/d/1kC41EOXpGBFOW658Fs3oD8beYlym0-zO54WY-2Qnp9I/edit?usp=share_link"",""กระบี่!N428"")
+IMPORTRANGE(""https://docs.google.com/spreadsheets/d/1FbzMZY_f3MDiEuK7RpCQKrilJ_kpX0Wm7QBZ1L7EjIU/edit?usp=share_link"&amp;""",""ชุมพร!N428"")+IMPORTRANGE(""https://docs.google.com/spreadsheets/d/1v5sN-00LrXuhBxw4dkh2GrG_z4l5oAqOdJRBCsUyMaM/edit?usp=share_link"",""ตรัง!N428"")+IMPORTRANGE(""https://docs.google.com/spreadsheets/d/1T5rRTzFc79aSIvqnzkZNvwPstq829QYz_xALlO1Z0s8/edi"&amp;"t?usp=share_link"",""นครศรีธรรมราช!N428"")+IMPORTRANGE(""https://docs.google.com/spreadsheets/d/1BeghqumK0IvCmRd2QOy6_afsZq7ZtAGrSnVJy2u7WmY/edit?usp=share_link"",""นราธิวาส!N428"")+IMPORTRANGE(""https://docs.google.com/spreadsheets/d/1IwnW3-jjRf74MCLW-6P"&amp;"iFwMUffRQXZwZA7YM609NmRc/edit?usp=share_link"",""ปัตตานี!N428"")+IMPORTRANGE(""https://docs.google.com/spreadsheets/d/1vl4QWbWdFruual5o_wdo6ZSqXZ_it806oja4CctTLKs/edit?usp=share_link"",""พังงา!N428"")+IMPORTRANGE(""https://docs.google.com/spreadsheets/d/1"&amp;"b6QssHQp2FoAPSMKHOy273KNzAomaIKhtdlvuZ_zDNE/edit?usp=share_link"",""พัทลุง!N428"")+IMPORTRANGE(""https://docs.google.com/spreadsheets/d/1o7UZe4_OqlqtLDHrj01Z2YFRSZDf1DMy1n3XViHaxRc/edit?usp=share_link"",""ภูเก็ต!N428"")+IMPORTRANGE(""https://docs.google.c"&amp;"om/spreadsheets/d/1ctPm1vUzcUCPuOj9-eoHUD85PqINFqUB0TjdSWmR5-c/edit?usp=share_link"",""ยะลา!N428"")+IMPORTRANGE(""https://docs.google.com/spreadsheets/d/1YiDIE7Klmt8osgdapRqYWNr7iPGFSsiJqq46S7PYRE0/edit?usp=share_link"",""ระนอง!N428"")+IMPORTRANGE(""https"&amp;"://docs.google.com/spreadsheets/d/16o_4B-V7AWw_6E93bSpXj_XxVv1oVQctk-B6z1dNEWU/edit?usp=share_link"",""สงขลา!N428"")+IMPORTRANGE(""https://docs.google.com/spreadsheets/d/16cywr71Fj4fA5OGRHsZh30ZG2gwJhMAQv69oVBzYHv0/edit?usp=share_link"",""สตูล!N428"")+IMP"&amp;"ORTRANGE(""https://docs.google.com/spreadsheets/d/1vO9Sws6kMtrVtyvrAJptINXjK8TFBoX9xLYOVK_C8bQ/edit?usp=share_link"",""สุราษฎร์ธานี!N428"")"),269061.77)</f>
        <v>269061.77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20.25" customHeight="1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0">L430+L431</f>
        <v>0</v>
      </c>
      <c r="M429" s="38">
        <f t="shared" si="220"/>
        <v>0</v>
      </c>
      <c r="N429" s="38">
        <f t="shared" si="220"/>
        <v>0</v>
      </c>
      <c r="O429" s="38">
        <f t="shared" ref="O429:O431" ca="1" si="221">IF(L429&gt;0,N429*100/L429,0)</f>
        <v>0</v>
      </c>
      <c r="P429" s="38">
        <f t="shared" ref="P429:P431" si="22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20.25" hidden="1" customHeight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1"/>
        <v>0</v>
      </c>
      <c r="P430" s="45">
        <f t="shared" si="22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20.25" hidden="1" customHeight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IFERROR(__xludf.DUMMYFUNCTION("IMPORTRANGE(""https://docs.google.com/spreadsheets/d/1kC41EOXpGBFOW658Fs3oD8beYlym0-zO54WY-2Qnp9I/edit?usp=share_link"",""กระบี่!L431"")
+IMPORTRANGE(""https://docs.google.com/spreadsheets/d/1FbzMZY_f3MDiEuK7RpCQKrilJ_kpX0Wm7QBZ1L7EjIU/edit?usp=share_link"&amp;""",""ชุมพร!L431"")+IMPORTRANGE(""https://docs.google.com/spreadsheets/d/1v5sN-00LrXuhBxw4dkh2GrG_z4l5oAqOdJRBCsUyMaM/edit?usp=share_link"",""ตรัง!L431"")+IMPORTRANGE(""https://docs.google.com/spreadsheets/d/1T5rRTzFc79aSIvqnzkZNvwPstq829QYz_xALlO1Z0s8/edi"&amp;"t?usp=share_link"",""นครศรีธรรมราช!L431"")+IMPORTRANGE(""https://docs.google.com/spreadsheets/d/1BeghqumK0IvCmRd2QOy6_afsZq7ZtAGrSnVJy2u7WmY/edit?usp=share_link"",""นราธิวาส!L431"")+IMPORTRANGE(""https://docs.google.com/spreadsheets/d/1IwnW3-jjRf74MCLW-6P"&amp;"iFwMUffRQXZwZA7YM609NmRc/edit?usp=share_link"",""ปัตตานี!L431"")+IMPORTRANGE(""https://docs.google.com/spreadsheets/d/1vl4QWbWdFruual5o_wdo6ZSqXZ_it806oja4CctTLKs/edit?usp=share_link"",""พังงา!L431"")+IMPORTRANGE(""https://docs.google.com/spreadsheets/d/1"&amp;"b6QssHQp2FoAPSMKHOy273KNzAomaIKhtdlvuZ_zDNE/edit?usp=share_link"",""พัทลุง!L431"")+IMPORTRANGE(""https://docs.google.com/spreadsheets/d/1o7UZe4_OqlqtLDHrj01Z2YFRSZDf1DMy1n3XViHaxRc/edit?usp=share_link"",""ภูเก็ต!L431"")+IMPORTRANGE(""https://docs.google.c"&amp;"om/spreadsheets/d/1ctPm1vUzcUCPuOj9-eoHUD85PqINFqUB0TjdSWmR5-c/edit?usp=share_link"",""ยะลา!L431"")+IMPORTRANGE(""https://docs.google.com/spreadsheets/d/1YiDIE7Klmt8osgdapRqYWNr7iPGFSsiJqq46S7PYRE0/edit?usp=share_link"",""ระนอง!L431"")+IMPORTRANGE(""https"&amp;"://docs.google.com/spreadsheets/d/16o_4B-V7AWw_6E93bSpXj_XxVv1oVQctk-B6z1dNEWU/edit?usp=share_link"",""สงขลา!L431"")+IMPORTRANGE(""https://docs.google.com/spreadsheets/d/16cywr71Fj4fA5OGRHsZh30ZG2gwJhMAQv69oVBzYHv0/edit?usp=share_link"",""สตูล!L431"")+IMP"&amp;"ORTRANGE(""https://docs.google.com/spreadsheets/d/1vO9Sws6kMtrVtyvrAJptINXjK8TFBoX9xLYOVK_C8bQ/edit?usp=share_link"",""สุราษฎร์ธานี!L431"")"),0)</f>
        <v>0</v>
      </c>
      <c r="M431" s="93">
        <v>0</v>
      </c>
      <c r="N431" s="93">
        <v>0</v>
      </c>
      <c r="O431" s="45">
        <f t="shared" ca="1" si="221"/>
        <v>0</v>
      </c>
      <c r="P431" s="45">
        <f t="shared" si="22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20.25" customHeight="1">
      <c r="A432" s="415"/>
      <c r="B432" s="416"/>
      <c r="C432" s="148" t="s">
        <v>16</v>
      </c>
      <c r="D432" s="578" t="s">
        <v>38</v>
      </c>
      <c r="E432" s="579"/>
      <c r="F432" s="579"/>
      <c r="G432" s="580"/>
      <c r="H432" s="581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20.25" customHeight="1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250</v>
      </c>
      <c r="J433" s="194">
        <f ca="1">IFERROR(__xludf.DUMMYFUNCTION("IMPORTRANGE(""https://docs.google.com/spreadsheets/d/1kC41EOXpGBFOW658Fs3oD8beYlym0-zO54WY-2Qnp9I/edit?usp=share_link"",""กระบี่!J433"")
+IMPORTRANGE(""https://docs.google.com/spreadsheets/d/1FbzMZY_f3MDiEuK7RpCQKrilJ_kpX0Wm7QBZ1L7EjIU/edit?usp=share_link"&amp;""",""ชุมพร!J433"")+IMPORTRANGE(""https://docs.google.com/spreadsheets/d/1v5sN-00LrXuhBxw4dkh2GrG_z4l5oAqOdJRBCsUyMaM/edit?usp=share_link"",""ตรัง!J433"")+IMPORTRANGE(""https://docs.google.com/spreadsheets/d/1T5rRTzFc79aSIvqnzkZNvwPstq829QYz_xALlO1Z0s8/edi"&amp;"t?usp=share_link"",""นครศรีธรรมราช!J433"")+IMPORTRANGE(""https://docs.google.com/spreadsheets/d/1BeghqumK0IvCmRd2QOy6_afsZq7ZtAGrSnVJy2u7WmY/edit?usp=share_link"",""นราธิวาส!J433"")+IMPORTRANGE(""https://docs.google.com/spreadsheets/d/1IwnW3-jjRf74MCLW-6P"&amp;"iFwMUffRQXZwZA7YM609NmRc/edit?usp=share_link"",""ปัตตานี!J433"")+IMPORTRANGE(""https://docs.google.com/spreadsheets/d/1vl4QWbWdFruual5o_wdo6ZSqXZ_it806oja4CctTLKs/edit?usp=share_link"",""พังงา!J433"")+IMPORTRANGE(""https://docs.google.com/spreadsheets/d/1"&amp;"b6QssHQp2FoAPSMKHOy273KNzAomaIKhtdlvuZ_zDNE/edit?usp=share_link"",""พัทลุง!J433"")+IMPORTRANGE(""https://docs.google.com/spreadsheets/d/1o7UZe4_OqlqtLDHrj01Z2YFRSZDf1DMy1n3XViHaxRc/edit?usp=share_link"",""ภูเก็ต!J433"")+IMPORTRANGE(""https://docs.google.c"&amp;"om/spreadsheets/d/1ctPm1vUzcUCPuOj9-eoHUD85PqINFqUB0TjdSWmR5-c/edit?usp=share_link"",""ยะลา!J433"")+IMPORTRANGE(""https://docs.google.com/spreadsheets/d/1YiDIE7Klmt8osgdapRqYWNr7iPGFSsiJqq46S7PYRE0/edit?usp=share_link"",""ระนอง!J433"")+IMPORTRANGE(""https"&amp;"://docs.google.com/spreadsheets/d/16o_4B-V7AWw_6E93bSpXj_XxVv1oVQctk-B6z1dNEWU/edit?usp=share_link"",""สงขลา!J433"")+IMPORTRANGE(""https://docs.google.com/spreadsheets/d/16cywr71Fj4fA5OGRHsZh30ZG2gwJhMAQv69oVBzYHv0/edit?usp=share_link"",""สตูล!J433"")+IMP"&amp;"ORTRANGE(""https://docs.google.com/spreadsheets/d/1vO9Sws6kMtrVtyvrAJptINXjK8TFBoX9xLYOVK_C8bQ/edit?usp=share_link"",""สุราษฎร์ธานี!J433"")"),250)</f>
        <v>250</v>
      </c>
      <c r="K433" s="195">
        <f t="shared" ref="K433:K435" ca="1" si="223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20.25" customHeight="1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4">I438+I440</f>
        <v>15</v>
      </c>
      <c r="J434" s="194">
        <f t="shared" ca="1" si="224"/>
        <v>14</v>
      </c>
      <c r="K434" s="195">
        <f t="shared" ca="1" si="223"/>
        <v>93.333333333333329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20.25" customHeight="1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82">
        <f ca="1">IFERROR(__xludf.DUMMYFUNCTION("IMPORTRANGE(""https://docs.google.com/spreadsheets/d/1kC41EOXpGBFOW658Fs3oD8beYlym0-zO54WY-2Qnp9I/edit?usp=share_link"",""กระบี่!I435"")
+IMPORTRANGE(""https://docs.google.com/spreadsheets/d/1FbzMZY_f3MDiEuK7RpCQKrilJ_kpX0Wm7QBZ1L7EjIU/edit?usp=share_link"&amp;""",""ชุมพร!I435"")+IMPORTRANGE(""https://docs.google.com/spreadsheets/d/1v5sN-00LrXuhBxw4dkh2GrG_z4l5oAqOdJRBCsUyMaM/edit?usp=share_link"",""ตรัง!I435"")+IMPORTRANGE(""https://docs.google.com/spreadsheets/d/1T5rRTzFc79aSIvqnzkZNvwPstq829QYz_xALlO1Z0s8/edi"&amp;"t?usp=share_link"",""นครศรีธรรมราช!I435"")+IMPORTRANGE(""https://docs.google.com/spreadsheets/d/1BeghqumK0IvCmRd2QOy6_afsZq7ZtAGrSnVJy2u7WmY/edit?usp=share_link"",""นราธิวาส!I435"")+IMPORTRANGE(""https://docs.google.com/spreadsheets/d/1IwnW3-jjRf74MCLW-6P"&amp;"iFwMUffRQXZwZA7YM609NmRc/edit?usp=share_link"",""ปัตตานี!I435"")+IMPORTRANGE(""https://docs.google.com/spreadsheets/d/1vl4QWbWdFruual5o_wdo6ZSqXZ_it806oja4CctTLKs/edit?usp=share_link"",""พังงา!I435"")+IMPORTRANGE(""https://docs.google.com/spreadsheets/d/1"&amp;"b6QssHQp2FoAPSMKHOy273KNzAomaIKhtdlvuZ_zDNE/edit?usp=share_link"",""พัทลุง!I435"")+IMPORTRANGE(""https://docs.google.com/spreadsheets/d/1o7UZe4_OqlqtLDHrj01Z2YFRSZDf1DMy1n3XViHaxRc/edit?usp=share_link"",""ภูเก็ต!I435"")+IMPORTRANGE(""https://docs.google.c"&amp;"om/spreadsheets/d/1ctPm1vUzcUCPuOj9-eoHUD85PqINFqUB0TjdSWmR5-c/edit?usp=share_link"",""ยะลา!I435"")+IMPORTRANGE(""https://docs.google.com/spreadsheets/d/1YiDIE7Klmt8osgdapRqYWNr7iPGFSsiJqq46S7PYRE0/edit?usp=share_link"",""ระนอง!I435"")+IMPORTRANGE(""https"&amp;"://docs.google.com/spreadsheets/d/16o_4B-V7AWw_6E93bSpXj_XxVv1oVQctk-B6z1dNEWU/edit?usp=share_link"",""สงขลา!I435"")+IMPORTRANGE(""https://docs.google.com/spreadsheets/d/16cywr71Fj4fA5OGRHsZh30ZG2gwJhMAQv69oVBzYHv0/edit?usp=share_link"",""สตูล!I435"")+IMP"&amp;"ORTRANGE(""https://docs.google.com/spreadsheets/d/1vO9Sws6kMtrVtyvrAJptINXjK8TFBoX9xLYOVK_C8bQ/edit?usp=share_link"",""สุราษฎร์ธานี!I435"")"),250)</f>
        <v>250</v>
      </c>
      <c r="J435" s="583">
        <f ca="1">IFERROR(__xludf.DUMMYFUNCTION("IMPORTRANGE(""https://docs.google.com/spreadsheets/d/1kC41EOXpGBFOW658Fs3oD8beYlym0-zO54WY-2Qnp9I/edit?usp=share_link"",""กระบี่!J435"")
+IMPORTRANGE(""https://docs.google.com/spreadsheets/d/1FbzMZY_f3MDiEuK7RpCQKrilJ_kpX0Wm7QBZ1L7EjIU/edit?usp=share_link"&amp;""",""ชุมพร!J435"")+IMPORTRANGE(""https://docs.google.com/spreadsheets/d/1v5sN-00LrXuhBxw4dkh2GrG_z4l5oAqOdJRBCsUyMaM/edit?usp=share_link"",""ตรัง!J435"")+IMPORTRANGE(""https://docs.google.com/spreadsheets/d/1T5rRTzFc79aSIvqnzkZNvwPstq829QYz_xALlO1Z0s8/edi"&amp;"t?usp=share_link"",""นครศรีธรรมราช!J435"")+IMPORTRANGE(""https://docs.google.com/spreadsheets/d/1BeghqumK0IvCmRd2QOy6_afsZq7ZtAGrSnVJy2u7WmY/edit?usp=share_link"",""นราธิวาส!J435"")+IMPORTRANGE(""https://docs.google.com/spreadsheets/d/1IwnW3-jjRf74MCLW-6P"&amp;"iFwMUffRQXZwZA7YM609NmRc/edit?usp=share_link"",""ปัตตานี!J435"")+IMPORTRANGE(""https://docs.google.com/spreadsheets/d/1vl4QWbWdFruual5o_wdo6ZSqXZ_it806oja4CctTLKs/edit?usp=share_link"",""พังงา!J435"")+IMPORTRANGE(""https://docs.google.com/spreadsheets/d/1"&amp;"b6QssHQp2FoAPSMKHOy273KNzAomaIKhtdlvuZ_zDNE/edit?usp=share_link"",""พัทลุง!J435"")+IMPORTRANGE(""https://docs.google.com/spreadsheets/d/1o7UZe4_OqlqtLDHrj01Z2YFRSZDf1DMy1n3XViHaxRc/edit?usp=share_link"",""ภูเก็ต!J435"")+IMPORTRANGE(""https://docs.google.c"&amp;"om/spreadsheets/d/1ctPm1vUzcUCPuOj9-eoHUD85PqINFqUB0TjdSWmR5-c/edit?usp=share_link"",""ยะลา!J435"")+IMPORTRANGE(""https://docs.google.com/spreadsheets/d/1YiDIE7Klmt8osgdapRqYWNr7iPGFSsiJqq46S7PYRE0/edit?usp=share_link"",""ระนอง!J435"")+IMPORTRANGE(""https"&amp;"://docs.google.com/spreadsheets/d/16o_4B-V7AWw_6E93bSpXj_XxVv1oVQctk-B6z1dNEWU/edit?usp=share_link"",""สงขลา!J435"")+IMPORTRANGE(""https://docs.google.com/spreadsheets/d/16cywr71Fj4fA5OGRHsZh30ZG2gwJhMAQv69oVBzYHv0/edit?usp=share_link"",""สตูล!J435"")+IMP"&amp;"ORTRANGE(""https://docs.google.com/spreadsheets/d/1vO9Sws6kMtrVtyvrAJptINXjK8TFBoX9xLYOVK_C8bQ/edit?usp=share_link"",""สุราษฎร์ธานี!J435"")"),250)</f>
        <v>250</v>
      </c>
      <c r="K435" s="498">
        <f t="shared" ca="1" si="223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20.25" customHeight="1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20.25" customHeight="1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82">
        <f ca="1">IFERROR(__xludf.DUMMYFUNCTION("IMPORTRANGE(""https://docs.google.com/spreadsheets/d/1kC41EOXpGBFOW658Fs3oD8beYlym0-zO54WY-2Qnp9I/edit?usp=share_link"",""กระบี่!I437"")
+IMPORTRANGE(""https://docs.google.com/spreadsheets/d/1FbzMZY_f3MDiEuK7RpCQKrilJ_kpX0Wm7QBZ1L7EjIU/edit?usp=share_link"&amp;""",""ชุมพร!I437"")+IMPORTRANGE(""https://docs.google.com/spreadsheets/d/1v5sN-00LrXuhBxw4dkh2GrG_z4l5oAqOdJRBCsUyMaM/edit?usp=share_link"",""ตรัง!I437"")+IMPORTRANGE(""https://docs.google.com/spreadsheets/d/1T5rRTzFc79aSIvqnzkZNvwPstq829QYz_xALlO1Z0s8/edi"&amp;"t?usp=share_link"",""นครศรีธรรมราช!I437"")+IMPORTRANGE(""https://docs.google.com/spreadsheets/d/1BeghqumK0IvCmRd2QOy6_afsZq7ZtAGrSnVJy2u7WmY/edit?usp=share_link"",""นราธิวาส!I437"")+IMPORTRANGE(""https://docs.google.com/spreadsheets/d/1IwnW3-jjRf74MCLW-6P"&amp;"iFwMUffRQXZwZA7YM609NmRc/edit?usp=share_link"",""ปัตตานี!I437"")+IMPORTRANGE(""https://docs.google.com/spreadsheets/d/1vl4QWbWdFruual5o_wdo6ZSqXZ_it806oja4CctTLKs/edit?usp=share_link"",""พังงา!I437"")+IMPORTRANGE(""https://docs.google.com/spreadsheets/d/1"&amp;"b6QssHQp2FoAPSMKHOy273KNzAomaIKhtdlvuZ_zDNE/edit?usp=share_link"",""พัทลุง!I437"")+IMPORTRANGE(""https://docs.google.com/spreadsheets/d/1o7UZe4_OqlqtLDHrj01Z2YFRSZDf1DMy1n3XViHaxRc/edit?usp=share_link"",""ภูเก็ต!I437"")+IMPORTRANGE(""https://docs.google.c"&amp;"om/spreadsheets/d/1ctPm1vUzcUCPuOj9-eoHUD85PqINFqUB0TjdSWmR5-c/edit?usp=share_link"",""ยะลา!I437"")+IMPORTRANGE(""https://docs.google.com/spreadsheets/d/1YiDIE7Klmt8osgdapRqYWNr7iPGFSsiJqq46S7PYRE0/edit?usp=share_link"",""ระนอง!I437"")+IMPORTRANGE(""https"&amp;"://docs.google.com/spreadsheets/d/16o_4B-V7AWw_6E93bSpXj_XxVv1oVQctk-B6z1dNEWU/edit?usp=share_link"",""สงขลา!I437"")+IMPORTRANGE(""https://docs.google.com/spreadsheets/d/16cywr71Fj4fA5OGRHsZh30ZG2gwJhMAQv69oVBzYHv0/edit?usp=share_link"",""สตูล!I437"")+IMP"&amp;"ORTRANGE(""https://docs.google.com/spreadsheets/d/1vO9Sws6kMtrVtyvrAJptINXjK8TFBoX9xLYOVK_C8bQ/edit?usp=share_link"",""สุราษฎร์ธานี!I437"")"),30)</f>
        <v>30</v>
      </c>
      <c r="J437" s="583">
        <f ca="1">IFERROR(__xludf.DUMMYFUNCTION("IMPORTRANGE(""https://docs.google.com/spreadsheets/d/1kC41EOXpGBFOW658Fs3oD8beYlym0-zO54WY-2Qnp9I/edit?usp=share_link"",""กระบี่!J437"")
+IMPORTRANGE(""https://docs.google.com/spreadsheets/d/1FbzMZY_f3MDiEuK7RpCQKrilJ_kpX0Wm7QBZ1L7EjIU/edit?usp=share_link"&amp;""",""ชุมพร!J437"")+IMPORTRANGE(""https://docs.google.com/spreadsheets/d/1v5sN-00LrXuhBxw4dkh2GrG_z4l5oAqOdJRBCsUyMaM/edit?usp=share_link"",""ตรัง!J437"")+IMPORTRANGE(""https://docs.google.com/spreadsheets/d/1T5rRTzFc79aSIvqnzkZNvwPstq829QYz_xALlO1Z0s8/edi"&amp;"t?usp=share_link"",""นครศรีธรรมราช!J437"")+IMPORTRANGE(""https://docs.google.com/spreadsheets/d/1BeghqumK0IvCmRd2QOy6_afsZq7ZtAGrSnVJy2u7WmY/edit?usp=share_link"",""นราธิวาส!J437"")+IMPORTRANGE(""https://docs.google.com/spreadsheets/d/1IwnW3-jjRf74MCLW-6P"&amp;"iFwMUffRQXZwZA7YM609NmRc/edit?usp=share_link"",""ปัตตานี!J437"")+IMPORTRANGE(""https://docs.google.com/spreadsheets/d/1vl4QWbWdFruual5o_wdo6ZSqXZ_it806oja4CctTLKs/edit?usp=share_link"",""พังงา!J437"")+IMPORTRANGE(""https://docs.google.com/spreadsheets/d/1"&amp;"b6QssHQp2FoAPSMKHOy273KNzAomaIKhtdlvuZ_zDNE/edit?usp=share_link"",""พัทลุง!J437"")+IMPORTRANGE(""https://docs.google.com/spreadsheets/d/1o7UZe4_OqlqtLDHrj01Z2YFRSZDf1DMy1n3XViHaxRc/edit?usp=share_link"",""ภูเก็ต!J437"")+IMPORTRANGE(""https://docs.google.c"&amp;"om/spreadsheets/d/1ctPm1vUzcUCPuOj9-eoHUD85PqINFqUB0TjdSWmR5-c/edit?usp=share_link"",""ยะลา!J437"")+IMPORTRANGE(""https://docs.google.com/spreadsheets/d/1YiDIE7Klmt8osgdapRqYWNr7iPGFSsiJqq46S7PYRE0/edit?usp=share_link"",""ระนอง!J437"")+IMPORTRANGE(""https"&amp;"://docs.google.com/spreadsheets/d/16o_4B-V7AWw_6E93bSpXj_XxVv1oVQctk-B6z1dNEWU/edit?usp=share_link"",""สงขลา!J437"")+IMPORTRANGE(""https://docs.google.com/spreadsheets/d/16cywr71Fj4fA5OGRHsZh30ZG2gwJhMAQv69oVBzYHv0/edit?usp=share_link"",""สตูล!J437"")+IMP"&amp;"ORTRANGE(""https://docs.google.com/spreadsheets/d/1vO9Sws6kMtrVtyvrAJptINXjK8TFBoX9xLYOVK_C8bQ/edit?usp=share_link"",""สุราษฎร์ธานี!J437"")"),30)</f>
        <v>30</v>
      </c>
      <c r="K437" s="498">
        <f t="shared" ref="K437:K443" ca="1" si="225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20.25" customHeight="1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IFERROR(__xludf.DUMMYFUNCTION("IMPORTRANGE(""https://docs.google.com/spreadsheets/d/1kC41EOXpGBFOW658Fs3oD8beYlym0-zO54WY-2Qnp9I/edit?usp=share_link"",""กระบี่!I438"")
+IMPORTRANGE(""https://docs.google.com/spreadsheets/d/1FbzMZY_f3MDiEuK7RpCQKrilJ_kpX0Wm7QBZ1L7EjIU/edit?usp=share_link"&amp;""",""ชุมพร!I438"")+IMPORTRANGE(""https://docs.google.com/spreadsheets/d/1v5sN-00LrXuhBxw4dkh2GrG_z4l5oAqOdJRBCsUyMaM/edit?usp=share_link"",""ตรัง!I438"")+IMPORTRANGE(""https://docs.google.com/spreadsheets/d/1T5rRTzFc79aSIvqnzkZNvwPstq829QYz_xALlO1Z0s8/edi"&amp;"t?usp=share_link"",""นครศรีธรรมราช!I438"")+IMPORTRANGE(""https://docs.google.com/spreadsheets/d/1BeghqumK0IvCmRd2QOy6_afsZq7ZtAGrSnVJy2u7WmY/edit?usp=share_link"",""นราธิวาส!I438"")+IMPORTRANGE(""https://docs.google.com/spreadsheets/d/1IwnW3-jjRf74MCLW-6P"&amp;"iFwMUffRQXZwZA7YM609NmRc/edit?usp=share_link"",""ปัตตานี!I438"")+IMPORTRANGE(""https://docs.google.com/spreadsheets/d/1vl4QWbWdFruual5o_wdo6ZSqXZ_it806oja4CctTLKs/edit?usp=share_link"",""พังงา!I438"")+IMPORTRANGE(""https://docs.google.com/spreadsheets/d/1"&amp;"b6QssHQp2FoAPSMKHOy273KNzAomaIKhtdlvuZ_zDNE/edit?usp=share_link"",""พัทลุง!I438"")+IMPORTRANGE(""https://docs.google.com/spreadsheets/d/1o7UZe4_OqlqtLDHrj01Z2YFRSZDf1DMy1n3XViHaxRc/edit?usp=share_link"",""ภูเก็ต!I438"")+IMPORTRANGE(""https://docs.google.c"&amp;"om/spreadsheets/d/1ctPm1vUzcUCPuOj9-eoHUD85PqINFqUB0TjdSWmR5-c/edit?usp=share_link"",""ยะลา!I438"")+IMPORTRANGE(""https://docs.google.com/spreadsheets/d/1YiDIE7Klmt8osgdapRqYWNr7iPGFSsiJqq46S7PYRE0/edit?usp=share_link"",""ระนอง!I438"")+IMPORTRANGE(""https"&amp;"://docs.google.com/spreadsheets/d/16o_4B-V7AWw_6E93bSpXj_XxVv1oVQctk-B6z1dNEWU/edit?usp=share_link"",""สงขลา!I438"")+IMPORTRANGE(""https://docs.google.com/spreadsheets/d/16cywr71Fj4fA5OGRHsZh30ZG2gwJhMAQv69oVBzYHv0/edit?usp=share_link"",""สตูล!I438"")+IMP"&amp;"ORTRANGE(""https://docs.google.com/spreadsheets/d/1vO9Sws6kMtrVtyvrAJptINXjK8TFBoX9xLYOVK_C8bQ/edit?usp=share_link"",""สุราษฎร์ธานี!I438"")"),1)</f>
        <v>1</v>
      </c>
      <c r="J438" s="183">
        <f ca="1">IFERROR(__xludf.DUMMYFUNCTION("IMPORTRANGE(""https://docs.google.com/spreadsheets/d/1kC41EOXpGBFOW658Fs3oD8beYlym0-zO54WY-2Qnp9I/edit?usp=share_link"",""กระบี่!J438"")
+IMPORTRANGE(""https://docs.google.com/spreadsheets/d/1FbzMZY_f3MDiEuK7RpCQKrilJ_kpX0Wm7QBZ1L7EjIU/edit?usp=share_link"&amp;""",""ชุมพร!J438"")+IMPORTRANGE(""https://docs.google.com/spreadsheets/d/1v5sN-00LrXuhBxw4dkh2GrG_z4l5oAqOdJRBCsUyMaM/edit?usp=share_link"",""ตรัง!J438"")+IMPORTRANGE(""https://docs.google.com/spreadsheets/d/1T5rRTzFc79aSIvqnzkZNvwPstq829QYz_xALlO1Z0s8/edi"&amp;"t?usp=share_link"",""นครศรีธรรมราช!J438"")+IMPORTRANGE(""https://docs.google.com/spreadsheets/d/1BeghqumK0IvCmRd2QOy6_afsZq7ZtAGrSnVJy2u7WmY/edit?usp=share_link"",""นราธิวาส!J438"")+IMPORTRANGE(""https://docs.google.com/spreadsheets/d/1IwnW3-jjRf74MCLW-6P"&amp;"iFwMUffRQXZwZA7YM609NmRc/edit?usp=share_link"",""ปัตตานี!J438"")+IMPORTRANGE(""https://docs.google.com/spreadsheets/d/1vl4QWbWdFruual5o_wdo6ZSqXZ_it806oja4CctTLKs/edit?usp=share_link"",""พังงา!J438"")+IMPORTRANGE(""https://docs.google.com/spreadsheets/d/1"&amp;"b6QssHQp2FoAPSMKHOy273KNzAomaIKhtdlvuZ_zDNE/edit?usp=share_link"",""พัทลุง!J438"")+IMPORTRANGE(""https://docs.google.com/spreadsheets/d/1o7UZe4_OqlqtLDHrj01Z2YFRSZDf1DMy1n3XViHaxRc/edit?usp=share_link"",""ภูเก็ต!J438"")+IMPORTRANGE(""https://docs.google.c"&amp;"om/spreadsheets/d/1ctPm1vUzcUCPuOj9-eoHUD85PqINFqUB0TjdSWmR5-c/edit?usp=share_link"",""ยะลา!J438"")+IMPORTRANGE(""https://docs.google.com/spreadsheets/d/1YiDIE7Klmt8osgdapRqYWNr7iPGFSsiJqq46S7PYRE0/edit?usp=share_link"",""ระนอง!J438"")+IMPORTRANGE(""https"&amp;"://docs.google.com/spreadsheets/d/16o_4B-V7AWw_6E93bSpXj_XxVv1oVQctk-B6z1dNEWU/edit?usp=share_link"",""สงขลา!J438"")+IMPORTRANGE(""https://docs.google.com/spreadsheets/d/16cywr71Fj4fA5OGRHsZh30ZG2gwJhMAQv69oVBzYHv0/edit?usp=share_link"",""สตูล!J438"")+IMP"&amp;"ORTRANGE(""https://docs.google.com/spreadsheets/d/1vO9Sws6kMtrVtyvrAJptINXjK8TFBoX9xLYOVK_C8bQ/edit?usp=share_link"",""สุราษฎร์ธานี!J438"")"),1)</f>
        <v>1</v>
      </c>
      <c r="K438" s="38">
        <f t="shared" ca="1" si="225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20.25" customHeight="1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82">
        <f ca="1">IFERROR(__xludf.DUMMYFUNCTION("IMPORTRANGE(""https://docs.google.com/spreadsheets/d/1kC41EOXpGBFOW658Fs3oD8beYlym0-zO54WY-2Qnp9I/edit?usp=share_link"",""กระบี่!I439"")
+IMPORTRANGE(""https://docs.google.com/spreadsheets/d/1FbzMZY_f3MDiEuK7RpCQKrilJ_kpX0Wm7QBZ1L7EjIU/edit?usp=share_link"&amp;""",""ชุมพร!I439"")+IMPORTRANGE(""https://docs.google.com/spreadsheets/d/1v5sN-00LrXuhBxw4dkh2GrG_z4l5oAqOdJRBCsUyMaM/edit?usp=share_link"",""ตรัง!I439"")+IMPORTRANGE(""https://docs.google.com/spreadsheets/d/1T5rRTzFc79aSIvqnzkZNvwPstq829QYz_xALlO1Z0s8/edi"&amp;"t?usp=share_link"",""นครศรีธรรมราช!I439"")+IMPORTRANGE(""https://docs.google.com/spreadsheets/d/1BeghqumK0IvCmRd2QOy6_afsZq7ZtAGrSnVJy2u7WmY/edit?usp=share_link"",""นราธิวาส!I439"")+IMPORTRANGE(""https://docs.google.com/spreadsheets/d/1IwnW3-jjRf74MCLW-6P"&amp;"iFwMUffRQXZwZA7YM609NmRc/edit?usp=share_link"",""ปัตตานี!I439"")+IMPORTRANGE(""https://docs.google.com/spreadsheets/d/1vl4QWbWdFruual5o_wdo6ZSqXZ_it806oja4CctTLKs/edit?usp=share_link"",""พังงา!I439"")+IMPORTRANGE(""https://docs.google.com/spreadsheets/d/1"&amp;"b6QssHQp2FoAPSMKHOy273KNzAomaIKhtdlvuZ_zDNE/edit?usp=share_link"",""พัทลุง!I439"")+IMPORTRANGE(""https://docs.google.com/spreadsheets/d/1o7UZe4_OqlqtLDHrj01Z2YFRSZDf1DMy1n3XViHaxRc/edit?usp=share_link"",""ภูเก็ต!I439"")+IMPORTRANGE(""https://docs.google.c"&amp;"om/spreadsheets/d/1ctPm1vUzcUCPuOj9-eoHUD85PqINFqUB0TjdSWmR5-c/edit?usp=share_link"",""ยะลา!I439"")+IMPORTRANGE(""https://docs.google.com/spreadsheets/d/1YiDIE7Klmt8osgdapRqYWNr7iPGFSsiJqq46S7PYRE0/edit?usp=share_link"",""ระนอง!I439"")+IMPORTRANGE(""https"&amp;"://docs.google.com/spreadsheets/d/16o_4B-V7AWw_6E93bSpXj_XxVv1oVQctk-B6z1dNEWU/edit?usp=share_link"",""สงขลา!I439"")+IMPORTRANGE(""https://docs.google.com/spreadsheets/d/16cywr71Fj4fA5OGRHsZh30ZG2gwJhMAQv69oVBzYHv0/edit?usp=share_link"",""สตูล!I439"")+IMP"&amp;"ORTRANGE(""https://docs.google.com/spreadsheets/d/1vO9Sws6kMtrVtyvrAJptINXjK8TFBoX9xLYOVK_C8bQ/edit?usp=share_link"",""สุราษฎร์ธานี!I439"")"),220)</f>
        <v>220</v>
      </c>
      <c r="J439" s="583">
        <f ca="1">IFERROR(__xludf.DUMMYFUNCTION("IMPORTRANGE(""https://docs.google.com/spreadsheets/d/1kC41EOXpGBFOW658Fs3oD8beYlym0-zO54WY-2Qnp9I/edit?usp=share_link"",""กระบี่!J439"")
+IMPORTRANGE(""https://docs.google.com/spreadsheets/d/1FbzMZY_f3MDiEuK7RpCQKrilJ_kpX0Wm7QBZ1L7EjIU/edit?usp=share_link"&amp;""",""ชุมพร!J439"")+IMPORTRANGE(""https://docs.google.com/spreadsheets/d/1v5sN-00LrXuhBxw4dkh2GrG_z4l5oAqOdJRBCsUyMaM/edit?usp=share_link"",""ตรัง!J439"")+IMPORTRANGE(""https://docs.google.com/spreadsheets/d/1T5rRTzFc79aSIvqnzkZNvwPstq829QYz_xALlO1Z0s8/edi"&amp;"t?usp=share_link"",""นครศรีธรรมราช!J439"")+IMPORTRANGE(""https://docs.google.com/spreadsheets/d/1BeghqumK0IvCmRd2QOy6_afsZq7ZtAGrSnVJy2u7WmY/edit?usp=share_link"",""นราธิวาส!J439"")+IMPORTRANGE(""https://docs.google.com/spreadsheets/d/1IwnW3-jjRf74MCLW-6P"&amp;"iFwMUffRQXZwZA7YM609NmRc/edit?usp=share_link"",""ปัตตานี!J439"")+IMPORTRANGE(""https://docs.google.com/spreadsheets/d/1vl4QWbWdFruual5o_wdo6ZSqXZ_it806oja4CctTLKs/edit?usp=share_link"",""พังงา!J439"")+IMPORTRANGE(""https://docs.google.com/spreadsheets/d/1"&amp;"b6QssHQp2FoAPSMKHOy273KNzAomaIKhtdlvuZ_zDNE/edit?usp=share_link"",""พัทลุง!J439"")+IMPORTRANGE(""https://docs.google.com/spreadsheets/d/1o7UZe4_OqlqtLDHrj01Z2YFRSZDf1DMy1n3XViHaxRc/edit?usp=share_link"",""ภูเก็ต!J439"")+IMPORTRANGE(""https://docs.google.c"&amp;"om/spreadsheets/d/1ctPm1vUzcUCPuOj9-eoHUD85PqINFqUB0TjdSWmR5-c/edit?usp=share_link"",""ยะลา!J439"")+IMPORTRANGE(""https://docs.google.com/spreadsheets/d/1YiDIE7Klmt8osgdapRqYWNr7iPGFSsiJqq46S7PYRE0/edit?usp=share_link"",""ระนอง!J439"")+IMPORTRANGE(""https"&amp;"://docs.google.com/spreadsheets/d/16o_4B-V7AWw_6E93bSpXj_XxVv1oVQctk-B6z1dNEWU/edit?usp=share_link"",""สงขลา!J439"")+IMPORTRANGE(""https://docs.google.com/spreadsheets/d/16cywr71Fj4fA5OGRHsZh30ZG2gwJhMAQv69oVBzYHv0/edit?usp=share_link"",""สตูล!J439"")+IMP"&amp;"ORTRANGE(""https://docs.google.com/spreadsheets/d/1vO9Sws6kMtrVtyvrAJptINXjK8TFBoX9xLYOVK_C8bQ/edit?usp=share_link"",""สุราษฎร์ธานี!J439"")"),220)</f>
        <v>220</v>
      </c>
      <c r="K439" s="498">
        <f t="shared" ca="1" si="225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20.25" customHeight="1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IFERROR(__xludf.DUMMYFUNCTION("IMPORTRANGE(""https://docs.google.com/spreadsheets/d/1kC41EOXpGBFOW658Fs3oD8beYlym0-zO54WY-2Qnp9I/edit?usp=share_link"",""กระบี่!I440"")
+IMPORTRANGE(""https://docs.google.com/spreadsheets/d/1FbzMZY_f3MDiEuK7RpCQKrilJ_kpX0Wm7QBZ1L7EjIU/edit?usp=share_link"&amp;""",""ชุมพร!I440"")+IMPORTRANGE(""https://docs.google.com/spreadsheets/d/1v5sN-00LrXuhBxw4dkh2GrG_z4l5oAqOdJRBCsUyMaM/edit?usp=share_link"",""ตรัง!I440"")+IMPORTRANGE(""https://docs.google.com/spreadsheets/d/1T5rRTzFc79aSIvqnzkZNvwPstq829QYz_xALlO1Z0s8/edi"&amp;"t?usp=share_link"",""นครศรีธรรมราช!I440"")+IMPORTRANGE(""https://docs.google.com/spreadsheets/d/1BeghqumK0IvCmRd2QOy6_afsZq7ZtAGrSnVJy2u7WmY/edit?usp=share_link"",""นราธิวาส!I440"")+IMPORTRANGE(""https://docs.google.com/spreadsheets/d/1IwnW3-jjRf74MCLW-6P"&amp;"iFwMUffRQXZwZA7YM609NmRc/edit?usp=share_link"",""ปัตตานี!I440"")+IMPORTRANGE(""https://docs.google.com/spreadsheets/d/1vl4QWbWdFruual5o_wdo6ZSqXZ_it806oja4CctTLKs/edit?usp=share_link"",""พังงา!I440"")+IMPORTRANGE(""https://docs.google.com/spreadsheets/d/1"&amp;"b6QssHQp2FoAPSMKHOy273KNzAomaIKhtdlvuZ_zDNE/edit?usp=share_link"",""พัทลุง!I440"")+IMPORTRANGE(""https://docs.google.com/spreadsheets/d/1o7UZe4_OqlqtLDHrj01Z2YFRSZDf1DMy1n3XViHaxRc/edit?usp=share_link"",""ภูเก็ต!I440"")+IMPORTRANGE(""https://docs.google.c"&amp;"om/spreadsheets/d/1ctPm1vUzcUCPuOj9-eoHUD85PqINFqUB0TjdSWmR5-c/edit?usp=share_link"",""ยะลา!I440"")+IMPORTRANGE(""https://docs.google.com/spreadsheets/d/1YiDIE7Klmt8osgdapRqYWNr7iPGFSsiJqq46S7PYRE0/edit?usp=share_link"",""ระนอง!I440"")+IMPORTRANGE(""https"&amp;"://docs.google.com/spreadsheets/d/16o_4B-V7AWw_6E93bSpXj_XxVv1oVQctk-B6z1dNEWU/edit?usp=share_link"",""สงขลา!I440"")+IMPORTRANGE(""https://docs.google.com/spreadsheets/d/16cywr71Fj4fA5OGRHsZh30ZG2gwJhMAQv69oVBzYHv0/edit?usp=share_link"",""สตูล!I440"")+IMP"&amp;"ORTRANGE(""https://docs.google.com/spreadsheets/d/1vO9Sws6kMtrVtyvrAJptINXjK8TFBoX9xLYOVK_C8bQ/edit?usp=share_link"",""สุราษฎร์ธานี!I440"")"),14)</f>
        <v>14</v>
      </c>
      <c r="J440" s="183">
        <f ca="1">IFERROR(__xludf.DUMMYFUNCTION("IMPORTRANGE(""https://docs.google.com/spreadsheets/d/1kC41EOXpGBFOW658Fs3oD8beYlym0-zO54WY-2Qnp9I/edit?usp=share_link"",""กระบี่!J440"")
+IMPORTRANGE(""https://docs.google.com/spreadsheets/d/1FbzMZY_f3MDiEuK7RpCQKrilJ_kpX0Wm7QBZ1L7EjIU/edit?usp=share_link"&amp;""",""ชุมพร!J440"")+IMPORTRANGE(""https://docs.google.com/spreadsheets/d/1v5sN-00LrXuhBxw4dkh2GrG_z4l5oAqOdJRBCsUyMaM/edit?usp=share_link"",""ตรัง!J440"")+IMPORTRANGE(""https://docs.google.com/spreadsheets/d/1T5rRTzFc79aSIvqnzkZNvwPstq829QYz_xALlO1Z0s8/edi"&amp;"t?usp=share_link"",""นครศรีธรรมราช!J440"")+IMPORTRANGE(""https://docs.google.com/spreadsheets/d/1BeghqumK0IvCmRd2QOy6_afsZq7ZtAGrSnVJy2u7WmY/edit?usp=share_link"",""นราธิวาส!J440"")+IMPORTRANGE(""https://docs.google.com/spreadsheets/d/1IwnW3-jjRf74MCLW-6P"&amp;"iFwMUffRQXZwZA7YM609NmRc/edit?usp=share_link"",""ปัตตานี!J440"")+IMPORTRANGE(""https://docs.google.com/spreadsheets/d/1vl4QWbWdFruual5o_wdo6ZSqXZ_it806oja4CctTLKs/edit?usp=share_link"",""พังงา!J440"")+IMPORTRANGE(""https://docs.google.com/spreadsheets/d/1"&amp;"b6QssHQp2FoAPSMKHOy273KNzAomaIKhtdlvuZ_zDNE/edit?usp=share_link"",""พัทลุง!J440"")+IMPORTRANGE(""https://docs.google.com/spreadsheets/d/1o7UZe4_OqlqtLDHrj01Z2YFRSZDf1DMy1n3XViHaxRc/edit?usp=share_link"",""ภูเก็ต!J440"")+IMPORTRANGE(""https://docs.google.c"&amp;"om/spreadsheets/d/1ctPm1vUzcUCPuOj9-eoHUD85PqINFqUB0TjdSWmR5-c/edit?usp=share_link"",""ยะลา!J440"")+IMPORTRANGE(""https://docs.google.com/spreadsheets/d/1YiDIE7Klmt8osgdapRqYWNr7iPGFSsiJqq46S7PYRE0/edit?usp=share_link"",""ระนอง!J440"")+IMPORTRANGE(""https"&amp;"://docs.google.com/spreadsheets/d/16o_4B-V7AWw_6E93bSpXj_XxVv1oVQctk-B6z1dNEWU/edit?usp=share_link"",""สงขลา!J440"")+IMPORTRANGE(""https://docs.google.com/spreadsheets/d/16cywr71Fj4fA5OGRHsZh30ZG2gwJhMAQv69oVBzYHv0/edit?usp=share_link"",""สตูล!J440"")+IMP"&amp;"ORTRANGE(""https://docs.google.com/spreadsheets/d/1vO9Sws6kMtrVtyvrAJptINXjK8TFBoX9xLYOVK_C8bQ/edit?usp=share_link"",""สุราษฎร์ธานี!J440"")"),13)</f>
        <v>13</v>
      </c>
      <c r="K440" s="38">
        <f t="shared" ca="1" si="225"/>
        <v>92.857142857142861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20.25" customHeight="1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IFERROR(__xludf.DUMMYFUNCTION("IMPORTRANGE(""https://docs.google.com/spreadsheets/d/1kC41EOXpGBFOW658Fs3oD8beYlym0-zO54WY-2Qnp9I/edit?usp=share_link"",""กระบี่!I441"")
+IMPORTRANGE(""https://docs.google.com/spreadsheets/d/1FbzMZY_f3MDiEuK7RpCQKrilJ_kpX0Wm7QBZ1L7EjIU/edit?usp=share_link"&amp;""",""ชุมพร!I441"")+IMPORTRANGE(""https://docs.google.com/spreadsheets/d/1v5sN-00LrXuhBxw4dkh2GrG_z4l5oAqOdJRBCsUyMaM/edit?usp=share_link"",""ตรัง!I441"")+IMPORTRANGE(""https://docs.google.com/spreadsheets/d/1T5rRTzFc79aSIvqnzkZNvwPstq829QYz_xALlO1Z0s8/edi"&amp;"t?usp=share_link"",""นครศรีธรรมราช!I441"")+IMPORTRANGE(""https://docs.google.com/spreadsheets/d/1BeghqumK0IvCmRd2QOy6_afsZq7ZtAGrSnVJy2u7WmY/edit?usp=share_link"",""นราธิวาส!I441"")+IMPORTRANGE(""https://docs.google.com/spreadsheets/d/1IwnW3-jjRf74MCLW-6P"&amp;"iFwMUffRQXZwZA7YM609NmRc/edit?usp=share_link"",""ปัตตานี!I441"")+IMPORTRANGE(""https://docs.google.com/spreadsheets/d/1vl4QWbWdFruual5o_wdo6ZSqXZ_it806oja4CctTLKs/edit?usp=share_link"",""พังงา!I441"")+IMPORTRANGE(""https://docs.google.com/spreadsheets/d/1"&amp;"b6QssHQp2FoAPSMKHOy273KNzAomaIKhtdlvuZ_zDNE/edit?usp=share_link"",""พัทลุง!I441"")+IMPORTRANGE(""https://docs.google.com/spreadsheets/d/1o7UZe4_OqlqtLDHrj01Z2YFRSZDf1DMy1n3XViHaxRc/edit?usp=share_link"",""ภูเก็ต!I441"")+IMPORTRANGE(""https://docs.google.c"&amp;"om/spreadsheets/d/1ctPm1vUzcUCPuOj9-eoHUD85PqINFqUB0TjdSWmR5-c/edit?usp=share_link"",""ยะลา!I441"")+IMPORTRANGE(""https://docs.google.com/spreadsheets/d/1YiDIE7Klmt8osgdapRqYWNr7iPGFSsiJqq46S7PYRE0/edit?usp=share_link"",""ระนอง!I441"")+IMPORTRANGE(""https"&amp;"://docs.google.com/spreadsheets/d/16o_4B-V7AWw_6E93bSpXj_XxVv1oVQctk-B6z1dNEWU/edit?usp=share_link"",""สงขลา!I441"")+IMPORTRANGE(""https://docs.google.com/spreadsheets/d/16cywr71Fj4fA5OGRHsZh30ZG2gwJhMAQv69oVBzYHv0/edit?usp=share_link"",""สตูล!I441"")+IMP"&amp;"ORTRANGE(""https://docs.google.com/spreadsheets/d/1vO9Sws6kMtrVtyvrAJptINXjK8TFBoX9xLYOVK_C8bQ/edit?usp=share_link"",""สุราษฎร์ธานี!I441"")"),0)</f>
        <v>0</v>
      </c>
      <c r="J441" s="270">
        <v>0</v>
      </c>
      <c r="K441" s="38">
        <f t="shared" ca="1" si="225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20.25" customHeight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226">I460</f>
        <v>255</v>
      </c>
      <c r="J442" s="589">
        <f t="shared" ca="1" si="226"/>
        <v>255</v>
      </c>
      <c r="K442" s="590">
        <f t="shared" ca="1" si="225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20.25" customHeight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227">I462</f>
        <v>820</v>
      </c>
      <c r="J443" s="569">
        <f t="shared" ca="1" si="227"/>
        <v>770</v>
      </c>
      <c r="K443" s="570">
        <f t="shared" ca="1" si="225"/>
        <v>93.902439024390247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20.25" customHeight="1">
      <c r="A444" s="596"/>
      <c r="B444" s="575"/>
      <c r="C444" s="575" t="s">
        <v>16</v>
      </c>
      <c r="D444" s="847" t="s">
        <v>17</v>
      </c>
      <c r="E444" s="841"/>
      <c r="F444" s="841"/>
      <c r="G444" s="189"/>
      <c r="H444" s="597" t="s">
        <v>12</v>
      </c>
      <c r="I444" s="37"/>
      <c r="J444" s="37"/>
      <c r="K444" s="38"/>
      <c r="L444" s="195">
        <f t="shared" ref="L444:N444" ca="1" si="228">L445+L446</f>
        <v>2091160</v>
      </c>
      <c r="M444" s="195">
        <f t="shared" ca="1" si="228"/>
        <v>2091160</v>
      </c>
      <c r="N444" s="195">
        <f t="shared" ca="1" si="228"/>
        <v>902238.48</v>
      </c>
      <c r="O444" s="195">
        <f t="shared" ref="O444:O449" ca="1" si="229">IF(L444&gt;0,N444*100/L444,0)</f>
        <v>43.145358556973164</v>
      </c>
      <c r="P444" s="195">
        <f t="shared" ref="P444:P449" ca="1" si="230">IF(M444&gt;0,N444*100/M444,0)</f>
        <v>43.145358556973164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20.25" hidden="1" customHeight="1">
      <c r="A445" s="598"/>
      <c r="B445" s="599"/>
      <c r="C445" s="599"/>
      <c r="D445" s="600"/>
      <c r="E445" s="601" t="s">
        <v>185</v>
      </c>
      <c r="F445" s="599"/>
      <c r="G445" s="602"/>
      <c r="H445" s="165" t="s">
        <v>12</v>
      </c>
      <c r="I445" s="44"/>
      <c r="J445" s="44"/>
      <c r="K445" s="45"/>
      <c r="L445" s="45">
        <f t="shared" ref="L445:N445" si="231">L448+L455</f>
        <v>0</v>
      </c>
      <c r="M445" s="45">
        <f t="shared" si="231"/>
        <v>0</v>
      </c>
      <c r="N445" s="45">
        <f t="shared" si="231"/>
        <v>0</v>
      </c>
      <c r="O445" s="45">
        <f t="shared" si="229"/>
        <v>0</v>
      </c>
      <c r="P445" s="45">
        <f t="shared" si="230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20.25" hidden="1" customHeight="1">
      <c r="A446" s="598"/>
      <c r="B446" s="604"/>
      <c r="C446" s="599"/>
      <c r="D446" s="600"/>
      <c r="E446" s="601" t="s">
        <v>186</v>
      </c>
      <c r="F446" s="599"/>
      <c r="G446" s="602"/>
      <c r="H446" s="165" t="s">
        <v>12</v>
      </c>
      <c r="I446" s="44"/>
      <c r="J446" s="44"/>
      <c r="K446" s="45"/>
      <c r="L446" s="45">
        <f t="shared" ref="L446:N446" ca="1" si="232">L449+L456</f>
        <v>2091160</v>
      </c>
      <c r="M446" s="45">
        <f t="shared" ca="1" si="232"/>
        <v>2091160</v>
      </c>
      <c r="N446" s="45">
        <f t="shared" ca="1" si="232"/>
        <v>902238.48</v>
      </c>
      <c r="O446" s="45">
        <f t="shared" ca="1" si="229"/>
        <v>43.145358556973164</v>
      </c>
      <c r="P446" s="45">
        <f t="shared" ca="1" si="230"/>
        <v>43.145358556973164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20.25" customHeight="1">
      <c r="A447" s="596"/>
      <c r="B447" s="574"/>
      <c r="C447" s="575"/>
      <c r="D447" s="605" t="s">
        <v>20</v>
      </c>
      <c r="E447" s="575"/>
      <c r="F447" s="575"/>
      <c r="G447" s="189"/>
      <c r="H447" s="161" t="s">
        <v>12</v>
      </c>
      <c r="I447" s="162"/>
      <c r="J447" s="162"/>
      <c r="K447" s="163"/>
      <c r="L447" s="38">
        <f t="shared" ref="L447:N447" ca="1" si="233">L448+L449</f>
        <v>2091160</v>
      </c>
      <c r="M447" s="38">
        <f t="shared" ca="1" si="233"/>
        <v>2091160</v>
      </c>
      <c r="N447" s="38">
        <f t="shared" ca="1" si="233"/>
        <v>902238.48</v>
      </c>
      <c r="O447" s="38">
        <f t="shared" ca="1" si="229"/>
        <v>43.145358556973164</v>
      </c>
      <c r="P447" s="38">
        <f t="shared" ca="1" si="230"/>
        <v>43.145358556973164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20.25" hidden="1" customHeight="1">
      <c r="A448" s="598"/>
      <c r="B448" s="604"/>
      <c r="C448" s="599"/>
      <c r="D448" s="600"/>
      <c r="E448" s="601" t="s">
        <v>185</v>
      </c>
      <c r="F448" s="599"/>
      <c r="G448" s="602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29"/>
        <v>0</v>
      </c>
      <c r="P448" s="45">
        <f t="shared" si="230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20.25" hidden="1" customHeight="1">
      <c r="A449" s="598"/>
      <c r="B449" s="604"/>
      <c r="C449" s="599"/>
      <c r="D449" s="600"/>
      <c r="E449" s="601" t="s">
        <v>186</v>
      </c>
      <c r="F449" s="599"/>
      <c r="G449" s="602"/>
      <c r="H449" s="165" t="s">
        <v>12</v>
      </c>
      <c r="I449" s="44"/>
      <c r="J449" s="44"/>
      <c r="K449" s="45"/>
      <c r="L449" s="45">
        <f ca="1">IFERROR(__xludf.DUMMYFUNCTION("IMPORTRANGE(""https://docs.google.com/spreadsheets/d/1kC41EOXpGBFOW658Fs3oD8beYlym0-zO54WY-2Qnp9I/edit?usp=share_link"",""กระบี่!L449"")
+IMPORTRANGE(""https://docs.google.com/spreadsheets/d/1FbzMZY_f3MDiEuK7RpCQKrilJ_kpX0Wm7QBZ1L7EjIU/edit?usp=share_link"&amp;""",""ชุมพร!L449"")+IMPORTRANGE(""https://docs.google.com/spreadsheets/d/1v5sN-00LrXuhBxw4dkh2GrG_z4l5oAqOdJRBCsUyMaM/edit?usp=share_link"",""ตรัง!L449"")+IMPORTRANGE(""https://docs.google.com/spreadsheets/d/1T5rRTzFc79aSIvqnzkZNvwPstq829QYz_xALlO1Z0s8/edi"&amp;"t?usp=share_link"",""นครศรีธรรมราช!L449"")+IMPORTRANGE(""https://docs.google.com/spreadsheets/d/1BeghqumK0IvCmRd2QOy6_afsZq7ZtAGrSnVJy2u7WmY/edit?usp=share_link"",""นราธิวาส!L449"")+IMPORTRANGE(""https://docs.google.com/spreadsheets/d/1IwnW3-jjRf74MCLW-6P"&amp;"iFwMUffRQXZwZA7YM609NmRc/edit?usp=share_link"",""ปัตตานี!L449"")+IMPORTRANGE(""https://docs.google.com/spreadsheets/d/1vl4QWbWdFruual5o_wdo6ZSqXZ_it806oja4CctTLKs/edit?usp=share_link"",""พังงา!L449"")+IMPORTRANGE(""https://docs.google.com/spreadsheets/d/1"&amp;"b6QssHQp2FoAPSMKHOy273KNzAomaIKhtdlvuZ_zDNE/edit?usp=share_link"",""พัทลุง!L449"")+IMPORTRANGE(""https://docs.google.com/spreadsheets/d/1o7UZe4_OqlqtLDHrj01Z2YFRSZDf1DMy1n3XViHaxRc/edit?usp=share_link"",""ภูเก็ต!L449"")+IMPORTRANGE(""https://docs.google.c"&amp;"om/spreadsheets/d/1ctPm1vUzcUCPuOj9-eoHUD85PqINFqUB0TjdSWmR5-c/edit?usp=share_link"",""ยะลา!L449"")+IMPORTRANGE(""https://docs.google.com/spreadsheets/d/1YiDIE7Klmt8osgdapRqYWNr7iPGFSsiJqq46S7PYRE0/edit?usp=share_link"",""ระนอง!L449"")+IMPORTRANGE(""https"&amp;"://docs.google.com/spreadsheets/d/16o_4B-V7AWw_6E93bSpXj_XxVv1oVQctk-B6z1dNEWU/edit?usp=share_link"",""สงขลา!L449"")+IMPORTRANGE(""https://docs.google.com/spreadsheets/d/16cywr71Fj4fA5OGRHsZh30ZG2gwJhMAQv69oVBzYHv0/edit?usp=share_link"",""สตูล!L449"")+IMP"&amp;"ORTRANGE(""https://docs.google.com/spreadsheets/d/1vO9Sws6kMtrVtyvrAJptINXjK8TFBoX9xLYOVK_C8bQ/edit?usp=share_link"",""สุราษฎร์ธานี!L449"")"),2091160)</f>
        <v>2091160</v>
      </c>
      <c r="M449" s="93">
        <f ca="1">IFERROR(__xludf.DUMMYFUNCTION("IMPORTRANGE(""https://docs.google.com/spreadsheets/d/1kC41EOXpGBFOW658Fs3oD8beYlym0-zO54WY-2Qnp9I/edit?usp=share_link"",""กระบี่!M449"")
+IMPORTRANGE(""https://docs.google.com/spreadsheets/d/1FbzMZY_f3MDiEuK7RpCQKrilJ_kpX0Wm7QBZ1L7EjIU/edit?usp=share_link"&amp;""",""ชุมพร!M449"")+IMPORTRANGE(""https://docs.google.com/spreadsheets/d/1v5sN-00LrXuhBxw4dkh2GrG_z4l5oAqOdJRBCsUyMaM/edit?usp=share_link"",""ตรัง!M449"")+IMPORTRANGE(""https://docs.google.com/spreadsheets/d/1T5rRTzFc79aSIvqnzkZNvwPstq829QYz_xALlO1Z0s8/edi"&amp;"t?usp=share_link"",""นครศรีธรรมราช!M449"")+IMPORTRANGE(""https://docs.google.com/spreadsheets/d/1BeghqumK0IvCmRd2QOy6_afsZq7ZtAGrSnVJy2u7WmY/edit?usp=share_link"",""นราธิวาส!M449"")+IMPORTRANGE(""https://docs.google.com/spreadsheets/d/1IwnW3-jjRf74MCLW-6P"&amp;"iFwMUffRQXZwZA7YM609NmRc/edit?usp=share_link"",""ปัตตานี!M449"")+IMPORTRANGE(""https://docs.google.com/spreadsheets/d/1vl4QWbWdFruual5o_wdo6ZSqXZ_it806oja4CctTLKs/edit?usp=share_link"",""พังงา!M449"")+IMPORTRANGE(""https://docs.google.com/spreadsheets/d/1"&amp;"b6QssHQp2FoAPSMKHOy273KNzAomaIKhtdlvuZ_zDNE/edit?usp=share_link"",""พัทลุง!M449"")+IMPORTRANGE(""https://docs.google.com/spreadsheets/d/1o7UZe4_OqlqtLDHrj01Z2YFRSZDf1DMy1n3XViHaxRc/edit?usp=share_link"",""ภูเก็ต!M449"")+IMPORTRANGE(""https://docs.google.c"&amp;"om/spreadsheets/d/1ctPm1vUzcUCPuOj9-eoHUD85PqINFqUB0TjdSWmR5-c/edit?usp=share_link"",""ยะลา!M449"")+IMPORTRANGE(""https://docs.google.com/spreadsheets/d/1YiDIE7Klmt8osgdapRqYWNr7iPGFSsiJqq46S7PYRE0/edit?usp=share_link"",""ระนอง!M449"")+IMPORTRANGE(""https"&amp;"://docs.google.com/spreadsheets/d/16o_4B-V7AWw_6E93bSpXj_XxVv1oVQctk-B6z1dNEWU/edit?usp=share_link"",""สงขลา!M449"")+IMPORTRANGE(""https://docs.google.com/spreadsheets/d/16cywr71Fj4fA5OGRHsZh30ZG2gwJhMAQv69oVBzYHv0/edit?usp=share_link"",""สตูล!M449"")+IMP"&amp;"ORTRANGE(""https://docs.google.com/spreadsheets/d/1vO9Sws6kMtrVtyvrAJptINXjK8TFBoX9xLYOVK_C8bQ/edit?usp=share_link"",""สุราษฎร์ธานี!M449"")"),2091160)</f>
        <v>2091160</v>
      </c>
      <c r="N449" s="45">
        <f ca="1">N450+N451+N452+N453</f>
        <v>902238.48</v>
      </c>
      <c r="O449" s="45">
        <f t="shared" ca="1" si="229"/>
        <v>43.145358556973164</v>
      </c>
      <c r="P449" s="45">
        <f t="shared" ca="1" si="230"/>
        <v>43.145358556973164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20.25" customHeight="1">
      <c r="A450" s="573"/>
      <c r="B450" s="574"/>
      <c r="C450" s="575"/>
      <c r="D450" s="575"/>
      <c r="E450" s="575"/>
      <c r="F450" s="576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IFERROR(__xludf.DUMMYFUNCTION("IMPORTRANGE(""https://docs.google.com/spreadsheets/d/1kC41EOXpGBFOW658Fs3oD8beYlym0-zO54WY-2Qnp9I/edit?usp=share_link"",""กระบี่!N450"")
+IMPORTRANGE(""https://docs.google.com/spreadsheets/d/1FbzMZY_f3MDiEuK7RpCQKrilJ_kpX0Wm7QBZ1L7EjIU/edit?usp=share_link"&amp;""",""ชุมพร!N450"")+IMPORTRANGE(""https://docs.google.com/spreadsheets/d/1v5sN-00LrXuhBxw4dkh2GrG_z4l5oAqOdJRBCsUyMaM/edit?usp=share_link"",""ตรัง!N450"")+IMPORTRANGE(""https://docs.google.com/spreadsheets/d/1T5rRTzFc79aSIvqnzkZNvwPstq829QYz_xALlO1Z0s8/edi"&amp;"t?usp=share_link"",""นครศรีธรรมราช!N450"")+IMPORTRANGE(""https://docs.google.com/spreadsheets/d/1BeghqumK0IvCmRd2QOy6_afsZq7ZtAGrSnVJy2u7WmY/edit?usp=share_link"",""นราธิวาส!N450"")+IMPORTRANGE(""https://docs.google.com/spreadsheets/d/1IwnW3-jjRf74MCLW-6P"&amp;"iFwMUffRQXZwZA7YM609NmRc/edit?usp=share_link"",""ปัตตานี!N450"")+IMPORTRANGE(""https://docs.google.com/spreadsheets/d/1vl4QWbWdFruual5o_wdo6ZSqXZ_it806oja4CctTLKs/edit?usp=share_link"",""พังงา!N450"")+IMPORTRANGE(""https://docs.google.com/spreadsheets/d/1"&amp;"b6QssHQp2FoAPSMKHOy273KNzAomaIKhtdlvuZ_zDNE/edit?usp=share_link"",""พัทลุง!N450"")+IMPORTRANGE(""https://docs.google.com/spreadsheets/d/1o7UZe4_OqlqtLDHrj01Z2YFRSZDf1DMy1n3XViHaxRc/edit?usp=share_link"",""ภูเก็ต!N450"")+IMPORTRANGE(""https://docs.google.c"&amp;"om/spreadsheets/d/1ctPm1vUzcUCPuOj9-eoHUD85PqINFqUB0TjdSWmR5-c/edit?usp=share_link"",""ยะลา!N450"")+IMPORTRANGE(""https://docs.google.com/spreadsheets/d/1YiDIE7Klmt8osgdapRqYWNr7iPGFSsiJqq46S7PYRE0/edit?usp=share_link"",""ระนอง!N450"")+IMPORTRANGE(""https"&amp;"://docs.google.com/spreadsheets/d/16o_4B-V7AWw_6E93bSpXj_XxVv1oVQctk-B6z1dNEWU/edit?usp=share_link"",""สงขลา!N450"")+IMPORTRANGE(""https://docs.google.com/spreadsheets/d/16cywr71Fj4fA5OGRHsZh30ZG2gwJhMAQv69oVBzYHv0/edit?usp=share_link"",""สตูล!N450"")+IMP"&amp;"ORTRANGE(""https://docs.google.com/spreadsheets/d/1vO9Sws6kMtrVtyvrAJptINXjK8TFBoX9xLYOVK_C8bQ/edit?usp=share_link"",""สุราษฎร์ธานี!N450"")"),317633.6)</f>
        <v>317633.59999999998</v>
      </c>
      <c r="O450" s="38"/>
      <c r="P450" s="3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20.25" customHeight="1">
      <c r="A451" s="573"/>
      <c r="B451" s="574"/>
      <c r="C451" s="575"/>
      <c r="D451" s="575"/>
      <c r="E451" s="575"/>
      <c r="F451" s="576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IFERROR(__xludf.DUMMYFUNCTION("IMPORTRANGE(""https://docs.google.com/spreadsheets/d/1kC41EOXpGBFOW658Fs3oD8beYlym0-zO54WY-2Qnp9I/edit?usp=share_link"",""กระบี่!N451"")
+IMPORTRANGE(""https://docs.google.com/spreadsheets/d/1FbzMZY_f3MDiEuK7RpCQKrilJ_kpX0Wm7QBZ1L7EjIU/edit?usp=share_link"&amp;""",""ชุมพร!N451"")+IMPORTRANGE(""https://docs.google.com/spreadsheets/d/1v5sN-00LrXuhBxw4dkh2GrG_z4l5oAqOdJRBCsUyMaM/edit?usp=share_link"",""ตรัง!N451"")+IMPORTRANGE(""https://docs.google.com/spreadsheets/d/1T5rRTzFc79aSIvqnzkZNvwPstq829QYz_xALlO1Z0s8/edi"&amp;"t?usp=share_link"",""นครศรีธรรมราช!N451"")+IMPORTRANGE(""https://docs.google.com/spreadsheets/d/1BeghqumK0IvCmRd2QOy6_afsZq7ZtAGrSnVJy2u7WmY/edit?usp=share_link"",""นราธิวาส!N451"")+IMPORTRANGE(""https://docs.google.com/spreadsheets/d/1IwnW3-jjRf74MCLW-6P"&amp;"iFwMUffRQXZwZA7YM609NmRc/edit?usp=share_link"",""ปัตตานี!N451"")+IMPORTRANGE(""https://docs.google.com/spreadsheets/d/1vl4QWbWdFruual5o_wdo6ZSqXZ_it806oja4CctTLKs/edit?usp=share_link"",""พังงา!N451"")+IMPORTRANGE(""https://docs.google.com/spreadsheets/d/1"&amp;"b6QssHQp2FoAPSMKHOy273KNzAomaIKhtdlvuZ_zDNE/edit?usp=share_link"",""พัทลุง!N451"")+IMPORTRANGE(""https://docs.google.com/spreadsheets/d/1o7UZe4_OqlqtLDHrj01Z2YFRSZDf1DMy1n3XViHaxRc/edit?usp=share_link"",""ภูเก็ต!N451"")+IMPORTRANGE(""https://docs.google.c"&amp;"om/spreadsheets/d/1ctPm1vUzcUCPuOj9-eoHUD85PqINFqUB0TjdSWmR5-c/edit?usp=share_link"",""ยะลา!N451"")+IMPORTRANGE(""https://docs.google.com/spreadsheets/d/1YiDIE7Klmt8osgdapRqYWNr7iPGFSsiJqq46S7PYRE0/edit?usp=share_link"",""ระนอง!N451"")+IMPORTRANGE(""https"&amp;"://docs.google.com/spreadsheets/d/16o_4B-V7AWw_6E93bSpXj_XxVv1oVQctk-B6z1dNEWU/edit?usp=share_link"",""สงขลา!N451"")+IMPORTRANGE(""https://docs.google.com/spreadsheets/d/16cywr71Fj4fA5OGRHsZh30ZG2gwJhMAQv69oVBzYHv0/edit?usp=share_link"",""สตูล!N451"")+IMP"&amp;"ORTRANGE(""https://docs.google.com/spreadsheets/d/1vO9Sws6kMtrVtyvrAJptINXjK8TFBoX9xLYOVK_C8bQ/edit?usp=share_link"",""สุราษฎร์ธานี!N451"")"),261985)</f>
        <v>261985</v>
      </c>
      <c r="O451" s="38"/>
      <c r="P451" s="3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20.25" customHeight="1">
      <c r="A452" s="573"/>
      <c r="B452" s="574"/>
      <c r="C452" s="574"/>
      <c r="D452" s="574"/>
      <c r="E452" s="574"/>
      <c r="F452" s="576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IFERROR(__xludf.DUMMYFUNCTION("IMPORTRANGE(""https://docs.google.com/spreadsheets/d/1kC41EOXpGBFOW658Fs3oD8beYlym0-zO54WY-2Qnp9I/edit?usp=share_link"",""กระบี่!N452"")
+IMPORTRANGE(""https://docs.google.com/spreadsheets/d/1FbzMZY_f3MDiEuK7RpCQKrilJ_kpX0Wm7QBZ1L7EjIU/edit?usp=share_link"&amp;""",""ชุมพร!N452"")+IMPORTRANGE(""https://docs.google.com/spreadsheets/d/1v5sN-00LrXuhBxw4dkh2GrG_z4l5oAqOdJRBCsUyMaM/edit?usp=share_link"",""ตรัง!N452"")+IMPORTRANGE(""https://docs.google.com/spreadsheets/d/1T5rRTzFc79aSIvqnzkZNvwPstq829QYz_xALlO1Z0s8/edi"&amp;"t?usp=share_link"",""นครศรีธรรมราช!N452"")+IMPORTRANGE(""https://docs.google.com/spreadsheets/d/1BeghqumK0IvCmRd2QOy6_afsZq7ZtAGrSnVJy2u7WmY/edit?usp=share_link"",""นราธิวาส!N452"")+IMPORTRANGE(""https://docs.google.com/spreadsheets/d/1IwnW3-jjRf74MCLW-6P"&amp;"iFwMUffRQXZwZA7YM609NmRc/edit?usp=share_link"",""ปัตตานี!N452"")+IMPORTRANGE(""https://docs.google.com/spreadsheets/d/1vl4QWbWdFruual5o_wdo6ZSqXZ_it806oja4CctTLKs/edit?usp=share_link"",""พังงา!N452"")+IMPORTRANGE(""https://docs.google.com/spreadsheets/d/1"&amp;"b6QssHQp2FoAPSMKHOy273KNzAomaIKhtdlvuZ_zDNE/edit?usp=share_link"",""พัทลุง!N452"")+IMPORTRANGE(""https://docs.google.com/spreadsheets/d/1o7UZe4_OqlqtLDHrj01Z2YFRSZDf1DMy1n3XViHaxRc/edit?usp=share_link"",""ภูเก็ต!N452"")+IMPORTRANGE(""https://docs.google.c"&amp;"om/spreadsheets/d/1ctPm1vUzcUCPuOj9-eoHUD85PqINFqUB0TjdSWmR5-c/edit?usp=share_link"",""ยะลา!N452"")+IMPORTRANGE(""https://docs.google.com/spreadsheets/d/1YiDIE7Klmt8osgdapRqYWNr7iPGFSsiJqq46S7PYRE0/edit?usp=share_link"",""ระนอง!N452"")+IMPORTRANGE(""https"&amp;"://docs.google.com/spreadsheets/d/16o_4B-V7AWw_6E93bSpXj_XxVv1oVQctk-B6z1dNEWU/edit?usp=share_link"",""สงขลา!N452"")+IMPORTRANGE(""https://docs.google.com/spreadsheets/d/16cywr71Fj4fA5OGRHsZh30ZG2gwJhMAQv69oVBzYHv0/edit?usp=share_link"",""สตูล!N452"")+IMP"&amp;"ORTRANGE(""https://docs.google.com/spreadsheets/d/1vO9Sws6kMtrVtyvrAJptINXjK8TFBoX9xLYOVK_C8bQ/edit?usp=share_link"",""สุราษฎร์ธานี!N452"")"),230114.52)</f>
        <v>230114.52</v>
      </c>
      <c r="O452" s="38"/>
      <c r="P452" s="3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20.25" customHeight="1">
      <c r="A453" s="573"/>
      <c r="B453" s="574"/>
      <c r="C453" s="574"/>
      <c r="D453" s="574"/>
      <c r="E453" s="574"/>
      <c r="F453" s="576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IFERROR(__xludf.DUMMYFUNCTION("IMPORTRANGE(""https://docs.google.com/spreadsheets/d/1kC41EOXpGBFOW658Fs3oD8beYlym0-zO54WY-2Qnp9I/edit?usp=share_link"",""กระบี่!N453"")
+IMPORTRANGE(""https://docs.google.com/spreadsheets/d/1FbzMZY_f3MDiEuK7RpCQKrilJ_kpX0Wm7QBZ1L7EjIU/edit?usp=share_link"&amp;""",""ชุมพร!N453"")+IMPORTRANGE(""https://docs.google.com/spreadsheets/d/1v5sN-00LrXuhBxw4dkh2GrG_z4l5oAqOdJRBCsUyMaM/edit?usp=share_link"",""ตรัง!N453"")+IMPORTRANGE(""https://docs.google.com/spreadsheets/d/1T5rRTzFc79aSIvqnzkZNvwPstq829QYz_xALlO1Z0s8/edi"&amp;"t?usp=share_link"",""นครศรีธรรมราช!N453"")+IMPORTRANGE(""https://docs.google.com/spreadsheets/d/1BeghqumK0IvCmRd2QOy6_afsZq7ZtAGrSnVJy2u7WmY/edit?usp=share_link"",""นราธิวาส!N453"")+IMPORTRANGE(""https://docs.google.com/spreadsheets/d/1IwnW3-jjRf74MCLW-6P"&amp;"iFwMUffRQXZwZA7YM609NmRc/edit?usp=share_link"",""ปัตตานี!N453"")+IMPORTRANGE(""https://docs.google.com/spreadsheets/d/1vl4QWbWdFruual5o_wdo6ZSqXZ_it806oja4CctTLKs/edit?usp=share_link"",""พังงา!N453"")+IMPORTRANGE(""https://docs.google.com/spreadsheets/d/1"&amp;"b6QssHQp2FoAPSMKHOy273KNzAomaIKhtdlvuZ_zDNE/edit?usp=share_link"",""พัทลุง!N453"")+IMPORTRANGE(""https://docs.google.com/spreadsheets/d/1o7UZe4_OqlqtLDHrj01Z2YFRSZDf1DMy1n3XViHaxRc/edit?usp=share_link"",""ภูเก็ต!N453"")+IMPORTRANGE(""https://docs.google.c"&amp;"om/spreadsheets/d/1ctPm1vUzcUCPuOj9-eoHUD85PqINFqUB0TjdSWmR5-c/edit?usp=share_link"",""ยะลา!N453"")+IMPORTRANGE(""https://docs.google.com/spreadsheets/d/1YiDIE7Klmt8osgdapRqYWNr7iPGFSsiJqq46S7PYRE0/edit?usp=share_link"",""ระนอง!N453"")+IMPORTRANGE(""https"&amp;"://docs.google.com/spreadsheets/d/16o_4B-V7AWw_6E93bSpXj_XxVv1oVQctk-B6z1dNEWU/edit?usp=share_link"",""สงขลา!N453"")+IMPORTRANGE(""https://docs.google.com/spreadsheets/d/16cywr71Fj4fA5OGRHsZh30ZG2gwJhMAQv69oVBzYHv0/edit?usp=share_link"",""สตูล!N453"")+IMP"&amp;"ORTRANGE(""https://docs.google.com/spreadsheets/d/1vO9Sws6kMtrVtyvrAJptINXjK8TFBoX9xLYOVK_C8bQ/edit?usp=share_link"",""สุราษฎร์ธานี!N453"")"),92505.36)</f>
        <v>92505.36</v>
      </c>
      <c r="O453" s="38"/>
      <c r="P453" s="3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20.25" customHeight="1">
      <c r="A454" s="596"/>
      <c r="B454" s="574"/>
      <c r="C454" s="574"/>
      <c r="D454" s="605" t="s">
        <v>21</v>
      </c>
      <c r="E454" s="574"/>
      <c r="F454" s="575"/>
      <c r="G454" s="189"/>
      <c r="H454" s="168" t="s">
        <v>12</v>
      </c>
      <c r="I454" s="162"/>
      <c r="J454" s="162"/>
      <c r="K454" s="163"/>
      <c r="L454" s="38">
        <f t="shared" ref="L454:N454" ca="1" si="234">L455+L456</f>
        <v>0</v>
      </c>
      <c r="M454" s="38">
        <f t="shared" si="234"/>
        <v>0</v>
      </c>
      <c r="N454" s="38">
        <f t="shared" si="234"/>
        <v>0</v>
      </c>
      <c r="O454" s="38">
        <f t="shared" ref="O454:O456" ca="1" si="235">IF(L454&gt;0,N454*100/L454,0)</f>
        <v>0</v>
      </c>
      <c r="P454" s="38">
        <f t="shared" ref="P454:P456" si="236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20.25" hidden="1" customHeight="1">
      <c r="A455" s="598"/>
      <c r="B455" s="604"/>
      <c r="C455" s="604"/>
      <c r="D455" s="604"/>
      <c r="E455" s="606" t="s">
        <v>18</v>
      </c>
      <c r="F455" s="599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5"/>
        <v>0</v>
      </c>
      <c r="P455" s="45">
        <f t="shared" si="236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20.25" hidden="1" customHeight="1">
      <c r="A456" s="598"/>
      <c r="B456" s="604"/>
      <c r="C456" s="604"/>
      <c r="D456" s="604"/>
      <c r="E456" s="606" t="s">
        <v>19</v>
      </c>
      <c r="F456" s="599"/>
      <c r="G456" s="602"/>
      <c r="H456" s="169" t="s">
        <v>12</v>
      </c>
      <c r="I456" s="166"/>
      <c r="J456" s="166"/>
      <c r="K456" s="167"/>
      <c r="L456" s="45">
        <f ca="1">IFERROR(__xludf.DUMMYFUNCTION("IMPORTRANGE(""https://docs.google.com/spreadsheets/d/1kC41EOXpGBFOW658Fs3oD8beYlym0-zO54WY-2Qnp9I/edit?usp=share_link"",""กระบี่!L456"")
+IMPORTRANGE(""https://docs.google.com/spreadsheets/d/1FbzMZY_f3MDiEuK7RpCQKrilJ_kpX0Wm7QBZ1L7EjIU/edit?usp=share_link"&amp;""",""ชุมพร!L456"")+IMPORTRANGE(""https://docs.google.com/spreadsheets/d/1v5sN-00LrXuhBxw4dkh2GrG_z4l5oAqOdJRBCsUyMaM/edit?usp=share_link"",""ตรัง!L456"")+IMPORTRANGE(""https://docs.google.com/spreadsheets/d/1T5rRTzFc79aSIvqnzkZNvwPstq829QYz_xALlO1Z0s8/edi"&amp;"t?usp=share_link"",""นครศรีธรรมราช!L456"")+IMPORTRANGE(""https://docs.google.com/spreadsheets/d/1BeghqumK0IvCmRd2QOy6_afsZq7ZtAGrSnVJy2u7WmY/edit?usp=share_link"",""นราธิวาส!L456"")+IMPORTRANGE(""https://docs.google.com/spreadsheets/d/1IwnW3-jjRf74MCLW-6P"&amp;"iFwMUffRQXZwZA7YM609NmRc/edit?usp=share_link"",""ปัตตานี!L456"")+IMPORTRANGE(""https://docs.google.com/spreadsheets/d/1vl4QWbWdFruual5o_wdo6ZSqXZ_it806oja4CctTLKs/edit?usp=share_link"",""พังงา!L456"")+IMPORTRANGE(""https://docs.google.com/spreadsheets/d/1"&amp;"b6QssHQp2FoAPSMKHOy273KNzAomaIKhtdlvuZ_zDNE/edit?usp=share_link"",""พัทลุง!L456"")+IMPORTRANGE(""https://docs.google.com/spreadsheets/d/1o7UZe4_OqlqtLDHrj01Z2YFRSZDf1DMy1n3XViHaxRc/edit?usp=share_link"",""ภูเก็ต!L456"")+IMPORTRANGE(""https://docs.google.c"&amp;"om/spreadsheets/d/1ctPm1vUzcUCPuOj9-eoHUD85PqINFqUB0TjdSWmR5-c/edit?usp=share_link"",""ยะลา!L456"")+IMPORTRANGE(""https://docs.google.com/spreadsheets/d/1YiDIE7Klmt8osgdapRqYWNr7iPGFSsiJqq46S7PYRE0/edit?usp=share_link"",""ระนอง!L456"")+IMPORTRANGE(""https"&amp;"://docs.google.com/spreadsheets/d/16o_4B-V7AWw_6E93bSpXj_XxVv1oVQctk-B6z1dNEWU/edit?usp=share_link"",""สงขลา!L456"")+IMPORTRANGE(""https://docs.google.com/spreadsheets/d/16cywr71Fj4fA5OGRHsZh30ZG2gwJhMAQv69oVBzYHv0/edit?usp=share_link"",""สตูล!L456"")+IMP"&amp;"ORTRANGE(""https://docs.google.com/spreadsheets/d/1vO9Sws6kMtrVtyvrAJptINXjK8TFBoX9xLYOVK_C8bQ/edit?usp=share_link"",""สุราษฎร์ธานี!L456"")"),0)</f>
        <v>0</v>
      </c>
      <c r="M456" s="93">
        <v>0</v>
      </c>
      <c r="N456" s="93">
        <v>0</v>
      </c>
      <c r="O456" s="45">
        <f t="shared" ca="1" si="235"/>
        <v>0</v>
      </c>
      <c r="P456" s="45">
        <f t="shared" si="236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20.25" customHeight="1">
      <c r="A457" s="607"/>
      <c r="B457" s="608"/>
      <c r="C457" s="574" t="s">
        <v>16</v>
      </c>
      <c r="D457" s="609" t="s">
        <v>38</v>
      </c>
      <c r="E457" s="610"/>
      <c r="F457" s="611"/>
      <c r="G457" s="612"/>
      <c r="H457" s="175"/>
      <c r="I457" s="37"/>
      <c r="J457" s="37"/>
      <c r="K457" s="38"/>
      <c r="L457" s="38"/>
      <c r="M457" s="38"/>
      <c r="N457" s="38"/>
      <c r="O457" s="38"/>
      <c r="P457" s="3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20.25" hidden="1" customHeight="1">
      <c r="A458" s="613"/>
      <c r="B458" s="614"/>
      <c r="C458" s="614"/>
      <c r="D458" s="615" t="s">
        <v>201</v>
      </c>
      <c r="E458" s="614"/>
      <c r="F458" s="600"/>
      <c r="G458" s="366"/>
      <c r="H458" s="370" t="s">
        <v>35</v>
      </c>
      <c r="I458" s="616">
        <v>0</v>
      </c>
      <c r="J458" s="616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20.25" hidden="1" customHeight="1">
      <c r="A459" s="613"/>
      <c r="B459" s="614"/>
      <c r="C459" s="614"/>
      <c r="D459" s="615" t="s">
        <v>202</v>
      </c>
      <c r="E459" s="614"/>
      <c r="F459" s="600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20.25" customHeight="1">
      <c r="A460" s="607"/>
      <c r="B460" s="608"/>
      <c r="C460" s="608"/>
      <c r="D460" s="617" t="s">
        <v>203</v>
      </c>
      <c r="E460" s="608"/>
      <c r="F460" s="618"/>
      <c r="G460" s="175"/>
      <c r="H460" s="182" t="s">
        <v>35</v>
      </c>
      <c r="I460" s="37">
        <f ca="1">IFERROR(__xludf.DUMMYFUNCTION("IMPORTRANGE(""https://docs.google.com/spreadsheets/d/1kC41EOXpGBFOW658Fs3oD8beYlym0-zO54WY-2Qnp9I/edit?usp=share_link"",""กระบี่!I460"")
+IMPORTRANGE(""https://docs.google.com/spreadsheets/d/1FbzMZY_f3MDiEuK7RpCQKrilJ_kpX0Wm7QBZ1L7EjIU/edit?usp=share_link"&amp;""",""ชุมพร!I460"")+IMPORTRANGE(""https://docs.google.com/spreadsheets/d/1v5sN-00LrXuhBxw4dkh2GrG_z4l5oAqOdJRBCsUyMaM/edit?usp=share_link"",""ตรัง!I460"")+IMPORTRANGE(""https://docs.google.com/spreadsheets/d/1T5rRTzFc79aSIvqnzkZNvwPstq829QYz_xALlO1Z0s8/edi"&amp;"t?usp=share_link"",""นครศรีธรรมราช!I460"")+IMPORTRANGE(""https://docs.google.com/spreadsheets/d/1BeghqumK0IvCmRd2QOy6_afsZq7ZtAGrSnVJy2u7WmY/edit?usp=share_link"",""นราธิวาส!I460"")+IMPORTRANGE(""https://docs.google.com/spreadsheets/d/1IwnW3-jjRf74MCLW-6P"&amp;"iFwMUffRQXZwZA7YM609NmRc/edit?usp=share_link"",""ปัตตานี!I460"")+IMPORTRANGE(""https://docs.google.com/spreadsheets/d/1vl4QWbWdFruual5o_wdo6ZSqXZ_it806oja4CctTLKs/edit?usp=share_link"",""พังงา!I460"")+IMPORTRANGE(""https://docs.google.com/spreadsheets/d/1"&amp;"b6QssHQp2FoAPSMKHOy273KNzAomaIKhtdlvuZ_zDNE/edit?usp=share_link"",""พัทลุง!I460"")+IMPORTRANGE(""https://docs.google.com/spreadsheets/d/1o7UZe4_OqlqtLDHrj01Z2YFRSZDf1DMy1n3XViHaxRc/edit?usp=share_link"",""ภูเก็ต!I460"")+IMPORTRANGE(""https://docs.google.c"&amp;"om/spreadsheets/d/1ctPm1vUzcUCPuOj9-eoHUD85PqINFqUB0TjdSWmR5-c/edit?usp=share_link"",""ยะลา!I460"")+IMPORTRANGE(""https://docs.google.com/spreadsheets/d/1YiDIE7Klmt8osgdapRqYWNr7iPGFSsiJqq46S7PYRE0/edit?usp=share_link"",""ระนอง!I460"")+IMPORTRANGE(""https"&amp;"://docs.google.com/spreadsheets/d/16o_4B-V7AWw_6E93bSpXj_XxVv1oVQctk-B6z1dNEWU/edit?usp=share_link"",""สงขลา!I460"")+IMPORTRANGE(""https://docs.google.com/spreadsheets/d/16cywr71Fj4fA5OGRHsZh30ZG2gwJhMAQv69oVBzYHv0/edit?usp=share_link"",""สตูล!I460"")+IMP"&amp;"ORTRANGE(""https://docs.google.com/spreadsheets/d/1vO9Sws6kMtrVtyvrAJptINXjK8TFBoX9xLYOVK_C8bQ/edit?usp=share_link"",""สุราษฎร์ธานี!I460"")"),255)</f>
        <v>255</v>
      </c>
      <c r="J460" s="183">
        <f ca="1">IFERROR(__xludf.DUMMYFUNCTION("IMPORTRANGE(""https://docs.google.com/spreadsheets/d/1kC41EOXpGBFOW658Fs3oD8beYlym0-zO54WY-2Qnp9I/edit?usp=share_link"",""กระบี่!J460"")
+IMPORTRANGE(""https://docs.google.com/spreadsheets/d/1FbzMZY_f3MDiEuK7RpCQKrilJ_kpX0Wm7QBZ1L7EjIU/edit?usp=share_link"&amp;""",""ชุมพร!J460"")+IMPORTRANGE(""https://docs.google.com/spreadsheets/d/1v5sN-00LrXuhBxw4dkh2GrG_z4l5oAqOdJRBCsUyMaM/edit?usp=share_link"",""ตรัง!J460"")+IMPORTRANGE(""https://docs.google.com/spreadsheets/d/1T5rRTzFc79aSIvqnzkZNvwPstq829QYz_xALlO1Z0s8/edi"&amp;"t?usp=share_link"",""นครศรีธรรมราช!J460"")+IMPORTRANGE(""https://docs.google.com/spreadsheets/d/1BeghqumK0IvCmRd2QOy6_afsZq7ZtAGrSnVJy2u7WmY/edit?usp=share_link"",""นราธิวาส!J460"")+IMPORTRANGE(""https://docs.google.com/spreadsheets/d/1IwnW3-jjRf74MCLW-6P"&amp;"iFwMUffRQXZwZA7YM609NmRc/edit?usp=share_link"",""ปัตตานี!J460"")+IMPORTRANGE(""https://docs.google.com/spreadsheets/d/1vl4QWbWdFruual5o_wdo6ZSqXZ_it806oja4CctTLKs/edit?usp=share_link"",""พังงา!J460"")+IMPORTRANGE(""https://docs.google.com/spreadsheets/d/1"&amp;"b6QssHQp2FoAPSMKHOy273KNzAomaIKhtdlvuZ_zDNE/edit?usp=share_link"",""พัทลุง!J460"")+IMPORTRANGE(""https://docs.google.com/spreadsheets/d/1o7UZe4_OqlqtLDHrj01Z2YFRSZDf1DMy1n3XViHaxRc/edit?usp=share_link"",""ภูเก็ต!J460"")+IMPORTRANGE(""https://docs.google.c"&amp;"om/spreadsheets/d/1ctPm1vUzcUCPuOj9-eoHUD85PqINFqUB0TjdSWmR5-c/edit?usp=share_link"",""ยะลา!J460"")+IMPORTRANGE(""https://docs.google.com/spreadsheets/d/1YiDIE7Klmt8osgdapRqYWNr7iPGFSsiJqq46S7PYRE0/edit?usp=share_link"",""ระนอง!J460"")+IMPORTRANGE(""https"&amp;"://docs.google.com/spreadsheets/d/16o_4B-V7AWw_6E93bSpXj_XxVv1oVQctk-B6z1dNEWU/edit?usp=share_link"",""สงขลา!J460"")+IMPORTRANGE(""https://docs.google.com/spreadsheets/d/16cywr71Fj4fA5OGRHsZh30ZG2gwJhMAQv69oVBzYHv0/edit?usp=share_link"",""สตูล!J460"")+IMP"&amp;"ORTRANGE(""https://docs.google.com/spreadsheets/d/1vO9Sws6kMtrVtyvrAJptINXjK8TFBoX9xLYOVK_C8bQ/edit?usp=share_link"",""สุราษฎร์ธานี!J460"")"),255)</f>
        <v>255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20.25" customHeight="1">
      <c r="A461" s="607"/>
      <c r="B461" s="608"/>
      <c r="C461" s="608"/>
      <c r="D461" s="617" t="s">
        <v>204</v>
      </c>
      <c r="E461" s="618"/>
      <c r="F461" s="618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20.25" customHeight="1">
      <c r="A462" s="607"/>
      <c r="B462" s="608"/>
      <c r="C462" s="608"/>
      <c r="D462" s="617" t="s">
        <v>205</v>
      </c>
      <c r="E462" s="618"/>
      <c r="F462" s="618"/>
      <c r="G462" s="175"/>
      <c r="H462" s="182" t="s">
        <v>46</v>
      </c>
      <c r="I462" s="37">
        <f ca="1">IFERROR(__xludf.DUMMYFUNCTION("IMPORTRANGE(""https://docs.google.com/spreadsheets/d/1kC41EOXpGBFOW658Fs3oD8beYlym0-zO54WY-2Qnp9I/edit?usp=share_link"",""กระบี่!I462"")
+IMPORTRANGE(""https://docs.google.com/spreadsheets/d/1FbzMZY_f3MDiEuK7RpCQKrilJ_kpX0Wm7QBZ1L7EjIU/edit?usp=share_link"&amp;""",""ชุมพร!I462"")+IMPORTRANGE(""https://docs.google.com/spreadsheets/d/1v5sN-00LrXuhBxw4dkh2GrG_z4l5oAqOdJRBCsUyMaM/edit?usp=share_link"",""ตรัง!I462"")+IMPORTRANGE(""https://docs.google.com/spreadsheets/d/1T5rRTzFc79aSIvqnzkZNvwPstq829QYz_xALlO1Z0s8/edi"&amp;"t?usp=share_link"",""นครศรีธรรมราช!I462"")+IMPORTRANGE(""https://docs.google.com/spreadsheets/d/1BeghqumK0IvCmRd2QOy6_afsZq7ZtAGrSnVJy2u7WmY/edit?usp=share_link"",""นราธิวาส!I462"")+IMPORTRANGE(""https://docs.google.com/spreadsheets/d/1IwnW3-jjRf74MCLW-6P"&amp;"iFwMUffRQXZwZA7YM609NmRc/edit?usp=share_link"",""ปัตตานี!I462"")+IMPORTRANGE(""https://docs.google.com/spreadsheets/d/1vl4QWbWdFruual5o_wdo6ZSqXZ_it806oja4CctTLKs/edit?usp=share_link"",""พังงา!I462"")+IMPORTRANGE(""https://docs.google.com/spreadsheets/d/1"&amp;"b6QssHQp2FoAPSMKHOy273KNzAomaIKhtdlvuZ_zDNE/edit?usp=share_link"",""พัทลุง!I462"")+IMPORTRANGE(""https://docs.google.com/spreadsheets/d/1o7UZe4_OqlqtLDHrj01Z2YFRSZDf1DMy1n3XViHaxRc/edit?usp=share_link"",""ภูเก็ต!I462"")+IMPORTRANGE(""https://docs.google.c"&amp;"om/spreadsheets/d/1ctPm1vUzcUCPuOj9-eoHUD85PqINFqUB0TjdSWmR5-c/edit?usp=share_link"",""ยะลา!I462"")+IMPORTRANGE(""https://docs.google.com/spreadsheets/d/1YiDIE7Klmt8osgdapRqYWNr7iPGFSsiJqq46S7PYRE0/edit?usp=share_link"",""ระนอง!I462"")+IMPORTRANGE(""https"&amp;"://docs.google.com/spreadsheets/d/16o_4B-V7AWw_6E93bSpXj_XxVv1oVQctk-B6z1dNEWU/edit?usp=share_link"",""สงขลา!I462"")+IMPORTRANGE(""https://docs.google.com/spreadsheets/d/16cywr71Fj4fA5OGRHsZh30ZG2gwJhMAQv69oVBzYHv0/edit?usp=share_link"",""สตูล!I462"")+IMP"&amp;"ORTRANGE(""https://docs.google.com/spreadsheets/d/1vO9Sws6kMtrVtyvrAJptINXjK8TFBoX9xLYOVK_C8bQ/edit?usp=share_link"",""สุราษฎร์ธานี!I462"")"),820)</f>
        <v>820</v>
      </c>
      <c r="J462" s="183">
        <f ca="1">IFERROR(__xludf.DUMMYFUNCTION("IMPORTRANGE(""https://docs.google.com/spreadsheets/d/1kC41EOXpGBFOW658Fs3oD8beYlym0-zO54WY-2Qnp9I/edit?usp=share_link"",""กระบี่!J462"")
+IMPORTRANGE(""https://docs.google.com/spreadsheets/d/1FbzMZY_f3MDiEuK7RpCQKrilJ_kpX0Wm7QBZ1L7EjIU/edit?usp=share_link"&amp;""",""ชุมพร!J462"")+IMPORTRANGE(""https://docs.google.com/spreadsheets/d/1v5sN-00LrXuhBxw4dkh2GrG_z4l5oAqOdJRBCsUyMaM/edit?usp=share_link"",""ตรัง!J462"")+IMPORTRANGE(""https://docs.google.com/spreadsheets/d/1T5rRTzFc79aSIvqnzkZNvwPstq829QYz_xALlO1Z0s8/edi"&amp;"t?usp=share_link"",""นครศรีธรรมราช!J462"")+IMPORTRANGE(""https://docs.google.com/spreadsheets/d/1BeghqumK0IvCmRd2QOy6_afsZq7ZtAGrSnVJy2u7WmY/edit?usp=share_link"",""นราธิวาส!J462"")+IMPORTRANGE(""https://docs.google.com/spreadsheets/d/1IwnW3-jjRf74MCLW-6P"&amp;"iFwMUffRQXZwZA7YM609NmRc/edit?usp=share_link"",""ปัตตานี!J462"")+IMPORTRANGE(""https://docs.google.com/spreadsheets/d/1vl4QWbWdFruual5o_wdo6ZSqXZ_it806oja4CctTLKs/edit?usp=share_link"",""พังงา!J462"")+IMPORTRANGE(""https://docs.google.com/spreadsheets/d/1"&amp;"b6QssHQp2FoAPSMKHOy273KNzAomaIKhtdlvuZ_zDNE/edit?usp=share_link"",""พัทลุง!J462"")+IMPORTRANGE(""https://docs.google.com/spreadsheets/d/1o7UZe4_OqlqtLDHrj01Z2YFRSZDf1DMy1n3XViHaxRc/edit?usp=share_link"",""ภูเก็ต!J462"")+IMPORTRANGE(""https://docs.google.c"&amp;"om/spreadsheets/d/1ctPm1vUzcUCPuOj9-eoHUD85PqINFqUB0TjdSWmR5-c/edit?usp=share_link"",""ยะลา!J462"")+IMPORTRANGE(""https://docs.google.com/spreadsheets/d/1YiDIE7Klmt8osgdapRqYWNr7iPGFSsiJqq46S7PYRE0/edit?usp=share_link"",""ระนอง!J462"")+IMPORTRANGE(""https"&amp;"://docs.google.com/spreadsheets/d/16o_4B-V7AWw_6E93bSpXj_XxVv1oVQctk-B6z1dNEWU/edit?usp=share_link"",""สงขลา!J462"")+IMPORTRANGE(""https://docs.google.com/spreadsheets/d/16cywr71Fj4fA5OGRHsZh30ZG2gwJhMAQv69oVBzYHv0/edit?usp=share_link"",""สตูล!J462"")+IMP"&amp;"ORTRANGE(""https://docs.google.com/spreadsheets/d/1vO9Sws6kMtrVtyvrAJptINXjK8TFBoX9xLYOVK_C8bQ/edit?usp=share_link"",""สุราษฎร์ธานี!J462"")"),770)</f>
        <v>770</v>
      </c>
      <c r="K462" s="38">
        <f ca="1">IF(I462&gt;0,J462*100/I462,0)</f>
        <v>93.902439024390247</v>
      </c>
      <c r="L462" s="38"/>
      <c r="M462" s="38"/>
      <c r="N462" s="38"/>
      <c r="O462" s="38"/>
      <c r="P462" s="3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20.25" customHeight="1">
      <c r="A463" s="607"/>
      <c r="B463" s="608"/>
      <c r="C463" s="608"/>
      <c r="D463" s="617" t="s">
        <v>59</v>
      </c>
      <c r="E463" s="618"/>
      <c r="F463" s="575"/>
      <c r="G463" s="189"/>
      <c r="H463" s="182" t="s">
        <v>46</v>
      </c>
      <c r="I463" s="270">
        <f ca="1">IFERROR(__xludf.DUMMYFUNCTION("IMPORTRANGE(""https://docs.google.com/spreadsheets/d/1kC41EOXpGBFOW658Fs3oD8beYlym0-zO54WY-2Qnp9I/edit?usp=share_link"",""กระบี่!I463"")
+IMPORTRANGE(""https://docs.google.com/spreadsheets/d/1FbzMZY_f3MDiEuK7RpCQKrilJ_kpX0Wm7QBZ1L7EjIU/edit?usp=share_link"&amp;""",""ชุมพร!I463"")+IMPORTRANGE(""https://docs.google.com/spreadsheets/d/1v5sN-00LrXuhBxw4dkh2GrG_z4l5oAqOdJRBCsUyMaM/edit?usp=share_link"",""ตรัง!I463"")+IMPORTRANGE(""https://docs.google.com/spreadsheets/d/1T5rRTzFc79aSIvqnzkZNvwPstq829QYz_xALlO1Z0s8/edi"&amp;"t?usp=share_link"",""นครศรีธรรมราช!I463"")+IMPORTRANGE(""https://docs.google.com/spreadsheets/d/1BeghqumK0IvCmRd2QOy6_afsZq7ZtAGrSnVJy2u7WmY/edit?usp=share_link"",""นราธิวาส!I463"")+IMPORTRANGE(""https://docs.google.com/spreadsheets/d/1IwnW3-jjRf74MCLW-6P"&amp;"iFwMUffRQXZwZA7YM609NmRc/edit?usp=share_link"",""ปัตตานี!I463"")+IMPORTRANGE(""https://docs.google.com/spreadsheets/d/1vl4QWbWdFruual5o_wdo6ZSqXZ_it806oja4CctTLKs/edit?usp=share_link"",""พังงา!I463"")+IMPORTRANGE(""https://docs.google.com/spreadsheets/d/1"&amp;"b6QssHQp2FoAPSMKHOy273KNzAomaIKhtdlvuZ_zDNE/edit?usp=share_link"",""พัทลุง!I463"")+IMPORTRANGE(""https://docs.google.com/spreadsheets/d/1o7UZe4_OqlqtLDHrj01Z2YFRSZDf1DMy1n3XViHaxRc/edit?usp=share_link"",""ภูเก็ต!I463"")+IMPORTRANGE(""https://docs.google.c"&amp;"om/spreadsheets/d/1ctPm1vUzcUCPuOj9-eoHUD85PqINFqUB0TjdSWmR5-c/edit?usp=share_link"",""ยะลา!I463"")+IMPORTRANGE(""https://docs.google.com/spreadsheets/d/1YiDIE7Klmt8osgdapRqYWNr7iPGFSsiJqq46S7PYRE0/edit?usp=share_link"",""ระนอง!I463"")+IMPORTRANGE(""https"&amp;"://docs.google.com/spreadsheets/d/16o_4B-V7AWw_6E93bSpXj_XxVv1oVQctk-B6z1dNEWU/edit?usp=share_link"",""สงขลา!I463"")+IMPORTRANGE(""https://docs.google.com/spreadsheets/d/16cywr71Fj4fA5OGRHsZh30ZG2gwJhMAQv69oVBzYHv0/edit?usp=share_link"",""สตูล!I463"")+IMP"&amp;"ORTRANGE(""https://docs.google.com/spreadsheets/d/1vO9Sws6kMtrVtyvrAJptINXjK8TFBoX9xLYOVK_C8bQ/edit?usp=share_link"",""สุราษฎร์ธานี!I463"")"),820)</f>
        <v>820</v>
      </c>
      <c r="J463" s="183">
        <f ca="1">IFERROR(__xludf.DUMMYFUNCTION("IMPORTRANGE(""https://docs.google.com/spreadsheets/d/1kC41EOXpGBFOW658Fs3oD8beYlym0-zO54WY-2Qnp9I/edit?usp=share_link"",""กระบี่!J463"")
+IMPORTRANGE(""https://docs.google.com/spreadsheets/d/1FbzMZY_f3MDiEuK7RpCQKrilJ_kpX0Wm7QBZ1L7EjIU/edit?usp=share_link"&amp;""",""ชุมพร!J463"")+IMPORTRANGE(""https://docs.google.com/spreadsheets/d/1v5sN-00LrXuhBxw4dkh2GrG_z4l5oAqOdJRBCsUyMaM/edit?usp=share_link"",""ตรัง!J463"")+IMPORTRANGE(""https://docs.google.com/spreadsheets/d/1T5rRTzFc79aSIvqnzkZNvwPstq829QYz_xALlO1Z0s8/edi"&amp;"t?usp=share_link"",""นครศรีธรรมราช!J463"")+IMPORTRANGE(""https://docs.google.com/spreadsheets/d/1BeghqumK0IvCmRd2QOy6_afsZq7ZtAGrSnVJy2u7WmY/edit?usp=share_link"",""นราธิวาส!J463"")+IMPORTRANGE(""https://docs.google.com/spreadsheets/d/1IwnW3-jjRf74MCLW-6P"&amp;"iFwMUffRQXZwZA7YM609NmRc/edit?usp=share_link"",""ปัตตานี!J463"")+IMPORTRANGE(""https://docs.google.com/spreadsheets/d/1vl4QWbWdFruual5o_wdo6ZSqXZ_it806oja4CctTLKs/edit?usp=share_link"",""พังงา!J463"")+IMPORTRANGE(""https://docs.google.com/spreadsheets/d/1"&amp;"b6QssHQp2FoAPSMKHOy273KNzAomaIKhtdlvuZ_zDNE/edit?usp=share_link"",""พัทลุง!J463"")+IMPORTRANGE(""https://docs.google.com/spreadsheets/d/1o7UZe4_OqlqtLDHrj01Z2YFRSZDf1DMy1n3XViHaxRc/edit?usp=share_link"",""ภูเก็ต!J463"")+IMPORTRANGE(""https://docs.google.c"&amp;"om/spreadsheets/d/1ctPm1vUzcUCPuOj9-eoHUD85PqINFqUB0TjdSWmR5-c/edit?usp=share_link"",""ยะลา!J463"")+IMPORTRANGE(""https://docs.google.com/spreadsheets/d/1YiDIE7Klmt8osgdapRqYWNr7iPGFSsiJqq46S7PYRE0/edit?usp=share_link"",""ระนอง!J463"")+IMPORTRANGE(""https"&amp;"://docs.google.com/spreadsheets/d/16o_4B-V7AWw_6E93bSpXj_XxVv1oVQctk-B6z1dNEWU/edit?usp=share_link"",""สงขลา!J463"")+IMPORTRANGE(""https://docs.google.com/spreadsheets/d/16cywr71Fj4fA5OGRHsZh30ZG2gwJhMAQv69oVBzYHv0/edit?usp=share_link"",""สตูล!J463"")+IMP"&amp;"ORTRANGE(""https://docs.google.com/spreadsheets/d/1vO9Sws6kMtrVtyvrAJptINXjK8TFBoX9xLYOVK_C8bQ/edit?usp=share_link"",""สุราษฎร์ธานี!J463"")"),170)</f>
        <v>170</v>
      </c>
      <c r="K463" s="38"/>
      <c r="L463" s="38"/>
      <c r="M463" s="38"/>
      <c r="N463" s="38"/>
      <c r="O463" s="38"/>
      <c r="P463" s="3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20.25" customHeight="1">
      <c r="A464" s="607"/>
      <c r="B464" s="608"/>
      <c r="C464" s="608"/>
      <c r="D464" s="608"/>
      <c r="E464" s="618"/>
      <c r="F464" s="618"/>
      <c r="G464" s="619"/>
      <c r="H464" s="182" t="s">
        <v>35</v>
      </c>
      <c r="I464" s="270">
        <f ca="1">IFERROR(__xludf.DUMMYFUNCTION("IMPORTRANGE(""https://docs.google.com/spreadsheets/d/1kC41EOXpGBFOW658Fs3oD8beYlym0-zO54WY-2Qnp9I/edit?usp=share_link"",""กระบี่!I464"")
+IMPORTRANGE(""https://docs.google.com/spreadsheets/d/1FbzMZY_f3MDiEuK7RpCQKrilJ_kpX0Wm7QBZ1L7EjIU/edit?usp=share_link"&amp;""",""ชุมพร!I464"")+IMPORTRANGE(""https://docs.google.com/spreadsheets/d/1v5sN-00LrXuhBxw4dkh2GrG_z4l5oAqOdJRBCsUyMaM/edit?usp=share_link"",""ตรัง!I464"")+IMPORTRANGE(""https://docs.google.com/spreadsheets/d/1T5rRTzFc79aSIvqnzkZNvwPstq829QYz_xALlO1Z0s8/edi"&amp;"t?usp=share_link"",""นครศรีธรรมราช!I464"")+IMPORTRANGE(""https://docs.google.com/spreadsheets/d/1BeghqumK0IvCmRd2QOy6_afsZq7ZtAGrSnVJy2u7WmY/edit?usp=share_link"",""นราธิวาส!I464"")+IMPORTRANGE(""https://docs.google.com/spreadsheets/d/1IwnW3-jjRf74MCLW-6P"&amp;"iFwMUffRQXZwZA7YM609NmRc/edit?usp=share_link"",""ปัตตานี!I464"")+IMPORTRANGE(""https://docs.google.com/spreadsheets/d/1vl4QWbWdFruual5o_wdo6ZSqXZ_it806oja4CctTLKs/edit?usp=share_link"",""พังงา!I464"")+IMPORTRANGE(""https://docs.google.com/spreadsheets/d/1"&amp;"b6QssHQp2FoAPSMKHOy273KNzAomaIKhtdlvuZ_zDNE/edit?usp=share_link"",""พัทลุง!I464"")+IMPORTRANGE(""https://docs.google.com/spreadsheets/d/1o7UZe4_OqlqtLDHrj01Z2YFRSZDf1DMy1n3XViHaxRc/edit?usp=share_link"",""ภูเก็ต!I464"")+IMPORTRANGE(""https://docs.google.c"&amp;"om/spreadsheets/d/1ctPm1vUzcUCPuOj9-eoHUD85PqINFqUB0TjdSWmR5-c/edit?usp=share_link"",""ยะลา!I464"")+IMPORTRANGE(""https://docs.google.com/spreadsheets/d/1YiDIE7Klmt8osgdapRqYWNr7iPGFSsiJqq46S7PYRE0/edit?usp=share_link"",""ระนอง!I464"")+IMPORTRANGE(""https"&amp;"://docs.google.com/spreadsheets/d/16o_4B-V7AWw_6E93bSpXj_XxVv1oVQctk-B6z1dNEWU/edit?usp=share_link"",""สงขลา!I464"")+IMPORTRANGE(""https://docs.google.com/spreadsheets/d/16cywr71Fj4fA5OGRHsZh30ZG2gwJhMAQv69oVBzYHv0/edit?usp=share_link"",""สตูล!I464"")+IMP"&amp;"ORTRANGE(""https://docs.google.com/spreadsheets/d/1vO9Sws6kMtrVtyvrAJptINXjK8TFBoX9xLYOVK_C8bQ/edit?usp=share_link"",""สุราษฎร์ธานี!I464"")"),255)</f>
        <v>255</v>
      </c>
      <c r="J464" s="183">
        <f ca="1">IFERROR(__xludf.DUMMYFUNCTION("IMPORTRANGE(""https://docs.google.com/spreadsheets/d/1kC41EOXpGBFOW658Fs3oD8beYlym0-zO54WY-2Qnp9I/edit?usp=share_link"",""กระบี่!J464"")
+IMPORTRANGE(""https://docs.google.com/spreadsheets/d/1FbzMZY_f3MDiEuK7RpCQKrilJ_kpX0Wm7QBZ1L7EjIU/edit?usp=share_link"&amp;""",""ชุมพร!J464"")+IMPORTRANGE(""https://docs.google.com/spreadsheets/d/1v5sN-00LrXuhBxw4dkh2GrG_z4l5oAqOdJRBCsUyMaM/edit?usp=share_link"",""ตรัง!J464"")+IMPORTRANGE(""https://docs.google.com/spreadsheets/d/1T5rRTzFc79aSIvqnzkZNvwPstq829QYz_xALlO1Z0s8/edi"&amp;"t?usp=share_link"",""นครศรีธรรมราช!J464"")+IMPORTRANGE(""https://docs.google.com/spreadsheets/d/1BeghqumK0IvCmRd2QOy6_afsZq7ZtAGrSnVJy2u7WmY/edit?usp=share_link"",""นราธิวาส!J464"")+IMPORTRANGE(""https://docs.google.com/spreadsheets/d/1IwnW3-jjRf74MCLW-6P"&amp;"iFwMUffRQXZwZA7YM609NmRc/edit?usp=share_link"",""ปัตตานี!J464"")+IMPORTRANGE(""https://docs.google.com/spreadsheets/d/1vl4QWbWdFruual5o_wdo6ZSqXZ_it806oja4CctTLKs/edit?usp=share_link"",""พังงา!J464"")+IMPORTRANGE(""https://docs.google.com/spreadsheets/d/1"&amp;"b6QssHQp2FoAPSMKHOy273KNzAomaIKhtdlvuZ_zDNE/edit?usp=share_link"",""พัทลุง!J464"")+IMPORTRANGE(""https://docs.google.com/spreadsheets/d/1o7UZe4_OqlqtLDHrj01Z2YFRSZDf1DMy1n3XViHaxRc/edit?usp=share_link"",""ภูเก็ต!J464"")+IMPORTRANGE(""https://docs.google.c"&amp;"om/spreadsheets/d/1ctPm1vUzcUCPuOj9-eoHUD85PqINFqUB0TjdSWmR5-c/edit?usp=share_link"",""ยะลา!J464"")+IMPORTRANGE(""https://docs.google.com/spreadsheets/d/1YiDIE7Klmt8osgdapRqYWNr7iPGFSsiJqq46S7PYRE0/edit?usp=share_link"",""ระนอง!J464"")+IMPORTRANGE(""https"&amp;"://docs.google.com/spreadsheets/d/16o_4B-V7AWw_6E93bSpXj_XxVv1oVQctk-B6z1dNEWU/edit?usp=share_link"",""สงขลา!J464"")+IMPORTRANGE(""https://docs.google.com/spreadsheets/d/16cywr71Fj4fA5OGRHsZh30ZG2gwJhMAQv69oVBzYHv0/edit?usp=share_link"",""สตูล!J464"")+IMP"&amp;"ORTRANGE(""https://docs.google.com/spreadsheets/d/1vO9Sws6kMtrVtyvrAJptINXjK8TFBoX9xLYOVK_C8bQ/edit?usp=share_link"",""สุราษฎร์ธานี!J464"")"),60)</f>
        <v>60</v>
      </c>
      <c r="K464" s="38"/>
      <c r="L464" s="38"/>
      <c r="M464" s="38"/>
      <c r="N464" s="38"/>
      <c r="O464" s="38"/>
      <c r="P464" s="3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20.25" customHeight="1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IFERROR(__xludf.DUMMYFUNCTION("IMPORTRANGE(""https://docs.google.com/spreadsheets/d/1kC41EOXpGBFOW658Fs3oD8beYlym0-zO54WY-2Qnp9I/edit?usp=share_link"",""กระบี่!I465"")
+IMPORTRANGE(""https://docs.google.com/spreadsheets/d/1FbzMZY_f3MDiEuK7RpCQKrilJ_kpX0Wm7QBZ1L7EjIU/edit?usp=share_link"&amp;""",""ชุมพร!I465"")+IMPORTRANGE(""https://docs.google.com/spreadsheets/d/1v5sN-00LrXuhBxw4dkh2GrG_z4l5oAqOdJRBCsUyMaM/edit?usp=share_link"",""ตรัง!I465"")+IMPORTRANGE(""https://docs.google.com/spreadsheets/d/1T5rRTzFc79aSIvqnzkZNvwPstq829QYz_xALlO1Z0s8/edi"&amp;"t?usp=share_link"",""นครศรีธรรมราช!I465"")+IMPORTRANGE(""https://docs.google.com/spreadsheets/d/1BeghqumK0IvCmRd2QOy6_afsZq7ZtAGrSnVJy2u7WmY/edit?usp=share_link"",""นราธิวาส!I465"")+IMPORTRANGE(""https://docs.google.com/spreadsheets/d/1IwnW3-jjRf74MCLW-6P"&amp;"iFwMUffRQXZwZA7YM609NmRc/edit?usp=share_link"",""ปัตตานี!I465"")+IMPORTRANGE(""https://docs.google.com/spreadsheets/d/1vl4QWbWdFruual5o_wdo6ZSqXZ_it806oja4CctTLKs/edit?usp=share_link"",""พังงา!I465"")+IMPORTRANGE(""https://docs.google.com/spreadsheets/d/1"&amp;"b6QssHQp2FoAPSMKHOy273KNzAomaIKhtdlvuZ_zDNE/edit?usp=share_link"",""พัทลุง!I465"")+IMPORTRANGE(""https://docs.google.com/spreadsheets/d/1o7UZe4_OqlqtLDHrj01Z2YFRSZDf1DMy1n3XViHaxRc/edit?usp=share_link"",""ภูเก็ต!I465"")+IMPORTRANGE(""https://docs.google.c"&amp;"om/spreadsheets/d/1ctPm1vUzcUCPuOj9-eoHUD85PqINFqUB0TjdSWmR5-c/edit?usp=share_link"",""ยะลา!I465"")+IMPORTRANGE(""https://docs.google.com/spreadsheets/d/1YiDIE7Klmt8osgdapRqYWNr7iPGFSsiJqq46S7PYRE0/edit?usp=share_link"",""ระนอง!I465"")+IMPORTRANGE(""https"&amp;"://docs.google.com/spreadsheets/d/16o_4B-V7AWw_6E93bSpXj_XxVv1oVQctk-B6z1dNEWU/edit?usp=share_link"",""สงขลา!I465"")+IMPORTRANGE(""https://docs.google.com/spreadsheets/d/16cywr71Fj4fA5OGRHsZh30ZG2gwJhMAQv69oVBzYHv0/edit?usp=share_link"",""สตูล!I465"")+IMP"&amp;"ORTRANGE(""https://docs.google.com/spreadsheets/d/1vO9Sws6kMtrVtyvrAJptINXjK8TFBoX9xLYOVK_C8bQ/edit?usp=share_link"",""สุราษฎร์ธานี!I465"")"),494)</f>
        <v>494</v>
      </c>
      <c r="J465" s="589">
        <f ca="1">J485+J489+J492</f>
        <v>500</v>
      </c>
      <c r="K465" s="590">
        <f t="shared" ref="K465:K466" ca="1" si="237">IF(I465&gt;0,J465*100/I465,0)</f>
        <v>101.21457489878543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20.25" customHeight="1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IFERROR(__xludf.DUMMYFUNCTION("IMPORTRANGE(""https://docs.google.com/spreadsheets/d/1kC41EOXpGBFOW658Fs3oD8beYlym0-zO54WY-2Qnp9I/edit?usp=share_link"",""กระบี่!I466"")
+IMPORTRANGE(""https://docs.google.com/spreadsheets/d/1FbzMZY_f3MDiEuK7RpCQKrilJ_kpX0Wm7QBZ1L7EjIU/edit?usp=share_link"&amp;""",""ชุมพร!I466"")+IMPORTRANGE(""https://docs.google.com/spreadsheets/d/1v5sN-00LrXuhBxw4dkh2GrG_z4l5oAqOdJRBCsUyMaM/edit?usp=share_link"",""ตรัง!I466"")+IMPORTRANGE(""https://docs.google.com/spreadsheets/d/1T5rRTzFc79aSIvqnzkZNvwPstq829QYz_xALlO1Z0s8/edi"&amp;"t?usp=share_link"",""นครศรีธรรมราช!I466"")+IMPORTRANGE(""https://docs.google.com/spreadsheets/d/1BeghqumK0IvCmRd2QOy6_afsZq7ZtAGrSnVJy2u7WmY/edit?usp=share_link"",""นราธิวาส!I466"")+IMPORTRANGE(""https://docs.google.com/spreadsheets/d/1IwnW3-jjRf74MCLW-6P"&amp;"iFwMUffRQXZwZA7YM609NmRc/edit?usp=share_link"",""ปัตตานี!I466"")+IMPORTRANGE(""https://docs.google.com/spreadsheets/d/1vl4QWbWdFruual5o_wdo6ZSqXZ_it806oja4CctTLKs/edit?usp=share_link"",""พังงา!I466"")+IMPORTRANGE(""https://docs.google.com/spreadsheets/d/1"&amp;"b6QssHQp2FoAPSMKHOy273KNzAomaIKhtdlvuZ_zDNE/edit?usp=share_link"",""พัทลุง!I466"")+IMPORTRANGE(""https://docs.google.com/spreadsheets/d/1o7UZe4_OqlqtLDHrj01Z2YFRSZDf1DMy1n3XViHaxRc/edit?usp=share_link"",""ภูเก็ต!I466"")+IMPORTRANGE(""https://docs.google.c"&amp;"om/spreadsheets/d/1ctPm1vUzcUCPuOj9-eoHUD85PqINFqUB0TjdSWmR5-c/edit?usp=share_link"",""ยะลา!I466"")+IMPORTRANGE(""https://docs.google.com/spreadsheets/d/1YiDIE7Klmt8osgdapRqYWNr7iPGFSsiJqq46S7PYRE0/edit?usp=share_link"",""ระนอง!I466"")+IMPORTRANGE(""https"&amp;"://docs.google.com/spreadsheets/d/16o_4B-V7AWw_6E93bSpXj_XxVv1oVQctk-B6z1dNEWU/edit?usp=share_link"",""สงขลา!I466"")+IMPORTRANGE(""https://docs.google.com/spreadsheets/d/16cywr71Fj4fA5OGRHsZh30ZG2gwJhMAQv69oVBzYHv0/edit?usp=share_link"",""สตูล!I466"")+IMP"&amp;"ORTRANGE(""https://docs.google.com/spreadsheets/d/1vO9Sws6kMtrVtyvrAJptINXjK8TFBoX9xLYOVK_C8bQ/edit?usp=share_link"",""สุราษฎร์ธานี!I466"")"),4800)</f>
        <v>4800</v>
      </c>
      <c r="J466" s="569">
        <f ca="1">J495+J498</f>
        <v>1300</v>
      </c>
      <c r="K466" s="570">
        <f t="shared" ca="1" si="237"/>
        <v>27.083333333333332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20.25" customHeight="1">
      <c r="A467" s="596"/>
      <c r="B467" s="575"/>
      <c r="C467" s="575" t="s">
        <v>16</v>
      </c>
      <c r="D467" s="847" t="s">
        <v>17</v>
      </c>
      <c r="E467" s="841"/>
      <c r="F467" s="841"/>
      <c r="G467" s="189"/>
      <c r="H467" s="597" t="s">
        <v>12</v>
      </c>
      <c r="I467" s="37"/>
      <c r="J467" s="37"/>
      <c r="K467" s="38"/>
      <c r="L467" s="195">
        <f t="shared" ref="L467:N467" ca="1" si="238">L468+L469</f>
        <v>4311197</v>
      </c>
      <c r="M467" s="195">
        <f t="shared" ca="1" si="238"/>
        <v>4311197</v>
      </c>
      <c r="N467" s="195">
        <f t="shared" ca="1" si="238"/>
        <v>1738514.99</v>
      </c>
      <c r="O467" s="195">
        <f t="shared" ref="O467:O472" ca="1" si="239">IF(L467&gt;0,N467*100/L467,0)</f>
        <v>40.325575240472659</v>
      </c>
      <c r="P467" s="195">
        <f t="shared" ref="P467:P472" ca="1" si="240">IF(M467&gt;0,N467*100/M467,0)</f>
        <v>40.325575240472659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20.25" hidden="1" customHeight="1">
      <c r="A468" s="598"/>
      <c r="B468" s="599"/>
      <c r="C468" s="599"/>
      <c r="D468" s="600"/>
      <c r="E468" s="601" t="s">
        <v>185</v>
      </c>
      <c r="F468" s="599"/>
      <c r="G468" s="602"/>
      <c r="H468" s="165" t="s">
        <v>12</v>
      </c>
      <c r="I468" s="44"/>
      <c r="J468" s="44"/>
      <c r="K468" s="45"/>
      <c r="L468" s="45">
        <f t="shared" ref="L468:N468" si="241">L471+L478</f>
        <v>0</v>
      </c>
      <c r="M468" s="45">
        <f t="shared" si="241"/>
        <v>0</v>
      </c>
      <c r="N468" s="45">
        <f t="shared" si="241"/>
        <v>0</v>
      </c>
      <c r="O468" s="45">
        <f t="shared" si="239"/>
        <v>0</v>
      </c>
      <c r="P468" s="45">
        <f t="shared" si="240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20.25" hidden="1" customHeight="1">
      <c r="A469" s="598"/>
      <c r="B469" s="604"/>
      <c r="C469" s="599"/>
      <c r="D469" s="600"/>
      <c r="E469" s="601" t="s">
        <v>186</v>
      </c>
      <c r="F469" s="599"/>
      <c r="G469" s="602"/>
      <c r="H469" s="165" t="s">
        <v>12</v>
      </c>
      <c r="I469" s="44"/>
      <c r="J469" s="44"/>
      <c r="K469" s="45"/>
      <c r="L469" s="45">
        <f t="shared" ref="L469:N469" ca="1" si="242">L472+L479</f>
        <v>4311197</v>
      </c>
      <c r="M469" s="45">
        <f t="shared" ca="1" si="242"/>
        <v>4311197</v>
      </c>
      <c r="N469" s="45">
        <f t="shared" ca="1" si="242"/>
        <v>1738514.99</v>
      </c>
      <c r="O469" s="45">
        <f t="shared" ca="1" si="239"/>
        <v>40.325575240472659</v>
      </c>
      <c r="P469" s="45">
        <f t="shared" ca="1" si="240"/>
        <v>40.325575240472659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20.25" customHeight="1">
      <c r="A470" s="596"/>
      <c r="B470" s="574"/>
      <c r="C470" s="575"/>
      <c r="D470" s="605" t="s">
        <v>20</v>
      </c>
      <c r="E470" s="575"/>
      <c r="F470" s="575"/>
      <c r="G470" s="189"/>
      <c r="H470" s="161" t="s">
        <v>12</v>
      </c>
      <c r="I470" s="162"/>
      <c r="J470" s="162"/>
      <c r="K470" s="163"/>
      <c r="L470" s="38">
        <f t="shared" ref="L470:N470" ca="1" si="243">L471+L472</f>
        <v>4311197</v>
      </c>
      <c r="M470" s="38">
        <f t="shared" ca="1" si="243"/>
        <v>4311197</v>
      </c>
      <c r="N470" s="38">
        <f t="shared" ca="1" si="243"/>
        <v>1738514.99</v>
      </c>
      <c r="O470" s="38">
        <f t="shared" ca="1" si="239"/>
        <v>40.325575240472659</v>
      </c>
      <c r="P470" s="38">
        <f t="shared" ca="1" si="240"/>
        <v>40.325575240472659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20.25" hidden="1" customHeight="1">
      <c r="A471" s="598"/>
      <c r="B471" s="604"/>
      <c r="C471" s="599"/>
      <c r="D471" s="600"/>
      <c r="E471" s="601" t="s">
        <v>185</v>
      </c>
      <c r="F471" s="599"/>
      <c r="G471" s="602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39"/>
        <v>0</v>
      </c>
      <c r="P471" s="45">
        <f t="shared" si="240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20.25" hidden="1" customHeight="1">
      <c r="A472" s="598"/>
      <c r="B472" s="604"/>
      <c r="C472" s="599"/>
      <c r="D472" s="600"/>
      <c r="E472" s="601" t="s">
        <v>186</v>
      </c>
      <c r="F472" s="599"/>
      <c r="G472" s="602"/>
      <c r="H472" s="165" t="s">
        <v>12</v>
      </c>
      <c r="I472" s="44"/>
      <c r="J472" s="44"/>
      <c r="K472" s="45"/>
      <c r="L472" s="45">
        <f ca="1">IFERROR(__xludf.DUMMYFUNCTION("IMPORTRANGE(""https://docs.google.com/spreadsheets/d/1kC41EOXpGBFOW658Fs3oD8beYlym0-zO54WY-2Qnp9I/edit?usp=share_link"",""กระบี่!L472"")
+IMPORTRANGE(""https://docs.google.com/spreadsheets/d/1FbzMZY_f3MDiEuK7RpCQKrilJ_kpX0Wm7QBZ1L7EjIU/edit?usp=share_link"&amp;""",""ชุมพร!L472"")+IMPORTRANGE(""https://docs.google.com/spreadsheets/d/1v5sN-00LrXuhBxw4dkh2GrG_z4l5oAqOdJRBCsUyMaM/edit?usp=share_link"",""ตรัง!L472"")+IMPORTRANGE(""https://docs.google.com/spreadsheets/d/1T5rRTzFc79aSIvqnzkZNvwPstq829QYz_xALlO1Z0s8/edi"&amp;"t?usp=share_link"",""นครศรีธรรมราช!L472"")+IMPORTRANGE(""https://docs.google.com/spreadsheets/d/1BeghqumK0IvCmRd2QOy6_afsZq7ZtAGrSnVJy2u7WmY/edit?usp=share_link"",""นราธิวาส!L472"")+IMPORTRANGE(""https://docs.google.com/spreadsheets/d/1IwnW3-jjRf74MCLW-6P"&amp;"iFwMUffRQXZwZA7YM609NmRc/edit?usp=share_link"",""ปัตตานี!L472"")+IMPORTRANGE(""https://docs.google.com/spreadsheets/d/1vl4QWbWdFruual5o_wdo6ZSqXZ_it806oja4CctTLKs/edit?usp=share_link"",""พังงา!L472"")+IMPORTRANGE(""https://docs.google.com/spreadsheets/d/1"&amp;"b6QssHQp2FoAPSMKHOy273KNzAomaIKhtdlvuZ_zDNE/edit?usp=share_link"",""พัทลุง!L472"")+IMPORTRANGE(""https://docs.google.com/spreadsheets/d/1o7UZe4_OqlqtLDHrj01Z2YFRSZDf1DMy1n3XViHaxRc/edit?usp=share_link"",""ภูเก็ต!L472"")+IMPORTRANGE(""https://docs.google.c"&amp;"om/spreadsheets/d/1ctPm1vUzcUCPuOj9-eoHUD85PqINFqUB0TjdSWmR5-c/edit?usp=share_link"",""ยะลา!L472"")+IMPORTRANGE(""https://docs.google.com/spreadsheets/d/1YiDIE7Klmt8osgdapRqYWNr7iPGFSsiJqq46S7PYRE0/edit?usp=share_link"",""ระนอง!L472"")+IMPORTRANGE(""https"&amp;"://docs.google.com/spreadsheets/d/16o_4B-V7AWw_6E93bSpXj_XxVv1oVQctk-B6z1dNEWU/edit?usp=share_link"",""สงขลา!L472"")+IMPORTRANGE(""https://docs.google.com/spreadsheets/d/16cywr71Fj4fA5OGRHsZh30ZG2gwJhMAQv69oVBzYHv0/edit?usp=share_link"",""สตูล!L472"")+IMP"&amp;"ORTRANGE(""https://docs.google.com/spreadsheets/d/1vO9Sws6kMtrVtyvrAJptINXjK8TFBoX9xLYOVK_C8bQ/edit?usp=share_link"",""สุราษฎร์ธานี!L472"")"),4311197)</f>
        <v>4311197</v>
      </c>
      <c r="M472" s="93">
        <f ca="1">IFERROR(__xludf.DUMMYFUNCTION("IMPORTRANGE(""https://docs.google.com/spreadsheets/d/1kC41EOXpGBFOW658Fs3oD8beYlym0-zO54WY-2Qnp9I/edit?usp=share_link"",""กระบี่!M472"")
+IMPORTRANGE(""https://docs.google.com/spreadsheets/d/1FbzMZY_f3MDiEuK7RpCQKrilJ_kpX0Wm7QBZ1L7EjIU/edit?usp=share_link"&amp;""",""ชุมพร!M472"")+IMPORTRANGE(""https://docs.google.com/spreadsheets/d/1v5sN-00LrXuhBxw4dkh2GrG_z4l5oAqOdJRBCsUyMaM/edit?usp=share_link"",""ตรัง!M472"")+IMPORTRANGE(""https://docs.google.com/spreadsheets/d/1T5rRTzFc79aSIvqnzkZNvwPstq829QYz_xALlO1Z0s8/edi"&amp;"t?usp=share_link"",""นครศรีธรรมราช!M472"")+IMPORTRANGE(""https://docs.google.com/spreadsheets/d/1BeghqumK0IvCmRd2QOy6_afsZq7ZtAGrSnVJy2u7WmY/edit?usp=share_link"",""นราธิวาส!M472"")+IMPORTRANGE(""https://docs.google.com/spreadsheets/d/1IwnW3-jjRf74MCLW-6P"&amp;"iFwMUffRQXZwZA7YM609NmRc/edit?usp=share_link"",""ปัตตานี!M472"")+IMPORTRANGE(""https://docs.google.com/spreadsheets/d/1vl4QWbWdFruual5o_wdo6ZSqXZ_it806oja4CctTLKs/edit?usp=share_link"",""พังงา!M472"")+IMPORTRANGE(""https://docs.google.com/spreadsheets/d/1"&amp;"b6QssHQp2FoAPSMKHOy273KNzAomaIKhtdlvuZ_zDNE/edit?usp=share_link"",""พัทลุง!M472"")+IMPORTRANGE(""https://docs.google.com/spreadsheets/d/1o7UZe4_OqlqtLDHrj01Z2YFRSZDf1DMy1n3XViHaxRc/edit?usp=share_link"",""ภูเก็ต!M472"")+IMPORTRANGE(""https://docs.google.c"&amp;"om/spreadsheets/d/1ctPm1vUzcUCPuOj9-eoHUD85PqINFqUB0TjdSWmR5-c/edit?usp=share_link"",""ยะลา!M472"")+IMPORTRANGE(""https://docs.google.com/spreadsheets/d/1YiDIE7Klmt8osgdapRqYWNr7iPGFSsiJqq46S7PYRE0/edit?usp=share_link"",""ระนอง!M472"")+IMPORTRANGE(""https"&amp;"://docs.google.com/spreadsheets/d/16o_4B-V7AWw_6E93bSpXj_XxVv1oVQctk-B6z1dNEWU/edit?usp=share_link"",""สงขลา!M472"")+IMPORTRANGE(""https://docs.google.com/spreadsheets/d/16cywr71Fj4fA5OGRHsZh30ZG2gwJhMAQv69oVBzYHv0/edit?usp=share_link"",""สตูล!M472"")+IMP"&amp;"ORTRANGE(""https://docs.google.com/spreadsheets/d/1vO9Sws6kMtrVtyvrAJptINXjK8TFBoX9xLYOVK_C8bQ/edit?usp=share_link"",""สุราษฎร์ธานี!M472"")"),4311197)</f>
        <v>4311197</v>
      </c>
      <c r="N472" s="45">
        <f ca="1">N473+N474+N475+N476</f>
        <v>1738514.99</v>
      </c>
      <c r="O472" s="45">
        <f t="shared" ca="1" si="239"/>
        <v>40.325575240472659</v>
      </c>
      <c r="P472" s="45">
        <f t="shared" ca="1" si="240"/>
        <v>40.325575240472659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20.25" customHeight="1">
      <c r="A473" s="573"/>
      <c r="B473" s="574"/>
      <c r="C473" s="575"/>
      <c r="D473" s="575"/>
      <c r="E473" s="575"/>
      <c r="F473" s="576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IFERROR(__xludf.DUMMYFUNCTION("IMPORTRANGE(""https://docs.google.com/spreadsheets/d/1kC41EOXpGBFOW658Fs3oD8beYlym0-zO54WY-2Qnp9I/edit?usp=share_link"",""กระบี่!N473"")
+IMPORTRANGE(""https://docs.google.com/spreadsheets/d/1FbzMZY_f3MDiEuK7RpCQKrilJ_kpX0Wm7QBZ1L7EjIU/edit?usp=share_link"&amp;""",""ชุมพร!N473"")+IMPORTRANGE(""https://docs.google.com/spreadsheets/d/1v5sN-00LrXuhBxw4dkh2GrG_z4l5oAqOdJRBCsUyMaM/edit?usp=share_link"",""ตรัง!N473"")+IMPORTRANGE(""https://docs.google.com/spreadsheets/d/1T5rRTzFc79aSIvqnzkZNvwPstq829QYz_xALlO1Z0s8/edi"&amp;"t?usp=share_link"",""นครศรีธรรมราช!N473"")+IMPORTRANGE(""https://docs.google.com/spreadsheets/d/1BeghqumK0IvCmRd2QOy6_afsZq7ZtAGrSnVJy2u7WmY/edit?usp=share_link"",""นราธิวาส!N473"")+IMPORTRANGE(""https://docs.google.com/spreadsheets/d/1IwnW3-jjRf74MCLW-6P"&amp;"iFwMUffRQXZwZA7YM609NmRc/edit?usp=share_link"",""ปัตตานี!N473"")+IMPORTRANGE(""https://docs.google.com/spreadsheets/d/1vl4QWbWdFruual5o_wdo6ZSqXZ_it806oja4CctTLKs/edit?usp=share_link"",""พังงา!N473"")+IMPORTRANGE(""https://docs.google.com/spreadsheets/d/1"&amp;"b6QssHQp2FoAPSMKHOy273KNzAomaIKhtdlvuZ_zDNE/edit?usp=share_link"",""พัทลุง!N473"")+IMPORTRANGE(""https://docs.google.com/spreadsheets/d/1o7UZe4_OqlqtLDHrj01Z2YFRSZDf1DMy1n3XViHaxRc/edit?usp=share_link"",""ภูเก็ต!N473"")+IMPORTRANGE(""https://docs.google.c"&amp;"om/spreadsheets/d/1ctPm1vUzcUCPuOj9-eoHUD85PqINFqUB0TjdSWmR5-c/edit?usp=share_link"",""ยะลา!N473"")+IMPORTRANGE(""https://docs.google.com/spreadsheets/d/1YiDIE7Klmt8osgdapRqYWNr7iPGFSsiJqq46S7PYRE0/edit?usp=share_link"",""ระนอง!N473"")+IMPORTRANGE(""https"&amp;"://docs.google.com/spreadsheets/d/16o_4B-V7AWw_6E93bSpXj_XxVv1oVQctk-B6z1dNEWU/edit?usp=share_link"",""สงขลา!N473"")+IMPORTRANGE(""https://docs.google.com/spreadsheets/d/16cywr71Fj4fA5OGRHsZh30ZG2gwJhMAQv69oVBzYHv0/edit?usp=share_link"",""สตูล!N473"")+IMP"&amp;"ORTRANGE(""https://docs.google.com/spreadsheets/d/1vO9Sws6kMtrVtyvrAJptINXjK8TFBoX9xLYOVK_C8bQ/edit?usp=share_link"",""สุราษฎร์ธานี!N473"")"),700394.72)</f>
        <v>700394.72</v>
      </c>
      <c r="O473" s="38"/>
      <c r="P473" s="3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20.25" customHeight="1">
      <c r="A474" s="573"/>
      <c r="B474" s="574"/>
      <c r="C474" s="575"/>
      <c r="D474" s="575"/>
      <c r="E474" s="575"/>
      <c r="F474" s="576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IFERROR(__xludf.DUMMYFUNCTION("IMPORTRANGE(""https://docs.google.com/spreadsheets/d/1kC41EOXpGBFOW658Fs3oD8beYlym0-zO54WY-2Qnp9I/edit?usp=share_link"",""กระบี่!N474"")
+IMPORTRANGE(""https://docs.google.com/spreadsheets/d/1FbzMZY_f3MDiEuK7RpCQKrilJ_kpX0Wm7QBZ1L7EjIU/edit?usp=share_link"&amp;""",""ชุมพร!N474"")+IMPORTRANGE(""https://docs.google.com/spreadsheets/d/1v5sN-00LrXuhBxw4dkh2GrG_z4l5oAqOdJRBCsUyMaM/edit?usp=share_link"",""ตรัง!N474"")+IMPORTRANGE(""https://docs.google.com/spreadsheets/d/1T5rRTzFc79aSIvqnzkZNvwPstq829QYz_xALlO1Z0s8/edi"&amp;"t?usp=share_link"",""นครศรีธรรมราช!N474"")+IMPORTRANGE(""https://docs.google.com/spreadsheets/d/1BeghqumK0IvCmRd2QOy6_afsZq7ZtAGrSnVJy2u7WmY/edit?usp=share_link"",""นราธิวาส!N474"")+IMPORTRANGE(""https://docs.google.com/spreadsheets/d/1IwnW3-jjRf74MCLW-6P"&amp;"iFwMUffRQXZwZA7YM609NmRc/edit?usp=share_link"",""ปัตตานี!N474"")+IMPORTRANGE(""https://docs.google.com/spreadsheets/d/1vl4QWbWdFruual5o_wdo6ZSqXZ_it806oja4CctTLKs/edit?usp=share_link"",""พังงา!N474"")+IMPORTRANGE(""https://docs.google.com/spreadsheets/d/1"&amp;"b6QssHQp2FoAPSMKHOy273KNzAomaIKhtdlvuZ_zDNE/edit?usp=share_link"",""พัทลุง!N474"")+IMPORTRANGE(""https://docs.google.com/spreadsheets/d/1o7UZe4_OqlqtLDHrj01Z2YFRSZDf1DMy1n3XViHaxRc/edit?usp=share_link"",""ภูเก็ต!N474"")+IMPORTRANGE(""https://docs.google.c"&amp;"om/spreadsheets/d/1ctPm1vUzcUCPuOj9-eoHUD85PqINFqUB0TjdSWmR5-c/edit?usp=share_link"",""ยะลา!N474"")+IMPORTRANGE(""https://docs.google.com/spreadsheets/d/1YiDIE7Klmt8osgdapRqYWNr7iPGFSsiJqq46S7PYRE0/edit?usp=share_link"",""ระนอง!N474"")+IMPORTRANGE(""https"&amp;"://docs.google.com/spreadsheets/d/16o_4B-V7AWw_6E93bSpXj_XxVv1oVQctk-B6z1dNEWU/edit?usp=share_link"",""สงขลา!N474"")+IMPORTRANGE(""https://docs.google.com/spreadsheets/d/16cywr71Fj4fA5OGRHsZh30ZG2gwJhMAQv69oVBzYHv0/edit?usp=share_link"",""สตูล!N474"")+IMP"&amp;"ORTRANGE(""https://docs.google.com/spreadsheets/d/1vO9Sws6kMtrVtyvrAJptINXjK8TFBoX9xLYOVK_C8bQ/edit?usp=share_link"",""สุราษฎร์ธานี!N474"")"),739250)</f>
        <v>739250</v>
      </c>
      <c r="O474" s="38"/>
      <c r="P474" s="3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20.25" customHeight="1">
      <c r="A475" s="573"/>
      <c r="B475" s="574"/>
      <c r="C475" s="574"/>
      <c r="D475" s="574"/>
      <c r="E475" s="574"/>
      <c r="F475" s="576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IFERROR(__xludf.DUMMYFUNCTION("IMPORTRANGE(""https://docs.google.com/spreadsheets/d/1kC41EOXpGBFOW658Fs3oD8beYlym0-zO54WY-2Qnp9I/edit?usp=share_link"",""กระบี่!N475"")
+IMPORTRANGE(""https://docs.google.com/spreadsheets/d/1FbzMZY_f3MDiEuK7RpCQKrilJ_kpX0Wm7QBZ1L7EjIU/edit?usp=share_link"&amp;""",""ชุมพร!N475"")+IMPORTRANGE(""https://docs.google.com/spreadsheets/d/1v5sN-00LrXuhBxw4dkh2GrG_z4l5oAqOdJRBCsUyMaM/edit?usp=share_link"",""ตรัง!N475"")+IMPORTRANGE(""https://docs.google.com/spreadsheets/d/1T5rRTzFc79aSIvqnzkZNvwPstq829QYz_xALlO1Z0s8/edi"&amp;"t?usp=share_link"",""นครศรีธรรมราช!N475"")+IMPORTRANGE(""https://docs.google.com/spreadsheets/d/1BeghqumK0IvCmRd2QOy6_afsZq7ZtAGrSnVJy2u7WmY/edit?usp=share_link"",""นราธิวาส!N475"")+IMPORTRANGE(""https://docs.google.com/spreadsheets/d/1IwnW3-jjRf74MCLW-6P"&amp;"iFwMUffRQXZwZA7YM609NmRc/edit?usp=share_link"",""ปัตตานี!N475"")+IMPORTRANGE(""https://docs.google.com/spreadsheets/d/1vl4QWbWdFruual5o_wdo6ZSqXZ_it806oja4CctTLKs/edit?usp=share_link"",""พังงา!N475"")+IMPORTRANGE(""https://docs.google.com/spreadsheets/d/1"&amp;"b6QssHQp2FoAPSMKHOy273KNzAomaIKhtdlvuZ_zDNE/edit?usp=share_link"",""พัทลุง!N475"")+IMPORTRANGE(""https://docs.google.com/spreadsheets/d/1o7UZe4_OqlqtLDHrj01Z2YFRSZDf1DMy1n3XViHaxRc/edit?usp=share_link"",""ภูเก็ต!N475"")+IMPORTRANGE(""https://docs.google.c"&amp;"om/spreadsheets/d/1ctPm1vUzcUCPuOj9-eoHUD85PqINFqUB0TjdSWmR5-c/edit?usp=share_link"",""ยะลา!N475"")+IMPORTRANGE(""https://docs.google.com/spreadsheets/d/1YiDIE7Klmt8osgdapRqYWNr7iPGFSsiJqq46S7PYRE0/edit?usp=share_link"",""ระนอง!N475"")+IMPORTRANGE(""https"&amp;"://docs.google.com/spreadsheets/d/16o_4B-V7AWw_6E93bSpXj_XxVv1oVQctk-B6z1dNEWU/edit?usp=share_link"",""สงขลา!N475"")+IMPORTRANGE(""https://docs.google.com/spreadsheets/d/16cywr71Fj4fA5OGRHsZh30ZG2gwJhMAQv69oVBzYHv0/edit?usp=share_link"",""สตูล!N475"")+IMP"&amp;"ORTRANGE(""https://docs.google.com/spreadsheets/d/1vO9Sws6kMtrVtyvrAJptINXjK8TFBoX9xLYOVK_C8bQ/edit?usp=share_link"",""สุราษฎร์ธานี!N475"")"),65500)</f>
        <v>65500</v>
      </c>
      <c r="O475" s="38"/>
      <c r="P475" s="3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20.25" customHeight="1">
      <c r="A476" s="573"/>
      <c r="B476" s="574"/>
      <c r="C476" s="574"/>
      <c r="D476" s="574"/>
      <c r="E476" s="574"/>
      <c r="F476" s="576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IFERROR(__xludf.DUMMYFUNCTION("IMPORTRANGE(""https://docs.google.com/spreadsheets/d/1kC41EOXpGBFOW658Fs3oD8beYlym0-zO54WY-2Qnp9I/edit?usp=share_link"",""กระบี่!N476"")
+IMPORTRANGE(""https://docs.google.com/spreadsheets/d/1FbzMZY_f3MDiEuK7RpCQKrilJ_kpX0Wm7QBZ1L7EjIU/edit?usp=share_link"&amp;""",""ชุมพร!N476"")+IMPORTRANGE(""https://docs.google.com/spreadsheets/d/1v5sN-00LrXuhBxw4dkh2GrG_z4l5oAqOdJRBCsUyMaM/edit?usp=share_link"",""ตรัง!N476"")+IMPORTRANGE(""https://docs.google.com/spreadsheets/d/1T5rRTzFc79aSIvqnzkZNvwPstq829QYz_xALlO1Z0s8/edi"&amp;"t?usp=share_link"",""นครศรีธรรมราช!N476"")+IMPORTRANGE(""https://docs.google.com/spreadsheets/d/1BeghqumK0IvCmRd2QOy6_afsZq7ZtAGrSnVJy2u7WmY/edit?usp=share_link"",""นราธิวาส!N476"")+IMPORTRANGE(""https://docs.google.com/spreadsheets/d/1IwnW3-jjRf74MCLW-6P"&amp;"iFwMUffRQXZwZA7YM609NmRc/edit?usp=share_link"",""ปัตตานี!N476"")+IMPORTRANGE(""https://docs.google.com/spreadsheets/d/1vl4QWbWdFruual5o_wdo6ZSqXZ_it806oja4CctTLKs/edit?usp=share_link"",""พังงา!N476"")+IMPORTRANGE(""https://docs.google.com/spreadsheets/d/1"&amp;"b6QssHQp2FoAPSMKHOy273KNzAomaIKhtdlvuZ_zDNE/edit?usp=share_link"",""พัทลุง!N476"")+IMPORTRANGE(""https://docs.google.com/spreadsheets/d/1o7UZe4_OqlqtLDHrj01Z2YFRSZDf1DMy1n3XViHaxRc/edit?usp=share_link"",""ภูเก็ต!N476"")+IMPORTRANGE(""https://docs.google.c"&amp;"om/spreadsheets/d/1ctPm1vUzcUCPuOj9-eoHUD85PqINFqUB0TjdSWmR5-c/edit?usp=share_link"",""ยะลา!N476"")+IMPORTRANGE(""https://docs.google.com/spreadsheets/d/1YiDIE7Klmt8osgdapRqYWNr7iPGFSsiJqq46S7PYRE0/edit?usp=share_link"",""ระนอง!N476"")+IMPORTRANGE(""https"&amp;"://docs.google.com/spreadsheets/d/16o_4B-V7AWw_6E93bSpXj_XxVv1oVQctk-B6z1dNEWU/edit?usp=share_link"",""สงขลา!N476"")+IMPORTRANGE(""https://docs.google.com/spreadsheets/d/16cywr71Fj4fA5OGRHsZh30ZG2gwJhMAQv69oVBzYHv0/edit?usp=share_link"",""สตูล!N476"")+IMP"&amp;"ORTRANGE(""https://docs.google.com/spreadsheets/d/1vO9Sws6kMtrVtyvrAJptINXjK8TFBoX9xLYOVK_C8bQ/edit?usp=share_link"",""สุราษฎร์ธานี!N476"")"),233370.27)</f>
        <v>233370.27</v>
      </c>
      <c r="O476" s="38"/>
      <c r="P476" s="3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20.25" customHeight="1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62"/>
      <c r="J477" s="162"/>
      <c r="K477" s="163"/>
      <c r="L477" s="38">
        <f t="shared" ref="L477:N477" ca="1" si="244">L478+L479</f>
        <v>0</v>
      </c>
      <c r="M477" s="38">
        <f t="shared" si="244"/>
        <v>0</v>
      </c>
      <c r="N477" s="38">
        <f t="shared" si="244"/>
        <v>0</v>
      </c>
      <c r="O477" s="38">
        <f t="shared" ref="O477:O479" ca="1" si="245">IF(L477&gt;0,N477*100/L477,0)</f>
        <v>0</v>
      </c>
      <c r="P477" s="38">
        <f t="shared" ref="P477:P479" si="246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20.25" hidden="1" customHeight="1">
      <c r="A478" s="598"/>
      <c r="B478" s="604"/>
      <c r="C478" s="604"/>
      <c r="D478" s="604"/>
      <c r="E478" s="606" t="s">
        <v>18</v>
      </c>
      <c r="F478" s="604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5"/>
        <v>0</v>
      </c>
      <c r="P478" s="45">
        <f t="shared" si="246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20.25" hidden="1" customHeight="1">
      <c r="A479" s="598"/>
      <c r="B479" s="604"/>
      <c r="C479" s="604"/>
      <c r="D479" s="604"/>
      <c r="E479" s="606" t="s">
        <v>19</v>
      </c>
      <c r="F479" s="604"/>
      <c r="G479" s="602"/>
      <c r="H479" s="169" t="s">
        <v>12</v>
      </c>
      <c r="I479" s="166"/>
      <c r="J479" s="166"/>
      <c r="K479" s="167"/>
      <c r="L479" s="45">
        <f ca="1">IFERROR(__xludf.DUMMYFUNCTION("IMPORTRANGE(""https://docs.google.com/spreadsheets/d/1kC41EOXpGBFOW658Fs3oD8beYlym0-zO54WY-2Qnp9I/edit?usp=share_link"",""กระบี่!L479"")
+IMPORTRANGE(""https://docs.google.com/spreadsheets/d/1FbzMZY_f3MDiEuK7RpCQKrilJ_kpX0Wm7QBZ1L7EjIU/edit?usp=share_link"&amp;""",""ชุมพร!L479"")+IMPORTRANGE(""https://docs.google.com/spreadsheets/d/1v5sN-00LrXuhBxw4dkh2GrG_z4l5oAqOdJRBCsUyMaM/edit?usp=share_link"",""ตรัง!L479"")+IMPORTRANGE(""https://docs.google.com/spreadsheets/d/1T5rRTzFc79aSIvqnzkZNvwPstq829QYz_xALlO1Z0s8/edi"&amp;"t?usp=share_link"",""นครศรีธรรมราช!L479"")+IMPORTRANGE(""https://docs.google.com/spreadsheets/d/1BeghqumK0IvCmRd2QOy6_afsZq7ZtAGrSnVJy2u7WmY/edit?usp=share_link"",""นราธิวาส!L479"")+IMPORTRANGE(""https://docs.google.com/spreadsheets/d/1IwnW3-jjRf74MCLW-6P"&amp;"iFwMUffRQXZwZA7YM609NmRc/edit?usp=share_link"",""ปัตตานี!L479"")+IMPORTRANGE(""https://docs.google.com/spreadsheets/d/1vl4QWbWdFruual5o_wdo6ZSqXZ_it806oja4CctTLKs/edit?usp=share_link"",""พังงา!L479"")+IMPORTRANGE(""https://docs.google.com/spreadsheets/d/1"&amp;"b6QssHQp2FoAPSMKHOy273KNzAomaIKhtdlvuZ_zDNE/edit?usp=share_link"",""พัทลุง!L479"")+IMPORTRANGE(""https://docs.google.com/spreadsheets/d/1o7UZe4_OqlqtLDHrj01Z2YFRSZDf1DMy1n3XViHaxRc/edit?usp=share_link"",""ภูเก็ต!L479"")+IMPORTRANGE(""https://docs.google.c"&amp;"om/spreadsheets/d/1ctPm1vUzcUCPuOj9-eoHUD85PqINFqUB0TjdSWmR5-c/edit?usp=share_link"",""ยะลา!L479"")+IMPORTRANGE(""https://docs.google.com/spreadsheets/d/1YiDIE7Klmt8osgdapRqYWNr7iPGFSsiJqq46S7PYRE0/edit?usp=share_link"",""ระนอง!L479"")+IMPORTRANGE(""https"&amp;"://docs.google.com/spreadsheets/d/16o_4B-V7AWw_6E93bSpXj_XxVv1oVQctk-B6z1dNEWU/edit?usp=share_link"",""สงขลา!L479"")+IMPORTRANGE(""https://docs.google.com/spreadsheets/d/16cywr71Fj4fA5OGRHsZh30ZG2gwJhMAQv69oVBzYHv0/edit?usp=share_link"",""สตูล!L479"")+IMP"&amp;"ORTRANGE(""https://docs.google.com/spreadsheets/d/1vO9Sws6kMtrVtyvrAJptINXjK8TFBoX9xLYOVK_C8bQ/edit?usp=share_link"",""สุราษฎร์ธานี!L479"")"),0)</f>
        <v>0</v>
      </c>
      <c r="M479" s="93">
        <v>0</v>
      </c>
      <c r="N479" s="93">
        <v>0</v>
      </c>
      <c r="O479" s="45">
        <f t="shared" ca="1" si="245"/>
        <v>0</v>
      </c>
      <c r="P479" s="45">
        <f t="shared" si="246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20.25" customHeight="1">
      <c r="A480" s="607"/>
      <c r="B480" s="608"/>
      <c r="C480" s="574" t="s">
        <v>16</v>
      </c>
      <c r="D480" s="620" t="s">
        <v>38</v>
      </c>
      <c r="E480" s="610"/>
      <c r="F480" s="611"/>
      <c r="G480" s="612"/>
      <c r="H480" s="175"/>
      <c r="I480" s="37"/>
      <c r="J480" s="37"/>
      <c r="K480" s="38"/>
      <c r="L480" s="38"/>
      <c r="M480" s="38"/>
      <c r="N480" s="38"/>
      <c r="O480" s="38"/>
      <c r="P480" s="3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20.25" customHeight="1">
      <c r="A481" s="607"/>
      <c r="B481" s="608"/>
      <c r="C481" s="608"/>
      <c r="D481" s="621" t="s">
        <v>207</v>
      </c>
      <c r="E481" s="608"/>
      <c r="F481" s="608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20.25" customHeight="1">
      <c r="A482" s="607"/>
      <c r="B482" s="608"/>
      <c r="C482" s="608"/>
      <c r="D482" s="608"/>
      <c r="E482" s="617" t="s">
        <v>208</v>
      </c>
      <c r="F482" s="608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20.25" customHeight="1">
      <c r="A483" s="607"/>
      <c r="B483" s="608"/>
      <c r="C483" s="608"/>
      <c r="D483" s="608"/>
      <c r="E483" s="608"/>
      <c r="F483" s="617" t="s">
        <v>209</v>
      </c>
      <c r="G483" s="175"/>
      <c r="H483" s="36" t="s">
        <v>46</v>
      </c>
      <c r="I483" s="37">
        <f ca="1">IFERROR(__xludf.DUMMYFUNCTION("IMPORTRANGE(""https://docs.google.com/spreadsheets/d/1kC41EOXpGBFOW658Fs3oD8beYlym0-zO54WY-2Qnp9I/edit?usp=share_link"",""กระบี่!I483"")
+IMPORTRANGE(""https://docs.google.com/spreadsheets/d/1FbzMZY_f3MDiEuK7RpCQKrilJ_kpX0Wm7QBZ1L7EjIU/edit?usp=share_link"&amp;""",""ชุมพร!I483"")+IMPORTRANGE(""https://docs.google.com/spreadsheets/d/1v5sN-00LrXuhBxw4dkh2GrG_z4l5oAqOdJRBCsUyMaM/edit?usp=share_link"",""ตรัง!I483"")+IMPORTRANGE(""https://docs.google.com/spreadsheets/d/1T5rRTzFc79aSIvqnzkZNvwPstq829QYz_xALlO1Z0s8/edi"&amp;"t?usp=share_link"",""นครศรีธรรมราช!I483"")+IMPORTRANGE(""https://docs.google.com/spreadsheets/d/1BeghqumK0IvCmRd2QOy6_afsZq7ZtAGrSnVJy2u7WmY/edit?usp=share_link"",""นราธิวาส!I483"")+IMPORTRANGE(""https://docs.google.com/spreadsheets/d/1IwnW3-jjRf74MCLW-6P"&amp;"iFwMUffRQXZwZA7YM609NmRc/edit?usp=share_link"",""ปัตตานี!I483"")+IMPORTRANGE(""https://docs.google.com/spreadsheets/d/1vl4QWbWdFruual5o_wdo6ZSqXZ_it806oja4CctTLKs/edit?usp=share_link"",""พังงา!I483"")+IMPORTRANGE(""https://docs.google.com/spreadsheets/d/1"&amp;"b6QssHQp2FoAPSMKHOy273KNzAomaIKhtdlvuZ_zDNE/edit?usp=share_link"",""พัทลุง!I483"")+IMPORTRANGE(""https://docs.google.com/spreadsheets/d/1o7UZe4_OqlqtLDHrj01Z2YFRSZDf1DMy1n3XViHaxRc/edit?usp=share_link"",""ภูเก็ต!I483"")+IMPORTRANGE(""https://docs.google.c"&amp;"om/spreadsheets/d/1ctPm1vUzcUCPuOj9-eoHUD85PqINFqUB0TjdSWmR5-c/edit?usp=share_link"",""ยะลา!I483"")+IMPORTRANGE(""https://docs.google.com/spreadsheets/d/1YiDIE7Klmt8osgdapRqYWNr7iPGFSsiJqq46S7PYRE0/edit?usp=share_link"",""ระนอง!I483"")+IMPORTRANGE(""https"&amp;"://docs.google.com/spreadsheets/d/16o_4B-V7AWw_6E93bSpXj_XxVv1oVQctk-B6z1dNEWU/edit?usp=share_link"",""สงขลา!I483"")+IMPORTRANGE(""https://docs.google.com/spreadsheets/d/16cywr71Fj4fA5OGRHsZh30ZG2gwJhMAQv69oVBzYHv0/edit?usp=share_link"",""สตูล!I483"")+IMP"&amp;"ORTRANGE(""https://docs.google.com/spreadsheets/d/1vO9Sws6kMtrVtyvrAJptINXjK8TFBoX9xLYOVK_C8bQ/edit?usp=share_link"",""สุราษฎร์ธานี!I483"")"),4320)</f>
        <v>4320</v>
      </c>
      <c r="J483" s="183">
        <f ca="1">IFERROR(__xludf.DUMMYFUNCTION("IMPORTRANGE(""https://docs.google.com/spreadsheets/d/1kC41EOXpGBFOW658Fs3oD8beYlym0-zO54WY-2Qnp9I/edit?usp=share_link"",""กระบี่!J483"")
+IMPORTRANGE(""https://docs.google.com/spreadsheets/d/1FbzMZY_f3MDiEuK7RpCQKrilJ_kpX0Wm7QBZ1L7EjIU/edit?usp=share_link"&amp;""",""ชุมพร!J483"")+IMPORTRANGE(""https://docs.google.com/spreadsheets/d/1v5sN-00LrXuhBxw4dkh2GrG_z4l5oAqOdJRBCsUyMaM/edit?usp=share_link"",""ตรัง!J483"")+IMPORTRANGE(""https://docs.google.com/spreadsheets/d/1T5rRTzFc79aSIvqnzkZNvwPstq829QYz_xALlO1Z0s8/edi"&amp;"t?usp=share_link"",""นครศรีธรรมราช!J483"")+IMPORTRANGE(""https://docs.google.com/spreadsheets/d/1BeghqumK0IvCmRd2QOy6_afsZq7ZtAGrSnVJy2u7WmY/edit?usp=share_link"",""นราธิวาส!J483"")+IMPORTRANGE(""https://docs.google.com/spreadsheets/d/1IwnW3-jjRf74MCLW-6P"&amp;"iFwMUffRQXZwZA7YM609NmRc/edit?usp=share_link"",""ปัตตานี!J483"")+IMPORTRANGE(""https://docs.google.com/spreadsheets/d/1vl4QWbWdFruual5o_wdo6ZSqXZ_it806oja4CctTLKs/edit?usp=share_link"",""พังงา!J483"")+IMPORTRANGE(""https://docs.google.com/spreadsheets/d/1"&amp;"b6QssHQp2FoAPSMKHOy273KNzAomaIKhtdlvuZ_zDNE/edit?usp=share_link"",""พัทลุง!J483"")+IMPORTRANGE(""https://docs.google.com/spreadsheets/d/1o7UZe4_OqlqtLDHrj01Z2YFRSZDf1DMy1n3XViHaxRc/edit?usp=share_link"",""ภูเก็ต!J483"")+IMPORTRANGE(""https://docs.google.c"&amp;"om/spreadsheets/d/1ctPm1vUzcUCPuOj9-eoHUD85PqINFqUB0TjdSWmR5-c/edit?usp=share_link"",""ยะลา!J483"")+IMPORTRANGE(""https://docs.google.com/spreadsheets/d/1YiDIE7Klmt8osgdapRqYWNr7iPGFSsiJqq46S7PYRE0/edit?usp=share_link"",""ระนอง!J483"")+IMPORTRANGE(""https"&amp;"://docs.google.com/spreadsheets/d/16o_4B-V7AWw_6E93bSpXj_XxVv1oVQctk-B6z1dNEWU/edit?usp=share_link"",""สงขลา!J483"")+IMPORTRANGE(""https://docs.google.com/spreadsheets/d/16cywr71Fj4fA5OGRHsZh30ZG2gwJhMAQv69oVBzYHv0/edit?usp=share_link"",""สตูล!J483"")+IMP"&amp;"ORTRANGE(""https://docs.google.com/spreadsheets/d/1vO9Sws6kMtrVtyvrAJptINXjK8TFBoX9xLYOVK_C8bQ/edit?usp=share_link"",""สุราษฎร์ธานี!J483"")"),4066.36)</f>
        <v>4066.36</v>
      </c>
      <c r="K483" s="38">
        <f ca="1">IF(I483&gt;0,J483*100/I483,0)</f>
        <v>94.128703703703707</v>
      </c>
      <c r="L483" s="38"/>
      <c r="M483" s="38"/>
      <c r="N483" s="38"/>
      <c r="O483" s="38"/>
      <c r="P483" s="3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20.25" customHeight="1">
      <c r="A484" s="607"/>
      <c r="B484" s="608"/>
      <c r="C484" s="608"/>
      <c r="D484" s="608"/>
      <c r="E484" s="608"/>
      <c r="F484" s="617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IFERROR(__xludf.DUMMYFUNCTION("IMPORTRANGE(""https://docs.google.com/spreadsheets/d/1kC41EOXpGBFOW658Fs3oD8beYlym0-zO54WY-2Qnp9I/edit?usp=share_link"",""กระบี่!J484"")
+IMPORTRANGE(""https://docs.google.com/spreadsheets/d/1FbzMZY_f3MDiEuK7RpCQKrilJ_kpX0Wm7QBZ1L7EjIU/edit?usp=share_link"&amp;""",""ชุมพร!J484"")+IMPORTRANGE(""https://docs.google.com/spreadsheets/d/1v5sN-00LrXuhBxw4dkh2GrG_z4l5oAqOdJRBCsUyMaM/edit?usp=share_link"",""ตรัง!J484"")+IMPORTRANGE(""https://docs.google.com/spreadsheets/d/1T5rRTzFc79aSIvqnzkZNvwPstq829QYz_xALlO1Z0s8/edi"&amp;"t?usp=share_link"",""นครศรีธรรมราช!J484"")+IMPORTRANGE(""https://docs.google.com/spreadsheets/d/1BeghqumK0IvCmRd2QOy6_afsZq7ZtAGrSnVJy2u7WmY/edit?usp=share_link"",""นราธิวาส!J484"")+IMPORTRANGE(""https://docs.google.com/spreadsheets/d/1IwnW3-jjRf74MCLW-6P"&amp;"iFwMUffRQXZwZA7YM609NmRc/edit?usp=share_link"",""ปัตตานี!J484"")+IMPORTRANGE(""https://docs.google.com/spreadsheets/d/1vl4QWbWdFruual5o_wdo6ZSqXZ_it806oja4CctTLKs/edit?usp=share_link"",""พังงา!J484"")+IMPORTRANGE(""https://docs.google.com/spreadsheets/d/1"&amp;"b6QssHQp2FoAPSMKHOy273KNzAomaIKhtdlvuZ_zDNE/edit?usp=share_link"",""พัทลุง!J484"")+IMPORTRANGE(""https://docs.google.com/spreadsheets/d/1o7UZe4_OqlqtLDHrj01Z2YFRSZDf1DMy1n3XViHaxRc/edit?usp=share_link"",""ภูเก็ต!J484"")+IMPORTRANGE(""https://docs.google.c"&amp;"om/spreadsheets/d/1ctPm1vUzcUCPuOj9-eoHUD85PqINFqUB0TjdSWmR5-c/edit?usp=share_link"",""ยะลา!J484"")+IMPORTRANGE(""https://docs.google.com/spreadsheets/d/1YiDIE7Klmt8osgdapRqYWNr7iPGFSsiJqq46S7PYRE0/edit?usp=share_link"",""ระนอง!J484"")+IMPORTRANGE(""https"&amp;"://docs.google.com/spreadsheets/d/16o_4B-V7AWw_6E93bSpXj_XxVv1oVQctk-B6z1dNEWU/edit?usp=share_link"",""สงขลา!J484"")+IMPORTRANGE(""https://docs.google.com/spreadsheets/d/16cywr71Fj4fA5OGRHsZh30ZG2gwJhMAQv69oVBzYHv0/edit?usp=share_link"",""สตูล!J484"")+IMP"&amp;"ORTRANGE(""https://docs.google.com/spreadsheets/d/1vO9Sws6kMtrVtyvrAJptINXjK8TFBoX9xLYOVK_C8bQ/edit?usp=share_link"",""สุราษฎร์ธานี!J484"")"),230)</f>
        <v>230</v>
      </c>
      <c r="K484" s="38"/>
      <c r="L484" s="38"/>
      <c r="M484" s="38"/>
      <c r="N484" s="38"/>
      <c r="O484" s="38"/>
      <c r="P484" s="3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20.25" customHeight="1">
      <c r="A485" s="607"/>
      <c r="B485" s="608"/>
      <c r="C485" s="608"/>
      <c r="D485" s="608"/>
      <c r="E485" s="608"/>
      <c r="F485" s="617" t="s">
        <v>211</v>
      </c>
      <c r="G485" s="175"/>
      <c r="H485" s="36" t="s">
        <v>35</v>
      </c>
      <c r="I485" s="37">
        <f ca="1">IFERROR(__xludf.DUMMYFUNCTION("IMPORTRANGE(""https://docs.google.com/spreadsheets/d/1kC41EOXpGBFOW658Fs3oD8beYlym0-zO54WY-2Qnp9I/edit?usp=share_link"",""กระบี่!I485"")
+IMPORTRANGE(""https://docs.google.com/spreadsheets/d/1FbzMZY_f3MDiEuK7RpCQKrilJ_kpX0Wm7QBZ1L7EjIU/edit?usp=share_link"&amp;""",""ชุมพร!I485"")+IMPORTRANGE(""https://docs.google.com/spreadsheets/d/1v5sN-00LrXuhBxw4dkh2GrG_z4l5oAqOdJRBCsUyMaM/edit?usp=share_link"",""ตรัง!I485"")+IMPORTRANGE(""https://docs.google.com/spreadsheets/d/1T5rRTzFc79aSIvqnzkZNvwPstq829QYz_xALlO1Z0s8/edi"&amp;"t?usp=share_link"",""นครศรีธรรมราช!I485"")+IMPORTRANGE(""https://docs.google.com/spreadsheets/d/1BeghqumK0IvCmRd2QOy6_afsZq7ZtAGrSnVJy2u7WmY/edit?usp=share_link"",""นราธิวาส!I485"")+IMPORTRANGE(""https://docs.google.com/spreadsheets/d/1IwnW3-jjRf74MCLW-6P"&amp;"iFwMUffRQXZwZA7YM609NmRc/edit?usp=share_link"",""ปัตตานี!I485"")+IMPORTRANGE(""https://docs.google.com/spreadsheets/d/1vl4QWbWdFruual5o_wdo6ZSqXZ_it806oja4CctTLKs/edit?usp=share_link"",""พังงา!I485"")+IMPORTRANGE(""https://docs.google.com/spreadsheets/d/1"&amp;"b6QssHQp2FoAPSMKHOy273KNzAomaIKhtdlvuZ_zDNE/edit?usp=share_link"",""พัทลุง!I485"")+IMPORTRANGE(""https://docs.google.com/spreadsheets/d/1o7UZe4_OqlqtLDHrj01Z2YFRSZDf1DMy1n3XViHaxRc/edit?usp=share_link"",""ภูเก็ต!I485"")+IMPORTRANGE(""https://docs.google.c"&amp;"om/spreadsheets/d/1ctPm1vUzcUCPuOj9-eoHUD85PqINFqUB0TjdSWmR5-c/edit?usp=share_link"",""ยะลา!I485"")+IMPORTRANGE(""https://docs.google.com/spreadsheets/d/1YiDIE7Klmt8osgdapRqYWNr7iPGFSsiJqq46S7PYRE0/edit?usp=share_link"",""ระนอง!I485"")+IMPORTRANGE(""https"&amp;"://docs.google.com/spreadsheets/d/16o_4B-V7AWw_6E93bSpXj_XxVv1oVQctk-B6z1dNEWU/edit?usp=share_link"",""สงขลา!I485"")+IMPORTRANGE(""https://docs.google.com/spreadsheets/d/16cywr71Fj4fA5OGRHsZh30ZG2gwJhMAQv69oVBzYHv0/edit?usp=share_link"",""สตูล!I485"")+IMP"&amp;"ORTRANGE(""https://docs.google.com/spreadsheets/d/1vO9Sws6kMtrVtyvrAJptINXjK8TFBoX9xLYOVK_C8bQ/edit?usp=share_link"",""สุราษฎร์ธานี!I485"")"),432)</f>
        <v>432</v>
      </c>
      <c r="J485" s="183">
        <f ca="1">IFERROR(__xludf.DUMMYFUNCTION("IMPORTRANGE(""https://docs.google.com/spreadsheets/d/1kC41EOXpGBFOW658Fs3oD8beYlym0-zO54WY-2Qnp9I/edit?usp=share_link"",""กระบี่!J485"")
+IMPORTRANGE(""https://docs.google.com/spreadsheets/d/1FbzMZY_f3MDiEuK7RpCQKrilJ_kpX0Wm7QBZ1L7EjIU/edit?usp=share_link"&amp;""",""ชุมพร!J485"")+IMPORTRANGE(""https://docs.google.com/spreadsheets/d/1v5sN-00LrXuhBxw4dkh2GrG_z4l5oAqOdJRBCsUyMaM/edit?usp=share_link"",""ตรัง!J485"")+IMPORTRANGE(""https://docs.google.com/spreadsheets/d/1T5rRTzFc79aSIvqnzkZNvwPstq829QYz_xALlO1Z0s8/edi"&amp;"t?usp=share_link"",""นครศรีธรรมราช!J485"")+IMPORTRANGE(""https://docs.google.com/spreadsheets/d/1BeghqumK0IvCmRd2QOy6_afsZq7ZtAGrSnVJy2u7WmY/edit?usp=share_link"",""นราธิวาส!J485"")+IMPORTRANGE(""https://docs.google.com/spreadsheets/d/1IwnW3-jjRf74MCLW-6P"&amp;"iFwMUffRQXZwZA7YM609NmRc/edit?usp=share_link"",""ปัตตานี!J485"")+IMPORTRANGE(""https://docs.google.com/spreadsheets/d/1vl4QWbWdFruual5o_wdo6ZSqXZ_it806oja4CctTLKs/edit?usp=share_link"",""พังงา!J485"")+IMPORTRANGE(""https://docs.google.com/spreadsheets/d/1"&amp;"b6QssHQp2FoAPSMKHOy273KNzAomaIKhtdlvuZ_zDNE/edit?usp=share_link"",""พัทลุง!J485"")+IMPORTRANGE(""https://docs.google.com/spreadsheets/d/1o7UZe4_OqlqtLDHrj01Z2YFRSZDf1DMy1n3XViHaxRc/edit?usp=share_link"",""ภูเก็ต!J485"")+IMPORTRANGE(""https://docs.google.c"&amp;"om/spreadsheets/d/1ctPm1vUzcUCPuOj9-eoHUD85PqINFqUB0TjdSWmR5-c/edit?usp=share_link"",""ยะลา!J485"")+IMPORTRANGE(""https://docs.google.com/spreadsheets/d/1YiDIE7Klmt8osgdapRqYWNr7iPGFSsiJqq46S7PYRE0/edit?usp=share_link"",""ระนอง!J485"")+IMPORTRANGE(""https"&amp;"://docs.google.com/spreadsheets/d/16o_4B-V7AWw_6E93bSpXj_XxVv1oVQctk-B6z1dNEWU/edit?usp=share_link"",""สงขลา!J485"")+IMPORTRANGE(""https://docs.google.com/spreadsheets/d/16cywr71Fj4fA5OGRHsZh30ZG2gwJhMAQv69oVBzYHv0/edit?usp=share_link"",""สตูล!J485"")+IMP"&amp;"ORTRANGE(""https://docs.google.com/spreadsheets/d/1vO9Sws6kMtrVtyvrAJptINXjK8TFBoX9xLYOVK_C8bQ/edit?usp=share_link"",""สุราษฎร์ธานี!J485"")"),437)</f>
        <v>437</v>
      </c>
      <c r="K485" s="38">
        <f ca="1">IF(I485&gt;0,J485*100/I485,0)</f>
        <v>101.1574074074074</v>
      </c>
      <c r="L485" s="38"/>
      <c r="M485" s="38"/>
      <c r="N485" s="38"/>
      <c r="O485" s="38"/>
      <c r="P485" s="3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20.25" customHeight="1">
      <c r="A486" s="607"/>
      <c r="B486" s="608"/>
      <c r="C486" s="608"/>
      <c r="D486" s="608"/>
      <c r="E486" s="617" t="s">
        <v>62</v>
      </c>
      <c r="F486" s="608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20.25" customHeight="1">
      <c r="A487" s="607"/>
      <c r="B487" s="608"/>
      <c r="C487" s="608"/>
      <c r="D487" s="608"/>
      <c r="E487" s="608"/>
      <c r="F487" s="617" t="s">
        <v>209</v>
      </c>
      <c r="G487" s="175"/>
      <c r="H487" s="36" t="s">
        <v>46</v>
      </c>
      <c r="I487" s="37">
        <f ca="1">IFERROR(__xludf.DUMMYFUNCTION("IMPORTRANGE(""https://docs.google.com/spreadsheets/d/1kC41EOXpGBFOW658Fs3oD8beYlym0-zO54WY-2Qnp9I/edit?usp=share_link"",""กระบี่!I487"")
+IMPORTRANGE(""https://docs.google.com/spreadsheets/d/1FbzMZY_f3MDiEuK7RpCQKrilJ_kpX0Wm7QBZ1L7EjIU/edit?usp=share_link"&amp;""",""ชุมพร!I487"")+IMPORTRANGE(""https://docs.google.com/spreadsheets/d/1v5sN-00LrXuhBxw4dkh2GrG_z4l5oAqOdJRBCsUyMaM/edit?usp=share_link"",""ตรัง!I487"")+IMPORTRANGE(""https://docs.google.com/spreadsheets/d/1T5rRTzFc79aSIvqnzkZNvwPstq829QYz_xALlO1Z0s8/edi"&amp;"t?usp=share_link"",""นครศรีธรรมราช!I487"")+IMPORTRANGE(""https://docs.google.com/spreadsheets/d/1BeghqumK0IvCmRd2QOy6_afsZq7ZtAGrSnVJy2u7WmY/edit?usp=share_link"",""นราธิวาส!I487"")+IMPORTRANGE(""https://docs.google.com/spreadsheets/d/1IwnW3-jjRf74MCLW-6P"&amp;"iFwMUffRQXZwZA7YM609NmRc/edit?usp=share_link"",""ปัตตานี!I487"")+IMPORTRANGE(""https://docs.google.com/spreadsheets/d/1vl4QWbWdFruual5o_wdo6ZSqXZ_it806oja4CctTLKs/edit?usp=share_link"",""พังงา!I487"")+IMPORTRANGE(""https://docs.google.com/spreadsheets/d/1"&amp;"b6QssHQp2FoAPSMKHOy273KNzAomaIKhtdlvuZ_zDNE/edit?usp=share_link"",""พัทลุง!I487"")+IMPORTRANGE(""https://docs.google.com/spreadsheets/d/1o7UZe4_OqlqtLDHrj01Z2YFRSZDf1DMy1n3XViHaxRc/edit?usp=share_link"",""ภูเก็ต!I487"")+IMPORTRANGE(""https://docs.google.c"&amp;"om/spreadsheets/d/1ctPm1vUzcUCPuOj9-eoHUD85PqINFqUB0TjdSWmR5-c/edit?usp=share_link"",""ยะลา!I487"")+IMPORTRANGE(""https://docs.google.com/spreadsheets/d/1YiDIE7Klmt8osgdapRqYWNr7iPGFSsiJqq46S7PYRE0/edit?usp=share_link"",""ระนอง!I487"")+IMPORTRANGE(""https"&amp;"://docs.google.com/spreadsheets/d/16o_4B-V7AWw_6E93bSpXj_XxVv1oVQctk-B6z1dNEWU/edit?usp=share_link"",""สงขลา!I487"")+IMPORTRANGE(""https://docs.google.com/spreadsheets/d/16cywr71Fj4fA5OGRHsZh30ZG2gwJhMAQv69oVBzYHv0/edit?usp=share_link"",""สตูล!I487"")+IMP"&amp;"ORTRANGE(""https://docs.google.com/spreadsheets/d/1vO9Sws6kMtrVtyvrAJptINXjK8TFBoX9xLYOVK_C8bQ/edit?usp=share_link"",""สุราษฎร์ธานี!I487"")"),480)</f>
        <v>480</v>
      </c>
      <c r="J487" s="183">
        <f ca="1">IFERROR(__xludf.DUMMYFUNCTION("IMPORTRANGE(""https://docs.google.com/spreadsheets/d/1kC41EOXpGBFOW658Fs3oD8beYlym0-zO54WY-2Qnp9I/edit?usp=share_link"",""กระบี่!J487"")
+IMPORTRANGE(""https://docs.google.com/spreadsheets/d/1FbzMZY_f3MDiEuK7RpCQKrilJ_kpX0Wm7QBZ1L7EjIU/edit?usp=share_link"&amp;""",""ชุมพร!J487"")+IMPORTRANGE(""https://docs.google.com/spreadsheets/d/1v5sN-00LrXuhBxw4dkh2GrG_z4l5oAqOdJRBCsUyMaM/edit?usp=share_link"",""ตรัง!J487"")+IMPORTRANGE(""https://docs.google.com/spreadsheets/d/1T5rRTzFc79aSIvqnzkZNvwPstq829QYz_xALlO1Z0s8/edi"&amp;"t?usp=share_link"",""นครศรีธรรมราช!J487"")+IMPORTRANGE(""https://docs.google.com/spreadsheets/d/1BeghqumK0IvCmRd2QOy6_afsZq7ZtAGrSnVJy2u7WmY/edit?usp=share_link"",""นราธิวาส!J487"")+IMPORTRANGE(""https://docs.google.com/spreadsheets/d/1IwnW3-jjRf74MCLW-6P"&amp;"iFwMUffRQXZwZA7YM609NmRc/edit?usp=share_link"",""ปัตตานี!J487"")+IMPORTRANGE(""https://docs.google.com/spreadsheets/d/1vl4QWbWdFruual5o_wdo6ZSqXZ_it806oja4CctTLKs/edit?usp=share_link"",""พังงา!J487"")+IMPORTRANGE(""https://docs.google.com/spreadsheets/d/1"&amp;"b6QssHQp2FoAPSMKHOy273KNzAomaIKhtdlvuZ_zDNE/edit?usp=share_link"",""พัทลุง!J487"")+IMPORTRANGE(""https://docs.google.com/spreadsheets/d/1o7UZe4_OqlqtLDHrj01Z2YFRSZDf1DMy1n3XViHaxRc/edit?usp=share_link"",""ภูเก็ต!J487"")+IMPORTRANGE(""https://docs.google.c"&amp;"om/spreadsheets/d/1ctPm1vUzcUCPuOj9-eoHUD85PqINFqUB0TjdSWmR5-c/edit?usp=share_link"",""ยะลา!J487"")+IMPORTRANGE(""https://docs.google.com/spreadsheets/d/1YiDIE7Klmt8osgdapRqYWNr7iPGFSsiJqq46S7PYRE0/edit?usp=share_link"",""ระนอง!J487"")+IMPORTRANGE(""https"&amp;"://docs.google.com/spreadsheets/d/16o_4B-V7AWw_6E93bSpXj_XxVv1oVQctk-B6z1dNEWU/edit?usp=share_link"",""สงขลา!J487"")+IMPORTRANGE(""https://docs.google.com/spreadsheets/d/16cywr71Fj4fA5OGRHsZh30ZG2gwJhMAQv69oVBzYHv0/edit?usp=share_link"",""สตูล!J487"")+IMP"&amp;"ORTRANGE(""https://docs.google.com/spreadsheets/d/1vO9Sws6kMtrVtyvrAJptINXjK8TFBoX9xLYOVK_C8bQ/edit?usp=share_link"",""สุราษฎร์ธานี!J487"")"),452)</f>
        <v>452</v>
      </c>
      <c r="K487" s="38">
        <f ca="1">IF(I487&gt;0,J487*100/I487,0)</f>
        <v>94.166666666666671</v>
      </c>
      <c r="L487" s="38"/>
      <c r="M487" s="38"/>
      <c r="N487" s="38"/>
      <c r="O487" s="38"/>
      <c r="P487" s="3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20.25" customHeight="1">
      <c r="A488" s="607"/>
      <c r="B488" s="608"/>
      <c r="C488" s="608"/>
      <c r="D488" s="608"/>
      <c r="E488" s="608"/>
      <c r="F488" s="617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IFERROR(__xludf.DUMMYFUNCTION("IMPORTRANGE(""https://docs.google.com/spreadsheets/d/1kC41EOXpGBFOW658Fs3oD8beYlym0-zO54WY-2Qnp9I/edit?usp=share_link"",""กระบี่!J488"")
+IMPORTRANGE(""https://docs.google.com/spreadsheets/d/1FbzMZY_f3MDiEuK7RpCQKrilJ_kpX0Wm7QBZ1L7EjIU/edit?usp=share_link"&amp;""",""ชุมพร!J488"")+IMPORTRANGE(""https://docs.google.com/spreadsheets/d/1v5sN-00LrXuhBxw4dkh2GrG_z4l5oAqOdJRBCsUyMaM/edit?usp=share_link"",""ตรัง!J488"")+IMPORTRANGE(""https://docs.google.com/spreadsheets/d/1T5rRTzFc79aSIvqnzkZNvwPstq829QYz_xALlO1Z0s8/edi"&amp;"t?usp=share_link"",""นครศรีธรรมราช!J488"")+IMPORTRANGE(""https://docs.google.com/spreadsheets/d/1BeghqumK0IvCmRd2QOy6_afsZq7ZtAGrSnVJy2u7WmY/edit?usp=share_link"",""นราธิวาส!J488"")+IMPORTRANGE(""https://docs.google.com/spreadsheets/d/1IwnW3-jjRf74MCLW-6P"&amp;"iFwMUffRQXZwZA7YM609NmRc/edit?usp=share_link"",""ปัตตานี!J488"")+IMPORTRANGE(""https://docs.google.com/spreadsheets/d/1vl4QWbWdFruual5o_wdo6ZSqXZ_it806oja4CctTLKs/edit?usp=share_link"",""พังงา!J488"")+IMPORTRANGE(""https://docs.google.com/spreadsheets/d/1"&amp;"b6QssHQp2FoAPSMKHOy273KNzAomaIKhtdlvuZ_zDNE/edit?usp=share_link"",""พัทลุง!J488"")+IMPORTRANGE(""https://docs.google.com/spreadsheets/d/1o7UZe4_OqlqtLDHrj01Z2YFRSZDf1DMy1n3XViHaxRc/edit?usp=share_link"",""ภูเก็ต!J488"")+IMPORTRANGE(""https://docs.google.c"&amp;"om/spreadsheets/d/1ctPm1vUzcUCPuOj9-eoHUD85PqINFqUB0TjdSWmR5-c/edit?usp=share_link"",""ยะลา!J488"")+IMPORTRANGE(""https://docs.google.com/spreadsheets/d/1YiDIE7Klmt8osgdapRqYWNr7iPGFSsiJqq46S7PYRE0/edit?usp=share_link"",""ระนอง!J488"")+IMPORTRANGE(""https"&amp;"://docs.google.com/spreadsheets/d/16o_4B-V7AWw_6E93bSpXj_XxVv1oVQctk-B6z1dNEWU/edit?usp=share_link"",""สงขลา!J488"")+IMPORTRANGE(""https://docs.google.com/spreadsheets/d/16cywr71Fj4fA5OGRHsZh30ZG2gwJhMAQv69oVBzYHv0/edit?usp=share_link"",""สตูล!J488"")+IMP"&amp;"ORTRANGE(""https://docs.google.com/spreadsheets/d/1vO9Sws6kMtrVtyvrAJptINXjK8TFBoX9xLYOVK_C8bQ/edit?usp=share_link"",""สุราษฎร์ธานี!J488"")"),29)</f>
        <v>29</v>
      </c>
      <c r="K488" s="38"/>
      <c r="L488" s="38"/>
      <c r="M488" s="38"/>
      <c r="N488" s="38"/>
      <c r="O488" s="38"/>
      <c r="P488" s="3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20.25" customHeight="1">
      <c r="A489" s="607"/>
      <c r="B489" s="608"/>
      <c r="C489" s="608"/>
      <c r="D489" s="608"/>
      <c r="E489" s="608"/>
      <c r="F489" s="617" t="s">
        <v>213</v>
      </c>
      <c r="G489" s="175"/>
      <c r="H489" s="622" t="s">
        <v>35</v>
      </c>
      <c r="I489" s="37">
        <f ca="1">IFERROR(__xludf.DUMMYFUNCTION("IMPORTRANGE(""https://docs.google.com/spreadsheets/d/1kC41EOXpGBFOW658Fs3oD8beYlym0-zO54WY-2Qnp9I/edit?usp=share_link"",""กระบี่!I489"")
+IMPORTRANGE(""https://docs.google.com/spreadsheets/d/1FbzMZY_f3MDiEuK7RpCQKrilJ_kpX0Wm7QBZ1L7EjIU/edit?usp=share_link"&amp;""",""ชุมพร!I489"")+IMPORTRANGE(""https://docs.google.com/spreadsheets/d/1v5sN-00LrXuhBxw4dkh2GrG_z4l5oAqOdJRBCsUyMaM/edit?usp=share_link"",""ตรัง!I489"")+IMPORTRANGE(""https://docs.google.com/spreadsheets/d/1T5rRTzFc79aSIvqnzkZNvwPstq829QYz_xALlO1Z0s8/edi"&amp;"t?usp=share_link"",""นครศรีธรรมราช!I489"")+IMPORTRANGE(""https://docs.google.com/spreadsheets/d/1BeghqumK0IvCmRd2QOy6_afsZq7ZtAGrSnVJy2u7WmY/edit?usp=share_link"",""นราธิวาส!I489"")+IMPORTRANGE(""https://docs.google.com/spreadsheets/d/1IwnW3-jjRf74MCLW-6P"&amp;"iFwMUffRQXZwZA7YM609NmRc/edit?usp=share_link"",""ปัตตานี!I489"")+IMPORTRANGE(""https://docs.google.com/spreadsheets/d/1vl4QWbWdFruual5o_wdo6ZSqXZ_it806oja4CctTLKs/edit?usp=share_link"",""พังงา!I489"")+IMPORTRANGE(""https://docs.google.com/spreadsheets/d/1"&amp;"b6QssHQp2FoAPSMKHOy273KNzAomaIKhtdlvuZ_zDNE/edit?usp=share_link"",""พัทลุง!I489"")+IMPORTRANGE(""https://docs.google.com/spreadsheets/d/1o7UZe4_OqlqtLDHrj01Z2YFRSZDf1DMy1n3XViHaxRc/edit?usp=share_link"",""ภูเก็ต!I489"")+IMPORTRANGE(""https://docs.google.c"&amp;"om/spreadsheets/d/1ctPm1vUzcUCPuOj9-eoHUD85PqINFqUB0TjdSWmR5-c/edit?usp=share_link"",""ยะลา!I489"")+IMPORTRANGE(""https://docs.google.com/spreadsheets/d/1YiDIE7Klmt8osgdapRqYWNr7iPGFSsiJqq46S7PYRE0/edit?usp=share_link"",""ระนอง!I489"")+IMPORTRANGE(""https"&amp;"://docs.google.com/spreadsheets/d/16o_4B-V7AWw_6E93bSpXj_XxVv1oVQctk-B6z1dNEWU/edit?usp=share_link"",""สงขลา!I489"")+IMPORTRANGE(""https://docs.google.com/spreadsheets/d/16cywr71Fj4fA5OGRHsZh30ZG2gwJhMAQv69oVBzYHv0/edit?usp=share_link"",""สตูล!I489"")+IMP"&amp;"ORTRANGE(""https://docs.google.com/spreadsheets/d/1vO9Sws6kMtrVtyvrAJptINXjK8TFBoX9xLYOVK_C8bQ/edit?usp=share_link"",""สุราษฎร์ธานี!I489"")"),48)</f>
        <v>48</v>
      </c>
      <c r="J489" s="183">
        <f ca="1">IFERROR(__xludf.DUMMYFUNCTION("IMPORTRANGE(""https://docs.google.com/spreadsheets/d/1kC41EOXpGBFOW658Fs3oD8beYlym0-zO54WY-2Qnp9I/edit?usp=share_link"",""กระบี่!J489"")
+IMPORTRANGE(""https://docs.google.com/spreadsheets/d/1FbzMZY_f3MDiEuK7RpCQKrilJ_kpX0Wm7QBZ1L7EjIU/edit?usp=share_link"&amp;""",""ชุมพร!J489"")+IMPORTRANGE(""https://docs.google.com/spreadsheets/d/1v5sN-00LrXuhBxw4dkh2GrG_z4l5oAqOdJRBCsUyMaM/edit?usp=share_link"",""ตรัง!J489"")+IMPORTRANGE(""https://docs.google.com/spreadsheets/d/1T5rRTzFc79aSIvqnzkZNvwPstq829QYz_xALlO1Z0s8/edi"&amp;"t?usp=share_link"",""นครศรีธรรมราช!J489"")+IMPORTRANGE(""https://docs.google.com/spreadsheets/d/1BeghqumK0IvCmRd2QOy6_afsZq7ZtAGrSnVJy2u7WmY/edit?usp=share_link"",""นราธิวาส!J489"")+IMPORTRANGE(""https://docs.google.com/spreadsheets/d/1IwnW3-jjRf74MCLW-6P"&amp;"iFwMUffRQXZwZA7YM609NmRc/edit?usp=share_link"",""ปัตตานี!J489"")+IMPORTRANGE(""https://docs.google.com/spreadsheets/d/1vl4QWbWdFruual5o_wdo6ZSqXZ_it806oja4CctTLKs/edit?usp=share_link"",""พังงา!J489"")+IMPORTRANGE(""https://docs.google.com/spreadsheets/d/1"&amp;"b6QssHQp2FoAPSMKHOy273KNzAomaIKhtdlvuZ_zDNE/edit?usp=share_link"",""พัทลุง!J489"")+IMPORTRANGE(""https://docs.google.com/spreadsheets/d/1o7UZe4_OqlqtLDHrj01Z2YFRSZDf1DMy1n3XViHaxRc/edit?usp=share_link"",""ภูเก็ต!J489"")+IMPORTRANGE(""https://docs.google.c"&amp;"om/spreadsheets/d/1ctPm1vUzcUCPuOj9-eoHUD85PqINFqUB0TjdSWmR5-c/edit?usp=share_link"",""ยะลา!J489"")+IMPORTRANGE(""https://docs.google.com/spreadsheets/d/1YiDIE7Klmt8osgdapRqYWNr7iPGFSsiJqq46S7PYRE0/edit?usp=share_link"",""ระนอง!J489"")+IMPORTRANGE(""https"&amp;"://docs.google.com/spreadsheets/d/16o_4B-V7AWw_6E93bSpXj_XxVv1oVQctk-B6z1dNEWU/edit?usp=share_link"",""สงขลา!J489"")+IMPORTRANGE(""https://docs.google.com/spreadsheets/d/16cywr71Fj4fA5OGRHsZh30ZG2gwJhMAQv69oVBzYHv0/edit?usp=share_link"",""สตูล!J489"")+IMP"&amp;"ORTRANGE(""https://docs.google.com/spreadsheets/d/1vO9Sws6kMtrVtyvrAJptINXjK8TFBoX9xLYOVK_C8bQ/edit?usp=share_link"",""สุราษฎร์ธานี!J489"")"),49)</f>
        <v>49</v>
      </c>
      <c r="K489" s="38">
        <f ca="1">IF(I489&gt;0,J489*100/I489,0)</f>
        <v>102.08333333333333</v>
      </c>
      <c r="L489" s="38"/>
      <c r="M489" s="38"/>
      <c r="N489" s="38"/>
      <c r="O489" s="38"/>
      <c r="P489" s="3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20.25" customHeight="1">
      <c r="A490" s="607"/>
      <c r="B490" s="608"/>
      <c r="C490" s="608"/>
      <c r="D490" s="608"/>
      <c r="E490" s="617" t="s">
        <v>63</v>
      </c>
      <c r="F490" s="623"/>
      <c r="G490" s="175"/>
      <c r="H490" s="622"/>
      <c r="I490" s="37"/>
      <c r="J490" s="37"/>
      <c r="K490" s="38"/>
      <c r="L490" s="38"/>
      <c r="M490" s="38"/>
      <c r="N490" s="38"/>
      <c r="O490" s="38"/>
      <c r="P490" s="3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20.25" customHeight="1">
      <c r="A491" s="607"/>
      <c r="B491" s="608"/>
      <c r="C491" s="608"/>
      <c r="D491" s="608"/>
      <c r="E491" s="608"/>
      <c r="F491" s="617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IFERROR(__xludf.DUMMYFUNCTION("IMPORTRANGE(""https://docs.google.com/spreadsheets/d/1kC41EOXpGBFOW658Fs3oD8beYlym0-zO54WY-2Qnp9I/edit?usp=share_link"",""กระบี่!J491"")
+IMPORTRANGE(""https://docs.google.com/spreadsheets/d/1FbzMZY_f3MDiEuK7RpCQKrilJ_kpX0Wm7QBZ1L7EjIU/edit?usp=share_link"&amp;""",""ชุมพร!J491"")+IMPORTRANGE(""https://docs.google.com/spreadsheets/d/1v5sN-00LrXuhBxw4dkh2GrG_z4l5oAqOdJRBCsUyMaM/edit?usp=share_link"",""ตรัง!J491"")+IMPORTRANGE(""https://docs.google.com/spreadsheets/d/1T5rRTzFc79aSIvqnzkZNvwPstq829QYz_xALlO1Z0s8/edi"&amp;"t?usp=share_link"",""นครศรีธรรมราช!J491"")+IMPORTRANGE(""https://docs.google.com/spreadsheets/d/1BeghqumK0IvCmRd2QOy6_afsZq7ZtAGrSnVJy2u7WmY/edit?usp=share_link"",""นราธิวาส!J491"")+IMPORTRANGE(""https://docs.google.com/spreadsheets/d/1IwnW3-jjRf74MCLW-6P"&amp;"iFwMUffRQXZwZA7YM609NmRc/edit?usp=share_link"",""ปัตตานี!J491"")+IMPORTRANGE(""https://docs.google.com/spreadsheets/d/1vl4QWbWdFruual5o_wdo6ZSqXZ_it806oja4CctTLKs/edit?usp=share_link"",""พังงา!J491"")+IMPORTRANGE(""https://docs.google.com/spreadsheets/d/1"&amp;"b6QssHQp2FoAPSMKHOy273KNzAomaIKhtdlvuZ_zDNE/edit?usp=share_link"",""พัทลุง!J491"")+IMPORTRANGE(""https://docs.google.com/spreadsheets/d/1o7UZe4_OqlqtLDHrj01Z2YFRSZDf1DMy1n3XViHaxRc/edit?usp=share_link"",""ภูเก็ต!J491"")+IMPORTRANGE(""https://docs.google.c"&amp;"om/spreadsheets/d/1ctPm1vUzcUCPuOj9-eoHUD85PqINFqUB0TjdSWmR5-c/edit?usp=share_link"",""ยะลา!J491"")+IMPORTRANGE(""https://docs.google.com/spreadsheets/d/1YiDIE7Klmt8osgdapRqYWNr7iPGFSsiJqq46S7PYRE0/edit?usp=share_link"",""ระนอง!J491"")+IMPORTRANGE(""https"&amp;"://docs.google.com/spreadsheets/d/16o_4B-V7AWw_6E93bSpXj_XxVv1oVQctk-B6z1dNEWU/edit?usp=share_link"",""สงขลา!J491"")+IMPORTRANGE(""https://docs.google.com/spreadsheets/d/16cywr71Fj4fA5OGRHsZh30ZG2gwJhMAQv69oVBzYHv0/edit?usp=share_link"",""สตูล!J491"")+IMP"&amp;"ORTRANGE(""https://docs.google.com/spreadsheets/d/1vO9Sws6kMtrVtyvrAJptINXjK8TFBoX9xLYOVK_C8bQ/edit?usp=share_link"",""สุราษฎร์ธานี!J491"")"),10)</f>
        <v>10</v>
      </c>
      <c r="K491" s="38"/>
      <c r="L491" s="38"/>
      <c r="M491" s="38"/>
      <c r="N491" s="38"/>
      <c r="O491" s="38"/>
      <c r="P491" s="3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20.25" customHeight="1">
      <c r="A492" s="607"/>
      <c r="B492" s="608"/>
      <c r="C492" s="608"/>
      <c r="D492" s="608"/>
      <c r="E492" s="608"/>
      <c r="F492" s="617" t="s">
        <v>215</v>
      </c>
      <c r="G492" s="175"/>
      <c r="H492" s="36" t="s">
        <v>35</v>
      </c>
      <c r="I492" s="37">
        <f ca="1">IFERROR(__xludf.DUMMYFUNCTION("IMPORTRANGE(""https://docs.google.com/spreadsheets/d/1kC41EOXpGBFOW658Fs3oD8beYlym0-zO54WY-2Qnp9I/edit?usp=share_link"",""กระบี่!I492"")
+IMPORTRANGE(""https://docs.google.com/spreadsheets/d/1FbzMZY_f3MDiEuK7RpCQKrilJ_kpX0Wm7QBZ1L7EjIU/edit?usp=share_link"&amp;""",""ชุมพร!I492"")+IMPORTRANGE(""https://docs.google.com/spreadsheets/d/1v5sN-00LrXuhBxw4dkh2GrG_z4l5oAqOdJRBCsUyMaM/edit?usp=share_link"",""ตรัง!I492"")+IMPORTRANGE(""https://docs.google.com/spreadsheets/d/1T5rRTzFc79aSIvqnzkZNvwPstq829QYz_xALlO1Z0s8/edi"&amp;"t?usp=share_link"",""นครศรีธรรมราช!I492"")+IMPORTRANGE(""https://docs.google.com/spreadsheets/d/1BeghqumK0IvCmRd2QOy6_afsZq7ZtAGrSnVJy2u7WmY/edit?usp=share_link"",""นราธิวาส!I492"")+IMPORTRANGE(""https://docs.google.com/spreadsheets/d/1IwnW3-jjRf74MCLW-6P"&amp;"iFwMUffRQXZwZA7YM609NmRc/edit?usp=share_link"",""ปัตตานี!I492"")+IMPORTRANGE(""https://docs.google.com/spreadsheets/d/1vl4QWbWdFruual5o_wdo6ZSqXZ_it806oja4CctTLKs/edit?usp=share_link"",""พังงา!I492"")+IMPORTRANGE(""https://docs.google.com/spreadsheets/d/1"&amp;"b6QssHQp2FoAPSMKHOy273KNzAomaIKhtdlvuZ_zDNE/edit?usp=share_link"",""พัทลุง!I492"")+IMPORTRANGE(""https://docs.google.com/spreadsheets/d/1o7UZe4_OqlqtLDHrj01Z2YFRSZDf1DMy1n3XViHaxRc/edit?usp=share_link"",""ภูเก็ต!I492"")+IMPORTRANGE(""https://docs.google.c"&amp;"om/spreadsheets/d/1ctPm1vUzcUCPuOj9-eoHUD85PqINFqUB0TjdSWmR5-c/edit?usp=share_link"",""ยะลา!I492"")+IMPORTRANGE(""https://docs.google.com/spreadsheets/d/1YiDIE7Klmt8osgdapRqYWNr7iPGFSsiJqq46S7PYRE0/edit?usp=share_link"",""ระนอง!I492"")+IMPORTRANGE(""https"&amp;"://docs.google.com/spreadsheets/d/16o_4B-V7AWw_6E93bSpXj_XxVv1oVQctk-B6z1dNEWU/edit?usp=share_link"",""สงขลา!I492"")+IMPORTRANGE(""https://docs.google.com/spreadsheets/d/16cywr71Fj4fA5OGRHsZh30ZG2gwJhMAQv69oVBzYHv0/edit?usp=share_link"",""สตูล!I492"")+IMP"&amp;"ORTRANGE(""https://docs.google.com/spreadsheets/d/1vO9Sws6kMtrVtyvrAJptINXjK8TFBoX9xLYOVK_C8bQ/edit?usp=share_link"",""สุราษฎร์ธานี!I492"")"),14)</f>
        <v>14</v>
      </c>
      <c r="J492" s="183">
        <f ca="1">IFERROR(__xludf.DUMMYFUNCTION("IMPORTRANGE(""https://docs.google.com/spreadsheets/d/1kC41EOXpGBFOW658Fs3oD8beYlym0-zO54WY-2Qnp9I/edit?usp=share_link"",""กระบี่!J492"")
+IMPORTRANGE(""https://docs.google.com/spreadsheets/d/1FbzMZY_f3MDiEuK7RpCQKrilJ_kpX0Wm7QBZ1L7EjIU/edit?usp=share_link"&amp;""",""ชุมพร!J492"")+IMPORTRANGE(""https://docs.google.com/spreadsheets/d/1v5sN-00LrXuhBxw4dkh2GrG_z4l5oAqOdJRBCsUyMaM/edit?usp=share_link"",""ตรัง!J492"")+IMPORTRANGE(""https://docs.google.com/spreadsheets/d/1T5rRTzFc79aSIvqnzkZNvwPstq829QYz_xALlO1Z0s8/edi"&amp;"t?usp=share_link"",""นครศรีธรรมราช!J492"")+IMPORTRANGE(""https://docs.google.com/spreadsheets/d/1BeghqumK0IvCmRd2QOy6_afsZq7ZtAGrSnVJy2u7WmY/edit?usp=share_link"",""นราธิวาส!J492"")+IMPORTRANGE(""https://docs.google.com/spreadsheets/d/1IwnW3-jjRf74MCLW-6P"&amp;"iFwMUffRQXZwZA7YM609NmRc/edit?usp=share_link"",""ปัตตานี!J492"")+IMPORTRANGE(""https://docs.google.com/spreadsheets/d/1vl4QWbWdFruual5o_wdo6ZSqXZ_it806oja4CctTLKs/edit?usp=share_link"",""พังงา!J492"")+IMPORTRANGE(""https://docs.google.com/spreadsheets/d/1"&amp;"b6QssHQp2FoAPSMKHOy273KNzAomaIKhtdlvuZ_zDNE/edit?usp=share_link"",""พัทลุง!J492"")+IMPORTRANGE(""https://docs.google.com/spreadsheets/d/1o7UZe4_OqlqtLDHrj01Z2YFRSZDf1DMy1n3XViHaxRc/edit?usp=share_link"",""ภูเก็ต!J492"")+IMPORTRANGE(""https://docs.google.c"&amp;"om/spreadsheets/d/1ctPm1vUzcUCPuOj9-eoHUD85PqINFqUB0TjdSWmR5-c/edit?usp=share_link"",""ยะลา!J492"")+IMPORTRANGE(""https://docs.google.com/spreadsheets/d/1YiDIE7Klmt8osgdapRqYWNr7iPGFSsiJqq46S7PYRE0/edit?usp=share_link"",""ระนอง!J492"")+IMPORTRANGE(""https"&amp;"://docs.google.com/spreadsheets/d/16o_4B-V7AWw_6E93bSpXj_XxVv1oVQctk-B6z1dNEWU/edit?usp=share_link"",""สงขลา!J492"")+IMPORTRANGE(""https://docs.google.com/spreadsheets/d/16cywr71Fj4fA5OGRHsZh30ZG2gwJhMAQv69oVBzYHv0/edit?usp=share_link"",""สตูล!J492"")+IMP"&amp;"ORTRANGE(""https://docs.google.com/spreadsheets/d/1vO9Sws6kMtrVtyvrAJptINXjK8TFBoX9xLYOVK_C8bQ/edit?usp=share_link"",""สุราษฎร์ธานี!J492"")"),14)</f>
        <v>14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20.25" customHeight="1">
      <c r="A493" s="607"/>
      <c r="B493" s="608"/>
      <c r="C493" s="608"/>
      <c r="D493" s="624" t="s">
        <v>59</v>
      </c>
      <c r="E493" s="608"/>
      <c r="F493" s="618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20.25" customHeight="1">
      <c r="A494" s="607"/>
      <c r="B494" s="608"/>
      <c r="C494" s="608"/>
      <c r="D494" s="608"/>
      <c r="E494" s="617" t="s">
        <v>208</v>
      </c>
      <c r="F494" s="618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20.25" customHeight="1">
      <c r="A495" s="607"/>
      <c r="B495" s="608"/>
      <c r="C495" s="608"/>
      <c r="D495" s="608"/>
      <c r="E495" s="608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IFERROR(__xludf.DUMMYFUNCTION("IMPORTRANGE(""https://docs.google.com/spreadsheets/d/1kC41EOXpGBFOW658Fs3oD8beYlym0-zO54WY-2Qnp9I/edit?usp=share_link"",""กระบี่!I495"")
+IMPORTRANGE(""https://docs.google.com/spreadsheets/d/1FbzMZY_f3MDiEuK7RpCQKrilJ_kpX0Wm7QBZ1L7EjIU/edit?usp=share_link"&amp;""",""ชุมพร!I495"")+IMPORTRANGE(""https://docs.google.com/spreadsheets/d/1v5sN-00LrXuhBxw4dkh2GrG_z4l5oAqOdJRBCsUyMaM/edit?usp=share_link"",""ตรัง!I495"")+IMPORTRANGE(""https://docs.google.com/spreadsheets/d/1T5rRTzFc79aSIvqnzkZNvwPstq829QYz_xALlO1Z0s8/edi"&amp;"t?usp=share_link"",""นครศรีธรรมราช!I495"")+IMPORTRANGE(""https://docs.google.com/spreadsheets/d/1BeghqumK0IvCmRd2QOy6_afsZq7ZtAGrSnVJy2u7WmY/edit?usp=share_link"",""นราธิวาส!I495"")+IMPORTRANGE(""https://docs.google.com/spreadsheets/d/1IwnW3-jjRf74MCLW-6P"&amp;"iFwMUffRQXZwZA7YM609NmRc/edit?usp=share_link"",""ปัตตานี!I495"")+IMPORTRANGE(""https://docs.google.com/spreadsheets/d/1vl4QWbWdFruual5o_wdo6ZSqXZ_it806oja4CctTLKs/edit?usp=share_link"",""พังงา!I495"")+IMPORTRANGE(""https://docs.google.com/spreadsheets/d/1"&amp;"b6QssHQp2FoAPSMKHOy273KNzAomaIKhtdlvuZ_zDNE/edit?usp=share_link"",""พัทลุง!I495"")+IMPORTRANGE(""https://docs.google.com/spreadsheets/d/1o7UZe4_OqlqtLDHrj01Z2YFRSZDf1DMy1n3XViHaxRc/edit?usp=share_link"",""ภูเก็ต!I495"")+IMPORTRANGE(""https://docs.google.c"&amp;"om/spreadsheets/d/1ctPm1vUzcUCPuOj9-eoHUD85PqINFqUB0TjdSWmR5-c/edit?usp=share_link"",""ยะลา!I495"")+IMPORTRANGE(""https://docs.google.com/spreadsheets/d/1YiDIE7Klmt8osgdapRqYWNr7iPGFSsiJqq46S7PYRE0/edit?usp=share_link"",""ระนอง!I495"")+IMPORTRANGE(""https"&amp;"://docs.google.com/spreadsheets/d/16o_4B-V7AWw_6E93bSpXj_XxVv1oVQctk-B6z1dNEWU/edit?usp=share_link"",""สงขลา!I495"")+IMPORTRANGE(""https://docs.google.com/spreadsheets/d/16cywr71Fj4fA5OGRHsZh30ZG2gwJhMAQv69oVBzYHv0/edit?usp=share_link"",""สตูล!I495"")+IMP"&amp;"ORTRANGE(""https://docs.google.com/spreadsheets/d/1vO9Sws6kMtrVtyvrAJptINXjK8TFBoX9xLYOVK_C8bQ/edit?usp=share_link"",""สุราษฎร์ธานี!I495"")"),4320)</f>
        <v>4320</v>
      </c>
      <c r="J495" s="183">
        <f ca="1">IFERROR(__xludf.DUMMYFUNCTION("IMPORTRANGE(""https://docs.google.com/spreadsheets/d/1kC41EOXpGBFOW658Fs3oD8beYlym0-zO54WY-2Qnp9I/edit?usp=share_link"",""กระบี่!J495"")
+IMPORTRANGE(""https://docs.google.com/spreadsheets/d/1FbzMZY_f3MDiEuK7RpCQKrilJ_kpX0Wm7QBZ1L7EjIU/edit?usp=share_link"&amp;""",""ชุมพร!J495"")+IMPORTRANGE(""https://docs.google.com/spreadsheets/d/1v5sN-00LrXuhBxw4dkh2GrG_z4l5oAqOdJRBCsUyMaM/edit?usp=share_link"",""ตรัง!J495"")+IMPORTRANGE(""https://docs.google.com/spreadsheets/d/1T5rRTzFc79aSIvqnzkZNvwPstq829QYz_xALlO1Z0s8/edi"&amp;"t?usp=share_link"",""นครศรีธรรมราช!J495"")+IMPORTRANGE(""https://docs.google.com/spreadsheets/d/1BeghqumK0IvCmRd2QOy6_afsZq7ZtAGrSnVJy2u7WmY/edit?usp=share_link"",""นราธิวาส!J495"")+IMPORTRANGE(""https://docs.google.com/spreadsheets/d/1IwnW3-jjRf74MCLW-6P"&amp;"iFwMUffRQXZwZA7YM609NmRc/edit?usp=share_link"",""ปัตตานี!J495"")+IMPORTRANGE(""https://docs.google.com/spreadsheets/d/1vl4QWbWdFruual5o_wdo6ZSqXZ_it806oja4CctTLKs/edit?usp=share_link"",""พังงา!J495"")+IMPORTRANGE(""https://docs.google.com/spreadsheets/d/1"&amp;"b6QssHQp2FoAPSMKHOy273KNzAomaIKhtdlvuZ_zDNE/edit?usp=share_link"",""พัทลุง!J495"")+IMPORTRANGE(""https://docs.google.com/spreadsheets/d/1o7UZe4_OqlqtLDHrj01Z2YFRSZDf1DMy1n3XViHaxRc/edit?usp=share_link"",""ภูเก็ต!J495"")+IMPORTRANGE(""https://docs.google.c"&amp;"om/spreadsheets/d/1ctPm1vUzcUCPuOj9-eoHUD85PqINFqUB0TjdSWmR5-c/edit?usp=share_link"",""ยะลา!J495"")+IMPORTRANGE(""https://docs.google.com/spreadsheets/d/1YiDIE7Klmt8osgdapRqYWNr7iPGFSsiJqq46S7PYRE0/edit?usp=share_link"",""ระนอง!J495"")+IMPORTRANGE(""https"&amp;"://docs.google.com/spreadsheets/d/16o_4B-V7AWw_6E93bSpXj_XxVv1oVQctk-B6z1dNEWU/edit?usp=share_link"",""สงขลา!J495"")+IMPORTRANGE(""https://docs.google.com/spreadsheets/d/16cywr71Fj4fA5OGRHsZh30ZG2gwJhMAQv69oVBzYHv0/edit?usp=share_link"",""สตูล!J495"")+IMP"&amp;"ORTRANGE(""https://docs.google.com/spreadsheets/d/1vO9Sws6kMtrVtyvrAJptINXjK8TFBoX9xLYOVK_C8bQ/edit?usp=share_link"",""สุราษฎร์ธานี!J495"")"),1170)</f>
        <v>1170</v>
      </c>
      <c r="K495" s="38">
        <f ca="1">IF(I495&gt;0,J495*100/I495,0)</f>
        <v>27.083333333333332</v>
      </c>
      <c r="L495" s="38"/>
      <c r="M495" s="38"/>
      <c r="N495" s="38"/>
      <c r="O495" s="38"/>
      <c r="P495" s="3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20.25" customHeight="1">
      <c r="A496" s="607"/>
      <c r="B496" s="608"/>
      <c r="C496" s="608"/>
      <c r="D496" s="608"/>
      <c r="E496" s="608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IFERROR(__xludf.DUMMYFUNCTION("IMPORTRANGE(""https://docs.google.com/spreadsheets/d/1kC41EOXpGBFOW658Fs3oD8beYlym0-zO54WY-2Qnp9I/edit?usp=share_link"",""กระบี่!J496"")
+IMPORTRANGE(""https://docs.google.com/spreadsheets/d/1FbzMZY_f3MDiEuK7RpCQKrilJ_kpX0Wm7QBZ1L7EjIU/edit?usp=share_link"&amp;""",""ชุมพร!J496"")+IMPORTRANGE(""https://docs.google.com/spreadsheets/d/1v5sN-00LrXuhBxw4dkh2GrG_z4l5oAqOdJRBCsUyMaM/edit?usp=share_link"",""ตรัง!J496"")+IMPORTRANGE(""https://docs.google.com/spreadsheets/d/1T5rRTzFc79aSIvqnzkZNvwPstq829QYz_xALlO1Z0s8/edi"&amp;"t?usp=share_link"",""นครศรีธรรมราช!J496"")+IMPORTRANGE(""https://docs.google.com/spreadsheets/d/1BeghqumK0IvCmRd2QOy6_afsZq7ZtAGrSnVJy2u7WmY/edit?usp=share_link"",""นราธิวาส!J496"")+IMPORTRANGE(""https://docs.google.com/spreadsheets/d/1IwnW3-jjRf74MCLW-6P"&amp;"iFwMUffRQXZwZA7YM609NmRc/edit?usp=share_link"",""ปัตตานี!J496"")+IMPORTRANGE(""https://docs.google.com/spreadsheets/d/1vl4QWbWdFruual5o_wdo6ZSqXZ_it806oja4CctTLKs/edit?usp=share_link"",""พังงา!J496"")+IMPORTRANGE(""https://docs.google.com/spreadsheets/d/1"&amp;"b6QssHQp2FoAPSMKHOy273KNzAomaIKhtdlvuZ_zDNE/edit?usp=share_link"",""พัทลุง!J496"")+IMPORTRANGE(""https://docs.google.com/spreadsheets/d/1o7UZe4_OqlqtLDHrj01Z2YFRSZDf1DMy1n3XViHaxRc/edit?usp=share_link"",""ภูเก็ต!J496"")+IMPORTRANGE(""https://docs.google.c"&amp;"om/spreadsheets/d/1ctPm1vUzcUCPuOj9-eoHUD85PqINFqUB0TjdSWmR5-c/edit?usp=share_link"",""ยะลา!J496"")+IMPORTRANGE(""https://docs.google.com/spreadsheets/d/1YiDIE7Klmt8osgdapRqYWNr7iPGFSsiJqq46S7PYRE0/edit?usp=share_link"",""ระนอง!J496"")+IMPORTRANGE(""https"&amp;"://docs.google.com/spreadsheets/d/16o_4B-V7AWw_6E93bSpXj_XxVv1oVQctk-B6z1dNEWU/edit?usp=share_link"",""สงขลา!J496"")+IMPORTRANGE(""https://docs.google.com/spreadsheets/d/16cywr71Fj4fA5OGRHsZh30ZG2gwJhMAQv69oVBzYHv0/edit?usp=share_link"",""สตูล!J496"")+IMP"&amp;"ORTRANGE(""https://docs.google.com/spreadsheets/d/1vO9Sws6kMtrVtyvrAJptINXjK8TFBoX9xLYOVK_C8bQ/edit?usp=share_link"",""สุราษฎร์ธานี!J496"")"),450)</f>
        <v>450</v>
      </c>
      <c r="K496" s="38"/>
      <c r="L496" s="38"/>
      <c r="M496" s="38"/>
      <c r="N496" s="38"/>
      <c r="O496" s="38"/>
      <c r="P496" s="3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20.25" customHeight="1">
      <c r="A497" s="607"/>
      <c r="B497" s="608"/>
      <c r="C497" s="608"/>
      <c r="D497" s="608"/>
      <c r="E497" s="617" t="s">
        <v>62</v>
      </c>
      <c r="F497" s="618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20.25" customHeight="1">
      <c r="A498" s="607"/>
      <c r="B498" s="608"/>
      <c r="C498" s="608"/>
      <c r="D498" s="608"/>
      <c r="E498" s="618"/>
      <c r="F498" s="625" t="s">
        <v>218</v>
      </c>
      <c r="G498" s="175"/>
      <c r="H498" s="36" t="s">
        <v>46</v>
      </c>
      <c r="I498" s="37">
        <f ca="1">IFERROR(__xludf.DUMMYFUNCTION("IMPORTRANGE(""https://docs.google.com/spreadsheets/d/1kC41EOXpGBFOW658Fs3oD8beYlym0-zO54WY-2Qnp9I/edit?usp=share_link"",""กระบี่!I498"")
+IMPORTRANGE(""https://docs.google.com/spreadsheets/d/1FbzMZY_f3MDiEuK7RpCQKrilJ_kpX0Wm7QBZ1L7EjIU/edit?usp=share_link"&amp;""",""ชุมพร!I498"")+IMPORTRANGE(""https://docs.google.com/spreadsheets/d/1v5sN-00LrXuhBxw4dkh2GrG_z4l5oAqOdJRBCsUyMaM/edit?usp=share_link"",""ตรัง!I498"")+IMPORTRANGE(""https://docs.google.com/spreadsheets/d/1T5rRTzFc79aSIvqnzkZNvwPstq829QYz_xALlO1Z0s8/edi"&amp;"t?usp=share_link"",""นครศรีธรรมราช!I498"")+IMPORTRANGE(""https://docs.google.com/spreadsheets/d/1BeghqumK0IvCmRd2QOy6_afsZq7ZtAGrSnVJy2u7WmY/edit?usp=share_link"",""นราธิวาส!I498"")+IMPORTRANGE(""https://docs.google.com/spreadsheets/d/1IwnW3-jjRf74MCLW-6P"&amp;"iFwMUffRQXZwZA7YM609NmRc/edit?usp=share_link"",""ปัตตานี!I498"")+IMPORTRANGE(""https://docs.google.com/spreadsheets/d/1vl4QWbWdFruual5o_wdo6ZSqXZ_it806oja4CctTLKs/edit?usp=share_link"",""พังงา!I498"")+IMPORTRANGE(""https://docs.google.com/spreadsheets/d/1"&amp;"b6QssHQp2FoAPSMKHOy273KNzAomaIKhtdlvuZ_zDNE/edit?usp=share_link"",""พัทลุง!I498"")+IMPORTRANGE(""https://docs.google.com/spreadsheets/d/1o7UZe4_OqlqtLDHrj01Z2YFRSZDf1DMy1n3XViHaxRc/edit?usp=share_link"",""ภูเก็ต!I498"")+IMPORTRANGE(""https://docs.google.c"&amp;"om/spreadsheets/d/1ctPm1vUzcUCPuOj9-eoHUD85PqINFqUB0TjdSWmR5-c/edit?usp=share_link"",""ยะลา!I498"")+IMPORTRANGE(""https://docs.google.com/spreadsheets/d/1YiDIE7Klmt8osgdapRqYWNr7iPGFSsiJqq46S7PYRE0/edit?usp=share_link"",""ระนอง!I498"")+IMPORTRANGE(""https"&amp;"://docs.google.com/spreadsheets/d/16o_4B-V7AWw_6E93bSpXj_XxVv1oVQctk-B6z1dNEWU/edit?usp=share_link"",""สงขลา!I498"")+IMPORTRANGE(""https://docs.google.com/spreadsheets/d/16cywr71Fj4fA5OGRHsZh30ZG2gwJhMAQv69oVBzYHv0/edit?usp=share_link"",""สตูล!I498"")+IMP"&amp;"ORTRANGE(""https://docs.google.com/spreadsheets/d/1vO9Sws6kMtrVtyvrAJptINXjK8TFBoX9xLYOVK_C8bQ/edit?usp=share_link"",""สุราษฎร์ธานี!I498"")"),480)</f>
        <v>480</v>
      </c>
      <c r="J498" s="183">
        <f ca="1">IFERROR(__xludf.DUMMYFUNCTION("IMPORTRANGE(""https://docs.google.com/spreadsheets/d/1kC41EOXpGBFOW658Fs3oD8beYlym0-zO54WY-2Qnp9I/edit?usp=share_link"",""กระบี่!J498"")
+IMPORTRANGE(""https://docs.google.com/spreadsheets/d/1FbzMZY_f3MDiEuK7RpCQKrilJ_kpX0Wm7QBZ1L7EjIU/edit?usp=share_link"&amp;""",""ชุมพร!J498"")+IMPORTRANGE(""https://docs.google.com/spreadsheets/d/1v5sN-00LrXuhBxw4dkh2GrG_z4l5oAqOdJRBCsUyMaM/edit?usp=share_link"",""ตรัง!J498"")+IMPORTRANGE(""https://docs.google.com/spreadsheets/d/1T5rRTzFc79aSIvqnzkZNvwPstq829QYz_xALlO1Z0s8/edi"&amp;"t?usp=share_link"",""นครศรีธรรมราช!J498"")+IMPORTRANGE(""https://docs.google.com/spreadsheets/d/1BeghqumK0IvCmRd2QOy6_afsZq7ZtAGrSnVJy2u7WmY/edit?usp=share_link"",""นราธิวาส!J498"")+IMPORTRANGE(""https://docs.google.com/spreadsheets/d/1IwnW3-jjRf74MCLW-6P"&amp;"iFwMUffRQXZwZA7YM609NmRc/edit?usp=share_link"",""ปัตตานี!J498"")+IMPORTRANGE(""https://docs.google.com/spreadsheets/d/1vl4QWbWdFruual5o_wdo6ZSqXZ_it806oja4CctTLKs/edit?usp=share_link"",""พังงา!J498"")+IMPORTRANGE(""https://docs.google.com/spreadsheets/d/1"&amp;"b6QssHQp2FoAPSMKHOy273KNzAomaIKhtdlvuZ_zDNE/edit?usp=share_link"",""พัทลุง!J498"")+IMPORTRANGE(""https://docs.google.com/spreadsheets/d/1o7UZe4_OqlqtLDHrj01Z2YFRSZDf1DMy1n3XViHaxRc/edit?usp=share_link"",""ภูเก็ต!J498"")+IMPORTRANGE(""https://docs.google.c"&amp;"om/spreadsheets/d/1ctPm1vUzcUCPuOj9-eoHUD85PqINFqUB0TjdSWmR5-c/edit?usp=share_link"",""ยะลา!J498"")+IMPORTRANGE(""https://docs.google.com/spreadsheets/d/1YiDIE7Klmt8osgdapRqYWNr7iPGFSsiJqq46S7PYRE0/edit?usp=share_link"",""ระนอง!J498"")+IMPORTRANGE(""https"&amp;"://docs.google.com/spreadsheets/d/16o_4B-V7AWw_6E93bSpXj_XxVv1oVQctk-B6z1dNEWU/edit?usp=share_link"",""สงขลา!J498"")+IMPORTRANGE(""https://docs.google.com/spreadsheets/d/16cywr71Fj4fA5OGRHsZh30ZG2gwJhMAQv69oVBzYHv0/edit?usp=share_link"",""สตูล!J498"")+IMP"&amp;"ORTRANGE(""https://docs.google.com/spreadsheets/d/1vO9Sws6kMtrVtyvrAJptINXjK8TFBoX9xLYOVK_C8bQ/edit?usp=share_link"",""สุราษฎร์ธานี!J498"")"),130)</f>
        <v>130</v>
      </c>
      <c r="K498" s="38">
        <f ca="1">IF(I498&gt;0,J498*100/I498,0)</f>
        <v>27.083333333333332</v>
      </c>
      <c r="L498" s="38"/>
      <c r="M498" s="38"/>
      <c r="N498" s="38"/>
      <c r="O498" s="38"/>
      <c r="P498" s="3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20.25" customHeight="1">
      <c r="A499" s="607"/>
      <c r="B499" s="608"/>
      <c r="C499" s="608"/>
      <c r="D499" s="608"/>
      <c r="E499" s="618"/>
      <c r="F499" s="625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IFERROR(__xludf.DUMMYFUNCTION("IMPORTRANGE(""https://docs.google.com/spreadsheets/d/1kC41EOXpGBFOW658Fs3oD8beYlym0-zO54WY-2Qnp9I/edit?usp=share_link"",""กระบี่!J499"")
+IMPORTRANGE(""https://docs.google.com/spreadsheets/d/1FbzMZY_f3MDiEuK7RpCQKrilJ_kpX0Wm7QBZ1L7EjIU/edit?usp=share_link"&amp;""",""ชุมพร!J499"")+IMPORTRANGE(""https://docs.google.com/spreadsheets/d/1v5sN-00LrXuhBxw4dkh2GrG_z4l5oAqOdJRBCsUyMaM/edit?usp=share_link"",""ตรัง!J499"")+IMPORTRANGE(""https://docs.google.com/spreadsheets/d/1T5rRTzFc79aSIvqnzkZNvwPstq829QYz_xALlO1Z0s8/edi"&amp;"t?usp=share_link"",""นครศรีธรรมราช!J499"")+IMPORTRANGE(""https://docs.google.com/spreadsheets/d/1BeghqumK0IvCmRd2QOy6_afsZq7ZtAGrSnVJy2u7WmY/edit?usp=share_link"",""นราธิวาส!J499"")+IMPORTRANGE(""https://docs.google.com/spreadsheets/d/1IwnW3-jjRf74MCLW-6P"&amp;"iFwMUffRQXZwZA7YM609NmRc/edit?usp=share_link"",""ปัตตานี!J499"")+IMPORTRANGE(""https://docs.google.com/spreadsheets/d/1vl4QWbWdFruual5o_wdo6ZSqXZ_it806oja4CctTLKs/edit?usp=share_link"",""พังงา!J499"")+IMPORTRANGE(""https://docs.google.com/spreadsheets/d/1"&amp;"b6QssHQp2FoAPSMKHOy273KNzAomaIKhtdlvuZ_zDNE/edit?usp=share_link"",""พัทลุง!J499"")+IMPORTRANGE(""https://docs.google.com/spreadsheets/d/1o7UZe4_OqlqtLDHrj01Z2YFRSZDf1DMy1n3XViHaxRc/edit?usp=share_link"",""ภูเก็ต!J499"")+IMPORTRANGE(""https://docs.google.c"&amp;"om/spreadsheets/d/1ctPm1vUzcUCPuOj9-eoHUD85PqINFqUB0TjdSWmR5-c/edit?usp=share_link"",""ยะลา!J499"")+IMPORTRANGE(""https://docs.google.com/spreadsheets/d/1YiDIE7Klmt8osgdapRqYWNr7iPGFSsiJqq46S7PYRE0/edit?usp=share_link"",""ระนอง!J499"")+IMPORTRANGE(""https"&amp;"://docs.google.com/spreadsheets/d/16o_4B-V7AWw_6E93bSpXj_XxVv1oVQctk-B6z1dNEWU/edit?usp=share_link"",""สงขลา!J499"")+IMPORTRANGE(""https://docs.google.com/spreadsheets/d/16cywr71Fj4fA5OGRHsZh30ZG2gwJhMAQv69oVBzYHv0/edit?usp=share_link"",""สตูล!J499"")+IMP"&amp;"ORTRANGE(""https://docs.google.com/spreadsheets/d/1vO9Sws6kMtrVtyvrAJptINXjK8TFBoX9xLYOVK_C8bQ/edit?usp=share_link"",""สุราษฎร์ธานี!J499"")"),50)</f>
        <v>50</v>
      </c>
      <c r="K499" s="38"/>
      <c r="L499" s="38"/>
      <c r="M499" s="38"/>
      <c r="N499" s="38"/>
      <c r="O499" s="38"/>
      <c r="P499" s="3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20.25" hidden="1" customHeight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47">J516</f>
        <v>0</v>
      </c>
      <c r="K500" s="633">
        <f t="shared" ref="K500:K501" si="248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20.25" hidden="1" customHeight="1">
      <c r="A501" s="635"/>
      <c r="B501" s="636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47"/>
        <v>0</v>
      </c>
      <c r="K501" s="642">
        <f t="shared" si="248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20.25" hidden="1" customHeight="1">
      <c r="A502" s="598"/>
      <c r="B502" s="599"/>
      <c r="C502" s="599" t="s">
        <v>16</v>
      </c>
      <c r="D502" s="848" t="s">
        <v>17</v>
      </c>
      <c r="E502" s="841"/>
      <c r="F502" s="841"/>
      <c r="G502" s="602"/>
      <c r="H502" s="644" t="s">
        <v>12</v>
      </c>
      <c r="I502" s="44"/>
      <c r="J502" s="44"/>
      <c r="K502" s="45"/>
      <c r="L502" s="645">
        <f t="shared" ref="L502:N502" si="249">L503+L504</f>
        <v>0</v>
      </c>
      <c r="M502" s="645">
        <f t="shared" si="249"/>
        <v>0</v>
      </c>
      <c r="N502" s="645">
        <f t="shared" si="249"/>
        <v>0</v>
      </c>
      <c r="O502" s="645">
        <f t="shared" ref="O502:O507" si="250">IF(L502&gt;0,N502*100/L502,0)</f>
        <v>0</v>
      </c>
      <c r="P502" s="645">
        <f t="shared" ref="P502:P507" si="251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20.25" hidden="1" customHeight="1">
      <c r="A503" s="598"/>
      <c r="B503" s="599"/>
      <c r="C503" s="599"/>
      <c r="D503" s="600"/>
      <c r="E503" s="601" t="s">
        <v>185</v>
      </c>
      <c r="F503" s="599"/>
      <c r="G503" s="602"/>
      <c r="H503" s="165" t="s">
        <v>12</v>
      </c>
      <c r="I503" s="44"/>
      <c r="J503" s="44"/>
      <c r="K503" s="45"/>
      <c r="L503" s="45">
        <f t="shared" ref="L503:N503" si="252">L506+L513</f>
        <v>0</v>
      </c>
      <c r="M503" s="45">
        <f t="shared" si="252"/>
        <v>0</v>
      </c>
      <c r="N503" s="45">
        <f t="shared" si="252"/>
        <v>0</v>
      </c>
      <c r="O503" s="45">
        <f t="shared" si="250"/>
        <v>0</v>
      </c>
      <c r="P503" s="45">
        <f t="shared" si="251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20.25" hidden="1" customHeight="1">
      <c r="A504" s="598"/>
      <c r="B504" s="604"/>
      <c r="C504" s="599"/>
      <c r="D504" s="600"/>
      <c r="E504" s="601" t="s">
        <v>186</v>
      </c>
      <c r="F504" s="599"/>
      <c r="G504" s="602"/>
      <c r="H504" s="165" t="s">
        <v>12</v>
      </c>
      <c r="I504" s="44"/>
      <c r="J504" s="44"/>
      <c r="K504" s="45"/>
      <c r="L504" s="45">
        <f t="shared" ref="L504:N504" si="253">L507+L514</f>
        <v>0</v>
      </c>
      <c r="M504" s="45">
        <f t="shared" si="253"/>
        <v>0</v>
      </c>
      <c r="N504" s="45">
        <f t="shared" si="253"/>
        <v>0</v>
      </c>
      <c r="O504" s="45">
        <f t="shared" si="250"/>
        <v>0</v>
      </c>
      <c r="P504" s="45">
        <f t="shared" si="251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20.25" hidden="1" customHeight="1">
      <c r="A505" s="598"/>
      <c r="B505" s="604"/>
      <c r="C505" s="599"/>
      <c r="D505" s="646" t="s">
        <v>20</v>
      </c>
      <c r="E505" s="599"/>
      <c r="F505" s="599"/>
      <c r="G505" s="602"/>
      <c r="H505" s="165" t="s">
        <v>12</v>
      </c>
      <c r="I505" s="166"/>
      <c r="J505" s="166"/>
      <c r="K505" s="167"/>
      <c r="L505" s="45">
        <f t="shared" ref="L505:N505" si="254">L506+L507</f>
        <v>0</v>
      </c>
      <c r="M505" s="45">
        <f t="shared" si="254"/>
        <v>0</v>
      </c>
      <c r="N505" s="45">
        <f t="shared" si="254"/>
        <v>0</v>
      </c>
      <c r="O505" s="45">
        <f t="shared" si="250"/>
        <v>0</v>
      </c>
      <c r="P505" s="45">
        <f t="shared" si="251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20.25" hidden="1" customHeight="1">
      <c r="A506" s="598"/>
      <c r="B506" s="604"/>
      <c r="C506" s="599"/>
      <c r="D506" s="600"/>
      <c r="E506" s="601" t="s">
        <v>185</v>
      </c>
      <c r="F506" s="599"/>
      <c r="G506" s="602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0"/>
        <v>0</v>
      </c>
      <c r="P506" s="45">
        <f t="shared" si="251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20.25" hidden="1" customHeight="1">
      <c r="A507" s="598"/>
      <c r="B507" s="604"/>
      <c r="C507" s="599"/>
      <c r="D507" s="600"/>
      <c r="E507" s="601" t="s">
        <v>186</v>
      </c>
      <c r="F507" s="599"/>
      <c r="G507" s="602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0"/>
        <v>0</v>
      </c>
      <c r="P507" s="45">
        <f t="shared" si="251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20.25" hidden="1" customHeight="1">
      <c r="A508" s="647"/>
      <c r="B508" s="604"/>
      <c r="C508" s="599"/>
      <c r="D508" s="599"/>
      <c r="E508" s="599"/>
      <c r="F508" s="601" t="s">
        <v>187</v>
      </c>
      <c r="G508" s="602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20.25" hidden="1" customHeight="1">
      <c r="A509" s="647"/>
      <c r="B509" s="604"/>
      <c r="C509" s="599"/>
      <c r="D509" s="599"/>
      <c r="E509" s="599"/>
      <c r="F509" s="601" t="s">
        <v>188</v>
      </c>
      <c r="G509" s="602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20.25" hidden="1" customHeight="1">
      <c r="A510" s="647"/>
      <c r="B510" s="604"/>
      <c r="C510" s="604"/>
      <c r="D510" s="604"/>
      <c r="E510" s="599"/>
      <c r="F510" s="601" t="s">
        <v>189</v>
      </c>
      <c r="G510" s="602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20.25" hidden="1" customHeight="1">
      <c r="A511" s="647"/>
      <c r="B511" s="604"/>
      <c r="C511" s="604"/>
      <c r="D511" s="604"/>
      <c r="E511" s="599"/>
      <c r="F511" s="601" t="s">
        <v>190</v>
      </c>
      <c r="G511" s="602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20.25" hidden="1" customHeight="1">
      <c r="A512" s="598"/>
      <c r="B512" s="604"/>
      <c r="C512" s="604"/>
      <c r="D512" s="646" t="s">
        <v>21</v>
      </c>
      <c r="E512" s="604"/>
      <c r="F512" s="599"/>
      <c r="G512" s="602"/>
      <c r="H512" s="169" t="s">
        <v>12</v>
      </c>
      <c r="I512" s="166"/>
      <c r="J512" s="166"/>
      <c r="K512" s="167"/>
      <c r="L512" s="45">
        <f t="shared" ref="L512:N512" si="255">L513+L514</f>
        <v>0</v>
      </c>
      <c r="M512" s="45">
        <f t="shared" si="255"/>
        <v>0</v>
      </c>
      <c r="N512" s="45">
        <f t="shared" si="255"/>
        <v>0</v>
      </c>
      <c r="O512" s="45">
        <f t="shared" ref="O512:O514" si="256">IF(L512&gt;0,N512*100/L512,0)</f>
        <v>0</v>
      </c>
      <c r="P512" s="45">
        <f t="shared" ref="P512:P514" si="257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20.25" hidden="1" customHeight="1">
      <c r="A513" s="598"/>
      <c r="B513" s="604"/>
      <c r="C513" s="604"/>
      <c r="D513" s="604"/>
      <c r="E513" s="606" t="s">
        <v>18</v>
      </c>
      <c r="F513" s="599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6"/>
        <v>0</v>
      </c>
      <c r="P513" s="45">
        <f t="shared" si="257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20.25" hidden="1" customHeight="1">
      <c r="A514" s="598"/>
      <c r="B514" s="604"/>
      <c r="C514" s="604"/>
      <c r="D514" s="599"/>
      <c r="E514" s="606" t="s">
        <v>19</v>
      </c>
      <c r="F514" s="599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6"/>
        <v>0</v>
      </c>
      <c r="P514" s="45">
        <f t="shared" si="257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20.25" hidden="1" customHeight="1">
      <c r="A515" s="613"/>
      <c r="B515" s="614"/>
      <c r="C515" s="604" t="s">
        <v>16</v>
      </c>
      <c r="D515" s="648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20.25" hidden="1" customHeight="1">
      <c r="A516" s="613"/>
      <c r="B516" s="614"/>
      <c r="C516" s="614"/>
      <c r="D516" s="615" t="s">
        <v>222</v>
      </c>
      <c r="E516" s="600"/>
      <c r="F516" s="600"/>
      <c r="G516" s="366"/>
      <c r="H516" s="651" t="s">
        <v>109</v>
      </c>
      <c r="I516" s="44"/>
      <c r="J516" s="616">
        <v>0</v>
      </c>
      <c r="K516" s="167">
        <f t="shared" ref="K516:K517" si="258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20.25" hidden="1" customHeight="1">
      <c r="A517" s="613"/>
      <c r="B517" s="614"/>
      <c r="C517" s="614"/>
      <c r="D517" s="615" t="s">
        <v>223</v>
      </c>
      <c r="E517" s="600"/>
      <c r="F517" s="600"/>
      <c r="G517" s="366"/>
      <c r="H517" s="652" t="s">
        <v>35</v>
      </c>
      <c r="I517" s="653"/>
      <c r="J517" s="653">
        <f>J518+J519</f>
        <v>0</v>
      </c>
      <c r="K517" s="654">
        <f t="shared" si="258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20.25" hidden="1" customHeight="1">
      <c r="A518" s="613"/>
      <c r="B518" s="614"/>
      <c r="C518" s="614"/>
      <c r="D518" s="614"/>
      <c r="E518" s="615" t="s">
        <v>224</v>
      </c>
      <c r="F518" s="600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20.25" hidden="1" customHeight="1">
      <c r="A519" s="613"/>
      <c r="B519" s="614"/>
      <c r="C519" s="614"/>
      <c r="D519" s="614"/>
      <c r="E519" s="615" t="s">
        <v>225</v>
      </c>
      <c r="F519" s="600"/>
      <c r="G519" s="366"/>
      <c r="H519" s="651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20.25" customHeight="1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20.25" customHeight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20.25" customHeight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674">
        <f t="shared" ref="I522:J522" ca="1" si="259">I537</f>
        <v>190</v>
      </c>
      <c r="J522" s="674">
        <f t="shared" ca="1" si="259"/>
        <v>190</v>
      </c>
      <c r="K522" s="675">
        <f ca="1">IF(I522&gt;0,J522*100/I522,0)</f>
        <v>100</v>
      </c>
      <c r="L522" s="676"/>
      <c r="M522" s="676"/>
      <c r="N522" s="676"/>
      <c r="O522" s="676"/>
      <c r="P522" s="676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20.25" customHeight="1">
      <c r="A523" s="596"/>
      <c r="B523" s="575"/>
      <c r="C523" s="575" t="s">
        <v>16</v>
      </c>
      <c r="D523" s="847" t="s">
        <v>17</v>
      </c>
      <c r="E523" s="841"/>
      <c r="F523" s="841"/>
      <c r="G523" s="189"/>
      <c r="H523" s="597" t="s">
        <v>12</v>
      </c>
      <c r="I523" s="37"/>
      <c r="J523" s="37"/>
      <c r="K523" s="38"/>
      <c r="L523" s="195">
        <f t="shared" ref="L523:N523" ca="1" si="260">L524+L525</f>
        <v>1674740</v>
      </c>
      <c r="M523" s="195">
        <f t="shared" ca="1" si="260"/>
        <v>1674740</v>
      </c>
      <c r="N523" s="195">
        <f t="shared" ca="1" si="260"/>
        <v>920740</v>
      </c>
      <c r="O523" s="195">
        <f t="shared" ref="O523:O528" ca="1" si="261">IF(L523&gt;0,N523*100/L523,0)</f>
        <v>54.978086150686075</v>
      </c>
      <c r="P523" s="195">
        <f t="shared" ref="P523:P528" ca="1" si="262">IF(M523&gt;0,N523*100/M523,0)</f>
        <v>54.978086150686075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20.25" hidden="1" customHeight="1">
      <c r="A524" s="598"/>
      <c r="B524" s="599"/>
      <c r="C524" s="599"/>
      <c r="D524" s="600"/>
      <c r="E524" s="601" t="s">
        <v>185</v>
      </c>
      <c r="F524" s="599"/>
      <c r="G524" s="602"/>
      <c r="H524" s="165" t="s">
        <v>12</v>
      </c>
      <c r="I524" s="44"/>
      <c r="J524" s="44"/>
      <c r="K524" s="45"/>
      <c r="L524" s="45">
        <f t="shared" ref="L524:N524" si="263">L527+L534</f>
        <v>0</v>
      </c>
      <c r="M524" s="45">
        <f t="shared" si="263"/>
        <v>0</v>
      </c>
      <c r="N524" s="45">
        <f t="shared" si="263"/>
        <v>0</v>
      </c>
      <c r="O524" s="45">
        <f t="shared" si="261"/>
        <v>0</v>
      </c>
      <c r="P524" s="45">
        <f t="shared" si="262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20.25" hidden="1" customHeight="1">
      <c r="A525" s="598"/>
      <c r="B525" s="604"/>
      <c r="C525" s="599"/>
      <c r="D525" s="600"/>
      <c r="E525" s="601" t="s">
        <v>186</v>
      </c>
      <c r="F525" s="599"/>
      <c r="G525" s="602"/>
      <c r="H525" s="165" t="s">
        <v>12</v>
      </c>
      <c r="I525" s="44"/>
      <c r="J525" s="44"/>
      <c r="K525" s="45"/>
      <c r="L525" s="45">
        <f t="shared" ref="L525:N525" ca="1" si="264">L528+L535</f>
        <v>1674740</v>
      </c>
      <c r="M525" s="45">
        <f t="shared" ca="1" si="264"/>
        <v>1674740</v>
      </c>
      <c r="N525" s="45">
        <f t="shared" ca="1" si="264"/>
        <v>920740</v>
      </c>
      <c r="O525" s="45">
        <f t="shared" ca="1" si="261"/>
        <v>54.978086150686075</v>
      </c>
      <c r="P525" s="45">
        <f t="shared" ca="1" si="262"/>
        <v>54.978086150686075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20.25" customHeight="1">
      <c r="A526" s="596"/>
      <c r="B526" s="574"/>
      <c r="C526" s="575"/>
      <c r="D526" s="605" t="s">
        <v>20</v>
      </c>
      <c r="E526" s="575"/>
      <c r="F526" s="575"/>
      <c r="G526" s="189"/>
      <c r="H526" s="161" t="s">
        <v>12</v>
      </c>
      <c r="I526" s="162"/>
      <c r="J526" s="162"/>
      <c r="K526" s="163"/>
      <c r="L526" s="38">
        <f t="shared" ref="L526:N526" ca="1" si="265">L527+L528</f>
        <v>1674740</v>
      </c>
      <c r="M526" s="38">
        <f t="shared" ca="1" si="265"/>
        <v>1674740</v>
      </c>
      <c r="N526" s="38">
        <f t="shared" ca="1" si="265"/>
        <v>920740</v>
      </c>
      <c r="O526" s="38">
        <f t="shared" ca="1" si="261"/>
        <v>54.978086150686075</v>
      </c>
      <c r="P526" s="38">
        <f t="shared" ca="1" si="262"/>
        <v>54.978086150686075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20.25" hidden="1" customHeight="1">
      <c r="A527" s="598"/>
      <c r="B527" s="604"/>
      <c r="C527" s="599"/>
      <c r="D527" s="600"/>
      <c r="E527" s="601" t="s">
        <v>185</v>
      </c>
      <c r="F527" s="599"/>
      <c r="G527" s="602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1"/>
        <v>0</v>
      </c>
      <c r="P527" s="45">
        <f t="shared" si="262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20.25" hidden="1" customHeight="1">
      <c r="A528" s="598"/>
      <c r="B528" s="604"/>
      <c r="C528" s="599"/>
      <c r="D528" s="600"/>
      <c r="E528" s="601" t="s">
        <v>186</v>
      </c>
      <c r="F528" s="599"/>
      <c r="G528" s="602"/>
      <c r="H528" s="165" t="s">
        <v>12</v>
      </c>
      <c r="I528" s="44"/>
      <c r="J528" s="44"/>
      <c r="K528" s="45"/>
      <c r="L528" s="45">
        <f ca="1">IFERROR(__xludf.DUMMYFUNCTION("IMPORTRANGE(""https://docs.google.com/spreadsheets/d/1kC41EOXpGBFOW658Fs3oD8beYlym0-zO54WY-2Qnp9I/edit?usp=share_link"",""กระบี่!L528"")
+IMPORTRANGE(""https://docs.google.com/spreadsheets/d/1FbzMZY_f3MDiEuK7RpCQKrilJ_kpX0Wm7QBZ1L7EjIU/edit?usp=share_link"&amp;""",""ชุมพร!L528"")+IMPORTRANGE(""https://docs.google.com/spreadsheets/d/1v5sN-00LrXuhBxw4dkh2GrG_z4l5oAqOdJRBCsUyMaM/edit?usp=share_link"",""ตรัง!L528"")+IMPORTRANGE(""https://docs.google.com/spreadsheets/d/1T5rRTzFc79aSIvqnzkZNvwPstq829QYz_xALlO1Z0s8/edi"&amp;"t?usp=share_link"",""นครศรีธรรมราช!L528"")+IMPORTRANGE(""https://docs.google.com/spreadsheets/d/1BeghqumK0IvCmRd2QOy6_afsZq7ZtAGrSnVJy2u7WmY/edit?usp=share_link"",""นราธิวาส!L528"")+IMPORTRANGE(""https://docs.google.com/spreadsheets/d/1IwnW3-jjRf74MCLW-6P"&amp;"iFwMUffRQXZwZA7YM609NmRc/edit?usp=share_link"",""ปัตตานี!L528"")+IMPORTRANGE(""https://docs.google.com/spreadsheets/d/1vl4QWbWdFruual5o_wdo6ZSqXZ_it806oja4CctTLKs/edit?usp=share_link"",""พังงา!L528"")+IMPORTRANGE(""https://docs.google.com/spreadsheets/d/1"&amp;"b6QssHQp2FoAPSMKHOy273KNzAomaIKhtdlvuZ_zDNE/edit?usp=share_link"",""พัทลุง!L528"")+IMPORTRANGE(""https://docs.google.com/spreadsheets/d/1o7UZe4_OqlqtLDHrj01Z2YFRSZDf1DMy1n3XViHaxRc/edit?usp=share_link"",""ภูเก็ต!L528"")+IMPORTRANGE(""https://docs.google.c"&amp;"om/spreadsheets/d/1ctPm1vUzcUCPuOj9-eoHUD85PqINFqUB0TjdSWmR5-c/edit?usp=share_link"",""ยะลา!L528"")+IMPORTRANGE(""https://docs.google.com/spreadsheets/d/1YiDIE7Klmt8osgdapRqYWNr7iPGFSsiJqq46S7PYRE0/edit?usp=share_link"",""ระนอง!L528"")+IMPORTRANGE(""https"&amp;"://docs.google.com/spreadsheets/d/16o_4B-V7AWw_6E93bSpXj_XxVv1oVQctk-B6z1dNEWU/edit?usp=share_link"",""สงขลา!L528"")+IMPORTRANGE(""https://docs.google.com/spreadsheets/d/16cywr71Fj4fA5OGRHsZh30ZG2gwJhMAQv69oVBzYHv0/edit?usp=share_link"",""สตูล!L528"")+IMP"&amp;"ORTRANGE(""https://docs.google.com/spreadsheets/d/1vO9Sws6kMtrVtyvrAJptINXjK8TFBoX9xLYOVK_C8bQ/edit?usp=share_link"",""สุราษฎร์ธานี!L528"")"),1674740)</f>
        <v>1674740</v>
      </c>
      <c r="M528" s="93">
        <f ca="1">IFERROR(__xludf.DUMMYFUNCTION("IMPORTRANGE(""https://docs.google.com/spreadsheets/d/1kC41EOXpGBFOW658Fs3oD8beYlym0-zO54WY-2Qnp9I/edit?usp=share_link"",""กระบี่!M528"")
+IMPORTRANGE(""https://docs.google.com/spreadsheets/d/1FbzMZY_f3MDiEuK7RpCQKrilJ_kpX0Wm7QBZ1L7EjIU/edit?usp=share_link"&amp;""",""ชุมพร!M528"")+IMPORTRANGE(""https://docs.google.com/spreadsheets/d/1v5sN-00LrXuhBxw4dkh2GrG_z4l5oAqOdJRBCsUyMaM/edit?usp=share_link"",""ตรัง!M528"")+IMPORTRANGE(""https://docs.google.com/spreadsheets/d/1T5rRTzFc79aSIvqnzkZNvwPstq829QYz_xALlO1Z0s8/edi"&amp;"t?usp=share_link"",""นครศรีธรรมราช!M528"")+IMPORTRANGE(""https://docs.google.com/spreadsheets/d/1BeghqumK0IvCmRd2QOy6_afsZq7ZtAGrSnVJy2u7WmY/edit?usp=share_link"",""นราธิวาส!M528"")+IMPORTRANGE(""https://docs.google.com/spreadsheets/d/1IwnW3-jjRf74MCLW-6P"&amp;"iFwMUffRQXZwZA7YM609NmRc/edit?usp=share_link"",""ปัตตานี!M528"")+IMPORTRANGE(""https://docs.google.com/spreadsheets/d/1vl4QWbWdFruual5o_wdo6ZSqXZ_it806oja4CctTLKs/edit?usp=share_link"",""พังงา!M528"")+IMPORTRANGE(""https://docs.google.com/spreadsheets/d/1"&amp;"b6QssHQp2FoAPSMKHOy273KNzAomaIKhtdlvuZ_zDNE/edit?usp=share_link"",""พัทลุง!M528"")+IMPORTRANGE(""https://docs.google.com/spreadsheets/d/1o7UZe4_OqlqtLDHrj01Z2YFRSZDf1DMy1n3XViHaxRc/edit?usp=share_link"",""ภูเก็ต!M528"")+IMPORTRANGE(""https://docs.google.c"&amp;"om/spreadsheets/d/1ctPm1vUzcUCPuOj9-eoHUD85PqINFqUB0TjdSWmR5-c/edit?usp=share_link"",""ยะลา!M528"")+IMPORTRANGE(""https://docs.google.com/spreadsheets/d/1YiDIE7Klmt8osgdapRqYWNr7iPGFSsiJqq46S7PYRE0/edit?usp=share_link"",""ระนอง!M528"")+IMPORTRANGE(""https"&amp;"://docs.google.com/spreadsheets/d/16o_4B-V7AWw_6E93bSpXj_XxVv1oVQctk-B6z1dNEWU/edit?usp=share_link"",""สงขลา!M528"")+IMPORTRANGE(""https://docs.google.com/spreadsheets/d/16cywr71Fj4fA5OGRHsZh30ZG2gwJhMAQv69oVBzYHv0/edit?usp=share_link"",""สตูล!M528"")+IMP"&amp;"ORTRANGE(""https://docs.google.com/spreadsheets/d/1vO9Sws6kMtrVtyvrAJptINXjK8TFBoX9xLYOVK_C8bQ/edit?usp=share_link"",""สุราษฎร์ธานี!M528"")"),1674740)</f>
        <v>1674740</v>
      </c>
      <c r="N528" s="45">
        <f ca="1">N529+N530+N531+N532</f>
        <v>920740</v>
      </c>
      <c r="O528" s="45">
        <f t="shared" ca="1" si="261"/>
        <v>54.978086150686075</v>
      </c>
      <c r="P528" s="45">
        <f t="shared" ca="1" si="262"/>
        <v>54.978086150686075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20.25" customHeight="1">
      <c r="A529" s="573"/>
      <c r="B529" s="574"/>
      <c r="C529" s="575"/>
      <c r="D529" s="575"/>
      <c r="E529" s="575"/>
      <c r="F529" s="576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IFERROR(__xludf.DUMMYFUNCTION("IMPORTRANGE(""https://docs.google.com/spreadsheets/d/1kC41EOXpGBFOW658Fs3oD8beYlym0-zO54WY-2Qnp9I/edit?usp=share_link"",""กระบี่!N529"")
+IMPORTRANGE(""https://docs.google.com/spreadsheets/d/1FbzMZY_f3MDiEuK7RpCQKrilJ_kpX0Wm7QBZ1L7EjIU/edit?usp=share_link"&amp;""",""ชุมพร!N529"")+IMPORTRANGE(""https://docs.google.com/spreadsheets/d/1v5sN-00LrXuhBxw4dkh2GrG_z4l5oAqOdJRBCsUyMaM/edit?usp=share_link"",""ตรัง!N529"")+IMPORTRANGE(""https://docs.google.com/spreadsheets/d/1T5rRTzFc79aSIvqnzkZNvwPstq829QYz_xALlO1Z0s8/edi"&amp;"t?usp=share_link"",""นครศรีธรรมราช!N529"")+IMPORTRANGE(""https://docs.google.com/spreadsheets/d/1BeghqumK0IvCmRd2QOy6_afsZq7ZtAGrSnVJy2u7WmY/edit?usp=share_link"",""นราธิวาส!N529"")+IMPORTRANGE(""https://docs.google.com/spreadsheets/d/1IwnW3-jjRf74MCLW-6P"&amp;"iFwMUffRQXZwZA7YM609NmRc/edit?usp=share_link"",""ปัตตานี!N529"")+IMPORTRANGE(""https://docs.google.com/spreadsheets/d/1vl4QWbWdFruual5o_wdo6ZSqXZ_it806oja4CctTLKs/edit?usp=share_link"",""พังงา!N529"")+IMPORTRANGE(""https://docs.google.com/spreadsheets/d/1"&amp;"b6QssHQp2FoAPSMKHOy273KNzAomaIKhtdlvuZ_zDNE/edit?usp=share_link"",""พัทลุง!N529"")+IMPORTRANGE(""https://docs.google.com/spreadsheets/d/1o7UZe4_OqlqtLDHrj01Z2YFRSZDf1DMy1n3XViHaxRc/edit?usp=share_link"",""ภูเก็ต!N529"")+IMPORTRANGE(""https://docs.google.c"&amp;"om/spreadsheets/d/1ctPm1vUzcUCPuOj9-eoHUD85PqINFqUB0TjdSWmR5-c/edit?usp=share_link"",""ยะลา!N529"")+IMPORTRANGE(""https://docs.google.com/spreadsheets/d/1YiDIE7Klmt8osgdapRqYWNr7iPGFSsiJqq46S7PYRE0/edit?usp=share_link"",""ระนอง!N529"")+IMPORTRANGE(""https"&amp;"://docs.google.com/spreadsheets/d/16o_4B-V7AWw_6E93bSpXj_XxVv1oVQctk-B6z1dNEWU/edit?usp=share_link"",""สงขลา!N529"")+IMPORTRANGE(""https://docs.google.com/spreadsheets/d/16cywr71Fj4fA5OGRHsZh30ZG2gwJhMAQv69oVBzYHv0/edit?usp=share_link"",""สตูล!N529"")+IMP"&amp;"ORTRANGE(""https://docs.google.com/spreadsheets/d/1vO9Sws6kMtrVtyvrAJptINXjK8TFBoX9xLYOVK_C8bQ/edit?usp=share_link"",""สุราษฎร์ธานี!N529"")"),428180)</f>
        <v>428180</v>
      </c>
      <c r="O529" s="38"/>
      <c r="P529" s="3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20.25" customHeight="1">
      <c r="A530" s="573"/>
      <c r="B530" s="574"/>
      <c r="C530" s="575"/>
      <c r="D530" s="575"/>
      <c r="E530" s="575"/>
      <c r="F530" s="576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IFERROR(__xludf.DUMMYFUNCTION("IMPORTRANGE(""https://docs.google.com/spreadsheets/d/1kC41EOXpGBFOW658Fs3oD8beYlym0-zO54WY-2Qnp9I/edit?usp=share_link"",""กระบี่!N530"")
+IMPORTRANGE(""https://docs.google.com/spreadsheets/d/1FbzMZY_f3MDiEuK7RpCQKrilJ_kpX0Wm7QBZ1L7EjIU/edit?usp=share_link"&amp;""",""ชุมพร!N530"")+IMPORTRANGE(""https://docs.google.com/spreadsheets/d/1v5sN-00LrXuhBxw4dkh2GrG_z4l5oAqOdJRBCsUyMaM/edit?usp=share_link"",""ตรัง!N530"")+IMPORTRANGE(""https://docs.google.com/spreadsheets/d/1T5rRTzFc79aSIvqnzkZNvwPstq829QYz_xALlO1Z0s8/edi"&amp;"t?usp=share_link"",""นครศรีธรรมราช!N530"")+IMPORTRANGE(""https://docs.google.com/spreadsheets/d/1BeghqumK0IvCmRd2QOy6_afsZq7ZtAGrSnVJy2u7WmY/edit?usp=share_link"",""นราธิวาส!N530"")+IMPORTRANGE(""https://docs.google.com/spreadsheets/d/1IwnW3-jjRf74MCLW-6P"&amp;"iFwMUffRQXZwZA7YM609NmRc/edit?usp=share_link"",""ปัตตานี!N530"")+IMPORTRANGE(""https://docs.google.com/spreadsheets/d/1vl4QWbWdFruual5o_wdo6ZSqXZ_it806oja4CctTLKs/edit?usp=share_link"",""พังงา!N530"")+IMPORTRANGE(""https://docs.google.com/spreadsheets/d/1"&amp;"b6QssHQp2FoAPSMKHOy273KNzAomaIKhtdlvuZ_zDNE/edit?usp=share_link"",""พัทลุง!N530"")+IMPORTRANGE(""https://docs.google.com/spreadsheets/d/1o7UZe4_OqlqtLDHrj01Z2YFRSZDf1DMy1n3XViHaxRc/edit?usp=share_link"",""ภูเก็ต!N530"")+IMPORTRANGE(""https://docs.google.c"&amp;"om/spreadsheets/d/1ctPm1vUzcUCPuOj9-eoHUD85PqINFqUB0TjdSWmR5-c/edit?usp=share_link"",""ยะลา!N530"")+IMPORTRANGE(""https://docs.google.com/spreadsheets/d/1YiDIE7Klmt8osgdapRqYWNr7iPGFSsiJqq46S7PYRE0/edit?usp=share_link"",""ระนอง!N530"")+IMPORTRANGE(""https"&amp;"://docs.google.com/spreadsheets/d/16o_4B-V7AWw_6E93bSpXj_XxVv1oVQctk-B6z1dNEWU/edit?usp=share_link"",""สงขลา!N530"")+IMPORTRANGE(""https://docs.google.com/spreadsheets/d/16cywr71Fj4fA5OGRHsZh30ZG2gwJhMAQv69oVBzYHv0/edit?usp=share_link"",""สตูล!N530"")+IMP"&amp;"ORTRANGE(""https://docs.google.com/spreadsheets/d/1vO9Sws6kMtrVtyvrAJptINXjK8TFBoX9xLYOVK_C8bQ/edit?usp=share_link"",""สุราษฎร์ธานี!N530"")"),400000)</f>
        <v>400000</v>
      </c>
      <c r="O530" s="38"/>
      <c r="P530" s="3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20.25" customHeight="1">
      <c r="A531" s="573"/>
      <c r="B531" s="574"/>
      <c r="C531" s="575"/>
      <c r="D531" s="575"/>
      <c r="E531" s="575"/>
      <c r="F531" s="576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IFERROR(__xludf.DUMMYFUNCTION("IMPORTRANGE(""https://docs.google.com/spreadsheets/d/1kC41EOXpGBFOW658Fs3oD8beYlym0-zO54WY-2Qnp9I/edit?usp=share_link"",""กระบี่!N531"")
+IMPORTRANGE(""https://docs.google.com/spreadsheets/d/1FbzMZY_f3MDiEuK7RpCQKrilJ_kpX0Wm7QBZ1L7EjIU/edit?usp=share_link"&amp;""",""ชุมพร!N531"")+IMPORTRANGE(""https://docs.google.com/spreadsheets/d/1v5sN-00LrXuhBxw4dkh2GrG_z4l5oAqOdJRBCsUyMaM/edit?usp=share_link"",""ตรัง!N531"")+IMPORTRANGE(""https://docs.google.com/spreadsheets/d/1T5rRTzFc79aSIvqnzkZNvwPstq829QYz_xALlO1Z0s8/edi"&amp;"t?usp=share_link"",""นครศรีธรรมราช!N531"")+IMPORTRANGE(""https://docs.google.com/spreadsheets/d/1BeghqumK0IvCmRd2QOy6_afsZq7ZtAGrSnVJy2u7WmY/edit?usp=share_link"",""นราธิวาส!N531"")+IMPORTRANGE(""https://docs.google.com/spreadsheets/d/1IwnW3-jjRf74MCLW-6P"&amp;"iFwMUffRQXZwZA7YM609NmRc/edit?usp=share_link"",""ปัตตานี!N531"")+IMPORTRANGE(""https://docs.google.com/spreadsheets/d/1vl4QWbWdFruual5o_wdo6ZSqXZ_it806oja4CctTLKs/edit?usp=share_link"",""พังงา!N531"")+IMPORTRANGE(""https://docs.google.com/spreadsheets/d/1"&amp;"b6QssHQp2FoAPSMKHOy273KNzAomaIKhtdlvuZ_zDNE/edit?usp=share_link"",""พัทลุง!N531"")+IMPORTRANGE(""https://docs.google.com/spreadsheets/d/1o7UZe4_OqlqtLDHrj01Z2YFRSZDf1DMy1n3XViHaxRc/edit?usp=share_link"",""ภูเก็ต!N531"")+IMPORTRANGE(""https://docs.google.c"&amp;"om/spreadsheets/d/1ctPm1vUzcUCPuOj9-eoHUD85PqINFqUB0TjdSWmR5-c/edit?usp=share_link"",""ยะลา!N531"")+IMPORTRANGE(""https://docs.google.com/spreadsheets/d/1YiDIE7Klmt8osgdapRqYWNr7iPGFSsiJqq46S7PYRE0/edit?usp=share_link"",""ระนอง!N531"")+IMPORTRANGE(""https"&amp;"://docs.google.com/spreadsheets/d/16o_4B-V7AWw_6E93bSpXj_XxVv1oVQctk-B6z1dNEWU/edit?usp=share_link"",""สงขลา!N531"")+IMPORTRANGE(""https://docs.google.com/spreadsheets/d/16cywr71Fj4fA5OGRHsZh30ZG2gwJhMAQv69oVBzYHv0/edit?usp=share_link"",""สตูล!N531"")+IMP"&amp;"ORTRANGE(""https://docs.google.com/spreadsheets/d/1vO9Sws6kMtrVtyvrAJptINXjK8TFBoX9xLYOVK_C8bQ/edit?usp=share_link"",""สุราษฎร์ธานี!N531"")"),0)</f>
        <v>0</v>
      </c>
      <c r="O531" s="38"/>
      <c r="P531" s="3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20.25" customHeight="1">
      <c r="A532" s="573"/>
      <c r="B532" s="574"/>
      <c r="C532" s="575"/>
      <c r="D532" s="575"/>
      <c r="E532" s="575"/>
      <c r="F532" s="576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IFERROR(__xludf.DUMMYFUNCTION("IMPORTRANGE(""https://docs.google.com/spreadsheets/d/1kC41EOXpGBFOW658Fs3oD8beYlym0-zO54WY-2Qnp9I/edit?usp=share_link"",""กระบี่!N532"")
+IMPORTRANGE(""https://docs.google.com/spreadsheets/d/1FbzMZY_f3MDiEuK7RpCQKrilJ_kpX0Wm7QBZ1L7EjIU/edit?usp=share_link"&amp;""",""ชุมพร!N532"")+IMPORTRANGE(""https://docs.google.com/spreadsheets/d/1v5sN-00LrXuhBxw4dkh2GrG_z4l5oAqOdJRBCsUyMaM/edit?usp=share_link"",""ตรัง!N532"")+IMPORTRANGE(""https://docs.google.com/spreadsheets/d/1T5rRTzFc79aSIvqnzkZNvwPstq829QYz_xALlO1Z0s8/edi"&amp;"t?usp=share_link"",""นครศรีธรรมราช!N532"")+IMPORTRANGE(""https://docs.google.com/spreadsheets/d/1BeghqumK0IvCmRd2QOy6_afsZq7ZtAGrSnVJy2u7WmY/edit?usp=share_link"",""นราธิวาส!N532"")+IMPORTRANGE(""https://docs.google.com/spreadsheets/d/1IwnW3-jjRf74MCLW-6P"&amp;"iFwMUffRQXZwZA7YM609NmRc/edit?usp=share_link"",""ปัตตานี!N532"")+IMPORTRANGE(""https://docs.google.com/spreadsheets/d/1vl4QWbWdFruual5o_wdo6ZSqXZ_it806oja4CctTLKs/edit?usp=share_link"",""พังงา!N532"")+IMPORTRANGE(""https://docs.google.com/spreadsheets/d/1"&amp;"b6QssHQp2FoAPSMKHOy273KNzAomaIKhtdlvuZ_zDNE/edit?usp=share_link"",""พัทลุง!N532"")+IMPORTRANGE(""https://docs.google.com/spreadsheets/d/1o7UZe4_OqlqtLDHrj01Z2YFRSZDf1DMy1n3XViHaxRc/edit?usp=share_link"",""ภูเก็ต!N532"")+IMPORTRANGE(""https://docs.google.c"&amp;"om/spreadsheets/d/1ctPm1vUzcUCPuOj9-eoHUD85PqINFqUB0TjdSWmR5-c/edit?usp=share_link"",""ยะลา!N532"")+IMPORTRANGE(""https://docs.google.com/spreadsheets/d/1YiDIE7Klmt8osgdapRqYWNr7iPGFSsiJqq46S7PYRE0/edit?usp=share_link"",""ระนอง!N532"")+IMPORTRANGE(""https"&amp;"://docs.google.com/spreadsheets/d/16o_4B-V7AWw_6E93bSpXj_XxVv1oVQctk-B6z1dNEWU/edit?usp=share_link"",""สงขลา!N532"")+IMPORTRANGE(""https://docs.google.com/spreadsheets/d/16cywr71Fj4fA5OGRHsZh30ZG2gwJhMAQv69oVBzYHv0/edit?usp=share_link"",""สตูล!N532"")+IMP"&amp;"ORTRANGE(""https://docs.google.com/spreadsheets/d/1vO9Sws6kMtrVtyvrAJptINXjK8TFBoX9xLYOVK_C8bQ/edit?usp=share_link"",""สุราษฎร์ธานี!N532"")"),92560)</f>
        <v>92560</v>
      </c>
      <c r="O532" s="38"/>
      <c r="P532" s="3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20.25" customHeight="1">
      <c r="A533" s="596"/>
      <c r="B533" s="574"/>
      <c r="C533" s="575"/>
      <c r="D533" s="605" t="s">
        <v>21</v>
      </c>
      <c r="E533" s="575"/>
      <c r="F533" s="575"/>
      <c r="G533" s="189"/>
      <c r="H533" s="168" t="s">
        <v>12</v>
      </c>
      <c r="I533" s="162"/>
      <c r="J533" s="162"/>
      <c r="K533" s="163"/>
      <c r="L533" s="38">
        <f t="shared" ref="L533:N533" ca="1" si="266">L534+L535</f>
        <v>0</v>
      </c>
      <c r="M533" s="38">
        <f t="shared" si="266"/>
        <v>0</v>
      </c>
      <c r="N533" s="38">
        <f t="shared" si="266"/>
        <v>0</v>
      </c>
      <c r="O533" s="38">
        <f t="shared" ref="O533:O535" ca="1" si="267">IF(L533&gt;0,N533*100/L533,0)</f>
        <v>0</v>
      </c>
      <c r="P533" s="38">
        <f t="shared" ref="P533:P535" si="268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20.25" hidden="1" customHeight="1">
      <c r="A534" s="598"/>
      <c r="B534" s="604"/>
      <c r="C534" s="599"/>
      <c r="D534" s="599"/>
      <c r="E534" s="601" t="s">
        <v>18</v>
      </c>
      <c r="F534" s="599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7"/>
        <v>0</v>
      </c>
      <c r="P534" s="45">
        <f t="shared" si="268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20.25" hidden="1" customHeight="1">
      <c r="A535" s="598"/>
      <c r="B535" s="604"/>
      <c r="C535" s="599"/>
      <c r="D535" s="599"/>
      <c r="E535" s="601" t="s">
        <v>19</v>
      </c>
      <c r="F535" s="599"/>
      <c r="G535" s="602"/>
      <c r="H535" s="169" t="s">
        <v>12</v>
      </c>
      <c r="I535" s="166"/>
      <c r="J535" s="166"/>
      <c r="K535" s="167"/>
      <c r="L535" s="45">
        <f ca="1">IFERROR(__xludf.DUMMYFUNCTION("IMPORTRANGE(""https://docs.google.com/spreadsheets/d/1kC41EOXpGBFOW658Fs3oD8beYlym0-zO54WY-2Qnp9I/edit?usp=share_link"",""กระบี่!L535"")
+IMPORTRANGE(""https://docs.google.com/spreadsheets/d/1FbzMZY_f3MDiEuK7RpCQKrilJ_kpX0Wm7QBZ1L7EjIU/edit?usp=share_link"&amp;""",""ชุมพร!L535"")+IMPORTRANGE(""https://docs.google.com/spreadsheets/d/1v5sN-00LrXuhBxw4dkh2GrG_z4l5oAqOdJRBCsUyMaM/edit?usp=share_link"",""ตรัง!L535"")+IMPORTRANGE(""https://docs.google.com/spreadsheets/d/1T5rRTzFc79aSIvqnzkZNvwPstq829QYz_xALlO1Z0s8/edi"&amp;"t?usp=share_link"",""นครศรีธรรมราช!L535"")+IMPORTRANGE(""https://docs.google.com/spreadsheets/d/1BeghqumK0IvCmRd2QOy6_afsZq7ZtAGrSnVJy2u7WmY/edit?usp=share_link"",""นราธิวาส!L535"")+IMPORTRANGE(""https://docs.google.com/spreadsheets/d/1IwnW3-jjRf74MCLW-6P"&amp;"iFwMUffRQXZwZA7YM609NmRc/edit?usp=share_link"",""ปัตตานี!L535"")+IMPORTRANGE(""https://docs.google.com/spreadsheets/d/1vl4QWbWdFruual5o_wdo6ZSqXZ_it806oja4CctTLKs/edit?usp=share_link"",""พังงา!L535"")+IMPORTRANGE(""https://docs.google.com/spreadsheets/d/1"&amp;"b6QssHQp2FoAPSMKHOy273KNzAomaIKhtdlvuZ_zDNE/edit?usp=share_link"",""พัทลุง!L535"")+IMPORTRANGE(""https://docs.google.com/spreadsheets/d/1o7UZe4_OqlqtLDHrj01Z2YFRSZDf1DMy1n3XViHaxRc/edit?usp=share_link"",""ภูเก็ต!L535"")+IMPORTRANGE(""https://docs.google.c"&amp;"om/spreadsheets/d/1ctPm1vUzcUCPuOj9-eoHUD85PqINFqUB0TjdSWmR5-c/edit?usp=share_link"",""ยะลา!L535"")+IMPORTRANGE(""https://docs.google.com/spreadsheets/d/1YiDIE7Klmt8osgdapRqYWNr7iPGFSsiJqq46S7PYRE0/edit?usp=share_link"",""ระนอง!L535"")+IMPORTRANGE(""https"&amp;"://docs.google.com/spreadsheets/d/16o_4B-V7AWw_6E93bSpXj_XxVv1oVQctk-B6z1dNEWU/edit?usp=share_link"",""สงขลา!L535"")+IMPORTRANGE(""https://docs.google.com/spreadsheets/d/16cywr71Fj4fA5OGRHsZh30ZG2gwJhMAQv69oVBzYHv0/edit?usp=share_link"",""สตูล!L535"")+IMP"&amp;"ORTRANGE(""https://docs.google.com/spreadsheets/d/1vO9Sws6kMtrVtyvrAJptINXjK8TFBoX9xLYOVK_C8bQ/edit?usp=share_link"",""สุราษฎร์ธานี!L535"")"),0)</f>
        <v>0</v>
      </c>
      <c r="M535" s="93">
        <v>0</v>
      </c>
      <c r="N535" s="93">
        <v>0</v>
      </c>
      <c r="O535" s="45">
        <f t="shared" ca="1" si="267"/>
        <v>0</v>
      </c>
      <c r="P535" s="45">
        <f t="shared" si="268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20.25" customHeight="1">
      <c r="A536" s="607"/>
      <c r="B536" s="608"/>
      <c r="C536" s="575" t="s">
        <v>16</v>
      </c>
      <c r="D536" s="677" t="s">
        <v>38</v>
      </c>
      <c r="E536" s="611"/>
      <c r="F536" s="611"/>
      <c r="G536" s="612"/>
      <c r="H536" s="175"/>
      <c r="I536" s="162"/>
      <c r="J536" s="162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20.25" customHeight="1">
      <c r="A537" s="573"/>
      <c r="B537" s="574"/>
      <c r="C537" s="575"/>
      <c r="D537" s="678" t="s">
        <v>228</v>
      </c>
      <c r="E537" s="575"/>
      <c r="F537" s="575"/>
      <c r="G537" s="189"/>
      <c r="H537" s="36" t="s">
        <v>35</v>
      </c>
      <c r="I537" s="679">
        <f ca="1">IFERROR(__xludf.DUMMYFUNCTION("IMPORTRANGE(""https://docs.google.com/spreadsheets/d/1kC41EOXpGBFOW658Fs3oD8beYlym0-zO54WY-2Qnp9I/edit?usp=share_link"",""กระบี่!I537"")
+IMPORTRANGE(""https://docs.google.com/spreadsheets/d/1FbzMZY_f3MDiEuK7RpCQKrilJ_kpX0Wm7QBZ1L7EjIU/edit?usp=share_link"&amp;""",""ชุมพร!I537"")+IMPORTRANGE(""https://docs.google.com/spreadsheets/d/1v5sN-00LrXuhBxw4dkh2GrG_z4l5oAqOdJRBCsUyMaM/edit?usp=share_link"",""ตรัง!I537"")+IMPORTRANGE(""https://docs.google.com/spreadsheets/d/1T5rRTzFc79aSIvqnzkZNvwPstq829QYz_xALlO1Z0s8/edi"&amp;"t?usp=share_link"",""นครศรีธรรมราช!I537"")+IMPORTRANGE(""https://docs.google.com/spreadsheets/d/1BeghqumK0IvCmRd2QOy6_afsZq7ZtAGrSnVJy2u7WmY/edit?usp=share_link"",""นราธิวาส!I537"")+IMPORTRANGE(""https://docs.google.com/spreadsheets/d/1IwnW3-jjRf74MCLW-6P"&amp;"iFwMUffRQXZwZA7YM609NmRc/edit?usp=share_link"",""ปัตตานี!I537"")+IMPORTRANGE(""https://docs.google.com/spreadsheets/d/1vl4QWbWdFruual5o_wdo6ZSqXZ_it806oja4CctTLKs/edit?usp=share_link"",""พังงา!I537"")+IMPORTRANGE(""https://docs.google.com/spreadsheets/d/1"&amp;"b6QssHQp2FoAPSMKHOy273KNzAomaIKhtdlvuZ_zDNE/edit?usp=share_link"",""พัทลุง!I537"")+IMPORTRANGE(""https://docs.google.com/spreadsheets/d/1o7UZe4_OqlqtLDHrj01Z2YFRSZDf1DMy1n3XViHaxRc/edit?usp=share_link"",""ภูเก็ต!I537"")+IMPORTRANGE(""https://docs.google.c"&amp;"om/spreadsheets/d/1ctPm1vUzcUCPuOj9-eoHUD85PqINFqUB0TjdSWmR5-c/edit?usp=share_link"",""ยะลา!I537"")+IMPORTRANGE(""https://docs.google.com/spreadsheets/d/1YiDIE7Klmt8osgdapRqYWNr7iPGFSsiJqq46S7PYRE0/edit?usp=share_link"",""ระนอง!I537"")+IMPORTRANGE(""https"&amp;"://docs.google.com/spreadsheets/d/16o_4B-V7AWw_6E93bSpXj_XxVv1oVQctk-B6z1dNEWU/edit?usp=share_link"",""สงขลา!I537"")+IMPORTRANGE(""https://docs.google.com/spreadsheets/d/16cywr71Fj4fA5OGRHsZh30ZG2gwJhMAQv69oVBzYHv0/edit?usp=share_link"",""สตูล!I537"")+IMP"&amp;"ORTRANGE(""https://docs.google.com/spreadsheets/d/1vO9Sws6kMtrVtyvrAJptINXjK8TFBoX9xLYOVK_C8bQ/edit?usp=share_link"",""สุราษฎร์ธานี!I537"")"),190)</f>
        <v>190</v>
      </c>
      <c r="J537" s="194">
        <f ca="1">IFERROR(__xludf.DUMMYFUNCTION("IMPORTRANGE(""https://docs.google.com/spreadsheets/d/1kC41EOXpGBFOW658Fs3oD8beYlym0-zO54WY-2Qnp9I/edit?usp=share_link"",""กระบี่!J537"")
+IMPORTRANGE(""https://docs.google.com/spreadsheets/d/1FbzMZY_f3MDiEuK7RpCQKrilJ_kpX0Wm7QBZ1L7EjIU/edit?usp=share_link"&amp;""",""ชุมพร!J537"")+IMPORTRANGE(""https://docs.google.com/spreadsheets/d/1v5sN-00LrXuhBxw4dkh2GrG_z4l5oAqOdJRBCsUyMaM/edit?usp=share_link"",""ตรัง!J537"")+IMPORTRANGE(""https://docs.google.com/spreadsheets/d/1T5rRTzFc79aSIvqnzkZNvwPstq829QYz_xALlO1Z0s8/edi"&amp;"t?usp=share_link"",""นครศรีธรรมราช!J537"")+IMPORTRANGE(""https://docs.google.com/spreadsheets/d/1BeghqumK0IvCmRd2QOy6_afsZq7ZtAGrSnVJy2u7WmY/edit?usp=share_link"",""นราธิวาส!J537"")+IMPORTRANGE(""https://docs.google.com/spreadsheets/d/1IwnW3-jjRf74MCLW-6P"&amp;"iFwMUffRQXZwZA7YM609NmRc/edit?usp=share_link"",""ปัตตานี!J537"")+IMPORTRANGE(""https://docs.google.com/spreadsheets/d/1vl4QWbWdFruual5o_wdo6ZSqXZ_it806oja4CctTLKs/edit?usp=share_link"",""พังงา!J537"")+IMPORTRANGE(""https://docs.google.com/spreadsheets/d/1"&amp;"b6QssHQp2FoAPSMKHOy273KNzAomaIKhtdlvuZ_zDNE/edit?usp=share_link"",""พัทลุง!J537"")+IMPORTRANGE(""https://docs.google.com/spreadsheets/d/1o7UZe4_OqlqtLDHrj01Z2YFRSZDf1DMy1n3XViHaxRc/edit?usp=share_link"",""ภูเก็ต!J537"")+IMPORTRANGE(""https://docs.google.c"&amp;"om/spreadsheets/d/1ctPm1vUzcUCPuOj9-eoHUD85PqINFqUB0TjdSWmR5-c/edit?usp=share_link"",""ยะลา!J537"")+IMPORTRANGE(""https://docs.google.com/spreadsheets/d/1YiDIE7Klmt8osgdapRqYWNr7iPGFSsiJqq46S7PYRE0/edit?usp=share_link"",""ระนอง!J537"")+IMPORTRANGE(""https"&amp;"://docs.google.com/spreadsheets/d/16o_4B-V7AWw_6E93bSpXj_XxVv1oVQctk-B6z1dNEWU/edit?usp=share_link"",""สงขลา!J537"")+IMPORTRANGE(""https://docs.google.com/spreadsheets/d/16cywr71Fj4fA5OGRHsZh30ZG2gwJhMAQv69oVBzYHv0/edit?usp=share_link"",""สตูล!J537"")+IMP"&amp;"ORTRANGE(""https://docs.google.com/spreadsheets/d/1vO9Sws6kMtrVtyvrAJptINXjK8TFBoX9xLYOVK_C8bQ/edit?usp=share_link"",""สุราษฎร์ธานี!J537"")"),190)</f>
        <v>190</v>
      </c>
      <c r="K537" s="38">
        <f t="shared" ref="K537:K543" ca="1" si="269">IF(I537&gt;0,J537*100/I537,0)</f>
        <v>100</v>
      </c>
      <c r="L537" s="38"/>
      <c r="M537" s="38"/>
      <c r="N537" s="38"/>
      <c r="O537" s="38"/>
      <c r="P537" s="38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20.25" customHeight="1">
      <c r="A538" s="573"/>
      <c r="B538" s="574"/>
      <c r="C538" s="575"/>
      <c r="D538" s="576"/>
      <c r="E538" s="681" t="s">
        <v>229</v>
      </c>
      <c r="F538" s="575"/>
      <c r="G538" s="189"/>
      <c r="H538" s="36" t="s">
        <v>35</v>
      </c>
      <c r="I538" s="270">
        <f ca="1">IFERROR(__xludf.DUMMYFUNCTION("IMPORTRANGE(""https://docs.google.com/spreadsheets/d/1kC41EOXpGBFOW658Fs3oD8beYlym0-zO54WY-2Qnp9I/edit?usp=share_link"",""กระบี่!I538"")
+IMPORTRANGE(""https://docs.google.com/spreadsheets/d/1FbzMZY_f3MDiEuK7RpCQKrilJ_kpX0Wm7QBZ1L7EjIU/edit?usp=share_link"&amp;""",""ชุมพร!I538"")+IMPORTRANGE(""https://docs.google.com/spreadsheets/d/1v5sN-00LrXuhBxw4dkh2GrG_z4l5oAqOdJRBCsUyMaM/edit?usp=share_link"",""ตรัง!I538"")+IMPORTRANGE(""https://docs.google.com/spreadsheets/d/1T5rRTzFc79aSIvqnzkZNvwPstq829QYz_xALlO1Z0s8/edi"&amp;"t?usp=share_link"",""นครศรีธรรมราช!I538"")+IMPORTRANGE(""https://docs.google.com/spreadsheets/d/1BeghqumK0IvCmRd2QOy6_afsZq7ZtAGrSnVJy2u7WmY/edit?usp=share_link"",""นราธิวาส!I538"")+IMPORTRANGE(""https://docs.google.com/spreadsheets/d/1IwnW3-jjRf74MCLW-6P"&amp;"iFwMUffRQXZwZA7YM609NmRc/edit?usp=share_link"",""ปัตตานี!I538"")+IMPORTRANGE(""https://docs.google.com/spreadsheets/d/1vl4QWbWdFruual5o_wdo6ZSqXZ_it806oja4CctTLKs/edit?usp=share_link"",""พังงา!I538"")+IMPORTRANGE(""https://docs.google.com/spreadsheets/d/1"&amp;"b6QssHQp2FoAPSMKHOy273KNzAomaIKhtdlvuZ_zDNE/edit?usp=share_link"",""พัทลุง!I538"")+IMPORTRANGE(""https://docs.google.com/spreadsheets/d/1o7UZe4_OqlqtLDHrj01Z2YFRSZDf1DMy1n3XViHaxRc/edit?usp=share_link"",""ภูเก็ต!I538"")+IMPORTRANGE(""https://docs.google.c"&amp;"om/spreadsheets/d/1ctPm1vUzcUCPuOj9-eoHUD85PqINFqUB0TjdSWmR5-c/edit?usp=share_link"",""ยะลา!I538"")+IMPORTRANGE(""https://docs.google.com/spreadsheets/d/1YiDIE7Klmt8osgdapRqYWNr7iPGFSsiJqq46S7PYRE0/edit?usp=share_link"",""ระนอง!I538"")+IMPORTRANGE(""https"&amp;"://docs.google.com/spreadsheets/d/16o_4B-V7AWw_6E93bSpXj_XxVv1oVQctk-B6z1dNEWU/edit?usp=share_link"",""สงขลา!I538"")+IMPORTRANGE(""https://docs.google.com/spreadsheets/d/16cywr71Fj4fA5OGRHsZh30ZG2gwJhMAQv69oVBzYHv0/edit?usp=share_link"",""สตูล!I538"")+IMP"&amp;"ORTRANGE(""https://docs.google.com/spreadsheets/d/1vO9Sws6kMtrVtyvrAJptINXjK8TFBoX9xLYOVK_C8bQ/edit?usp=share_link"",""สุราษฎร์ธานี!I538"")"),190)</f>
        <v>190</v>
      </c>
      <c r="J538" s="183">
        <f ca="1">IFERROR(__xludf.DUMMYFUNCTION("IMPORTRANGE(""https://docs.google.com/spreadsheets/d/1kC41EOXpGBFOW658Fs3oD8beYlym0-zO54WY-2Qnp9I/edit?usp=share_link"",""กระบี่!J538"")
+IMPORTRANGE(""https://docs.google.com/spreadsheets/d/1FbzMZY_f3MDiEuK7RpCQKrilJ_kpX0Wm7QBZ1L7EjIU/edit?usp=share_link"&amp;""",""ชุมพร!J538"")+IMPORTRANGE(""https://docs.google.com/spreadsheets/d/1v5sN-00LrXuhBxw4dkh2GrG_z4l5oAqOdJRBCsUyMaM/edit?usp=share_link"",""ตรัง!J538"")+IMPORTRANGE(""https://docs.google.com/spreadsheets/d/1T5rRTzFc79aSIvqnzkZNvwPstq829QYz_xALlO1Z0s8/edi"&amp;"t?usp=share_link"",""นครศรีธรรมราช!J538"")+IMPORTRANGE(""https://docs.google.com/spreadsheets/d/1BeghqumK0IvCmRd2QOy6_afsZq7ZtAGrSnVJy2u7WmY/edit?usp=share_link"",""นราธิวาส!J538"")+IMPORTRANGE(""https://docs.google.com/spreadsheets/d/1IwnW3-jjRf74MCLW-6P"&amp;"iFwMUffRQXZwZA7YM609NmRc/edit?usp=share_link"",""ปัตตานี!J538"")+IMPORTRANGE(""https://docs.google.com/spreadsheets/d/1vl4QWbWdFruual5o_wdo6ZSqXZ_it806oja4CctTLKs/edit?usp=share_link"",""พังงา!J538"")+IMPORTRANGE(""https://docs.google.com/spreadsheets/d/1"&amp;"b6QssHQp2FoAPSMKHOy273KNzAomaIKhtdlvuZ_zDNE/edit?usp=share_link"",""พัทลุง!J538"")+IMPORTRANGE(""https://docs.google.com/spreadsheets/d/1o7UZe4_OqlqtLDHrj01Z2YFRSZDf1DMy1n3XViHaxRc/edit?usp=share_link"",""ภูเก็ต!J538"")+IMPORTRANGE(""https://docs.google.c"&amp;"om/spreadsheets/d/1ctPm1vUzcUCPuOj9-eoHUD85PqINFqUB0TjdSWmR5-c/edit?usp=share_link"",""ยะลา!J538"")+IMPORTRANGE(""https://docs.google.com/spreadsheets/d/1YiDIE7Klmt8osgdapRqYWNr7iPGFSsiJqq46S7PYRE0/edit?usp=share_link"",""ระนอง!J538"")+IMPORTRANGE(""https"&amp;"://docs.google.com/spreadsheets/d/16o_4B-V7AWw_6E93bSpXj_XxVv1oVQctk-B6z1dNEWU/edit?usp=share_link"",""สงขลา!J538"")+IMPORTRANGE(""https://docs.google.com/spreadsheets/d/16cywr71Fj4fA5OGRHsZh30ZG2gwJhMAQv69oVBzYHv0/edit?usp=share_link"",""สตูล!J538"")+IMP"&amp;"ORTRANGE(""https://docs.google.com/spreadsheets/d/1vO9Sws6kMtrVtyvrAJptINXjK8TFBoX9xLYOVK_C8bQ/edit?usp=share_link"",""สุราษฎร์ธานี!J538"")"),190)</f>
        <v>190</v>
      </c>
      <c r="K538" s="38">
        <f t="shared" ca="1" si="269"/>
        <v>100</v>
      </c>
      <c r="L538" s="38"/>
      <c r="M538" s="38"/>
      <c r="N538" s="38"/>
      <c r="O538" s="38"/>
      <c r="P538" s="38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20.25" customHeight="1">
      <c r="A539" s="573"/>
      <c r="B539" s="574"/>
      <c r="C539" s="575"/>
      <c r="D539" s="576"/>
      <c r="E539" s="681" t="s">
        <v>230</v>
      </c>
      <c r="F539" s="575"/>
      <c r="G539" s="189"/>
      <c r="H539" s="36" t="s">
        <v>35</v>
      </c>
      <c r="I539" s="270">
        <f ca="1">IFERROR(__xludf.DUMMYFUNCTION("IMPORTRANGE(""https://docs.google.com/spreadsheets/d/1kC41EOXpGBFOW658Fs3oD8beYlym0-zO54WY-2Qnp9I/edit?usp=share_link"",""กระบี่!I539"")
+IMPORTRANGE(""https://docs.google.com/spreadsheets/d/1FbzMZY_f3MDiEuK7RpCQKrilJ_kpX0Wm7QBZ1L7EjIU/edit?usp=share_link"&amp;""",""ชุมพร!I539"")+IMPORTRANGE(""https://docs.google.com/spreadsheets/d/1v5sN-00LrXuhBxw4dkh2GrG_z4l5oAqOdJRBCsUyMaM/edit?usp=share_link"",""ตรัง!I539"")+IMPORTRANGE(""https://docs.google.com/spreadsheets/d/1T5rRTzFc79aSIvqnzkZNvwPstq829QYz_xALlO1Z0s8/edi"&amp;"t?usp=share_link"",""นครศรีธรรมราช!I539"")+IMPORTRANGE(""https://docs.google.com/spreadsheets/d/1BeghqumK0IvCmRd2QOy6_afsZq7ZtAGrSnVJy2u7WmY/edit?usp=share_link"",""นราธิวาส!I539"")+IMPORTRANGE(""https://docs.google.com/spreadsheets/d/1IwnW3-jjRf74MCLW-6P"&amp;"iFwMUffRQXZwZA7YM609NmRc/edit?usp=share_link"",""ปัตตานี!I539"")+IMPORTRANGE(""https://docs.google.com/spreadsheets/d/1vl4QWbWdFruual5o_wdo6ZSqXZ_it806oja4CctTLKs/edit?usp=share_link"",""พังงา!I539"")+IMPORTRANGE(""https://docs.google.com/spreadsheets/d/1"&amp;"b6QssHQp2FoAPSMKHOy273KNzAomaIKhtdlvuZ_zDNE/edit?usp=share_link"",""พัทลุง!I539"")+IMPORTRANGE(""https://docs.google.com/spreadsheets/d/1o7UZe4_OqlqtLDHrj01Z2YFRSZDf1DMy1n3XViHaxRc/edit?usp=share_link"",""ภูเก็ต!I539"")+IMPORTRANGE(""https://docs.google.c"&amp;"om/spreadsheets/d/1ctPm1vUzcUCPuOj9-eoHUD85PqINFqUB0TjdSWmR5-c/edit?usp=share_link"",""ยะลา!I539"")+IMPORTRANGE(""https://docs.google.com/spreadsheets/d/1YiDIE7Klmt8osgdapRqYWNr7iPGFSsiJqq46S7PYRE0/edit?usp=share_link"",""ระนอง!I539"")+IMPORTRANGE(""https"&amp;"://docs.google.com/spreadsheets/d/16o_4B-V7AWw_6E93bSpXj_XxVv1oVQctk-B6z1dNEWU/edit?usp=share_link"",""สงขลา!I539"")+IMPORTRANGE(""https://docs.google.com/spreadsheets/d/16cywr71Fj4fA5OGRHsZh30ZG2gwJhMAQv69oVBzYHv0/edit?usp=share_link"",""สตูล!I539"")+IMP"&amp;"ORTRANGE(""https://docs.google.com/spreadsheets/d/1vO9Sws6kMtrVtyvrAJptINXjK8TFBoX9xLYOVK_C8bQ/edit?usp=share_link"",""สุราษฎร์ธานี!I539"")"),160)</f>
        <v>160</v>
      </c>
      <c r="J539" s="183">
        <f ca="1">IFERROR(__xludf.DUMMYFUNCTION("IMPORTRANGE(""https://docs.google.com/spreadsheets/d/1kC41EOXpGBFOW658Fs3oD8beYlym0-zO54WY-2Qnp9I/edit?usp=share_link"",""กระบี่!J539"")
+IMPORTRANGE(""https://docs.google.com/spreadsheets/d/1FbzMZY_f3MDiEuK7RpCQKrilJ_kpX0Wm7QBZ1L7EjIU/edit?usp=share_link"&amp;""",""ชุมพร!J539"")+IMPORTRANGE(""https://docs.google.com/spreadsheets/d/1v5sN-00LrXuhBxw4dkh2GrG_z4l5oAqOdJRBCsUyMaM/edit?usp=share_link"",""ตรัง!J539"")+IMPORTRANGE(""https://docs.google.com/spreadsheets/d/1T5rRTzFc79aSIvqnzkZNvwPstq829QYz_xALlO1Z0s8/edi"&amp;"t?usp=share_link"",""นครศรีธรรมราช!J539"")+IMPORTRANGE(""https://docs.google.com/spreadsheets/d/1BeghqumK0IvCmRd2QOy6_afsZq7ZtAGrSnVJy2u7WmY/edit?usp=share_link"",""นราธิวาส!J539"")+IMPORTRANGE(""https://docs.google.com/spreadsheets/d/1IwnW3-jjRf74MCLW-6P"&amp;"iFwMUffRQXZwZA7YM609NmRc/edit?usp=share_link"",""ปัตตานี!J539"")+IMPORTRANGE(""https://docs.google.com/spreadsheets/d/1vl4QWbWdFruual5o_wdo6ZSqXZ_it806oja4CctTLKs/edit?usp=share_link"",""พังงา!J539"")+IMPORTRANGE(""https://docs.google.com/spreadsheets/d/1"&amp;"b6QssHQp2FoAPSMKHOy273KNzAomaIKhtdlvuZ_zDNE/edit?usp=share_link"",""พัทลุง!J539"")+IMPORTRANGE(""https://docs.google.com/spreadsheets/d/1o7UZe4_OqlqtLDHrj01Z2YFRSZDf1DMy1n3XViHaxRc/edit?usp=share_link"",""ภูเก็ต!J539"")+IMPORTRANGE(""https://docs.google.c"&amp;"om/spreadsheets/d/1ctPm1vUzcUCPuOj9-eoHUD85PqINFqUB0TjdSWmR5-c/edit?usp=share_link"",""ยะลา!J539"")+IMPORTRANGE(""https://docs.google.com/spreadsheets/d/1YiDIE7Klmt8osgdapRqYWNr7iPGFSsiJqq46S7PYRE0/edit?usp=share_link"",""ระนอง!J539"")+IMPORTRANGE(""https"&amp;"://docs.google.com/spreadsheets/d/16o_4B-V7AWw_6E93bSpXj_XxVv1oVQctk-B6z1dNEWU/edit?usp=share_link"",""สงขลา!J539"")+IMPORTRANGE(""https://docs.google.com/spreadsheets/d/16cywr71Fj4fA5OGRHsZh30ZG2gwJhMAQv69oVBzYHv0/edit?usp=share_link"",""สตูล!J539"")+IMP"&amp;"ORTRANGE(""https://docs.google.com/spreadsheets/d/1vO9Sws6kMtrVtyvrAJptINXjK8TFBoX9xLYOVK_C8bQ/edit?usp=share_link"",""สุราษฎร์ธานี!J539"")"),160)</f>
        <v>160</v>
      </c>
      <c r="K539" s="38">
        <f t="shared" ca="1" si="269"/>
        <v>100</v>
      </c>
      <c r="L539" s="38"/>
      <c r="M539" s="38"/>
      <c r="N539" s="38"/>
      <c r="O539" s="38"/>
      <c r="P539" s="38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20.25" customHeight="1">
      <c r="A540" s="573"/>
      <c r="B540" s="574"/>
      <c r="C540" s="575"/>
      <c r="D540" s="576"/>
      <c r="E540" s="681" t="s">
        <v>231</v>
      </c>
      <c r="F540" s="575"/>
      <c r="G540" s="189"/>
      <c r="H540" s="36" t="s">
        <v>35</v>
      </c>
      <c r="I540" s="270">
        <f ca="1">IFERROR(__xludf.DUMMYFUNCTION("IMPORTRANGE(""https://docs.google.com/spreadsheets/d/1kC41EOXpGBFOW658Fs3oD8beYlym0-zO54WY-2Qnp9I/edit?usp=share_link"",""กระบี่!I540"")
+IMPORTRANGE(""https://docs.google.com/spreadsheets/d/1FbzMZY_f3MDiEuK7RpCQKrilJ_kpX0Wm7QBZ1L7EjIU/edit?usp=share_link"&amp;""",""ชุมพร!I540"")+IMPORTRANGE(""https://docs.google.com/spreadsheets/d/1v5sN-00LrXuhBxw4dkh2GrG_z4l5oAqOdJRBCsUyMaM/edit?usp=share_link"",""ตรัง!I540"")+IMPORTRANGE(""https://docs.google.com/spreadsheets/d/1T5rRTzFc79aSIvqnzkZNvwPstq829QYz_xALlO1Z0s8/edi"&amp;"t?usp=share_link"",""นครศรีธรรมราช!I540"")+IMPORTRANGE(""https://docs.google.com/spreadsheets/d/1BeghqumK0IvCmRd2QOy6_afsZq7ZtAGrSnVJy2u7WmY/edit?usp=share_link"",""นราธิวาส!I540"")+IMPORTRANGE(""https://docs.google.com/spreadsheets/d/1IwnW3-jjRf74MCLW-6P"&amp;"iFwMUffRQXZwZA7YM609NmRc/edit?usp=share_link"",""ปัตตานี!I540"")+IMPORTRANGE(""https://docs.google.com/spreadsheets/d/1vl4QWbWdFruual5o_wdo6ZSqXZ_it806oja4CctTLKs/edit?usp=share_link"",""พังงา!I540"")+IMPORTRANGE(""https://docs.google.com/spreadsheets/d/1"&amp;"b6QssHQp2FoAPSMKHOy273KNzAomaIKhtdlvuZ_zDNE/edit?usp=share_link"",""พัทลุง!I540"")+IMPORTRANGE(""https://docs.google.com/spreadsheets/d/1o7UZe4_OqlqtLDHrj01Z2YFRSZDf1DMy1n3XViHaxRc/edit?usp=share_link"",""ภูเก็ต!I540"")+IMPORTRANGE(""https://docs.google.c"&amp;"om/spreadsheets/d/1ctPm1vUzcUCPuOj9-eoHUD85PqINFqUB0TjdSWmR5-c/edit?usp=share_link"",""ยะลา!I540"")+IMPORTRANGE(""https://docs.google.com/spreadsheets/d/1YiDIE7Klmt8osgdapRqYWNr7iPGFSsiJqq46S7PYRE0/edit?usp=share_link"",""ระนอง!I540"")+IMPORTRANGE(""https"&amp;"://docs.google.com/spreadsheets/d/16o_4B-V7AWw_6E93bSpXj_XxVv1oVQctk-B6z1dNEWU/edit?usp=share_link"",""สงขลา!I540"")+IMPORTRANGE(""https://docs.google.com/spreadsheets/d/16cywr71Fj4fA5OGRHsZh30ZG2gwJhMAQv69oVBzYHv0/edit?usp=share_link"",""สตูล!I540"")+IMP"&amp;"ORTRANGE(""https://docs.google.com/spreadsheets/d/1vO9Sws6kMtrVtyvrAJptINXjK8TFBoX9xLYOVK_C8bQ/edit?usp=share_link"",""สุราษฎร์ธานี!I540"")"),160)</f>
        <v>160</v>
      </c>
      <c r="J540" s="183">
        <f ca="1">IFERROR(__xludf.DUMMYFUNCTION("IMPORTRANGE(""https://docs.google.com/spreadsheets/d/1kC41EOXpGBFOW658Fs3oD8beYlym0-zO54WY-2Qnp9I/edit?usp=share_link"",""กระบี่!J540"")
+IMPORTRANGE(""https://docs.google.com/spreadsheets/d/1FbzMZY_f3MDiEuK7RpCQKrilJ_kpX0Wm7QBZ1L7EjIU/edit?usp=share_link"&amp;""",""ชุมพร!J540"")+IMPORTRANGE(""https://docs.google.com/spreadsheets/d/1v5sN-00LrXuhBxw4dkh2GrG_z4l5oAqOdJRBCsUyMaM/edit?usp=share_link"",""ตรัง!J540"")+IMPORTRANGE(""https://docs.google.com/spreadsheets/d/1T5rRTzFc79aSIvqnzkZNvwPstq829QYz_xALlO1Z0s8/edi"&amp;"t?usp=share_link"",""นครศรีธรรมราช!J540"")+IMPORTRANGE(""https://docs.google.com/spreadsheets/d/1BeghqumK0IvCmRd2QOy6_afsZq7ZtAGrSnVJy2u7WmY/edit?usp=share_link"",""นราธิวาส!J540"")+IMPORTRANGE(""https://docs.google.com/spreadsheets/d/1IwnW3-jjRf74MCLW-6P"&amp;"iFwMUffRQXZwZA7YM609NmRc/edit?usp=share_link"",""ปัตตานี!J540"")+IMPORTRANGE(""https://docs.google.com/spreadsheets/d/1vl4QWbWdFruual5o_wdo6ZSqXZ_it806oja4CctTLKs/edit?usp=share_link"",""พังงา!J540"")+IMPORTRANGE(""https://docs.google.com/spreadsheets/d/1"&amp;"b6QssHQp2FoAPSMKHOy273KNzAomaIKhtdlvuZ_zDNE/edit?usp=share_link"",""พัทลุง!J540"")+IMPORTRANGE(""https://docs.google.com/spreadsheets/d/1o7UZe4_OqlqtLDHrj01Z2YFRSZDf1DMy1n3XViHaxRc/edit?usp=share_link"",""ภูเก็ต!J540"")+IMPORTRANGE(""https://docs.google.c"&amp;"om/spreadsheets/d/1ctPm1vUzcUCPuOj9-eoHUD85PqINFqUB0TjdSWmR5-c/edit?usp=share_link"",""ยะลา!J540"")+IMPORTRANGE(""https://docs.google.com/spreadsheets/d/1YiDIE7Klmt8osgdapRqYWNr7iPGFSsiJqq46S7PYRE0/edit?usp=share_link"",""ระนอง!J540"")+IMPORTRANGE(""https"&amp;"://docs.google.com/spreadsheets/d/16o_4B-V7AWw_6E93bSpXj_XxVv1oVQctk-B6z1dNEWU/edit?usp=share_link"",""สงขลา!J540"")+IMPORTRANGE(""https://docs.google.com/spreadsheets/d/16cywr71Fj4fA5OGRHsZh30ZG2gwJhMAQv69oVBzYHv0/edit?usp=share_link"",""สตูล!J540"")+IMP"&amp;"ORTRANGE(""https://docs.google.com/spreadsheets/d/1vO9Sws6kMtrVtyvrAJptINXjK8TFBoX9xLYOVK_C8bQ/edit?usp=share_link"",""สุราษฎร์ธานี!J540"")"),160)</f>
        <v>160</v>
      </c>
      <c r="K540" s="38">
        <f t="shared" ca="1" si="269"/>
        <v>100</v>
      </c>
      <c r="L540" s="38"/>
      <c r="M540" s="38"/>
      <c r="N540" s="38"/>
      <c r="O540" s="38"/>
      <c r="P540" s="38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20.25" customHeight="1">
      <c r="A541" s="573"/>
      <c r="B541" s="574"/>
      <c r="C541" s="575"/>
      <c r="D541" s="576"/>
      <c r="E541" s="682" t="s">
        <v>232</v>
      </c>
      <c r="F541" s="575"/>
      <c r="G541" s="189"/>
      <c r="H541" s="36" t="s">
        <v>35</v>
      </c>
      <c r="I541" s="270">
        <f ca="1">IFERROR(__xludf.DUMMYFUNCTION("IMPORTRANGE(""https://docs.google.com/spreadsheets/d/1kC41EOXpGBFOW658Fs3oD8beYlym0-zO54WY-2Qnp9I/edit?usp=share_link"",""กระบี่!I541"")
+IMPORTRANGE(""https://docs.google.com/spreadsheets/d/1FbzMZY_f3MDiEuK7RpCQKrilJ_kpX0Wm7QBZ1L7EjIU/edit?usp=share_link"&amp;""",""ชุมพร!I541"")+IMPORTRANGE(""https://docs.google.com/spreadsheets/d/1v5sN-00LrXuhBxw4dkh2GrG_z4l5oAqOdJRBCsUyMaM/edit?usp=share_link"",""ตรัง!I541"")+IMPORTRANGE(""https://docs.google.com/spreadsheets/d/1T5rRTzFc79aSIvqnzkZNvwPstq829QYz_xALlO1Z0s8/edi"&amp;"t?usp=share_link"",""นครศรีธรรมราช!I541"")+IMPORTRANGE(""https://docs.google.com/spreadsheets/d/1BeghqumK0IvCmRd2QOy6_afsZq7ZtAGrSnVJy2u7WmY/edit?usp=share_link"",""นราธิวาส!I541"")+IMPORTRANGE(""https://docs.google.com/spreadsheets/d/1IwnW3-jjRf74MCLW-6P"&amp;"iFwMUffRQXZwZA7YM609NmRc/edit?usp=share_link"",""ปัตตานี!I541"")+IMPORTRANGE(""https://docs.google.com/spreadsheets/d/1vl4QWbWdFruual5o_wdo6ZSqXZ_it806oja4CctTLKs/edit?usp=share_link"",""พังงา!I541"")+IMPORTRANGE(""https://docs.google.com/spreadsheets/d/1"&amp;"b6QssHQp2FoAPSMKHOy273KNzAomaIKhtdlvuZ_zDNE/edit?usp=share_link"",""พัทลุง!I541"")+IMPORTRANGE(""https://docs.google.com/spreadsheets/d/1o7UZe4_OqlqtLDHrj01Z2YFRSZDf1DMy1n3XViHaxRc/edit?usp=share_link"",""ภูเก็ต!I541"")+IMPORTRANGE(""https://docs.google.c"&amp;"om/spreadsheets/d/1ctPm1vUzcUCPuOj9-eoHUD85PqINFqUB0TjdSWmR5-c/edit?usp=share_link"",""ยะลา!I541"")+IMPORTRANGE(""https://docs.google.com/spreadsheets/d/1YiDIE7Klmt8osgdapRqYWNr7iPGFSsiJqq46S7PYRE0/edit?usp=share_link"",""ระนอง!I541"")+IMPORTRANGE(""https"&amp;"://docs.google.com/spreadsheets/d/16o_4B-V7AWw_6E93bSpXj_XxVv1oVQctk-B6z1dNEWU/edit?usp=share_link"",""สงขลา!I541"")+IMPORTRANGE(""https://docs.google.com/spreadsheets/d/16cywr71Fj4fA5OGRHsZh30ZG2gwJhMAQv69oVBzYHv0/edit?usp=share_link"",""สตูล!I541"")+IMP"&amp;"ORTRANGE(""https://docs.google.com/spreadsheets/d/1vO9Sws6kMtrVtyvrAJptINXjK8TFBoX9xLYOVK_C8bQ/edit?usp=share_link"",""สุราษฎร์ธานี!I541"")"),30)</f>
        <v>30</v>
      </c>
      <c r="J541" s="183">
        <f ca="1">IFERROR(__xludf.DUMMYFUNCTION("IMPORTRANGE(""https://docs.google.com/spreadsheets/d/1kC41EOXpGBFOW658Fs3oD8beYlym0-zO54WY-2Qnp9I/edit?usp=share_link"",""กระบี่!J541"")
+IMPORTRANGE(""https://docs.google.com/spreadsheets/d/1FbzMZY_f3MDiEuK7RpCQKrilJ_kpX0Wm7QBZ1L7EjIU/edit?usp=share_link"&amp;""",""ชุมพร!J541"")+IMPORTRANGE(""https://docs.google.com/spreadsheets/d/1v5sN-00LrXuhBxw4dkh2GrG_z4l5oAqOdJRBCsUyMaM/edit?usp=share_link"",""ตรัง!J541"")+IMPORTRANGE(""https://docs.google.com/spreadsheets/d/1T5rRTzFc79aSIvqnzkZNvwPstq829QYz_xALlO1Z0s8/edi"&amp;"t?usp=share_link"",""นครศรีธรรมราช!J541"")+IMPORTRANGE(""https://docs.google.com/spreadsheets/d/1BeghqumK0IvCmRd2QOy6_afsZq7ZtAGrSnVJy2u7WmY/edit?usp=share_link"",""นราธิวาส!J541"")+IMPORTRANGE(""https://docs.google.com/spreadsheets/d/1IwnW3-jjRf74MCLW-6P"&amp;"iFwMUffRQXZwZA7YM609NmRc/edit?usp=share_link"",""ปัตตานี!J541"")+IMPORTRANGE(""https://docs.google.com/spreadsheets/d/1vl4QWbWdFruual5o_wdo6ZSqXZ_it806oja4CctTLKs/edit?usp=share_link"",""พังงา!J541"")+IMPORTRANGE(""https://docs.google.com/spreadsheets/d/1"&amp;"b6QssHQp2FoAPSMKHOy273KNzAomaIKhtdlvuZ_zDNE/edit?usp=share_link"",""พัทลุง!J541"")+IMPORTRANGE(""https://docs.google.com/spreadsheets/d/1o7UZe4_OqlqtLDHrj01Z2YFRSZDf1DMy1n3XViHaxRc/edit?usp=share_link"",""ภูเก็ต!J541"")+IMPORTRANGE(""https://docs.google.c"&amp;"om/spreadsheets/d/1ctPm1vUzcUCPuOj9-eoHUD85PqINFqUB0TjdSWmR5-c/edit?usp=share_link"",""ยะลา!J541"")+IMPORTRANGE(""https://docs.google.com/spreadsheets/d/1YiDIE7Klmt8osgdapRqYWNr7iPGFSsiJqq46S7PYRE0/edit?usp=share_link"",""ระนอง!J541"")+IMPORTRANGE(""https"&amp;"://docs.google.com/spreadsheets/d/16o_4B-V7AWw_6E93bSpXj_XxVv1oVQctk-B6z1dNEWU/edit?usp=share_link"",""สงขลา!J541"")+IMPORTRANGE(""https://docs.google.com/spreadsheets/d/16cywr71Fj4fA5OGRHsZh30ZG2gwJhMAQv69oVBzYHv0/edit?usp=share_link"",""สตูล!J541"")+IMP"&amp;"ORTRANGE(""https://docs.google.com/spreadsheets/d/1vO9Sws6kMtrVtyvrAJptINXjK8TFBoX9xLYOVK_C8bQ/edit?usp=share_link"",""สุราษฎร์ธานี!J541"")"),30)</f>
        <v>30</v>
      </c>
      <c r="K541" s="38">
        <f t="shared" ca="1" si="269"/>
        <v>100</v>
      </c>
      <c r="L541" s="38"/>
      <c r="M541" s="38"/>
      <c r="N541" s="38"/>
      <c r="O541" s="38"/>
      <c r="P541" s="38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20.25" customHeight="1">
      <c r="A542" s="573"/>
      <c r="B542" s="574"/>
      <c r="C542" s="575"/>
      <c r="D542" s="576" t="s">
        <v>59</v>
      </c>
      <c r="E542" s="575"/>
      <c r="F542" s="575"/>
      <c r="G542" s="189"/>
      <c r="H542" s="36" t="s">
        <v>35</v>
      </c>
      <c r="I542" s="37">
        <f ca="1">IFERROR(__xludf.DUMMYFUNCTION("IMPORTRANGE(""https://docs.google.com/spreadsheets/d/1kC41EOXpGBFOW658Fs3oD8beYlym0-zO54WY-2Qnp9I/edit?usp=share_link"",""กระบี่!I542"")
+IMPORTRANGE(""https://docs.google.com/spreadsheets/d/1FbzMZY_f3MDiEuK7RpCQKrilJ_kpX0Wm7QBZ1L7EjIU/edit?usp=share_link"&amp;""",""ชุมพร!I542"")+IMPORTRANGE(""https://docs.google.com/spreadsheets/d/1v5sN-00LrXuhBxw4dkh2GrG_z4l5oAqOdJRBCsUyMaM/edit?usp=share_link"",""ตรัง!I542"")+IMPORTRANGE(""https://docs.google.com/spreadsheets/d/1T5rRTzFc79aSIvqnzkZNvwPstq829QYz_xALlO1Z0s8/edi"&amp;"t?usp=share_link"",""นครศรีธรรมราช!I542"")+IMPORTRANGE(""https://docs.google.com/spreadsheets/d/1BeghqumK0IvCmRd2QOy6_afsZq7ZtAGrSnVJy2u7WmY/edit?usp=share_link"",""นราธิวาส!I542"")+IMPORTRANGE(""https://docs.google.com/spreadsheets/d/1IwnW3-jjRf74MCLW-6P"&amp;"iFwMUffRQXZwZA7YM609NmRc/edit?usp=share_link"",""ปัตตานี!I542"")+IMPORTRANGE(""https://docs.google.com/spreadsheets/d/1vl4QWbWdFruual5o_wdo6ZSqXZ_it806oja4CctTLKs/edit?usp=share_link"",""พังงา!I542"")+IMPORTRANGE(""https://docs.google.com/spreadsheets/d/1"&amp;"b6QssHQp2FoAPSMKHOy273KNzAomaIKhtdlvuZ_zDNE/edit?usp=share_link"",""พัทลุง!I542"")+IMPORTRANGE(""https://docs.google.com/spreadsheets/d/1o7UZe4_OqlqtLDHrj01Z2YFRSZDf1DMy1n3XViHaxRc/edit?usp=share_link"",""ภูเก็ต!I542"")+IMPORTRANGE(""https://docs.google.c"&amp;"om/spreadsheets/d/1ctPm1vUzcUCPuOj9-eoHUD85PqINFqUB0TjdSWmR5-c/edit?usp=share_link"",""ยะลา!I542"")+IMPORTRANGE(""https://docs.google.com/spreadsheets/d/1YiDIE7Klmt8osgdapRqYWNr7iPGFSsiJqq46S7PYRE0/edit?usp=share_link"",""ระนอง!I542"")+IMPORTRANGE(""https"&amp;"://docs.google.com/spreadsheets/d/16o_4B-V7AWw_6E93bSpXj_XxVv1oVQctk-B6z1dNEWU/edit?usp=share_link"",""สงขลา!I542"")+IMPORTRANGE(""https://docs.google.com/spreadsheets/d/16cywr71Fj4fA5OGRHsZh30ZG2gwJhMAQv69oVBzYHv0/edit?usp=share_link"",""สตูล!I542"")+IMP"&amp;"ORTRANGE(""https://docs.google.com/spreadsheets/d/1vO9Sws6kMtrVtyvrAJptINXjK8TFBoX9xLYOVK_C8bQ/edit?usp=share_link"",""สุราษฎร์ธานี!I542"")"),190)</f>
        <v>190</v>
      </c>
      <c r="J542" s="183">
        <f ca="1">IFERROR(__xludf.DUMMYFUNCTION("IMPORTRANGE(""https://docs.google.com/spreadsheets/d/1kC41EOXpGBFOW658Fs3oD8beYlym0-zO54WY-2Qnp9I/edit?usp=share_link"",""กระบี่!J542"")
+IMPORTRANGE(""https://docs.google.com/spreadsheets/d/1FbzMZY_f3MDiEuK7RpCQKrilJ_kpX0Wm7QBZ1L7EjIU/edit?usp=share_link"&amp;""",""ชุมพร!J542"")+IMPORTRANGE(""https://docs.google.com/spreadsheets/d/1v5sN-00LrXuhBxw4dkh2GrG_z4l5oAqOdJRBCsUyMaM/edit?usp=share_link"",""ตรัง!J542"")+IMPORTRANGE(""https://docs.google.com/spreadsheets/d/1T5rRTzFc79aSIvqnzkZNvwPstq829QYz_xALlO1Z0s8/edi"&amp;"t?usp=share_link"",""นครศรีธรรมราช!J542"")+IMPORTRANGE(""https://docs.google.com/spreadsheets/d/1BeghqumK0IvCmRd2QOy6_afsZq7ZtAGrSnVJy2u7WmY/edit?usp=share_link"",""นราธิวาส!J542"")+IMPORTRANGE(""https://docs.google.com/spreadsheets/d/1IwnW3-jjRf74MCLW-6P"&amp;"iFwMUffRQXZwZA7YM609NmRc/edit?usp=share_link"",""ปัตตานี!J542"")+IMPORTRANGE(""https://docs.google.com/spreadsheets/d/1vl4QWbWdFruual5o_wdo6ZSqXZ_it806oja4CctTLKs/edit?usp=share_link"",""พังงา!J542"")+IMPORTRANGE(""https://docs.google.com/spreadsheets/d/1"&amp;"b6QssHQp2FoAPSMKHOy273KNzAomaIKhtdlvuZ_zDNE/edit?usp=share_link"",""พัทลุง!J542"")+IMPORTRANGE(""https://docs.google.com/spreadsheets/d/1o7UZe4_OqlqtLDHrj01Z2YFRSZDf1DMy1n3XViHaxRc/edit?usp=share_link"",""ภูเก็ต!J542"")+IMPORTRANGE(""https://docs.google.c"&amp;"om/spreadsheets/d/1ctPm1vUzcUCPuOj9-eoHUD85PqINFqUB0TjdSWmR5-c/edit?usp=share_link"",""ยะลา!J542"")+IMPORTRANGE(""https://docs.google.com/spreadsheets/d/1YiDIE7Klmt8osgdapRqYWNr7iPGFSsiJqq46S7PYRE0/edit?usp=share_link"",""ระนอง!J542"")+IMPORTRANGE(""https"&amp;"://docs.google.com/spreadsheets/d/16o_4B-V7AWw_6E93bSpXj_XxVv1oVQctk-B6z1dNEWU/edit?usp=share_link"",""สงขลา!J542"")+IMPORTRANGE(""https://docs.google.com/spreadsheets/d/16cywr71Fj4fA5OGRHsZh30ZG2gwJhMAQv69oVBzYHv0/edit?usp=share_link"",""สตูล!J542"")+IMP"&amp;"ORTRANGE(""https://docs.google.com/spreadsheets/d/1vO9Sws6kMtrVtyvrAJptINXjK8TFBoX9xLYOVK_C8bQ/edit?usp=share_link"",""สุราษฎร์ธานี!J542"")"),80)</f>
        <v>80</v>
      </c>
      <c r="K542" s="38">
        <f t="shared" ca="1" si="269"/>
        <v>42.10526315789474</v>
      </c>
      <c r="L542" s="38"/>
      <c r="M542" s="38"/>
      <c r="N542" s="38"/>
      <c r="O542" s="38"/>
      <c r="P542" s="38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20.25" customHeight="1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70">I559</f>
        <v>380540</v>
      </c>
      <c r="J543" s="685">
        <f t="shared" ca="1" si="270"/>
        <v>250076.71500000003</v>
      </c>
      <c r="K543" s="686">
        <f t="shared" ca="1" si="269"/>
        <v>65.716275555789153</v>
      </c>
      <c r="L543" s="668"/>
      <c r="M543" s="668"/>
      <c r="N543" s="668"/>
      <c r="O543" s="668"/>
      <c r="P543" s="668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20.25" customHeight="1">
      <c r="A544" s="687"/>
      <c r="B544" s="688"/>
      <c r="C544" s="688" t="s">
        <v>16</v>
      </c>
      <c r="D544" s="849" t="s">
        <v>17</v>
      </c>
      <c r="E544" s="846"/>
      <c r="F544" s="846"/>
      <c r="G544" s="689"/>
      <c r="H544" s="275" t="s">
        <v>12</v>
      </c>
      <c r="I544" s="153"/>
      <c r="J544" s="153"/>
      <c r="K544" s="154"/>
      <c r="L544" s="155">
        <f t="shared" ref="L544:N544" ca="1" si="271">L545+L546</f>
        <v>5238283</v>
      </c>
      <c r="M544" s="155">
        <f t="shared" ca="1" si="271"/>
        <v>5238283</v>
      </c>
      <c r="N544" s="155">
        <f t="shared" ca="1" si="271"/>
        <v>2156896.0499999998</v>
      </c>
      <c r="O544" s="155">
        <f t="shared" ref="O544:O549" ca="1" si="272">IF(L544&gt;0,N544*100/L544,0)</f>
        <v>41.175630449901234</v>
      </c>
      <c r="P544" s="155">
        <f t="shared" ref="P544:P549" ca="1" si="273">IF(M544&gt;0,N544*100/M544,0)</f>
        <v>41.175630449901234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20.25" hidden="1" customHeight="1">
      <c r="A545" s="598"/>
      <c r="B545" s="599"/>
      <c r="C545" s="599"/>
      <c r="D545" s="599"/>
      <c r="E545" s="601" t="s">
        <v>185</v>
      </c>
      <c r="F545" s="599"/>
      <c r="G545" s="602"/>
      <c r="H545" s="165" t="s">
        <v>12</v>
      </c>
      <c r="I545" s="44"/>
      <c r="J545" s="44"/>
      <c r="K545" s="45"/>
      <c r="L545" s="45">
        <f t="shared" ref="L545:L546" si="274">L548+L556</f>
        <v>0</v>
      </c>
      <c r="M545" s="45">
        <f t="shared" ref="M545:N545" si="275">M548+M555</f>
        <v>0</v>
      </c>
      <c r="N545" s="45">
        <f t="shared" si="275"/>
        <v>0</v>
      </c>
      <c r="O545" s="45">
        <f t="shared" si="272"/>
        <v>0</v>
      </c>
      <c r="P545" s="45">
        <f t="shared" si="273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20.25" hidden="1" customHeight="1">
      <c r="A546" s="598"/>
      <c r="B546" s="604"/>
      <c r="C546" s="599"/>
      <c r="D546" s="599"/>
      <c r="E546" s="601" t="s">
        <v>186</v>
      </c>
      <c r="F546" s="599"/>
      <c r="G546" s="602"/>
      <c r="H546" s="165" t="s">
        <v>12</v>
      </c>
      <c r="I546" s="44"/>
      <c r="J546" s="44"/>
      <c r="K546" s="45"/>
      <c r="L546" s="45">
        <f t="shared" ca="1" si="274"/>
        <v>5238283</v>
      </c>
      <c r="M546" s="45">
        <f t="shared" ref="M546:N546" ca="1" si="276">M549+M556</f>
        <v>5238283</v>
      </c>
      <c r="N546" s="45">
        <f t="shared" ca="1" si="276"/>
        <v>2156896.0499999998</v>
      </c>
      <c r="O546" s="45">
        <f t="shared" ca="1" si="272"/>
        <v>41.175630449901234</v>
      </c>
      <c r="P546" s="45">
        <f t="shared" ca="1" si="273"/>
        <v>41.175630449901234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20.25" customHeight="1">
      <c r="A547" s="596"/>
      <c r="B547" s="574"/>
      <c r="C547" s="575"/>
      <c r="D547" s="605" t="s">
        <v>20</v>
      </c>
      <c r="E547" s="575"/>
      <c r="F547" s="575"/>
      <c r="G547" s="189"/>
      <c r="H547" s="161" t="s">
        <v>12</v>
      </c>
      <c r="I547" s="162"/>
      <c r="J547" s="162"/>
      <c r="K547" s="163"/>
      <c r="L547" s="38">
        <f t="shared" ref="L547:N547" ca="1" si="277">L548+L549</f>
        <v>5238283</v>
      </c>
      <c r="M547" s="38">
        <f t="shared" ca="1" si="277"/>
        <v>5238283</v>
      </c>
      <c r="N547" s="38">
        <f t="shared" ca="1" si="277"/>
        <v>2156896.0499999998</v>
      </c>
      <c r="O547" s="38">
        <f t="shared" ca="1" si="272"/>
        <v>41.175630449901234</v>
      </c>
      <c r="P547" s="38">
        <f t="shared" ca="1" si="273"/>
        <v>41.175630449901234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20.25" hidden="1" customHeight="1">
      <c r="A548" s="598"/>
      <c r="B548" s="604"/>
      <c r="C548" s="599"/>
      <c r="D548" s="600"/>
      <c r="E548" s="601" t="s">
        <v>185</v>
      </c>
      <c r="F548" s="599"/>
      <c r="G548" s="602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2"/>
        <v>0</v>
      </c>
      <c r="P548" s="45">
        <f t="shared" si="273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20.25" hidden="1" customHeight="1">
      <c r="A549" s="598"/>
      <c r="B549" s="604"/>
      <c r="C549" s="599"/>
      <c r="D549" s="600"/>
      <c r="E549" s="601" t="s">
        <v>186</v>
      </c>
      <c r="F549" s="599"/>
      <c r="G549" s="602"/>
      <c r="H549" s="165" t="s">
        <v>12</v>
      </c>
      <c r="I549" s="44"/>
      <c r="J549" s="44"/>
      <c r="K549" s="45"/>
      <c r="L549" s="45">
        <f ca="1">IFERROR(__xludf.DUMMYFUNCTION("IMPORTRANGE(""https://docs.google.com/spreadsheets/d/1kC41EOXpGBFOW658Fs3oD8beYlym0-zO54WY-2Qnp9I/edit?usp=share_link"",""กระบี่!L549"")
+IMPORTRANGE(""https://docs.google.com/spreadsheets/d/1FbzMZY_f3MDiEuK7RpCQKrilJ_kpX0Wm7QBZ1L7EjIU/edit?usp=share_link"&amp;""",""ชุมพร!L549"")+IMPORTRANGE(""https://docs.google.com/spreadsheets/d/1v5sN-00LrXuhBxw4dkh2GrG_z4l5oAqOdJRBCsUyMaM/edit?usp=share_link"",""ตรัง!L549"")+IMPORTRANGE(""https://docs.google.com/spreadsheets/d/1T5rRTzFc79aSIvqnzkZNvwPstq829QYz_xALlO1Z0s8/edi"&amp;"t?usp=share_link"",""นครศรีธรรมราช!L549"")+IMPORTRANGE(""https://docs.google.com/spreadsheets/d/1BeghqumK0IvCmRd2QOy6_afsZq7ZtAGrSnVJy2u7WmY/edit?usp=share_link"",""นราธิวาส!L549"")+IMPORTRANGE(""https://docs.google.com/spreadsheets/d/1IwnW3-jjRf74MCLW-6P"&amp;"iFwMUffRQXZwZA7YM609NmRc/edit?usp=share_link"",""ปัตตานี!L549"")+IMPORTRANGE(""https://docs.google.com/spreadsheets/d/1vl4QWbWdFruual5o_wdo6ZSqXZ_it806oja4CctTLKs/edit?usp=share_link"",""พังงา!L549"")+IMPORTRANGE(""https://docs.google.com/spreadsheets/d/1"&amp;"b6QssHQp2FoAPSMKHOy273KNzAomaIKhtdlvuZ_zDNE/edit?usp=share_link"",""พัทลุง!L549"")+IMPORTRANGE(""https://docs.google.com/spreadsheets/d/1o7UZe4_OqlqtLDHrj01Z2YFRSZDf1DMy1n3XViHaxRc/edit?usp=share_link"",""ภูเก็ต!L549"")+IMPORTRANGE(""https://docs.google.c"&amp;"om/spreadsheets/d/1ctPm1vUzcUCPuOj9-eoHUD85PqINFqUB0TjdSWmR5-c/edit?usp=share_link"",""ยะลา!L549"")+IMPORTRANGE(""https://docs.google.com/spreadsheets/d/1YiDIE7Klmt8osgdapRqYWNr7iPGFSsiJqq46S7PYRE0/edit?usp=share_link"",""ระนอง!L549"")+IMPORTRANGE(""https"&amp;"://docs.google.com/spreadsheets/d/16o_4B-V7AWw_6E93bSpXj_XxVv1oVQctk-B6z1dNEWU/edit?usp=share_link"",""สงขลา!L549"")+IMPORTRANGE(""https://docs.google.com/spreadsheets/d/16cywr71Fj4fA5OGRHsZh30ZG2gwJhMAQv69oVBzYHv0/edit?usp=share_link"",""สตูล!L549"")+IMP"&amp;"ORTRANGE(""https://docs.google.com/spreadsheets/d/1vO9Sws6kMtrVtyvrAJptINXjK8TFBoX9xLYOVK_C8bQ/edit?usp=share_link"",""สุราษฎร์ธานี!L549"")"),5238283)</f>
        <v>5238283</v>
      </c>
      <c r="M549" s="93">
        <f ca="1">IFERROR(__xludf.DUMMYFUNCTION("IMPORTRANGE(""https://docs.google.com/spreadsheets/d/1kC41EOXpGBFOW658Fs3oD8beYlym0-zO54WY-2Qnp9I/edit?usp=share_link"",""กระบี่!M549"")
+IMPORTRANGE(""https://docs.google.com/spreadsheets/d/1FbzMZY_f3MDiEuK7RpCQKrilJ_kpX0Wm7QBZ1L7EjIU/edit?usp=share_link"&amp;""",""ชุมพร!M549"")+IMPORTRANGE(""https://docs.google.com/spreadsheets/d/1v5sN-00LrXuhBxw4dkh2GrG_z4l5oAqOdJRBCsUyMaM/edit?usp=share_link"",""ตรัง!M549"")+IMPORTRANGE(""https://docs.google.com/spreadsheets/d/1T5rRTzFc79aSIvqnzkZNvwPstq829QYz_xALlO1Z0s8/edi"&amp;"t?usp=share_link"",""นครศรีธรรมราช!M549"")+IMPORTRANGE(""https://docs.google.com/spreadsheets/d/1BeghqumK0IvCmRd2QOy6_afsZq7ZtAGrSnVJy2u7WmY/edit?usp=share_link"",""นราธิวาส!M549"")+IMPORTRANGE(""https://docs.google.com/spreadsheets/d/1IwnW3-jjRf74MCLW-6P"&amp;"iFwMUffRQXZwZA7YM609NmRc/edit?usp=share_link"",""ปัตตานี!M549"")+IMPORTRANGE(""https://docs.google.com/spreadsheets/d/1vl4QWbWdFruual5o_wdo6ZSqXZ_it806oja4CctTLKs/edit?usp=share_link"",""พังงา!M549"")+IMPORTRANGE(""https://docs.google.com/spreadsheets/d/1"&amp;"b6QssHQp2FoAPSMKHOy273KNzAomaIKhtdlvuZ_zDNE/edit?usp=share_link"",""พัทลุง!M549"")+IMPORTRANGE(""https://docs.google.com/spreadsheets/d/1o7UZe4_OqlqtLDHrj01Z2YFRSZDf1DMy1n3XViHaxRc/edit?usp=share_link"",""ภูเก็ต!M549"")+IMPORTRANGE(""https://docs.google.c"&amp;"om/spreadsheets/d/1ctPm1vUzcUCPuOj9-eoHUD85PqINFqUB0TjdSWmR5-c/edit?usp=share_link"",""ยะลา!M549"")+IMPORTRANGE(""https://docs.google.com/spreadsheets/d/1YiDIE7Klmt8osgdapRqYWNr7iPGFSsiJqq46S7PYRE0/edit?usp=share_link"",""ระนอง!M549"")+IMPORTRANGE(""https"&amp;"://docs.google.com/spreadsheets/d/16o_4B-V7AWw_6E93bSpXj_XxVv1oVQctk-B6z1dNEWU/edit?usp=share_link"",""สงขลา!M549"")+IMPORTRANGE(""https://docs.google.com/spreadsheets/d/16cywr71Fj4fA5OGRHsZh30ZG2gwJhMAQv69oVBzYHv0/edit?usp=share_link"",""สตูล!M549"")+IMP"&amp;"ORTRANGE(""https://docs.google.com/spreadsheets/d/1vO9Sws6kMtrVtyvrAJptINXjK8TFBoX9xLYOVK_C8bQ/edit?usp=share_link"",""สุราษฎร์ธานี!M549"")"),5238283)</f>
        <v>5238283</v>
      </c>
      <c r="N549" s="45">
        <f ca="1">N550+N551+N552+N553+N554</f>
        <v>2156896.0499999998</v>
      </c>
      <c r="O549" s="45">
        <f t="shared" ca="1" si="272"/>
        <v>41.175630449901234</v>
      </c>
      <c r="P549" s="45">
        <f t="shared" ca="1" si="273"/>
        <v>41.175630449901234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20.25" customHeight="1">
      <c r="A550" s="573"/>
      <c r="B550" s="574"/>
      <c r="C550" s="575"/>
      <c r="D550" s="575"/>
      <c r="E550" s="575"/>
      <c r="F550" s="576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IFERROR(__xludf.DUMMYFUNCTION("IMPORTRANGE(""https://docs.google.com/spreadsheets/d/1kC41EOXpGBFOW658Fs3oD8beYlym0-zO54WY-2Qnp9I/edit?usp=share_link"",""กระบี่!N550"")
+IMPORTRANGE(""https://docs.google.com/spreadsheets/d/1FbzMZY_f3MDiEuK7RpCQKrilJ_kpX0Wm7QBZ1L7EjIU/edit?usp=share_link"&amp;""",""ชุมพร!N550"")+IMPORTRANGE(""https://docs.google.com/spreadsheets/d/1v5sN-00LrXuhBxw4dkh2GrG_z4l5oAqOdJRBCsUyMaM/edit?usp=share_link"",""ตรัง!N550"")+IMPORTRANGE(""https://docs.google.com/spreadsheets/d/1T5rRTzFc79aSIvqnzkZNvwPstq829QYz_xALlO1Z0s8/edi"&amp;"t?usp=share_link"",""นครศรีธรรมราช!N550"")+IMPORTRANGE(""https://docs.google.com/spreadsheets/d/1BeghqumK0IvCmRd2QOy6_afsZq7ZtAGrSnVJy2u7WmY/edit?usp=share_link"",""นราธิวาส!N550"")+IMPORTRANGE(""https://docs.google.com/spreadsheets/d/1IwnW3-jjRf74MCLW-6P"&amp;"iFwMUffRQXZwZA7YM609NmRc/edit?usp=share_link"",""ปัตตานี!N550"")+IMPORTRANGE(""https://docs.google.com/spreadsheets/d/1vl4QWbWdFruual5o_wdo6ZSqXZ_it806oja4CctTLKs/edit?usp=share_link"",""พังงา!N550"")+IMPORTRANGE(""https://docs.google.com/spreadsheets/d/1"&amp;"b6QssHQp2FoAPSMKHOy273KNzAomaIKhtdlvuZ_zDNE/edit?usp=share_link"",""พัทลุง!N550"")+IMPORTRANGE(""https://docs.google.com/spreadsheets/d/1o7UZe4_OqlqtLDHrj01Z2YFRSZDf1DMy1n3XViHaxRc/edit?usp=share_link"",""ภูเก็ต!N550"")+IMPORTRANGE(""https://docs.google.c"&amp;"om/spreadsheets/d/1ctPm1vUzcUCPuOj9-eoHUD85PqINFqUB0TjdSWmR5-c/edit?usp=share_link"",""ยะลา!N550"")+IMPORTRANGE(""https://docs.google.com/spreadsheets/d/1YiDIE7Klmt8osgdapRqYWNr7iPGFSsiJqq46S7PYRE0/edit?usp=share_link"",""ระนอง!N550"")+IMPORTRANGE(""https"&amp;"://docs.google.com/spreadsheets/d/16o_4B-V7AWw_6E93bSpXj_XxVv1oVQctk-B6z1dNEWU/edit?usp=share_link"",""สงขลา!N550"")+IMPORTRANGE(""https://docs.google.com/spreadsheets/d/16cywr71Fj4fA5OGRHsZh30ZG2gwJhMAQv69oVBzYHv0/edit?usp=share_link"",""สตูล!N550"")+IMP"&amp;"ORTRANGE(""https://docs.google.com/spreadsheets/d/1vO9Sws6kMtrVtyvrAJptINXjK8TFBoX9xLYOVK_C8bQ/edit?usp=share_link"",""สุราษฎร์ธานี!N550"")"),28940)</f>
        <v>28940</v>
      </c>
      <c r="O550" s="38"/>
      <c r="P550" s="3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20.25" customHeight="1">
      <c r="A551" s="573"/>
      <c r="B551" s="574"/>
      <c r="C551" s="574"/>
      <c r="D551" s="574"/>
      <c r="E551" s="575"/>
      <c r="F551" s="576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IFERROR(__xludf.DUMMYFUNCTION("IMPORTRANGE(""https://docs.google.com/spreadsheets/d/1kC41EOXpGBFOW658Fs3oD8beYlym0-zO54WY-2Qnp9I/edit?usp=share_link"",""กระบี่!N551"")
+IMPORTRANGE(""https://docs.google.com/spreadsheets/d/1FbzMZY_f3MDiEuK7RpCQKrilJ_kpX0Wm7QBZ1L7EjIU/edit?usp=share_link"&amp;""",""ชุมพร!N551"")+IMPORTRANGE(""https://docs.google.com/spreadsheets/d/1v5sN-00LrXuhBxw4dkh2GrG_z4l5oAqOdJRBCsUyMaM/edit?usp=share_link"",""ตรัง!N551"")+IMPORTRANGE(""https://docs.google.com/spreadsheets/d/1T5rRTzFc79aSIvqnzkZNvwPstq829QYz_xALlO1Z0s8/edi"&amp;"t?usp=share_link"",""นครศรีธรรมราช!N551"")+IMPORTRANGE(""https://docs.google.com/spreadsheets/d/1BeghqumK0IvCmRd2QOy6_afsZq7ZtAGrSnVJy2u7WmY/edit?usp=share_link"",""นราธิวาส!N551"")+IMPORTRANGE(""https://docs.google.com/spreadsheets/d/1IwnW3-jjRf74MCLW-6P"&amp;"iFwMUffRQXZwZA7YM609NmRc/edit?usp=share_link"",""ปัตตานี!N551"")+IMPORTRANGE(""https://docs.google.com/spreadsheets/d/1vl4QWbWdFruual5o_wdo6ZSqXZ_it806oja4CctTLKs/edit?usp=share_link"",""พังงา!N551"")+IMPORTRANGE(""https://docs.google.com/spreadsheets/d/1"&amp;"b6QssHQp2FoAPSMKHOy273KNzAomaIKhtdlvuZ_zDNE/edit?usp=share_link"",""พัทลุง!N551"")+IMPORTRANGE(""https://docs.google.com/spreadsheets/d/1o7UZe4_OqlqtLDHrj01Z2YFRSZDf1DMy1n3XViHaxRc/edit?usp=share_link"",""ภูเก็ต!N551"")+IMPORTRANGE(""https://docs.google.c"&amp;"om/spreadsheets/d/1ctPm1vUzcUCPuOj9-eoHUD85PqINFqUB0TjdSWmR5-c/edit?usp=share_link"",""ยะลา!N551"")+IMPORTRANGE(""https://docs.google.com/spreadsheets/d/1YiDIE7Klmt8osgdapRqYWNr7iPGFSsiJqq46S7PYRE0/edit?usp=share_link"",""ระนอง!N551"")+IMPORTRANGE(""https"&amp;"://docs.google.com/spreadsheets/d/16o_4B-V7AWw_6E93bSpXj_XxVv1oVQctk-B6z1dNEWU/edit?usp=share_link"",""สงขลา!N551"")+IMPORTRANGE(""https://docs.google.com/spreadsheets/d/16cywr71Fj4fA5OGRHsZh30ZG2gwJhMAQv69oVBzYHv0/edit?usp=share_link"",""สตูล!N551"")+IMP"&amp;"ORTRANGE(""https://docs.google.com/spreadsheets/d/1vO9Sws6kMtrVtyvrAJptINXjK8TFBoX9xLYOVK_C8bQ/edit?usp=share_link"",""สุราษฎร์ธานี!N551"")"),26350)</f>
        <v>26350</v>
      </c>
      <c r="O551" s="38"/>
      <c r="P551" s="3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20.25" customHeight="1">
      <c r="A552" s="573"/>
      <c r="B552" s="574"/>
      <c r="C552" s="575"/>
      <c r="D552" s="575"/>
      <c r="E552" s="575"/>
      <c r="F552" s="576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IFERROR(__xludf.DUMMYFUNCTION("IMPORTRANGE(""https://docs.google.com/spreadsheets/d/1kC41EOXpGBFOW658Fs3oD8beYlym0-zO54WY-2Qnp9I/edit?usp=share_link"",""กระบี่!N552"")
+IMPORTRANGE(""https://docs.google.com/spreadsheets/d/1FbzMZY_f3MDiEuK7RpCQKrilJ_kpX0Wm7QBZ1L7EjIU/edit?usp=share_link"&amp;""",""ชุมพร!N552"")+IMPORTRANGE(""https://docs.google.com/spreadsheets/d/1v5sN-00LrXuhBxw4dkh2GrG_z4l5oAqOdJRBCsUyMaM/edit?usp=share_link"",""ตรัง!N552"")+IMPORTRANGE(""https://docs.google.com/spreadsheets/d/1T5rRTzFc79aSIvqnzkZNvwPstq829QYz_xALlO1Z0s8/edi"&amp;"t?usp=share_link"",""นครศรีธรรมราช!N552"")+IMPORTRANGE(""https://docs.google.com/spreadsheets/d/1BeghqumK0IvCmRd2QOy6_afsZq7ZtAGrSnVJy2u7WmY/edit?usp=share_link"",""นราธิวาส!N552"")+IMPORTRANGE(""https://docs.google.com/spreadsheets/d/1IwnW3-jjRf74MCLW-6P"&amp;"iFwMUffRQXZwZA7YM609NmRc/edit?usp=share_link"",""ปัตตานี!N552"")+IMPORTRANGE(""https://docs.google.com/spreadsheets/d/1vl4QWbWdFruual5o_wdo6ZSqXZ_it806oja4CctTLKs/edit?usp=share_link"",""พังงา!N552"")+IMPORTRANGE(""https://docs.google.com/spreadsheets/d/1"&amp;"b6QssHQp2FoAPSMKHOy273KNzAomaIKhtdlvuZ_zDNE/edit?usp=share_link"",""พัทลุง!N552"")+IMPORTRANGE(""https://docs.google.com/spreadsheets/d/1o7UZe4_OqlqtLDHrj01Z2YFRSZDf1DMy1n3XViHaxRc/edit?usp=share_link"",""ภูเก็ต!N552"")+IMPORTRANGE(""https://docs.google.c"&amp;"om/spreadsheets/d/1ctPm1vUzcUCPuOj9-eoHUD85PqINFqUB0TjdSWmR5-c/edit?usp=share_link"",""ยะลา!N552"")+IMPORTRANGE(""https://docs.google.com/spreadsheets/d/1YiDIE7Klmt8osgdapRqYWNr7iPGFSsiJqq46S7PYRE0/edit?usp=share_link"",""ระนอง!N552"")+IMPORTRANGE(""https"&amp;"://docs.google.com/spreadsheets/d/16o_4B-V7AWw_6E93bSpXj_XxVv1oVQctk-B6z1dNEWU/edit?usp=share_link"",""สงขลา!N552"")+IMPORTRANGE(""https://docs.google.com/spreadsheets/d/16cywr71Fj4fA5OGRHsZh30ZG2gwJhMAQv69oVBzYHv0/edit?usp=share_link"",""สตูล!N552"")+IMP"&amp;"ORTRANGE(""https://docs.google.com/spreadsheets/d/1vO9Sws6kMtrVtyvrAJptINXjK8TFBoX9xLYOVK_C8bQ/edit?usp=share_link"",""สุราษฎร์ธานี!N552"")"),692077.1)</f>
        <v>692077.1</v>
      </c>
      <c r="O552" s="38"/>
      <c r="P552" s="3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20.25" customHeight="1">
      <c r="A553" s="573"/>
      <c r="B553" s="574"/>
      <c r="C553" s="574"/>
      <c r="D553" s="574"/>
      <c r="E553" s="575"/>
      <c r="F553" s="576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IFERROR(__xludf.DUMMYFUNCTION("IMPORTRANGE(""https://docs.google.com/spreadsheets/d/1kC41EOXpGBFOW658Fs3oD8beYlym0-zO54WY-2Qnp9I/edit?usp=share_link"",""กระบี่!N553"")
+IMPORTRANGE(""https://docs.google.com/spreadsheets/d/1FbzMZY_f3MDiEuK7RpCQKrilJ_kpX0Wm7QBZ1L7EjIU/edit?usp=share_link"&amp;""",""ชุมพร!N553"")+IMPORTRANGE(""https://docs.google.com/spreadsheets/d/1v5sN-00LrXuhBxw4dkh2GrG_z4l5oAqOdJRBCsUyMaM/edit?usp=share_link"",""ตรัง!N553"")+IMPORTRANGE(""https://docs.google.com/spreadsheets/d/1T5rRTzFc79aSIvqnzkZNvwPstq829QYz_xALlO1Z0s8/edi"&amp;"t?usp=share_link"",""นครศรีธรรมราช!N553"")+IMPORTRANGE(""https://docs.google.com/spreadsheets/d/1BeghqumK0IvCmRd2QOy6_afsZq7ZtAGrSnVJy2u7WmY/edit?usp=share_link"",""นราธิวาส!N553"")+IMPORTRANGE(""https://docs.google.com/spreadsheets/d/1IwnW3-jjRf74MCLW-6P"&amp;"iFwMUffRQXZwZA7YM609NmRc/edit?usp=share_link"",""ปัตตานี!N553"")+IMPORTRANGE(""https://docs.google.com/spreadsheets/d/1vl4QWbWdFruual5o_wdo6ZSqXZ_it806oja4CctTLKs/edit?usp=share_link"",""พังงา!N553"")+IMPORTRANGE(""https://docs.google.com/spreadsheets/d/1"&amp;"b6QssHQp2FoAPSMKHOy273KNzAomaIKhtdlvuZ_zDNE/edit?usp=share_link"",""พัทลุง!N553"")+IMPORTRANGE(""https://docs.google.com/spreadsheets/d/1o7UZe4_OqlqtLDHrj01Z2YFRSZDf1DMy1n3XViHaxRc/edit?usp=share_link"",""ภูเก็ต!N553"")+IMPORTRANGE(""https://docs.google.c"&amp;"om/spreadsheets/d/1ctPm1vUzcUCPuOj9-eoHUD85PqINFqUB0TjdSWmR5-c/edit?usp=share_link"",""ยะลา!N553"")+IMPORTRANGE(""https://docs.google.com/spreadsheets/d/1YiDIE7Klmt8osgdapRqYWNr7iPGFSsiJqq46S7PYRE0/edit?usp=share_link"",""ระนอง!N553"")+IMPORTRANGE(""https"&amp;"://docs.google.com/spreadsheets/d/16o_4B-V7AWw_6E93bSpXj_XxVv1oVQctk-B6z1dNEWU/edit?usp=share_link"",""สงขลา!N553"")+IMPORTRANGE(""https://docs.google.com/spreadsheets/d/16cywr71Fj4fA5OGRHsZh30ZG2gwJhMAQv69oVBzYHv0/edit?usp=share_link"",""สตูล!N553"")+IMP"&amp;"ORTRANGE(""https://docs.google.com/spreadsheets/d/1vO9Sws6kMtrVtyvrAJptINXjK8TFBoX9xLYOVK_C8bQ/edit?usp=share_link"",""สุราษฎร์ธานี!N553"")"),1365028.95)</f>
        <v>1365028.95</v>
      </c>
      <c r="O553" s="38"/>
      <c r="P553" s="3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20.25" customHeight="1">
      <c r="A554" s="573"/>
      <c r="B554" s="574"/>
      <c r="C554" s="574"/>
      <c r="D554" s="574"/>
      <c r="E554" s="575"/>
      <c r="F554" s="576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IFERROR(__xludf.DUMMYFUNCTION("IMPORTRANGE(""https://docs.google.com/spreadsheets/d/1kC41EOXpGBFOW658Fs3oD8beYlym0-zO54WY-2Qnp9I/edit?usp=share_link"",""กระบี่!N554"")
+IMPORTRANGE(""https://docs.google.com/spreadsheets/d/1FbzMZY_f3MDiEuK7RpCQKrilJ_kpX0Wm7QBZ1L7EjIU/edit?usp=share_link"&amp;""",""ชุมพร!N554"")+IMPORTRANGE(""https://docs.google.com/spreadsheets/d/1v5sN-00LrXuhBxw4dkh2GrG_z4l5oAqOdJRBCsUyMaM/edit?usp=share_link"",""ตรัง!N554"")+IMPORTRANGE(""https://docs.google.com/spreadsheets/d/1T5rRTzFc79aSIvqnzkZNvwPstq829QYz_xALlO1Z0s8/edi"&amp;"t?usp=share_link"",""นครศรีธรรมราช!N554"")+IMPORTRANGE(""https://docs.google.com/spreadsheets/d/1BeghqumK0IvCmRd2QOy6_afsZq7ZtAGrSnVJy2u7WmY/edit?usp=share_link"",""นราธิวาส!N554"")+IMPORTRANGE(""https://docs.google.com/spreadsheets/d/1IwnW3-jjRf74MCLW-6P"&amp;"iFwMUffRQXZwZA7YM609NmRc/edit?usp=share_link"",""ปัตตานี!N554"")+IMPORTRANGE(""https://docs.google.com/spreadsheets/d/1vl4QWbWdFruual5o_wdo6ZSqXZ_it806oja4CctTLKs/edit?usp=share_link"",""พังงา!N554"")+IMPORTRANGE(""https://docs.google.com/spreadsheets/d/1"&amp;"b6QssHQp2FoAPSMKHOy273KNzAomaIKhtdlvuZ_zDNE/edit?usp=share_link"",""พัทลุง!N554"")+IMPORTRANGE(""https://docs.google.com/spreadsheets/d/1o7UZe4_OqlqtLDHrj01Z2YFRSZDf1DMy1n3XViHaxRc/edit?usp=share_link"",""ภูเก็ต!N554"")+IMPORTRANGE(""https://docs.google.c"&amp;"om/spreadsheets/d/1ctPm1vUzcUCPuOj9-eoHUD85PqINFqUB0TjdSWmR5-c/edit?usp=share_link"",""ยะลา!N554"")+IMPORTRANGE(""https://docs.google.com/spreadsheets/d/1YiDIE7Klmt8osgdapRqYWNr7iPGFSsiJqq46S7PYRE0/edit?usp=share_link"",""ระนอง!N554"")+IMPORTRANGE(""https"&amp;"://docs.google.com/spreadsheets/d/16o_4B-V7AWw_6E93bSpXj_XxVv1oVQctk-B6z1dNEWU/edit?usp=share_link"",""สงขลา!N554"")+IMPORTRANGE(""https://docs.google.com/spreadsheets/d/16cywr71Fj4fA5OGRHsZh30ZG2gwJhMAQv69oVBzYHv0/edit?usp=share_link"",""สตูล!N554"")+IMP"&amp;"ORTRANGE(""https://docs.google.com/spreadsheets/d/1vO9Sws6kMtrVtyvrAJptINXjK8TFBoX9xLYOVK_C8bQ/edit?usp=share_link"",""สุราษฎร์ธานี!N554"")"),44500)</f>
        <v>44500</v>
      </c>
      <c r="O554" s="38"/>
      <c r="P554" s="3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20.25" customHeight="1">
      <c r="A555" s="596"/>
      <c r="B555" s="574"/>
      <c r="C555" s="574"/>
      <c r="D555" s="605" t="s">
        <v>21</v>
      </c>
      <c r="E555" s="575"/>
      <c r="F555" s="575"/>
      <c r="G555" s="189"/>
      <c r="H555" s="168" t="s">
        <v>12</v>
      </c>
      <c r="I555" s="162"/>
      <c r="J555" s="162"/>
      <c r="K555" s="163"/>
      <c r="L555" s="38">
        <f t="shared" ref="L555:N555" ca="1" si="278">L556+L557</f>
        <v>0</v>
      </c>
      <c r="M555" s="38">
        <f t="shared" si="278"/>
        <v>0</v>
      </c>
      <c r="N555" s="38">
        <f t="shared" si="278"/>
        <v>0</v>
      </c>
      <c r="O555" s="38">
        <f t="shared" ref="O555:O557" ca="1" si="279">IF(L555&gt;0,N555*100/L555,0)</f>
        <v>0</v>
      </c>
      <c r="P555" s="38">
        <f t="shared" ref="P555:P557" si="280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20.25" hidden="1" customHeight="1">
      <c r="A556" s="598"/>
      <c r="B556" s="604"/>
      <c r="C556" s="604"/>
      <c r="D556" s="599"/>
      <c r="E556" s="601" t="s">
        <v>18</v>
      </c>
      <c r="F556" s="599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79"/>
        <v>0</v>
      </c>
      <c r="P556" s="45">
        <f t="shared" si="280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20.25" hidden="1" customHeight="1">
      <c r="A557" s="598"/>
      <c r="B557" s="604"/>
      <c r="C557" s="604"/>
      <c r="D557" s="599"/>
      <c r="E557" s="601" t="s">
        <v>19</v>
      </c>
      <c r="F557" s="599"/>
      <c r="G557" s="602"/>
      <c r="H557" s="169" t="s">
        <v>12</v>
      </c>
      <c r="I557" s="166"/>
      <c r="J557" s="166"/>
      <c r="K557" s="167"/>
      <c r="L557" s="45">
        <f ca="1">IFERROR(__xludf.DUMMYFUNCTION("IMPORTRANGE(""https://docs.google.com/spreadsheets/d/1kC41EOXpGBFOW658Fs3oD8beYlym0-zO54WY-2Qnp9I/edit?usp=share_link"",""กระบี่!L557"")
+IMPORTRANGE(""https://docs.google.com/spreadsheets/d/1FbzMZY_f3MDiEuK7RpCQKrilJ_kpX0Wm7QBZ1L7EjIU/edit?usp=share_link"&amp;""",""ชุมพร!L557"")+IMPORTRANGE(""https://docs.google.com/spreadsheets/d/1v5sN-00LrXuhBxw4dkh2GrG_z4l5oAqOdJRBCsUyMaM/edit?usp=share_link"",""ตรัง!L557"")+IMPORTRANGE(""https://docs.google.com/spreadsheets/d/1T5rRTzFc79aSIvqnzkZNvwPstq829QYz_xALlO1Z0s8/edi"&amp;"t?usp=share_link"",""นครศรีธรรมราช!L557"")+IMPORTRANGE(""https://docs.google.com/spreadsheets/d/1BeghqumK0IvCmRd2QOy6_afsZq7ZtAGrSnVJy2u7WmY/edit?usp=share_link"",""นราธิวาส!L557"")+IMPORTRANGE(""https://docs.google.com/spreadsheets/d/1IwnW3-jjRf74MCLW-6P"&amp;"iFwMUffRQXZwZA7YM609NmRc/edit?usp=share_link"",""ปัตตานี!L557"")+IMPORTRANGE(""https://docs.google.com/spreadsheets/d/1vl4QWbWdFruual5o_wdo6ZSqXZ_it806oja4CctTLKs/edit?usp=share_link"",""พังงา!L557"")+IMPORTRANGE(""https://docs.google.com/spreadsheets/d/1"&amp;"b6QssHQp2FoAPSMKHOy273KNzAomaIKhtdlvuZ_zDNE/edit?usp=share_link"",""พัทลุง!L557"")+IMPORTRANGE(""https://docs.google.com/spreadsheets/d/1o7UZe4_OqlqtLDHrj01Z2YFRSZDf1DMy1n3XViHaxRc/edit?usp=share_link"",""ภูเก็ต!L557"")+IMPORTRANGE(""https://docs.google.c"&amp;"om/spreadsheets/d/1ctPm1vUzcUCPuOj9-eoHUD85PqINFqUB0TjdSWmR5-c/edit?usp=share_link"",""ยะลา!L557"")+IMPORTRANGE(""https://docs.google.com/spreadsheets/d/1YiDIE7Klmt8osgdapRqYWNr7iPGFSsiJqq46S7PYRE0/edit?usp=share_link"",""ระนอง!L557"")+IMPORTRANGE(""https"&amp;"://docs.google.com/spreadsheets/d/16o_4B-V7AWw_6E93bSpXj_XxVv1oVQctk-B6z1dNEWU/edit?usp=share_link"",""สงขลา!L557"")+IMPORTRANGE(""https://docs.google.com/spreadsheets/d/16cywr71Fj4fA5OGRHsZh30ZG2gwJhMAQv69oVBzYHv0/edit?usp=share_link"",""สตูล!L557"")+IMP"&amp;"ORTRANGE(""https://docs.google.com/spreadsheets/d/1vO9Sws6kMtrVtyvrAJptINXjK8TFBoX9xLYOVK_C8bQ/edit?usp=share_link"",""สุราษฎร์ธานี!L557"")"),0)</f>
        <v>0</v>
      </c>
      <c r="M557" s="93">
        <v>0</v>
      </c>
      <c r="N557" s="93">
        <v>0</v>
      </c>
      <c r="O557" s="45">
        <f t="shared" ca="1" si="279"/>
        <v>0</v>
      </c>
      <c r="P557" s="45">
        <f t="shared" si="280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20.25" customHeight="1">
      <c r="A558" s="607"/>
      <c r="B558" s="608"/>
      <c r="C558" s="574" t="s">
        <v>16</v>
      </c>
      <c r="D558" s="677" t="s">
        <v>38</v>
      </c>
      <c r="E558" s="611"/>
      <c r="F558" s="611"/>
      <c r="G558" s="612"/>
      <c r="H558" s="175"/>
      <c r="I558" s="162"/>
      <c r="J558" s="162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20.25" customHeight="1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674">
        <f t="shared" ref="I559:J559" ca="1" si="281">I576</f>
        <v>380540</v>
      </c>
      <c r="J559" s="674">
        <f t="shared" ca="1" si="281"/>
        <v>250076.71500000003</v>
      </c>
      <c r="K559" s="675">
        <f t="shared" ref="K559:K561" ca="1" si="282">IF(I559&gt;0,J559*100/I559,0)</f>
        <v>65.716275555789153</v>
      </c>
      <c r="L559" s="676"/>
      <c r="M559" s="676"/>
      <c r="N559" s="676"/>
      <c r="O559" s="676"/>
      <c r="P559" s="676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20.25" customHeight="1">
      <c r="A560" s="607"/>
      <c r="B560" s="608"/>
      <c r="C560" s="621" t="s">
        <v>236</v>
      </c>
      <c r="D560" s="608"/>
      <c r="E560" s="618"/>
      <c r="F560" s="618"/>
      <c r="G560" s="175"/>
      <c r="H560" s="192" t="s">
        <v>46</v>
      </c>
      <c r="I560" s="193">
        <f ca="1">IFERROR(__xludf.DUMMYFUNCTION("IMPORTRANGE(""https://docs.google.com/spreadsheets/d/1kC41EOXpGBFOW658Fs3oD8beYlym0-zO54WY-2Qnp9I/edit?usp=share_link"",""กระบี่!I560"")
+IMPORTRANGE(""https://docs.google.com/spreadsheets/d/1FbzMZY_f3MDiEuK7RpCQKrilJ_kpX0Wm7QBZ1L7EjIU/edit?usp=share_link"&amp;""",""ชุมพร!I560"")+IMPORTRANGE(""https://docs.google.com/spreadsheets/d/1v5sN-00LrXuhBxw4dkh2GrG_z4l5oAqOdJRBCsUyMaM/edit?usp=share_link"",""ตรัง!I560"")+IMPORTRANGE(""https://docs.google.com/spreadsheets/d/1T5rRTzFc79aSIvqnzkZNvwPstq829QYz_xALlO1Z0s8/edi"&amp;"t?usp=share_link"",""นครศรีธรรมราช!I560"")+IMPORTRANGE(""https://docs.google.com/spreadsheets/d/1BeghqumK0IvCmRd2QOy6_afsZq7ZtAGrSnVJy2u7WmY/edit?usp=share_link"",""นราธิวาส!I560"")+IMPORTRANGE(""https://docs.google.com/spreadsheets/d/1IwnW3-jjRf74MCLW-6P"&amp;"iFwMUffRQXZwZA7YM609NmRc/edit?usp=share_link"",""ปัตตานี!I560"")+IMPORTRANGE(""https://docs.google.com/spreadsheets/d/1vl4QWbWdFruual5o_wdo6ZSqXZ_it806oja4CctTLKs/edit?usp=share_link"",""พังงา!I560"")+IMPORTRANGE(""https://docs.google.com/spreadsheets/d/1"&amp;"b6QssHQp2FoAPSMKHOy273KNzAomaIKhtdlvuZ_zDNE/edit?usp=share_link"",""พัทลุง!I560"")+IMPORTRANGE(""https://docs.google.com/spreadsheets/d/1o7UZe4_OqlqtLDHrj01Z2YFRSZDf1DMy1n3XViHaxRc/edit?usp=share_link"",""ภูเก็ต!I560"")+IMPORTRANGE(""https://docs.google.c"&amp;"om/spreadsheets/d/1ctPm1vUzcUCPuOj9-eoHUD85PqINFqUB0TjdSWmR5-c/edit?usp=share_link"",""ยะลา!I560"")+IMPORTRANGE(""https://docs.google.com/spreadsheets/d/1YiDIE7Klmt8osgdapRqYWNr7iPGFSsiJqq46S7PYRE0/edit?usp=share_link"",""ระนอง!I560"")+IMPORTRANGE(""https"&amp;"://docs.google.com/spreadsheets/d/16o_4B-V7AWw_6E93bSpXj_XxVv1oVQctk-B6z1dNEWU/edit?usp=share_link"",""สงขลา!I560"")+IMPORTRANGE(""https://docs.google.com/spreadsheets/d/16cywr71Fj4fA5OGRHsZh30ZG2gwJhMAQv69oVBzYHv0/edit?usp=share_link"",""สตูล!I560"")+IMP"&amp;"ORTRANGE(""https://docs.google.com/spreadsheets/d/1vO9Sws6kMtrVtyvrAJptINXjK8TFBoX9xLYOVK_C8bQ/edit?usp=share_link"",""สุราษฎร์ธานี!I560"")"),380540)</f>
        <v>380540</v>
      </c>
      <c r="J560" s="193">
        <f t="shared" ref="J560:J561" ca="1" si="283">J562+J564+J566</f>
        <v>379440.48950000003</v>
      </c>
      <c r="K560" s="412">
        <f t="shared" ca="1" si="282"/>
        <v>99.711065722394494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20.25" customHeight="1">
      <c r="A561" s="607"/>
      <c r="B561" s="608"/>
      <c r="C561" s="608"/>
      <c r="D561" s="618"/>
      <c r="E561" s="618"/>
      <c r="F561" s="618"/>
      <c r="G561" s="175"/>
      <c r="H561" s="192" t="s">
        <v>34</v>
      </c>
      <c r="I561" s="193">
        <f ca="1">IFERROR(__xludf.DUMMYFUNCTION("IMPORTRANGE(""https://docs.google.com/spreadsheets/d/1kC41EOXpGBFOW658Fs3oD8beYlym0-zO54WY-2Qnp9I/edit?usp=share_link"",""กระบี่!I561"")
+IMPORTRANGE(""https://docs.google.com/spreadsheets/d/1FbzMZY_f3MDiEuK7RpCQKrilJ_kpX0Wm7QBZ1L7EjIU/edit?usp=share_link"&amp;""",""ชุมพร!I561"")+IMPORTRANGE(""https://docs.google.com/spreadsheets/d/1v5sN-00LrXuhBxw4dkh2GrG_z4l5oAqOdJRBCsUyMaM/edit?usp=share_link"",""ตรัง!I561"")+IMPORTRANGE(""https://docs.google.com/spreadsheets/d/1T5rRTzFc79aSIvqnzkZNvwPstq829QYz_xALlO1Z0s8/edi"&amp;"t?usp=share_link"",""นครศรีธรรมราช!I561"")+IMPORTRANGE(""https://docs.google.com/spreadsheets/d/1BeghqumK0IvCmRd2QOy6_afsZq7ZtAGrSnVJy2u7WmY/edit?usp=share_link"",""นราธิวาส!I561"")+IMPORTRANGE(""https://docs.google.com/spreadsheets/d/1IwnW3-jjRf74MCLW-6P"&amp;"iFwMUffRQXZwZA7YM609NmRc/edit?usp=share_link"",""ปัตตานี!I561"")+IMPORTRANGE(""https://docs.google.com/spreadsheets/d/1vl4QWbWdFruual5o_wdo6ZSqXZ_it806oja4CctTLKs/edit?usp=share_link"",""พังงา!I561"")+IMPORTRANGE(""https://docs.google.com/spreadsheets/d/1"&amp;"b6QssHQp2FoAPSMKHOy273KNzAomaIKhtdlvuZ_zDNE/edit?usp=share_link"",""พัทลุง!I561"")+IMPORTRANGE(""https://docs.google.com/spreadsheets/d/1o7UZe4_OqlqtLDHrj01Z2YFRSZDf1DMy1n3XViHaxRc/edit?usp=share_link"",""ภูเก็ต!I561"")+IMPORTRANGE(""https://docs.google.c"&amp;"om/spreadsheets/d/1ctPm1vUzcUCPuOj9-eoHUD85PqINFqUB0TjdSWmR5-c/edit?usp=share_link"",""ยะลา!I561"")+IMPORTRANGE(""https://docs.google.com/spreadsheets/d/1YiDIE7Klmt8osgdapRqYWNr7iPGFSsiJqq46S7PYRE0/edit?usp=share_link"",""ระนอง!I561"")+IMPORTRANGE(""https"&amp;"://docs.google.com/spreadsheets/d/16o_4B-V7AWw_6E93bSpXj_XxVv1oVQctk-B6z1dNEWU/edit?usp=share_link"",""สงขลา!I561"")+IMPORTRANGE(""https://docs.google.com/spreadsheets/d/16cywr71Fj4fA5OGRHsZh30ZG2gwJhMAQv69oVBzYHv0/edit?usp=share_link"",""สตูล!I561"")+IMP"&amp;"ORTRANGE(""https://docs.google.com/spreadsheets/d/1vO9Sws6kMtrVtyvrAJptINXjK8TFBoX9xLYOVK_C8bQ/edit?usp=share_link"",""สุราษฎร์ธานี!I561"")"),42774)</f>
        <v>42774</v>
      </c>
      <c r="J561" s="193">
        <f t="shared" ca="1" si="283"/>
        <v>42619</v>
      </c>
      <c r="K561" s="412">
        <f t="shared" ca="1" si="282"/>
        <v>99.637630336185538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20.25" customHeight="1">
      <c r="A562" s="607"/>
      <c r="B562" s="608"/>
      <c r="C562" s="608"/>
      <c r="D562" s="187" t="s">
        <v>237</v>
      </c>
      <c r="E562" s="618"/>
      <c r="F562" s="618"/>
      <c r="G562" s="175"/>
      <c r="H562" s="182" t="s">
        <v>46</v>
      </c>
      <c r="I562" s="162"/>
      <c r="J562" s="183">
        <f ca="1">IFERROR(__xludf.DUMMYFUNCTION("IMPORTRANGE(""https://docs.google.com/spreadsheets/d/1kC41EOXpGBFOW658Fs3oD8beYlym0-zO54WY-2Qnp9I/edit?usp=share_link"",""กระบี่!J562"")
+IMPORTRANGE(""https://docs.google.com/spreadsheets/d/1FbzMZY_f3MDiEuK7RpCQKrilJ_kpX0Wm7QBZ1L7EjIU/edit?usp=share_link"&amp;""",""ชุมพร!J562"")+IMPORTRANGE(""https://docs.google.com/spreadsheets/d/1v5sN-00LrXuhBxw4dkh2GrG_z4l5oAqOdJRBCsUyMaM/edit?usp=share_link"",""ตรัง!J562"")+IMPORTRANGE(""https://docs.google.com/spreadsheets/d/1T5rRTzFc79aSIvqnzkZNvwPstq829QYz_xALlO1Z0s8/edi"&amp;"t?usp=share_link"",""นครศรีธรรมราช!J562"")+IMPORTRANGE(""https://docs.google.com/spreadsheets/d/1BeghqumK0IvCmRd2QOy6_afsZq7ZtAGrSnVJy2u7WmY/edit?usp=share_link"",""นราธิวาส!J562"")+IMPORTRANGE(""https://docs.google.com/spreadsheets/d/1IwnW3-jjRf74MCLW-6P"&amp;"iFwMUffRQXZwZA7YM609NmRc/edit?usp=share_link"",""ปัตตานี!J562"")+IMPORTRANGE(""https://docs.google.com/spreadsheets/d/1vl4QWbWdFruual5o_wdo6ZSqXZ_it806oja4CctTLKs/edit?usp=share_link"",""พังงา!J562"")+IMPORTRANGE(""https://docs.google.com/spreadsheets/d/1"&amp;"b6QssHQp2FoAPSMKHOy273KNzAomaIKhtdlvuZ_zDNE/edit?usp=share_link"",""พัทลุง!J562"")+IMPORTRANGE(""https://docs.google.com/spreadsheets/d/1o7UZe4_OqlqtLDHrj01Z2YFRSZDf1DMy1n3XViHaxRc/edit?usp=share_link"",""ภูเก็ต!J562"")+IMPORTRANGE(""https://docs.google.c"&amp;"om/spreadsheets/d/1ctPm1vUzcUCPuOj9-eoHUD85PqINFqUB0TjdSWmR5-c/edit?usp=share_link"",""ยะลา!J562"")+IMPORTRANGE(""https://docs.google.com/spreadsheets/d/1YiDIE7Klmt8osgdapRqYWNr7iPGFSsiJqq46S7PYRE0/edit?usp=share_link"",""ระนอง!J562"")+IMPORTRANGE(""https"&amp;"://docs.google.com/spreadsheets/d/16o_4B-V7AWw_6E93bSpXj_XxVv1oVQctk-B6z1dNEWU/edit?usp=share_link"",""สงขลา!J562"")+IMPORTRANGE(""https://docs.google.com/spreadsheets/d/16cywr71Fj4fA5OGRHsZh30ZG2gwJhMAQv69oVBzYHv0/edit?usp=share_link"",""สตูล!J562"")+IMP"&amp;"ORTRANGE(""https://docs.google.com/spreadsheets/d/1vO9Sws6kMtrVtyvrAJptINXjK8TFBoX9xLYOVK_C8bQ/edit?usp=share_link"",""สุราษฎร์ธานี!J562"")"),336144.934)</f>
        <v>336144.93400000001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20.25" customHeight="1">
      <c r="A563" s="607"/>
      <c r="B563" s="608"/>
      <c r="C563" s="608"/>
      <c r="D563" s="608"/>
      <c r="E563" s="618"/>
      <c r="F563" s="618"/>
      <c r="G563" s="175"/>
      <c r="H563" s="182" t="s">
        <v>34</v>
      </c>
      <c r="I563" s="162"/>
      <c r="J563" s="183">
        <f ca="1">IFERROR(__xludf.DUMMYFUNCTION("IMPORTRANGE(""https://docs.google.com/spreadsheets/d/1kC41EOXpGBFOW658Fs3oD8beYlym0-zO54WY-2Qnp9I/edit?usp=share_link"",""กระบี่!J563"")
+IMPORTRANGE(""https://docs.google.com/spreadsheets/d/1FbzMZY_f3MDiEuK7RpCQKrilJ_kpX0Wm7QBZ1L7EjIU/edit?usp=share_link"&amp;""",""ชุมพร!J563"")+IMPORTRANGE(""https://docs.google.com/spreadsheets/d/1v5sN-00LrXuhBxw4dkh2GrG_z4l5oAqOdJRBCsUyMaM/edit?usp=share_link"",""ตรัง!J563"")+IMPORTRANGE(""https://docs.google.com/spreadsheets/d/1T5rRTzFc79aSIvqnzkZNvwPstq829QYz_xALlO1Z0s8/edi"&amp;"t?usp=share_link"",""นครศรีธรรมราช!J563"")+IMPORTRANGE(""https://docs.google.com/spreadsheets/d/1BeghqumK0IvCmRd2QOy6_afsZq7ZtAGrSnVJy2u7WmY/edit?usp=share_link"",""นราธิวาส!J563"")+IMPORTRANGE(""https://docs.google.com/spreadsheets/d/1IwnW3-jjRf74MCLW-6P"&amp;"iFwMUffRQXZwZA7YM609NmRc/edit?usp=share_link"",""ปัตตานี!J563"")+IMPORTRANGE(""https://docs.google.com/spreadsheets/d/1vl4QWbWdFruual5o_wdo6ZSqXZ_it806oja4CctTLKs/edit?usp=share_link"",""พังงา!J563"")+IMPORTRANGE(""https://docs.google.com/spreadsheets/d/1"&amp;"b6QssHQp2FoAPSMKHOy273KNzAomaIKhtdlvuZ_zDNE/edit?usp=share_link"",""พัทลุง!J563"")+IMPORTRANGE(""https://docs.google.com/spreadsheets/d/1o7UZe4_OqlqtLDHrj01Z2YFRSZDf1DMy1n3XViHaxRc/edit?usp=share_link"",""ภูเก็ต!J563"")+IMPORTRANGE(""https://docs.google.c"&amp;"om/spreadsheets/d/1ctPm1vUzcUCPuOj9-eoHUD85PqINFqUB0TjdSWmR5-c/edit?usp=share_link"",""ยะลา!J563"")+IMPORTRANGE(""https://docs.google.com/spreadsheets/d/1YiDIE7Klmt8osgdapRqYWNr7iPGFSsiJqq46S7PYRE0/edit?usp=share_link"",""ระนอง!J563"")+IMPORTRANGE(""https"&amp;"://docs.google.com/spreadsheets/d/16o_4B-V7AWw_6E93bSpXj_XxVv1oVQctk-B6z1dNEWU/edit?usp=share_link"",""สงขลา!J563"")+IMPORTRANGE(""https://docs.google.com/spreadsheets/d/16cywr71Fj4fA5OGRHsZh30ZG2gwJhMAQv69oVBzYHv0/edit?usp=share_link"",""สตูล!J563"")+IMP"&amp;"ORTRANGE(""https://docs.google.com/spreadsheets/d/1vO9Sws6kMtrVtyvrAJptINXjK8TFBoX9xLYOVK_C8bQ/edit?usp=share_link"",""สุราษฎร์ธานี!J563"")"),37971)</f>
        <v>37971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20.25" customHeight="1">
      <c r="A564" s="607"/>
      <c r="B564" s="608"/>
      <c r="C564" s="608"/>
      <c r="D564" s="187" t="s">
        <v>238</v>
      </c>
      <c r="E564" s="618"/>
      <c r="F564" s="618"/>
      <c r="G564" s="175"/>
      <c r="H564" s="182" t="s">
        <v>46</v>
      </c>
      <c r="I564" s="162"/>
      <c r="J564" s="183">
        <f ca="1">IFERROR(__xludf.DUMMYFUNCTION("IMPORTRANGE(""https://docs.google.com/spreadsheets/d/1kC41EOXpGBFOW658Fs3oD8beYlym0-zO54WY-2Qnp9I/edit?usp=share_link"",""กระบี่!J564"")
+IMPORTRANGE(""https://docs.google.com/spreadsheets/d/1FbzMZY_f3MDiEuK7RpCQKrilJ_kpX0Wm7QBZ1L7EjIU/edit?usp=share_link"&amp;""",""ชุมพร!J564"")+IMPORTRANGE(""https://docs.google.com/spreadsheets/d/1v5sN-00LrXuhBxw4dkh2GrG_z4l5oAqOdJRBCsUyMaM/edit?usp=share_link"",""ตรัง!J564"")+IMPORTRANGE(""https://docs.google.com/spreadsheets/d/1T5rRTzFc79aSIvqnzkZNvwPstq829QYz_xALlO1Z0s8/edi"&amp;"t?usp=share_link"",""นครศรีธรรมราช!J564"")+IMPORTRANGE(""https://docs.google.com/spreadsheets/d/1BeghqumK0IvCmRd2QOy6_afsZq7ZtAGrSnVJy2u7WmY/edit?usp=share_link"",""นราธิวาส!J564"")+IMPORTRANGE(""https://docs.google.com/spreadsheets/d/1IwnW3-jjRf74MCLW-6P"&amp;"iFwMUffRQXZwZA7YM609NmRc/edit?usp=share_link"",""ปัตตานี!J564"")+IMPORTRANGE(""https://docs.google.com/spreadsheets/d/1vl4QWbWdFruual5o_wdo6ZSqXZ_it806oja4CctTLKs/edit?usp=share_link"",""พังงา!J564"")+IMPORTRANGE(""https://docs.google.com/spreadsheets/d/1"&amp;"b6QssHQp2FoAPSMKHOy273KNzAomaIKhtdlvuZ_zDNE/edit?usp=share_link"",""พัทลุง!J564"")+IMPORTRANGE(""https://docs.google.com/spreadsheets/d/1o7UZe4_OqlqtLDHrj01Z2YFRSZDf1DMy1n3XViHaxRc/edit?usp=share_link"",""ภูเก็ต!J564"")+IMPORTRANGE(""https://docs.google.c"&amp;"om/spreadsheets/d/1ctPm1vUzcUCPuOj9-eoHUD85PqINFqUB0TjdSWmR5-c/edit?usp=share_link"",""ยะลา!J564"")+IMPORTRANGE(""https://docs.google.com/spreadsheets/d/1YiDIE7Klmt8osgdapRqYWNr7iPGFSsiJqq46S7PYRE0/edit?usp=share_link"",""ระนอง!J564"")+IMPORTRANGE(""https"&amp;"://docs.google.com/spreadsheets/d/16o_4B-V7AWw_6E93bSpXj_XxVv1oVQctk-B6z1dNEWU/edit?usp=share_link"",""สงขลา!J564"")+IMPORTRANGE(""https://docs.google.com/spreadsheets/d/16cywr71Fj4fA5OGRHsZh30ZG2gwJhMAQv69oVBzYHv0/edit?usp=share_link"",""สตูล!J564"")+IMP"&amp;"ORTRANGE(""https://docs.google.com/spreadsheets/d/1vO9Sws6kMtrVtyvrAJptINXjK8TFBoX9xLYOVK_C8bQ/edit?usp=share_link"",""สุราษฎร์ธานี!J564"")"),35405.588)</f>
        <v>35405.588000000003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20.25" customHeight="1">
      <c r="A565" s="607"/>
      <c r="B565" s="608"/>
      <c r="C565" s="608"/>
      <c r="D565" s="618"/>
      <c r="E565" s="618"/>
      <c r="F565" s="618"/>
      <c r="G565" s="175"/>
      <c r="H565" s="182" t="s">
        <v>34</v>
      </c>
      <c r="I565" s="162"/>
      <c r="J565" s="183">
        <f ca="1">IFERROR(__xludf.DUMMYFUNCTION("IMPORTRANGE(""https://docs.google.com/spreadsheets/d/1kC41EOXpGBFOW658Fs3oD8beYlym0-zO54WY-2Qnp9I/edit?usp=share_link"",""กระบี่!J565"")
+IMPORTRANGE(""https://docs.google.com/spreadsheets/d/1FbzMZY_f3MDiEuK7RpCQKrilJ_kpX0Wm7QBZ1L7EjIU/edit?usp=share_link"&amp;""",""ชุมพร!J565"")+IMPORTRANGE(""https://docs.google.com/spreadsheets/d/1v5sN-00LrXuhBxw4dkh2GrG_z4l5oAqOdJRBCsUyMaM/edit?usp=share_link"",""ตรัง!J565"")+IMPORTRANGE(""https://docs.google.com/spreadsheets/d/1T5rRTzFc79aSIvqnzkZNvwPstq829QYz_xALlO1Z0s8/edi"&amp;"t?usp=share_link"",""นครศรีธรรมราช!J565"")+IMPORTRANGE(""https://docs.google.com/spreadsheets/d/1BeghqumK0IvCmRd2QOy6_afsZq7ZtAGrSnVJy2u7WmY/edit?usp=share_link"",""นราธิวาส!J565"")+IMPORTRANGE(""https://docs.google.com/spreadsheets/d/1IwnW3-jjRf74MCLW-6P"&amp;"iFwMUffRQXZwZA7YM609NmRc/edit?usp=share_link"",""ปัตตานี!J565"")+IMPORTRANGE(""https://docs.google.com/spreadsheets/d/1vl4QWbWdFruual5o_wdo6ZSqXZ_it806oja4CctTLKs/edit?usp=share_link"",""พังงา!J565"")+IMPORTRANGE(""https://docs.google.com/spreadsheets/d/1"&amp;"b6QssHQp2FoAPSMKHOy273KNzAomaIKhtdlvuZ_zDNE/edit?usp=share_link"",""พัทลุง!J565"")+IMPORTRANGE(""https://docs.google.com/spreadsheets/d/1o7UZe4_OqlqtLDHrj01Z2YFRSZDf1DMy1n3XViHaxRc/edit?usp=share_link"",""ภูเก็ต!J565"")+IMPORTRANGE(""https://docs.google.c"&amp;"om/spreadsheets/d/1ctPm1vUzcUCPuOj9-eoHUD85PqINFqUB0TjdSWmR5-c/edit?usp=share_link"",""ยะลา!J565"")+IMPORTRANGE(""https://docs.google.com/spreadsheets/d/1YiDIE7Klmt8osgdapRqYWNr7iPGFSsiJqq46S7PYRE0/edit?usp=share_link"",""ระนอง!J565"")+IMPORTRANGE(""https"&amp;"://docs.google.com/spreadsheets/d/16o_4B-V7AWw_6E93bSpXj_XxVv1oVQctk-B6z1dNEWU/edit?usp=share_link"",""สงขลา!J565"")+IMPORTRANGE(""https://docs.google.com/spreadsheets/d/16cywr71Fj4fA5OGRHsZh30ZG2gwJhMAQv69oVBzYHv0/edit?usp=share_link"",""สตูล!J565"")+IMP"&amp;"ORTRANGE(""https://docs.google.com/spreadsheets/d/1vO9Sws6kMtrVtyvrAJptINXjK8TFBoX9xLYOVK_C8bQ/edit?usp=share_link"",""สุราษฎร์ธานี!J565"")"),3701)</f>
        <v>3701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20.25" customHeight="1">
      <c r="A566" s="607"/>
      <c r="B566" s="608"/>
      <c r="C566" s="608"/>
      <c r="D566" s="187" t="s">
        <v>239</v>
      </c>
      <c r="E566" s="618"/>
      <c r="F566" s="618"/>
      <c r="G566" s="175"/>
      <c r="H566" s="182" t="s">
        <v>46</v>
      </c>
      <c r="I566" s="162"/>
      <c r="J566" s="183">
        <f ca="1">IFERROR(__xludf.DUMMYFUNCTION("IMPORTRANGE(""https://docs.google.com/spreadsheets/d/1kC41EOXpGBFOW658Fs3oD8beYlym0-zO54WY-2Qnp9I/edit?usp=share_link"",""กระบี่!J566"")
+IMPORTRANGE(""https://docs.google.com/spreadsheets/d/1FbzMZY_f3MDiEuK7RpCQKrilJ_kpX0Wm7QBZ1L7EjIU/edit?usp=share_link"&amp;""",""ชุมพร!J566"")+IMPORTRANGE(""https://docs.google.com/spreadsheets/d/1v5sN-00LrXuhBxw4dkh2GrG_z4l5oAqOdJRBCsUyMaM/edit?usp=share_link"",""ตรัง!J566"")+IMPORTRANGE(""https://docs.google.com/spreadsheets/d/1T5rRTzFc79aSIvqnzkZNvwPstq829QYz_xALlO1Z0s8/edi"&amp;"t?usp=share_link"",""นครศรีธรรมราช!J566"")+IMPORTRANGE(""https://docs.google.com/spreadsheets/d/1BeghqumK0IvCmRd2QOy6_afsZq7ZtAGrSnVJy2u7WmY/edit?usp=share_link"",""นราธิวาส!J566"")+IMPORTRANGE(""https://docs.google.com/spreadsheets/d/1IwnW3-jjRf74MCLW-6P"&amp;"iFwMUffRQXZwZA7YM609NmRc/edit?usp=share_link"",""ปัตตานี!J566"")+IMPORTRANGE(""https://docs.google.com/spreadsheets/d/1vl4QWbWdFruual5o_wdo6ZSqXZ_it806oja4CctTLKs/edit?usp=share_link"",""พังงา!J566"")+IMPORTRANGE(""https://docs.google.com/spreadsheets/d/1"&amp;"b6QssHQp2FoAPSMKHOy273KNzAomaIKhtdlvuZ_zDNE/edit?usp=share_link"",""พัทลุง!J566"")+IMPORTRANGE(""https://docs.google.com/spreadsheets/d/1o7UZe4_OqlqtLDHrj01Z2YFRSZDf1DMy1n3XViHaxRc/edit?usp=share_link"",""ภูเก็ต!J566"")+IMPORTRANGE(""https://docs.google.c"&amp;"om/spreadsheets/d/1ctPm1vUzcUCPuOj9-eoHUD85PqINFqUB0TjdSWmR5-c/edit?usp=share_link"",""ยะลา!J566"")+IMPORTRANGE(""https://docs.google.com/spreadsheets/d/1YiDIE7Klmt8osgdapRqYWNr7iPGFSsiJqq46S7PYRE0/edit?usp=share_link"",""ระนอง!J566"")+IMPORTRANGE(""https"&amp;"://docs.google.com/spreadsheets/d/16o_4B-V7AWw_6E93bSpXj_XxVv1oVQctk-B6z1dNEWU/edit?usp=share_link"",""สงขลา!J566"")+IMPORTRANGE(""https://docs.google.com/spreadsheets/d/16cywr71Fj4fA5OGRHsZh30ZG2gwJhMAQv69oVBzYHv0/edit?usp=share_link"",""สตูล!J566"")+IMP"&amp;"ORTRANGE(""https://docs.google.com/spreadsheets/d/1vO9Sws6kMtrVtyvrAJptINXjK8TFBoX9xLYOVK_C8bQ/edit?usp=share_link"",""สุราษฎร์ธานี!J566"")"),7889.9675)</f>
        <v>7889.9674999999997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20.25" customHeight="1">
      <c r="A567" s="607"/>
      <c r="B567" s="608"/>
      <c r="C567" s="608"/>
      <c r="D567" s="618"/>
      <c r="E567" s="618"/>
      <c r="F567" s="618"/>
      <c r="G567" s="175"/>
      <c r="H567" s="182" t="s">
        <v>34</v>
      </c>
      <c r="I567" s="162"/>
      <c r="J567" s="183">
        <f ca="1">IFERROR(__xludf.DUMMYFUNCTION("IMPORTRANGE(""https://docs.google.com/spreadsheets/d/1kC41EOXpGBFOW658Fs3oD8beYlym0-zO54WY-2Qnp9I/edit?usp=share_link"",""กระบี่!J567"")
+IMPORTRANGE(""https://docs.google.com/spreadsheets/d/1FbzMZY_f3MDiEuK7RpCQKrilJ_kpX0Wm7QBZ1L7EjIU/edit?usp=share_link"&amp;""",""ชุมพร!J567"")+IMPORTRANGE(""https://docs.google.com/spreadsheets/d/1v5sN-00LrXuhBxw4dkh2GrG_z4l5oAqOdJRBCsUyMaM/edit?usp=share_link"",""ตรัง!J567"")+IMPORTRANGE(""https://docs.google.com/spreadsheets/d/1T5rRTzFc79aSIvqnzkZNvwPstq829QYz_xALlO1Z0s8/edi"&amp;"t?usp=share_link"",""นครศรีธรรมราช!J567"")+IMPORTRANGE(""https://docs.google.com/spreadsheets/d/1BeghqumK0IvCmRd2QOy6_afsZq7ZtAGrSnVJy2u7WmY/edit?usp=share_link"",""นราธิวาส!J567"")+IMPORTRANGE(""https://docs.google.com/spreadsheets/d/1IwnW3-jjRf74MCLW-6P"&amp;"iFwMUffRQXZwZA7YM609NmRc/edit?usp=share_link"",""ปัตตานี!J567"")+IMPORTRANGE(""https://docs.google.com/spreadsheets/d/1vl4QWbWdFruual5o_wdo6ZSqXZ_it806oja4CctTLKs/edit?usp=share_link"",""พังงา!J567"")+IMPORTRANGE(""https://docs.google.com/spreadsheets/d/1"&amp;"b6QssHQp2FoAPSMKHOy273KNzAomaIKhtdlvuZ_zDNE/edit?usp=share_link"",""พัทลุง!J567"")+IMPORTRANGE(""https://docs.google.com/spreadsheets/d/1o7UZe4_OqlqtLDHrj01Z2YFRSZDf1DMy1n3XViHaxRc/edit?usp=share_link"",""ภูเก็ต!J567"")+IMPORTRANGE(""https://docs.google.c"&amp;"om/spreadsheets/d/1ctPm1vUzcUCPuOj9-eoHUD85PqINFqUB0TjdSWmR5-c/edit?usp=share_link"",""ยะลา!J567"")+IMPORTRANGE(""https://docs.google.com/spreadsheets/d/1YiDIE7Klmt8osgdapRqYWNr7iPGFSsiJqq46S7PYRE0/edit?usp=share_link"",""ระนอง!J567"")+IMPORTRANGE(""https"&amp;"://docs.google.com/spreadsheets/d/16o_4B-V7AWw_6E93bSpXj_XxVv1oVQctk-B6z1dNEWU/edit?usp=share_link"",""สงขลา!J567"")+IMPORTRANGE(""https://docs.google.com/spreadsheets/d/16cywr71Fj4fA5OGRHsZh30ZG2gwJhMAQv69oVBzYHv0/edit?usp=share_link"",""สตูล!J567"")+IMP"&amp;"ORTRANGE(""https://docs.google.com/spreadsheets/d/1vO9Sws6kMtrVtyvrAJptINXjK8TFBoX9xLYOVK_C8bQ/edit?usp=share_link"",""สุราษฎร์ธานี!J567"")"),947)</f>
        <v>947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20.25" customHeight="1">
      <c r="A568" s="607"/>
      <c r="B568" s="608"/>
      <c r="C568" s="621" t="s">
        <v>240</v>
      </c>
      <c r="D568" s="618"/>
      <c r="E568" s="618"/>
      <c r="F568" s="618"/>
      <c r="G568" s="175"/>
      <c r="H568" s="192" t="s">
        <v>46</v>
      </c>
      <c r="I568" s="193">
        <f ca="1">IFERROR(__xludf.DUMMYFUNCTION("IMPORTRANGE(""https://docs.google.com/spreadsheets/d/1kC41EOXpGBFOW658Fs3oD8beYlym0-zO54WY-2Qnp9I/edit?usp=share_link"",""กระบี่!I568"")
+IMPORTRANGE(""https://docs.google.com/spreadsheets/d/1FbzMZY_f3MDiEuK7RpCQKrilJ_kpX0Wm7QBZ1L7EjIU/edit?usp=share_link"&amp;""",""ชุมพร!I568"")+IMPORTRANGE(""https://docs.google.com/spreadsheets/d/1v5sN-00LrXuhBxw4dkh2GrG_z4l5oAqOdJRBCsUyMaM/edit?usp=share_link"",""ตรัง!I568"")+IMPORTRANGE(""https://docs.google.com/spreadsheets/d/1T5rRTzFc79aSIvqnzkZNvwPstq829QYz_xALlO1Z0s8/edi"&amp;"t?usp=share_link"",""นครศรีธรรมราช!I568"")+IMPORTRANGE(""https://docs.google.com/spreadsheets/d/1BeghqumK0IvCmRd2QOy6_afsZq7ZtAGrSnVJy2u7WmY/edit?usp=share_link"",""นราธิวาส!I568"")+IMPORTRANGE(""https://docs.google.com/spreadsheets/d/1IwnW3-jjRf74MCLW-6P"&amp;"iFwMUffRQXZwZA7YM609NmRc/edit?usp=share_link"",""ปัตตานี!I568"")+IMPORTRANGE(""https://docs.google.com/spreadsheets/d/1vl4QWbWdFruual5o_wdo6ZSqXZ_it806oja4CctTLKs/edit?usp=share_link"",""พังงา!I568"")+IMPORTRANGE(""https://docs.google.com/spreadsheets/d/1"&amp;"b6QssHQp2FoAPSMKHOy273KNzAomaIKhtdlvuZ_zDNE/edit?usp=share_link"",""พัทลุง!I568"")+IMPORTRANGE(""https://docs.google.com/spreadsheets/d/1o7UZe4_OqlqtLDHrj01Z2YFRSZDf1DMy1n3XViHaxRc/edit?usp=share_link"",""ภูเก็ต!I568"")+IMPORTRANGE(""https://docs.google.c"&amp;"om/spreadsheets/d/1ctPm1vUzcUCPuOj9-eoHUD85PqINFqUB0TjdSWmR5-c/edit?usp=share_link"",""ยะลา!I568"")+IMPORTRANGE(""https://docs.google.com/spreadsheets/d/1YiDIE7Klmt8osgdapRqYWNr7iPGFSsiJqq46S7PYRE0/edit?usp=share_link"",""ระนอง!I568"")+IMPORTRANGE(""https"&amp;"://docs.google.com/spreadsheets/d/16o_4B-V7AWw_6E93bSpXj_XxVv1oVQctk-B6z1dNEWU/edit?usp=share_link"",""สงขลา!I568"")+IMPORTRANGE(""https://docs.google.com/spreadsheets/d/16cywr71Fj4fA5OGRHsZh30ZG2gwJhMAQv69oVBzYHv0/edit?usp=share_link"",""สตูล!I568"")+IMP"&amp;"ORTRANGE(""https://docs.google.com/spreadsheets/d/1vO9Sws6kMtrVtyvrAJptINXjK8TFBoX9xLYOVK_C8bQ/edit?usp=share_link"",""สุราษฎร์ธานี!I568"")"),380540)</f>
        <v>380540</v>
      </c>
      <c r="J568" s="194">
        <f t="shared" ref="J568:J569" ca="1" si="284">J570+J572+J574</f>
        <v>352704.71500000003</v>
      </c>
      <c r="K568" s="412">
        <f t="shared" ref="K568:K569" ca="1" si="285">IF(I568&gt;0,J568*100/I568,0)</f>
        <v>92.685319545908442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20.25" customHeight="1">
      <c r="A569" s="607"/>
      <c r="B569" s="608"/>
      <c r="C569" s="608"/>
      <c r="D569" s="608"/>
      <c r="E569" s="618"/>
      <c r="F569" s="618"/>
      <c r="G569" s="175"/>
      <c r="H569" s="192" t="s">
        <v>34</v>
      </c>
      <c r="I569" s="193">
        <f ca="1">IFERROR(__xludf.DUMMYFUNCTION("IMPORTRANGE(""https://docs.google.com/spreadsheets/d/1kC41EOXpGBFOW658Fs3oD8beYlym0-zO54WY-2Qnp9I/edit?usp=share_link"",""กระบี่!I569"")
+IMPORTRANGE(""https://docs.google.com/spreadsheets/d/1FbzMZY_f3MDiEuK7RpCQKrilJ_kpX0Wm7QBZ1L7EjIU/edit?usp=share_link"&amp;""",""ชุมพร!I569"")+IMPORTRANGE(""https://docs.google.com/spreadsheets/d/1v5sN-00LrXuhBxw4dkh2GrG_z4l5oAqOdJRBCsUyMaM/edit?usp=share_link"",""ตรัง!I569"")+IMPORTRANGE(""https://docs.google.com/spreadsheets/d/1T5rRTzFc79aSIvqnzkZNvwPstq829QYz_xALlO1Z0s8/edi"&amp;"t?usp=share_link"",""นครศรีธรรมราช!I569"")+IMPORTRANGE(""https://docs.google.com/spreadsheets/d/1BeghqumK0IvCmRd2QOy6_afsZq7ZtAGrSnVJy2u7WmY/edit?usp=share_link"",""นราธิวาส!I569"")+IMPORTRANGE(""https://docs.google.com/spreadsheets/d/1IwnW3-jjRf74MCLW-6P"&amp;"iFwMUffRQXZwZA7YM609NmRc/edit?usp=share_link"",""ปัตตานี!I569"")+IMPORTRANGE(""https://docs.google.com/spreadsheets/d/1vl4QWbWdFruual5o_wdo6ZSqXZ_it806oja4CctTLKs/edit?usp=share_link"",""พังงา!I569"")+IMPORTRANGE(""https://docs.google.com/spreadsheets/d/1"&amp;"b6QssHQp2FoAPSMKHOy273KNzAomaIKhtdlvuZ_zDNE/edit?usp=share_link"",""พัทลุง!I569"")+IMPORTRANGE(""https://docs.google.com/spreadsheets/d/1o7UZe4_OqlqtLDHrj01Z2YFRSZDf1DMy1n3XViHaxRc/edit?usp=share_link"",""ภูเก็ต!I569"")+IMPORTRANGE(""https://docs.google.c"&amp;"om/spreadsheets/d/1ctPm1vUzcUCPuOj9-eoHUD85PqINFqUB0TjdSWmR5-c/edit?usp=share_link"",""ยะลา!I569"")+IMPORTRANGE(""https://docs.google.com/spreadsheets/d/1YiDIE7Klmt8osgdapRqYWNr7iPGFSsiJqq46S7PYRE0/edit?usp=share_link"",""ระนอง!I569"")+IMPORTRANGE(""https"&amp;"://docs.google.com/spreadsheets/d/16o_4B-V7AWw_6E93bSpXj_XxVv1oVQctk-B6z1dNEWU/edit?usp=share_link"",""สงขลา!I569"")+IMPORTRANGE(""https://docs.google.com/spreadsheets/d/16cywr71Fj4fA5OGRHsZh30ZG2gwJhMAQv69oVBzYHv0/edit?usp=share_link"",""สตูล!I569"")+IMP"&amp;"ORTRANGE(""https://docs.google.com/spreadsheets/d/1vO9Sws6kMtrVtyvrAJptINXjK8TFBoX9xLYOVK_C8bQ/edit?usp=share_link"",""สุราษฎร์ธานี!I569"")"),42774)</f>
        <v>42774</v>
      </c>
      <c r="J569" s="194">
        <f t="shared" ca="1" si="284"/>
        <v>38027</v>
      </c>
      <c r="K569" s="412">
        <f t="shared" ca="1" si="285"/>
        <v>88.902136812082105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20.25" customHeight="1">
      <c r="A570" s="607"/>
      <c r="B570" s="608"/>
      <c r="C570" s="608"/>
      <c r="D570" s="187" t="s">
        <v>241</v>
      </c>
      <c r="E570" s="608"/>
      <c r="F570" s="618"/>
      <c r="G570" s="175"/>
      <c r="H570" s="182" t="s">
        <v>46</v>
      </c>
      <c r="I570" s="162"/>
      <c r="J570" s="183">
        <f ca="1">IFERROR(__xludf.DUMMYFUNCTION("IMPORTRANGE(""https://docs.google.com/spreadsheets/d/1kC41EOXpGBFOW658Fs3oD8beYlym0-zO54WY-2Qnp9I/edit?usp=share_link"",""กระบี่!J570"")
+IMPORTRANGE(""https://docs.google.com/spreadsheets/d/1FbzMZY_f3MDiEuK7RpCQKrilJ_kpX0Wm7QBZ1L7EjIU/edit?usp=share_link"&amp;""",""ชุมพร!J570"")+IMPORTRANGE(""https://docs.google.com/spreadsheets/d/1v5sN-00LrXuhBxw4dkh2GrG_z4l5oAqOdJRBCsUyMaM/edit?usp=share_link"",""ตรัง!J570"")+IMPORTRANGE(""https://docs.google.com/spreadsheets/d/1T5rRTzFc79aSIvqnzkZNvwPstq829QYz_xALlO1Z0s8/edi"&amp;"t?usp=share_link"",""นครศรีธรรมราช!J570"")+IMPORTRANGE(""https://docs.google.com/spreadsheets/d/1BeghqumK0IvCmRd2QOy6_afsZq7ZtAGrSnVJy2u7WmY/edit?usp=share_link"",""นราธิวาส!J570"")+IMPORTRANGE(""https://docs.google.com/spreadsheets/d/1IwnW3-jjRf74MCLW-6P"&amp;"iFwMUffRQXZwZA7YM609NmRc/edit?usp=share_link"",""ปัตตานี!J570"")+IMPORTRANGE(""https://docs.google.com/spreadsheets/d/1vl4QWbWdFruual5o_wdo6ZSqXZ_it806oja4CctTLKs/edit?usp=share_link"",""พังงา!J570"")+IMPORTRANGE(""https://docs.google.com/spreadsheets/d/1"&amp;"b6QssHQp2FoAPSMKHOy273KNzAomaIKhtdlvuZ_zDNE/edit?usp=share_link"",""พัทลุง!J570"")+IMPORTRANGE(""https://docs.google.com/spreadsheets/d/1o7UZe4_OqlqtLDHrj01Z2YFRSZDf1DMy1n3XViHaxRc/edit?usp=share_link"",""ภูเก็ต!J570"")+IMPORTRANGE(""https://docs.google.c"&amp;"om/spreadsheets/d/1ctPm1vUzcUCPuOj9-eoHUD85PqINFqUB0TjdSWmR5-c/edit?usp=share_link"",""ยะลา!J570"")+IMPORTRANGE(""https://docs.google.com/spreadsheets/d/1YiDIE7Klmt8osgdapRqYWNr7iPGFSsiJqq46S7PYRE0/edit?usp=share_link"",""ระนอง!J570"")+IMPORTRANGE(""https"&amp;"://docs.google.com/spreadsheets/d/16o_4B-V7AWw_6E93bSpXj_XxVv1oVQctk-B6z1dNEWU/edit?usp=share_link"",""สงขลา!J570"")+IMPORTRANGE(""https://docs.google.com/spreadsheets/d/16cywr71Fj4fA5OGRHsZh30ZG2gwJhMAQv69oVBzYHv0/edit?usp=share_link"",""สตูล!J570"")+IMP"&amp;"ORTRANGE(""https://docs.google.com/spreadsheets/d/1vO9Sws6kMtrVtyvrAJptINXjK8TFBoX9xLYOVK_C8bQ/edit?usp=share_link"",""สุราษฎร์ธานี!J570"")"),322990.815)</f>
        <v>322990.815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20.25" customHeight="1">
      <c r="A571" s="607"/>
      <c r="B571" s="608"/>
      <c r="C571" s="608"/>
      <c r="D571" s="608"/>
      <c r="E571" s="618"/>
      <c r="F571" s="618"/>
      <c r="G571" s="175"/>
      <c r="H571" s="182" t="s">
        <v>34</v>
      </c>
      <c r="I571" s="162"/>
      <c r="J571" s="183">
        <f ca="1">IFERROR(__xludf.DUMMYFUNCTION("IMPORTRANGE(""https://docs.google.com/spreadsheets/d/1kC41EOXpGBFOW658Fs3oD8beYlym0-zO54WY-2Qnp9I/edit?usp=share_link"",""กระบี่!J571"")
+IMPORTRANGE(""https://docs.google.com/spreadsheets/d/1FbzMZY_f3MDiEuK7RpCQKrilJ_kpX0Wm7QBZ1L7EjIU/edit?usp=share_link"&amp;""",""ชุมพร!J571"")+IMPORTRANGE(""https://docs.google.com/spreadsheets/d/1v5sN-00LrXuhBxw4dkh2GrG_z4l5oAqOdJRBCsUyMaM/edit?usp=share_link"",""ตรัง!J571"")+IMPORTRANGE(""https://docs.google.com/spreadsheets/d/1T5rRTzFc79aSIvqnzkZNvwPstq829QYz_xALlO1Z0s8/edi"&amp;"t?usp=share_link"",""นครศรีธรรมราช!J571"")+IMPORTRANGE(""https://docs.google.com/spreadsheets/d/1BeghqumK0IvCmRd2QOy6_afsZq7ZtAGrSnVJy2u7WmY/edit?usp=share_link"",""นราธิวาส!J571"")+IMPORTRANGE(""https://docs.google.com/spreadsheets/d/1IwnW3-jjRf74MCLW-6P"&amp;"iFwMUffRQXZwZA7YM609NmRc/edit?usp=share_link"",""ปัตตานี!J571"")+IMPORTRANGE(""https://docs.google.com/spreadsheets/d/1vl4QWbWdFruual5o_wdo6ZSqXZ_it806oja4CctTLKs/edit?usp=share_link"",""พังงา!J571"")+IMPORTRANGE(""https://docs.google.com/spreadsheets/d/1"&amp;"b6QssHQp2FoAPSMKHOy273KNzAomaIKhtdlvuZ_zDNE/edit?usp=share_link"",""พัทลุง!J571"")+IMPORTRANGE(""https://docs.google.com/spreadsheets/d/1o7UZe4_OqlqtLDHrj01Z2YFRSZDf1DMy1n3XViHaxRc/edit?usp=share_link"",""ภูเก็ต!J571"")+IMPORTRANGE(""https://docs.google.c"&amp;"om/spreadsheets/d/1ctPm1vUzcUCPuOj9-eoHUD85PqINFqUB0TjdSWmR5-c/edit?usp=share_link"",""ยะลา!J571"")+IMPORTRANGE(""https://docs.google.com/spreadsheets/d/1YiDIE7Klmt8osgdapRqYWNr7iPGFSsiJqq46S7PYRE0/edit?usp=share_link"",""ระนอง!J571"")+IMPORTRANGE(""https"&amp;"://docs.google.com/spreadsheets/d/16o_4B-V7AWw_6E93bSpXj_XxVv1oVQctk-B6z1dNEWU/edit?usp=share_link"",""สงขลา!J571"")+IMPORTRANGE(""https://docs.google.com/spreadsheets/d/16cywr71Fj4fA5OGRHsZh30ZG2gwJhMAQv69oVBzYHv0/edit?usp=share_link"",""สตูล!J571"")+IMP"&amp;"ORTRANGE(""https://docs.google.com/spreadsheets/d/1vO9Sws6kMtrVtyvrAJptINXjK8TFBoX9xLYOVK_C8bQ/edit?usp=share_link"",""สุราษฎร์ธานี!J571"")"),34930)</f>
        <v>34930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20.25" customHeight="1">
      <c r="A572" s="607"/>
      <c r="B572" s="608"/>
      <c r="C572" s="608"/>
      <c r="D572" s="187" t="s">
        <v>242</v>
      </c>
      <c r="E572" s="618"/>
      <c r="F572" s="618"/>
      <c r="G572" s="175"/>
      <c r="H572" s="182" t="s">
        <v>46</v>
      </c>
      <c r="I572" s="162"/>
      <c r="J572" s="183">
        <f ca="1">IFERROR(__xludf.DUMMYFUNCTION("IMPORTRANGE(""https://docs.google.com/spreadsheets/d/1kC41EOXpGBFOW658Fs3oD8beYlym0-zO54WY-2Qnp9I/edit?usp=share_link"",""กระบี่!J572"")
+IMPORTRANGE(""https://docs.google.com/spreadsheets/d/1FbzMZY_f3MDiEuK7RpCQKrilJ_kpX0Wm7QBZ1L7EjIU/edit?usp=share_link"&amp;""",""ชุมพร!J572"")+IMPORTRANGE(""https://docs.google.com/spreadsheets/d/1v5sN-00LrXuhBxw4dkh2GrG_z4l5oAqOdJRBCsUyMaM/edit?usp=share_link"",""ตรัง!J572"")+IMPORTRANGE(""https://docs.google.com/spreadsheets/d/1T5rRTzFc79aSIvqnzkZNvwPstq829QYz_xALlO1Z0s8/edi"&amp;"t?usp=share_link"",""นครศรีธรรมราช!J572"")+IMPORTRANGE(""https://docs.google.com/spreadsheets/d/1BeghqumK0IvCmRd2QOy6_afsZq7ZtAGrSnVJy2u7WmY/edit?usp=share_link"",""นราธิวาส!J572"")+IMPORTRANGE(""https://docs.google.com/spreadsheets/d/1IwnW3-jjRf74MCLW-6P"&amp;"iFwMUffRQXZwZA7YM609NmRc/edit?usp=share_link"",""ปัตตานี!J572"")+IMPORTRANGE(""https://docs.google.com/spreadsheets/d/1vl4QWbWdFruual5o_wdo6ZSqXZ_it806oja4CctTLKs/edit?usp=share_link"",""พังงา!J572"")+IMPORTRANGE(""https://docs.google.com/spreadsheets/d/1"&amp;"b6QssHQp2FoAPSMKHOy273KNzAomaIKhtdlvuZ_zDNE/edit?usp=share_link"",""พัทลุง!J572"")+IMPORTRANGE(""https://docs.google.com/spreadsheets/d/1o7UZe4_OqlqtLDHrj01Z2YFRSZDf1DMy1n3XViHaxRc/edit?usp=share_link"",""ภูเก็ต!J572"")+IMPORTRANGE(""https://docs.google.c"&amp;"om/spreadsheets/d/1ctPm1vUzcUCPuOj9-eoHUD85PqINFqUB0TjdSWmR5-c/edit?usp=share_link"",""ยะลา!J572"")+IMPORTRANGE(""https://docs.google.com/spreadsheets/d/1YiDIE7Klmt8osgdapRqYWNr7iPGFSsiJqq46S7PYRE0/edit?usp=share_link"",""ระนอง!J572"")+IMPORTRANGE(""https"&amp;"://docs.google.com/spreadsheets/d/16o_4B-V7AWw_6E93bSpXj_XxVv1oVQctk-B6z1dNEWU/edit?usp=share_link"",""สงขลา!J572"")+IMPORTRANGE(""https://docs.google.com/spreadsheets/d/16cywr71Fj4fA5OGRHsZh30ZG2gwJhMAQv69oVBzYHv0/edit?usp=share_link"",""สตูล!J572"")+IMP"&amp;"ORTRANGE(""https://docs.google.com/spreadsheets/d/1vO9Sws6kMtrVtyvrAJptINXjK8TFBoX9xLYOVK_C8bQ/edit?usp=share_link"",""สุราษฎร์ธานี!J572"")"),22478.76)</f>
        <v>22478.76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20.25" customHeight="1">
      <c r="A573" s="607"/>
      <c r="B573" s="608"/>
      <c r="C573" s="608"/>
      <c r="D573" s="618"/>
      <c r="E573" s="618"/>
      <c r="F573" s="618"/>
      <c r="G573" s="175"/>
      <c r="H573" s="182" t="s">
        <v>34</v>
      </c>
      <c r="I573" s="162"/>
      <c r="J573" s="183">
        <f ca="1">IFERROR(__xludf.DUMMYFUNCTION("IMPORTRANGE(""https://docs.google.com/spreadsheets/d/1kC41EOXpGBFOW658Fs3oD8beYlym0-zO54WY-2Qnp9I/edit?usp=share_link"",""กระบี่!J573"")
+IMPORTRANGE(""https://docs.google.com/spreadsheets/d/1FbzMZY_f3MDiEuK7RpCQKrilJ_kpX0Wm7QBZ1L7EjIU/edit?usp=share_link"&amp;""",""ชุมพร!J573"")+IMPORTRANGE(""https://docs.google.com/spreadsheets/d/1v5sN-00LrXuhBxw4dkh2GrG_z4l5oAqOdJRBCsUyMaM/edit?usp=share_link"",""ตรัง!J573"")+IMPORTRANGE(""https://docs.google.com/spreadsheets/d/1T5rRTzFc79aSIvqnzkZNvwPstq829QYz_xALlO1Z0s8/edi"&amp;"t?usp=share_link"",""นครศรีธรรมราช!J573"")+IMPORTRANGE(""https://docs.google.com/spreadsheets/d/1BeghqumK0IvCmRd2QOy6_afsZq7ZtAGrSnVJy2u7WmY/edit?usp=share_link"",""นราธิวาส!J573"")+IMPORTRANGE(""https://docs.google.com/spreadsheets/d/1IwnW3-jjRf74MCLW-6P"&amp;"iFwMUffRQXZwZA7YM609NmRc/edit?usp=share_link"",""ปัตตานี!J573"")+IMPORTRANGE(""https://docs.google.com/spreadsheets/d/1vl4QWbWdFruual5o_wdo6ZSqXZ_it806oja4CctTLKs/edit?usp=share_link"",""พังงา!J573"")+IMPORTRANGE(""https://docs.google.com/spreadsheets/d/1"&amp;"b6QssHQp2FoAPSMKHOy273KNzAomaIKhtdlvuZ_zDNE/edit?usp=share_link"",""พัทลุง!J573"")+IMPORTRANGE(""https://docs.google.com/spreadsheets/d/1o7UZe4_OqlqtLDHrj01Z2YFRSZDf1DMy1n3XViHaxRc/edit?usp=share_link"",""ภูเก็ต!J573"")+IMPORTRANGE(""https://docs.google.c"&amp;"om/spreadsheets/d/1ctPm1vUzcUCPuOj9-eoHUD85PqINFqUB0TjdSWmR5-c/edit?usp=share_link"",""ยะลา!J573"")+IMPORTRANGE(""https://docs.google.com/spreadsheets/d/1YiDIE7Klmt8osgdapRqYWNr7iPGFSsiJqq46S7PYRE0/edit?usp=share_link"",""ระนอง!J573"")+IMPORTRANGE(""https"&amp;"://docs.google.com/spreadsheets/d/16o_4B-V7AWw_6E93bSpXj_XxVv1oVQctk-B6z1dNEWU/edit?usp=share_link"",""สงขลา!J573"")+IMPORTRANGE(""https://docs.google.com/spreadsheets/d/16cywr71Fj4fA5OGRHsZh30ZG2gwJhMAQv69oVBzYHv0/edit?usp=share_link"",""สตูล!J573"")+IMP"&amp;"ORTRANGE(""https://docs.google.com/spreadsheets/d/1vO9Sws6kMtrVtyvrAJptINXjK8TFBoX9xLYOVK_C8bQ/edit?usp=share_link"",""สุราษฎร์ธานี!J573"")"),2258)</f>
        <v>2258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20.25" customHeight="1">
      <c r="A574" s="607"/>
      <c r="B574" s="608"/>
      <c r="C574" s="608"/>
      <c r="D574" s="187" t="s">
        <v>243</v>
      </c>
      <c r="E574" s="618"/>
      <c r="F574" s="618"/>
      <c r="G574" s="175"/>
      <c r="H574" s="182" t="s">
        <v>46</v>
      </c>
      <c r="I574" s="162"/>
      <c r="J574" s="183">
        <f ca="1">IFERROR(__xludf.DUMMYFUNCTION("IMPORTRANGE(""https://docs.google.com/spreadsheets/d/1kC41EOXpGBFOW658Fs3oD8beYlym0-zO54WY-2Qnp9I/edit?usp=share_link"",""กระบี่!J574"")
+IMPORTRANGE(""https://docs.google.com/spreadsheets/d/1FbzMZY_f3MDiEuK7RpCQKrilJ_kpX0Wm7QBZ1L7EjIU/edit?usp=share_link"&amp;""",""ชุมพร!J574"")+IMPORTRANGE(""https://docs.google.com/spreadsheets/d/1v5sN-00LrXuhBxw4dkh2GrG_z4l5oAqOdJRBCsUyMaM/edit?usp=share_link"",""ตรัง!J574"")+IMPORTRANGE(""https://docs.google.com/spreadsheets/d/1T5rRTzFc79aSIvqnzkZNvwPstq829QYz_xALlO1Z0s8/edi"&amp;"t?usp=share_link"",""นครศรีธรรมราช!J574"")+IMPORTRANGE(""https://docs.google.com/spreadsheets/d/1BeghqumK0IvCmRd2QOy6_afsZq7ZtAGrSnVJy2u7WmY/edit?usp=share_link"",""นราธิวาส!J574"")+IMPORTRANGE(""https://docs.google.com/spreadsheets/d/1IwnW3-jjRf74MCLW-6P"&amp;"iFwMUffRQXZwZA7YM609NmRc/edit?usp=share_link"",""ปัตตานี!J574"")+IMPORTRANGE(""https://docs.google.com/spreadsheets/d/1vl4QWbWdFruual5o_wdo6ZSqXZ_it806oja4CctTLKs/edit?usp=share_link"",""พังงา!J574"")+IMPORTRANGE(""https://docs.google.com/spreadsheets/d/1"&amp;"b6QssHQp2FoAPSMKHOy273KNzAomaIKhtdlvuZ_zDNE/edit?usp=share_link"",""พัทลุง!J574"")+IMPORTRANGE(""https://docs.google.com/spreadsheets/d/1o7UZe4_OqlqtLDHrj01Z2YFRSZDf1DMy1n3XViHaxRc/edit?usp=share_link"",""ภูเก็ต!J574"")+IMPORTRANGE(""https://docs.google.c"&amp;"om/spreadsheets/d/1ctPm1vUzcUCPuOj9-eoHUD85PqINFqUB0TjdSWmR5-c/edit?usp=share_link"",""ยะลา!J574"")+IMPORTRANGE(""https://docs.google.com/spreadsheets/d/1YiDIE7Klmt8osgdapRqYWNr7iPGFSsiJqq46S7PYRE0/edit?usp=share_link"",""ระนอง!J574"")+IMPORTRANGE(""https"&amp;"://docs.google.com/spreadsheets/d/16o_4B-V7AWw_6E93bSpXj_XxVv1oVQctk-B6z1dNEWU/edit?usp=share_link"",""สงขลา!J574"")+IMPORTRANGE(""https://docs.google.com/spreadsheets/d/16cywr71Fj4fA5OGRHsZh30ZG2gwJhMAQv69oVBzYHv0/edit?usp=share_link"",""สตูล!J574"")+IMP"&amp;"ORTRANGE(""https://docs.google.com/spreadsheets/d/1vO9Sws6kMtrVtyvrAJptINXjK8TFBoX9xLYOVK_C8bQ/edit?usp=share_link"",""สุราษฎร์ธานี!J574"")"),7235.14)</f>
        <v>7235.14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20.25" customHeight="1">
      <c r="A575" s="607"/>
      <c r="B575" s="608"/>
      <c r="C575" s="608"/>
      <c r="D575" s="608"/>
      <c r="E575" s="618"/>
      <c r="F575" s="618"/>
      <c r="G575" s="175"/>
      <c r="H575" s="182" t="s">
        <v>34</v>
      </c>
      <c r="I575" s="162"/>
      <c r="J575" s="183">
        <f ca="1">IFERROR(__xludf.DUMMYFUNCTION("IMPORTRANGE(""https://docs.google.com/spreadsheets/d/1kC41EOXpGBFOW658Fs3oD8beYlym0-zO54WY-2Qnp9I/edit?usp=share_link"",""กระบี่!J575"")
+IMPORTRANGE(""https://docs.google.com/spreadsheets/d/1FbzMZY_f3MDiEuK7RpCQKrilJ_kpX0Wm7QBZ1L7EjIU/edit?usp=share_link"&amp;""",""ชุมพร!J575"")+IMPORTRANGE(""https://docs.google.com/spreadsheets/d/1v5sN-00LrXuhBxw4dkh2GrG_z4l5oAqOdJRBCsUyMaM/edit?usp=share_link"",""ตรัง!J575"")+IMPORTRANGE(""https://docs.google.com/spreadsheets/d/1T5rRTzFc79aSIvqnzkZNvwPstq829QYz_xALlO1Z0s8/edi"&amp;"t?usp=share_link"",""นครศรีธรรมราช!J575"")+IMPORTRANGE(""https://docs.google.com/spreadsheets/d/1BeghqumK0IvCmRd2QOy6_afsZq7ZtAGrSnVJy2u7WmY/edit?usp=share_link"",""นราธิวาส!J575"")+IMPORTRANGE(""https://docs.google.com/spreadsheets/d/1IwnW3-jjRf74MCLW-6P"&amp;"iFwMUffRQXZwZA7YM609NmRc/edit?usp=share_link"",""ปัตตานี!J575"")+IMPORTRANGE(""https://docs.google.com/spreadsheets/d/1vl4QWbWdFruual5o_wdo6ZSqXZ_it806oja4CctTLKs/edit?usp=share_link"",""พังงา!J575"")+IMPORTRANGE(""https://docs.google.com/spreadsheets/d/1"&amp;"b6QssHQp2FoAPSMKHOy273KNzAomaIKhtdlvuZ_zDNE/edit?usp=share_link"",""พัทลุง!J575"")+IMPORTRANGE(""https://docs.google.com/spreadsheets/d/1o7UZe4_OqlqtLDHrj01Z2YFRSZDf1DMy1n3XViHaxRc/edit?usp=share_link"",""ภูเก็ต!J575"")+IMPORTRANGE(""https://docs.google.c"&amp;"om/spreadsheets/d/1ctPm1vUzcUCPuOj9-eoHUD85PqINFqUB0TjdSWmR5-c/edit?usp=share_link"",""ยะลา!J575"")+IMPORTRANGE(""https://docs.google.com/spreadsheets/d/1YiDIE7Klmt8osgdapRqYWNr7iPGFSsiJqq46S7PYRE0/edit?usp=share_link"",""ระนอง!J575"")+IMPORTRANGE(""https"&amp;"://docs.google.com/spreadsheets/d/16o_4B-V7AWw_6E93bSpXj_XxVv1oVQctk-B6z1dNEWU/edit?usp=share_link"",""สงขลา!J575"")+IMPORTRANGE(""https://docs.google.com/spreadsheets/d/16cywr71Fj4fA5OGRHsZh30ZG2gwJhMAQv69oVBzYHv0/edit?usp=share_link"",""สตูล!J575"")+IMP"&amp;"ORTRANGE(""https://docs.google.com/spreadsheets/d/1vO9Sws6kMtrVtyvrAJptINXjK8TFBoX9xLYOVK_C8bQ/edit?usp=share_link"",""สุราษฎร์ธานี!J575"")"),839)</f>
        <v>839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20.25" customHeight="1">
      <c r="A576" s="607"/>
      <c r="B576" s="608"/>
      <c r="C576" s="621" t="s">
        <v>244</v>
      </c>
      <c r="D576" s="608"/>
      <c r="E576" s="608"/>
      <c r="F576" s="618"/>
      <c r="G576" s="175"/>
      <c r="H576" s="192" t="s">
        <v>46</v>
      </c>
      <c r="I576" s="193">
        <f ca="1">IFERROR(__xludf.DUMMYFUNCTION("IMPORTRANGE(""https://docs.google.com/spreadsheets/d/1kC41EOXpGBFOW658Fs3oD8beYlym0-zO54WY-2Qnp9I/edit?usp=share_link"",""กระบี่!I576"")
+IMPORTRANGE(""https://docs.google.com/spreadsheets/d/1FbzMZY_f3MDiEuK7RpCQKrilJ_kpX0Wm7QBZ1L7EjIU/edit?usp=share_link"&amp;""",""ชุมพร!I576"")+IMPORTRANGE(""https://docs.google.com/spreadsheets/d/1v5sN-00LrXuhBxw4dkh2GrG_z4l5oAqOdJRBCsUyMaM/edit?usp=share_link"",""ตรัง!I576"")+IMPORTRANGE(""https://docs.google.com/spreadsheets/d/1T5rRTzFc79aSIvqnzkZNvwPstq829QYz_xALlO1Z0s8/edi"&amp;"t?usp=share_link"",""นครศรีธรรมราช!I576"")+IMPORTRANGE(""https://docs.google.com/spreadsheets/d/1BeghqumK0IvCmRd2QOy6_afsZq7ZtAGrSnVJy2u7WmY/edit?usp=share_link"",""นราธิวาส!I576"")+IMPORTRANGE(""https://docs.google.com/spreadsheets/d/1IwnW3-jjRf74MCLW-6P"&amp;"iFwMUffRQXZwZA7YM609NmRc/edit?usp=share_link"",""ปัตตานี!I576"")+IMPORTRANGE(""https://docs.google.com/spreadsheets/d/1vl4QWbWdFruual5o_wdo6ZSqXZ_it806oja4CctTLKs/edit?usp=share_link"",""พังงา!I576"")+IMPORTRANGE(""https://docs.google.com/spreadsheets/d/1"&amp;"b6QssHQp2FoAPSMKHOy273KNzAomaIKhtdlvuZ_zDNE/edit?usp=share_link"",""พัทลุง!I576"")+IMPORTRANGE(""https://docs.google.com/spreadsheets/d/1o7UZe4_OqlqtLDHrj01Z2YFRSZDf1DMy1n3XViHaxRc/edit?usp=share_link"",""ภูเก็ต!I576"")+IMPORTRANGE(""https://docs.google.c"&amp;"om/spreadsheets/d/1ctPm1vUzcUCPuOj9-eoHUD85PqINFqUB0TjdSWmR5-c/edit?usp=share_link"",""ยะลา!I576"")+IMPORTRANGE(""https://docs.google.com/spreadsheets/d/1YiDIE7Klmt8osgdapRqYWNr7iPGFSsiJqq46S7PYRE0/edit?usp=share_link"",""ระนอง!I576"")+IMPORTRANGE(""https"&amp;"://docs.google.com/spreadsheets/d/16o_4B-V7AWw_6E93bSpXj_XxVv1oVQctk-B6z1dNEWU/edit?usp=share_link"",""สงขลา!I576"")+IMPORTRANGE(""https://docs.google.com/spreadsheets/d/16cywr71Fj4fA5OGRHsZh30ZG2gwJhMAQv69oVBzYHv0/edit?usp=share_link"",""สตูล!I576"")+IMP"&amp;"ORTRANGE(""https://docs.google.com/spreadsheets/d/1vO9Sws6kMtrVtyvrAJptINXjK8TFBoX9xLYOVK_C8bQ/edit?usp=share_link"",""สุราษฎร์ธานี!I576"")"),380540)</f>
        <v>380540</v>
      </c>
      <c r="J576" s="194">
        <f t="shared" ref="J576:J577" ca="1" si="286">J578+J580+J582+J588+J590</f>
        <v>250076.71500000003</v>
      </c>
      <c r="K576" s="412">
        <f t="shared" ref="K576:K577" ca="1" si="287">IF(I576&gt;0,J576*100/I576,0)</f>
        <v>65.716275555789153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20.25" customHeight="1">
      <c r="A577" s="607"/>
      <c r="B577" s="608"/>
      <c r="C577" s="608"/>
      <c r="D577" s="608"/>
      <c r="E577" s="618"/>
      <c r="F577" s="618"/>
      <c r="G577" s="175"/>
      <c r="H577" s="192" t="s">
        <v>34</v>
      </c>
      <c r="I577" s="193">
        <f ca="1">IFERROR(__xludf.DUMMYFUNCTION("IMPORTRANGE(""https://docs.google.com/spreadsheets/d/1kC41EOXpGBFOW658Fs3oD8beYlym0-zO54WY-2Qnp9I/edit?usp=share_link"",""กระบี่!I577"")
+IMPORTRANGE(""https://docs.google.com/spreadsheets/d/1FbzMZY_f3MDiEuK7RpCQKrilJ_kpX0Wm7QBZ1L7EjIU/edit?usp=share_link"&amp;""",""ชุมพร!I577"")+IMPORTRANGE(""https://docs.google.com/spreadsheets/d/1v5sN-00LrXuhBxw4dkh2GrG_z4l5oAqOdJRBCsUyMaM/edit?usp=share_link"",""ตรัง!I577"")+IMPORTRANGE(""https://docs.google.com/spreadsheets/d/1T5rRTzFc79aSIvqnzkZNvwPstq829QYz_xALlO1Z0s8/edi"&amp;"t?usp=share_link"",""นครศรีธรรมราช!I577"")+IMPORTRANGE(""https://docs.google.com/spreadsheets/d/1BeghqumK0IvCmRd2QOy6_afsZq7ZtAGrSnVJy2u7WmY/edit?usp=share_link"",""นราธิวาส!I577"")+IMPORTRANGE(""https://docs.google.com/spreadsheets/d/1IwnW3-jjRf74MCLW-6P"&amp;"iFwMUffRQXZwZA7YM609NmRc/edit?usp=share_link"",""ปัตตานี!I577"")+IMPORTRANGE(""https://docs.google.com/spreadsheets/d/1vl4QWbWdFruual5o_wdo6ZSqXZ_it806oja4CctTLKs/edit?usp=share_link"",""พังงา!I577"")+IMPORTRANGE(""https://docs.google.com/spreadsheets/d/1"&amp;"b6QssHQp2FoAPSMKHOy273KNzAomaIKhtdlvuZ_zDNE/edit?usp=share_link"",""พัทลุง!I577"")+IMPORTRANGE(""https://docs.google.com/spreadsheets/d/1o7UZe4_OqlqtLDHrj01Z2YFRSZDf1DMy1n3XViHaxRc/edit?usp=share_link"",""ภูเก็ต!I577"")+IMPORTRANGE(""https://docs.google.c"&amp;"om/spreadsheets/d/1ctPm1vUzcUCPuOj9-eoHUD85PqINFqUB0TjdSWmR5-c/edit?usp=share_link"",""ยะลา!I577"")+IMPORTRANGE(""https://docs.google.com/spreadsheets/d/1YiDIE7Klmt8osgdapRqYWNr7iPGFSsiJqq46S7PYRE0/edit?usp=share_link"",""ระนอง!I577"")+IMPORTRANGE(""https"&amp;"://docs.google.com/spreadsheets/d/16o_4B-V7AWw_6E93bSpXj_XxVv1oVQctk-B6z1dNEWU/edit?usp=share_link"",""สงขลา!I577"")+IMPORTRANGE(""https://docs.google.com/spreadsheets/d/16cywr71Fj4fA5OGRHsZh30ZG2gwJhMAQv69oVBzYHv0/edit?usp=share_link"",""สตูล!I577"")+IMP"&amp;"ORTRANGE(""https://docs.google.com/spreadsheets/d/1vO9Sws6kMtrVtyvrAJptINXjK8TFBoX9xLYOVK_C8bQ/edit?usp=share_link"",""สุราษฎร์ธานี!I577"")"),42774)</f>
        <v>42774</v>
      </c>
      <c r="J577" s="194">
        <f t="shared" ca="1" si="286"/>
        <v>25076</v>
      </c>
      <c r="K577" s="412">
        <f t="shared" ca="1" si="287"/>
        <v>58.62439799878431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20.25" customHeight="1">
      <c r="A578" s="607"/>
      <c r="B578" s="608"/>
      <c r="C578" s="608"/>
      <c r="D578" s="187" t="s">
        <v>245</v>
      </c>
      <c r="E578" s="618"/>
      <c r="F578" s="618"/>
      <c r="G578" s="175"/>
      <c r="H578" s="182" t="s">
        <v>46</v>
      </c>
      <c r="I578" s="162"/>
      <c r="J578" s="183">
        <f ca="1">IFERROR(__xludf.DUMMYFUNCTION("IMPORTRANGE(""https://docs.google.com/spreadsheets/d/1kC41EOXpGBFOW658Fs3oD8beYlym0-zO54WY-2Qnp9I/edit?usp=share_link"",""กระบี่!J578"")
+IMPORTRANGE(""https://docs.google.com/spreadsheets/d/1FbzMZY_f3MDiEuK7RpCQKrilJ_kpX0Wm7QBZ1L7EjIU/edit?usp=share_link"&amp;""",""ชุมพร!J578"")+IMPORTRANGE(""https://docs.google.com/spreadsheets/d/1v5sN-00LrXuhBxw4dkh2GrG_z4l5oAqOdJRBCsUyMaM/edit?usp=share_link"",""ตรัง!J578"")+IMPORTRANGE(""https://docs.google.com/spreadsheets/d/1T5rRTzFc79aSIvqnzkZNvwPstq829QYz_xALlO1Z0s8/edi"&amp;"t?usp=share_link"",""นครศรีธรรมราช!J578"")+IMPORTRANGE(""https://docs.google.com/spreadsheets/d/1BeghqumK0IvCmRd2QOy6_afsZq7ZtAGrSnVJy2u7WmY/edit?usp=share_link"",""นราธิวาส!J578"")+IMPORTRANGE(""https://docs.google.com/spreadsheets/d/1IwnW3-jjRf74MCLW-6P"&amp;"iFwMUffRQXZwZA7YM609NmRc/edit?usp=share_link"",""ปัตตานี!J578"")+IMPORTRANGE(""https://docs.google.com/spreadsheets/d/1vl4QWbWdFruual5o_wdo6ZSqXZ_it806oja4CctTLKs/edit?usp=share_link"",""พังงา!J578"")+IMPORTRANGE(""https://docs.google.com/spreadsheets/d/1"&amp;"b6QssHQp2FoAPSMKHOy273KNzAomaIKhtdlvuZ_zDNE/edit?usp=share_link"",""พัทลุง!J578"")+IMPORTRANGE(""https://docs.google.com/spreadsheets/d/1o7UZe4_OqlqtLDHrj01Z2YFRSZDf1DMy1n3XViHaxRc/edit?usp=share_link"",""ภูเก็ต!J578"")+IMPORTRANGE(""https://docs.google.c"&amp;"om/spreadsheets/d/1ctPm1vUzcUCPuOj9-eoHUD85PqINFqUB0TjdSWmR5-c/edit?usp=share_link"",""ยะลา!J578"")+IMPORTRANGE(""https://docs.google.com/spreadsheets/d/1YiDIE7Klmt8osgdapRqYWNr7iPGFSsiJqq46S7PYRE0/edit?usp=share_link"",""ระนอง!J578"")+IMPORTRANGE(""https"&amp;"://docs.google.com/spreadsheets/d/16o_4B-V7AWw_6E93bSpXj_XxVv1oVQctk-B6z1dNEWU/edit?usp=share_link"",""สงขลา!J578"")+IMPORTRANGE(""https://docs.google.com/spreadsheets/d/16cywr71Fj4fA5OGRHsZh30ZG2gwJhMAQv69oVBzYHv0/edit?usp=share_link"",""สตูล!J578"")+IMP"&amp;"ORTRANGE(""https://docs.google.com/spreadsheets/d/1vO9Sws6kMtrVtyvrAJptINXjK8TFBoX9xLYOVK_C8bQ/edit?usp=share_link"",""สุราษฎร์ธานี!J578"")"),230070.815)</f>
        <v>230070.815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20.25" customHeight="1">
      <c r="A579" s="607"/>
      <c r="B579" s="608"/>
      <c r="C579" s="608"/>
      <c r="D579" s="608"/>
      <c r="E579" s="618"/>
      <c r="F579" s="618"/>
      <c r="G579" s="175"/>
      <c r="H579" s="182" t="s">
        <v>34</v>
      </c>
      <c r="I579" s="162"/>
      <c r="J579" s="183">
        <f ca="1">IFERROR(__xludf.DUMMYFUNCTION("IMPORTRANGE(""https://docs.google.com/spreadsheets/d/1kC41EOXpGBFOW658Fs3oD8beYlym0-zO54WY-2Qnp9I/edit?usp=share_link"",""กระบี่!J579"")
+IMPORTRANGE(""https://docs.google.com/spreadsheets/d/1FbzMZY_f3MDiEuK7RpCQKrilJ_kpX0Wm7QBZ1L7EjIU/edit?usp=share_link"&amp;""",""ชุมพร!J579"")+IMPORTRANGE(""https://docs.google.com/spreadsheets/d/1v5sN-00LrXuhBxw4dkh2GrG_z4l5oAqOdJRBCsUyMaM/edit?usp=share_link"",""ตรัง!J579"")+IMPORTRANGE(""https://docs.google.com/spreadsheets/d/1T5rRTzFc79aSIvqnzkZNvwPstq829QYz_xALlO1Z0s8/edi"&amp;"t?usp=share_link"",""นครศรีธรรมราช!J579"")+IMPORTRANGE(""https://docs.google.com/spreadsheets/d/1BeghqumK0IvCmRd2QOy6_afsZq7ZtAGrSnVJy2u7WmY/edit?usp=share_link"",""นราธิวาส!J579"")+IMPORTRANGE(""https://docs.google.com/spreadsheets/d/1IwnW3-jjRf74MCLW-6P"&amp;"iFwMUffRQXZwZA7YM609NmRc/edit?usp=share_link"",""ปัตตานี!J579"")+IMPORTRANGE(""https://docs.google.com/spreadsheets/d/1vl4QWbWdFruual5o_wdo6ZSqXZ_it806oja4CctTLKs/edit?usp=share_link"",""พังงา!J579"")+IMPORTRANGE(""https://docs.google.com/spreadsheets/d/1"&amp;"b6QssHQp2FoAPSMKHOy273KNzAomaIKhtdlvuZ_zDNE/edit?usp=share_link"",""พัทลุง!J579"")+IMPORTRANGE(""https://docs.google.com/spreadsheets/d/1o7UZe4_OqlqtLDHrj01Z2YFRSZDf1DMy1n3XViHaxRc/edit?usp=share_link"",""ภูเก็ต!J579"")+IMPORTRANGE(""https://docs.google.c"&amp;"om/spreadsheets/d/1ctPm1vUzcUCPuOj9-eoHUD85PqINFqUB0TjdSWmR5-c/edit?usp=share_link"",""ยะลา!J579"")+IMPORTRANGE(""https://docs.google.com/spreadsheets/d/1YiDIE7Klmt8osgdapRqYWNr7iPGFSsiJqq46S7PYRE0/edit?usp=share_link"",""ระนอง!J579"")+IMPORTRANGE(""https"&amp;"://docs.google.com/spreadsheets/d/16o_4B-V7AWw_6E93bSpXj_XxVv1oVQctk-B6z1dNEWU/edit?usp=share_link"",""สงขลา!J579"")+IMPORTRANGE(""https://docs.google.com/spreadsheets/d/16cywr71Fj4fA5OGRHsZh30ZG2gwJhMAQv69oVBzYHv0/edit?usp=share_link"",""สตูล!J579"")+IMP"&amp;"ORTRANGE(""https://docs.google.com/spreadsheets/d/1vO9Sws6kMtrVtyvrAJptINXjK8TFBoX9xLYOVK_C8bQ/edit?usp=share_link"",""สุราษฎร์ธานี!J579"")"),23078)</f>
        <v>23078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20.25" customHeight="1">
      <c r="A580" s="607"/>
      <c r="B580" s="608"/>
      <c r="C580" s="608"/>
      <c r="D580" s="187" t="s">
        <v>246</v>
      </c>
      <c r="E580" s="618"/>
      <c r="F580" s="618"/>
      <c r="G580" s="175"/>
      <c r="H580" s="182" t="s">
        <v>46</v>
      </c>
      <c r="I580" s="162"/>
      <c r="J580" s="183">
        <f ca="1">IFERROR(__xludf.DUMMYFUNCTION("IMPORTRANGE(""https://docs.google.com/spreadsheets/d/1kC41EOXpGBFOW658Fs3oD8beYlym0-zO54WY-2Qnp9I/edit?usp=share_link"",""กระบี่!J580"")
+IMPORTRANGE(""https://docs.google.com/spreadsheets/d/1FbzMZY_f3MDiEuK7RpCQKrilJ_kpX0Wm7QBZ1L7EjIU/edit?usp=share_link"&amp;""",""ชุมพร!J580"")+IMPORTRANGE(""https://docs.google.com/spreadsheets/d/1v5sN-00LrXuhBxw4dkh2GrG_z4l5oAqOdJRBCsUyMaM/edit?usp=share_link"",""ตรัง!J580"")+IMPORTRANGE(""https://docs.google.com/spreadsheets/d/1T5rRTzFc79aSIvqnzkZNvwPstq829QYz_xALlO1Z0s8/edi"&amp;"t?usp=share_link"",""นครศรีธรรมราช!J580"")+IMPORTRANGE(""https://docs.google.com/spreadsheets/d/1BeghqumK0IvCmRd2QOy6_afsZq7ZtAGrSnVJy2u7WmY/edit?usp=share_link"",""นราธิวาส!J580"")+IMPORTRANGE(""https://docs.google.com/spreadsheets/d/1IwnW3-jjRf74MCLW-6P"&amp;"iFwMUffRQXZwZA7YM609NmRc/edit?usp=share_link"",""ปัตตานี!J580"")+IMPORTRANGE(""https://docs.google.com/spreadsheets/d/1vl4QWbWdFruual5o_wdo6ZSqXZ_it806oja4CctTLKs/edit?usp=share_link"",""พังงา!J580"")+IMPORTRANGE(""https://docs.google.com/spreadsheets/d/1"&amp;"b6QssHQp2FoAPSMKHOy273KNzAomaIKhtdlvuZ_zDNE/edit?usp=share_link"",""พัทลุง!J580"")+IMPORTRANGE(""https://docs.google.com/spreadsheets/d/1o7UZe4_OqlqtLDHrj01Z2YFRSZDf1DMy1n3XViHaxRc/edit?usp=share_link"",""ภูเก็ต!J580"")+IMPORTRANGE(""https://docs.google.c"&amp;"om/spreadsheets/d/1ctPm1vUzcUCPuOj9-eoHUD85PqINFqUB0TjdSWmR5-c/edit?usp=share_link"",""ยะลา!J580"")+IMPORTRANGE(""https://docs.google.com/spreadsheets/d/1YiDIE7Klmt8osgdapRqYWNr7iPGFSsiJqq46S7PYRE0/edit?usp=share_link"",""ระนอง!J580"")+IMPORTRANGE(""https"&amp;"://docs.google.com/spreadsheets/d/16o_4B-V7AWw_6E93bSpXj_XxVv1oVQctk-B6z1dNEWU/edit?usp=share_link"",""สงขลา!J580"")+IMPORTRANGE(""https://docs.google.com/spreadsheets/d/16cywr71Fj4fA5OGRHsZh30ZG2gwJhMAQv69oVBzYHv0/edit?usp=share_link"",""สตูล!J580"")+IMP"&amp;"ORTRANGE(""https://docs.google.com/spreadsheets/d/1vO9Sws6kMtrVtyvrAJptINXjK8TFBoX9xLYOVK_C8bQ/edit?usp=share_link"",""สุราษฎร์ธานี!J580"")"),16498.76)</f>
        <v>16498.759999999998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20.25" customHeight="1">
      <c r="A581" s="607"/>
      <c r="B581" s="608"/>
      <c r="C581" s="608"/>
      <c r="D581" s="608"/>
      <c r="E581" s="618"/>
      <c r="F581" s="618"/>
      <c r="G581" s="175"/>
      <c r="H581" s="182" t="s">
        <v>34</v>
      </c>
      <c r="I581" s="162"/>
      <c r="J581" s="183">
        <f ca="1">IFERROR(__xludf.DUMMYFUNCTION("IMPORTRANGE(""https://docs.google.com/spreadsheets/d/1kC41EOXpGBFOW658Fs3oD8beYlym0-zO54WY-2Qnp9I/edit?usp=share_link"",""กระบี่!J581"")
+IMPORTRANGE(""https://docs.google.com/spreadsheets/d/1FbzMZY_f3MDiEuK7RpCQKrilJ_kpX0Wm7QBZ1L7EjIU/edit?usp=share_link"&amp;""",""ชุมพร!J581"")+IMPORTRANGE(""https://docs.google.com/spreadsheets/d/1v5sN-00LrXuhBxw4dkh2GrG_z4l5oAqOdJRBCsUyMaM/edit?usp=share_link"",""ตรัง!J581"")+IMPORTRANGE(""https://docs.google.com/spreadsheets/d/1T5rRTzFc79aSIvqnzkZNvwPstq829QYz_xALlO1Z0s8/edi"&amp;"t?usp=share_link"",""นครศรีธรรมราช!J581"")+IMPORTRANGE(""https://docs.google.com/spreadsheets/d/1BeghqumK0IvCmRd2QOy6_afsZq7ZtAGrSnVJy2u7WmY/edit?usp=share_link"",""นราธิวาส!J581"")+IMPORTRANGE(""https://docs.google.com/spreadsheets/d/1IwnW3-jjRf74MCLW-6P"&amp;"iFwMUffRQXZwZA7YM609NmRc/edit?usp=share_link"",""ปัตตานี!J581"")+IMPORTRANGE(""https://docs.google.com/spreadsheets/d/1vl4QWbWdFruual5o_wdo6ZSqXZ_it806oja4CctTLKs/edit?usp=share_link"",""พังงา!J581"")+IMPORTRANGE(""https://docs.google.com/spreadsheets/d/1"&amp;"b6QssHQp2FoAPSMKHOy273KNzAomaIKhtdlvuZ_zDNE/edit?usp=share_link"",""พัทลุง!J581"")+IMPORTRANGE(""https://docs.google.com/spreadsheets/d/1o7UZe4_OqlqtLDHrj01Z2YFRSZDf1DMy1n3XViHaxRc/edit?usp=share_link"",""ภูเก็ต!J581"")+IMPORTRANGE(""https://docs.google.c"&amp;"om/spreadsheets/d/1ctPm1vUzcUCPuOj9-eoHUD85PqINFqUB0TjdSWmR5-c/edit?usp=share_link"",""ยะลา!J581"")+IMPORTRANGE(""https://docs.google.com/spreadsheets/d/1YiDIE7Klmt8osgdapRqYWNr7iPGFSsiJqq46S7PYRE0/edit?usp=share_link"",""ระนอง!J581"")+IMPORTRANGE(""https"&amp;"://docs.google.com/spreadsheets/d/16o_4B-V7AWw_6E93bSpXj_XxVv1oVQctk-B6z1dNEWU/edit?usp=share_link"",""สงขลา!J581"")+IMPORTRANGE(""https://docs.google.com/spreadsheets/d/16cywr71Fj4fA5OGRHsZh30ZG2gwJhMAQv69oVBzYHv0/edit?usp=share_link"",""สตูล!J581"")+IMP"&amp;"ORTRANGE(""https://docs.google.com/spreadsheets/d/1vO9Sws6kMtrVtyvrAJptINXjK8TFBoX9xLYOVK_C8bQ/edit?usp=share_link"",""สุราษฎร์ธานี!J581"")"),1584)</f>
        <v>1584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20.25" customHeight="1">
      <c r="A582" s="607"/>
      <c r="B582" s="608"/>
      <c r="C582" s="608"/>
      <c r="D582" s="187" t="s">
        <v>247</v>
      </c>
      <c r="E582" s="618"/>
      <c r="F582" s="618"/>
      <c r="G582" s="175"/>
      <c r="H582" s="182" t="s">
        <v>46</v>
      </c>
      <c r="I582" s="162"/>
      <c r="J582" s="194">
        <f t="shared" ref="J582:J583" ca="1" si="288">J584+J586</f>
        <v>3507.14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20.25" customHeight="1">
      <c r="A583" s="607"/>
      <c r="B583" s="608"/>
      <c r="C583" s="608"/>
      <c r="D583" s="608"/>
      <c r="E583" s="618"/>
      <c r="F583" s="618"/>
      <c r="G583" s="175"/>
      <c r="H583" s="182" t="s">
        <v>34</v>
      </c>
      <c r="I583" s="162"/>
      <c r="J583" s="194">
        <f t="shared" ca="1" si="288"/>
        <v>414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20.25" customHeight="1">
      <c r="A584" s="607"/>
      <c r="B584" s="608"/>
      <c r="C584" s="608"/>
      <c r="D584" s="608"/>
      <c r="E584" s="187" t="s">
        <v>248</v>
      </c>
      <c r="F584" s="618"/>
      <c r="G584" s="175"/>
      <c r="H584" s="182" t="s">
        <v>46</v>
      </c>
      <c r="I584" s="162"/>
      <c r="J584" s="183">
        <f ca="1">IFERROR(__xludf.DUMMYFUNCTION("IMPORTRANGE(""https://docs.google.com/spreadsheets/d/1kC41EOXpGBFOW658Fs3oD8beYlym0-zO54WY-2Qnp9I/edit?usp=share_link"",""กระบี่!J584"")
+IMPORTRANGE(""https://docs.google.com/spreadsheets/d/1FbzMZY_f3MDiEuK7RpCQKrilJ_kpX0Wm7QBZ1L7EjIU/edit?usp=share_link"&amp;""",""ชุมพร!J584"")+IMPORTRANGE(""https://docs.google.com/spreadsheets/d/1v5sN-00LrXuhBxw4dkh2GrG_z4l5oAqOdJRBCsUyMaM/edit?usp=share_link"",""ตรัง!J584"")+IMPORTRANGE(""https://docs.google.com/spreadsheets/d/1T5rRTzFc79aSIvqnzkZNvwPstq829QYz_xALlO1Z0s8/edi"&amp;"t?usp=share_link"",""นครศรีธรรมราช!J584"")+IMPORTRANGE(""https://docs.google.com/spreadsheets/d/1BeghqumK0IvCmRd2QOy6_afsZq7ZtAGrSnVJy2u7WmY/edit?usp=share_link"",""นราธิวาส!J584"")+IMPORTRANGE(""https://docs.google.com/spreadsheets/d/1IwnW3-jjRf74MCLW-6P"&amp;"iFwMUffRQXZwZA7YM609NmRc/edit?usp=share_link"",""ปัตตานี!J584"")+IMPORTRANGE(""https://docs.google.com/spreadsheets/d/1vl4QWbWdFruual5o_wdo6ZSqXZ_it806oja4CctTLKs/edit?usp=share_link"",""พังงา!J584"")+IMPORTRANGE(""https://docs.google.com/spreadsheets/d/1"&amp;"b6QssHQp2FoAPSMKHOy273KNzAomaIKhtdlvuZ_zDNE/edit?usp=share_link"",""พัทลุง!J584"")+IMPORTRANGE(""https://docs.google.com/spreadsheets/d/1o7UZe4_OqlqtLDHrj01Z2YFRSZDf1DMy1n3XViHaxRc/edit?usp=share_link"",""ภูเก็ต!J584"")+IMPORTRANGE(""https://docs.google.c"&amp;"om/spreadsheets/d/1ctPm1vUzcUCPuOj9-eoHUD85PqINFqUB0TjdSWmR5-c/edit?usp=share_link"",""ยะลา!J584"")+IMPORTRANGE(""https://docs.google.com/spreadsheets/d/1YiDIE7Klmt8osgdapRqYWNr7iPGFSsiJqq46S7PYRE0/edit?usp=share_link"",""ระนอง!J584"")+IMPORTRANGE(""https"&amp;"://docs.google.com/spreadsheets/d/16o_4B-V7AWw_6E93bSpXj_XxVv1oVQctk-B6z1dNEWU/edit?usp=share_link"",""สงขลา!J584"")+IMPORTRANGE(""https://docs.google.com/spreadsheets/d/16cywr71Fj4fA5OGRHsZh30ZG2gwJhMAQv69oVBzYHv0/edit?usp=share_link"",""สตูล!J584"")+IMP"&amp;"ORTRANGE(""https://docs.google.com/spreadsheets/d/1vO9Sws6kMtrVtyvrAJptINXjK8TFBoX9xLYOVK_C8bQ/edit?usp=share_link"",""สุราษฎร์ธานี!J584"")"),3507.14)</f>
        <v>3507.14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20.25" customHeight="1">
      <c r="A585" s="607"/>
      <c r="B585" s="608"/>
      <c r="C585" s="608"/>
      <c r="D585" s="608"/>
      <c r="E585" s="618"/>
      <c r="F585" s="618"/>
      <c r="G585" s="175"/>
      <c r="H585" s="182" t="s">
        <v>34</v>
      </c>
      <c r="I585" s="162"/>
      <c r="J585" s="183">
        <f ca="1">IFERROR(__xludf.DUMMYFUNCTION("IMPORTRANGE(""https://docs.google.com/spreadsheets/d/1kC41EOXpGBFOW658Fs3oD8beYlym0-zO54WY-2Qnp9I/edit?usp=share_link"",""กระบี่!J585"")
+IMPORTRANGE(""https://docs.google.com/spreadsheets/d/1FbzMZY_f3MDiEuK7RpCQKrilJ_kpX0Wm7QBZ1L7EjIU/edit?usp=share_link"&amp;""",""ชุมพร!J585"")+IMPORTRANGE(""https://docs.google.com/spreadsheets/d/1v5sN-00LrXuhBxw4dkh2GrG_z4l5oAqOdJRBCsUyMaM/edit?usp=share_link"",""ตรัง!J585"")+IMPORTRANGE(""https://docs.google.com/spreadsheets/d/1T5rRTzFc79aSIvqnzkZNvwPstq829QYz_xALlO1Z0s8/edi"&amp;"t?usp=share_link"",""นครศรีธรรมราช!J585"")+IMPORTRANGE(""https://docs.google.com/spreadsheets/d/1BeghqumK0IvCmRd2QOy6_afsZq7ZtAGrSnVJy2u7WmY/edit?usp=share_link"",""นราธิวาส!J585"")+IMPORTRANGE(""https://docs.google.com/spreadsheets/d/1IwnW3-jjRf74MCLW-6P"&amp;"iFwMUffRQXZwZA7YM609NmRc/edit?usp=share_link"",""ปัตตานี!J585"")+IMPORTRANGE(""https://docs.google.com/spreadsheets/d/1vl4QWbWdFruual5o_wdo6ZSqXZ_it806oja4CctTLKs/edit?usp=share_link"",""พังงา!J585"")+IMPORTRANGE(""https://docs.google.com/spreadsheets/d/1"&amp;"b6QssHQp2FoAPSMKHOy273KNzAomaIKhtdlvuZ_zDNE/edit?usp=share_link"",""พัทลุง!J585"")+IMPORTRANGE(""https://docs.google.com/spreadsheets/d/1o7UZe4_OqlqtLDHrj01Z2YFRSZDf1DMy1n3XViHaxRc/edit?usp=share_link"",""ภูเก็ต!J585"")+IMPORTRANGE(""https://docs.google.c"&amp;"om/spreadsheets/d/1ctPm1vUzcUCPuOj9-eoHUD85PqINFqUB0TjdSWmR5-c/edit?usp=share_link"",""ยะลา!J585"")+IMPORTRANGE(""https://docs.google.com/spreadsheets/d/1YiDIE7Klmt8osgdapRqYWNr7iPGFSsiJqq46S7PYRE0/edit?usp=share_link"",""ระนอง!J585"")+IMPORTRANGE(""https"&amp;"://docs.google.com/spreadsheets/d/16o_4B-V7AWw_6E93bSpXj_XxVv1oVQctk-B6z1dNEWU/edit?usp=share_link"",""สงขลา!J585"")+IMPORTRANGE(""https://docs.google.com/spreadsheets/d/16cywr71Fj4fA5OGRHsZh30ZG2gwJhMAQv69oVBzYHv0/edit?usp=share_link"",""สตูล!J585"")+IMP"&amp;"ORTRANGE(""https://docs.google.com/spreadsheets/d/1vO9Sws6kMtrVtyvrAJptINXjK8TFBoX9xLYOVK_C8bQ/edit?usp=share_link"",""สุราษฎร์ธานี!J585"")"),414)</f>
        <v>414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20.25" customHeight="1">
      <c r="A586" s="607"/>
      <c r="B586" s="608"/>
      <c r="C586" s="608"/>
      <c r="D586" s="608"/>
      <c r="E586" s="187" t="s">
        <v>249</v>
      </c>
      <c r="F586" s="618"/>
      <c r="G586" s="175"/>
      <c r="H586" s="182" t="s">
        <v>46</v>
      </c>
      <c r="I586" s="162"/>
      <c r="J586" s="183">
        <f ca="1">IFERROR(__xludf.DUMMYFUNCTION("IMPORTRANGE(""https://docs.google.com/spreadsheets/d/1kC41EOXpGBFOW658Fs3oD8beYlym0-zO54WY-2Qnp9I/edit?usp=share_link"",""กระบี่!J586"")
+IMPORTRANGE(""https://docs.google.com/spreadsheets/d/1FbzMZY_f3MDiEuK7RpCQKrilJ_kpX0Wm7QBZ1L7EjIU/edit?usp=share_link"&amp;""",""ชุมพร!J586"")+IMPORTRANGE(""https://docs.google.com/spreadsheets/d/1v5sN-00LrXuhBxw4dkh2GrG_z4l5oAqOdJRBCsUyMaM/edit?usp=share_link"",""ตรัง!J586"")+IMPORTRANGE(""https://docs.google.com/spreadsheets/d/1T5rRTzFc79aSIvqnzkZNvwPstq829QYz_xALlO1Z0s8/edi"&amp;"t?usp=share_link"",""นครศรีธรรมราช!J586"")+IMPORTRANGE(""https://docs.google.com/spreadsheets/d/1BeghqumK0IvCmRd2QOy6_afsZq7ZtAGrSnVJy2u7WmY/edit?usp=share_link"",""นราธิวาส!J586"")+IMPORTRANGE(""https://docs.google.com/spreadsheets/d/1IwnW3-jjRf74MCLW-6P"&amp;"iFwMUffRQXZwZA7YM609NmRc/edit?usp=share_link"",""ปัตตานี!J586"")+IMPORTRANGE(""https://docs.google.com/spreadsheets/d/1vl4QWbWdFruual5o_wdo6ZSqXZ_it806oja4CctTLKs/edit?usp=share_link"",""พังงา!J586"")+IMPORTRANGE(""https://docs.google.com/spreadsheets/d/1"&amp;"b6QssHQp2FoAPSMKHOy273KNzAomaIKhtdlvuZ_zDNE/edit?usp=share_link"",""พัทลุง!J586"")+IMPORTRANGE(""https://docs.google.com/spreadsheets/d/1o7UZe4_OqlqtLDHrj01Z2YFRSZDf1DMy1n3XViHaxRc/edit?usp=share_link"",""ภูเก็ต!J586"")+IMPORTRANGE(""https://docs.google.c"&amp;"om/spreadsheets/d/1ctPm1vUzcUCPuOj9-eoHUD85PqINFqUB0TjdSWmR5-c/edit?usp=share_link"",""ยะลา!J586"")+IMPORTRANGE(""https://docs.google.com/spreadsheets/d/1YiDIE7Klmt8osgdapRqYWNr7iPGFSsiJqq46S7PYRE0/edit?usp=share_link"",""ระนอง!J586"")+IMPORTRANGE(""https"&amp;"://docs.google.com/spreadsheets/d/16o_4B-V7AWw_6E93bSpXj_XxVv1oVQctk-B6z1dNEWU/edit?usp=share_link"",""สงขลา!J586"")+IMPORTRANGE(""https://docs.google.com/spreadsheets/d/16cywr71Fj4fA5OGRHsZh30ZG2gwJhMAQv69oVBzYHv0/edit?usp=share_link"",""สตูล!J586"")+IMP"&amp;"ORTRANGE(""https://docs.google.com/spreadsheets/d/1vO9Sws6kMtrVtyvrAJptINXjK8TFBoX9xLYOVK_C8bQ/edit?usp=share_link"",""สุราษฎร์ธานี!J586"")"),0)</f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20.25" customHeight="1">
      <c r="A587" s="607"/>
      <c r="B587" s="608"/>
      <c r="C587" s="608"/>
      <c r="D587" s="608"/>
      <c r="E587" s="608"/>
      <c r="F587" s="618"/>
      <c r="G587" s="175"/>
      <c r="H587" s="182" t="s">
        <v>34</v>
      </c>
      <c r="I587" s="162"/>
      <c r="J587" s="183">
        <f ca="1">IFERROR(__xludf.DUMMYFUNCTION("IMPORTRANGE(""https://docs.google.com/spreadsheets/d/1kC41EOXpGBFOW658Fs3oD8beYlym0-zO54WY-2Qnp9I/edit?usp=share_link"",""กระบี่!J587"")
+IMPORTRANGE(""https://docs.google.com/spreadsheets/d/1FbzMZY_f3MDiEuK7RpCQKrilJ_kpX0Wm7QBZ1L7EjIU/edit?usp=share_link"&amp;""",""ชุมพร!J587"")+IMPORTRANGE(""https://docs.google.com/spreadsheets/d/1v5sN-00LrXuhBxw4dkh2GrG_z4l5oAqOdJRBCsUyMaM/edit?usp=share_link"",""ตรัง!J587"")+IMPORTRANGE(""https://docs.google.com/spreadsheets/d/1T5rRTzFc79aSIvqnzkZNvwPstq829QYz_xALlO1Z0s8/edi"&amp;"t?usp=share_link"",""นครศรีธรรมราช!J587"")+IMPORTRANGE(""https://docs.google.com/spreadsheets/d/1BeghqumK0IvCmRd2QOy6_afsZq7ZtAGrSnVJy2u7WmY/edit?usp=share_link"",""นราธิวาส!J587"")+IMPORTRANGE(""https://docs.google.com/spreadsheets/d/1IwnW3-jjRf74MCLW-6P"&amp;"iFwMUffRQXZwZA7YM609NmRc/edit?usp=share_link"",""ปัตตานี!J587"")+IMPORTRANGE(""https://docs.google.com/spreadsheets/d/1vl4QWbWdFruual5o_wdo6ZSqXZ_it806oja4CctTLKs/edit?usp=share_link"",""พังงา!J587"")+IMPORTRANGE(""https://docs.google.com/spreadsheets/d/1"&amp;"b6QssHQp2FoAPSMKHOy273KNzAomaIKhtdlvuZ_zDNE/edit?usp=share_link"",""พัทลุง!J587"")+IMPORTRANGE(""https://docs.google.com/spreadsheets/d/1o7UZe4_OqlqtLDHrj01Z2YFRSZDf1DMy1n3XViHaxRc/edit?usp=share_link"",""ภูเก็ต!J587"")+IMPORTRANGE(""https://docs.google.c"&amp;"om/spreadsheets/d/1ctPm1vUzcUCPuOj9-eoHUD85PqINFqUB0TjdSWmR5-c/edit?usp=share_link"",""ยะลา!J587"")+IMPORTRANGE(""https://docs.google.com/spreadsheets/d/1YiDIE7Klmt8osgdapRqYWNr7iPGFSsiJqq46S7PYRE0/edit?usp=share_link"",""ระนอง!J587"")+IMPORTRANGE(""https"&amp;"://docs.google.com/spreadsheets/d/16o_4B-V7AWw_6E93bSpXj_XxVv1oVQctk-B6z1dNEWU/edit?usp=share_link"",""สงขลา!J587"")+IMPORTRANGE(""https://docs.google.com/spreadsheets/d/16cywr71Fj4fA5OGRHsZh30ZG2gwJhMAQv69oVBzYHv0/edit?usp=share_link"",""สตูล!J587"")+IMP"&amp;"ORTRANGE(""https://docs.google.com/spreadsheets/d/1vO9Sws6kMtrVtyvrAJptINXjK8TFBoX9xLYOVK_C8bQ/edit?usp=share_link"",""สุราษฎร์ธานี!J587"")"),0)</f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20.25" customHeight="1">
      <c r="A588" s="607"/>
      <c r="B588" s="608"/>
      <c r="C588" s="608"/>
      <c r="D588" s="187" t="s">
        <v>250</v>
      </c>
      <c r="E588" s="618"/>
      <c r="F588" s="618"/>
      <c r="G588" s="175"/>
      <c r="H588" s="182" t="s">
        <v>46</v>
      </c>
      <c r="I588" s="162"/>
      <c r="J588" s="183">
        <f ca="1">IFERROR(__xludf.DUMMYFUNCTION("IMPORTRANGE(""https://docs.google.com/spreadsheets/d/1kC41EOXpGBFOW658Fs3oD8beYlym0-zO54WY-2Qnp9I/edit?usp=share_link"",""กระบี่!J588"")
+IMPORTRANGE(""https://docs.google.com/spreadsheets/d/1FbzMZY_f3MDiEuK7RpCQKrilJ_kpX0Wm7QBZ1L7EjIU/edit?usp=share_link"&amp;""",""ชุมพร!J588"")+IMPORTRANGE(""https://docs.google.com/spreadsheets/d/1v5sN-00LrXuhBxw4dkh2GrG_z4l5oAqOdJRBCsUyMaM/edit?usp=share_link"",""ตรัง!J588"")+IMPORTRANGE(""https://docs.google.com/spreadsheets/d/1T5rRTzFc79aSIvqnzkZNvwPstq829QYz_xALlO1Z0s8/edi"&amp;"t?usp=share_link"",""นครศรีธรรมราช!J588"")+IMPORTRANGE(""https://docs.google.com/spreadsheets/d/1BeghqumK0IvCmRd2QOy6_afsZq7ZtAGrSnVJy2u7WmY/edit?usp=share_link"",""นราธิวาส!J588"")+IMPORTRANGE(""https://docs.google.com/spreadsheets/d/1IwnW3-jjRf74MCLW-6P"&amp;"iFwMUffRQXZwZA7YM609NmRc/edit?usp=share_link"",""ปัตตานี!J588"")+IMPORTRANGE(""https://docs.google.com/spreadsheets/d/1vl4QWbWdFruual5o_wdo6ZSqXZ_it806oja4CctTLKs/edit?usp=share_link"",""พังงา!J588"")+IMPORTRANGE(""https://docs.google.com/spreadsheets/d/1"&amp;"b6QssHQp2FoAPSMKHOy273KNzAomaIKhtdlvuZ_zDNE/edit?usp=share_link"",""พัทลุง!J588"")+IMPORTRANGE(""https://docs.google.com/spreadsheets/d/1o7UZe4_OqlqtLDHrj01Z2YFRSZDf1DMy1n3XViHaxRc/edit?usp=share_link"",""ภูเก็ต!J588"")+IMPORTRANGE(""https://docs.google.c"&amp;"om/spreadsheets/d/1ctPm1vUzcUCPuOj9-eoHUD85PqINFqUB0TjdSWmR5-c/edit?usp=share_link"",""ยะลา!J588"")+IMPORTRANGE(""https://docs.google.com/spreadsheets/d/1YiDIE7Klmt8osgdapRqYWNr7iPGFSsiJqq46S7PYRE0/edit?usp=share_link"",""ระนอง!J588"")+IMPORTRANGE(""https"&amp;"://docs.google.com/spreadsheets/d/16o_4B-V7AWw_6E93bSpXj_XxVv1oVQctk-B6z1dNEWU/edit?usp=share_link"",""สงขลา!J588"")+IMPORTRANGE(""https://docs.google.com/spreadsheets/d/16cywr71Fj4fA5OGRHsZh30ZG2gwJhMAQv69oVBzYHv0/edit?usp=share_link"",""สตูล!J588"")+IMP"&amp;"ORTRANGE(""https://docs.google.com/spreadsheets/d/1vO9Sws6kMtrVtyvrAJptINXjK8TFBoX9xLYOVK_C8bQ/edit?usp=share_link"",""สุราษฎร์ธานี!J588"")"),0)</f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20.25" customHeight="1">
      <c r="A589" s="607"/>
      <c r="B589" s="608"/>
      <c r="C589" s="608"/>
      <c r="D589" s="608"/>
      <c r="E589" s="608"/>
      <c r="F589" s="618"/>
      <c r="G589" s="175"/>
      <c r="H589" s="182" t="s">
        <v>34</v>
      </c>
      <c r="I589" s="162"/>
      <c r="J589" s="183">
        <f ca="1">IFERROR(__xludf.DUMMYFUNCTION("IMPORTRANGE(""https://docs.google.com/spreadsheets/d/1kC41EOXpGBFOW658Fs3oD8beYlym0-zO54WY-2Qnp9I/edit?usp=share_link"",""กระบี่!J589"")
+IMPORTRANGE(""https://docs.google.com/spreadsheets/d/1FbzMZY_f3MDiEuK7RpCQKrilJ_kpX0Wm7QBZ1L7EjIU/edit?usp=share_link"&amp;""",""ชุมพร!J589"")+IMPORTRANGE(""https://docs.google.com/spreadsheets/d/1v5sN-00LrXuhBxw4dkh2GrG_z4l5oAqOdJRBCsUyMaM/edit?usp=share_link"",""ตรัง!J589"")+IMPORTRANGE(""https://docs.google.com/spreadsheets/d/1T5rRTzFc79aSIvqnzkZNvwPstq829QYz_xALlO1Z0s8/edi"&amp;"t?usp=share_link"",""นครศรีธรรมราช!J589"")+IMPORTRANGE(""https://docs.google.com/spreadsheets/d/1BeghqumK0IvCmRd2QOy6_afsZq7ZtAGrSnVJy2u7WmY/edit?usp=share_link"",""นราธิวาส!J589"")+IMPORTRANGE(""https://docs.google.com/spreadsheets/d/1IwnW3-jjRf74MCLW-6P"&amp;"iFwMUffRQXZwZA7YM609NmRc/edit?usp=share_link"",""ปัตตานี!J589"")+IMPORTRANGE(""https://docs.google.com/spreadsheets/d/1vl4QWbWdFruual5o_wdo6ZSqXZ_it806oja4CctTLKs/edit?usp=share_link"",""พังงา!J589"")+IMPORTRANGE(""https://docs.google.com/spreadsheets/d/1"&amp;"b6QssHQp2FoAPSMKHOy273KNzAomaIKhtdlvuZ_zDNE/edit?usp=share_link"",""พัทลุง!J589"")+IMPORTRANGE(""https://docs.google.com/spreadsheets/d/1o7UZe4_OqlqtLDHrj01Z2YFRSZDf1DMy1n3XViHaxRc/edit?usp=share_link"",""ภูเก็ต!J589"")+IMPORTRANGE(""https://docs.google.c"&amp;"om/spreadsheets/d/1ctPm1vUzcUCPuOj9-eoHUD85PqINFqUB0TjdSWmR5-c/edit?usp=share_link"",""ยะลา!J589"")+IMPORTRANGE(""https://docs.google.com/spreadsheets/d/1YiDIE7Klmt8osgdapRqYWNr7iPGFSsiJqq46S7PYRE0/edit?usp=share_link"",""ระนอง!J589"")+IMPORTRANGE(""https"&amp;"://docs.google.com/spreadsheets/d/16o_4B-V7AWw_6E93bSpXj_XxVv1oVQctk-B6z1dNEWU/edit?usp=share_link"",""สงขลา!J589"")+IMPORTRANGE(""https://docs.google.com/spreadsheets/d/16cywr71Fj4fA5OGRHsZh30ZG2gwJhMAQv69oVBzYHv0/edit?usp=share_link"",""สตูล!J589"")+IMP"&amp;"ORTRANGE(""https://docs.google.com/spreadsheets/d/1vO9Sws6kMtrVtyvrAJptINXjK8TFBoX9xLYOVK_C8bQ/edit?usp=share_link"",""สุราษฎร์ธานี!J589"")"),0)</f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20.25" customHeight="1">
      <c r="A590" s="607"/>
      <c r="B590" s="608"/>
      <c r="C590" s="608"/>
      <c r="D590" s="187" t="s">
        <v>251</v>
      </c>
      <c r="E590" s="618"/>
      <c r="F590" s="618"/>
      <c r="G590" s="175"/>
      <c r="H590" s="182" t="s">
        <v>46</v>
      </c>
      <c r="I590" s="162"/>
      <c r="J590" s="183">
        <f ca="1">IFERROR(__xludf.DUMMYFUNCTION("IMPORTRANGE(""https://docs.google.com/spreadsheets/d/1kC41EOXpGBFOW658Fs3oD8beYlym0-zO54WY-2Qnp9I/edit?usp=share_link"",""กระบี่!J590"")
+IMPORTRANGE(""https://docs.google.com/spreadsheets/d/1FbzMZY_f3MDiEuK7RpCQKrilJ_kpX0Wm7QBZ1L7EjIU/edit?usp=share_link"&amp;""",""ชุมพร!J590"")+IMPORTRANGE(""https://docs.google.com/spreadsheets/d/1v5sN-00LrXuhBxw4dkh2GrG_z4l5oAqOdJRBCsUyMaM/edit?usp=share_link"",""ตรัง!J590"")+IMPORTRANGE(""https://docs.google.com/spreadsheets/d/1T5rRTzFc79aSIvqnzkZNvwPstq829QYz_xALlO1Z0s8/edi"&amp;"t?usp=share_link"",""นครศรีธรรมราช!J590"")+IMPORTRANGE(""https://docs.google.com/spreadsheets/d/1BeghqumK0IvCmRd2QOy6_afsZq7ZtAGrSnVJy2u7WmY/edit?usp=share_link"",""นราธิวาส!J590"")+IMPORTRANGE(""https://docs.google.com/spreadsheets/d/1IwnW3-jjRf74MCLW-6P"&amp;"iFwMUffRQXZwZA7YM609NmRc/edit?usp=share_link"",""ปัตตานี!J590"")+IMPORTRANGE(""https://docs.google.com/spreadsheets/d/1vl4QWbWdFruual5o_wdo6ZSqXZ_it806oja4CctTLKs/edit?usp=share_link"",""พังงา!J590"")+IMPORTRANGE(""https://docs.google.com/spreadsheets/d/1"&amp;"b6QssHQp2FoAPSMKHOy273KNzAomaIKhtdlvuZ_zDNE/edit?usp=share_link"",""พัทลุง!J590"")+IMPORTRANGE(""https://docs.google.com/spreadsheets/d/1o7UZe4_OqlqtLDHrj01Z2YFRSZDf1DMy1n3XViHaxRc/edit?usp=share_link"",""ภูเก็ต!J590"")+IMPORTRANGE(""https://docs.google.c"&amp;"om/spreadsheets/d/1ctPm1vUzcUCPuOj9-eoHUD85PqINFqUB0TjdSWmR5-c/edit?usp=share_link"",""ยะลา!J590"")+IMPORTRANGE(""https://docs.google.com/spreadsheets/d/1YiDIE7Klmt8osgdapRqYWNr7iPGFSsiJqq46S7PYRE0/edit?usp=share_link"",""ระนอง!J590"")+IMPORTRANGE(""https"&amp;"://docs.google.com/spreadsheets/d/16o_4B-V7AWw_6E93bSpXj_XxVv1oVQctk-B6z1dNEWU/edit?usp=share_link"",""สงขลา!J590"")+IMPORTRANGE(""https://docs.google.com/spreadsheets/d/16cywr71Fj4fA5OGRHsZh30ZG2gwJhMAQv69oVBzYHv0/edit?usp=share_link"",""สตูล!J590"")+IMP"&amp;"ORTRANGE(""https://docs.google.com/spreadsheets/d/1vO9Sws6kMtrVtyvrAJptINXjK8TFBoX9xLYOVK_C8bQ/edit?usp=share_link"",""สุราษฎร์ธานี!J590"")"),0)</f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20.25" customHeight="1">
      <c r="A591" s="694"/>
      <c r="B591" s="695"/>
      <c r="C591" s="695"/>
      <c r="D591" s="695"/>
      <c r="E591" s="577"/>
      <c r="F591" s="577"/>
      <c r="G591" s="696"/>
      <c r="H591" s="697" t="s">
        <v>34</v>
      </c>
      <c r="I591" s="698"/>
      <c r="J591" s="699">
        <f ca="1">IFERROR(__xludf.DUMMYFUNCTION("IMPORTRANGE(""https://docs.google.com/spreadsheets/d/1kC41EOXpGBFOW658Fs3oD8beYlym0-zO54WY-2Qnp9I/edit?usp=share_link"",""กระบี่!J591"")
+IMPORTRANGE(""https://docs.google.com/spreadsheets/d/1FbzMZY_f3MDiEuK7RpCQKrilJ_kpX0Wm7QBZ1L7EjIU/edit?usp=share_link"&amp;""",""ชุมพร!J591"")+IMPORTRANGE(""https://docs.google.com/spreadsheets/d/1v5sN-00LrXuhBxw4dkh2GrG_z4l5oAqOdJRBCsUyMaM/edit?usp=share_link"",""ตรัง!J591"")+IMPORTRANGE(""https://docs.google.com/spreadsheets/d/1T5rRTzFc79aSIvqnzkZNvwPstq829QYz_xALlO1Z0s8/edi"&amp;"t?usp=share_link"",""นครศรีธรรมราช!J591"")+IMPORTRANGE(""https://docs.google.com/spreadsheets/d/1BeghqumK0IvCmRd2QOy6_afsZq7ZtAGrSnVJy2u7WmY/edit?usp=share_link"",""นราธิวาส!J591"")+IMPORTRANGE(""https://docs.google.com/spreadsheets/d/1IwnW3-jjRf74MCLW-6P"&amp;"iFwMUffRQXZwZA7YM609NmRc/edit?usp=share_link"",""ปัตตานี!J591"")+IMPORTRANGE(""https://docs.google.com/spreadsheets/d/1vl4QWbWdFruual5o_wdo6ZSqXZ_it806oja4CctTLKs/edit?usp=share_link"",""พังงา!J591"")+IMPORTRANGE(""https://docs.google.com/spreadsheets/d/1"&amp;"b6QssHQp2FoAPSMKHOy273KNzAomaIKhtdlvuZ_zDNE/edit?usp=share_link"",""พัทลุง!J591"")+IMPORTRANGE(""https://docs.google.com/spreadsheets/d/1o7UZe4_OqlqtLDHrj01Z2YFRSZDf1DMy1n3XViHaxRc/edit?usp=share_link"",""ภูเก็ต!J591"")+IMPORTRANGE(""https://docs.google.c"&amp;"om/spreadsheets/d/1ctPm1vUzcUCPuOj9-eoHUD85PqINFqUB0TjdSWmR5-c/edit?usp=share_link"",""ยะลา!J591"")+IMPORTRANGE(""https://docs.google.com/spreadsheets/d/1YiDIE7Klmt8osgdapRqYWNr7iPGFSsiJqq46S7PYRE0/edit?usp=share_link"",""ระนอง!J591"")+IMPORTRANGE(""https"&amp;"://docs.google.com/spreadsheets/d/16o_4B-V7AWw_6E93bSpXj_XxVv1oVQctk-B6z1dNEWU/edit?usp=share_link"",""สงขลา!J591"")+IMPORTRANGE(""https://docs.google.com/spreadsheets/d/16cywr71Fj4fA5OGRHsZh30ZG2gwJhMAQv69oVBzYHv0/edit?usp=share_link"",""สตูล!J591"")+IMP"&amp;"ORTRANGE(""https://docs.google.com/spreadsheets/d/1vO9Sws6kMtrVtyvrAJptINXjK8TFBoX9xLYOVK_C8bQ/edit?usp=share_link"",""สุราษฎร์ธานี!J591"")"),0)</f>
        <v>0</v>
      </c>
      <c r="K591" s="700"/>
      <c r="L591" s="700"/>
      <c r="M591" s="700"/>
      <c r="N591" s="700"/>
      <c r="O591" s="700"/>
      <c r="P591" s="700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20.25" customHeight="1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89">I593</f>
        <v>44574.529999999897</v>
      </c>
      <c r="J592" s="674">
        <f t="shared" ca="1" si="289"/>
        <v>399</v>
      </c>
      <c r="K592" s="675">
        <f t="shared" ref="K592:K594" ca="1" si="290">IF(I592&gt;0,J592*100/I592,0)</f>
        <v>0.89513002156164279</v>
      </c>
      <c r="L592" s="676"/>
      <c r="M592" s="676"/>
      <c r="N592" s="676"/>
      <c r="O592" s="676"/>
      <c r="P592" s="676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20.25" customHeight="1">
      <c r="A593" s="607"/>
      <c r="B593" s="608"/>
      <c r="C593" s="621" t="s">
        <v>253</v>
      </c>
      <c r="D593" s="608"/>
      <c r="E593" s="608"/>
      <c r="F593" s="618"/>
      <c r="G593" s="175"/>
      <c r="H593" s="192" t="s">
        <v>46</v>
      </c>
      <c r="I593" s="702">
        <f ca="1">IFERROR(__xludf.DUMMYFUNCTION("IMPORTRANGE(""https://docs.google.com/spreadsheets/d/1kC41EOXpGBFOW658Fs3oD8beYlym0-zO54WY-2Qnp9I/edit?usp=share_link"",""กระบี่!I593"")
+IMPORTRANGE(""https://docs.google.com/spreadsheets/d/1FbzMZY_f3MDiEuK7RpCQKrilJ_kpX0Wm7QBZ1L7EjIU/edit?usp=share_link"&amp;""",""ชุมพร!I593"")+IMPORTRANGE(""https://docs.google.com/spreadsheets/d/1v5sN-00LrXuhBxw4dkh2GrG_z4l5oAqOdJRBCsUyMaM/edit?usp=share_link"",""ตรัง!I593"")+IMPORTRANGE(""https://docs.google.com/spreadsheets/d/1T5rRTzFc79aSIvqnzkZNvwPstq829QYz_xALlO1Z0s8/edi"&amp;"t?usp=share_link"",""นครศรีธรรมราช!I593"")+IMPORTRANGE(""https://docs.google.com/spreadsheets/d/1BeghqumK0IvCmRd2QOy6_afsZq7ZtAGrSnVJy2u7WmY/edit?usp=share_link"",""นราธิวาส!I593"")+IMPORTRANGE(""https://docs.google.com/spreadsheets/d/1IwnW3-jjRf74MCLW-6P"&amp;"iFwMUffRQXZwZA7YM609NmRc/edit?usp=share_link"",""ปัตตานี!I593"")+IMPORTRANGE(""https://docs.google.com/spreadsheets/d/1vl4QWbWdFruual5o_wdo6ZSqXZ_it806oja4CctTLKs/edit?usp=share_link"",""พังงา!I593"")+IMPORTRANGE(""https://docs.google.com/spreadsheets/d/1"&amp;"b6QssHQp2FoAPSMKHOy273KNzAomaIKhtdlvuZ_zDNE/edit?usp=share_link"",""พัทลุง!I593"")+IMPORTRANGE(""https://docs.google.com/spreadsheets/d/1o7UZe4_OqlqtLDHrj01Z2YFRSZDf1DMy1n3XViHaxRc/edit?usp=share_link"",""ภูเก็ต!I593"")+IMPORTRANGE(""https://docs.google.c"&amp;"om/spreadsheets/d/1ctPm1vUzcUCPuOj9-eoHUD85PqINFqUB0TjdSWmR5-c/edit?usp=share_link"",""ยะลา!I593"")+IMPORTRANGE(""https://docs.google.com/spreadsheets/d/1YiDIE7Klmt8osgdapRqYWNr7iPGFSsiJqq46S7PYRE0/edit?usp=share_link"",""ระนอง!I593"")+IMPORTRANGE(""https"&amp;"://docs.google.com/spreadsheets/d/16o_4B-V7AWw_6E93bSpXj_XxVv1oVQctk-B6z1dNEWU/edit?usp=share_link"",""สงขลา!I593"")+IMPORTRANGE(""https://docs.google.com/spreadsheets/d/16cywr71Fj4fA5OGRHsZh30ZG2gwJhMAQv69oVBzYHv0/edit?usp=share_link"",""สตูล!I593"")+IMP"&amp;"ORTRANGE(""https://docs.google.com/spreadsheets/d/1vO9Sws6kMtrVtyvrAJptINXjK8TFBoX9xLYOVK_C8bQ/edit?usp=share_link"",""สุราษฎร์ธานี!I593"")"),44574.5299999999)</f>
        <v>44574.529999999897</v>
      </c>
      <c r="J593" s="193">
        <f t="shared" ref="J593:J594" ca="1" si="291">J595+J603+J609</f>
        <v>399</v>
      </c>
      <c r="K593" s="412">
        <f t="shared" ca="1" si="290"/>
        <v>0.89513002156164279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20.25" customHeight="1">
      <c r="A594" s="607"/>
      <c r="B594" s="608"/>
      <c r="C594" s="608"/>
      <c r="D594" s="608"/>
      <c r="E594" s="618"/>
      <c r="F594" s="618"/>
      <c r="G594" s="175"/>
      <c r="H594" s="192" t="s">
        <v>34</v>
      </c>
      <c r="I594" s="193">
        <f ca="1">IFERROR(__xludf.DUMMYFUNCTION("IMPORTRANGE(""https://docs.google.com/spreadsheets/d/1kC41EOXpGBFOW658Fs3oD8beYlym0-zO54WY-2Qnp9I/edit?usp=share_link"",""กระบี่!I594"")
+IMPORTRANGE(""https://docs.google.com/spreadsheets/d/1FbzMZY_f3MDiEuK7RpCQKrilJ_kpX0Wm7QBZ1L7EjIU/edit?usp=share_link"&amp;""",""ชุมพร!I594"")+IMPORTRANGE(""https://docs.google.com/spreadsheets/d/1v5sN-00LrXuhBxw4dkh2GrG_z4l5oAqOdJRBCsUyMaM/edit?usp=share_link"",""ตรัง!I594"")+IMPORTRANGE(""https://docs.google.com/spreadsheets/d/1T5rRTzFc79aSIvqnzkZNvwPstq829QYz_xALlO1Z0s8/edi"&amp;"t?usp=share_link"",""นครศรีธรรมราช!I594"")+IMPORTRANGE(""https://docs.google.com/spreadsheets/d/1BeghqumK0IvCmRd2QOy6_afsZq7ZtAGrSnVJy2u7WmY/edit?usp=share_link"",""นราธิวาส!I594"")+IMPORTRANGE(""https://docs.google.com/spreadsheets/d/1IwnW3-jjRf74MCLW-6P"&amp;"iFwMUffRQXZwZA7YM609NmRc/edit?usp=share_link"",""ปัตตานี!I594"")+IMPORTRANGE(""https://docs.google.com/spreadsheets/d/1vl4QWbWdFruual5o_wdo6ZSqXZ_it806oja4CctTLKs/edit?usp=share_link"",""พังงา!I594"")+IMPORTRANGE(""https://docs.google.com/spreadsheets/d/1"&amp;"b6QssHQp2FoAPSMKHOy273KNzAomaIKhtdlvuZ_zDNE/edit?usp=share_link"",""พัทลุง!I594"")+IMPORTRANGE(""https://docs.google.com/spreadsheets/d/1o7UZe4_OqlqtLDHrj01Z2YFRSZDf1DMy1n3XViHaxRc/edit?usp=share_link"",""ภูเก็ต!I594"")+IMPORTRANGE(""https://docs.google.c"&amp;"om/spreadsheets/d/1ctPm1vUzcUCPuOj9-eoHUD85PqINFqUB0TjdSWmR5-c/edit?usp=share_link"",""ยะลา!I594"")+IMPORTRANGE(""https://docs.google.com/spreadsheets/d/1YiDIE7Klmt8osgdapRqYWNr7iPGFSsiJqq46S7PYRE0/edit?usp=share_link"",""ระนอง!I594"")+IMPORTRANGE(""https"&amp;"://docs.google.com/spreadsheets/d/16o_4B-V7AWw_6E93bSpXj_XxVv1oVQctk-B6z1dNEWU/edit?usp=share_link"",""สงขลา!I594"")+IMPORTRANGE(""https://docs.google.com/spreadsheets/d/16cywr71Fj4fA5OGRHsZh30ZG2gwJhMAQv69oVBzYHv0/edit?usp=share_link"",""สตูล!I594"")+IMP"&amp;"ORTRANGE(""https://docs.google.com/spreadsheets/d/1vO9Sws6kMtrVtyvrAJptINXjK8TFBoX9xLYOVK_C8bQ/edit?usp=share_link"",""สุราษฎร์ธานี!I594"")"),4230)</f>
        <v>4230</v>
      </c>
      <c r="J594" s="193">
        <f t="shared" ca="1" si="291"/>
        <v>49</v>
      </c>
      <c r="K594" s="412">
        <f t="shared" ca="1" si="290"/>
        <v>1.1583924349881796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20.25" customHeight="1">
      <c r="A595" s="607"/>
      <c r="B595" s="608"/>
      <c r="C595" s="617" t="s">
        <v>254</v>
      </c>
      <c r="D595" s="608"/>
      <c r="E595" s="608"/>
      <c r="F595" s="618"/>
      <c r="G595" s="175"/>
      <c r="H595" s="182" t="s">
        <v>46</v>
      </c>
      <c r="I595" s="162"/>
      <c r="J595" s="162">
        <f t="shared" ref="J595:J596" ca="1" si="292">J597+J599</f>
        <v>399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20.25" customHeight="1">
      <c r="A596" s="607"/>
      <c r="B596" s="608"/>
      <c r="C596" s="608"/>
      <c r="D596" s="608"/>
      <c r="E596" s="618"/>
      <c r="F596" s="618"/>
      <c r="G596" s="175"/>
      <c r="H596" s="182" t="s">
        <v>34</v>
      </c>
      <c r="I596" s="162"/>
      <c r="J596" s="162">
        <f t="shared" ca="1" si="292"/>
        <v>49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20.25" customHeight="1">
      <c r="A597" s="607"/>
      <c r="B597" s="608"/>
      <c r="C597" s="608"/>
      <c r="D597" s="263" t="s">
        <v>255</v>
      </c>
      <c r="E597" s="618"/>
      <c r="F597" s="618"/>
      <c r="G597" s="175"/>
      <c r="H597" s="182" t="s">
        <v>46</v>
      </c>
      <c r="I597" s="162"/>
      <c r="J597" s="183">
        <f ca="1">IFERROR(__xludf.DUMMYFUNCTION("IMPORTRANGE(""https://docs.google.com/spreadsheets/d/1kC41EOXpGBFOW658Fs3oD8beYlym0-zO54WY-2Qnp9I/edit?usp=share_link"",""กระบี่!J597"")
+IMPORTRANGE(""https://docs.google.com/spreadsheets/d/1FbzMZY_f3MDiEuK7RpCQKrilJ_kpX0Wm7QBZ1L7EjIU/edit?usp=share_link"&amp;""",""ชุมพร!J597"")+IMPORTRANGE(""https://docs.google.com/spreadsheets/d/1v5sN-00LrXuhBxw4dkh2GrG_z4l5oAqOdJRBCsUyMaM/edit?usp=share_link"",""ตรัง!J597"")+IMPORTRANGE(""https://docs.google.com/spreadsheets/d/1T5rRTzFc79aSIvqnzkZNvwPstq829QYz_xALlO1Z0s8/edi"&amp;"t?usp=share_link"",""นครศรีธรรมราช!J597"")+IMPORTRANGE(""https://docs.google.com/spreadsheets/d/1BeghqumK0IvCmRd2QOy6_afsZq7ZtAGrSnVJy2u7WmY/edit?usp=share_link"",""นราธิวาส!J597"")+IMPORTRANGE(""https://docs.google.com/spreadsheets/d/1IwnW3-jjRf74MCLW-6P"&amp;"iFwMUffRQXZwZA7YM609NmRc/edit?usp=share_link"",""ปัตตานี!J597"")+IMPORTRANGE(""https://docs.google.com/spreadsheets/d/1vl4QWbWdFruual5o_wdo6ZSqXZ_it806oja4CctTLKs/edit?usp=share_link"",""พังงา!J597"")+IMPORTRANGE(""https://docs.google.com/spreadsheets/d/1"&amp;"b6QssHQp2FoAPSMKHOy273KNzAomaIKhtdlvuZ_zDNE/edit?usp=share_link"",""พัทลุง!J597"")+IMPORTRANGE(""https://docs.google.com/spreadsheets/d/1o7UZe4_OqlqtLDHrj01Z2YFRSZDf1DMy1n3XViHaxRc/edit?usp=share_link"",""ภูเก็ต!J597"")+IMPORTRANGE(""https://docs.google.c"&amp;"om/spreadsheets/d/1ctPm1vUzcUCPuOj9-eoHUD85PqINFqUB0TjdSWmR5-c/edit?usp=share_link"",""ยะลา!J597"")+IMPORTRANGE(""https://docs.google.com/spreadsheets/d/1YiDIE7Klmt8osgdapRqYWNr7iPGFSsiJqq46S7PYRE0/edit?usp=share_link"",""ระนอง!J597"")+IMPORTRANGE(""https"&amp;"://docs.google.com/spreadsheets/d/16o_4B-V7AWw_6E93bSpXj_XxVv1oVQctk-B6z1dNEWU/edit?usp=share_link"",""สงขลา!J597"")+IMPORTRANGE(""https://docs.google.com/spreadsheets/d/16cywr71Fj4fA5OGRHsZh30ZG2gwJhMAQv69oVBzYHv0/edit?usp=share_link"",""สตูล!J597"")+IMP"&amp;"ORTRANGE(""https://docs.google.com/spreadsheets/d/1vO9Sws6kMtrVtyvrAJptINXjK8TFBoX9xLYOVK_C8bQ/edit?usp=share_link"",""สุราษฎร์ธานี!J597"")"),399)</f>
        <v>399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20.25" customHeight="1">
      <c r="A598" s="607"/>
      <c r="B598" s="608"/>
      <c r="C598" s="608"/>
      <c r="D598" s="608"/>
      <c r="E598" s="618"/>
      <c r="F598" s="618"/>
      <c r="G598" s="175"/>
      <c r="H598" s="182" t="s">
        <v>34</v>
      </c>
      <c r="I598" s="37"/>
      <c r="J598" s="183">
        <f ca="1">IFERROR(__xludf.DUMMYFUNCTION("IMPORTRANGE(""https://docs.google.com/spreadsheets/d/1kC41EOXpGBFOW658Fs3oD8beYlym0-zO54WY-2Qnp9I/edit?usp=share_link"",""กระบี่!J598"")
+IMPORTRANGE(""https://docs.google.com/spreadsheets/d/1FbzMZY_f3MDiEuK7RpCQKrilJ_kpX0Wm7QBZ1L7EjIU/edit?usp=share_link"&amp;""",""ชุมพร!J598"")+IMPORTRANGE(""https://docs.google.com/spreadsheets/d/1v5sN-00LrXuhBxw4dkh2GrG_z4l5oAqOdJRBCsUyMaM/edit?usp=share_link"",""ตรัง!J598"")+IMPORTRANGE(""https://docs.google.com/spreadsheets/d/1T5rRTzFc79aSIvqnzkZNvwPstq829QYz_xALlO1Z0s8/edi"&amp;"t?usp=share_link"",""นครศรีธรรมราช!J598"")+IMPORTRANGE(""https://docs.google.com/spreadsheets/d/1BeghqumK0IvCmRd2QOy6_afsZq7ZtAGrSnVJy2u7WmY/edit?usp=share_link"",""นราธิวาส!J598"")+IMPORTRANGE(""https://docs.google.com/spreadsheets/d/1IwnW3-jjRf74MCLW-6P"&amp;"iFwMUffRQXZwZA7YM609NmRc/edit?usp=share_link"",""ปัตตานี!J598"")+IMPORTRANGE(""https://docs.google.com/spreadsheets/d/1vl4QWbWdFruual5o_wdo6ZSqXZ_it806oja4CctTLKs/edit?usp=share_link"",""พังงา!J598"")+IMPORTRANGE(""https://docs.google.com/spreadsheets/d/1"&amp;"b6QssHQp2FoAPSMKHOy273KNzAomaIKhtdlvuZ_zDNE/edit?usp=share_link"",""พัทลุง!J598"")+IMPORTRANGE(""https://docs.google.com/spreadsheets/d/1o7UZe4_OqlqtLDHrj01Z2YFRSZDf1DMy1n3XViHaxRc/edit?usp=share_link"",""ภูเก็ต!J598"")+IMPORTRANGE(""https://docs.google.c"&amp;"om/spreadsheets/d/1ctPm1vUzcUCPuOj9-eoHUD85PqINFqUB0TjdSWmR5-c/edit?usp=share_link"",""ยะลา!J598"")+IMPORTRANGE(""https://docs.google.com/spreadsheets/d/1YiDIE7Klmt8osgdapRqYWNr7iPGFSsiJqq46S7PYRE0/edit?usp=share_link"",""ระนอง!J598"")+IMPORTRANGE(""https"&amp;"://docs.google.com/spreadsheets/d/16o_4B-V7AWw_6E93bSpXj_XxVv1oVQctk-B6z1dNEWU/edit?usp=share_link"",""สงขลา!J598"")+IMPORTRANGE(""https://docs.google.com/spreadsheets/d/16cywr71Fj4fA5OGRHsZh30ZG2gwJhMAQv69oVBzYHv0/edit?usp=share_link"",""สตูล!J598"")+IMP"&amp;"ORTRANGE(""https://docs.google.com/spreadsheets/d/1vO9Sws6kMtrVtyvrAJptINXjK8TFBoX9xLYOVK_C8bQ/edit?usp=share_link"",""สุราษฎร์ธานี!J598"")"),49)</f>
        <v>49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20.25" customHeight="1">
      <c r="A599" s="607"/>
      <c r="B599" s="608"/>
      <c r="C599" s="608"/>
      <c r="D599" s="263" t="s">
        <v>256</v>
      </c>
      <c r="E599" s="618"/>
      <c r="F599" s="618"/>
      <c r="G599" s="175"/>
      <c r="H599" s="182" t="s">
        <v>46</v>
      </c>
      <c r="I599" s="37"/>
      <c r="J599" s="183">
        <f ca="1">IFERROR(__xludf.DUMMYFUNCTION("IMPORTRANGE(""https://docs.google.com/spreadsheets/d/1kC41EOXpGBFOW658Fs3oD8beYlym0-zO54WY-2Qnp9I/edit?usp=share_link"",""กระบี่!J599"")
+IMPORTRANGE(""https://docs.google.com/spreadsheets/d/1FbzMZY_f3MDiEuK7RpCQKrilJ_kpX0Wm7QBZ1L7EjIU/edit?usp=share_link"&amp;""",""ชุมพร!J599"")+IMPORTRANGE(""https://docs.google.com/spreadsheets/d/1v5sN-00LrXuhBxw4dkh2GrG_z4l5oAqOdJRBCsUyMaM/edit?usp=share_link"",""ตรัง!J599"")+IMPORTRANGE(""https://docs.google.com/spreadsheets/d/1T5rRTzFc79aSIvqnzkZNvwPstq829QYz_xALlO1Z0s8/edi"&amp;"t?usp=share_link"",""นครศรีธรรมราช!J599"")+IMPORTRANGE(""https://docs.google.com/spreadsheets/d/1BeghqumK0IvCmRd2QOy6_afsZq7ZtAGrSnVJy2u7WmY/edit?usp=share_link"",""นราธิวาส!J599"")+IMPORTRANGE(""https://docs.google.com/spreadsheets/d/1IwnW3-jjRf74MCLW-6P"&amp;"iFwMUffRQXZwZA7YM609NmRc/edit?usp=share_link"",""ปัตตานี!J599"")+IMPORTRANGE(""https://docs.google.com/spreadsheets/d/1vl4QWbWdFruual5o_wdo6ZSqXZ_it806oja4CctTLKs/edit?usp=share_link"",""พังงา!J599"")+IMPORTRANGE(""https://docs.google.com/spreadsheets/d/1"&amp;"b6QssHQp2FoAPSMKHOy273KNzAomaIKhtdlvuZ_zDNE/edit?usp=share_link"",""พัทลุง!J599"")+IMPORTRANGE(""https://docs.google.com/spreadsheets/d/1o7UZe4_OqlqtLDHrj01Z2YFRSZDf1DMy1n3XViHaxRc/edit?usp=share_link"",""ภูเก็ต!J599"")+IMPORTRANGE(""https://docs.google.c"&amp;"om/spreadsheets/d/1ctPm1vUzcUCPuOj9-eoHUD85PqINFqUB0TjdSWmR5-c/edit?usp=share_link"",""ยะลา!J599"")+IMPORTRANGE(""https://docs.google.com/spreadsheets/d/1YiDIE7Klmt8osgdapRqYWNr7iPGFSsiJqq46S7PYRE0/edit?usp=share_link"",""ระนอง!J599"")+IMPORTRANGE(""https"&amp;"://docs.google.com/spreadsheets/d/16o_4B-V7AWw_6E93bSpXj_XxVv1oVQctk-B6z1dNEWU/edit?usp=share_link"",""สงขลา!J599"")+IMPORTRANGE(""https://docs.google.com/spreadsheets/d/16cywr71Fj4fA5OGRHsZh30ZG2gwJhMAQv69oVBzYHv0/edit?usp=share_link"",""สตูล!J599"")+IMP"&amp;"ORTRANGE(""https://docs.google.com/spreadsheets/d/1vO9Sws6kMtrVtyvrAJptINXjK8TFBoX9xLYOVK_C8bQ/edit?usp=share_link"",""สุราษฎร์ธานี!J599"")"),0)</f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20.25" customHeight="1">
      <c r="A600" s="607"/>
      <c r="B600" s="608"/>
      <c r="C600" s="608"/>
      <c r="D600" s="608"/>
      <c r="E600" s="618"/>
      <c r="F600" s="618"/>
      <c r="G600" s="175"/>
      <c r="H600" s="182" t="s">
        <v>34</v>
      </c>
      <c r="I600" s="37"/>
      <c r="J600" s="183">
        <f ca="1">IFERROR(__xludf.DUMMYFUNCTION("IMPORTRANGE(""https://docs.google.com/spreadsheets/d/1kC41EOXpGBFOW658Fs3oD8beYlym0-zO54WY-2Qnp9I/edit?usp=share_link"",""กระบี่!J600"")
+IMPORTRANGE(""https://docs.google.com/spreadsheets/d/1FbzMZY_f3MDiEuK7RpCQKrilJ_kpX0Wm7QBZ1L7EjIU/edit?usp=share_link"&amp;""",""ชุมพร!J600"")+IMPORTRANGE(""https://docs.google.com/spreadsheets/d/1v5sN-00LrXuhBxw4dkh2GrG_z4l5oAqOdJRBCsUyMaM/edit?usp=share_link"",""ตรัง!J600"")+IMPORTRANGE(""https://docs.google.com/spreadsheets/d/1T5rRTzFc79aSIvqnzkZNvwPstq829QYz_xALlO1Z0s8/edi"&amp;"t?usp=share_link"",""นครศรีธรรมราช!J600"")+IMPORTRANGE(""https://docs.google.com/spreadsheets/d/1BeghqumK0IvCmRd2QOy6_afsZq7ZtAGrSnVJy2u7WmY/edit?usp=share_link"",""นราธิวาส!J600"")+IMPORTRANGE(""https://docs.google.com/spreadsheets/d/1IwnW3-jjRf74MCLW-6P"&amp;"iFwMUffRQXZwZA7YM609NmRc/edit?usp=share_link"",""ปัตตานี!J600"")+IMPORTRANGE(""https://docs.google.com/spreadsheets/d/1vl4QWbWdFruual5o_wdo6ZSqXZ_it806oja4CctTLKs/edit?usp=share_link"",""พังงา!J600"")+IMPORTRANGE(""https://docs.google.com/spreadsheets/d/1"&amp;"b6QssHQp2FoAPSMKHOy273KNzAomaIKhtdlvuZ_zDNE/edit?usp=share_link"",""พัทลุง!J600"")+IMPORTRANGE(""https://docs.google.com/spreadsheets/d/1o7UZe4_OqlqtLDHrj01Z2YFRSZDf1DMy1n3XViHaxRc/edit?usp=share_link"",""ภูเก็ต!J600"")+IMPORTRANGE(""https://docs.google.c"&amp;"om/spreadsheets/d/1ctPm1vUzcUCPuOj9-eoHUD85PqINFqUB0TjdSWmR5-c/edit?usp=share_link"",""ยะลา!J600"")+IMPORTRANGE(""https://docs.google.com/spreadsheets/d/1YiDIE7Klmt8osgdapRqYWNr7iPGFSsiJqq46S7PYRE0/edit?usp=share_link"",""ระนอง!J600"")+IMPORTRANGE(""https"&amp;"://docs.google.com/spreadsheets/d/16o_4B-V7AWw_6E93bSpXj_XxVv1oVQctk-B6z1dNEWU/edit?usp=share_link"",""สงขลา!J600"")+IMPORTRANGE(""https://docs.google.com/spreadsheets/d/16cywr71Fj4fA5OGRHsZh30ZG2gwJhMAQv69oVBzYHv0/edit?usp=share_link"",""สตูล!J600"")+IMP"&amp;"ORTRANGE(""https://docs.google.com/spreadsheets/d/1vO9Sws6kMtrVtyvrAJptINXjK8TFBoX9xLYOVK_C8bQ/edit?usp=share_link"",""สุราษฎร์ธานี!J600"")"),0)</f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20.25" customHeight="1">
      <c r="A601" s="607"/>
      <c r="B601" s="608"/>
      <c r="C601" s="608"/>
      <c r="D601" s="263" t="s">
        <v>257</v>
      </c>
      <c r="E601" s="618"/>
      <c r="F601" s="618"/>
      <c r="G601" s="175"/>
      <c r="H601" s="182" t="s">
        <v>46</v>
      </c>
      <c r="I601" s="37"/>
      <c r="J601" s="183">
        <f ca="1">IFERROR(__xludf.DUMMYFUNCTION("IMPORTRANGE(""https://docs.google.com/spreadsheets/d/1kC41EOXpGBFOW658Fs3oD8beYlym0-zO54WY-2Qnp9I/edit?usp=share_link"",""กระบี่!J601"")
+IMPORTRANGE(""https://docs.google.com/spreadsheets/d/1FbzMZY_f3MDiEuK7RpCQKrilJ_kpX0Wm7QBZ1L7EjIU/edit?usp=share_link"&amp;""",""ชุมพร!J601"")+IMPORTRANGE(""https://docs.google.com/spreadsheets/d/1v5sN-00LrXuhBxw4dkh2GrG_z4l5oAqOdJRBCsUyMaM/edit?usp=share_link"",""ตรัง!J601"")+IMPORTRANGE(""https://docs.google.com/spreadsheets/d/1T5rRTzFc79aSIvqnzkZNvwPstq829QYz_xALlO1Z0s8/edi"&amp;"t?usp=share_link"",""นครศรีธรรมราช!J601"")+IMPORTRANGE(""https://docs.google.com/spreadsheets/d/1BeghqumK0IvCmRd2QOy6_afsZq7ZtAGrSnVJy2u7WmY/edit?usp=share_link"",""นราธิวาส!J601"")+IMPORTRANGE(""https://docs.google.com/spreadsheets/d/1IwnW3-jjRf74MCLW-6P"&amp;"iFwMUffRQXZwZA7YM609NmRc/edit?usp=share_link"",""ปัตตานี!J601"")+IMPORTRANGE(""https://docs.google.com/spreadsheets/d/1vl4QWbWdFruual5o_wdo6ZSqXZ_it806oja4CctTLKs/edit?usp=share_link"",""พังงา!J601"")+IMPORTRANGE(""https://docs.google.com/spreadsheets/d/1"&amp;"b6QssHQp2FoAPSMKHOy273KNzAomaIKhtdlvuZ_zDNE/edit?usp=share_link"",""พัทลุง!J601"")+IMPORTRANGE(""https://docs.google.com/spreadsheets/d/1o7UZe4_OqlqtLDHrj01Z2YFRSZDf1DMy1n3XViHaxRc/edit?usp=share_link"",""ภูเก็ต!J601"")+IMPORTRANGE(""https://docs.google.c"&amp;"om/spreadsheets/d/1ctPm1vUzcUCPuOj9-eoHUD85PqINFqUB0TjdSWmR5-c/edit?usp=share_link"",""ยะลา!J601"")+IMPORTRANGE(""https://docs.google.com/spreadsheets/d/1YiDIE7Klmt8osgdapRqYWNr7iPGFSsiJqq46S7PYRE0/edit?usp=share_link"",""ระนอง!J601"")+IMPORTRANGE(""https"&amp;"://docs.google.com/spreadsheets/d/16o_4B-V7AWw_6E93bSpXj_XxVv1oVQctk-B6z1dNEWU/edit?usp=share_link"",""สงขลา!J601"")+IMPORTRANGE(""https://docs.google.com/spreadsheets/d/16cywr71Fj4fA5OGRHsZh30ZG2gwJhMAQv69oVBzYHv0/edit?usp=share_link"",""สตูล!J601"")+IMP"&amp;"ORTRANGE(""https://docs.google.com/spreadsheets/d/1vO9Sws6kMtrVtyvrAJptINXjK8TFBoX9xLYOVK_C8bQ/edit?usp=share_link"",""สุราษฎร์ธานี!J601"")"),0)</f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20.25" customHeight="1">
      <c r="A602" s="607"/>
      <c r="B602" s="608"/>
      <c r="C602" s="608"/>
      <c r="D602" s="608"/>
      <c r="E602" s="618"/>
      <c r="F602" s="618"/>
      <c r="G602" s="175"/>
      <c r="H602" s="182" t="s">
        <v>34</v>
      </c>
      <c r="I602" s="37"/>
      <c r="J602" s="183">
        <f ca="1">IFERROR(__xludf.DUMMYFUNCTION("IMPORTRANGE(""https://docs.google.com/spreadsheets/d/1kC41EOXpGBFOW658Fs3oD8beYlym0-zO54WY-2Qnp9I/edit?usp=share_link"",""กระบี่!J602"")
+IMPORTRANGE(""https://docs.google.com/spreadsheets/d/1FbzMZY_f3MDiEuK7RpCQKrilJ_kpX0Wm7QBZ1L7EjIU/edit?usp=share_link"&amp;""",""ชุมพร!J602"")+IMPORTRANGE(""https://docs.google.com/spreadsheets/d/1v5sN-00LrXuhBxw4dkh2GrG_z4l5oAqOdJRBCsUyMaM/edit?usp=share_link"",""ตรัง!J602"")+IMPORTRANGE(""https://docs.google.com/spreadsheets/d/1T5rRTzFc79aSIvqnzkZNvwPstq829QYz_xALlO1Z0s8/edi"&amp;"t?usp=share_link"",""นครศรีธรรมราช!J602"")+IMPORTRANGE(""https://docs.google.com/spreadsheets/d/1BeghqumK0IvCmRd2QOy6_afsZq7ZtAGrSnVJy2u7WmY/edit?usp=share_link"",""นราธิวาส!J602"")+IMPORTRANGE(""https://docs.google.com/spreadsheets/d/1IwnW3-jjRf74MCLW-6P"&amp;"iFwMUffRQXZwZA7YM609NmRc/edit?usp=share_link"",""ปัตตานี!J602"")+IMPORTRANGE(""https://docs.google.com/spreadsheets/d/1vl4QWbWdFruual5o_wdo6ZSqXZ_it806oja4CctTLKs/edit?usp=share_link"",""พังงา!J602"")+IMPORTRANGE(""https://docs.google.com/spreadsheets/d/1"&amp;"b6QssHQp2FoAPSMKHOy273KNzAomaIKhtdlvuZ_zDNE/edit?usp=share_link"",""พัทลุง!J602"")+IMPORTRANGE(""https://docs.google.com/spreadsheets/d/1o7UZe4_OqlqtLDHrj01Z2YFRSZDf1DMy1n3XViHaxRc/edit?usp=share_link"",""ภูเก็ต!J602"")+IMPORTRANGE(""https://docs.google.c"&amp;"om/spreadsheets/d/1ctPm1vUzcUCPuOj9-eoHUD85PqINFqUB0TjdSWmR5-c/edit?usp=share_link"",""ยะลา!J602"")+IMPORTRANGE(""https://docs.google.com/spreadsheets/d/1YiDIE7Klmt8osgdapRqYWNr7iPGFSsiJqq46S7PYRE0/edit?usp=share_link"",""ระนอง!J602"")+IMPORTRANGE(""https"&amp;"://docs.google.com/spreadsheets/d/16o_4B-V7AWw_6E93bSpXj_XxVv1oVQctk-B6z1dNEWU/edit?usp=share_link"",""สงขลา!J602"")+IMPORTRANGE(""https://docs.google.com/spreadsheets/d/16cywr71Fj4fA5OGRHsZh30ZG2gwJhMAQv69oVBzYHv0/edit?usp=share_link"",""สตูล!J602"")+IMP"&amp;"ORTRANGE(""https://docs.google.com/spreadsheets/d/1vO9Sws6kMtrVtyvrAJptINXjK8TFBoX9xLYOVK_C8bQ/edit?usp=share_link"",""สุราษฎร์ธานี!J602"")"),0)</f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20.25" customHeight="1">
      <c r="A603" s="607"/>
      <c r="B603" s="608"/>
      <c r="C603" s="703" t="s">
        <v>258</v>
      </c>
      <c r="D603" s="608"/>
      <c r="E603" s="608"/>
      <c r="F603" s="618"/>
      <c r="G603" s="175"/>
      <c r="H603" s="182" t="s">
        <v>46</v>
      </c>
      <c r="I603" s="37"/>
      <c r="J603" s="37">
        <f t="shared" ref="J603:J604" ca="1" si="293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20.25" customHeight="1">
      <c r="A604" s="607"/>
      <c r="B604" s="608"/>
      <c r="C604" s="608"/>
      <c r="D604" s="608"/>
      <c r="E604" s="618"/>
      <c r="F604" s="618"/>
      <c r="G604" s="175"/>
      <c r="H604" s="182" t="s">
        <v>34</v>
      </c>
      <c r="I604" s="37"/>
      <c r="J604" s="37">
        <f t="shared" ca="1" si="293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20.25" customHeight="1">
      <c r="A605" s="607"/>
      <c r="B605" s="608"/>
      <c r="C605" s="608"/>
      <c r="D605" s="703" t="s">
        <v>259</v>
      </c>
      <c r="E605" s="618"/>
      <c r="F605" s="618"/>
      <c r="G605" s="175"/>
      <c r="H605" s="182" t="s">
        <v>46</v>
      </c>
      <c r="I605" s="37"/>
      <c r="J605" s="183">
        <f ca="1">IFERROR(__xludf.DUMMYFUNCTION("IMPORTRANGE(""https://docs.google.com/spreadsheets/d/1kC41EOXpGBFOW658Fs3oD8beYlym0-zO54WY-2Qnp9I/edit?usp=share_link"",""กระบี่!J605"")
+IMPORTRANGE(""https://docs.google.com/spreadsheets/d/1FbzMZY_f3MDiEuK7RpCQKrilJ_kpX0Wm7QBZ1L7EjIU/edit?usp=share_link"&amp;""",""ชุมพร!J605"")+IMPORTRANGE(""https://docs.google.com/spreadsheets/d/1v5sN-00LrXuhBxw4dkh2GrG_z4l5oAqOdJRBCsUyMaM/edit?usp=share_link"",""ตรัง!J605"")+IMPORTRANGE(""https://docs.google.com/spreadsheets/d/1T5rRTzFc79aSIvqnzkZNvwPstq829QYz_xALlO1Z0s8/edi"&amp;"t?usp=share_link"",""นครศรีธรรมราช!J605"")+IMPORTRANGE(""https://docs.google.com/spreadsheets/d/1BeghqumK0IvCmRd2QOy6_afsZq7ZtAGrSnVJy2u7WmY/edit?usp=share_link"",""นราธิวาส!J605"")+IMPORTRANGE(""https://docs.google.com/spreadsheets/d/1IwnW3-jjRf74MCLW-6P"&amp;"iFwMUffRQXZwZA7YM609NmRc/edit?usp=share_link"",""ปัตตานี!J605"")+IMPORTRANGE(""https://docs.google.com/spreadsheets/d/1vl4QWbWdFruual5o_wdo6ZSqXZ_it806oja4CctTLKs/edit?usp=share_link"",""พังงา!J605"")+IMPORTRANGE(""https://docs.google.com/spreadsheets/d/1"&amp;"b6QssHQp2FoAPSMKHOy273KNzAomaIKhtdlvuZ_zDNE/edit?usp=share_link"",""พัทลุง!J605"")+IMPORTRANGE(""https://docs.google.com/spreadsheets/d/1o7UZe4_OqlqtLDHrj01Z2YFRSZDf1DMy1n3XViHaxRc/edit?usp=share_link"",""ภูเก็ต!J605"")+IMPORTRANGE(""https://docs.google.c"&amp;"om/spreadsheets/d/1ctPm1vUzcUCPuOj9-eoHUD85PqINFqUB0TjdSWmR5-c/edit?usp=share_link"",""ยะลา!J605"")+IMPORTRANGE(""https://docs.google.com/spreadsheets/d/1YiDIE7Klmt8osgdapRqYWNr7iPGFSsiJqq46S7PYRE0/edit?usp=share_link"",""ระนอง!J605"")+IMPORTRANGE(""https"&amp;"://docs.google.com/spreadsheets/d/16o_4B-V7AWw_6E93bSpXj_XxVv1oVQctk-B6z1dNEWU/edit?usp=share_link"",""สงขลา!J605"")+IMPORTRANGE(""https://docs.google.com/spreadsheets/d/16cywr71Fj4fA5OGRHsZh30ZG2gwJhMAQv69oVBzYHv0/edit?usp=share_link"",""สตูล!J605"")+IMP"&amp;"ORTRANGE(""https://docs.google.com/spreadsheets/d/1vO9Sws6kMtrVtyvrAJptINXjK8TFBoX9xLYOVK_C8bQ/edit?usp=share_link"",""สุราษฎร์ธานี!J605"")"),0)</f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20.25" customHeight="1">
      <c r="A606" s="607"/>
      <c r="B606" s="608"/>
      <c r="C606" s="608"/>
      <c r="D606" s="608"/>
      <c r="E606" s="608"/>
      <c r="F606" s="618"/>
      <c r="G606" s="175"/>
      <c r="H606" s="182" t="s">
        <v>34</v>
      </c>
      <c r="I606" s="37"/>
      <c r="J606" s="183">
        <f ca="1">IFERROR(__xludf.DUMMYFUNCTION("IMPORTRANGE(""https://docs.google.com/spreadsheets/d/1kC41EOXpGBFOW658Fs3oD8beYlym0-zO54WY-2Qnp9I/edit?usp=share_link"",""กระบี่!J606"")
+IMPORTRANGE(""https://docs.google.com/spreadsheets/d/1FbzMZY_f3MDiEuK7RpCQKrilJ_kpX0Wm7QBZ1L7EjIU/edit?usp=share_link"&amp;""",""ชุมพร!J606"")+IMPORTRANGE(""https://docs.google.com/spreadsheets/d/1v5sN-00LrXuhBxw4dkh2GrG_z4l5oAqOdJRBCsUyMaM/edit?usp=share_link"",""ตรัง!J606"")+IMPORTRANGE(""https://docs.google.com/spreadsheets/d/1T5rRTzFc79aSIvqnzkZNvwPstq829QYz_xALlO1Z0s8/edi"&amp;"t?usp=share_link"",""นครศรีธรรมราช!J606"")+IMPORTRANGE(""https://docs.google.com/spreadsheets/d/1BeghqumK0IvCmRd2QOy6_afsZq7ZtAGrSnVJy2u7WmY/edit?usp=share_link"",""นราธิวาส!J606"")+IMPORTRANGE(""https://docs.google.com/spreadsheets/d/1IwnW3-jjRf74MCLW-6P"&amp;"iFwMUffRQXZwZA7YM609NmRc/edit?usp=share_link"",""ปัตตานี!J606"")+IMPORTRANGE(""https://docs.google.com/spreadsheets/d/1vl4QWbWdFruual5o_wdo6ZSqXZ_it806oja4CctTLKs/edit?usp=share_link"",""พังงา!J606"")+IMPORTRANGE(""https://docs.google.com/spreadsheets/d/1"&amp;"b6QssHQp2FoAPSMKHOy273KNzAomaIKhtdlvuZ_zDNE/edit?usp=share_link"",""พัทลุง!J606"")+IMPORTRANGE(""https://docs.google.com/spreadsheets/d/1o7UZe4_OqlqtLDHrj01Z2YFRSZDf1DMy1n3XViHaxRc/edit?usp=share_link"",""ภูเก็ต!J606"")+IMPORTRANGE(""https://docs.google.c"&amp;"om/spreadsheets/d/1ctPm1vUzcUCPuOj9-eoHUD85PqINFqUB0TjdSWmR5-c/edit?usp=share_link"",""ยะลา!J606"")+IMPORTRANGE(""https://docs.google.com/spreadsheets/d/1YiDIE7Klmt8osgdapRqYWNr7iPGFSsiJqq46S7PYRE0/edit?usp=share_link"",""ระนอง!J606"")+IMPORTRANGE(""https"&amp;"://docs.google.com/spreadsheets/d/16o_4B-V7AWw_6E93bSpXj_XxVv1oVQctk-B6z1dNEWU/edit?usp=share_link"",""สงขลา!J606"")+IMPORTRANGE(""https://docs.google.com/spreadsheets/d/16cywr71Fj4fA5OGRHsZh30ZG2gwJhMAQv69oVBzYHv0/edit?usp=share_link"",""สตูล!J606"")+IMP"&amp;"ORTRANGE(""https://docs.google.com/spreadsheets/d/1vO9Sws6kMtrVtyvrAJptINXjK8TFBoX9xLYOVK_C8bQ/edit?usp=share_link"",""สุราษฎร์ธานี!J606"")"),0)</f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20.25" customHeight="1">
      <c r="A607" s="607"/>
      <c r="B607" s="608"/>
      <c r="C607" s="608"/>
      <c r="D607" s="703" t="s">
        <v>260</v>
      </c>
      <c r="E607" s="608"/>
      <c r="F607" s="618"/>
      <c r="G607" s="175"/>
      <c r="H607" s="182" t="s">
        <v>46</v>
      </c>
      <c r="I607" s="37"/>
      <c r="J607" s="183">
        <f ca="1">IFERROR(__xludf.DUMMYFUNCTION("IMPORTRANGE(""https://docs.google.com/spreadsheets/d/1kC41EOXpGBFOW658Fs3oD8beYlym0-zO54WY-2Qnp9I/edit?usp=share_link"",""กระบี่!J607"")
+IMPORTRANGE(""https://docs.google.com/spreadsheets/d/1FbzMZY_f3MDiEuK7RpCQKrilJ_kpX0Wm7QBZ1L7EjIU/edit?usp=share_link"&amp;""",""ชุมพร!J607"")+IMPORTRANGE(""https://docs.google.com/spreadsheets/d/1v5sN-00LrXuhBxw4dkh2GrG_z4l5oAqOdJRBCsUyMaM/edit?usp=share_link"",""ตรัง!J607"")+IMPORTRANGE(""https://docs.google.com/spreadsheets/d/1T5rRTzFc79aSIvqnzkZNvwPstq829QYz_xALlO1Z0s8/edi"&amp;"t?usp=share_link"",""นครศรีธรรมราช!J607"")+IMPORTRANGE(""https://docs.google.com/spreadsheets/d/1BeghqumK0IvCmRd2QOy6_afsZq7ZtAGrSnVJy2u7WmY/edit?usp=share_link"",""นราธิวาส!J607"")+IMPORTRANGE(""https://docs.google.com/spreadsheets/d/1IwnW3-jjRf74MCLW-6P"&amp;"iFwMUffRQXZwZA7YM609NmRc/edit?usp=share_link"",""ปัตตานี!J607"")+IMPORTRANGE(""https://docs.google.com/spreadsheets/d/1vl4QWbWdFruual5o_wdo6ZSqXZ_it806oja4CctTLKs/edit?usp=share_link"",""พังงา!J607"")+IMPORTRANGE(""https://docs.google.com/spreadsheets/d/1"&amp;"b6QssHQp2FoAPSMKHOy273KNzAomaIKhtdlvuZ_zDNE/edit?usp=share_link"",""พัทลุง!J607"")+IMPORTRANGE(""https://docs.google.com/spreadsheets/d/1o7UZe4_OqlqtLDHrj01Z2YFRSZDf1DMy1n3XViHaxRc/edit?usp=share_link"",""ภูเก็ต!J607"")+IMPORTRANGE(""https://docs.google.c"&amp;"om/spreadsheets/d/1ctPm1vUzcUCPuOj9-eoHUD85PqINFqUB0TjdSWmR5-c/edit?usp=share_link"",""ยะลา!J607"")+IMPORTRANGE(""https://docs.google.com/spreadsheets/d/1YiDIE7Klmt8osgdapRqYWNr7iPGFSsiJqq46S7PYRE0/edit?usp=share_link"",""ระนอง!J607"")+IMPORTRANGE(""https"&amp;"://docs.google.com/spreadsheets/d/16o_4B-V7AWw_6E93bSpXj_XxVv1oVQctk-B6z1dNEWU/edit?usp=share_link"",""สงขลา!J607"")+IMPORTRANGE(""https://docs.google.com/spreadsheets/d/16cywr71Fj4fA5OGRHsZh30ZG2gwJhMAQv69oVBzYHv0/edit?usp=share_link"",""สตูล!J607"")+IMP"&amp;"ORTRANGE(""https://docs.google.com/spreadsheets/d/1vO9Sws6kMtrVtyvrAJptINXjK8TFBoX9xLYOVK_C8bQ/edit?usp=share_link"",""สุราษฎร์ธานี!J607"")"),0)</f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20.25" customHeight="1">
      <c r="A608" s="607"/>
      <c r="B608" s="608"/>
      <c r="C608" s="608"/>
      <c r="D608" s="608"/>
      <c r="E608" s="618"/>
      <c r="F608" s="618"/>
      <c r="G608" s="175"/>
      <c r="H608" s="182" t="s">
        <v>34</v>
      </c>
      <c r="I608" s="37"/>
      <c r="J608" s="183">
        <f ca="1">IFERROR(__xludf.DUMMYFUNCTION("IMPORTRANGE(""https://docs.google.com/spreadsheets/d/1kC41EOXpGBFOW658Fs3oD8beYlym0-zO54WY-2Qnp9I/edit?usp=share_link"",""กระบี่!J608"")
+IMPORTRANGE(""https://docs.google.com/spreadsheets/d/1FbzMZY_f3MDiEuK7RpCQKrilJ_kpX0Wm7QBZ1L7EjIU/edit?usp=share_link"&amp;""",""ชุมพร!J608"")+IMPORTRANGE(""https://docs.google.com/spreadsheets/d/1v5sN-00LrXuhBxw4dkh2GrG_z4l5oAqOdJRBCsUyMaM/edit?usp=share_link"",""ตรัง!J608"")+IMPORTRANGE(""https://docs.google.com/spreadsheets/d/1T5rRTzFc79aSIvqnzkZNvwPstq829QYz_xALlO1Z0s8/edi"&amp;"t?usp=share_link"",""นครศรีธรรมราช!J608"")+IMPORTRANGE(""https://docs.google.com/spreadsheets/d/1BeghqumK0IvCmRd2QOy6_afsZq7ZtAGrSnVJy2u7WmY/edit?usp=share_link"",""นราธิวาส!J608"")+IMPORTRANGE(""https://docs.google.com/spreadsheets/d/1IwnW3-jjRf74MCLW-6P"&amp;"iFwMUffRQXZwZA7YM609NmRc/edit?usp=share_link"",""ปัตตานี!J608"")+IMPORTRANGE(""https://docs.google.com/spreadsheets/d/1vl4QWbWdFruual5o_wdo6ZSqXZ_it806oja4CctTLKs/edit?usp=share_link"",""พังงา!J608"")+IMPORTRANGE(""https://docs.google.com/spreadsheets/d/1"&amp;"b6QssHQp2FoAPSMKHOy273KNzAomaIKhtdlvuZ_zDNE/edit?usp=share_link"",""พัทลุง!J608"")+IMPORTRANGE(""https://docs.google.com/spreadsheets/d/1o7UZe4_OqlqtLDHrj01Z2YFRSZDf1DMy1n3XViHaxRc/edit?usp=share_link"",""ภูเก็ต!J608"")+IMPORTRANGE(""https://docs.google.c"&amp;"om/spreadsheets/d/1ctPm1vUzcUCPuOj9-eoHUD85PqINFqUB0TjdSWmR5-c/edit?usp=share_link"",""ยะลา!J608"")+IMPORTRANGE(""https://docs.google.com/spreadsheets/d/1YiDIE7Klmt8osgdapRqYWNr7iPGFSsiJqq46S7PYRE0/edit?usp=share_link"",""ระนอง!J608"")+IMPORTRANGE(""https"&amp;"://docs.google.com/spreadsheets/d/16o_4B-V7AWw_6E93bSpXj_XxVv1oVQctk-B6z1dNEWU/edit?usp=share_link"",""สงขลา!J608"")+IMPORTRANGE(""https://docs.google.com/spreadsheets/d/16cywr71Fj4fA5OGRHsZh30ZG2gwJhMAQv69oVBzYHv0/edit?usp=share_link"",""สตูล!J608"")+IMP"&amp;"ORTRANGE(""https://docs.google.com/spreadsheets/d/1vO9Sws6kMtrVtyvrAJptINXjK8TFBoX9xLYOVK_C8bQ/edit?usp=share_link"",""สุราษฎร์ธานี!J608"")"),0)</f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20.25" customHeight="1">
      <c r="A609" s="607"/>
      <c r="B609" s="608"/>
      <c r="C609" s="617" t="s">
        <v>261</v>
      </c>
      <c r="D609" s="608"/>
      <c r="E609" s="608"/>
      <c r="F609" s="618"/>
      <c r="G609" s="175"/>
      <c r="H609" s="182" t="s">
        <v>46</v>
      </c>
      <c r="I609" s="37"/>
      <c r="J609" s="183">
        <f ca="1">IFERROR(__xludf.DUMMYFUNCTION("IMPORTRANGE(""https://docs.google.com/spreadsheets/d/1kC41EOXpGBFOW658Fs3oD8beYlym0-zO54WY-2Qnp9I/edit?usp=share_link"",""กระบี่!J609"")
+IMPORTRANGE(""https://docs.google.com/spreadsheets/d/1FbzMZY_f3MDiEuK7RpCQKrilJ_kpX0Wm7QBZ1L7EjIU/edit?usp=share_link"&amp;""",""ชุมพร!J609"")+IMPORTRANGE(""https://docs.google.com/spreadsheets/d/1v5sN-00LrXuhBxw4dkh2GrG_z4l5oAqOdJRBCsUyMaM/edit?usp=share_link"",""ตรัง!J609"")+IMPORTRANGE(""https://docs.google.com/spreadsheets/d/1T5rRTzFc79aSIvqnzkZNvwPstq829QYz_xALlO1Z0s8/edi"&amp;"t?usp=share_link"",""นครศรีธรรมราช!J609"")+IMPORTRANGE(""https://docs.google.com/spreadsheets/d/1BeghqumK0IvCmRd2QOy6_afsZq7ZtAGrSnVJy2u7WmY/edit?usp=share_link"",""นราธิวาส!J609"")+IMPORTRANGE(""https://docs.google.com/spreadsheets/d/1IwnW3-jjRf74MCLW-6P"&amp;"iFwMUffRQXZwZA7YM609NmRc/edit?usp=share_link"",""ปัตตานี!J609"")+IMPORTRANGE(""https://docs.google.com/spreadsheets/d/1vl4QWbWdFruual5o_wdo6ZSqXZ_it806oja4CctTLKs/edit?usp=share_link"",""พังงา!J609"")+IMPORTRANGE(""https://docs.google.com/spreadsheets/d/1"&amp;"b6QssHQp2FoAPSMKHOy273KNzAomaIKhtdlvuZ_zDNE/edit?usp=share_link"",""พัทลุง!J609"")+IMPORTRANGE(""https://docs.google.com/spreadsheets/d/1o7UZe4_OqlqtLDHrj01Z2YFRSZDf1DMy1n3XViHaxRc/edit?usp=share_link"",""ภูเก็ต!J609"")+IMPORTRANGE(""https://docs.google.c"&amp;"om/spreadsheets/d/1ctPm1vUzcUCPuOj9-eoHUD85PqINFqUB0TjdSWmR5-c/edit?usp=share_link"",""ยะลา!J609"")+IMPORTRANGE(""https://docs.google.com/spreadsheets/d/1YiDIE7Klmt8osgdapRqYWNr7iPGFSsiJqq46S7PYRE0/edit?usp=share_link"",""ระนอง!J609"")+IMPORTRANGE(""https"&amp;"://docs.google.com/spreadsheets/d/16o_4B-V7AWw_6E93bSpXj_XxVv1oVQctk-B6z1dNEWU/edit?usp=share_link"",""สงขลา!J609"")+IMPORTRANGE(""https://docs.google.com/spreadsheets/d/16cywr71Fj4fA5OGRHsZh30ZG2gwJhMAQv69oVBzYHv0/edit?usp=share_link"",""สตูล!J609"")+IMP"&amp;"ORTRANGE(""https://docs.google.com/spreadsheets/d/1vO9Sws6kMtrVtyvrAJptINXjK8TFBoX9xLYOVK_C8bQ/edit?usp=share_link"",""สุราษฎร์ธานี!J609"")"),0)</f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20.25" customHeight="1">
      <c r="A610" s="607"/>
      <c r="B610" s="608"/>
      <c r="C610" s="608"/>
      <c r="D610" s="608"/>
      <c r="E610" s="618"/>
      <c r="F610" s="618"/>
      <c r="G610" s="175"/>
      <c r="H610" s="182" t="s">
        <v>34</v>
      </c>
      <c r="I610" s="37"/>
      <c r="J610" s="183">
        <f ca="1">IFERROR(__xludf.DUMMYFUNCTION("IMPORTRANGE(""https://docs.google.com/spreadsheets/d/1kC41EOXpGBFOW658Fs3oD8beYlym0-zO54WY-2Qnp9I/edit?usp=share_link"",""กระบี่!J610"")
+IMPORTRANGE(""https://docs.google.com/spreadsheets/d/1FbzMZY_f3MDiEuK7RpCQKrilJ_kpX0Wm7QBZ1L7EjIU/edit?usp=share_link"&amp;""",""ชุมพร!J610"")+IMPORTRANGE(""https://docs.google.com/spreadsheets/d/1v5sN-00LrXuhBxw4dkh2GrG_z4l5oAqOdJRBCsUyMaM/edit?usp=share_link"",""ตรัง!J610"")+IMPORTRANGE(""https://docs.google.com/spreadsheets/d/1T5rRTzFc79aSIvqnzkZNvwPstq829QYz_xALlO1Z0s8/edi"&amp;"t?usp=share_link"",""นครศรีธรรมราช!J610"")+IMPORTRANGE(""https://docs.google.com/spreadsheets/d/1BeghqumK0IvCmRd2QOy6_afsZq7ZtAGrSnVJy2u7WmY/edit?usp=share_link"",""นราธิวาส!J610"")+IMPORTRANGE(""https://docs.google.com/spreadsheets/d/1IwnW3-jjRf74MCLW-6P"&amp;"iFwMUffRQXZwZA7YM609NmRc/edit?usp=share_link"",""ปัตตานี!J610"")+IMPORTRANGE(""https://docs.google.com/spreadsheets/d/1vl4QWbWdFruual5o_wdo6ZSqXZ_it806oja4CctTLKs/edit?usp=share_link"",""พังงา!J610"")+IMPORTRANGE(""https://docs.google.com/spreadsheets/d/1"&amp;"b6QssHQp2FoAPSMKHOy273KNzAomaIKhtdlvuZ_zDNE/edit?usp=share_link"",""พัทลุง!J610"")+IMPORTRANGE(""https://docs.google.com/spreadsheets/d/1o7UZe4_OqlqtLDHrj01Z2YFRSZDf1DMy1n3XViHaxRc/edit?usp=share_link"",""ภูเก็ต!J610"")+IMPORTRANGE(""https://docs.google.c"&amp;"om/spreadsheets/d/1ctPm1vUzcUCPuOj9-eoHUD85PqINFqUB0TjdSWmR5-c/edit?usp=share_link"",""ยะลา!J610"")+IMPORTRANGE(""https://docs.google.com/spreadsheets/d/1YiDIE7Klmt8osgdapRqYWNr7iPGFSsiJqq46S7PYRE0/edit?usp=share_link"",""ระนอง!J610"")+IMPORTRANGE(""https"&amp;"://docs.google.com/spreadsheets/d/16o_4B-V7AWw_6E93bSpXj_XxVv1oVQctk-B6z1dNEWU/edit?usp=share_link"",""สงขลา!J610"")+IMPORTRANGE(""https://docs.google.com/spreadsheets/d/16cywr71Fj4fA5OGRHsZh30ZG2gwJhMAQv69oVBzYHv0/edit?usp=share_link"",""สตูล!J610"")+IMP"&amp;"ORTRANGE(""https://docs.google.com/spreadsheets/d/1vO9Sws6kMtrVtyvrAJptINXjK8TFBoX9xLYOVK_C8bQ/edit?usp=share_link"",""สุราษฎร์ธานี!J610"")"),0)</f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20.25" customHeight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674">
        <f>J614+J616</f>
        <v>0</v>
      </c>
      <c r="K611" s="675">
        <f t="shared" ref="K611:K613" si="294">IF(I611&gt;0,J611*100/I611,0)</f>
        <v>0</v>
      </c>
      <c r="L611" s="676"/>
      <c r="M611" s="676"/>
      <c r="N611" s="676"/>
      <c r="O611" s="676"/>
      <c r="P611" s="676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20.25" hidden="1" customHeight="1">
      <c r="A612" s="707"/>
      <c r="B612" s="708"/>
      <c r="C612" s="709" t="s">
        <v>263</v>
      </c>
      <c r="D612" s="708"/>
      <c r="E612" s="708"/>
      <c r="F612" s="710"/>
      <c r="G612" s="711"/>
      <c r="H612" s="712" t="s">
        <v>46</v>
      </c>
      <c r="I612" s="713">
        <v>0</v>
      </c>
      <c r="J612" s="714">
        <f t="shared" ref="J612:J613" si="295">J614+J616</f>
        <v>0</v>
      </c>
      <c r="K612" s="715">
        <f t="shared" si="294"/>
        <v>0</v>
      </c>
      <c r="L612" s="716"/>
      <c r="M612" s="716"/>
      <c r="N612" s="716"/>
      <c r="O612" s="716"/>
      <c r="P612" s="716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20.25" hidden="1" customHeight="1">
      <c r="A613" s="707"/>
      <c r="B613" s="708"/>
      <c r="C613" s="717" t="s">
        <v>264</v>
      </c>
      <c r="D613" s="708"/>
      <c r="E613" s="708"/>
      <c r="F613" s="710"/>
      <c r="G613" s="711"/>
      <c r="H613" s="712" t="s">
        <v>34</v>
      </c>
      <c r="I613" s="713">
        <v>0</v>
      </c>
      <c r="J613" s="714">
        <f t="shared" si="295"/>
        <v>0</v>
      </c>
      <c r="K613" s="715">
        <f t="shared" si="294"/>
        <v>0</v>
      </c>
      <c r="L613" s="716"/>
      <c r="M613" s="716"/>
      <c r="N613" s="716"/>
      <c r="O613" s="716"/>
      <c r="P613" s="716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20.25" hidden="1" customHeight="1">
      <c r="A614" s="613"/>
      <c r="B614" s="614"/>
      <c r="C614" s="614"/>
      <c r="D614" s="718" t="s">
        <v>265</v>
      </c>
      <c r="E614" s="614"/>
      <c r="F614" s="600"/>
      <c r="G614" s="366"/>
      <c r="H614" s="370" t="s">
        <v>46</v>
      </c>
      <c r="I614" s="44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20.25" hidden="1" customHeight="1">
      <c r="A615" s="613"/>
      <c r="B615" s="614"/>
      <c r="C615" s="614"/>
      <c r="D615" s="614"/>
      <c r="E615" s="614"/>
      <c r="F615" s="600"/>
      <c r="G615" s="366"/>
      <c r="H615" s="370" t="s">
        <v>34</v>
      </c>
      <c r="I615" s="44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20.25" hidden="1" customHeight="1">
      <c r="A616" s="613"/>
      <c r="B616" s="614"/>
      <c r="C616" s="614"/>
      <c r="D616" s="719" t="s">
        <v>265</v>
      </c>
      <c r="E616" s="600"/>
      <c r="F616" s="600"/>
      <c r="G616" s="366"/>
      <c r="H616" s="370" t="s">
        <v>46</v>
      </c>
      <c r="I616" s="44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20.25" hidden="1" customHeight="1">
      <c r="A617" s="613"/>
      <c r="B617" s="614"/>
      <c r="C617" s="614"/>
      <c r="D617" s="614"/>
      <c r="E617" s="600"/>
      <c r="F617" s="600"/>
      <c r="G617" s="366"/>
      <c r="H617" s="370" t="s">
        <v>34</v>
      </c>
      <c r="I617" s="44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20.25" hidden="1" customHeight="1">
      <c r="A618" s="613"/>
      <c r="B618" s="614"/>
      <c r="C618" s="614"/>
      <c r="D618" s="719" t="s">
        <v>266</v>
      </c>
      <c r="E618" s="600"/>
      <c r="F618" s="600"/>
      <c r="G618" s="366"/>
      <c r="H618" s="370" t="s">
        <v>46</v>
      </c>
      <c r="I618" s="44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20.25" hidden="1" customHeight="1">
      <c r="A619" s="613"/>
      <c r="B619" s="614"/>
      <c r="C619" s="614"/>
      <c r="D619" s="614"/>
      <c r="E619" s="600"/>
      <c r="F619" s="600"/>
      <c r="G619" s="366"/>
      <c r="H619" s="370" t="s">
        <v>34</v>
      </c>
      <c r="I619" s="44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20.25" customHeight="1">
      <c r="A620" s="720"/>
      <c r="B620" s="721"/>
      <c r="C620" s="722" t="s">
        <v>267</v>
      </c>
      <c r="D620" s="721"/>
      <c r="E620" s="721"/>
      <c r="F620" s="723"/>
      <c r="G620" s="724"/>
      <c r="H620" s="725" t="s">
        <v>46</v>
      </c>
      <c r="I620" s="726">
        <f ca="1">IFERROR(__xludf.DUMMYFUNCTION("IMPORTRANGE(""https://docs.google.com/spreadsheets/d/1kC41EOXpGBFOW658Fs3oD8beYlym0-zO54WY-2Qnp9I/edit?usp=share_link"",""กระบี่!I620"")
+IMPORTRANGE(""https://docs.google.com/spreadsheets/d/1FbzMZY_f3MDiEuK7RpCQKrilJ_kpX0Wm7QBZ1L7EjIU/edit?usp=share_link"&amp;""",""ชุมพร!I620"")+IMPORTRANGE(""https://docs.google.com/spreadsheets/d/1v5sN-00LrXuhBxw4dkh2GrG_z4l5oAqOdJRBCsUyMaM/edit?usp=share_link"",""ตรัง!I620"")+IMPORTRANGE(""https://docs.google.com/spreadsheets/d/1T5rRTzFc79aSIvqnzkZNvwPstq829QYz_xALlO1Z0s8/edi"&amp;"t?usp=share_link"",""นครศรีธรรมราช!I620"")+IMPORTRANGE(""https://docs.google.com/spreadsheets/d/1BeghqumK0IvCmRd2QOy6_afsZq7ZtAGrSnVJy2u7WmY/edit?usp=share_link"",""นราธิวาส!I620"")+IMPORTRANGE(""https://docs.google.com/spreadsheets/d/1IwnW3-jjRf74MCLW-6P"&amp;"iFwMUffRQXZwZA7YM609NmRc/edit?usp=share_link"",""ปัตตานี!I620"")+IMPORTRANGE(""https://docs.google.com/spreadsheets/d/1vl4QWbWdFruual5o_wdo6ZSqXZ_it806oja4CctTLKs/edit?usp=share_link"",""พังงา!I620"")+IMPORTRANGE(""https://docs.google.com/spreadsheets/d/1"&amp;"b6QssHQp2FoAPSMKHOy273KNzAomaIKhtdlvuZ_zDNE/edit?usp=share_link"",""พัทลุง!I620"")+IMPORTRANGE(""https://docs.google.com/spreadsheets/d/1o7UZe4_OqlqtLDHrj01Z2YFRSZDf1DMy1n3XViHaxRc/edit?usp=share_link"",""ภูเก็ต!I620"")+IMPORTRANGE(""https://docs.google.c"&amp;"om/spreadsheets/d/1ctPm1vUzcUCPuOj9-eoHUD85PqINFqUB0TjdSWmR5-c/edit?usp=share_link"",""ยะลา!I620"")+IMPORTRANGE(""https://docs.google.com/spreadsheets/d/1YiDIE7Klmt8osgdapRqYWNr7iPGFSsiJqq46S7PYRE0/edit?usp=share_link"",""ระนอง!I620"")+IMPORTRANGE(""https"&amp;"://docs.google.com/spreadsheets/d/16o_4B-V7AWw_6E93bSpXj_XxVv1oVQctk-B6z1dNEWU/edit?usp=share_link"",""สงขลา!I620"")+IMPORTRANGE(""https://docs.google.com/spreadsheets/d/16cywr71Fj4fA5OGRHsZh30ZG2gwJhMAQv69oVBzYHv0/edit?usp=share_link"",""สตูล!I620"")+IMP"&amp;"ORTRANGE(""https://docs.google.com/spreadsheets/d/1vO9Sws6kMtrVtyvrAJptINXjK8TFBoX9xLYOVK_C8bQ/edit?usp=share_link"",""สุราษฎร์ธานี!I620"")"),285)</f>
        <v>285</v>
      </c>
      <c r="J620" s="726">
        <f t="shared" ref="J620:J621" ca="1" si="296">J622+J624+J626</f>
        <v>0</v>
      </c>
      <c r="K620" s="727">
        <f t="shared" ref="K620:K621" ca="1" si="297">IF(I620&gt;0,J620*100/I620,0)</f>
        <v>0</v>
      </c>
      <c r="L620" s="728"/>
      <c r="M620" s="728"/>
      <c r="N620" s="728"/>
      <c r="O620" s="728"/>
      <c r="P620" s="728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20.25" customHeight="1">
      <c r="A621" s="720"/>
      <c r="B621" s="721"/>
      <c r="C621" s="729" t="s">
        <v>268</v>
      </c>
      <c r="D621" s="721"/>
      <c r="E621" s="721"/>
      <c r="F621" s="723"/>
      <c r="G621" s="724"/>
      <c r="H621" s="725" t="s">
        <v>34</v>
      </c>
      <c r="I621" s="726">
        <f ca="1">IFERROR(__xludf.DUMMYFUNCTION("IMPORTRANGE(""https://docs.google.com/spreadsheets/d/1kC41EOXpGBFOW658Fs3oD8beYlym0-zO54WY-2Qnp9I/edit?usp=share_link"",""กระบี่!I621"")
+IMPORTRANGE(""https://docs.google.com/spreadsheets/d/1FbzMZY_f3MDiEuK7RpCQKrilJ_kpX0Wm7QBZ1L7EjIU/edit?usp=share_link"&amp;""",""ชุมพร!I621"")+IMPORTRANGE(""https://docs.google.com/spreadsheets/d/1v5sN-00LrXuhBxw4dkh2GrG_z4l5oAqOdJRBCsUyMaM/edit?usp=share_link"",""ตรัง!I621"")+IMPORTRANGE(""https://docs.google.com/spreadsheets/d/1T5rRTzFc79aSIvqnzkZNvwPstq829QYz_xALlO1Z0s8/edi"&amp;"t?usp=share_link"",""นครศรีธรรมราช!I621"")+IMPORTRANGE(""https://docs.google.com/spreadsheets/d/1BeghqumK0IvCmRd2QOy6_afsZq7ZtAGrSnVJy2u7WmY/edit?usp=share_link"",""นราธิวาส!I621"")+IMPORTRANGE(""https://docs.google.com/spreadsheets/d/1IwnW3-jjRf74MCLW-6P"&amp;"iFwMUffRQXZwZA7YM609NmRc/edit?usp=share_link"",""ปัตตานี!I621"")+IMPORTRANGE(""https://docs.google.com/spreadsheets/d/1vl4QWbWdFruual5o_wdo6ZSqXZ_it806oja4CctTLKs/edit?usp=share_link"",""พังงา!I621"")+IMPORTRANGE(""https://docs.google.com/spreadsheets/d/1"&amp;"b6QssHQp2FoAPSMKHOy273KNzAomaIKhtdlvuZ_zDNE/edit?usp=share_link"",""พัทลุง!I621"")+IMPORTRANGE(""https://docs.google.com/spreadsheets/d/1o7UZe4_OqlqtLDHrj01Z2YFRSZDf1DMy1n3XViHaxRc/edit?usp=share_link"",""ภูเก็ต!I621"")+IMPORTRANGE(""https://docs.google.c"&amp;"om/spreadsheets/d/1ctPm1vUzcUCPuOj9-eoHUD85PqINFqUB0TjdSWmR5-c/edit?usp=share_link"",""ยะลา!I621"")+IMPORTRANGE(""https://docs.google.com/spreadsheets/d/1YiDIE7Klmt8osgdapRqYWNr7iPGFSsiJqq46S7PYRE0/edit?usp=share_link"",""ระนอง!I621"")+IMPORTRANGE(""https"&amp;"://docs.google.com/spreadsheets/d/16o_4B-V7AWw_6E93bSpXj_XxVv1oVQctk-B6z1dNEWU/edit?usp=share_link"",""สงขลา!I621"")+IMPORTRANGE(""https://docs.google.com/spreadsheets/d/16cywr71Fj4fA5OGRHsZh30ZG2gwJhMAQv69oVBzYHv0/edit?usp=share_link"",""สตูล!I621"")+IMP"&amp;"ORTRANGE(""https://docs.google.com/spreadsheets/d/1vO9Sws6kMtrVtyvrAJptINXjK8TFBoX9xLYOVK_C8bQ/edit?usp=share_link"",""สุราษฎร์ธานี!I621"")"),39)</f>
        <v>39</v>
      </c>
      <c r="J621" s="726">
        <f t="shared" ca="1" si="296"/>
        <v>0</v>
      </c>
      <c r="K621" s="727">
        <f t="shared" ca="1" si="297"/>
        <v>0</v>
      </c>
      <c r="L621" s="728"/>
      <c r="M621" s="728"/>
      <c r="N621" s="728"/>
      <c r="O621" s="728"/>
      <c r="P621" s="728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20.25" customHeight="1">
      <c r="A622" s="607"/>
      <c r="B622" s="608"/>
      <c r="C622" s="608"/>
      <c r="D622" s="263" t="s">
        <v>269</v>
      </c>
      <c r="E622" s="618"/>
      <c r="F622" s="618"/>
      <c r="G622" s="175"/>
      <c r="H622" s="182" t="s">
        <v>46</v>
      </c>
      <c r="I622" s="37"/>
      <c r="J622" s="183">
        <f ca="1">IFERROR(__xludf.DUMMYFUNCTION("IMPORTRANGE(""https://docs.google.com/spreadsheets/d/1kC41EOXpGBFOW658Fs3oD8beYlym0-zO54WY-2Qnp9I/edit?usp=share_link"",""กระบี่!J622"")
+IMPORTRANGE(""https://docs.google.com/spreadsheets/d/1FbzMZY_f3MDiEuK7RpCQKrilJ_kpX0Wm7QBZ1L7EjIU/edit?usp=share_link"&amp;""",""ชุมพร!J622"")+IMPORTRANGE(""https://docs.google.com/spreadsheets/d/1v5sN-00LrXuhBxw4dkh2GrG_z4l5oAqOdJRBCsUyMaM/edit?usp=share_link"",""ตรัง!J622"")+IMPORTRANGE(""https://docs.google.com/spreadsheets/d/1T5rRTzFc79aSIvqnzkZNvwPstq829QYz_xALlO1Z0s8/edi"&amp;"t?usp=share_link"",""นครศรีธรรมราช!J622"")+IMPORTRANGE(""https://docs.google.com/spreadsheets/d/1BeghqumK0IvCmRd2QOy6_afsZq7ZtAGrSnVJy2u7WmY/edit?usp=share_link"",""นราธิวาส!J622"")+IMPORTRANGE(""https://docs.google.com/spreadsheets/d/1IwnW3-jjRf74MCLW-6P"&amp;"iFwMUffRQXZwZA7YM609NmRc/edit?usp=share_link"",""ปัตตานี!J622"")+IMPORTRANGE(""https://docs.google.com/spreadsheets/d/1vl4QWbWdFruual5o_wdo6ZSqXZ_it806oja4CctTLKs/edit?usp=share_link"",""พังงา!J622"")+IMPORTRANGE(""https://docs.google.com/spreadsheets/d/1"&amp;"b6QssHQp2FoAPSMKHOy273KNzAomaIKhtdlvuZ_zDNE/edit?usp=share_link"",""พัทลุง!J622"")+IMPORTRANGE(""https://docs.google.com/spreadsheets/d/1o7UZe4_OqlqtLDHrj01Z2YFRSZDf1DMy1n3XViHaxRc/edit?usp=share_link"",""ภูเก็ต!J622"")+IMPORTRANGE(""https://docs.google.c"&amp;"om/spreadsheets/d/1ctPm1vUzcUCPuOj9-eoHUD85PqINFqUB0TjdSWmR5-c/edit?usp=share_link"",""ยะลา!J622"")+IMPORTRANGE(""https://docs.google.com/spreadsheets/d/1YiDIE7Klmt8osgdapRqYWNr7iPGFSsiJqq46S7PYRE0/edit?usp=share_link"",""ระนอง!J622"")+IMPORTRANGE(""https"&amp;"://docs.google.com/spreadsheets/d/16o_4B-V7AWw_6E93bSpXj_XxVv1oVQctk-B6z1dNEWU/edit?usp=share_link"",""สงขลา!J622"")+IMPORTRANGE(""https://docs.google.com/spreadsheets/d/16cywr71Fj4fA5OGRHsZh30ZG2gwJhMAQv69oVBzYHv0/edit?usp=share_link"",""สตูล!J622"")+IMP"&amp;"ORTRANGE(""https://docs.google.com/spreadsheets/d/1vO9Sws6kMtrVtyvrAJptINXjK8TFBoX9xLYOVK_C8bQ/edit?usp=share_link"",""สุราษฎร์ธานี!J622"")"),0)</f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20.25" customHeight="1">
      <c r="A623" s="607"/>
      <c r="B623" s="608"/>
      <c r="C623" s="608"/>
      <c r="D623" s="608"/>
      <c r="E623" s="618"/>
      <c r="F623" s="618"/>
      <c r="G623" s="175"/>
      <c r="H623" s="182" t="s">
        <v>34</v>
      </c>
      <c r="I623" s="37"/>
      <c r="J623" s="183">
        <f ca="1">IFERROR(__xludf.DUMMYFUNCTION("IMPORTRANGE(""https://docs.google.com/spreadsheets/d/1kC41EOXpGBFOW658Fs3oD8beYlym0-zO54WY-2Qnp9I/edit?usp=share_link"",""กระบี่!J623"")
+IMPORTRANGE(""https://docs.google.com/spreadsheets/d/1FbzMZY_f3MDiEuK7RpCQKrilJ_kpX0Wm7QBZ1L7EjIU/edit?usp=share_link"&amp;""",""ชุมพร!J623"")+IMPORTRANGE(""https://docs.google.com/spreadsheets/d/1v5sN-00LrXuhBxw4dkh2GrG_z4l5oAqOdJRBCsUyMaM/edit?usp=share_link"",""ตรัง!J623"")+IMPORTRANGE(""https://docs.google.com/spreadsheets/d/1T5rRTzFc79aSIvqnzkZNvwPstq829QYz_xALlO1Z0s8/edi"&amp;"t?usp=share_link"",""นครศรีธรรมราช!J623"")+IMPORTRANGE(""https://docs.google.com/spreadsheets/d/1BeghqumK0IvCmRd2QOy6_afsZq7ZtAGrSnVJy2u7WmY/edit?usp=share_link"",""นราธิวาส!J623"")+IMPORTRANGE(""https://docs.google.com/spreadsheets/d/1IwnW3-jjRf74MCLW-6P"&amp;"iFwMUffRQXZwZA7YM609NmRc/edit?usp=share_link"",""ปัตตานี!J623"")+IMPORTRANGE(""https://docs.google.com/spreadsheets/d/1vl4QWbWdFruual5o_wdo6ZSqXZ_it806oja4CctTLKs/edit?usp=share_link"",""พังงา!J623"")+IMPORTRANGE(""https://docs.google.com/spreadsheets/d/1"&amp;"b6QssHQp2FoAPSMKHOy273KNzAomaIKhtdlvuZ_zDNE/edit?usp=share_link"",""พัทลุง!J623"")+IMPORTRANGE(""https://docs.google.com/spreadsheets/d/1o7UZe4_OqlqtLDHrj01Z2YFRSZDf1DMy1n3XViHaxRc/edit?usp=share_link"",""ภูเก็ต!J623"")+IMPORTRANGE(""https://docs.google.c"&amp;"om/spreadsheets/d/1ctPm1vUzcUCPuOj9-eoHUD85PqINFqUB0TjdSWmR5-c/edit?usp=share_link"",""ยะลา!J623"")+IMPORTRANGE(""https://docs.google.com/spreadsheets/d/1YiDIE7Klmt8osgdapRqYWNr7iPGFSsiJqq46S7PYRE0/edit?usp=share_link"",""ระนอง!J623"")+IMPORTRANGE(""https"&amp;"://docs.google.com/spreadsheets/d/16o_4B-V7AWw_6E93bSpXj_XxVv1oVQctk-B6z1dNEWU/edit?usp=share_link"",""สงขลา!J623"")+IMPORTRANGE(""https://docs.google.com/spreadsheets/d/16cywr71Fj4fA5OGRHsZh30ZG2gwJhMAQv69oVBzYHv0/edit?usp=share_link"",""สตูล!J623"")+IMP"&amp;"ORTRANGE(""https://docs.google.com/spreadsheets/d/1vO9Sws6kMtrVtyvrAJptINXjK8TFBoX9xLYOVK_C8bQ/edit?usp=share_link"",""สุราษฎร์ธานี!J623"")"),0)</f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20.25" customHeight="1">
      <c r="A624" s="607"/>
      <c r="B624" s="608"/>
      <c r="C624" s="608"/>
      <c r="D624" s="263" t="s">
        <v>265</v>
      </c>
      <c r="E624" s="618"/>
      <c r="F624" s="618"/>
      <c r="G624" s="175"/>
      <c r="H624" s="182" t="s">
        <v>46</v>
      </c>
      <c r="I624" s="37"/>
      <c r="J624" s="183">
        <f ca="1">IFERROR(__xludf.DUMMYFUNCTION("IMPORTRANGE(""https://docs.google.com/spreadsheets/d/1kC41EOXpGBFOW658Fs3oD8beYlym0-zO54WY-2Qnp9I/edit?usp=share_link"",""กระบี่!J624"")
+IMPORTRANGE(""https://docs.google.com/spreadsheets/d/1FbzMZY_f3MDiEuK7RpCQKrilJ_kpX0Wm7QBZ1L7EjIU/edit?usp=share_link"&amp;""",""ชุมพร!J624"")+IMPORTRANGE(""https://docs.google.com/spreadsheets/d/1v5sN-00LrXuhBxw4dkh2GrG_z4l5oAqOdJRBCsUyMaM/edit?usp=share_link"",""ตรัง!J624"")+IMPORTRANGE(""https://docs.google.com/spreadsheets/d/1T5rRTzFc79aSIvqnzkZNvwPstq829QYz_xALlO1Z0s8/edi"&amp;"t?usp=share_link"",""นครศรีธรรมราช!J624"")+IMPORTRANGE(""https://docs.google.com/spreadsheets/d/1BeghqumK0IvCmRd2QOy6_afsZq7ZtAGrSnVJy2u7WmY/edit?usp=share_link"",""นราธิวาส!J624"")+IMPORTRANGE(""https://docs.google.com/spreadsheets/d/1IwnW3-jjRf74MCLW-6P"&amp;"iFwMUffRQXZwZA7YM609NmRc/edit?usp=share_link"",""ปัตตานี!J624"")+IMPORTRANGE(""https://docs.google.com/spreadsheets/d/1vl4QWbWdFruual5o_wdo6ZSqXZ_it806oja4CctTLKs/edit?usp=share_link"",""พังงา!J624"")+IMPORTRANGE(""https://docs.google.com/spreadsheets/d/1"&amp;"b6QssHQp2FoAPSMKHOy273KNzAomaIKhtdlvuZ_zDNE/edit?usp=share_link"",""พัทลุง!J624"")+IMPORTRANGE(""https://docs.google.com/spreadsheets/d/1o7UZe4_OqlqtLDHrj01Z2YFRSZDf1DMy1n3XViHaxRc/edit?usp=share_link"",""ภูเก็ต!J624"")+IMPORTRANGE(""https://docs.google.c"&amp;"om/spreadsheets/d/1ctPm1vUzcUCPuOj9-eoHUD85PqINFqUB0TjdSWmR5-c/edit?usp=share_link"",""ยะลา!J624"")+IMPORTRANGE(""https://docs.google.com/spreadsheets/d/1YiDIE7Klmt8osgdapRqYWNr7iPGFSsiJqq46S7PYRE0/edit?usp=share_link"",""ระนอง!J624"")+IMPORTRANGE(""https"&amp;"://docs.google.com/spreadsheets/d/16o_4B-V7AWw_6E93bSpXj_XxVv1oVQctk-B6z1dNEWU/edit?usp=share_link"",""สงขลา!J624"")+IMPORTRANGE(""https://docs.google.com/spreadsheets/d/16cywr71Fj4fA5OGRHsZh30ZG2gwJhMAQv69oVBzYHv0/edit?usp=share_link"",""สตูล!J624"")+IMP"&amp;"ORTRANGE(""https://docs.google.com/spreadsheets/d/1vO9Sws6kMtrVtyvrAJptINXjK8TFBoX9xLYOVK_C8bQ/edit?usp=share_link"",""สุราษฎร์ธานี!J624"")"),0)</f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20.25" customHeight="1">
      <c r="A625" s="607"/>
      <c r="B625" s="608"/>
      <c r="C625" s="608"/>
      <c r="D625" s="608"/>
      <c r="E625" s="618"/>
      <c r="F625" s="618"/>
      <c r="G625" s="175"/>
      <c r="H625" s="182" t="s">
        <v>34</v>
      </c>
      <c r="I625" s="37"/>
      <c r="J625" s="183">
        <f ca="1">IFERROR(__xludf.DUMMYFUNCTION("IMPORTRANGE(""https://docs.google.com/spreadsheets/d/1kC41EOXpGBFOW658Fs3oD8beYlym0-zO54WY-2Qnp9I/edit?usp=share_link"",""กระบี่!J625"")
+IMPORTRANGE(""https://docs.google.com/spreadsheets/d/1FbzMZY_f3MDiEuK7RpCQKrilJ_kpX0Wm7QBZ1L7EjIU/edit?usp=share_link"&amp;""",""ชุมพร!J625"")+IMPORTRANGE(""https://docs.google.com/spreadsheets/d/1v5sN-00LrXuhBxw4dkh2GrG_z4l5oAqOdJRBCsUyMaM/edit?usp=share_link"",""ตรัง!J625"")+IMPORTRANGE(""https://docs.google.com/spreadsheets/d/1T5rRTzFc79aSIvqnzkZNvwPstq829QYz_xALlO1Z0s8/edi"&amp;"t?usp=share_link"",""นครศรีธรรมราช!J625"")+IMPORTRANGE(""https://docs.google.com/spreadsheets/d/1BeghqumK0IvCmRd2QOy6_afsZq7ZtAGrSnVJy2u7WmY/edit?usp=share_link"",""นราธิวาส!J625"")+IMPORTRANGE(""https://docs.google.com/spreadsheets/d/1IwnW3-jjRf74MCLW-6P"&amp;"iFwMUffRQXZwZA7YM609NmRc/edit?usp=share_link"",""ปัตตานี!J625"")+IMPORTRANGE(""https://docs.google.com/spreadsheets/d/1vl4QWbWdFruual5o_wdo6ZSqXZ_it806oja4CctTLKs/edit?usp=share_link"",""พังงา!J625"")+IMPORTRANGE(""https://docs.google.com/spreadsheets/d/1"&amp;"b6QssHQp2FoAPSMKHOy273KNzAomaIKhtdlvuZ_zDNE/edit?usp=share_link"",""พัทลุง!J625"")+IMPORTRANGE(""https://docs.google.com/spreadsheets/d/1o7UZe4_OqlqtLDHrj01Z2YFRSZDf1DMy1n3XViHaxRc/edit?usp=share_link"",""ภูเก็ต!J625"")+IMPORTRANGE(""https://docs.google.c"&amp;"om/spreadsheets/d/1ctPm1vUzcUCPuOj9-eoHUD85PqINFqUB0TjdSWmR5-c/edit?usp=share_link"",""ยะลา!J625"")+IMPORTRANGE(""https://docs.google.com/spreadsheets/d/1YiDIE7Klmt8osgdapRqYWNr7iPGFSsiJqq46S7PYRE0/edit?usp=share_link"",""ระนอง!J625"")+IMPORTRANGE(""https"&amp;"://docs.google.com/spreadsheets/d/16o_4B-V7AWw_6E93bSpXj_XxVv1oVQctk-B6z1dNEWU/edit?usp=share_link"",""สงขลา!J625"")+IMPORTRANGE(""https://docs.google.com/spreadsheets/d/16cywr71Fj4fA5OGRHsZh30ZG2gwJhMAQv69oVBzYHv0/edit?usp=share_link"",""สตูล!J625"")+IMP"&amp;"ORTRANGE(""https://docs.google.com/spreadsheets/d/1vO9Sws6kMtrVtyvrAJptINXjK8TFBoX9xLYOVK_C8bQ/edit?usp=share_link"",""สุราษฎร์ธานี!J625"")"),0)</f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20.25" customHeight="1">
      <c r="A626" s="607"/>
      <c r="B626" s="608"/>
      <c r="C626" s="608"/>
      <c r="D626" s="263" t="s">
        <v>270</v>
      </c>
      <c r="E626" s="618"/>
      <c r="F626" s="618"/>
      <c r="G626" s="175"/>
      <c r="H626" s="182" t="s">
        <v>46</v>
      </c>
      <c r="I626" s="37"/>
      <c r="J626" s="183">
        <f ca="1">IFERROR(__xludf.DUMMYFUNCTION("IMPORTRANGE(""https://docs.google.com/spreadsheets/d/1kC41EOXpGBFOW658Fs3oD8beYlym0-zO54WY-2Qnp9I/edit?usp=share_link"",""กระบี่!J626"")
+IMPORTRANGE(""https://docs.google.com/spreadsheets/d/1FbzMZY_f3MDiEuK7RpCQKrilJ_kpX0Wm7QBZ1L7EjIU/edit?usp=share_link"&amp;""",""ชุมพร!J626"")+IMPORTRANGE(""https://docs.google.com/spreadsheets/d/1v5sN-00LrXuhBxw4dkh2GrG_z4l5oAqOdJRBCsUyMaM/edit?usp=share_link"",""ตรัง!J626"")+IMPORTRANGE(""https://docs.google.com/spreadsheets/d/1T5rRTzFc79aSIvqnzkZNvwPstq829QYz_xALlO1Z0s8/edi"&amp;"t?usp=share_link"",""นครศรีธรรมราช!J626"")+IMPORTRANGE(""https://docs.google.com/spreadsheets/d/1BeghqumK0IvCmRd2QOy6_afsZq7ZtAGrSnVJy2u7WmY/edit?usp=share_link"",""นราธิวาส!J626"")+IMPORTRANGE(""https://docs.google.com/spreadsheets/d/1IwnW3-jjRf74MCLW-6P"&amp;"iFwMUffRQXZwZA7YM609NmRc/edit?usp=share_link"",""ปัตตานี!J626"")+IMPORTRANGE(""https://docs.google.com/spreadsheets/d/1vl4QWbWdFruual5o_wdo6ZSqXZ_it806oja4CctTLKs/edit?usp=share_link"",""พังงา!J626"")+IMPORTRANGE(""https://docs.google.com/spreadsheets/d/1"&amp;"b6QssHQp2FoAPSMKHOy273KNzAomaIKhtdlvuZ_zDNE/edit?usp=share_link"",""พัทลุง!J626"")+IMPORTRANGE(""https://docs.google.com/spreadsheets/d/1o7UZe4_OqlqtLDHrj01Z2YFRSZDf1DMy1n3XViHaxRc/edit?usp=share_link"",""ภูเก็ต!J626"")+IMPORTRANGE(""https://docs.google.c"&amp;"om/spreadsheets/d/1ctPm1vUzcUCPuOj9-eoHUD85PqINFqUB0TjdSWmR5-c/edit?usp=share_link"",""ยะลา!J626"")+IMPORTRANGE(""https://docs.google.com/spreadsheets/d/1YiDIE7Klmt8osgdapRqYWNr7iPGFSsiJqq46S7PYRE0/edit?usp=share_link"",""ระนอง!J626"")+IMPORTRANGE(""https"&amp;"://docs.google.com/spreadsheets/d/16o_4B-V7AWw_6E93bSpXj_XxVv1oVQctk-B6z1dNEWU/edit?usp=share_link"",""สงขลา!J626"")+IMPORTRANGE(""https://docs.google.com/spreadsheets/d/16cywr71Fj4fA5OGRHsZh30ZG2gwJhMAQv69oVBzYHv0/edit?usp=share_link"",""สตูล!J626"")+IMP"&amp;"ORTRANGE(""https://docs.google.com/spreadsheets/d/1vO9Sws6kMtrVtyvrAJptINXjK8TFBoX9xLYOVK_C8bQ/edit?usp=share_link"",""สุราษฎร์ธานี!J626"")"),0)</f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20.25" customHeight="1">
      <c r="A627" s="730"/>
      <c r="B627" s="731"/>
      <c r="C627" s="731"/>
      <c r="D627" s="731"/>
      <c r="E627" s="732"/>
      <c r="F627" s="732"/>
      <c r="G627" s="733"/>
      <c r="H627" s="423" t="s">
        <v>34</v>
      </c>
      <c r="I627" s="505"/>
      <c r="J627" s="425">
        <f ca="1">IFERROR(__xludf.DUMMYFUNCTION("IMPORTRANGE(""https://docs.google.com/spreadsheets/d/1kC41EOXpGBFOW658Fs3oD8beYlym0-zO54WY-2Qnp9I/edit?usp=share_link"",""กระบี่!J627"")
+IMPORTRANGE(""https://docs.google.com/spreadsheets/d/1FbzMZY_f3MDiEuK7RpCQKrilJ_kpX0Wm7QBZ1L7EjIU/edit?usp=share_link"&amp;""",""ชุมพร!J627"")+IMPORTRANGE(""https://docs.google.com/spreadsheets/d/1v5sN-00LrXuhBxw4dkh2GrG_z4l5oAqOdJRBCsUyMaM/edit?usp=share_link"",""ตรัง!J627"")+IMPORTRANGE(""https://docs.google.com/spreadsheets/d/1T5rRTzFc79aSIvqnzkZNvwPstq829QYz_xALlO1Z0s8/edi"&amp;"t?usp=share_link"",""นครศรีธรรมราช!J627"")+IMPORTRANGE(""https://docs.google.com/spreadsheets/d/1BeghqumK0IvCmRd2QOy6_afsZq7ZtAGrSnVJy2u7WmY/edit?usp=share_link"",""นราธิวาส!J627"")+IMPORTRANGE(""https://docs.google.com/spreadsheets/d/1IwnW3-jjRf74MCLW-6P"&amp;"iFwMUffRQXZwZA7YM609NmRc/edit?usp=share_link"",""ปัตตานี!J627"")+IMPORTRANGE(""https://docs.google.com/spreadsheets/d/1vl4QWbWdFruual5o_wdo6ZSqXZ_it806oja4CctTLKs/edit?usp=share_link"",""พังงา!J627"")+IMPORTRANGE(""https://docs.google.com/spreadsheets/d/1"&amp;"b6QssHQp2FoAPSMKHOy273KNzAomaIKhtdlvuZ_zDNE/edit?usp=share_link"",""พัทลุง!J627"")+IMPORTRANGE(""https://docs.google.com/spreadsheets/d/1o7UZe4_OqlqtLDHrj01Z2YFRSZDf1DMy1n3XViHaxRc/edit?usp=share_link"",""ภูเก็ต!J627"")+IMPORTRANGE(""https://docs.google.c"&amp;"om/spreadsheets/d/1ctPm1vUzcUCPuOj9-eoHUD85PqINFqUB0TjdSWmR5-c/edit?usp=share_link"",""ยะลา!J627"")+IMPORTRANGE(""https://docs.google.com/spreadsheets/d/1YiDIE7Klmt8osgdapRqYWNr7iPGFSsiJqq46S7PYRE0/edit?usp=share_link"",""ระนอง!J627"")+IMPORTRANGE(""https"&amp;"://docs.google.com/spreadsheets/d/16o_4B-V7AWw_6E93bSpXj_XxVv1oVQctk-B6z1dNEWU/edit?usp=share_link"",""สงขลา!J627"")+IMPORTRANGE(""https://docs.google.com/spreadsheets/d/16cywr71Fj4fA5OGRHsZh30ZG2gwJhMAQv69oVBzYHv0/edit?usp=share_link"",""สตูล!J627"")+IMP"&amp;"ORTRANGE(""https://docs.google.com/spreadsheets/d/1vO9Sws6kMtrVtyvrAJptINXjK8TFBoX9xLYOVK_C8bQ/edit?usp=share_link"",""สุราษฎร์ธานี!J627"")"),0)</f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20.25" customHeight="1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98">I651</f>
        <v>324</v>
      </c>
      <c r="J628" s="739">
        <f t="shared" ca="1" si="298"/>
        <v>80</v>
      </c>
      <c r="K628" s="740">
        <f ca="1">IF(I628&gt;0,J628*100/I628,0)</f>
        <v>24.691358024691358</v>
      </c>
      <c r="L628" s="741"/>
      <c r="M628" s="741"/>
      <c r="N628" s="741"/>
      <c r="O628" s="741"/>
      <c r="P628" s="741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20.25" customHeight="1">
      <c r="A629" s="596"/>
      <c r="B629" s="575"/>
      <c r="C629" s="575" t="s">
        <v>16</v>
      </c>
      <c r="D629" s="847" t="s">
        <v>17</v>
      </c>
      <c r="E629" s="841"/>
      <c r="F629" s="841"/>
      <c r="G629" s="189"/>
      <c r="H629" s="597" t="s">
        <v>12</v>
      </c>
      <c r="I629" s="37"/>
      <c r="J629" s="37"/>
      <c r="K629" s="38"/>
      <c r="L629" s="195">
        <f t="shared" ref="L629:N629" ca="1" si="299">L630+L631</f>
        <v>1558770</v>
      </c>
      <c r="M629" s="195">
        <f t="shared" ca="1" si="299"/>
        <v>1558770</v>
      </c>
      <c r="N629" s="195">
        <f t="shared" ca="1" si="299"/>
        <v>357365</v>
      </c>
      <c r="O629" s="195">
        <f t="shared" ref="O629:O634" ca="1" si="300">IF(L629&gt;0,N629*100/L629,0)</f>
        <v>22.926089160042853</v>
      </c>
      <c r="P629" s="195">
        <f t="shared" ref="P629:P634" ca="1" si="301">IF(M629&gt;0,N629*100/M629,0)</f>
        <v>22.926089160042853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20.25" hidden="1" customHeight="1">
      <c r="A630" s="598"/>
      <c r="B630" s="599"/>
      <c r="C630" s="599"/>
      <c r="D630" s="600"/>
      <c r="E630" s="601" t="s">
        <v>185</v>
      </c>
      <c r="F630" s="599"/>
      <c r="G630" s="602"/>
      <c r="H630" s="165" t="s">
        <v>12</v>
      </c>
      <c r="I630" s="44"/>
      <c r="J630" s="44"/>
      <c r="K630" s="45"/>
      <c r="L630" s="45">
        <f t="shared" ref="L630:N630" si="302">L633+L640</f>
        <v>0</v>
      </c>
      <c r="M630" s="45">
        <f t="shared" si="302"/>
        <v>0</v>
      </c>
      <c r="N630" s="45">
        <f t="shared" si="302"/>
        <v>0</v>
      </c>
      <c r="O630" s="45">
        <f t="shared" si="300"/>
        <v>0</v>
      </c>
      <c r="P630" s="45">
        <f t="shared" si="301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20.25" hidden="1" customHeight="1">
      <c r="A631" s="598"/>
      <c r="B631" s="604"/>
      <c r="C631" s="599"/>
      <c r="D631" s="600"/>
      <c r="E631" s="601" t="s">
        <v>186</v>
      </c>
      <c r="F631" s="599"/>
      <c r="G631" s="602"/>
      <c r="H631" s="165" t="s">
        <v>12</v>
      </c>
      <c r="I631" s="44"/>
      <c r="J631" s="44"/>
      <c r="K631" s="45"/>
      <c r="L631" s="45">
        <f t="shared" ref="L631:N631" ca="1" si="303">L634+L641</f>
        <v>1558770</v>
      </c>
      <c r="M631" s="45">
        <f t="shared" ca="1" si="303"/>
        <v>1558770</v>
      </c>
      <c r="N631" s="45">
        <f t="shared" ca="1" si="303"/>
        <v>357365</v>
      </c>
      <c r="O631" s="45">
        <f t="shared" ca="1" si="300"/>
        <v>22.926089160042853</v>
      </c>
      <c r="P631" s="45">
        <f t="shared" ca="1" si="301"/>
        <v>22.926089160042853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20.25" customHeight="1">
      <c r="A632" s="596"/>
      <c r="B632" s="574"/>
      <c r="C632" s="575"/>
      <c r="D632" s="605" t="s">
        <v>20</v>
      </c>
      <c r="E632" s="575"/>
      <c r="F632" s="575"/>
      <c r="G632" s="189"/>
      <c r="H632" s="161" t="s">
        <v>12</v>
      </c>
      <c r="I632" s="162"/>
      <c r="J632" s="162"/>
      <c r="K632" s="163"/>
      <c r="L632" s="38">
        <f t="shared" ref="L632:N632" ca="1" si="304">L633+L634</f>
        <v>1558770</v>
      </c>
      <c r="M632" s="38">
        <f t="shared" ca="1" si="304"/>
        <v>1558770</v>
      </c>
      <c r="N632" s="38">
        <f t="shared" ca="1" si="304"/>
        <v>357365</v>
      </c>
      <c r="O632" s="38">
        <f t="shared" ca="1" si="300"/>
        <v>22.926089160042853</v>
      </c>
      <c r="P632" s="38">
        <f t="shared" ca="1" si="301"/>
        <v>22.926089160042853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20.25" hidden="1" customHeight="1">
      <c r="A633" s="598"/>
      <c r="B633" s="604"/>
      <c r="C633" s="599"/>
      <c r="D633" s="600"/>
      <c r="E633" s="601" t="s">
        <v>185</v>
      </c>
      <c r="F633" s="599"/>
      <c r="G633" s="602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0"/>
        <v>0</v>
      </c>
      <c r="P633" s="45">
        <f t="shared" si="301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20.25" hidden="1" customHeight="1">
      <c r="A634" s="598"/>
      <c r="B634" s="604"/>
      <c r="C634" s="599"/>
      <c r="D634" s="600"/>
      <c r="E634" s="601" t="s">
        <v>186</v>
      </c>
      <c r="F634" s="599"/>
      <c r="G634" s="602"/>
      <c r="H634" s="165" t="s">
        <v>12</v>
      </c>
      <c r="I634" s="44"/>
      <c r="J634" s="44"/>
      <c r="K634" s="45"/>
      <c r="L634" s="45">
        <f ca="1">IFERROR(__xludf.DUMMYFUNCTION("IMPORTRANGE(""https://docs.google.com/spreadsheets/d/1kC41EOXpGBFOW658Fs3oD8beYlym0-zO54WY-2Qnp9I/edit?usp=share_link"",""กระบี่!L634"")
+IMPORTRANGE(""https://docs.google.com/spreadsheets/d/1FbzMZY_f3MDiEuK7RpCQKrilJ_kpX0Wm7QBZ1L7EjIU/edit?usp=share_link"&amp;""",""ชุมพร!L634"")+IMPORTRANGE(""https://docs.google.com/spreadsheets/d/1v5sN-00LrXuhBxw4dkh2GrG_z4l5oAqOdJRBCsUyMaM/edit?usp=share_link"",""ตรัง!L634"")+IMPORTRANGE(""https://docs.google.com/spreadsheets/d/1T5rRTzFc79aSIvqnzkZNvwPstq829QYz_xALlO1Z0s8/edi"&amp;"t?usp=share_link"",""นครศรีธรรมราช!L634"")+IMPORTRANGE(""https://docs.google.com/spreadsheets/d/1BeghqumK0IvCmRd2QOy6_afsZq7ZtAGrSnVJy2u7WmY/edit?usp=share_link"",""นราธิวาส!L634"")+IMPORTRANGE(""https://docs.google.com/spreadsheets/d/1IwnW3-jjRf74MCLW-6P"&amp;"iFwMUffRQXZwZA7YM609NmRc/edit?usp=share_link"",""ปัตตานี!L634"")+IMPORTRANGE(""https://docs.google.com/spreadsheets/d/1vl4QWbWdFruual5o_wdo6ZSqXZ_it806oja4CctTLKs/edit?usp=share_link"",""พังงา!L634"")+IMPORTRANGE(""https://docs.google.com/spreadsheets/d/1"&amp;"b6QssHQp2FoAPSMKHOy273KNzAomaIKhtdlvuZ_zDNE/edit?usp=share_link"",""พัทลุง!L634"")+IMPORTRANGE(""https://docs.google.com/spreadsheets/d/1o7UZe4_OqlqtLDHrj01Z2YFRSZDf1DMy1n3XViHaxRc/edit?usp=share_link"",""ภูเก็ต!L634"")+IMPORTRANGE(""https://docs.google.c"&amp;"om/spreadsheets/d/1ctPm1vUzcUCPuOj9-eoHUD85PqINFqUB0TjdSWmR5-c/edit?usp=share_link"",""ยะลา!L634"")+IMPORTRANGE(""https://docs.google.com/spreadsheets/d/1YiDIE7Klmt8osgdapRqYWNr7iPGFSsiJqq46S7PYRE0/edit?usp=share_link"",""ระนอง!L634"")+IMPORTRANGE(""https"&amp;"://docs.google.com/spreadsheets/d/16o_4B-V7AWw_6E93bSpXj_XxVv1oVQctk-B6z1dNEWU/edit?usp=share_link"",""สงขลา!L634"")+IMPORTRANGE(""https://docs.google.com/spreadsheets/d/16cywr71Fj4fA5OGRHsZh30ZG2gwJhMAQv69oVBzYHv0/edit?usp=share_link"",""สตูล!L634"")+IMP"&amp;"ORTRANGE(""https://docs.google.com/spreadsheets/d/1vO9Sws6kMtrVtyvrAJptINXjK8TFBoX9xLYOVK_C8bQ/edit?usp=share_link"",""สุราษฎร์ธานี!L634"")"),1558770)</f>
        <v>1558770</v>
      </c>
      <c r="M634" s="93">
        <f ca="1">IFERROR(__xludf.DUMMYFUNCTION("IMPORTRANGE(""https://docs.google.com/spreadsheets/d/1kC41EOXpGBFOW658Fs3oD8beYlym0-zO54WY-2Qnp9I/edit?usp=share_link"",""กระบี่!M634"")
+IMPORTRANGE(""https://docs.google.com/spreadsheets/d/1FbzMZY_f3MDiEuK7RpCQKrilJ_kpX0Wm7QBZ1L7EjIU/edit?usp=share_link"&amp;""",""ชุมพร!M634"")+IMPORTRANGE(""https://docs.google.com/spreadsheets/d/1v5sN-00LrXuhBxw4dkh2GrG_z4l5oAqOdJRBCsUyMaM/edit?usp=share_link"",""ตรัง!M634"")+IMPORTRANGE(""https://docs.google.com/spreadsheets/d/1T5rRTzFc79aSIvqnzkZNvwPstq829QYz_xALlO1Z0s8/edi"&amp;"t?usp=share_link"",""นครศรีธรรมราช!M634"")+IMPORTRANGE(""https://docs.google.com/spreadsheets/d/1BeghqumK0IvCmRd2QOy6_afsZq7ZtAGrSnVJy2u7WmY/edit?usp=share_link"",""นราธิวาส!M634"")+IMPORTRANGE(""https://docs.google.com/spreadsheets/d/1IwnW3-jjRf74MCLW-6P"&amp;"iFwMUffRQXZwZA7YM609NmRc/edit?usp=share_link"",""ปัตตานี!M634"")+IMPORTRANGE(""https://docs.google.com/spreadsheets/d/1vl4QWbWdFruual5o_wdo6ZSqXZ_it806oja4CctTLKs/edit?usp=share_link"",""พังงา!M634"")+IMPORTRANGE(""https://docs.google.com/spreadsheets/d/1"&amp;"b6QssHQp2FoAPSMKHOy273KNzAomaIKhtdlvuZ_zDNE/edit?usp=share_link"",""พัทลุง!M634"")+IMPORTRANGE(""https://docs.google.com/spreadsheets/d/1o7UZe4_OqlqtLDHrj01Z2YFRSZDf1DMy1n3XViHaxRc/edit?usp=share_link"",""ภูเก็ต!M634"")+IMPORTRANGE(""https://docs.google.c"&amp;"om/spreadsheets/d/1ctPm1vUzcUCPuOj9-eoHUD85PqINFqUB0TjdSWmR5-c/edit?usp=share_link"",""ยะลา!M634"")+IMPORTRANGE(""https://docs.google.com/spreadsheets/d/1YiDIE7Klmt8osgdapRqYWNr7iPGFSsiJqq46S7PYRE0/edit?usp=share_link"",""ระนอง!M634"")+IMPORTRANGE(""https"&amp;"://docs.google.com/spreadsheets/d/16o_4B-V7AWw_6E93bSpXj_XxVv1oVQctk-B6z1dNEWU/edit?usp=share_link"",""สงขลา!M634"")+IMPORTRANGE(""https://docs.google.com/spreadsheets/d/16cywr71Fj4fA5OGRHsZh30ZG2gwJhMAQv69oVBzYHv0/edit?usp=share_link"",""สตูล!M634"")+IMP"&amp;"ORTRANGE(""https://docs.google.com/spreadsheets/d/1vO9Sws6kMtrVtyvrAJptINXjK8TFBoX9xLYOVK_C8bQ/edit?usp=share_link"",""สุราษฎร์ธานี!M634"")"),1558770)</f>
        <v>1558770</v>
      </c>
      <c r="N634" s="45">
        <f ca="1">N635+N636+N637+N638</f>
        <v>357365</v>
      </c>
      <c r="O634" s="45">
        <f t="shared" ca="1" si="300"/>
        <v>22.926089160042853</v>
      </c>
      <c r="P634" s="45">
        <f t="shared" ca="1" si="301"/>
        <v>22.926089160042853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20.25" customHeight="1">
      <c r="A635" s="573"/>
      <c r="B635" s="574"/>
      <c r="C635" s="575"/>
      <c r="D635" s="575"/>
      <c r="E635" s="575"/>
      <c r="F635" s="576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IFERROR(__xludf.DUMMYFUNCTION("IMPORTRANGE(""https://docs.google.com/spreadsheets/d/1kC41EOXpGBFOW658Fs3oD8beYlym0-zO54WY-2Qnp9I/edit?usp=share_link"",""กระบี่!N635"")
+IMPORTRANGE(""https://docs.google.com/spreadsheets/d/1FbzMZY_f3MDiEuK7RpCQKrilJ_kpX0Wm7QBZ1L7EjIU/edit?usp=share_link"&amp;""",""ชุมพร!N635"")+IMPORTRANGE(""https://docs.google.com/spreadsheets/d/1v5sN-00LrXuhBxw4dkh2GrG_z4l5oAqOdJRBCsUyMaM/edit?usp=share_link"",""ตรัง!N635"")+IMPORTRANGE(""https://docs.google.com/spreadsheets/d/1T5rRTzFc79aSIvqnzkZNvwPstq829QYz_xALlO1Z0s8/edi"&amp;"t?usp=share_link"",""นครศรีธรรมราช!N635"")+IMPORTRANGE(""https://docs.google.com/spreadsheets/d/1BeghqumK0IvCmRd2QOy6_afsZq7ZtAGrSnVJy2u7WmY/edit?usp=share_link"",""นราธิวาส!N635"")+IMPORTRANGE(""https://docs.google.com/spreadsheets/d/1IwnW3-jjRf74MCLW-6P"&amp;"iFwMUffRQXZwZA7YM609NmRc/edit?usp=share_link"",""ปัตตานี!N635"")+IMPORTRANGE(""https://docs.google.com/spreadsheets/d/1vl4QWbWdFruual5o_wdo6ZSqXZ_it806oja4CctTLKs/edit?usp=share_link"",""พังงา!N635"")+IMPORTRANGE(""https://docs.google.com/spreadsheets/d/1"&amp;"b6QssHQp2FoAPSMKHOy273KNzAomaIKhtdlvuZ_zDNE/edit?usp=share_link"",""พัทลุง!N635"")+IMPORTRANGE(""https://docs.google.com/spreadsheets/d/1o7UZe4_OqlqtLDHrj01Z2YFRSZDf1DMy1n3XViHaxRc/edit?usp=share_link"",""ภูเก็ต!N635"")+IMPORTRANGE(""https://docs.google.c"&amp;"om/spreadsheets/d/1ctPm1vUzcUCPuOj9-eoHUD85PqINFqUB0TjdSWmR5-c/edit?usp=share_link"",""ยะลา!N635"")+IMPORTRANGE(""https://docs.google.com/spreadsheets/d/1YiDIE7Klmt8osgdapRqYWNr7iPGFSsiJqq46S7PYRE0/edit?usp=share_link"",""ระนอง!N635"")+IMPORTRANGE(""https"&amp;"://docs.google.com/spreadsheets/d/16o_4B-V7AWw_6E93bSpXj_XxVv1oVQctk-B6z1dNEWU/edit?usp=share_link"",""สงขลา!N635"")+IMPORTRANGE(""https://docs.google.com/spreadsheets/d/16cywr71Fj4fA5OGRHsZh30ZG2gwJhMAQv69oVBzYHv0/edit?usp=share_link"",""สตูล!N635"")+IMP"&amp;"ORTRANGE(""https://docs.google.com/spreadsheets/d/1vO9Sws6kMtrVtyvrAJptINXjK8TFBoX9xLYOVK_C8bQ/edit?usp=share_link"",""สุราษฎร์ธานี!N635"")"),0)</f>
        <v>0</v>
      </c>
      <c r="O635" s="38"/>
      <c r="P635" s="3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20.25" customHeight="1">
      <c r="A636" s="573"/>
      <c r="B636" s="574"/>
      <c r="C636" s="575"/>
      <c r="D636" s="575"/>
      <c r="E636" s="575"/>
      <c r="F636" s="576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IFERROR(__xludf.DUMMYFUNCTION("IMPORTRANGE(""https://docs.google.com/spreadsheets/d/1kC41EOXpGBFOW658Fs3oD8beYlym0-zO54WY-2Qnp9I/edit?usp=share_link"",""กระบี่!N636"")
+IMPORTRANGE(""https://docs.google.com/spreadsheets/d/1FbzMZY_f3MDiEuK7RpCQKrilJ_kpX0Wm7QBZ1L7EjIU/edit?usp=share_link"&amp;""",""ชุมพร!N636"")+IMPORTRANGE(""https://docs.google.com/spreadsheets/d/1v5sN-00LrXuhBxw4dkh2GrG_z4l5oAqOdJRBCsUyMaM/edit?usp=share_link"",""ตรัง!N636"")+IMPORTRANGE(""https://docs.google.com/spreadsheets/d/1T5rRTzFc79aSIvqnzkZNvwPstq829QYz_xALlO1Z0s8/edi"&amp;"t?usp=share_link"",""นครศรีธรรมราช!N636"")+IMPORTRANGE(""https://docs.google.com/spreadsheets/d/1BeghqumK0IvCmRd2QOy6_afsZq7ZtAGrSnVJy2u7WmY/edit?usp=share_link"",""นราธิวาส!N636"")+IMPORTRANGE(""https://docs.google.com/spreadsheets/d/1IwnW3-jjRf74MCLW-6P"&amp;"iFwMUffRQXZwZA7YM609NmRc/edit?usp=share_link"",""ปัตตานี!N636"")+IMPORTRANGE(""https://docs.google.com/spreadsheets/d/1vl4QWbWdFruual5o_wdo6ZSqXZ_it806oja4CctTLKs/edit?usp=share_link"",""พังงา!N636"")+IMPORTRANGE(""https://docs.google.com/spreadsheets/d/1"&amp;"b6QssHQp2FoAPSMKHOy273KNzAomaIKhtdlvuZ_zDNE/edit?usp=share_link"",""พัทลุง!N636"")+IMPORTRANGE(""https://docs.google.com/spreadsheets/d/1o7UZe4_OqlqtLDHrj01Z2YFRSZDf1DMy1n3XViHaxRc/edit?usp=share_link"",""ภูเก็ต!N636"")+IMPORTRANGE(""https://docs.google.c"&amp;"om/spreadsheets/d/1ctPm1vUzcUCPuOj9-eoHUD85PqINFqUB0TjdSWmR5-c/edit?usp=share_link"",""ยะลา!N636"")+IMPORTRANGE(""https://docs.google.com/spreadsheets/d/1YiDIE7Klmt8osgdapRqYWNr7iPGFSsiJqq46S7PYRE0/edit?usp=share_link"",""ระนอง!N636"")+IMPORTRANGE(""https"&amp;"://docs.google.com/spreadsheets/d/16o_4B-V7AWw_6E93bSpXj_XxVv1oVQctk-B6z1dNEWU/edit?usp=share_link"",""สงขลา!N636"")+IMPORTRANGE(""https://docs.google.com/spreadsheets/d/16cywr71Fj4fA5OGRHsZh30ZG2gwJhMAQv69oVBzYHv0/edit?usp=share_link"",""สตูล!N636"")+IMP"&amp;"ORTRANGE(""https://docs.google.com/spreadsheets/d/1vO9Sws6kMtrVtyvrAJptINXjK8TFBoX9xLYOVK_C8bQ/edit?usp=share_link"",""สุราษฎร์ธานี!N636"")"),0)</f>
        <v>0</v>
      </c>
      <c r="O636" s="38"/>
      <c r="P636" s="3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20.25" customHeight="1">
      <c r="A637" s="573"/>
      <c r="B637" s="574"/>
      <c r="C637" s="575"/>
      <c r="D637" s="575"/>
      <c r="E637" s="575"/>
      <c r="F637" s="576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IFERROR(__xludf.DUMMYFUNCTION("IMPORTRANGE(""https://docs.google.com/spreadsheets/d/1kC41EOXpGBFOW658Fs3oD8beYlym0-zO54WY-2Qnp9I/edit?usp=share_link"",""กระบี่!N637"")
+IMPORTRANGE(""https://docs.google.com/spreadsheets/d/1FbzMZY_f3MDiEuK7RpCQKrilJ_kpX0Wm7QBZ1L7EjIU/edit?usp=share_link"&amp;""",""ชุมพร!N637"")+IMPORTRANGE(""https://docs.google.com/spreadsheets/d/1v5sN-00LrXuhBxw4dkh2GrG_z4l5oAqOdJRBCsUyMaM/edit?usp=share_link"",""ตรัง!N637"")+IMPORTRANGE(""https://docs.google.com/spreadsheets/d/1T5rRTzFc79aSIvqnzkZNvwPstq829QYz_xALlO1Z0s8/edi"&amp;"t?usp=share_link"",""นครศรีธรรมราช!N637"")+IMPORTRANGE(""https://docs.google.com/spreadsheets/d/1BeghqumK0IvCmRd2QOy6_afsZq7ZtAGrSnVJy2u7WmY/edit?usp=share_link"",""นราธิวาส!N637"")+IMPORTRANGE(""https://docs.google.com/spreadsheets/d/1IwnW3-jjRf74MCLW-6P"&amp;"iFwMUffRQXZwZA7YM609NmRc/edit?usp=share_link"",""ปัตตานี!N637"")+IMPORTRANGE(""https://docs.google.com/spreadsheets/d/1vl4QWbWdFruual5o_wdo6ZSqXZ_it806oja4CctTLKs/edit?usp=share_link"",""พังงา!N637"")+IMPORTRANGE(""https://docs.google.com/spreadsheets/d/1"&amp;"b6QssHQp2FoAPSMKHOy273KNzAomaIKhtdlvuZ_zDNE/edit?usp=share_link"",""พัทลุง!N637"")+IMPORTRANGE(""https://docs.google.com/spreadsheets/d/1o7UZe4_OqlqtLDHrj01Z2YFRSZDf1DMy1n3XViHaxRc/edit?usp=share_link"",""ภูเก็ต!N637"")+IMPORTRANGE(""https://docs.google.c"&amp;"om/spreadsheets/d/1ctPm1vUzcUCPuOj9-eoHUD85PqINFqUB0TjdSWmR5-c/edit?usp=share_link"",""ยะลา!N637"")+IMPORTRANGE(""https://docs.google.com/spreadsheets/d/1YiDIE7Klmt8osgdapRqYWNr7iPGFSsiJqq46S7PYRE0/edit?usp=share_link"",""ระนอง!N637"")+IMPORTRANGE(""https"&amp;"://docs.google.com/spreadsheets/d/16o_4B-V7AWw_6E93bSpXj_XxVv1oVQctk-B6z1dNEWU/edit?usp=share_link"",""สงขลา!N637"")+IMPORTRANGE(""https://docs.google.com/spreadsheets/d/16cywr71Fj4fA5OGRHsZh30ZG2gwJhMAQv69oVBzYHv0/edit?usp=share_link"",""สตูล!N637"")+IMP"&amp;"ORTRANGE(""https://docs.google.com/spreadsheets/d/1vO9Sws6kMtrVtyvrAJptINXjK8TFBoX9xLYOVK_C8bQ/edit?usp=share_link"",""สุราษฎร์ธานี!N637"")"),117000)</f>
        <v>117000</v>
      </c>
      <c r="O637" s="38"/>
      <c r="P637" s="3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20.25" customHeight="1">
      <c r="A638" s="573"/>
      <c r="B638" s="574"/>
      <c r="C638" s="575"/>
      <c r="D638" s="575"/>
      <c r="E638" s="575"/>
      <c r="F638" s="576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IFERROR(__xludf.DUMMYFUNCTION("IMPORTRANGE(""https://docs.google.com/spreadsheets/d/1kC41EOXpGBFOW658Fs3oD8beYlym0-zO54WY-2Qnp9I/edit?usp=share_link"",""กระบี่!N638"")
+IMPORTRANGE(""https://docs.google.com/spreadsheets/d/1FbzMZY_f3MDiEuK7RpCQKrilJ_kpX0Wm7QBZ1L7EjIU/edit?usp=share_link"&amp;""",""ชุมพร!N638"")+IMPORTRANGE(""https://docs.google.com/spreadsheets/d/1v5sN-00LrXuhBxw4dkh2GrG_z4l5oAqOdJRBCsUyMaM/edit?usp=share_link"",""ตรัง!N638"")+IMPORTRANGE(""https://docs.google.com/spreadsheets/d/1T5rRTzFc79aSIvqnzkZNvwPstq829QYz_xALlO1Z0s8/edi"&amp;"t?usp=share_link"",""นครศรีธรรมราช!N638"")+IMPORTRANGE(""https://docs.google.com/spreadsheets/d/1BeghqumK0IvCmRd2QOy6_afsZq7ZtAGrSnVJy2u7WmY/edit?usp=share_link"",""นราธิวาส!N638"")+IMPORTRANGE(""https://docs.google.com/spreadsheets/d/1IwnW3-jjRf74MCLW-6P"&amp;"iFwMUffRQXZwZA7YM609NmRc/edit?usp=share_link"",""ปัตตานี!N638"")+IMPORTRANGE(""https://docs.google.com/spreadsheets/d/1vl4QWbWdFruual5o_wdo6ZSqXZ_it806oja4CctTLKs/edit?usp=share_link"",""พังงา!N638"")+IMPORTRANGE(""https://docs.google.com/spreadsheets/d/1"&amp;"b6QssHQp2FoAPSMKHOy273KNzAomaIKhtdlvuZ_zDNE/edit?usp=share_link"",""พัทลุง!N638"")+IMPORTRANGE(""https://docs.google.com/spreadsheets/d/1o7UZe4_OqlqtLDHrj01Z2YFRSZDf1DMy1n3XViHaxRc/edit?usp=share_link"",""ภูเก็ต!N638"")+IMPORTRANGE(""https://docs.google.c"&amp;"om/spreadsheets/d/1ctPm1vUzcUCPuOj9-eoHUD85PqINFqUB0TjdSWmR5-c/edit?usp=share_link"",""ยะลา!N638"")+IMPORTRANGE(""https://docs.google.com/spreadsheets/d/1YiDIE7Klmt8osgdapRqYWNr7iPGFSsiJqq46S7PYRE0/edit?usp=share_link"",""ระนอง!N638"")+IMPORTRANGE(""https"&amp;"://docs.google.com/spreadsheets/d/16o_4B-V7AWw_6E93bSpXj_XxVv1oVQctk-B6z1dNEWU/edit?usp=share_link"",""สงขลา!N638"")+IMPORTRANGE(""https://docs.google.com/spreadsheets/d/16cywr71Fj4fA5OGRHsZh30ZG2gwJhMAQv69oVBzYHv0/edit?usp=share_link"",""สตูล!N638"")+IMP"&amp;"ORTRANGE(""https://docs.google.com/spreadsheets/d/1vO9Sws6kMtrVtyvrAJptINXjK8TFBoX9xLYOVK_C8bQ/edit?usp=share_link"",""สุราษฎร์ธานี!N638"")"),240365)</f>
        <v>240365</v>
      </c>
      <c r="O638" s="38"/>
      <c r="P638" s="3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20.25" customHeight="1">
      <c r="A639" s="596"/>
      <c r="B639" s="574"/>
      <c r="C639" s="575"/>
      <c r="D639" s="605" t="s">
        <v>21</v>
      </c>
      <c r="E639" s="575"/>
      <c r="F639" s="575"/>
      <c r="G639" s="189"/>
      <c r="H639" s="168" t="s">
        <v>12</v>
      </c>
      <c r="I639" s="162"/>
      <c r="J639" s="162"/>
      <c r="K639" s="163"/>
      <c r="L639" s="38">
        <f t="shared" ref="L639:N639" ca="1" si="305">L640+L641</f>
        <v>0</v>
      </c>
      <c r="M639" s="38">
        <f t="shared" si="305"/>
        <v>0</v>
      </c>
      <c r="N639" s="38">
        <f t="shared" si="305"/>
        <v>0</v>
      </c>
      <c r="O639" s="38">
        <f t="shared" ref="O639:O641" ca="1" si="306">IF(L639&gt;0,N639*100/L639,0)</f>
        <v>0</v>
      </c>
      <c r="P639" s="38">
        <f t="shared" ref="P639:P641" si="307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20.25" hidden="1" customHeight="1">
      <c r="A640" s="598"/>
      <c r="B640" s="604"/>
      <c r="C640" s="599"/>
      <c r="D640" s="599"/>
      <c r="E640" s="601" t="s">
        <v>18</v>
      </c>
      <c r="F640" s="599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6"/>
        <v>0</v>
      </c>
      <c r="P640" s="45">
        <f t="shared" si="307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20.25" hidden="1" customHeight="1">
      <c r="A641" s="598"/>
      <c r="B641" s="604"/>
      <c r="C641" s="599"/>
      <c r="D641" s="599"/>
      <c r="E641" s="601" t="s">
        <v>19</v>
      </c>
      <c r="F641" s="599"/>
      <c r="G641" s="602"/>
      <c r="H641" s="169" t="s">
        <v>12</v>
      </c>
      <c r="I641" s="166"/>
      <c r="J641" s="166"/>
      <c r="K641" s="167"/>
      <c r="L641" s="45">
        <f ca="1">IFERROR(__xludf.DUMMYFUNCTION("IMPORTRANGE(""https://docs.google.com/spreadsheets/d/1kC41EOXpGBFOW658Fs3oD8beYlym0-zO54WY-2Qnp9I/edit?usp=share_link"",""กระบี่!L641"")
+IMPORTRANGE(""https://docs.google.com/spreadsheets/d/1FbzMZY_f3MDiEuK7RpCQKrilJ_kpX0Wm7QBZ1L7EjIU/edit?usp=share_link"&amp;""",""ชุมพร!L641"")+IMPORTRANGE(""https://docs.google.com/spreadsheets/d/1v5sN-00LrXuhBxw4dkh2GrG_z4l5oAqOdJRBCsUyMaM/edit?usp=share_link"",""ตรัง!L641"")+IMPORTRANGE(""https://docs.google.com/spreadsheets/d/1T5rRTzFc79aSIvqnzkZNvwPstq829QYz_xALlO1Z0s8/edi"&amp;"t?usp=share_link"",""นครศรีธรรมราช!L641"")+IMPORTRANGE(""https://docs.google.com/spreadsheets/d/1BeghqumK0IvCmRd2QOy6_afsZq7ZtAGrSnVJy2u7WmY/edit?usp=share_link"",""นราธิวาส!L641"")+IMPORTRANGE(""https://docs.google.com/spreadsheets/d/1IwnW3-jjRf74MCLW-6P"&amp;"iFwMUffRQXZwZA7YM609NmRc/edit?usp=share_link"",""ปัตตานี!L641"")+IMPORTRANGE(""https://docs.google.com/spreadsheets/d/1vl4QWbWdFruual5o_wdo6ZSqXZ_it806oja4CctTLKs/edit?usp=share_link"",""พังงา!L641"")+IMPORTRANGE(""https://docs.google.com/spreadsheets/d/1"&amp;"b6QssHQp2FoAPSMKHOy273KNzAomaIKhtdlvuZ_zDNE/edit?usp=share_link"",""พัทลุง!L641"")+IMPORTRANGE(""https://docs.google.com/spreadsheets/d/1o7UZe4_OqlqtLDHrj01Z2YFRSZDf1DMy1n3XViHaxRc/edit?usp=share_link"",""ภูเก็ต!L641"")+IMPORTRANGE(""https://docs.google.c"&amp;"om/spreadsheets/d/1ctPm1vUzcUCPuOj9-eoHUD85PqINFqUB0TjdSWmR5-c/edit?usp=share_link"",""ยะลา!L641"")+IMPORTRANGE(""https://docs.google.com/spreadsheets/d/1YiDIE7Klmt8osgdapRqYWNr7iPGFSsiJqq46S7PYRE0/edit?usp=share_link"",""ระนอง!L641"")+IMPORTRANGE(""https"&amp;"://docs.google.com/spreadsheets/d/16o_4B-V7AWw_6E93bSpXj_XxVv1oVQctk-B6z1dNEWU/edit?usp=share_link"",""สงขลา!L641"")+IMPORTRANGE(""https://docs.google.com/spreadsheets/d/16cywr71Fj4fA5OGRHsZh30ZG2gwJhMAQv69oVBzYHv0/edit?usp=share_link"",""สตูล!L641"")+IMP"&amp;"ORTRANGE(""https://docs.google.com/spreadsheets/d/1vO9Sws6kMtrVtyvrAJptINXjK8TFBoX9xLYOVK_C8bQ/edit?usp=share_link"",""สุราษฎร์ธานี!L641"")"),0)</f>
        <v>0</v>
      </c>
      <c r="M641" s="93">
        <v>0</v>
      </c>
      <c r="N641" s="93">
        <v>0</v>
      </c>
      <c r="O641" s="45">
        <f t="shared" ca="1" si="306"/>
        <v>0</v>
      </c>
      <c r="P641" s="45">
        <f t="shared" si="307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20.25" customHeight="1">
      <c r="A642" s="607"/>
      <c r="B642" s="608"/>
      <c r="C642" s="575" t="s">
        <v>16</v>
      </c>
      <c r="D642" s="677" t="s">
        <v>38</v>
      </c>
      <c r="E642" s="611"/>
      <c r="F642" s="611"/>
      <c r="G642" s="612"/>
      <c r="H642" s="175"/>
      <c r="I642" s="162"/>
      <c r="J642" s="162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20.25" customHeight="1">
      <c r="A643" s="742"/>
      <c r="B643" s="574"/>
      <c r="C643" s="575"/>
      <c r="D643" s="618"/>
      <c r="E643" s="743" t="s">
        <v>272</v>
      </c>
      <c r="F643" s="618"/>
      <c r="G643" s="175"/>
      <c r="H643" s="449" t="s">
        <v>273</v>
      </c>
      <c r="I643" s="270">
        <f ca="1">IFERROR(__xludf.DUMMYFUNCTION("IMPORTRANGE(""https://docs.google.com/spreadsheets/d/1kC41EOXpGBFOW658Fs3oD8beYlym0-zO54WY-2Qnp9I/edit?usp=share_link"",""กระบี่!I643"")
+IMPORTRANGE(""https://docs.google.com/spreadsheets/d/1FbzMZY_f3MDiEuK7RpCQKrilJ_kpX0Wm7QBZ1L7EjIU/edit?usp=share_link"&amp;""",""ชุมพร!I643"")+IMPORTRANGE(""https://docs.google.com/spreadsheets/d/1v5sN-00LrXuhBxw4dkh2GrG_z4l5oAqOdJRBCsUyMaM/edit?usp=share_link"",""ตรัง!I643"")+IMPORTRANGE(""https://docs.google.com/spreadsheets/d/1T5rRTzFc79aSIvqnzkZNvwPstq829QYz_xALlO1Z0s8/edi"&amp;"t?usp=share_link"",""นครศรีธรรมราช!I643"")+IMPORTRANGE(""https://docs.google.com/spreadsheets/d/1BeghqumK0IvCmRd2QOy6_afsZq7ZtAGrSnVJy2u7WmY/edit?usp=share_link"",""นราธิวาส!I643"")+IMPORTRANGE(""https://docs.google.com/spreadsheets/d/1IwnW3-jjRf74MCLW-6P"&amp;"iFwMUffRQXZwZA7YM609NmRc/edit?usp=share_link"",""ปัตตานี!I643"")+IMPORTRANGE(""https://docs.google.com/spreadsheets/d/1vl4QWbWdFruual5o_wdo6ZSqXZ_it806oja4CctTLKs/edit?usp=share_link"",""พังงา!I643"")+IMPORTRANGE(""https://docs.google.com/spreadsheets/d/1"&amp;"b6QssHQp2FoAPSMKHOy273KNzAomaIKhtdlvuZ_zDNE/edit?usp=share_link"",""พัทลุง!I643"")+IMPORTRANGE(""https://docs.google.com/spreadsheets/d/1o7UZe4_OqlqtLDHrj01Z2YFRSZDf1DMy1n3XViHaxRc/edit?usp=share_link"",""ภูเก็ต!I643"")+IMPORTRANGE(""https://docs.google.c"&amp;"om/spreadsheets/d/1ctPm1vUzcUCPuOj9-eoHUD85PqINFqUB0TjdSWmR5-c/edit?usp=share_link"",""ยะลา!I643"")+IMPORTRANGE(""https://docs.google.com/spreadsheets/d/1YiDIE7Klmt8osgdapRqYWNr7iPGFSsiJqq46S7PYRE0/edit?usp=share_link"",""ระนอง!I643"")+IMPORTRANGE(""https"&amp;"://docs.google.com/spreadsheets/d/16o_4B-V7AWw_6E93bSpXj_XxVv1oVQctk-B6z1dNEWU/edit?usp=share_link"",""สงขลา!I643"")+IMPORTRANGE(""https://docs.google.com/spreadsheets/d/16cywr71Fj4fA5OGRHsZh30ZG2gwJhMAQv69oVBzYHv0/edit?usp=share_link"",""สตูล!I643"")+IMP"&amp;"ORTRANGE(""https://docs.google.com/spreadsheets/d/1vO9Sws6kMtrVtyvrAJptINXjK8TFBoX9xLYOVK_C8bQ/edit?usp=share_link"",""สุราษฎร์ธานี!I643"")"),5)</f>
        <v>5</v>
      </c>
      <c r="J643" s="183">
        <f ca="1">IFERROR(__xludf.DUMMYFUNCTION("IMPORTRANGE(""https://docs.google.com/spreadsheets/d/1kC41EOXpGBFOW658Fs3oD8beYlym0-zO54WY-2Qnp9I/edit?usp=share_link"",""กระบี่!J643"")
+IMPORTRANGE(""https://docs.google.com/spreadsheets/d/1FbzMZY_f3MDiEuK7RpCQKrilJ_kpX0Wm7QBZ1L7EjIU/edit?usp=share_link"&amp;""",""ชุมพร!J643"")+IMPORTRANGE(""https://docs.google.com/spreadsheets/d/1v5sN-00LrXuhBxw4dkh2GrG_z4l5oAqOdJRBCsUyMaM/edit?usp=share_link"",""ตรัง!J643"")+IMPORTRANGE(""https://docs.google.com/spreadsheets/d/1T5rRTzFc79aSIvqnzkZNvwPstq829QYz_xALlO1Z0s8/edi"&amp;"t?usp=share_link"",""นครศรีธรรมราช!J643"")+IMPORTRANGE(""https://docs.google.com/spreadsheets/d/1BeghqumK0IvCmRd2QOy6_afsZq7ZtAGrSnVJy2u7WmY/edit?usp=share_link"",""นราธิวาส!J643"")+IMPORTRANGE(""https://docs.google.com/spreadsheets/d/1IwnW3-jjRf74MCLW-6P"&amp;"iFwMUffRQXZwZA7YM609NmRc/edit?usp=share_link"",""ปัตตานี!J643"")+IMPORTRANGE(""https://docs.google.com/spreadsheets/d/1vl4QWbWdFruual5o_wdo6ZSqXZ_it806oja4CctTLKs/edit?usp=share_link"",""พังงา!J643"")+IMPORTRANGE(""https://docs.google.com/spreadsheets/d/1"&amp;"b6QssHQp2FoAPSMKHOy273KNzAomaIKhtdlvuZ_zDNE/edit?usp=share_link"",""พัทลุง!J643"")+IMPORTRANGE(""https://docs.google.com/spreadsheets/d/1o7UZe4_OqlqtLDHrj01Z2YFRSZDf1DMy1n3XViHaxRc/edit?usp=share_link"",""ภูเก็ต!J643"")+IMPORTRANGE(""https://docs.google.c"&amp;"om/spreadsheets/d/1ctPm1vUzcUCPuOj9-eoHUD85PqINFqUB0TjdSWmR5-c/edit?usp=share_link"",""ยะลา!J643"")+IMPORTRANGE(""https://docs.google.com/spreadsheets/d/1YiDIE7Klmt8osgdapRqYWNr7iPGFSsiJqq46S7PYRE0/edit?usp=share_link"",""ระนอง!J643"")+IMPORTRANGE(""https"&amp;"://docs.google.com/spreadsheets/d/16o_4B-V7AWw_6E93bSpXj_XxVv1oVQctk-B6z1dNEWU/edit?usp=share_link"",""สงขลา!J643"")+IMPORTRANGE(""https://docs.google.com/spreadsheets/d/16cywr71Fj4fA5OGRHsZh30ZG2gwJhMAQv69oVBzYHv0/edit?usp=share_link"",""สตูล!J643"")+IMP"&amp;"ORTRANGE(""https://docs.google.com/spreadsheets/d/1vO9Sws6kMtrVtyvrAJptINXjK8TFBoX9xLYOVK_C8bQ/edit?usp=share_link"",""สุราษฎร์ธานี!J643"")"),2)</f>
        <v>2</v>
      </c>
      <c r="K643" s="163">
        <f t="shared" ref="K643:K652" ca="1" si="308">IF(I643&gt;0,J643*100/I643,0)</f>
        <v>40</v>
      </c>
      <c r="L643" s="163"/>
      <c r="M643" s="163"/>
      <c r="N643" s="3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20.25" customHeight="1">
      <c r="A644" s="742"/>
      <c r="B644" s="574"/>
      <c r="C644" s="575"/>
      <c r="D644" s="618"/>
      <c r="E644" s="743" t="s">
        <v>274</v>
      </c>
      <c r="F644" s="618"/>
      <c r="G644" s="175"/>
      <c r="H644" s="449" t="s">
        <v>275</v>
      </c>
      <c r="I644" s="270">
        <f ca="1">IFERROR(__xludf.DUMMYFUNCTION("IMPORTRANGE(""https://docs.google.com/spreadsheets/d/1kC41EOXpGBFOW658Fs3oD8beYlym0-zO54WY-2Qnp9I/edit?usp=share_link"",""กระบี่!I644"")
+IMPORTRANGE(""https://docs.google.com/spreadsheets/d/1FbzMZY_f3MDiEuK7RpCQKrilJ_kpX0Wm7QBZ1L7EjIU/edit?usp=share_link"&amp;""",""ชุมพร!I644"")+IMPORTRANGE(""https://docs.google.com/spreadsheets/d/1v5sN-00LrXuhBxw4dkh2GrG_z4l5oAqOdJRBCsUyMaM/edit?usp=share_link"",""ตรัง!I644"")+IMPORTRANGE(""https://docs.google.com/spreadsheets/d/1T5rRTzFc79aSIvqnzkZNvwPstq829QYz_xALlO1Z0s8/edi"&amp;"t?usp=share_link"",""นครศรีธรรมราช!I644"")+IMPORTRANGE(""https://docs.google.com/spreadsheets/d/1BeghqumK0IvCmRd2QOy6_afsZq7ZtAGrSnVJy2u7WmY/edit?usp=share_link"",""นราธิวาส!I644"")+IMPORTRANGE(""https://docs.google.com/spreadsheets/d/1IwnW3-jjRf74MCLW-6P"&amp;"iFwMUffRQXZwZA7YM609NmRc/edit?usp=share_link"",""ปัตตานี!I644"")+IMPORTRANGE(""https://docs.google.com/spreadsheets/d/1vl4QWbWdFruual5o_wdo6ZSqXZ_it806oja4CctTLKs/edit?usp=share_link"",""พังงา!I644"")+IMPORTRANGE(""https://docs.google.com/spreadsheets/d/1"&amp;"b6QssHQp2FoAPSMKHOy273KNzAomaIKhtdlvuZ_zDNE/edit?usp=share_link"",""พัทลุง!I644"")+IMPORTRANGE(""https://docs.google.com/spreadsheets/d/1o7UZe4_OqlqtLDHrj01Z2YFRSZDf1DMy1n3XViHaxRc/edit?usp=share_link"",""ภูเก็ต!I644"")+IMPORTRANGE(""https://docs.google.c"&amp;"om/spreadsheets/d/1ctPm1vUzcUCPuOj9-eoHUD85PqINFqUB0TjdSWmR5-c/edit?usp=share_link"",""ยะลา!I644"")+IMPORTRANGE(""https://docs.google.com/spreadsheets/d/1YiDIE7Klmt8osgdapRqYWNr7iPGFSsiJqq46S7PYRE0/edit?usp=share_link"",""ระนอง!I644"")+IMPORTRANGE(""https"&amp;"://docs.google.com/spreadsheets/d/16o_4B-V7AWw_6E93bSpXj_XxVv1oVQctk-B6z1dNEWU/edit?usp=share_link"",""สงขลา!I644"")+IMPORTRANGE(""https://docs.google.com/spreadsheets/d/16cywr71Fj4fA5OGRHsZh30ZG2gwJhMAQv69oVBzYHv0/edit?usp=share_link"",""สตูล!I644"")+IMP"&amp;"ORTRANGE(""https://docs.google.com/spreadsheets/d/1vO9Sws6kMtrVtyvrAJptINXjK8TFBoX9xLYOVK_C8bQ/edit?usp=share_link"",""สุราษฎร์ธานี!I644"")"),5)</f>
        <v>5</v>
      </c>
      <c r="J644" s="183">
        <f ca="1">IFERROR(__xludf.DUMMYFUNCTION("IMPORTRANGE(""https://docs.google.com/spreadsheets/d/1kC41EOXpGBFOW658Fs3oD8beYlym0-zO54WY-2Qnp9I/edit?usp=share_link"",""กระบี่!J644"")
+IMPORTRANGE(""https://docs.google.com/spreadsheets/d/1FbzMZY_f3MDiEuK7RpCQKrilJ_kpX0Wm7QBZ1L7EjIU/edit?usp=share_link"&amp;""",""ชุมพร!J644"")+IMPORTRANGE(""https://docs.google.com/spreadsheets/d/1v5sN-00LrXuhBxw4dkh2GrG_z4l5oAqOdJRBCsUyMaM/edit?usp=share_link"",""ตรัง!J644"")+IMPORTRANGE(""https://docs.google.com/spreadsheets/d/1T5rRTzFc79aSIvqnzkZNvwPstq829QYz_xALlO1Z0s8/edi"&amp;"t?usp=share_link"",""นครศรีธรรมราช!J644"")+IMPORTRANGE(""https://docs.google.com/spreadsheets/d/1BeghqumK0IvCmRd2QOy6_afsZq7ZtAGrSnVJy2u7WmY/edit?usp=share_link"",""นราธิวาส!J644"")+IMPORTRANGE(""https://docs.google.com/spreadsheets/d/1IwnW3-jjRf74MCLW-6P"&amp;"iFwMUffRQXZwZA7YM609NmRc/edit?usp=share_link"",""ปัตตานี!J644"")+IMPORTRANGE(""https://docs.google.com/spreadsheets/d/1vl4QWbWdFruual5o_wdo6ZSqXZ_it806oja4CctTLKs/edit?usp=share_link"",""พังงา!J644"")+IMPORTRANGE(""https://docs.google.com/spreadsheets/d/1"&amp;"b6QssHQp2FoAPSMKHOy273KNzAomaIKhtdlvuZ_zDNE/edit?usp=share_link"",""พัทลุง!J644"")+IMPORTRANGE(""https://docs.google.com/spreadsheets/d/1o7UZe4_OqlqtLDHrj01Z2YFRSZDf1DMy1n3XViHaxRc/edit?usp=share_link"",""ภูเก็ต!J644"")+IMPORTRANGE(""https://docs.google.c"&amp;"om/spreadsheets/d/1ctPm1vUzcUCPuOj9-eoHUD85PqINFqUB0TjdSWmR5-c/edit?usp=share_link"",""ยะลา!J644"")+IMPORTRANGE(""https://docs.google.com/spreadsheets/d/1YiDIE7Klmt8osgdapRqYWNr7iPGFSsiJqq46S7PYRE0/edit?usp=share_link"",""ระนอง!J644"")+IMPORTRANGE(""https"&amp;"://docs.google.com/spreadsheets/d/16o_4B-V7AWw_6E93bSpXj_XxVv1oVQctk-B6z1dNEWU/edit?usp=share_link"",""สงขลา!J644"")+IMPORTRANGE(""https://docs.google.com/spreadsheets/d/16cywr71Fj4fA5OGRHsZh30ZG2gwJhMAQv69oVBzYHv0/edit?usp=share_link"",""สตูล!J644"")+IMP"&amp;"ORTRANGE(""https://docs.google.com/spreadsheets/d/1vO9Sws6kMtrVtyvrAJptINXjK8TFBoX9xLYOVK_C8bQ/edit?usp=share_link"",""สุราษฎร์ธานี!J644"")"),0)</f>
        <v>0</v>
      </c>
      <c r="K644" s="163">
        <f t="shared" ca="1" si="308"/>
        <v>0</v>
      </c>
      <c r="L644" s="163"/>
      <c r="M644" s="163"/>
      <c r="N644" s="3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20.25" customHeight="1">
      <c r="A645" s="742"/>
      <c r="B645" s="574"/>
      <c r="C645" s="575"/>
      <c r="D645" s="618"/>
      <c r="E645" s="744" t="s">
        <v>276</v>
      </c>
      <c r="F645" s="618"/>
      <c r="G645" s="175"/>
      <c r="H645" s="182" t="s">
        <v>34</v>
      </c>
      <c r="I645" s="270">
        <v>0</v>
      </c>
      <c r="J645" s="37">
        <f ca="1">IFERROR(__xludf.DUMMYFUNCTION("IMPORTRANGE(""https://docs.google.com/spreadsheets/d/1kC41EOXpGBFOW658Fs3oD8beYlym0-zO54WY-2Qnp9I/edit?usp=share_link"",""กระบี่!J645"")
+IMPORTRANGE(""https://docs.google.com/spreadsheets/d/1FbzMZY_f3MDiEuK7RpCQKrilJ_kpX0Wm7QBZ1L7EjIU/edit?usp=share_link"&amp;""",""ชุมพร!J645"")+IMPORTRANGE(""https://docs.google.com/spreadsheets/d/1v5sN-00LrXuhBxw4dkh2GrG_z4l5oAqOdJRBCsUyMaM/edit?usp=share_link"",""ตรัง!J645"")+IMPORTRANGE(""https://docs.google.com/spreadsheets/d/1T5rRTzFc79aSIvqnzkZNvwPstq829QYz_xALlO1Z0s8/edi"&amp;"t?usp=share_link"",""นครศรีธรรมราช!J645"")+IMPORTRANGE(""https://docs.google.com/spreadsheets/d/1BeghqumK0IvCmRd2QOy6_afsZq7ZtAGrSnVJy2u7WmY/edit?usp=share_link"",""นราธิวาส!J645"")+IMPORTRANGE(""https://docs.google.com/spreadsheets/d/1IwnW3-jjRf74MCLW-6P"&amp;"iFwMUffRQXZwZA7YM609NmRc/edit?usp=share_link"",""ปัตตานี!J645"")+IMPORTRANGE(""https://docs.google.com/spreadsheets/d/1vl4QWbWdFruual5o_wdo6ZSqXZ_it806oja4CctTLKs/edit?usp=share_link"",""พังงา!J645"")+IMPORTRANGE(""https://docs.google.com/spreadsheets/d/1"&amp;"b6QssHQp2FoAPSMKHOy273KNzAomaIKhtdlvuZ_zDNE/edit?usp=share_link"",""พัทลุง!J645"")+IMPORTRANGE(""https://docs.google.com/spreadsheets/d/1o7UZe4_OqlqtLDHrj01Z2YFRSZDf1DMy1n3XViHaxRc/edit?usp=share_link"",""ภูเก็ต!J645"")+IMPORTRANGE(""https://docs.google.c"&amp;"om/spreadsheets/d/1ctPm1vUzcUCPuOj9-eoHUD85PqINFqUB0TjdSWmR5-c/edit?usp=share_link"",""ยะลา!J645"")+IMPORTRANGE(""https://docs.google.com/spreadsheets/d/1YiDIE7Klmt8osgdapRqYWNr7iPGFSsiJqq46S7PYRE0/edit?usp=share_link"",""ระนอง!J645"")+IMPORTRANGE(""https"&amp;"://docs.google.com/spreadsheets/d/16o_4B-V7AWw_6E93bSpXj_XxVv1oVQctk-B6z1dNEWU/edit?usp=share_link"",""สงขลา!J645"")+IMPORTRANGE(""https://docs.google.com/spreadsheets/d/16cywr71Fj4fA5OGRHsZh30ZG2gwJhMAQv69oVBzYHv0/edit?usp=share_link"",""สตูล!J645"")+IMP"&amp;"ORTRANGE(""https://docs.google.com/spreadsheets/d/1vO9Sws6kMtrVtyvrAJptINXjK8TFBoX9xLYOVK_C8bQ/edit?usp=share_link"",""สุราษฎร์ธานี!J645"")"),26)</f>
        <v>26</v>
      </c>
      <c r="K645" s="163">
        <f t="shared" si="308"/>
        <v>0</v>
      </c>
      <c r="L645" s="163"/>
      <c r="M645" s="163"/>
      <c r="N645" s="3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20.25" customHeight="1">
      <c r="A646" s="742"/>
      <c r="B646" s="574"/>
      <c r="C646" s="575"/>
      <c r="D646" s="618"/>
      <c r="E646" s="618"/>
      <c r="F646" s="618"/>
      <c r="G646" s="175"/>
      <c r="H646" s="182" t="s">
        <v>46</v>
      </c>
      <c r="I646" s="270">
        <v>0</v>
      </c>
      <c r="J646" s="37">
        <f ca="1">IFERROR(__xludf.DUMMYFUNCTION("IMPORTRANGE(""https://docs.google.com/spreadsheets/d/1kC41EOXpGBFOW658Fs3oD8beYlym0-zO54WY-2Qnp9I/edit?usp=share_link"",""กระบี่!J646"")
+IMPORTRANGE(""https://docs.google.com/spreadsheets/d/1FbzMZY_f3MDiEuK7RpCQKrilJ_kpX0Wm7QBZ1L7EjIU/edit?usp=share_link"&amp;""",""ชุมพร!J646"")+IMPORTRANGE(""https://docs.google.com/spreadsheets/d/1v5sN-00LrXuhBxw4dkh2GrG_z4l5oAqOdJRBCsUyMaM/edit?usp=share_link"",""ตรัง!J646"")+IMPORTRANGE(""https://docs.google.com/spreadsheets/d/1T5rRTzFc79aSIvqnzkZNvwPstq829QYz_xALlO1Z0s8/edi"&amp;"t?usp=share_link"",""นครศรีธรรมราช!J646"")+IMPORTRANGE(""https://docs.google.com/spreadsheets/d/1BeghqumK0IvCmRd2QOy6_afsZq7ZtAGrSnVJy2u7WmY/edit?usp=share_link"",""นราธิวาส!J646"")+IMPORTRANGE(""https://docs.google.com/spreadsheets/d/1IwnW3-jjRf74MCLW-6P"&amp;"iFwMUffRQXZwZA7YM609NmRc/edit?usp=share_link"",""ปัตตานี!J646"")+IMPORTRANGE(""https://docs.google.com/spreadsheets/d/1vl4QWbWdFruual5o_wdo6ZSqXZ_it806oja4CctTLKs/edit?usp=share_link"",""พังงา!J646"")+IMPORTRANGE(""https://docs.google.com/spreadsheets/d/1"&amp;"b6QssHQp2FoAPSMKHOy273KNzAomaIKhtdlvuZ_zDNE/edit?usp=share_link"",""พัทลุง!J646"")+IMPORTRANGE(""https://docs.google.com/spreadsheets/d/1o7UZe4_OqlqtLDHrj01Z2YFRSZDf1DMy1n3XViHaxRc/edit?usp=share_link"",""ภูเก็ต!J646"")+IMPORTRANGE(""https://docs.google.c"&amp;"om/spreadsheets/d/1ctPm1vUzcUCPuOj9-eoHUD85PqINFqUB0TjdSWmR5-c/edit?usp=share_link"",""ยะลา!J646"")+IMPORTRANGE(""https://docs.google.com/spreadsheets/d/1YiDIE7Klmt8osgdapRqYWNr7iPGFSsiJqq46S7PYRE0/edit?usp=share_link"",""ระนอง!J646"")+IMPORTRANGE(""https"&amp;"://docs.google.com/spreadsheets/d/16o_4B-V7AWw_6E93bSpXj_XxVv1oVQctk-B6z1dNEWU/edit?usp=share_link"",""สงขลา!J646"")+IMPORTRANGE(""https://docs.google.com/spreadsheets/d/16cywr71Fj4fA5OGRHsZh30ZG2gwJhMAQv69oVBzYHv0/edit?usp=share_link"",""สตูล!J646"")+IMP"&amp;"ORTRANGE(""https://docs.google.com/spreadsheets/d/1vO9Sws6kMtrVtyvrAJptINXjK8TFBoX9xLYOVK_C8bQ/edit?usp=share_link"",""สุราษฎร์ธานี!J646"")"),7.87)</f>
        <v>7.87</v>
      </c>
      <c r="K646" s="38">
        <f t="shared" si="308"/>
        <v>0</v>
      </c>
      <c r="L646" s="163"/>
      <c r="M646" s="163"/>
      <c r="N646" s="3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20.25" customHeight="1">
      <c r="A647" s="742"/>
      <c r="B647" s="574"/>
      <c r="C647" s="575"/>
      <c r="D647" s="618"/>
      <c r="E647" s="263" t="s">
        <v>162</v>
      </c>
      <c r="F647" s="618"/>
      <c r="G647" s="175"/>
      <c r="H647" s="182" t="s">
        <v>35</v>
      </c>
      <c r="I647" s="37">
        <f ca="1">IFERROR(__xludf.DUMMYFUNCTION("IMPORTRANGE(""https://docs.google.com/spreadsheets/d/1kC41EOXpGBFOW658Fs3oD8beYlym0-zO54WY-2Qnp9I/edit?usp=share_link"",""กระบี่!I647"")
+IMPORTRANGE(""https://docs.google.com/spreadsheets/d/1FbzMZY_f3MDiEuK7RpCQKrilJ_kpX0Wm7QBZ1L7EjIU/edit?usp=share_link"&amp;""",""ชุมพร!I647"")+IMPORTRANGE(""https://docs.google.com/spreadsheets/d/1v5sN-00LrXuhBxw4dkh2GrG_z4l5oAqOdJRBCsUyMaM/edit?usp=share_link"",""ตรัง!I647"")+IMPORTRANGE(""https://docs.google.com/spreadsheets/d/1T5rRTzFc79aSIvqnzkZNvwPstq829QYz_xALlO1Z0s8/edi"&amp;"t?usp=share_link"",""นครศรีธรรมราช!I647"")+IMPORTRANGE(""https://docs.google.com/spreadsheets/d/1BeghqumK0IvCmRd2QOy6_afsZq7ZtAGrSnVJy2u7WmY/edit?usp=share_link"",""นราธิวาส!I647"")+IMPORTRANGE(""https://docs.google.com/spreadsheets/d/1IwnW3-jjRf74MCLW-6P"&amp;"iFwMUffRQXZwZA7YM609NmRc/edit?usp=share_link"",""ปัตตานี!I647"")+IMPORTRANGE(""https://docs.google.com/spreadsheets/d/1vl4QWbWdFruual5o_wdo6ZSqXZ_it806oja4CctTLKs/edit?usp=share_link"",""พังงา!I647"")+IMPORTRANGE(""https://docs.google.com/spreadsheets/d/1"&amp;"b6QssHQp2FoAPSMKHOy273KNzAomaIKhtdlvuZ_zDNE/edit?usp=share_link"",""พัทลุง!I647"")+IMPORTRANGE(""https://docs.google.com/spreadsheets/d/1o7UZe4_OqlqtLDHrj01Z2YFRSZDf1DMy1n3XViHaxRc/edit?usp=share_link"",""ภูเก็ต!I647"")+IMPORTRANGE(""https://docs.google.c"&amp;"om/spreadsheets/d/1ctPm1vUzcUCPuOj9-eoHUD85PqINFqUB0TjdSWmR5-c/edit?usp=share_link"",""ยะลา!I647"")+IMPORTRANGE(""https://docs.google.com/spreadsheets/d/1YiDIE7Klmt8osgdapRqYWNr7iPGFSsiJqq46S7PYRE0/edit?usp=share_link"",""ระนอง!I647"")+IMPORTRANGE(""https"&amp;"://docs.google.com/spreadsheets/d/16o_4B-V7AWw_6E93bSpXj_XxVv1oVQctk-B6z1dNEWU/edit?usp=share_link"",""สงขลา!I647"")+IMPORTRANGE(""https://docs.google.com/spreadsheets/d/16cywr71Fj4fA5OGRHsZh30ZG2gwJhMAQv69oVBzYHv0/edit?usp=share_link"",""สตูล!I647"")+IMP"&amp;"ORTRANGE(""https://docs.google.com/spreadsheets/d/1vO9Sws6kMtrVtyvrAJptINXjK8TFBoX9xLYOVK_C8bQ/edit?usp=share_link"",""สุราษฎร์ธานี!I647"")"),324)</f>
        <v>324</v>
      </c>
      <c r="J647" s="37">
        <f ca="1">IFERROR(__xludf.DUMMYFUNCTION("IMPORTRANGE(""https://docs.google.com/spreadsheets/d/1kC41EOXpGBFOW658Fs3oD8beYlym0-zO54WY-2Qnp9I/edit?usp=share_link"",""กระบี่!J647"")
+IMPORTRANGE(""https://docs.google.com/spreadsheets/d/1FbzMZY_f3MDiEuK7RpCQKrilJ_kpX0Wm7QBZ1L7EjIU/edit?usp=share_link"&amp;""",""ชุมพร!J647"")+IMPORTRANGE(""https://docs.google.com/spreadsheets/d/1v5sN-00LrXuhBxw4dkh2GrG_z4l5oAqOdJRBCsUyMaM/edit?usp=share_link"",""ตรัง!J647"")+IMPORTRANGE(""https://docs.google.com/spreadsheets/d/1T5rRTzFc79aSIvqnzkZNvwPstq829QYz_xALlO1Z0s8/edi"&amp;"t?usp=share_link"",""นครศรีธรรมราช!J647"")+IMPORTRANGE(""https://docs.google.com/spreadsheets/d/1BeghqumK0IvCmRd2QOy6_afsZq7ZtAGrSnVJy2u7WmY/edit?usp=share_link"",""นราธิวาส!J647"")+IMPORTRANGE(""https://docs.google.com/spreadsheets/d/1IwnW3-jjRf74MCLW-6P"&amp;"iFwMUffRQXZwZA7YM609NmRc/edit?usp=share_link"",""ปัตตานี!J647"")+IMPORTRANGE(""https://docs.google.com/spreadsheets/d/1vl4QWbWdFruual5o_wdo6ZSqXZ_it806oja4CctTLKs/edit?usp=share_link"",""พังงา!J647"")+IMPORTRANGE(""https://docs.google.com/spreadsheets/d/1"&amp;"b6QssHQp2FoAPSMKHOy273KNzAomaIKhtdlvuZ_zDNE/edit?usp=share_link"",""พัทลุง!J647"")+IMPORTRANGE(""https://docs.google.com/spreadsheets/d/1o7UZe4_OqlqtLDHrj01Z2YFRSZDf1DMy1n3XViHaxRc/edit?usp=share_link"",""ภูเก็ต!J647"")+IMPORTRANGE(""https://docs.google.c"&amp;"om/spreadsheets/d/1ctPm1vUzcUCPuOj9-eoHUD85PqINFqUB0TjdSWmR5-c/edit?usp=share_link"",""ยะลา!J647"")+IMPORTRANGE(""https://docs.google.com/spreadsheets/d/1YiDIE7Klmt8osgdapRqYWNr7iPGFSsiJqq46S7PYRE0/edit?usp=share_link"",""ระนอง!J647"")+IMPORTRANGE(""https"&amp;"://docs.google.com/spreadsheets/d/16o_4B-V7AWw_6E93bSpXj_XxVv1oVQctk-B6z1dNEWU/edit?usp=share_link"",""สงขลา!J647"")+IMPORTRANGE(""https://docs.google.com/spreadsheets/d/16cywr71Fj4fA5OGRHsZh30ZG2gwJhMAQv69oVBzYHv0/edit?usp=share_link"",""สตูล!J647"")+IMP"&amp;"ORTRANGE(""https://docs.google.com/spreadsheets/d/1vO9Sws6kMtrVtyvrAJptINXjK8TFBoX9xLYOVK_C8bQ/edit?usp=share_link"",""สุราษฎร์ธานี!J647"")"),82)</f>
        <v>82</v>
      </c>
      <c r="K647" s="163">
        <f t="shared" ca="1" si="308"/>
        <v>25.308641975308642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20.25" customHeight="1">
      <c r="A648" s="742"/>
      <c r="B648" s="574"/>
      <c r="C648" s="575"/>
      <c r="D648" s="618"/>
      <c r="E648" s="618"/>
      <c r="F648" s="618"/>
      <c r="G648" s="175"/>
      <c r="H648" s="182" t="s">
        <v>46</v>
      </c>
      <c r="I648" s="270">
        <v>0</v>
      </c>
      <c r="J648" s="37">
        <f ca="1">IFERROR(__xludf.DUMMYFUNCTION("IMPORTRANGE(""https://docs.google.com/spreadsheets/d/1kC41EOXpGBFOW658Fs3oD8beYlym0-zO54WY-2Qnp9I/edit?usp=share_link"",""กระบี่!J648"")
+IMPORTRANGE(""https://docs.google.com/spreadsheets/d/1FbzMZY_f3MDiEuK7RpCQKrilJ_kpX0Wm7QBZ1L7EjIU/edit?usp=share_link"&amp;""",""ชุมพร!J648"")+IMPORTRANGE(""https://docs.google.com/spreadsheets/d/1v5sN-00LrXuhBxw4dkh2GrG_z4l5oAqOdJRBCsUyMaM/edit?usp=share_link"",""ตรัง!J648"")+IMPORTRANGE(""https://docs.google.com/spreadsheets/d/1T5rRTzFc79aSIvqnzkZNvwPstq829QYz_xALlO1Z0s8/edi"&amp;"t?usp=share_link"",""นครศรีธรรมราช!J648"")+IMPORTRANGE(""https://docs.google.com/spreadsheets/d/1BeghqumK0IvCmRd2QOy6_afsZq7ZtAGrSnVJy2u7WmY/edit?usp=share_link"",""นราธิวาส!J648"")+IMPORTRANGE(""https://docs.google.com/spreadsheets/d/1IwnW3-jjRf74MCLW-6P"&amp;"iFwMUffRQXZwZA7YM609NmRc/edit?usp=share_link"",""ปัตตานี!J648"")+IMPORTRANGE(""https://docs.google.com/spreadsheets/d/1vl4QWbWdFruual5o_wdo6ZSqXZ_it806oja4CctTLKs/edit?usp=share_link"",""พังงา!J648"")+IMPORTRANGE(""https://docs.google.com/spreadsheets/d/1"&amp;"b6QssHQp2FoAPSMKHOy273KNzAomaIKhtdlvuZ_zDNE/edit?usp=share_link"",""พัทลุง!J648"")+IMPORTRANGE(""https://docs.google.com/spreadsheets/d/1o7UZe4_OqlqtLDHrj01Z2YFRSZDf1DMy1n3XViHaxRc/edit?usp=share_link"",""ภูเก็ต!J648"")+IMPORTRANGE(""https://docs.google.c"&amp;"om/spreadsheets/d/1ctPm1vUzcUCPuOj9-eoHUD85PqINFqUB0TjdSWmR5-c/edit?usp=share_link"",""ยะลา!J648"")+IMPORTRANGE(""https://docs.google.com/spreadsheets/d/1YiDIE7Klmt8osgdapRqYWNr7iPGFSsiJqq46S7PYRE0/edit?usp=share_link"",""ระนอง!J648"")+IMPORTRANGE(""https"&amp;"://docs.google.com/spreadsheets/d/16o_4B-V7AWw_6E93bSpXj_XxVv1oVQctk-B6z1dNEWU/edit?usp=share_link"",""สงขลา!J648"")+IMPORTRANGE(""https://docs.google.com/spreadsheets/d/16cywr71Fj4fA5OGRHsZh30ZG2gwJhMAQv69oVBzYHv0/edit?usp=share_link"",""สตูล!J648"")+IMP"&amp;"ORTRANGE(""https://docs.google.com/spreadsheets/d/1vO9Sws6kMtrVtyvrAJptINXjK8TFBoX9xLYOVK_C8bQ/edit?usp=share_link"",""สุราษฎร์ธานี!J648"")"),20.63)</f>
        <v>20.63</v>
      </c>
      <c r="K648" s="38">
        <f t="shared" si="308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20.25" customHeight="1">
      <c r="A649" s="742"/>
      <c r="B649" s="574"/>
      <c r="C649" s="575"/>
      <c r="D649" s="618"/>
      <c r="E649" s="263" t="s">
        <v>277</v>
      </c>
      <c r="F649" s="618"/>
      <c r="G649" s="175"/>
      <c r="H649" s="182" t="s">
        <v>35</v>
      </c>
      <c r="I649" s="37">
        <f ca="1">IFERROR(__xludf.DUMMYFUNCTION("IMPORTRANGE(""https://docs.google.com/spreadsheets/d/1kC41EOXpGBFOW658Fs3oD8beYlym0-zO54WY-2Qnp9I/edit?usp=share_link"",""กระบี่!I649"")
+IMPORTRANGE(""https://docs.google.com/spreadsheets/d/1FbzMZY_f3MDiEuK7RpCQKrilJ_kpX0Wm7QBZ1L7EjIU/edit?usp=share_link"&amp;""",""ชุมพร!I649"")+IMPORTRANGE(""https://docs.google.com/spreadsheets/d/1v5sN-00LrXuhBxw4dkh2GrG_z4l5oAqOdJRBCsUyMaM/edit?usp=share_link"",""ตรัง!I649"")+IMPORTRANGE(""https://docs.google.com/spreadsheets/d/1T5rRTzFc79aSIvqnzkZNvwPstq829QYz_xALlO1Z0s8/edi"&amp;"t?usp=share_link"",""นครศรีธรรมราช!I649"")+IMPORTRANGE(""https://docs.google.com/spreadsheets/d/1BeghqumK0IvCmRd2QOy6_afsZq7ZtAGrSnVJy2u7WmY/edit?usp=share_link"",""นราธิวาส!I649"")+IMPORTRANGE(""https://docs.google.com/spreadsheets/d/1IwnW3-jjRf74MCLW-6P"&amp;"iFwMUffRQXZwZA7YM609NmRc/edit?usp=share_link"",""ปัตตานี!I649"")+IMPORTRANGE(""https://docs.google.com/spreadsheets/d/1vl4QWbWdFruual5o_wdo6ZSqXZ_it806oja4CctTLKs/edit?usp=share_link"",""พังงา!I649"")+IMPORTRANGE(""https://docs.google.com/spreadsheets/d/1"&amp;"b6QssHQp2FoAPSMKHOy273KNzAomaIKhtdlvuZ_zDNE/edit?usp=share_link"",""พัทลุง!I649"")+IMPORTRANGE(""https://docs.google.com/spreadsheets/d/1o7UZe4_OqlqtLDHrj01Z2YFRSZDf1DMy1n3XViHaxRc/edit?usp=share_link"",""ภูเก็ต!I649"")+IMPORTRANGE(""https://docs.google.c"&amp;"om/spreadsheets/d/1ctPm1vUzcUCPuOj9-eoHUD85PqINFqUB0TjdSWmR5-c/edit?usp=share_link"",""ยะลา!I649"")+IMPORTRANGE(""https://docs.google.com/spreadsheets/d/1YiDIE7Klmt8osgdapRqYWNr7iPGFSsiJqq46S7PYRE0/edit?usp=share_link"",""ระนอง!I649"")+IMPORTRANGE(""https"&amp;"://docs.google.com/spreadsheets/d/16o_4B-V7AWw_6E93bSpXj_XxVv1oVQctk-B6z1dNEWU/edit?usp=share_link"",""สงขลา!I649"")+IMPORTRANGE(""https://docs.google.com/spreadsheets/d/16cywr71Fj4fA5OGRHsZh30ZG2gwJhMAQv69oVBzYHv0/edit?usp=share_link"",""สตูล!I649"")+IMP"&amp;"ORTRANGE(""https://docs.google.com/spreadsheets/d/1vO9Sws6kMtrVtyvrAJptINXjK8TFBoX9xLYOVK_C8bQ/edit?usp=share_link"",""สุราษฎร์ธานี!I649"")"),324)</f>
        <v>324</v>
      </c>
      <c r="J649" s="37">
        <f ca="1">IFERROR(__xludf.DUMMYFUNCTION("IMPORTRANGE(""https://docs.google.com/spreadsheets/d/1kC41EOXpGBFOW658Fs3oD8beYlym0-zO54WY-2Qnp9I/edit?usp=share_link"",""กระบี่!J649"")
+IMPORTRANGE(""https://docs.google.com/spreadsheets/d/1FbzMZY_f3MDiEuK7RpCQKrilJ_kpX0Wm7QBZ1L7EjIU/edit?usp=share_link"&amp;""",""ชุมพร!J649"")+IMPORTRANGE(""https://docs.google.com/spreadsheets/d/1v5sN-00LrXuhBxw4dkh2GrG_z4l5oAqOdJRBCsUyMaM/edit?usp=share_link"",""ตรัง!J649"")+IMPORTRANGE(""https://docs.google.com/spreadsheets/d/1T5rRTzFc79aSIvqnzkZNvwPstq829QYz_xALlO1Z0s8/edi"&amp;"t?usp=share_link"",""นครศรีธรรมราช!J649"")+IMPORTRANGE(""https://docs.google.com/spreadsheets/d/1BeghqumK0IvCmRd2QOy6_afsZq7ZtAGrSnVJy2u7WmY/edit?usp=share_link"",""นราธิวาส!J649"")+IMPORTRANGE(""https://docs.google.com/spreadsheets/d/1IwnW3-jjRf74MCLW-6P"&amp;"iFwMUffRQXZwZA7YM609NmRc/edit?usp=share_link"",""ปัตตานี!J649"")+IMPORTRANGE(""https://docs.google.com/spreadsheets/d/1vl4QWbWdFruual5o_wdo6ZSqXZ_it806oja4CctTLKs/edit?usp=share_link"",""พังงา!J649"")+IMPORTRANGE(""https://docs.google.com/spreadsheets/d/1"&amp;"b6QssHQp2FoAPSMKHOy273KNzAomaIKhtdlvuZ_zDNE/edit?usp=share_link"",""พัทลุง!J649"")+IMPORTRANGE(""https://docs.google.com/spreadsheets/d/1o7UZe4_OqlqtLDHrj01Z2YFRSZDf1DMy1n3XViHaxRc/edit?usp=share_link"",""ภูเก็ต!J649"")+IMPORTRANGE(""https://docs.google.c"&amp;"om/spreadsheets/d/1ctPm1vUzcUCPuOj9-eoHUD85PqINFqUB0TjdSWmR5-c/edit?usp=share_link"",""ยะลา!J649"")+IMPORTRANGE(""https://docs.google.com/spreadsheets/d/1YiDIE7Klmt8osgdapRqYWNr7iPGFSsiJqq46S7PYRE0/edit?usp=share_link"",""ระนอง!J649"")+IMPORTRANGE(""https"&amp;"://docs.google.com/spreadsheets/d/16o_4B-V7AWw_6E93bSpXj_XxVv1oVQctk-B6z1dNEWU/edit?usp=share_link"",""สงขลา!J649"")+IMPORTRANGE(""https://docs.google.com/spreadsheets/d/16cywr71Fj4fA5OGRHsZh30ZG2gwJhMAQv69oVBzYHv0/edit?usp=share_link"",""สตูล!J649"")+IMP"&amp;"ORTRANGE(""https://docs.google.com/spreadsheets/d/1vO9Sws6kMtrVtyvrAJptINXjK8TFBoX9xLYOVK_C8bQ/edit?usp=share_link"",""สุราษฎร์ธานี!J649"")"),83)</f>
        <v>83</v>
      </c>
      <c r="K649" s="163">
        <f t="shared" ca="1" si="308"/>
        <v>25.617283950617285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20.25" customHeight="1">
      <c r="A650" s="742"/>
      <c r="B650" s="574"/>
      <c r="C650" s="575"/>
      <c r="D650" s="618"/>
      <c r="E650" s="618"/>
      <c r="F650" s="618"/>
      <c r="G650" s="175"/>
      <c r="H650" s="182" t="s">
        <v>46</v>
      </c>
      <c r="I650" s="270">
        <v>0</v>
      </c>
      <c r="J650" s="37">
        <f ca="1">IFERROR(__xludf.DUMMYFUNCTION("IMPORTRANGE(""https://docs.google.com/spreadsheets/d/1kC41EOXpGBFOW658Fs3oD8beYlym0-zO54WY-2Qnp9I/edit?usp=share_link"",""กระบี่!J650"")
+IMPORTRANGE(""https://docs.google.com/spreadsheets/d/1FbzMZY_f3MDiEuK7RpCQKrilJ_kpX0Wm7QBZ1L7EjIU/edit?usp=share_link"&amp;""",""ชุมพร!J650"")+IMPORTRANGE(""https://docs.google.com/spreadsheets/d/1v5sN-00LrXuhBxw4dkh2GrG_z4l5oAqOdJRBCsUyMaM/edit?usp=share_link"",""ตรัง!J650"")+IMPORTRANGE(""https://docs.google.com/spreadsheets/d/1T5rRTzFc79aSIvqnzkZNvwPstq829QYz_xALlO1Z0s8/edi"&amp;"t?usp=share_link"",""นครศรีธรรมราช!J650"")+IMPORTRANGE(""https://docs.google.com/spreadsheets/d/1BeghqumK0IvCmRd2QOy6_afsZq7ZtAGrSnVJy2u7WmY/edit?usp=share_link"",""นราธิวาส!J650"")+IMPORTRANGE(""https://docs.google.com/spreadsheets/d/1IwnW3-jjRf74MCLW-6P"&amp;"iFwMUffRQXZwZA7YM609NmRc/edit?usp=share_link"",""ปัตตานี!J650"")+IMPORTRANGE(""https://docs.google.com/spreadsheets/d/1vl4QWbWdFruual5o_wdo6ZSqXZ_it806oja4CctTLKs/edit?usp=share_link"",""พังงา!J650"")+IMPORTRANGE(""https://docs.google.com/spreadsheets/d/1"&amp;"b6QssHQp2FoAPSMKHOy273KNzAomaIKhtdlvuZ_zDNE/edit?usp=share_link"",""พัทลุง!J650"")+IMPORTRANGE(""https://docs.google.com/spreadsheets/d/1o7UZe4_OqlqtLDHrj01Z2YFRSZDf1DMy1n3XViHaxRc/edit?usp=share_link"",""ภูเก็ต!J650"")+IMPORTRANGE(""https://docs.google.c"&amp;"om/spreadsheets/d/1ctPm1vUzcUCPuOj9-eoHUD85PqINFqUB0TjdSWmR5-c/edit?usp=share_link"",""ยะลา!J650"")+IMPORTRANGE(""https://docs.google.com/spreadsheets/d/1YiDIE7Klmt8osgdapRqYWNr7iPGFSsiJqq46S7PYRE0/edit?usp=share_link"",""ระนอง!J650"")+IMPORTRANGE(""https"&amp;"://docs.google.com/spreadsheets/d/16o_4B-V7AWw_6E93bSpXj_XxVv1oVQctk-B6z1dNEWU/edit?usp=share_link"",""สงขลา!J650"")+IMPORTRANGE(""https://docs.google.com/spreadsheets/d/16cywr71Fj4fA5OGRHsZh30ZG2gwJhMAQv69oVBzYHv0/edit?usp=share_link"",""สตูล!J650"")+IMP"&amp;"ORTRANGE(""https://docs.google.com/spreadsheets/d/1vO9Sws6kMtrVtyvrAJptINXjK8TFBoX9xLYOVK_C8bQ/edit?usp=share_link"",""สุราษฎร์ธานี!J650"")"),22.67)</f>
        <v>22.67</v>
      </c>
      <c r="K650" s="38">
        <f t="shared" si="308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20.25" customHeight="1">
      <c r="A651" s="742"/>
      <c r="B651" s="574"/>
      <c r="C651" s="575"/>
      <c r="D651" s="618"/>
      <c r="E651" s="263" t="s">
        <v>278</v>
      </c>
      <c r="F651" s="618"/>
      <c r="G651" s="175"/>
      <c r="H651" s="182" t="s">
        <v>35</v>
      </c>
      <c r="I651" s="37">
        <f ca="1">IFERROR(__xludf.DUMMYFUNCTION("IMPORTRANGE(""https://docs.google.com/spreadsheets/d/1kC41EOXpGBFOW658Fs3oD8beYlym0-zO54WY-2Qnp9I/edit?usp=share_link"",""กระบี่!I651"")
+IMPORTRANGE(""https://docs.google.com/spreadsheets/d/1FbzMZY_f3MDiEuK7RpCQKrilJ_kpX0Wm7QBZ1L7EjIU/edit?usp=share_link"&amp;""",""ชุมพร!I651"")+IMPORTRANGE(""https://docs.google.com/spreadsheets/d/1v5sN-00LrXuhBxw4dkh2GrG_z4l5oAqOdJRBCsUyMaM/edit?usp=share_link"",""ตรัง!I651"")+IMPORTRANGE(""https://docs.google.com/spreadsheets/d/1T5rRTzFc79aSIvqnzkZNvwPstq829QYz_xALlO1Z0s8/edi"&amp;"t?usp=share_link"",""นครศรีธรรมราช!I651"")+IMPORTRANGE(""https://docs.google.com/spreadsheets/d/1BeghqumK0IvCmRd2QOy6_afsZq7ZtAGrSnVJy2u7WmY/edit?usp=share_link"",""นราธิวาส!I651"")+IMPORTRANGE(""https://docs.google.com/spreadsheets/d/1IwnW3-jjRf74MCLW-6P"&amp;"iFwMUffRQXZwZA7YM609NmRc/edit?usp=share_link"",""ปัตตานี!I651"")+IMPORTRANGE(""https://docs.google.com/spreadsheets/d/1vl4QWbWdFruual5o_wdo6ZSqXZ_it806oja4CctTLKs/edit?usp=share_link"",""พังงา!I651"")+IMPORTRANGE(""https://docs.google.com/spreadsheets/d/1"&amp;"b6QssHQp2FoAPSMKHOy273KNzAomaIKhtdlvuZ_zDNE/edit?usp=share_link"",""พัทลุง!I651"")+IMPORTRANGE(""https://docs.google.com/spreadsheets/d/1o7UZe4_OqlqtLDHrj01Z2YFRSZDf1DMy1n3XViHaxRc/edit?usp=share_link"",""ภูเก็ต!I651"")+IMPORTRANGE(""https://docs.google.c"&amp;"om/spreadsheets/d/1ctPm1vUzcUCPuOj9-eoHUD85PqINFqUB0TjdSWmR5-c/edit?usp=share_link"",""ยะลา!I651"")+IMPORTRANGE(""https://docs.google.com/spreadsheets/d/1YiDIE7Klmt8osgdapRqYWNr7iPGFSsiJqq46S7PYRE0/edit?usp=share_link"",""ระนอง!I651"")+IMPORTRANGE(""https"&amp;"://docs.google.com/spreadsheets/d/16o_4B-V7AWw_6E93bSpXj_XxVv1oVQctk-B6z1dNEWU/edit?usp=share_link"",""สงขลา!I651"")+IMPORTRANGE(""https://docs.google.com/spreadsheets/d/16cywr71Fj4fA5OGRHsZh30ZG2gwJhMAQv69oVBzYHv0/edit?usp=share_link"",""สตูล!I651"")+IMP"&amp;"ORTRANGE(""https://docs.google.com/spreadsheets/d/1vO9Sws6kMtrVtyvrAJptINXjK8TFBoX9xLYOVK_C8bQ/edit?usp=share_link"",""สุราษฎร์ธานี!I651"")"),324)</f>
        <v>324</v>
      </c>
      <c r="J651" s="37">
        <f ca="1">IFERROR(__xludf.DUMMYFUNCTION("IMPORTRANGE(""https://docs.google.com/spreadsheets/d/1kC41EOXpGBFOW658Fs3oD8beYlym0-zO54WY-2Qnp9I/edit?usp=share_link"",""กระบี่!J651"")
+IMPORTRANGE(""https://docs.google.com/spreadsheets/d/1FbzMZY_f3MDiEuK7RpCQKrilJ_kpX0Wm7QBZ1L7EjIU/edit?usp=share_link"&amp;""",""ชุมพร!J651"")+IMPORTRANGE(""https://docs.google.com/spreadsheets/d/1v5sN-00LrXuhBxw4dkh2GrG_z4l5oAqOdJRBCsUyMaM/edit?usp=share_link"",""ตรัง!J651"")+IMPORTRANGE(""https://docs.google.com/spreadsheets/d/1T5rRTzFc79aSIvqnzkZNvwPstq829QYz_xALlO1Z0s8/edi"&amp;"t?usp=share_link"",""นครศรีธรรมราช!J651"")+IMPORTRANGE(""https://docs.google.com/spreadsheets/d/1BeghqumK0IvCmRd2QOy6_afsZq7ZtAGrSnVJy2u7WmY/edit?usp=share_link"",""นราธิวาส!J651"")+IMPORTRANGE(""https://docs.google.com/spreadsheets/d/1IwnW3-jjRf74MCLW-6P"&amp;"iFwMUffRQXZwZA7YM609NmRc/edit?usp=share_link"",""ปัตตานี!J651"")+IMPORTRANGE(""https://docs.google.com/spreadsheets/d/1vl4QWbWdFruual5o_wdo6ZSqXZ_it806oja4CctTLKs/edit?usp=share_link"",""พังงา!J651"")+IMPORTRANGE(""https://docs.google.com/spreadsheets/d/1"&amp;"b6QssHQp2FoAPSMKHOy273KNzAomaIKhtdlvuZ_zDNE/edit?usp=share_link"",""พัทลุง!J651"")+IMPORTRANGE(""https://docs.google.com/spreadsheets/d/1o7UZe4_OqlqtLDHrj01Z2YFRSZDf1DMy1n3XViHaxRc/edit?usp=share_link"",""ภูเก็ต!J651"")+IMPORTRANGE(""https://docs.google.c"&amp;"om/spreadsheets/d/1ctPm1vUzcUCPuOj9-eoHUD85PqINFqUB0TjdSWmR5-c/edit?usp=share_link"",""ยะลา!J651"")+IMPORTRANGE(""https://docs.google.com/spreadsheets/d/1YiDIE7Klmt8osgdapRqYWNr7iPGFSsiJqq46S7PYRE0/edit?usp=share_link"",""ระนอง!J651"")+IMPORTRANGE(""https"&amp;"://docs.google.com/spreadsheets/d/16o_4B-V7AWw_6E93bSpXj_XxVv1oVQctk-B6z1dNEWU/edit?usp=share_link"",""สงขลา!J651"")+IMPORTRANGE(""https://docs.google.com/spreadsheets/d/16cywr71Fj4fA5OGRHsZh30ZG2gwJhMAQv69oVBzYHv0/edit?usp=share_link"",""สตูล!J651"")+IMP"&amp;"ORTRANGE(""https://docs.google.com/spreadsheets/d/1vO9Sws6kMtrVtyvrAJptINXjK8TFBoX9xLYOVK_C8bQ/edit?usp=share_link"",""สุราษฎร์ธานี!J651"")"),80)</f>
        <v>80</v>
      </c>
      <c r="K651" s="163">
        <f t="shared" ca="1" si="308"/>
        <v>24.691358024691358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20.25" customHeight="1">
      <c r="A652" s="745"/>
      <c r="B652" s="746"/>
      <c r="C652" s="747"/>
      <c r="D652" s="732"/>
      <c r="E652" s="732"/>
      <c r="F652" s="732"/>
      <c r="G652" s="733"/>
      <c r="H652" s="504" t="s">
        <v>46</v>
      </c>
      <c r="I652" s="383">
        <v>0</v>
      </c>
      <c r="J652" s="505">
        <f ca="1">IFERROR(__xludf.DUMMYFUNCTION("IMPORTRANGE(""https://docs.google.com/spreadsheets/d/1kC41EOXpGBFOW658Fs3oD8beYlym0-zO54WY-2Qnp9I/edit?usp=share_link"",""กระบี่!J652"")
+IMPORTRANGE(""https://docs.google.com/spreadsheets/d/1FbzMZY_f3MDiEuK7RpCQKrilJ_kpX0Wm7QBZ1L7EjIU/edit?usp=share_link"&amp;""",""ชุมพร!J652"")+IMPORTRANGE(""https://docs.google.com/spreadsheets/d/1v5sN-00LrXuhBxw4dkh2GrG_z4l5oAqOdJRBCsUyMaM/edit?usp=share_link"",""ตรัง!J652"")+IMPORTRANGE(""https://docs.google.com/spreadsheets/d/1T5rRTzFc79aSIvqnzkZNvwPstq829QYz_xALlO1Z0s8/edi"&amp;"t?usp=share_link"",""นครศรีธรรมราช!J652"")+IMPORTRANGE(""https://docs.google.com/spreadsheets/d/1BeghqumK0IvCmRd2QOy6_afsZq7ZtAGrSnVJy2u7WmY/edit?usp=share_link"",""นราธิวาส!J652"")+IMPORTRANGE(""https://docs.google.com/spreadsheets/d/1IwnW3-jjRf74MCLW-6P"&amp;"iFwMUffRQXZwZA7YM609NmRc/edit?usp=share_link"",""ปัตตานี!J652"")+IMPORTRANGE(""https://docs.google.com/spreadsheets/d/1vl4QWbWdFruual5o_wdo6ZSqXZ_it806oja4CctTLKs/edit?usp=share_link"",""พังงา!J652"")+IMPORTRANGE(""https://docs.google.com/spreadsheets/d/1"&amp;"b6QssHQp2FoAPSMKHOy273KNzAomaIKhtdlvuZ_zDNE/edit?usp=share_link"",""พัทลุง!J652"")+IMPORTRANGE(""https://docs.google.com/spreadsheets/d/1o7UZe4_OqlqtLDHrj01Z2YFRSZDf1DMy1n3XViHaxRc/edit?usp=share_link"",""ภูเก็ต!J652"")+IMPORTRANGE(""https://docs.google.c"&amp;"om/spreadsheets/d/1ctPm1vUzcUCPuOj9-eoHUD85PqINFqUB0TjdSWmR5-c/edit?usp=share_link"",""ยะลา!J652"")+IMPORTRANGE(""https://docs.google.com/spreadsheets/d/1YiDIE7Klmt8osgdapRqYWNr7iPGFSsiJqq46S7PYRE0/edit?usp=share_link"",""ระนอง!J652"")+IMPORTRANGE(""https"&amp;"://docs.google.com/spreadsheets/d/16o_4B-V7AWw_6E93bSpXj_XxVv1oVQctk-B6z1dNEWU/edit?usp=share_link"",""สงขลา!J652"")+IMPORTRANGE(""https://docs.google.com/spreadsheets/d/16cywr71Fj4fA5OGRHsZh30ZG2gwJhMAQv69oVBzYHv0/edit?usp=share_link"",""สตูล!J652"")+IMP"&amp;"ORTRANGE(""https://docs.google.com/spreadsheets/d/1vO9Sws6kMtrVtyvrAJptINXjK8TFBoX9xLYOVK_C8bQ/edit?usp=share_link"",""สุราษฎร์ธานี!J652"")"),20.125)</f>
        <v>20.125</v>
      </c>
      <c r="K652" s="506">
        <f t="shared" si="308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20.25" customHeight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20.25" customHeight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674">
        <f t="shared" ref="I654:J654" ca="1" si="309">I669</f>
        <v>250</v>
      </c>
      <c r="J654" s="674">
        <f t="shared" ca="1" si="309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20.25" customHeight="1">
      <c r="A655" s="596"/>
      <c r="B655" s="575"/>
      <c r="C655" s="575" t="s">
        <v>16</v>
      </c>
      <c r="D655" s="847" t="s">
        <v>17</v>
      </c>
      <c r="E655" s="841"/>
      <c r="F655" s="841"/>
      <c r="G655" s="189"/>
      <c r="H655" s="597" t="s">
        <v>12</v>
      </c>
      <c r="I655" s="37"/>
      <c r="J655" s="37"/>
      <c r="K655" s="38"/>
      <c r="L655" s="195">
        <f t="shared" ref="L655:N655" ca="1" si="310">L656+L657</f>
        <v>55000</v>
      </c>
      <c r="M655" s="195">
        <f t="shared" ca="1" si="310"/>
        <v>55000</v>
      </c>
      <c r="N655" s="195">
        <f t="shared" ca="1" si="310"/>
        <v>32816.400000000001</v>
      </c>
      <c r="O655" s="195">
        <f t="shared" ref="O655:O660" ca="1" si="311">IF(L655&gt;0,N655*100/L655,0)</f>
        <v>59.666181818181819</v>
      </c>
      <c r="P655" s="195">
        <f t="shared" ref="P655:P660" ca="1" si="312">IF(M655&gt;0,N655*100/M655,0)</f>
        <v>59.666181818181819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20.25" hidden="1" customHeight="1">
      <c r="A656" s="598"/>
      <c r="B656" s="599"/>
      <c r="C656" s="599"/>
      <c r="D656" s="600"/>
      <c r="E656" s="601" t="s">
        <v>185</v>
      </c>
      <c r="F656" s="599"/>
      <c r="G656" s="602"/>
      <c r="H656" s="165" t="s">
        <v>12</v>
      </c>
      <c r="I656" s="44"/>
      <c r="J656" s="44"/>
      <c r="K656" s="45"/>
      <c r="L656" s="45">
        <f t="shared" ref="L656:N656" si="313">L659+L666</f>
        <v>0</v>
      </c>
      <c r="M656" s="45">
        <f t="shared" si="313"/>
        <v>0</v>
      </c>
      <c r="N656" s="45">
        <f t="shared" si="313"/>
        <v>0</v>
      </c>
      <c r="O656" s="45">
        <f t="shared" si="311"/>
        <v>0</v>
      </c>
      <c r="P656" s="45">
        <f t="shared" si="312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20.25" hidden="1" customHeight="1">
      <c r="A657" s="598"/>
      <c r="B657" s="604"/>
      <c r="C657" s="599"/>
      <c r="D657" s="600"/>
      <c r="E657" s="601" t="s">
        <v>186</v>
      </c>
      <c r="F657" s="599"/>
      <c r="G657" s="602"/>
      <c r="H657" s="165" t="s">
        <v>12</v>
      </c>
      <c r="I657" s="44"/>
      <c r="J657" s="44"/>
      <c r="K657" s="45"/>
      <c r="L657" s="45">
        <f t="shared" ref="L657:N657" ca="1" si="314">L660+L667</f>
        <v>55000</v>
      </c>
      <c r="M657" s="45">
        <f t="shared" ca="1" si="314"/>
        <v>55000</v>
      </c>
      <c r="N657" s="45">
        <f t="shared" ca="1" si="314"/>
        <v>32816.400000000001</v>
      </c>
      <c r="O657" s="45">
        <f t="shared" ca="1" si="311"/>
        <v>59.666181818181819</v>
      </c>
      <c r="P657" s="45">
        <f t="shared" ca="1" si="312"/>
        <v>59.666181818181819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20.25" customHeight="1">
      <c r="A658" s="596"/>
      <c r="B658" s="574"/>
      <c r="C658" s="575"/>
      <c r="D658" s="605" t="s">
        <v>20</v>
      </c>
      <c r="E658" s="575"/>
      <c r="F658" s="575"/>
      <c r="G658" s="189"/>
      <c r="H658" s="161" t="s">
        <v>12</v>
      </c>
      <c r="I658" s="162"/>
      <c r="J658" s="162"/>
      <c r="K658" s="163"/>
      <c r="L658" s="38">
        <f t="shared" ref="L658:N658" ca="1" si="315">L659+L660</f>
        <v>55000</v>
      </c>
      <c r="M658" s="38">
        <f t="shared" ca="1" si="315"/>
        <v>55000</v>
      </c>
      <c r="N658" s="38">
        <f t="shared" ca="1" si="315"/>
        <v>32816.400000000001</v>
      </c>
      <c r="O658" s="38">
        <f t="shared" ca="1" si="311"/>
        <v>59.666181818181819</v>
      </c>
      <c r="P658" s="38">
        <f t="shared" ca="1" si="312"/>
        <v>59.666181818181819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20.25" hidden="1" customHeight="1">
      <c r="A659" s="598"/>
      <c r="B659" s="604"/>
      <c r="C659" s="599"/>
      <c r="D659" s="600"/>
      <c r="E659" s="601" t="s">
        <v>185</v>
      </c>
      <c r="F659" s="599"/>
      <c r="G659" s="602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1"/>
        <v>0</v>
      </c>
      <c r="P659" s="45">
        <f t="shared" si="312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20.25" hidden="1" customHeight="1">
      <c r="A660" s="598"/>
      <c r="B660" s="604"/>
      <c r="C660" s="599"/>
      <c r="D660" s="600"/>
      <c r="E660" s="601" t="s">
        <v>186</v>
      </c>
      <c r="F660" s="599"/>
      <c r="G660" s="602"/>
      <c r="H660" s="165" t="s">
        <v>12</v>
      </c>
      <c r="I660" s="44"/>
      <c r="J660" s="44"/>
      <c r="K660" s="45"/>
      <c r="L660" s="45">
        <f ca="1">IFERROR(__xludf.DUMMYFUNCTION("IMPORTRANGE(""https://docs.google.com/spreadsheets/d/1kC41EOXpGBFOW658Fs3oD8beYlym0-zO54WY-2Qnp9I/edit?usp=share_link"",""กระบี่!L660"")
+IMPORTRANGE(""https://docs.google.com/spreadsheets/d/1FbzMZY_f3MDiEuK7RpCQKrilJ_kpX0Wm7QBZ1L7EjIU/edit?usp=share_link"&amp;""",""ชุมพร!L660"")+IMPORTRANGE(""https://docs.google.com/spreadsheets/d/1v5sN-00LrXuhBxw4dkh2GrG_z4l5oAqOdJRBCsUyMaM/edit?usp=share_link"",""ตรัง!L660"")+IMPORTRANGE(""https://docs.google.com/spreadsheets/d/1T5rRTzFc79aSIvqnzkZNvwPstq829QYz_xALlO1Z0s8/edi"&amp;"t?usp=share_link"",""นครศรีธรรมราช!L660"")+IMPORTRANGE(""https://docs.google.com/spreadsheets/d/1BeghqumK0IvCmRd2QOy6_afsZq7ZtAGrSnVJy2u7WmY/edit?usp=share_link"",""นราธิวาส!L660"")+IMPORTRANGE(""https://docs.google.com/spreadsheets/d/1IwnW3-jjRf74MCLW-6P"&amp;"iFwMUffRQXZwZA7YM609NmRc/edit?usp=share_link"",""ปัตตานี!L660"")+IMPORTRANGE(""https://docs.google.com/spreadsheets/d/1vl4QWbWdFruual5o_wdo6ZSqXZ_it806oja4CctTLKs/edit?usp=share_link"",""พังงา!L660"")+IMPORTRANGE(""https://docs.google.com/spreadsheets/d/1"&amp;"b6QssHQp2FoAPSMKHOy273KNzAomaIKhtdlvuZ_zDNE/edit?usp=share_link"",""พัทลุง!L660"")+IMPORTRANGE(""https://docs.google.com/spreadsheets/d/1o7UZe4_OqlqtLDHrj01Z2YFRSZDf1DMy1n3XViHaxRc/edit?usp=share_link"",""ภูเก็ต!L660"")+IMPORTRANGE(""https://docs.google.c"&amp;"om/spreadsheets/d/1ctPm1vUzcUCPuOj9-eoHUD85PqINFqUB0TjdSWmR5-c/edit?usp=share_link"",""ยะลา!L660"")+IMPORTRANGE(""https://docs.google.com/spreadsheets/d/1YiDIE7Klmt8osgdapRqYWNr7iPGFSsiJqq46S7PYRE0/edit?usp=share_link"",""ระนอง!L660"")+IMPORTRANGE(""https"&amp;"://docs.google.com/spreadsheets/d/16o_4B-V7AWw_6E93bSpXj_XxVv1oVQctk-B6z1dNEWU/edit?usp=share_link"",""สงขลา!L660"")+IMPORTRANGE(""https://docs.google.com/spreadsheets/d/16cywr71Fj4fA5OGRHsZh30ZG2gwJhMAQv69oVBzYHv0/edit?usp=share_link"",""สตูล!L660"")+IMP"&amp;"ORTRANGE(""https://docs.google.com/spreadsheets/d/1vO9Sws6kMtrVtyvrAJptINXjK8TFBoX9xLYOVK_C8bQ/edit?usp=share_link"",""สุราษฎร์ธานี!L660"")"),55000)</f>
        <v>55000</v>
      </c>
      <c r="M660" s="93">
        <f ca="1">IFERROR(__xludf.DUMMYFUNCTION("IMPORTRANGE(""https://docs.google.com/spreadsheets/d/1kC41EOXpGBFOW658Fs3oD8beYlym0-zO54WY-2Qnp9I/edit?usp=share_link"",""กระบี่!M660"")
+IMPORTRANGE(""https://docs.google.com/spreadsheets/d/1FbzMZY_f3MDiEuK7RpCQKrilJ_kpX0Wm7QBZ1L7EjIU/edit?usp=share_link"&amp;""",""ชุมพร!M660"")+IMPORTRANGE(""https://docs.google.com/spreadsheets/d/1v5sN-00LrXuhBxw4dkh2GrG_z4l5oAqOdJRBCsUyMaM/edit?usp=share_link"",""ตรัง!M660"")+IMPORTRANGE(""https://docs.google.com/spreadsheets/d/1T5rRTzFc79aSIvqnzkZNvwPstq829QYz_xALlO1Z0s8/edi"&amp;"t?usp=share_link"",""นครศรีธรรมราช!M660"")+IMPORTRANGE(""https://docs.google.com/spreadsheets/d/1BeghqumK0IvCmRd2QOy6_afsZq7ZtAGrSnVJy2u7WmY/edit?usp=share_link"",""นราธิวาส!M660"")+IMPORTRANGE(""https://docs.google.com/spreadsheets/d/1IwnW3-jjRf74MCLW-6P"&amp;"iFwMUffRQXZwZA7YM609NmRc/edit?usp=share_link"",""ปัตตานี!M660"")+IMPORTRANGE(""https://docs.google.com/spreadsheets/d/1vl4QWbWdFruual5o_wdo6ZSqXZ_it806oja4CctTLKs/edit?usp=share_link"",""พังงา!M660"")+IMPORTRANGE(""https://docs.google.com/spreadsheets/d/1"&amp;"b6QssHQp2FoAPSMKHOy273KNzAomaIKhtdlvuZ_zDNE/edit?usp=share_link"",""พัทลุง!M660"")+IMPORTRANGE(""https://docs.google.com/spreadsheets/d/1o7UZe4_OqlqtLDHrj01Z2YFRSZDf1DMy1n3XViHaxRc/edit?usp=share_link"",""ภูเก็ต!M660"")+IMPORTRANGE(""https://docs.google.c"&amp;"om/spreadsheets/d/1ctPm1vUzcUCPuOj9-eoHUD85PqINFqUB0TjdSWmR5-c/edit?usp=share_link"",""ยะลา!M660"")+IMPORTRANGE(""https://docs.google.com/spreadsheets/d/1YiDIE7Klmt8osgdapRqYWNr7iPGFSsiJqq46S7PYRE0/edit?usp=share_link"",""ระนอง!M660"")+IMPORTRANGE(""https"&amp;"://docs.google.com/spreadsheets/d/16o_4B-V7AWw_6E93bSpXj_XxVv1oVQctk-B6z1dNEWU/edit?usp=share_link"",""สงขลา!M660"")+IMPORTRANGE(""https://docs.google.com/spreadsheets/d/16cywr71Fj4fA5OGRHsZh30ZG2gwJhMAQv69oVBzYHv0/edit?usp=share_link"",""สตูล!M660"")+IMP"&amp;"ORTRANGE(""https://docs.google.com/spreadsheets/d/1vO9Sws6kMtrVtyvrAJptINXjK8TFBoX9xLYOVK_C8bQ/edit?usp=share_link"",""สุราษฎร์ธานี!M660"")"),55000)</f>
        <v>55000</v>
      </c>
      <c r="N660" s="45">
        <f ca="1">N661+N662+N663+N664</f>
        <v>32816.400000000001</v>
      </c>
      <c r="O660" s="45">
        <f t="shared" ca="1" si="311"/>
        <v>59.666181818181819</v>
      </c>
      <c r="P660" s="45">
        <f t="shared" ca="1" si="312"/>
        <v>59.666181818181819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20.25" customHeight="1">
      <c r="A661" s="573"/>
      <c r="B661" s="574"/>
      <c r="C661" s="575"/>
      <c r="D661" s="575"/>
      <c r="E661" s="575"/>
      <c r="F661" s="576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IFERROR(__xludf.DUMMYFUNCTION("IMPORTRANGE(""https://docs.google.com/spreadsheets/d/1kC41EOXpGBFOW658Fs3oD8beYlym0-zO54WY-2Qnp9I/edit?usp=share_link"",""กระบี่!N661"")
+IMPORTRANGE(""https://docs.google.com/spreadsheets/d/1FbzMZY_f3MDiEuK7RpCQKrilJ_kpX0Wm7QBZ1L7EjIU/edit?usp=share_link"&amp;""",""ชุมพร!N661"")+IMPORTRANGE(""https://docs.google.com/spreadsheets/d/1v5sN-00LrXuhBxw4dkh2GrG_z4l5oAqOdJRBCsUyMaM/edit?usp=share_link"",""ตรัง!N661"")+IMPORTRANGE(""https://docs.google.com/spreadsheets/d/1T5rRTzFc79aSIvqnzkZNvwPstq829QYz_xALlO1Z0s8/edi"&amp;"t?usp=share_link"",""นครศรีธรรมราช!N661"")+IMPORTRANGE(""https://docs.google.com/spreadsheets/d/1BeghqumK0IvCmRd2QOy6_afsZq7ZtAGrSnVJy2u7WmY/edit?usp=share_link"",""นราธิวาส!N661"")+IMPORTRANGE(""https://docs.google.com/spreadsheets/d/1IwnW3-jjRf74MCLW-6P"&amp;"iFwMUffRQXZwZA7YM609NmRc/edit?usp=share_link"",""ปัตตานี!N661"")+IMPORTRANGE(""https://docs.google.com/spreadsheets/d/1vl4QWbWdFruual5o_wdo6ZSqXZ_it806oja4CctTLKs/edit?usp=share_link"",""พังงา!N661"")+IMPORTRANGE(""https://docs.google.com/spreadsheets/d/1"&amp;"b6QssHQp2FoAPSMKHOy273KNzAomaIKhtdlvuZ_zDNE/edit?usp=share_link"",""พัทลุง!N661"")+IMPORTRANGE(""https://docs.google.com/spreadsheets/d/1o7UZe4_OqlqtLDHrj01Z2YFRSZDf1DMy1n3XViHaxRc/edit?usp=share_link"",""ภูเก็ต!N661"")+IMPORTRANGE(""https://docs.google.c"&amp;"om/spreadsheets/d/1ctPm1vUzcUCPuOj9-eoHUD85PqINFqUB0TjdSWmR5-c/edit?usp=share_link"",""ยะลา!N661"")+IMPORTRANGE(""https://docs.google.com/spreadsheets/d/1YiDIE7Klmt8osgdapRqYWNr7iPGFSsiJqq46S7PYRE0/edit?usp=share_link"",""ระนอง!N661"")+IMPORTRANGE(""https"&amp;"://docs.google.com/spreadsheets/d/16o_4B-V7AWw_6E93bSpXj_XxVv1oVQctk-B6z1dNEWU/edit?usp=share_link"",""สงขลา!N661"")+IMPORTRANGE(""https://docs.google.com/spreadsheets/d/16cywr71Fj4fA5OGRHsZh30ZG2gwJhMAQv69oVBzYHv0/edit?usp=share_link"",""สตูล!N661"")+IMP"&amp;"ORTRANGE(""https://docs.google.com/spreadsheets/d/1vO9Sws6kMtrVtyvrAJptINXjK8TFBoX9xLYOVK_C8bQ/edit?usp=share_link"",""สุราษฎร์ธานี!N661"")"),0)</f>
        <v>0</v>
      </c>
      <c r="O661" s="38"/>
      <c r="P661" s="3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20.25" customHeight="1">
      <c r="A662" s="573"/>
      <c r="B662" s="574"/>
      <c r="C662" s="575"/>
      <c r="D662" s="575"/>
      <c r="E662" s="575"/>
      <c r="F662" s="576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IFERROR(__xludf.DUMMYFUNCTION("IMPORTRANGE(""https://docs.google.com/spreadsheets/d/1kC41EOXpGBFOW658Fs3oD8beYlym0-zO54WY-2Qnp9I/edit?usp=share_link"",""กระบี่!N662"")
+IMPORTRANGE(""https://docs.google.com/spreadsheets/d/1FbzMZY_f3MDiEuK7RpCQKrilJ_kpX0Wm7QBZ1L7EjIU/edit?usp=share_link"&amp;""",""ชุมพร!N662"")+IMPORTRANGE(""https://docs.google.com/spreadsheets/d/1v5sN-00LrXuhBxw4dkh2GrG_z4l5oAqOdJRBCsUyMaM/edit?usp=share_link"",""ตรัง!N662"")+IMPORTRANGE(""https://docs.google.com/spreadsheets/d/1T5rRTzFc79aSIvqnzkZNvwPstq829QYz_xALlO1Z0s8/edi"&amp;"t?usp=share_link"",""นครศรีธรรมราช!N662"")+IMPORTRANGE(""https://docs.google.com/spreadsheets/d/1BeghqumK0IvCmRd2QOy6_afsZq7ZtAGrSnVJy2u7WmY/edit?usp=share_link"",""นราธิวาส!N662"")+IMPORTRANGE(""https://docs.google.com/spreadsheets/d/1IwnW3-jjRf74MCLW-6P"&amp;"iFwMUffRQXZwZA7YM609NmRc/edit?usp=share_link"",""ปัตตานี!N662"")+IMPORTRANGE(""https://docs.google.com/spreadsheets/d/1vl4QWbWdFruual5o_wdo6ZSqXZ_it806oja4CctTLKs/edit?usp=share_link"",""พังงา!N662"")+IMPORTRANGE(""https://docs.google.com/spreadsheets/d/1"&amp;"b6QssHQp2FoAPSMKHOy273KNzAomaIKhtdlvuZ_zDNE/edit?usp=share_link"",""พัทลุง!N662"")+IMPORTRANGE(""https://docs.google.com/spreadsheets/d/1o7UZe4_OqlqtLDHrj01Z2YFRSZDf1DMy1n3XViHaxRc/edit?usp=share_link"",""ภูเก็ต!N662"")+IMPORTRANGE(""https://docs.google.c"&amp;"om/spreadsheets/d/1ctPm1vUzcUCPuOj9-eoHUD85PqINFqUB0TjdSWmR5-c/edit?usp=share_link"",""ยะลา!N662"")+IMPORTRANGE(""https://docs.google.com/spreadsheets/d/1YiDIE7Klmt8osgdapRqYWNr7iPGFSsiJqq46S7PYRE0/edit?usp=share_link"",""ระนอง!N662"")+IMPORTRANGE(""https"&amp;"://docs.google.com/spreadsheets/d/16o_4B-V7AWw_6E93bSpXj_XxVv1oVQctk-B6z1dNEWU/edit?usp=share_link"",""สงขลา!N662"")+IMPORTRANGE(""https://docs.google.com/spreadsheets/d/16cywr71Fj4fA5OGRHsZh30ZG2gwJhMAQv69oVBzYHv0/edit?usp=share_link"",""สตูล!N662"")+IMP"&amp;"ORTRANGE(""https://docs.google.com/spreadsheets/d/1vO9Sws6kMtrVtyvrAJptINXjK8TFBoX9xLYOVK_C8bQ/edit?usp=share_link"",""สุราษฎร์ธานี!N662"")"),0)</f>
        <v>0</v>
      </c>
      <c r="O662" s="38"/>
      <c r="P662" s="3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20.25" customHeight="1">
      <c r="A663" s="573"/>
      <c r="B663" s="574"/>
      <c r="C663" s="574"/>
      <c r="D663" s="575"/>
      <c r="E663" s="575"/>
      <c r="F663" s="576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IFERROR(__xludf.DUMMYFUNCTION("IMPORTRANGE(""https://docs.google.com/spreadsheets/d/1kC41EOXpGBFOW658Fs3oD8beYlym0-zO54WY-2Qnp9I/edit?usp=share_link"",""กระบี่!N663"")
+IMPORTRANGE(""https://docs.google.com/spreadsheets/d/1FbzMZY_f3MDiEuK7RpCQKrilJ_kpX0Wm7QBZ1L7EjIU/edit?usp=share_link"&amp;""",""ชุมพร!N663"")+IMPORTRANGE(""https://docs.google.com/spreadsheets/d/1v5sN-00LrXuhBxw4dkh2GrG_z4l5oAqOdJRBCsUyMaM/edit?usp=share_link"",""ตรัง!N663"")+IMPORTRANGE(""https://docs.google.com/spreadsheets/d/1T5rRTzFc79aSIvqnzkZNvwPstq829QYz_xALlO1Z0s8/edi"&amp;"t?usp=share_link"",""นครศรีธรรมราช!N663"")+IMPORTRANGE(""https://docs.google.com/spreadsheets/d/1BeghqumK0IvCmRd2QOy6_afsZq7ZtAGrSnVJy2u7WmY/edit?usp=share_link"",""นราธิวาส!N663"")+IMPORTRANGE(""https://docs.google.com/spreadsheets/d/1IwnW3-jjRf74MCLW-6P"&amp;"iFwMUffRQXZwZA7YM609NmRc/edit?usp=share_link"",""ปัตตานี!N663"")+IMPORTRANGE(""https://docs.google.com/spreadsheets/d/1vl4QWbWdFruual5o_wdo6ZSqXZ_it806oja4CctTLKs/edit?usp=share_link"",""พังงา!N663"")+IMPORTRANGE(""https://docs.google.com/spreadsheets/d/1"&amp;"b6QssHQp2FoAPSMKHOy273KNzAomaIKhtdlvuZ_zDNE/edit?usp=share_link"",""พัทลุง!N663"")+IMPORTRANGE(""https://docs.google.com/spreadsheets/d/1o7UZe4_OqlqtLDHrj01Z2YFRSZDf1DMy1n3XViHaxRc/edit?usp=share_link"",""ภูเก็ต!N663"")+IMPORTRANGE(""https://docs.google.c"&amp;"om/spreadsheets/d/1ctPm1vUzcUCPuOj9-eoHUD85PqINFqUB0TjdSWmR5-c/edit?usp=share_link"",""ยะลา!N663"")+IMPORTRANGE(""https://docs.google.com/spreadsheets/d/1YiDIE7Klmt8osgdapRqYWNr7iPGFSsiJqq46S7PYRE0/edit?usp=share_link"",""ระนอง!N663"")+IMPORTRANGE(""https"&amp;"://docs.google.com/spreadsheets/d/16o_4B-V7AWw_6E93bSpXj_XxVv1oVQctk-B6z1dNEWU/edit?usp=share_link"",""สงขลา!N663"")+IMPORTRANGE(""https://docs.google.com/spreadsheets/d/16cywr71Fj4fA5OGRHsZh30ZG2gwJhMAQv69oVBzYHv0/edit?usp=share_link"",""สตูล!N663"")+IMP"&amp;"ORTRANGE(""https://docs.google.com/spreadsheets/d/1vO9Sws6kMtrVtyvrAJptINXjK8TFBoX9xLYOVK_C8bQ/edit?usp=share_link"",""สุราษฎร์ธานี!N663"")"),0)</f>
        <v>0</v>
      </c>
      <c r="O663" s="38"/>
      <c r="P663" s="3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20.25" customHeight="1">
      <c r="A664" s="573"/>
      <c r="B664" s="574"/>
      <c r="C664" s="574"/>
      <c r="D664" s="574"/>
      <c r="E664" s="575"/>
      <c r="F664" s="576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IFERROR(__xludf.DUMMYFUNCTION("IMPORTRANGE(""https://docs.google.com/spreadsheets/d/1kC41EOXpGBFOW658Fs3oD8beYlym0-zO54WY-2Qnp9I/edit?usp=share_link"",""กระบี่!N664"")
+IMPORTRANGE(""https://docs.google.com/spreadsheets/d/1FbzMZY_f3MDiEuK7RpCQKrilJ_kpX0Wm7QBZ1L7EjIU/edit?usp=share_link"&amp;""",""ชุมพร!N664"")+IMPORTRANGE(""https://docs.google.com/spreadsheets/d/1v5sN-00LrXuhBxw4dkh2GrG_z4l5oAqOdJRBCsUyMaM/edit?usp=share_link"",""ตรัง!N664"")+IMPORTRANGE(""https://docs.google.com/spreadsheets/d/1T5rRTzFc79aSIvqnzkZNvwPstq829QYz_xALlO1Z0s8/edi"&amp;"t?usp=share_link"",""นครศรีธรรมราช!N664"")+IMPORTRANGE(""https://docs.google.com/spreadsheets/d/1BeghqumK0IvCmRd2QOy6_afsZq7ZtAGrSnVJy2u7WmY/edit?usp=share_link"",""นราธิวาส!N664"")+IMPORTRANGE(""https://docs.google.com/spreadsheets/d/1IwnW3-jjRf74MCLW-6P"&amp;"iFwMUffRQXZwZA7YM609NmRc/edit?usp=share_link"",""ปัตตานี!N664"")+IMPORTRANGE(""https://docs.google.com/spreadsheets/d/1vl4QWbWdFruual5o_wdo6ZSqXZ_it806oja4CctTLKs/edit?usp=share_link"",""พังงา!N664"")+IMPORTRANGE(""https://docs.google.com/spreadsheets/d/1"&amp;"b6QssHQp2FoAPSMKHOy273KNzAomaIKhtdlvuZ_zDNE/edit?usp=share_link"",""พัทลุง!N664"")+IMPORTRANGE(""https://docs.google.com/spreadsheets/d/1o7UZe4_OqlqtLDHrj01Z2YFRSZDf1DMy1n3XViHaxRc/edit?usp=share_link"",""ภูเก็ต!N664"")+IMPORTRANGE(""https://docs.google.c"&amp;"om/spreadsheets/d/1ctPm1vUzcUCPuOj9-eoHUD85PqINFqUB0TjdSWmR5-c/edit?usp=share_link"",""ยะลา!N664"")+IMPORTRANGE(""https://docs.google.com/spreadsheets/d/1YiDIE7Klmt8osgdapRqYWNr7iPGFSsiJqq46S7PYRE0/edit?usp=share_link"",""ระนอง!N664"")+IMPORTRANGE(""https"&amp;"://docs.google.com/spreadsheets/d/16o_4B-V7AWw_6E93bSpXj_XxVv1oVQctk-B6z1dNEWU/edit?usp=share_link"",""สงขลา!N664"")+IMPORTRANGE(""https://docs.google.com/spreadsheets/d/16cywr71Fj4fA5OGRHsZh30ZG2gwJhMAQv69oVBzYHv0/edit?usp=share_link"",""สตูล!N664"")+IMP"&amp;"ORTRANGE(""https://docs.google.com/spreadsheets/d/1vO9Sws6kMtrVtyvrAJptINXjK8TFBoX9xLYOVK_C8bQ/edit?usp=share_link"",""สุราษฎร์ธานี!N664"")"),32816.4)</f>
        <v>32816.400000000001</v>
      </c>
      <c r="O664" s="38"/>
      <c r="P664" s="3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20.25" customHeight="1">
      <c r="A665" s="596"/>
      <c r="B665" s="574"/>
      <c r="C665" s="574"/>
      <c r="D665" s="605" t="s">
        <v>21</v>
      </c>
      <c r="E665" s="575"/>
      <c r="F665" s="575"/>
      <c r="G665" s="189"/>
      <c r="H665" s="168" t="s">
        <v>12</v>
      </c>
      <c r="I665" s="162"/>
      <c r="J665" s="162"/>
      <c r="K665" s="163"/>
      <c r="L665" s="38">
        <f t="shared" ref="L665:N665" si="316">L666+L667</f>
        <v>0</v>
      </c>
      <c r="M665" s="38">
        <f t="shared" si="316"/>
        <v>0</v>
      </c>
      <c r="N665" s="38">
        <f t="shared" si="316"/>
        <v>0</v>
      </c>
      <c r="O665" s="38">
        <f t="shared" ref="O665:O667" si="317">IF(L665&gt;0,N665*100/L665,0)</f>
        <v>0</v>
      </c>
      <c r="P665" s="38">
        <f t="shared" ref="P665:P667" si="318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20.25" hidden="1" customHeight="1">
      <c r="A666" s="598"/>
      <c r="B666" s="604"/>
      <c r="C666" s="604"/>
      <c r="D666" s="604"/>
      <c r="E666" s="601" t="s">
        <v>18</v>
      </c>
      <c r="F666" s="599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7"/>
        <v>0</v>
      </c>
      <c r="P666" s="45">
        <f t="shared" si="318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20.25" hidden="1" customHeight="1">
      <c r="A667" s="598"/>
      <c r="B667" s="604"/>
      <c r="C667" s="604"/>
      <c r="D667" s="604"/>
      <c r="E667" s="601" t="s">
        <v>19</v>
      </c>
      <c r="F667" s="599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7"/>
        <v>0</v>
      </c>
      <c r="P667" s="45">
        <f t="shared" si="318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20.25" customHeight="1">
      <c r="A668" s="607"/>
      <c r="B668" s="608"/>
      <c r="C668" s="574" t="s">
        <v>16</v>
      </c>
      <c r="D668" s="609" t="s">
        <v>38</v>
      </c>
      <c r="E668" s="611"/>
      <c r="F668" s="611"/>
      <c r="G668" s="612"/>
      <c r="H668" s="175"/>
      <c r="I668" s="162"/>
      <c r="J668" s="162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20.25" customHeight="1">
      <c r="A669" s="607"/>
      <c r="B669" s="608"/>
      <c r="C669" s="608"/>
      <c r="D669" s="617" t="s">
        <v>281</v>
      </c>
      <c r="E669" s="618"/>
      <c r="F669" s="618"/>
      <c r="G669" s="175"/>
      <c r="H669" s="750" t="s">
        <v>46</v>
      </c>
      <c r="I669" s="194">
        <f ca="1">IFERROR(__xludf.DUMMYFUNCTION("IMPORTRANGE(""https://docs.google.com/spreadsheets/d/1kC41EOXpGBFOW658Fs3oD8beYlym0-zO54WY-2Qnp9I/edit?usp=share_link"",""กระบี่!I669"")
+IMPORTRANGE(""https://docs.google.com/spreadsheets/d/1FbzMZY_f3MDiEuK7RpCQKrilJ_kpX0Wm7QBZ1L7EjIU/edit?usp=share_link"&amp;""",""ชุมพร!I669"")+IMPORTRANGE(""https://docs.google.com/spreadsheets/d/1v5sN-00LrXuhBxw4dkh2GrG_z4l5oAqOdJRBCsUyMaM/edit?usp=share_link"",""ตรัง!I669"")+IMPORTRANGE(""https://docs.google.com/spreadsheets/d/1T5rRTzFc79aSIvqnzkZNvwPstq829QYz_xALlO1Z0s8/edi"&amp;"t?usp=share_link"",""นครศรีธรรมราช!I669"")+IMPORTRANGE(""https://docs.google.com/spreadsheets/d/1BeghqumK0IvCmRd2QOy6_afsZq7ZtAGrSnVJy2u7WmY/edit?usp=share_link"",""นราธิวาส!I669"")+IMPORTRANGE(""https://docs.google.com/spreadsheets/d/1IwnW3-jjRf74MCLW-6P"&amp;"iFwMUffRQXZwZA7YM609NmRc/edit?usp=share_link"",""ปัตตานี!I669"")+IMPORTRANGE(""https://docs.google.com/spreadsheets/d/1vl4QWbWdFruual5o_wdo6ZSqXZ_it806oja4CctTLKs/edit?usp=share_link"",""พังงา!I669"")+IMPORTRANGE(""https://docs.google.com/spreadsheets/d/1"&amp;"b6QssHQp2FoAPSMKHOy273KNzAomaIKhtdlvuZ_zDNE/edit?usp=share_link"",""พัทลุง!I669"")+IMPORTRANGE(""https://docs.google.com/spreadsheets/d/1o7UZe4_OqlqtLDHrj01Z2YFRSZDf1DMy1n3XViHaxRc/edit?usp=share_link"",""ภูเก็ต!I669"")+IMPORTRANGE(""https://docs.google.c"&amp;"om/spreadsheets/d/1ctPm1vUzcUCPuOj9-eoHUD85PqINFqUB0TjdSWmR5-c/edit?usp=share_link"",""ยะลา!I669"")+IMPORTRANGE(""https://docs.google.com/spreadsheets/d/1YiDIE7Klmt8osgdapRqYWNr7iPGFSsiJqq46S7PYRE0/edit?usp=share_link"",""ระนอง!I669"")+IMPORTRANGE(""https"&amp;"://docs.google.com/spreadsheets/d/16o_4B-V7AWw_6E93bSpXj_XxVv1oVQctk-B6z1dNEWU/edit?usp=share_link"",""สงขลา!I669"")+IMPORTRANGE(""https://docs.google.com/spreadsheets/d/16cywr71Fj4fA5OGRHsZh30ZG2gwJhMAQv69oVBzYHv0/edit?usp=share_link"",""สตูล!I669"")+IMP"&amp;"ORTRANGE(""https://docs.google.com/spreadsheets/d/1vO9Sws6kMtrVtyvrAJptINXjK8TFBoX9xLYOVK_C8bQ/edit?usp=share_link"",""สุราษฎร์ธานี!I669"")"),250)</f>
        <v>250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20.25" customHeight="1">
      <c r="A670" s="607"/>
      <c r="B670" s="608"/>
      <c r="C670" s="608"/>
      <c r="D670" s="608"/>
      <c r="E670" s="187" t="s">
        <v>282</v>
      </c>
      <c r="F670" s="618"/>
      <c r="G670" s="175"/>
      <c r="H670" s="449" t="s">
        <v>66</v>
      </c>
      <c r="I670" s="37">
        <f ca="1">IFERROR(__xludf.DUMMYFUNCTION("IMPORTRANGE(""https://docs.google.com/spreadsheets/d/1kC41EOXpGBFOW658Fs3oD8beYlym0-zO54WY-2Qnp9I/edit?usp=share_link"",""กระบี่!I670"")
+IMPORTRANGE(""https://docs.google.com/spreadsheets/d/1FbzMZY_f3MDiEuK7RpCQKrilJ_kpX0Wm7QBZ1L7EjIU/edit?usp=share_link"&amp;""",""ชุมพร!I670"")+IMPORTRANGE(""https://docs.google.com/spreadsheets/d/1v5sN-00LrXuhBxw4dkh2GrG_z4l5oAqOdJRBCsUyMaM/edit?usp=share_link"",""ตรัง!I670"")+IMPORTRANGE(""https://docs.google.com/spreadsheets/d/1T5rRTzFc79aSIvqnzkZNvwPstq829QYz_xALlO1Z0s8/edi"&amp;"t?usp=share_link"",""นครศรีธรรมราช!I670"")+IMPORTRANGE(""https://docs.google.com/spreadsheets/d/1BeghqumK0IvCmRd2QOy6_afsZq7ZtAGrSnVJy2u7WmY/edit?usp=share_link"",""นราธิวาส!I670"")+IMPORTRANGE(""https://docs.google.com/spreadsheets/d/1IwnW3-jjRf74MCLW-6P"&amp;"iFwMUffRQXZwZA7YM609NmRc/edit?usp=share_link"",""ปัตตานี!I670"")+IMPORTRANGE(""https://docs.google.com/spreadsheets/d/1vl4QWbWdFruual5o_wdo6ZSqXZ_it806oja4CctTLKs/edit?usp=share_link"",""พังงา!I670"")+IMPORTRANGE(""https://docs.google.com/spreadsheets/d/1"&amp;"b6QssHQp2FoAPSMKHOy273KNzAomaIKhtdlvuZ_zDNE/edit?usp=share_link"",""พัทลุง!I670"")+IMPORTRANGE(""https://docs.google.com/spreadsheets/d/1o7UZe4_OqlqtLDHrj01Z2YFRSZDf1DMy1n3XViHaxRc/edit?usp=share_link"",""ภูเก็ต!I670"")+IMPORTRANGE(""https://docs.google.c"&amp;"om/spreadsheets/d/1ctPm1vUzcUCPuOj9-eoHUD85PqINFqUB0TjdSWmR5-c/edit?usp=share_link"",""ยะลา!I670"")+IMPORTRANGE(""https://docs.google.com/spreadsheets/d/1YiDIE7Klmt8osgdapRqYWNr7iPGFSsiJqq46S7PYRE0/edit?usp=share_link"",""ระนอง!I670"")+IMPORTRANGE(""https"&amp;"://docs.google.com/spreadsheets/d/16o_4B-V7AWw_6E93bSpXj_XxVv1oVQctk-B6z1dNEWU/edit?usp=share_link"",""สงขลา!I670"")+IMPORTRANGE(""https://docs.google.com/spreadsheets/d/16cywr71Fj4fA5OGRHsZh30ZG2gwJhMAQv69oVBzYHv0/edit?usp=share_link"",""สตูล!I670"")+IMP"&amp;"ORTRANGE(""https://docs.google.com/spreadsheets/d/1vO9Sws6kMtrVtyvrAJptINXjK8TFBoX9xLYOVK_C8bQ/edit?usp=share_link"",""สุราษฎร์ธานี!I670"")"),25)</f>
        <v>25</v>
      </c>
      <c r="J670" s="183">
        <f ca="1">IFERROR(__xludf.DUMMYFUNCTION("IMPORTRANGE(""https://docs.google.com/spreadsheets/d/1kC41EOXpGBFOW658Fs3oD8beYlym0-zO54WY-2Qnp9I/edit?usp=share_link"",""กระบี่!J670"")
+IMPORTRANGE(""https://docs.google.com/spreadsheets/d/1FbzMZY_f3MDiEuK7RpCQKrilJ_kpX0Wm7QBZ1L7EjIU/edit?usp=share_link"&amp;""",""ชุมพร!J670"")+IMPORTRANGE(""https://docs.google.com/spreadsheets/d/1v5sN-00LrXuhBxw4dkh2GrG_z4l5oAqOdJRBCsUyMaM/edit?usp=share_link"",""ตรัง!J670"")+IMPORTRANGE(""https://docs.google.com/spreadsheets/d/1T5rRTzFc79aSIvqnzkZNvwPstq829QYz_xALlO1Z0s8/edi"&amp;"t?usp=share_link"",""นครศรีธรรมราช!J670"")+IMPORTRANGE(""https://docs.google.com/spreadsheets/d/1BeghqumK0IvCmRd2QOy6_afsZq7ZtAGrSnVJy2u7WmY/edit?usp=share_link"",""นราธิวาส!J670"")+IMPORTRANGE(""https://docs.google.com/spreadsheets/d/1IwnW3-jjRf74MCLW-6P"&amp;"iFwMUffRQXZwZA7YM609NmRc/edit?usp=share_link"",""ปัตตานี!J670"")+IMPORTRANGE(""https://docs.google.com/spreadsheets/d/1vl4QWbWdFruual5o_wdo6ZSqXZ_it806oja4CctTLKs/edit?usp=share_link"",""พังงา!J670"")+IMPORTRANGE(""https://docs.google.com/spreadsheets/d/1"&amp;"b6QssHQp2FoAPSMKHOy273KNzAomaIKhtdlvuZ_zDNE/edit?usp=share_link"",""พัทลุง!J670"")+IMPORTRANGE(""https://docs.google.com/spreadsheets/d/1o7UZe4_OqlqtLDHrj01Z2YFRSZDf1DMy1n3XViHaxRc/edit?usp=share_link"",""ภูเก็ต!J670"")+IMPORTRANGE(""https://docs.google.c"&amp;"om/spreadsheets/d/1ctPm1vUzcUCPuOj9-eoHUD85PqINFqUB0TjdSWmR5-c/edit?usp=share_link"",""ยะลา!J670"")+IMPORTRANGE(""https://docs.google.com/spreadsheets/d/1YiDIE7Klmt8osgdapRqYWNr7iPGFSsiJqq46S7PYRE0/edit?usp=share_link"",""ระนอง!J670"")+IMPORTRANGE(""https"&amp;"://docs.google.com/spreadsheets/d/16o_4B-V7AWw_6E93bSpXj_XxVv1oVQctk-B6z1dNEWU/edit?usp=share_link"",""สงขลา!J670"")+IMPORTRANGE(""https://docs.google.com/spreadsheets/d/16cywr71Fj4fA5OGRHsZh30ZG2gwJhMAQv69oVBzYHv0/edit?usp=share_link"",""สตูล!J670"")+IMP"&amp;"ORTRANGE(""https://docs.google.com/spreadsheets/d/1vO9Sws6kMtrVtyvrAJptINXjK8TFBoX9xLYOVK_C8bQ/edit?usp=share_link"",""สุราษฎร์ธานี!J670"")"),25)</f>
        <v>25</v>
      </c>
      <c r="K670" s="3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20.25" customHeight="1">
      <c r="A671" s="607"/>
      <c r="B671" s="608"/>
      <c r="C671" s="608"/>
      <c r="D671" s="608"/>
      <c r="E671" s="187" t="s">
        <v>283</v>
      </c>
      <c r="F671" s="618"/>
      <c r="G671" s="175"/>
      <c r="H671" s="449" t="s">
        <v>66</v>
      </c>
      <c r="I671" s="37">
        <f ca="1">IFERROR(__xludf.DUMMYFUNCTION("IMPORTRANGE(""https://docs.google.com/spreadsheets/d/1kC41EOXpGBFOW658Fs3oD8beYlym0-zO54WY-2Qnp9I/edit?usp=share_link"",""กระบี่!I671"")
+IMPORTRANGE(""https://docs.google.com/spreadsheets/d/1FbzMZY_f3MDiEuK7RpCQKrilJ_kpX0Wm7QBZ1L7EjIU/edit?usp=share_link"&amp;""",""ชุมพร!I671"")+IMPORTRANGE(""https://docs.google.com/spreadsheets/d/1v5sN-00LrXuhBxw4dkh2GrG_z4l5oAqOdJRBCsUyMaM/edit?usp=share_link"",""ตรัง!I671"")+IMPORTRANGE(""https://docs.google.com/spreadsheets/d/1T5rRTzFc79aSIvqnzkZNvwPstq829QYz_xALlO1Z0s8/edi"&amp;"t?usp=share_link"",""นครศรีธรรมราช!I671"")+IMPORTRANGE(""https://docs.google.com/spreadsheets/d/1BeghqumK0IvCmRd2QOy6_afsZq7ZtAGrSnVJy2u7WmY/edit?usp=share_link"",""นราธิวาส!I671"")+IMPORTRANGE(""https://docs.google.com/spreadsheets/d/1IwnW3-jjRf74MCLW-6P"&amp;"iFwMUffRQXZwZA7YM609NmRc/edit?usp=share_link"",""ปัตตานี!I671"")+IMPORTRANGE(""https://docs.google.com/spreadsheets/d/1vl4QWbWdFruual5o_wdo6ZSqXZ_it806oja4CctTLKs/edit?usp=share_link"",""พังงา!I671"")+IMPORTRANGE(""https://docs.google.com/spreadsheets/d/1"&amp;"b6QssHQp2FoAPSMKHOy273KNzAomaIKhtdlvuZ_zDNE/edit?usp=share_link"",""พัทลุง!I671"")+IMPORTRANGE(""https://docs.google.com/spreadsheets/d/1o7UZe4_OqlqtLDHrj01Z2YFRSZDf1DMy1n3XViHaxRc/edit?usp=share_link"",""ภูเก็ต!I671"")+IMPORTRANGE(""https://docs.google.c"&amp;"om/spreadsheets/d/1ctPm1vUzcUCPuOj9-eoHUD85PqINFqUB0TjdSWmR5-c/edit?usp=share_link"",""ยะลา!I671"")+IMPORTRANGE(""https://docs.google.com/spreadsheets/d/1YiDIE7Klmt8osgdapRqYWNr7iPGFSsiJqq46S7PYRE0/edit?usp=share_link"",""ระนอง!I671"")+IMPORTRANGE(""https"&amp;"://docs.google.com/spreadsheets/d/16o_4B-V7AWw_6E93bSpXj_XxVv1oVQctk-B6z1dNEWU/edit?usp=share_link"",""สงขลา!I671"")+IMPORTRANGE(""https://docs.google.com/spreadsheets/d/16cywr71Fj4fA5OGRHsZh30ZG2gwJhMAQv69oVBzYHv0/edit?usp=share_link"",""สตูล!I671"")+IMP"&amp;"ORTRANGE(""https://docs.google.com/spreadsheets/d/1vO9Sws6kMtrVtyvrAJptINXjK8TFBoX9xLYOVK_C8bQ/edit?usp=share_link"",""สุราษฎร์ธานี!I671"")"),25)</f>
        <v>25</v>
      </c>
      <c r="J671" s="183">
        <f ca="1">IFERROR(__xludf.DUMMYFUNCTION("IMPORTRANGE(""https://docs.google.com/spreadsheets/d/1kC41EOXpGBFOW658Fs3oD8beYlym0-zO54WY-2Qnp9I/edit?usp=share_link"",""กระบี่!J671"")
+IMPORTRANGE(""https://docs.google.com/spreadsheets/d/1FbzMZY_f3MDiEuK7RpCQKrilJ_kpX0Wm7QBZ1L7EjIU/edit?usp=share_link"&amp;""",""ชุมพร!J671"")+IMPORTRANGE(""https://docs.google.com/spreadsheets/d/1v5sN-00LrXuhBxw4dkh2GrG_z4l5oAqOdJRBCsUyMaM/edit?usp=share_link"",""ตรัง!J671"")+IMPORTRANGE(""https://docs.google.com/spreadsheets/d/1T5rRTzFc79aSIvqnzkZNvwPstq829QYz_xALlO1Z0s8/edi"&amp;"t?usp=share_link"",""นครศรีธรรมราช!J671"")+IMPORTRANGE(""https://docs.google.com/spreadsheets/d/1BeghqumK0IvCmRd2QOy6_afsZq7ZtAGrSnVJy2u7WmY/edit?usp=share_link"",""นราธิวาส!J671"")+IMPORTRANGE(""https://docs.google.com/spreadsheets/d/1IwnW3-jjRf74MCLW-6P"&amp;"iFwMUffRQXZwZA7YM609NmRc/edit?usp=share_link"",""ปัตตานี!J671"")+IMPORTRANGE(""https://docs.google.com/spreadsheets/d/1vl4QWbWdFruual5o_wdo6ZSqXZ_it806oja4CctTLKs/edit?usp=share_link"",""พังงา!J671"")+IMPORTRANGE(""https://docs.google.com/spreadsheets/d/1"&amp;"b6QssHQp2FoAPSMKHOy273KNzAomaIKhtdlvuZ_zDNE/edit?usp=share_link"",""พัทลุง!J671"")+IMPORTRANGE(""https://docs.google.com/spreadsheets/d/1o7UZe4_OqlqtLDHrj01Z2YFRSZDf1DMy1n3XViHaxRc/edit?usp=share_link"",""ภูเก็ต!J671"")+IMPORTRANGE(""https://docs.google.c"&amp;"om/spreadsheets/d/1ctPm1vUzcUCPuOj9-eoHUD85PqINFqUB0TjdSWmR5-c/edit?usp=share_link"",""ยะลา!J671"")+IMPORTRANGE(""https://docs.google.com/spreadsheets/d/1YiDIE7Klmt8osgdapRqYWNr7iPGFSsiJqq46S7PYRE0/edit?usp=share_link"",""ระนอง!J671"")+IMPORTRANGE(""https"&amp;"://docs.google.com/spreadsheets/d/16o_4B-V7AWw_6E93bSpXj_XxVv1oVQctk-B6z1dNEWU/edit?usp=share_link"",""สงขลา!J671"")+IMPORTRANGE(""https://docs.google.com/spreadsheets/d/16cywr71Fj4fA5OGRHsZh30ZG2gwJhMAQv69oVBzYHv0/edit?usp=share_link"",""สตูล!J671"")+IMP"&amp;"ORTRANGE(""https://docs.google.com/spreadsheets/d/1vO9Sws6kMtrVtyvrAJptINXjK8TFBoX9xLYOVK_C8bQ/edit?usp=share_link"",""สุราษฎร์ธานี!J671"")"),25)</f>
        <v>25</v>
      </c>
      <c r="K671" s="3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20.25" customHeight="1">
      <c r="A672" s="607"/>
      <c r="B672" s="608"/>
      <c r="C672" s="608"/>
      <c r="D672" s="608"/>
      <c r="E672" s="187" t="s">
        <v>284</v>
      </c>
      <c r="F672" s="618"/>
      <c r="G672" s="175"/>
      <c r="H672" s="182" t="s">
        <v>46</v>
      </c>
      <c r="I672" s="37"/>
      <c r="J672" s="183">
        <f ca="1">IFERROR(__xludf.DUMMYFUNCTION("IMPORTRANGE(""https://docs.google.com/spreadsheets/d/1kC41EOXpGBFOW658Fs3oD8beYlym0-zO54WY-2Qnp9I/edit?usp=share_link"",""กระบี่!J672"")
+IMPORTRANGE(""https://docs.google.com/spreadsheets/d/1FbzMZY_f3MDiEuK7RpCQKrilJ_kpX0Wm7QBZ1L7EjIU/edit?usp=share_link"&amp;""",""ชุมพร!J672"")+IMPORTRANGE(""https://docs.google.com/spreadsheets/d/1v5sN-00LrXuhBxw4dkh2GrG_z4l5oAqOdJRBCsUyMaM/edit?usp=share_link"",""ตรัง!J672"")+IMPORTRANGE(""https://docs.google.com/spreadsheets/d/1T5rRTzFc79aSIvqnzkZNvwPstq829QYz_xALlO1Z0s8/edi"&amp;"t?usp=share_link"",""นครศรีธรรมราช!J672"")+IMPORTRANGE(""https://docs.google.com/spreadsheets/d/1BeghqumK0IvCmRd2QOy6_afsZq7ZtAGrSnVJy2u7WmY/edit?usp=share_link"",""นราธิวาส!J672"")+IMPORTRANGE(""https://docs.google.com/spreadsheets/d/1IwnW3-jjRf74MCLW-6P"&amp;"iFwMUffRQXZwZA7YM609NmRc/edit?usp=share_link"",""ปัตตานี!J672"")+IMPORTRANGE(""https://docs.google.com/spreadsheets/d/1vl4QWbWdFruual5o_wdo6ZSqXZ_it806oja4CctTLKs/edit?usp=share_link"",""พังงา!J672"")+IMPORTRANGE(""https://docs.google.com/spreadsheets/d/1"&amp;"b6QssHQp2FoAPSMKHOy273KNzAomaIKhtdlvuZ_zDNE/edit?usp=share_link"",""พัทลุง!J672"")+IMPORTRANGE(""https://docs.google.com/spreadsheets/d/1o7UZe4_OqlqtLDHrj01Z2YFRSZDf1DMy1n3XViHaxRc/edit?usp=share_link"",""ภูเก็ต!J672"")+IMPORTRANGE(""https://docs.google.c"&amp;"om/spreadsheets/d/1ctPm1vUzcUCPuOj9-eoHUD85PqINFqUB0TjdSWmR5-c/edit?usp=share_link"",""ยะลา!J672"")+IMPORTRANGE(""https://docs.google.com/spreadsheets/d/1YiDIE7Klmt8osgdapRqYWNr7iPGFSsiJqq46S7PYRE0/edit?usp=share_link"",""ระนอง!J672"")+IMPORTRANGE(""https"&amp;"://docs.google.com/spreadsheets/d/16o_4B-V7AWw_6E93bSpXj_XxVv1oVQctk-B6z1dNEWU/edit?usp=share_link"",""สงขลา!J672"")+IMPORTRANGE(""https://docs.google.com/spreadsheets/d/16cywr71Fj4fA5OGRHsZh30ZG2gwJhMAQv69oVBzYHv0/edit?usp=share_link"",""สตูล!J672"")+IMP"&amp;"ORTRANGE(""https://docs.google.com/spreadsheets/d/1vO9Sws6kMtrVtyvrAJptINXjK8TFBoX9xLYOVK_C8bQ/edit?usp=share_link"",""สุราษฎร์ธานี!J672"")"),259)</f>
        <v>259</v>
      </c>
      <c r="K672" s="38">
        <f t="shared" ref="K672:K675" ca="1" si="319">IF(I$669&gt;0,J672*100/I$669,0)</f>
        <v>103.6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20.25" customHeight="1">
      <c r="A673" s="607"/>
      <c r="B673" s="608"/>
      <c r="C673" s="608"/>
      <c r="D673" s="608"/>
      <c r="E673" s="187" t="s">
        <v>285</v>
      </c>
      <c r="F673" s="618"/>
      <c r="G673" s="175"/>
      <c r="H673" s="182" t="s">
        <v>46</v>
      </c>
      <c r="I673" s="37"/>
      <c r="J673" s="183">
        <f ca="1">IFERROR(__xludf.DUMMYFUNCTION("IMPORTRANGE(""https://docs.google.com/spreadsheets/d/1kC41EOXpGBFOW658Fs3oD8beYlym0-zO54WY-2Qnp9I/edit?usp=share_link"",""กระบี่!J673"")
+IMPORTRANGE(""https://docs.google.com/spreadsheets/d/1FbzMZY_f3MDiEuK7RpCQKrilJ_kpX0Wm7QBZ1L7EjIU/edit?usp=share_link"&amp;""",""ชุมพร!J673"")+IMPORTRANGE(""https://docs.google.com/spreadsheets/d/1v5sN-00LrXuhBxw4dkh2GrG_z4l5oAqOdJRBCsUyMaM/edit?usp=share_link"",""ตรัง!J673"")+IMPORTRANGE(""https://docs.google.com/spreadsheets/d/1T5rRTzFc79aSIvqnzkZNvwPstq829QYz_xALlO1Z0s8/edi"&amp;"t?usp=share_link"",""นครศรีธรรมราช!J673"")+IMPORTRANGE(""https://docs.google.com/spreadsheets/d/1BeghqumK0IvCmRd2QOy6_afsZq7ZtAGrSnVJy2u7WmY/edit?usp=share_link"",""นราธิวาส!J673"")+IMPORTRANGE(""https://docs.google.com/spreadsheets/d/1IwnW3-jjRf74MCLW-6P"&amp;"iFwMUffRQXZwZA7YM609NmRc/edit?usp=share_link"",""ปัตตานี!J673"")+IMPORTRANGE(""https://docs.google.com/spreadsheets/d/1vl4QWbWdFruual5o_wdo6ZSqXZ_it806oja4CctTLKs/edit?usp=share_link"",""พังงา!J673"")+IMPORTRANGE(""https://docs.google.com/spreadsheets/d/1"&amp;"b6QssHQp2FoAPSMKHOy273KNzAomaIKhtdlvuZ_zDNE/edit?usp=share_link"",""พัทลุง!J673"")+IMPORTRANGE(""https://docs.google.com/spreadsheets/d/1o7UZe4_OqlqtLDHrj01Z2YFRSZDf1DMy1n3XViHaxRc/edit?usp=share_link"",""ภูเก็ต!J673"")+IMPORTRANGE(""https://docs.google.c"&amp;"om/spreadsheets/d/1ctPm1vUzcUCPuOj9-eoHUD85PqINFqUB0TjdSWmR5-c/edit?usp=share_link"",""ยะลา!J673"")+IMPORTRANGE(""https://docs.google.com/spreadsheets/d/1YiDIE7Klmt8osgdapRqYWNr7iPGFSsiJqq46S7PYRE0/edit?usp=share_link"",""ระนอง!J673"")+IMPORTRANGE(""https"&amp;"://docs.google.com/spreadsheets/d/16o_4B-V7AWw_6E93bSpXj_XxVv1oVQctk-B6z1dNEWU/edit?usp=share_link"",""สงขลา!J673"")+IMPORTRANGE(""https://docs.google.com/spreadsheets/d/16cywr71Fj4fA5OGRHsZh30ZG2gwJhMAQv69oVBzYHv0/edit?usp=share_link"",""สตูล!J673"")+IMP"&amp;"ORTRANGE(""https://docs.google.com/spreadsheets/d/1vO9Sws6kMtrVtyvrAJptINXjK8TFBoX9xLYOVK_C8bQ/edit?usp=share_link"",""สุราษฎร์ธานี!J673"")"),57)</f>
        <v>57</v>
      </c>
      <c r="K673" s="38">
        <f t="shared" ca="1" si="319"/>
        <v>22.8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20.25" customHeight="1">
      <c r="A674" s="607"/>
      <c r="B674" s="608"/>
      <c r="C674" s="608"/>
      <c r="D674" s="608"/>
      <c r="E674" s="187" t="s">
        <v>286</v>
      </c>
      <c r="F674" s="618"/>
      <c r="G674" s="175"/>
      <c r="H674" s="182" t="s">
        <v>46</v>
      </c>
      <c r="I674" s="37"/>
      <c r="J674" s="183">
        <f ca="1">IFERROR(__xludf.DUMMYFUNCTION("IMPORTRANGE(""https://docs.google.com/spreadsheets/d/1kC41EOXpGBFOW658Fs3oD8beYlym0-zO54WY-2Qnp9I/edit?usp=share_link"",""กระบี่!J674"")
+IMPORTRANGE(""https://docs.google.com/spreadsheets/d/1FbzMZY_f3MDiEuK7RpCQKrilJ_kpX0Wm7QBZ1L7EjIU/edit?usp=share_link"&amp;""",""ชุมพร!J674"")+IMPORTRANGE(""https://docs.google.com/spreadsheets/d/1v5sN-00LrXuhBxw4dkh2GrG_z4l5oAqOdJRBCsUyMaM/edit?usp=share_link"",""ตรัง!J674"")+IMPORTRANGE(""https://docs.google.com/spreadsheets/d/1T5rRTzFc79aSIvqnzkZNvwPstq829QYz_xALlO1Z0s8/edi"&amp;"t?usp=share_link"",""นครศรีธรรมราช!J674"")+IMPORTRANGE(""https://docs.google.com/spreadsheets/d/1BeghqumK0IvCmRd2QOy6_afsZq7ZtAGrSnVJy2u7WmY/edit?usp=share_link"",""นราธิวาส!J674"")+IMPORTRANGE(""https://docs.google.com/spreadsheets/d/1IwnW3-jjRf74MCLW-6P"&amp;"iFwMUffRQXZwZA7YM609NmRc/edit?usp=share_link"",""ปัตตานี!J674"")+IMPORTRANGE(""https://docs.google.com/spreadsheets/d/1vl4QWbWdFruual5o_wdo6ZSqXZ_it806oja4CctTLKs/edit?usp=share_link"",""พังงา!J674"")+IMPORTRANGE(""https://docs.google.com/spreadsheets/d/1"&amp;"b6QssHQp2FoAPSMKHOy273KNzAomaIKhtdlvuZ_zDNE/edit?usp=share_link"",""พัทลุง!J674"")+IMPORTRANGE(""https://docs.google.com/spreadsheets/d/1o7UZe4_OqlqtLDHrj01Z2YFRSZDf1DMy1n3XViHaxRc/edit?usp=share_link"",""ภูเก็ต!J674"")+IMPORTRANGE(""https://docs.google.c"&amp;"om/spreadsheets/d/1ctPm1vUzcUCPuOj9-eoHUD85PqINFqUB0TjdSWmR5-c/edit?usp=share_link"",""ยะลา!J674"")+IMPORTRANGE(""https://docs.google.com/spreadsheets/d/1YiDIE7Klmt8osgdapRqYWNr7iPGFSsiJqq46S7PYRE0/edit?usp=share_link"",""ระนอง!J674"")+IMPORTRANGE(""https"&amp;"://docs.google.com/spreadsheets/d/16o_4B-V7AWw_6E93bSpXj_XxVv1oVQctk-B6z1dNEWU/edit?usp=share_link"",""สงขลา!J674"")+IMPORTRANGE(""https://docs.google.com/spreadsheets/d/16cywr71Fj4fA5OGRHsZh30ZG2gwJhMAQv69oVBzYHv0/edit?usp=share_link"",""สตูล!J674"")+IMP"&amp;"ORTRANGE(""https://docs.google.com/spreadsheets/d/1vO9Sws6kMtrVtyvrAJptINXjK8TFBoX9xLYOVK_C8bQ/edit?usp=share_link"",""สุราษฎร์ธานี!J674"")"),0)</f>
        <v>0</v>
      </c>
      <c r="K674" s="38">
        <f t="shared" ca="1" si="319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20.25" customHeight="1">
      <c r="A675" s="607"/>
      <c r="B675" s="608"/>
      <c r="C675" s="608"/>
      <c r="D675" s="608"/>
      <c r="E675" s="187" t="s">
        <v>287</v>
      </c>
      <c r="F675" s="618"/>
      <c r="G675" s="175"/>
      <c r="H675" s="182" t="s">
        <v>46</v>
      </c>
      <c r="I675" s="37"/>
      <c r="J675" s="194">
        <f ca="1">J676+J677</f>
        <v>0</v>
      </c>
      <c r="K675" s="195">
        <f t="shared" ca="1" si="319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20.25" customHeight="1">
      <c r="A676" s="607"/>
      <c r="B676" s="608"/>
      <c r="C676" s="608"/>
      <c r="D676" s="608"/>
      <c r="E676" s="618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IFERROR(__xludf.DUMMYFUNCTION("IMPORTRANGE(""https://docs.google.com/spreadsheets/d/1kC41EOXpGBFOW658Fs3oD8beYlym0-zO54WY-2Qnp9I/edit?usp=share_link"",""กระบี่!J676"")
+IMPORTRANGE(""https://docs.google.com/spreadsheets/d/1FbzMZY_f3MDiEuK7RpCQKrilJ_kpX0Wm7QBZ1L7EjIU/edit?usp=share_link"&amp;""",""ชุมพร!J676"")+IMPORTRANGE(""https://docs.google.com/spreadsheets/d/1v5sN-00LrXuhBxw4dkh2GrG_z4l5oAqOdJRBCsUyMaM/edit?usp=share_link"",""ตรัง!J676"")+IMPORTRANGE(""https://docs.google.com/spreadsheets/d/1T5rRTzFc79aSIvqnzkZNvwPstq829QYz_xALlO1Z0s8/edi"&amp;"t?usp=share_link"",""นครศรีธรรมราช!J676"")+IMPORTRANGE(""https://docs.google.com/spreadsheets/d/1BeghqumK0IvCmRd2QOy6_afsZq7ZtAGrSnVJy2u7WmY/edit?usp=share_link"",""นราธิวาส!J676"")+IMPORTRANGE(""https://docs.google.com/spreadsheets/d/1IwnW3-jjRf74MCLW-6P"&amp;"iFwMUffRQXZwZA7YM609NmRc/edit?usp=share_link"",""ปัตตานี!J676"")+IMPORTRANGE(""https://docs.google.com/spreadsheets/d/1vl4QWbWdFruual5o_wdo6ZSqXZ_it806oja4CctTLKs/edit?usp=share_link"",""พังงา!J676"")+IMPORTRANGE(""https://docs.google.com/spreadsheets/d/1"&amp;"b6QssHQp2FoAPSMKHOy273KNzAomaIKhtdlvuZ_zDNE/edit?usp=share_link"",""พัทลุง!J676"")+IMPORTRANGE(""https://docs.google.com/spreadsheets/d/1o7UZe4_OqlqtLDHrj01Z2YFRSZDf1DMy1n3XViHaxRc/edit?usp=share_link"",""ภูเก็ต!J676"")+IMPORTRANGE(""https://docs.google.c"&amp;"om/spreadsheets/d/1ctPm1vUzcUCPuOj9-eoHUD85PqINFqUB0TjdSWmR5-c/edit?usp=share_link"",""ยะลา!J676"")+IMPORTRANGE(""https://docs.google.com/spreadsheets/d/1YiDIE7Klmt8osgdapRqYWNr7iPGFSsiJqq46S7PYRE0/edit?usp=share_link"",""ระนอง!J676"")+IMPORTRANGE(""https"&amp;"://docs.google.com/spreadsheets/d/16o_4B-V7AWw_6E93bSpXj_XxVv1oVQctk-B6z1dNEWU/edit?usp=share_link"",""สงขลา!J676"")+IMPORTRANGE(""https://docs.google.com/spreadsheets/d/16cywr71Fj4fA5OGRHsZh30ZG2gwJhMAQv69oVBzYHv0/edit?usp=share_link"",""สตูล!J676"")+IMP"&amp;"ORTRANGE(""https://docs.google.com/spreadsheets/d/1vO9Sws6kMtrVtyvrAJptINXjK8TFBoX9xLYOVK_C8bQ/edit?usp=share_link"",""สุราษฎร์ธานี!J676"")"),0)</f>
        <v>0</v>
      </c>
      <c r="K676" s="3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20.25" customHeight="1">
      <c r="A677" s="607"/>
      <c r="B677" s="608"/>
      <c r="C677" s="608"/>
      <c r="D677" s="608"/>
      <c r="E677" s="618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IFERROR(__xludf.DUMMYFUNCTION("IMPORTRANGE(""https://docs.google.com/spreadsheets/d/1kC41EOXpGBFOW658Fs3oD8beYlym0-zO54WY-2Qnp9I/edit?usp=share_link"",""กระบี่!J677"")
+IMPORTRANGE(""https://docs.google.com/spreadsheets/d/1FbzMZY_f3MDiEuK7RpCQKrilJ_kpX0Wm7QBZ1L7EjIU/edit?usp=share_link"&amp;""",""ชุมพร!J677"")+IMPORTRANGE(""https://docs.google.com/spreadsheets/d/1v5sN-00LrXuhBxw4dkh2GrG_z4l5oAqOdJRBCsUyMaM/edit?usp=share_link"",""ตรัง!J677"")+IMPORTRANGE(""https://docs.google.com/spreadsheets/d/1T5rRTzFc79aSIvqnzkZNvwPstq829QYz_xALlO1Z0s8/edi"&amp;"t?usp=share_link"",""นครศรีธรรมราช!J677"")+IMPORTRANGE(""https://docs.google.com/spreadsheets/d/1BeghqumK0IvCmRd2QOy6_afsZq7ZtAGrSnVJy2u7WmY/edit?usp=share_link"",""นราธิวาส!J677"")+IMPORTRANGE(""https://docs.google.com/spreadsheets/d/1IwnW3-jjRf74MCLW-6P"&amp;"iFwMUffRQXZwZA7YM609NmRc/edit?usp=share_link"",""ปัตตานี!J677"")+IMPORTRANGE(""https://docs.google.com/spreadsheets/d/1vl4QWbWdFruual5o_wdo6ZSqXZ_it806oja4CctTLKs/edit?usp=share_link"",""พังงา!J677"")+IMPORTRANGE(""https://docs.google.com/spreadsheets/d/1"&amp;"b6QssHQp2FoAPSMKHOy273KNzAomaIKhtdlvuZ_zDNE/edit?usp=share_link"",""พัทลุง!J677"")+IMPORTRANGE(""https://docs.google.com/spreadsheets/d/1o7UZe4_OqlqtLDHrj01Z2YFRSZDf1DMy1n3XViHaxRc/edit?usp=share_link"",""ภูเก็ต!J677"")+IMPORTRANGE(""https://docs.google.c"&amp;"om/spreadsheets/d/1ctPm1vUzcUCPuOj9-eoHUD85PqINFqUB0TjdSWmR5-c/edit?usp=share_link"",""ยะลา!J677"")+IMPORTRANGE(""https://docs.google.com/spreadsheets/d/1YiDIE7Klmt8osgdapRqYWNr7iPGFSsiJqq46S7PYRE0/edit?usp=share_link"",""ระนอง!J677"")+IMPORTRANGE(""https"&amp;"://docs.google.com/spreadsheets/d/16o_4B-V7AWw_6E93bSpXj_XxVv1oVQctk-B6z1dNEWU/edit?usp=share_link"",""สงขลา!J677"")+IMPORTRANGE(""https://docs.google.com/spreadsheets/d/16cywr71Fj4fA5OGRHsZh30ZG2gwJhMAQv69oVBzYHv0/edit?usp=share_link"",""สตูล!J677"")+IMP"&amp;"ORTRANGE(""https://docs.google.com/spreadsheets/d/1vO9Sws6kMtrVtyvrAJptINXjK8TFBoX9xLYOVK_C8bQ/edit?usp=share_link"",""สุราษฎร์ธานี!J677"")"),0)</f>
        <v>0</v>
      </c>
      <c r="K677" s="3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20.25" customHeight="1">
      <c r="A678" s="607"/>
      <c r="B678" s="608"/>
      <c r="C678" s="608"/>
      <c r="D678" s="617" t="s">
        <v>290</v>
      </c>
      <c r="E678" s="618"/>
      <c r="F678" s="618"/>
      <c r="G678" s="175"/>
      <c r="H678" s="182" t="s">
        <v>46</v>
      </c>
      <c r="I678" s="194">
        <f ca="1">IFERROR(__xludf.DUMMYFUNCTION("IMPORTRANGE(""https://docs.google.com/spreadsheets/d/1kC41EOXpGBFOW658Fs3oD8beYlym0-zO54WY-2Qnp9I/edit?usp=share_link"",""กระบี่!I678"")
+IMPORTRANGE(""https://docs.google.com/spreadsheets/d/1FbzMZY_f3MDiEuK7RpCQKrilJ_kpX0Wm7QBZ1L7EjIU/edit?usp=share_link"&amp;""",""ชุมพร!I678"")+IMPORTRANGE(""https://docs.google.com/spreadsheets/d/1v5sN-00LrXuhBxw4dkh2GrG_z4l5oAqOdJRBCsUyMaM/edit?usp=share_link"",""ตรัง!I678"")+IMPORTRANGE(""https://docs.google.com/spreadsheets/d/1T5rRTzFc79aSIvqnzkZNvwPstq829QYz_xALlO1Z0s8/edi"&amp;"t?usp=share_link"",""นครศรีธรรมราช!I678"")+IMPORTRANGE(""https://docs.google.com/spreadsheets/d/1BeghqumK0IvCmRd2QOy6_afsZq7ZtAGrSnVJy2u7WmY/edit?usp=share_link"",""นราธิวาส!I678"")+IMPORTRANGE(""https://docs.google.com/spreadsheets/d/1IwnW3-jjRf74MCLW-6P"&amp;"iFwMUffRQXZwZA7YM609NmRc/edit?usp=share_link"",""ปัตตานี!I678"")+IMPORTRANGE(""https://docs.google.com/spreadsheets/d/1vl4QWbWdFruual5o_wdo6ZSqXZ_it806oja4CctTLKs/edit?usp=share_link"",""พังงา!I678"")+IMPORTRANGE(""https://docs.google.com/spreadsheets/d/1"&amp;"b6QssHQp2FoAPSMKHOy273KNzAomaIKhtdlvuZ_zDNE/edit?usp=share_link"",""พัทลุง!I678"")+IMPORTRANGE(""https://docs.google.com/spreadsheets/d/1o7UZe4_OqlqtLDHrj01Z2YFRSZDf1DMy1n3XViHaxRc/edit?usp=share_link"",""ภูเก็ต!I678"")+IMPORTRANGE(""https://docs.google.c"&amp;"om/spreadsheets/d/1ctPm1vUzcUCPuOj9-eoHUD85PqINFqUB0TjdSWmR5-c/edit?usp=share_link"",""ยะลา!I678"")+IMPORTRANGE(""https://docs.google.com/spreadsheets/d/1YiDIE7Klmt8osgdapRqYWNr7iPGFSsiJqq46S7PYRE0/edit?usp=share_link"",""ระนอง!I678"")+IMPORTRANGE(""https"&amp;"://docs.google.com/spreadsheets/d/16o_4B-V7AWw_6E93bSpXj_XxVv1oVQctk-B6z1dNEWU/edit?usp=share_link"",""สงขลา!I678"")+IMPORTRANGE(""https://docs.google.com/spreadsheets/d/16cywr71Fj4fA5OGRHsZh30ZG2gwJhMAQv69oVBzYHv0/edit?usp=share_link"",""สตูล!I678"")+IMP"&amp;"ORTRANGE(""https://docs.google.com/spreadsheets/d/1vO9Sws6kMtrVtyvrAJptINXjK8TFBoX9xLYOVK_C8bQ/edit?usp=share_link"",""สุราษฎร์ธานี!I678"")"),0)</f>
        <v>0</v>
      </c>
      <c r="J678" s="194">
        <f ca="1">J679</f>
        <v>168.76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20.25" customHeight="1">
      <c r="A679" s="607"/>
      <c r="B679" s="608"/>
      <c r="C679" s="608"/>
      <c r="D679" s="608"/>
      <c r="E679" s="187" t="s">
        <v>291</v>
      </c>
      <c r="F679" s="618"/>
      <c r="G679" s="175"/>
      <c r="H679" s="182" t="s">
        <v>46</v>
      </c>
      <c r="I679" s="37"/>
      <c r="J679" s="37">
        <f ca="1">J680+J681</f>
        <v>168.76</v>
      </c>
      <c r="K679" s="3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20.25" customHeight="1">
      <c r="A680" s="607"/>
      <c r="B680" s="608"/>
      <c r="C680" s="608"/>
      <c r="D680" s="608"/>
      <c r="E680" s="618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IFERROR(__xludf.DUMMYFUNCTION("IMPORTRANGE(""https://docs.google.com/spreadsheets/d/1kC41EOXpGBFOW658Fs3oD8beYlym0-zO54WY-2Qnp9I/edit?usp=share_link"",""กระบี่!J680"")
+IMPORTRANGE(""https://docs.google.com/spreadsheets/d/1FbzMZY_f3MDiEuK7RpCQKrilJ_kpX0Wm7QBZ1L7EjIU/edit?usp=share_link"&amp;""",""ชุมพร!J680"")+IMPORTRANGE(""https://docs.google.com/spreadsheets/d/1v5sN-00LrXuhBxw4dkh2GrG_z4l5oAqOdJRBCsUyMaM/edit?usp=share_link"",""ตรัง!J680"")+IMPORTRANGE(""https://docs.google.com/spreadsheets/d/1T5rRTzFc79aSIvqnzkZNvwPstq829QYz_xALlO1Z0s8/edi"&amp;"t?usp=share_link"",""นครศรีธรรมราช!J680"")+IMPORTRANGE(""https://docs.google.com/spreadsheets/d/1BeghqumK0IvCmRd2QOy6_afsZq7ZtAGrSnVJy2u7WmY/edit?usp=share_link"",""นราธิวาส!J680"")+IMPORTRANGE(""https://docs.google.com/spreadsheets/d/1IwnW3-jjRf74MCLW-6P"&amp;"iFwMUffRQXZwZA7YM609NmRc/edit?usp=share_link"",""ปัตตานี!J680"")+IMPORTRANGE(""https://docs.google.com/spreadsheets/d/1vl4QWbWdFruual5o_wdo6ZSqXZ_it806oja4CctTLKs/edit?usp=share_link"",""พังงา!J680"")+IMPORTRANGE(""https://docs.google.com/spreadsheets/d/1"&amp;"b6QssHQp2FoAPSMKHOy273KNzAomaIKhtdlvuZ_zDNE/edit?usp=share_link"",""พัทลุง!J680"")+IMPORTRANGE(""https://docs.google.com/spreadsheets/d/1o7UZe4_OqlqtLDHrj01Z2YFRSZDf1DMy1n3XViHaxRc/edit?usp=share_link"",""ภูเก็ต!J680"")+IMPORTRANGE(""https://docs.google.c"&amp;"om/spreadsheets/d/1ctPm1vUzcUCPuOj9-eoHUD85PqINFqUB0TjdSWmR5-c/edit?usp=share_link"",""ยะลา!J680"")+IMPORTRANGE(""https://docs.google.com/spreadsheets/d/1YiDIE7Klmt8osgdapRqYWNr7iPGFSsiJqq46S7PYRE0/edit?usp=share_link"",""ระนอง!J680"")+IMPORTRANGE(""https"&amp;"://docs.google.com/spreadsheets/d/16o_4B-V7AWw_6E93bSpXj_XxVv1oVQctk-B6z1dNEWU/edit?usp=share_link"",""สงขลา!J680"")+IMPORTRANGE(""https://docs.google.com/spreadsheets/d/16cywr71Fj4fA5OGRHsZh30ZG2gwJhMAQv69oVBzYHv0/edit?usp=share_link"",""สตูล!J680"")+IMP"&amp;"ORTRANGE(""https://docs.google.com/spreadsheets/d/1vO9Sws6kMtrVtyvrAJptINXjK8TFBoX9xLYOVK_C8bQ/edit?usp=share_link"",""สุราษฎร์ธานี!J680"")"),31.56)</f>
        <v>31.56</v>
      </c>
      <c r="K680" s="3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20.25" customHeight="1">
      <c r="A681" s="607"/>
      <c r="B681" s="608"/>
      <c r="C681" s="608"/>
      <c r="D681" s="608"/>
      <c r="E681" s="618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IFERROR(__xludf.DUMMYFUNCTION("IMPORTRANGE(""https://docs.google.com/spreadsheets/d/1kC41EOXpGBFOW658Fs3oD8beYlym0-zO54WY-2Qnp9I/edit?usp=share_link"",""กระบี่!J681"")
+IMPORTRANGE(""https://docs.google.com/spreadsheets/d/1FbzMZY_f3MDiEuK7RpCQKrilJ_kpX0Wm7QBZ1L7EjIU/edit?usp=share_link"&amp;""",""ชุมพร!J681"")+IMPORTRANGE(""https://docs.google.com/spreadsheets/d/1v5sN-00LrXuhBxw4dkh2GrG_z4l5oAqOdJRBCsUyMaM/edit?usp=share_link"",""ตรัง!J681"")+IMPORTRANGE(""https://docs.google.com/spreadsheets/d/1T5rRTzFc79aSIvqnzkZNvwPstq829QYz_xALlO1Z0s8/edi"&amp;"t?usp=share_link"",""นครศรีธรรมราช!J681"")+IMPORTRANGE(""https://docs.google.com/spreadsheets/d/1BeghqumK0IvCmRd2QOy6_afsZq7ZtAGrSnVJy2u7WmY/edit?usp=share_link"",""นราธิวาส!J681"")+IMPORTRANGE(""https://docs.google.com/spreadsheets/d/1IwnW3-jjRf74MCLW-6P"&amp;"iFwMUffRQXZwZA7YM609NmRc/edit?usp=share_link"",""ปัตตานี!J681"")+IMPORTRANGE(""https://docs.google.com/spreadsheets/d/1vl4QWbWdFruual5o_wdo6ZSqXZ_it806oja4CctTLKs/edit?usp=share_link"",""พังงา!J681"")+IMPORTRANGE(""https://docs.google.com/spreadsheets/d/1"&amp;"b6QssHQp2FoAPSMKHOy273KNzAomaIKhtdlvuZ_zDNE/edit?usp=share_link"",""พัทลุง!J681"")+IMPORTRANGE(""https://docs.google.com/spreadsheets/d/1o7UZe4_OqlqtLDHrj01Z2YFRSZDf1DMy1n3XViHaxRc/edit?usp=share_link"",""ภูเก็ต!J681"")+IMPORTRANGE(""https://docs.google.c"&amp;"om/spreadsheets/d/1ctPm1vUzcUCPuOj9-eoHUD85PqINFqUB0TjdSWmR5-c/edit?usp=share_link"",""ยะลา!J681"")+IMPORTRANGE(""https://docs.google.com/spreadsheets/d/1YiDIE7Klmt8osgdapRqYWNr7iPGFSsiJqq46S7PYRE0/edit?usp=share_link"",""ระนอง!J681"")+IMPORTRANGE(""https"&amp;"://docs.google.com/spreadsheets/d/16o_4B-V7AWw_6E93bSpXj_XxVv1oVQctk-B6z1dNEWU/edit?usp=share_link"",""สงขลา!J681"")+IMPORTRANGE(""https://docs.google.com/spreadsheets/d/16cywr71Fj4fA5OGRHsZh30ZG2gwJhMAQv69oVBzYHv0/edit?usp=share_link"",""สตูล!J681"")+IMP"&amp;"ORTRANGE(""https://docs.google.com/spreadsheets/d/1vO9Sws6kMtrVtyvrAJptINXjK8TFBoX9xLYOVK_C8bQ/edit?usp=share_link"",""สุราษฎร์ธานี!J681"")"),137.2)</f>
        <v>137.19999999999999</v>
      </c>
      <c r="K681" s="3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20.25" customHeight="1">
      <c r="A682" s="607"/>
      <c r="B682" s="608"/>
      <c r="C682" s="608"/>
      <c r="D682" s="608"/>
      <c r="E682" s="187" t="s">
        <v>292</v>
      </c>
      <c r="F682" s="618"/>
      <c r="G682" s="175"/>
      <c r="H682" s="182" t="s">
        <v>46</v>
      </c>
      <c r="I682" s="37"/>
      <c r="J682" s="183">
        <f ca="1">IFERROR(__xludf.DUMMYFUNCTION("IMPORTRANGE(""https://docs.google.com/spreadsheets/d/1kC41EOXpGBFOW658Fs3oD8beYlym0-zO54WY-2Qnp9I/edit?usp=share_link"",""กระบี่!J682"")
+IMPORTRANGE(""https://docs.google.com/spreadsheets/d/1FbzMZY_f3MDiEuK7RpCQKrilJ_kpX0Wm7QBZ1L7EjIU/edit?usp=share_link"&amp;""",""ชุมพร!J682"")+IMPORTRANGE(""https://docs.google.com/spreadsheets/d/1v5sN-00LrXuhBxw4dkh2GrG_z4l5oAqOdJRBCsUyMaM/edit?usp=share_link"",""ตรัง!J682"")+IMPORTRANGE(""https://docs.google.com/spreadsheets/d/1T5rRTzFc79aSIvqnzkZNvwPstq829QYz_xALlO1Z0s8/edi"&amp;"t?usp=share_link"",""นครศรีธรรมราช!J682"")+IMPORTRANGE(""https://docs.google.com/spreadsheets/d/1BeghqumK0IvCmRd2QOy6_afsZq7ZtAGrSnVJy2u7WmY/edit?usp=share_link"",""นราธิวาส!J682"")+IMPORTRANGE(""https://docs.google.com/spreadsheets/d/1IwnW3-jjRf74MCLW-6P"&amp;"iFwMUffRQXZwZA7YM609NmRc/edit?usp=share_link"",""ปัตตานี!J682"")+IMPORTRANGE(""https://docs.google.com/spreadsheets/d/1vl4QWbWdFruual5o_wdo6ZSqXZ_it806oja4CctTLKs/edit?usp=share_link"",""พังงา!J682"")+IMPORTRANGE(""https://docs.google.com/spreadsheets/d/1"&amp;"b6QssHQp2FoAPSMKHOy273KNzAomaIKhtdlvuZ_zDNE/edit?usp=share_link"",""พัทลุง!J682"")+IMPORTRANGE(""https://docs.google.com/spreadsheets/d/1o7UZe4_OqlqtLDHrj01Z2YFRSZDf1DMy1n3XViHaxRc/edit?usp=share_link"",""ภูเก็ต!J682"")+IMPORTRANGE(""https://docs.google.c"&amp;"om/spreadsheets/d/1ctPm1vUzcUCPuOj9-eoHUD85PqINFqUB0TjdSWmR5-c/edit?usp=share_link"",""ยะลา!J682"")+IMPORTRANGE(""https://docs.google.com/spreadsheets/d/1YiDIE7Klmt8osgdapRqYWNr7iPGFSsiJqq46S7PYRE0/edit?usp=share_link"",""ระนอง!J682"")+IMPORTRANGE(""https"&amp;"://docs.google.com/spreadsheets/d/16o_4B-V7AWw_6E93bSpXj_XxVv1oVQctk-B6z1dNEWU/edit?usp=share_link"",""สงขลา!J682"")+IMPORTRANGE(""https://docs.google.com/spreadsheets/d/16cywr71Fj4fA5OGRHsZh30ZG2gwJhMAQv69oVBzYHv0/edit?usp=share_link"",""สตูล!J682"")+IMP"&amp;"ORTRANGE(""https://docs.google.com/spreadsheets/d/1vO9Sws6kMtrVtyvrAJptINXjK8TFBoX9xLYOVK_C8bQ/edit?usp=share_link"",""สุราษฎร์ธานี!J682"")"),0)</f>
        <v>0</v>
      </c>
      <c r="K682" s="3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20.25" customHeight="1">
      <c r="A683" s="607"/>
      <c r="B683" s="608"/>
      <c r="C683" s="608"/>
      <c r="D683" s="608"/>
      <c r="E683" s="618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IFERROR(__xludf.DUMMYFUNCTION("IMPORTRANGE(""https://docs.google.com/spreadsheets/d/1kC41EOXpGBFOW658Fs3oD8beYlym0-zO54WY-2Qnp9I/edit?usp=share_link"",""กระบี่!J683"")
+IMPORTRANGE(""https://docs.google.com/spreadsheets/d/1FbzMZY_f3MDiEuK7RpCQKrilJ_kpX0Wm7QBZ1L7EjIU/edit?usp=share_link"&amp;""",""ชุมพร!J683"")+IMPORTRANGE(""https://docs.google.com/spreadsheets/d/1v5sN-00LrXuhBxw4dkh2GrG_z4l5oAqOdJRBCsUyMaM/edit?usp=share_link"",""ตรัง!J683"")+IMPORTRANGE(""https://docs.google.com/spreadsheets/d/1T5rRTzFc79aSIvqnzkZNvwPstq829QYz_xALlO1Z0s8/edi"&amp;"t?usp=share_link"",""นครศรีธรรมราช!J683"")+IMPORTRANGE(""https://docs.google.com/spreadsheets/d/1BeghqumK0IvCmRd2QOy6_afsZq7ZtAGrSnVJy2u7WmY/edit?usp=share_link"",""นราธิวาส!J683"")+IMPORTRANGE(""https://docs.google.com/spreadsheets/d/1IwnW3-jjRf74MCLW-6P"&amp;"iFwMUffRQXZwZA7YM609NmRc/edit?usp=share_link"",""ปัตตานี!J683"")+IMPORTRANGE(""https://docs.google.com/spreadsheets/d/1vl4QWbWdFruual5o_wdo6ZSqXZ_it806oja4CctTLKs/edit?usp=share_link"",""พังงา!J683"")+IMPORTRANGE(""https://docs.google.com/spreadsheets/d/1"&amp;"b6QssHQp2FoAPSMKHOy273KNzAomaIKhtdlvuZ_zDNE/edit?usp=share_link"",""พัทลุง!J683"")+IMPORTRANGE(""https://docs.google.com/spreadsheets/d/1o7UZe4_OqlqtLDHrj01Z2YFRSZDf1DMy1n3XViHaxRc/edit?usp=share_link"",""ภูเก็ต!J683"")+IMPORTRANGE(""https://docs.google.c"&amp;"om/spreadsheets/d/1ctPm1vUzcUCPuOj9-eoHUD85PqINFqUB0TjdSWmR5-c/edit?usp=share_link"",""ยะลา!J683"")+IMPORTRANGE(""https://docs.google.com/spreadsheets/d/1YiDIE7Klmt8osgdapRqYWNr7iPGFSsiJqq46S7PYRE0/edit?usp=share_link"",""ระนอง!J683"")+IMPORTRANGE(""https"&amp;"://docs.google.com/spreadsheets/d/16o_4B-V7AWw_6E93bSpXj_XxVv1oVQctk-B6z1dNEWU/edit?usp=share_link"",""สงขลา!J683"")+IMPORTRANGE(""https://docs.google.com/spreadsheets/d/16cywr71Fj4fA5OGRHsZh30ZG2gwJhMAQv69oVBzYHv0/edit?usp=share_link"",""สตูล!J683"")+IMP"&amp;"ORTRANGE(""https://docs.google.com/spreadsheets/d/1vO9Sws6kMtrVtyvrAJptINXjK8TFBoX9xLYOVK_C8bQ/edit?usp=share_link"",""สุราษฎร์ธานี!J683"")"),0)</f>
        <v>0</v>
      </c>
      <c r="K683" s="3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20.25" customHeight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20.25" customHeight="1">
      <c r="A685" s="596"/>
      <c r="B685" s="575"/>
      <c r="C685" s="575" t="s">
        <v>16</v>
      </c>
      <c r="D685" s="847" t="s">
        <v>17</v>
      </c>
      <c r="E685" s="841"/>
      <c r="F685" s="841"/>
      <c r="G685" s="189"/>
      <c r="H685" s="597" t="s">
        <v>12</v>
      </c>
      <c r="I685" s="37"/>
      <c r="J685" s="37"/>
      <c r="K685" s="38"/>
      <c r="L685" s="195">
        <f t="shared" ref="L685:N685" ca="1" si="320">L686+L687</f>
        <v>63040</v>
      </c>
      <c r="M685" s="195">
        <f t="shared" ca="1" si="320"/>
        <v>63040</v>
      </c>
      <c r="N685" s="195">
        <f t="shared" ca="1" si="320"/>
        <v>2000</v>
      </c>
      <c r="O685" s="195">
        <f t="shared" ref="O685:O688" ca="1" si="321">IF(L685&gt;0,N685*100/L685,0)</f>
        <v>3.1725888324873095</v>
      </c>
      <c r="P685" s="195">
        <f t="shared" ref="P685:P688" ca="1" si="322">IF(M685&gt;0,N685*100/M685,0)</f>
        <v>3.1725888324873095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20.25" hidden="1" customHeight="1">
      <c r="A686" s="598"/>
      <c r="B686" s="599"/>
      <c r="C686" s="599"/>
      <c r="D686" s="600"/>
      <c r="E686" s="601" t="s">
        <v>185</v>
      </c>
      <c r="F686" s="599"/>
      <c r="G686" s="602"/>
      <c r="H686" s="165" t="s">
        <v>12</v>
      </c>
      <c r="I686" s="44"/>
      <c r="J686" s="44"/>
      <c r="K686" s="45"/>
      <c r="L686" s="45">
        <f t="shared" ref="L686:N686" si="323">L689+L696</f>
        <v>0</v>
      </c>
      <c r="M686" s="45">
        <f t="shared" si="323"/>
        <v>0</v>
      </c>
      <c r="N686" s="45">
        <f t="shared" si="323"/>
        <v>0</v>
      </c>
      <c r="O686" s="45">
        <f t="shared" si="321"/>
        <v>0</v>
      </c>
      <c r="P686" s="45">
        <f t="shared" si="322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20.25" hidden="1" customHeight="1">
      <c r="A687" s="598"/>
      <c r="B687" s="604"/>
      <c r="C687" s="599"/>
      <c r="D687" s="600"/>
      <c r="E687" s="601" t="s">
        <v>186</v>
      </c>
      <c r="F687" s="599"/>
      <c r="G687" s="602"/>
      <c r="H687" s="165" t="s">
        <v>12</v>
      </c>
      <c r="I687" s="44"/>
      <c r="J687" s="44"/>
      <c r="K687" s="45"/>
      <c r="L687" s="45">
        <f t="shared" ref="L687:N687" ca="1" si="324">L690+L697</f>
        <v>63040</v>
      </c>
      <c r="M687" s="45">
        <f t="shared" ca="1" si="324"/>
        <v>63040</v>
      </c>
      <c r="N687" s="45">
        <f t="shared" ca="1" si="324"/>
        <v>2000</v>
      </c>
      <c r="O687" s="45">
        <f t="shared" ca="1" si="321"/>
        <v>3.1725888324873095</v>
      </c>
      <c r="P687" s="45">
        <f t="shared" ca="1" si="322"/>
        <v>3.1725888324873095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20.25" customHeight="1">
      <c r="A688" s="596"/>
      <c r="B688" s="574"/>
      <c r="C688" s="575"/>
      <c r="D688" s="605" t="s">
        <v>20</v>
      </c>
      <c r="E688" s="575"/>
      <c r="F688" s="575"/>
      <c r="G688" s="189"/>
      <c r="H688" s="161" t="s">
        <v>12</v>
      </c>
      <c r="I688" s="162"/>
      <c r="J688" s="162"/>
      <c r="K688" s="163"/>
      <c r="L688" s="38">
        <f t="shared" ref="L688:N688" ca="1" si="325">L689+L690</f>
        <v>63040</v>
      </c>
      <c r="M688" s="38">
        <f t="shared" ca="1" si="325"/>
        <v>63040</v>
      </c>
      <c r="N688" s="38">
        <f t="shared" ca="1" si="325"/>
        <v>2000</v>
      </c>
      <c r="O688" s="38">
        <f t="shared" ca="1" si="321"/>
        <v>3.1725888324873095</v>
      </c>
      <c r="P688" s="38">
        <f t="shared" ca="1" si="322"/>
        <v>3.1725888324873095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20.25" hidden="1" customHeight="1">
      <c r="A689" s="598"/>
      <c r="B689" s="604"/>
      <c r="C689" s="599"/>
      <c r="D689" s="600"/>
      <c r="E689" s="601" t="s">
        <v>185</v>
      </c>
      <c r="F689" s="599"/>
      <c r="G689" s="602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20.25" hidden="1" customHeight="1">
      <c r="A690" s="598"/>
      <c r="B690" s="604"/>
      <c r="C690" s="599"/>
      <c r="D690" s="600"/>
      <c r="E690" s="601" t="s">
        <v>186</v>
      </c>
      <c r="F690" s="599"/>
      <c r="G690" s="602"/>
      <c r="H690" s="165" t="s">
        <v>12</v>
      </c>
      <c r="I690" s="44"/>
      <c r="J690" s="44"/>
      <c r="K690" s="45"/>
      <c r="L690" s="45">
        <f ca="1">IFERROR(__xludf.DUMMYFUNCTION("IMPORTRANGE(""https://docs.google.com/spreadsheets/d/1kC41EOXpGBFOW658Fs3oD8beYlym0-zO54WY-2Qnp9I/edit?usp=share_link"",""กระบี่!L690"")
+IMPORTRANGE(""https://docs.google.com/spreadsheets/d/1FbzMZY_f3MDiEuK7RpCQKrilJ_kpX0Wm7QBZ1L7EjIU/edit?usp=share_link"&amp;""",""ชุมพร!L690"")+IMPORTRANGE(""https://docs.google.com/spreadsheets/d/1v5sN-00LrXuhBxw4dkh2GrG_z4l5oAqOdJRBCsUyMaM/edit?usp=share_link"",""ตรัง!L690"")+IMPORTRANGE(""https://docs.google.com/spreadsheets/d/1T5rRTzFc79aSIvqnzkZNvwPstq829QYz_xALlO1Z0s8/edi"&amp;"t?usp=share_link"",""นครศรีธรรมราช!L690"")+IMPORTRANGE(""https://docs.google.com/spreadsheets/d/1BeghqumK0IvCmRd2QOy6_afsZq7ZtAGrSnVJy2u7WmY/edit?usp=share_link"",""นราธิวาส!L690"")+IMPORTRANGE(""https://docs.google.com/spreadsheets/d/1IwnW3-jjRf74MCLW-6P"&amp;"iFwMUffRQXZwZA7YM609NmRc/edit?usp=share_link"",""ปัตตานี!L690"")+IMPORTRANGE(""https://docs.google.com/spreadsheets/d/1vl4QWbWdFruual5o_wdo6ZSqXZ_it806oja4CctTLKs/edit?usp=share_link"",""พังงา!L690"")+IMPORTRANGE(""https://docs.google.com/spreadsheets/d/1"&amp;"b6QssHQp2FoAPSMKHOy273KNzAomaIKhtdlvuZ_zDNE/edit?usp=share_link"",""พัทลุง!L690"")+IMPORTRANGE(""https://docs.google.com/spreadsheets/d/1o7UZe4_OqlqtLDHrj01Z2YFRSZDf1DMy1n3XViHaxRc/edit?usp=share_link"",""ภูเก็ต!L690"")+IMPORTRANGE(""https://docs.google.c"&amp;"om/spreadsheets/d/1ctPm1vUzcUCPuOj9-eoHUD85PqINFqUB0TjdSWmR5-c/edit?usp=share_link"",""ยะลา!L690"")+IMPORTRANGE(""https://docs.google.com/spreadsheets/d/1YiDIE7Klmt8osgdapRqYWNr7iPGFSsiJqq46S7PYRE0/edit?usp=share_link"",""ระนอง!L690"")+IMPORTRANGE(""https"&amp;"://docs.google.com/spreadsheets/d/16o_4B-V7AWw_6E93bSpXj_XxVv1oVQctk-B6z1dNEWU/edit?usp=share_link"",""สงขลา!L690"")+IMPORTRANGE(""https://docs.google.com/spreadsheets/d/16cywr71Fj4fA5OGRHsZh30ZG2gwJhMAQv69oVBzYHv0/edit?usp=share_link"",""สตูล!L690"")+IMP"&amp;"ORTRANGE(""https://docs.google.com/spreadsheets/d/1vO9Sws6kMtrVtyvrAJptINXjK8TFBoX9xLYOVK_C8bQ/edit?usp=share_link"",""สุราษฎร์ธานี!L690"")"),63040)</f>
        <v>63040</v>
      </c>
      <c r="M690" s="93">
        <f ca="1">IFERROR(__xludf.DUMMYFUNCTION("IMPORTRANGE(""https://docs.google.com/spreadsheets/d/1kC41EOXpGBFOW658Fs3oD8beYlym0-zO54WY-2Qnp9I/edit?usp=share_link"",""กระบี่!M690"")
+IMPORTRANGE(""https://docs.google.com/spreadsheets/d/1FbzMZY_f3MDiEuK7RpCQKrilJ_kpX0Wm7QBZ1L7EjIU/edit?usp=share_link"&amp;""",""ชุมพร!M690"")+IMPORTRANGE(""https://docs.google.com/spreadsheets/d/1v5sN-00LrXuhBxw4dkh2GrG_z4l5oAqOdJRBCsUyMaM/edit?usp=share_link"",""ตรัง!M690"")+IMPORTRANGE(""https://docs.google.com/spreadsheets/d/1T5rRTzFc79aSIvqnzkZNvwPstq829QYz_xALlO1Z0s8/edi"&amp;"t?usp=share_link"",""นครศรีธรรมราช!M690"")+IMPORTRANGE(""https://docs.google.com/spreadsheets/d/1BeghqumK0IvCmRd2QOy6_afsZq7ZtAGrSnVJy2u7WmY/edit?usp=share_link"",""นราธิวาส!M690"")+IMPORTRANGE(""https://docs.google.com/spreadsheets/d/1IwnW3-jjRf74MCLW-6P"&amp;"iFwMUffRQXZwZA7YM609NmRc/edit?usp=share_link"",""ปัตตานี!M690"")+IMPORTRANGE(""https://docs.google.com/spreadsheets/d/1vl4QWbWdFruual5o_wdo6ZSqXZ_it806oja4CctTLKs/edit?usp=share_link"",""พังงา!M690"")+IMPORTRANGE(""https://docs.google.com/spreadsheets/d/1"&amp;"b6QssHQp2FoAPSMKHOy273KNzAomaIKhtdlvuZ_zDNE/edit?usp=share_link"",""พัทลุง!M690"")+IMPORTRANGE(""https://docs.google.com/spreadsheets/d/1o7UZe4_OqlqtLDHrj01Z2YFRSZDf1DMy1n3XViHaxRc/edit?usp=share_link"",""ภูเก็ต!M690"")+IMPORTRANGE(""https://docs.google.c"&amp;"om/spreadsheets/d/1ctPm1vUzcUCPuOj9-eoHUD85PqINFqUB0TjdSWmR5-c/edit?usp=share_link"",""ยะลา!M690"")+IMPORTRANGE(""https://docs.google.com/spreadsheets/d/1YiDIE7Klmt8osgdapRqYWNr7iPGFSsiJqq46S7PYRE0/edit?usp=share_link"",""ระนอง!M690"")+IMPORTRANGE(""https"&amp;"://docs.google.com/spreadsheets/d/16o_4B-V7AWw_6E93bSpXj_XxVv1oVQctk-B6z1dNEWU/edit?usp=share_link"",""สงขลา!M690"")+IMPORTRANGE(""https://docs.google.com/spreadsheets/d/16cywr71Fj4fA5OGRHsZh30ZG2gwJhMAQv69oVBzYHv0/edit?usp=share_link"",""สตูล!M690"")+IMP"&amp;"ORTRANGE(""https://docs.google.com/spreadsheets/d/1vO9Sws6kMtrVtyvrAJptINXjK8TFBoX9xLYOVK_C8bQ/edit?usp=share_link"",""สุราษฎร์ธานี!M690"")"),63040)</f>
        <v>63040</v>
      </c>
      <c r="N690" s="45">
        <f ca="1">N691+N692+N693+N694</f>
        <v>2000</v>
      </c>
      <c r="O690" s="45">
        <f ca="1">IF(L690&gt;0,N690*100/L690,0)</f>
        <v>3.1725888324873095</v>
      </c>
      <c r="P690" s="45">
        <f ca="1">IF(M690&gt;0,N690*100/M690,0)</f>
        <v>3.1725888324873095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20.25" customHeight="1">
      <c r="A691" s="573"/>
      <c r="B691" s="574"/>
      <c r="C691" s="575"/>
      <c r="D691" s="575"/>
      <c r="E691" s="575"/>
      <c r="F691" s="576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IFERROR(__xludf.DUMMYFUNCTION("IMPORTRANGE(""https://docs.google.com/spreadsheets/d/1kC41EOXpGBFOW658Fs3oD8beYlym0-zO54WY-2Qnp9I/edit?usp=share_link"",""กระบี่!N691"")
+IMPORTRANGE(""https://docs.google.com/spreadsheets/d/1FbzMZY_f3MDiEuK7RpCQKrilJ_kpX0Wm7QBZ1L7EjIU/edit?usp=share_link"&amp;""",""ชุมพร!N691"")+IMPORTRANGE(""https://docs.google.com/spreadsheets/d/1v5sN-00LrXuhBxw4dkh2GrG_z4l5oAqOdJRBCsUyMaM/edit?usp=share_link"",""ตรัง!N691"")+IMPORTRANGE(""https://docs.google.com/spreadsheets/d/1T5rRTzFc79aSIvqnzkZNvwPstq829QYz_xALlO1Z0s8/edi"&amp;"t?usp=share_link"",""นครศรีธรรมราช!N691"")+IMPORTRANGE(""https://docs.google.com/spreadsheets/d/1BeghqumK0IvCmRd2QOy6_afsZq7ZtAGrSnVJy2u7WmY/edit?usp=share_link"",""นราธิวาส!N691"")+IMPORTRANGE(""https://docs.google.com/spreadsheets/d/1IwnW3-jjRf74MCLW-6P"&amp;"iFwMUffRQXZwZA7YM609NmRc/edit?usp=share_link"",""ปัตตานี!N691"")+IMPORTRANGE(""https://docs.google.com/spreadsheets/d/1vl4QWbWdFruual5o_wdo6ZSqXZ_it806oja4CctTLKs/edit?usp=share_link"",""พังงา!N691"")+IMPORTRANGE(""https://docs.google.com/spreadsheets/d/1"&amp;"b6QssHQp2FoAPSMKHOy273KNzAomaIKhtdlvuZ_zDNE/edit?usp=share_link"",""พัทลุง!N691"")+IMPORTRANGE(""https://docs.google.com/spreadsheets/d/1o7UZe4_OqlqtLDHrj01Z2YFRSZDf1DMy1n3XViHaxRc/edit?usp=share_link"",""ภูเก็ต!N691"")+IMPORTRANGE(""https://docs.google.c"&amp;"om/spreadsheets/d/1ctPm1vUzcUCPuOj9-eoHUD85PqINFqUB0TjdSWmR5-c/edit?usp=share_link"",""ยะลา!N691"")+IMPORTRANGE(""https://docs.google.com/spreadsheets/d/1YiDIE7Klmt8osgdapRqYWNr7iPGFSsiJqq46S7PYRE0/edit?usp=share_link"",""ระนอง!N691"")+IMPORTRANGE(""https"&amp;"://docs.google.com/spreadsheets/d/16o_4B-V7AWw_6E93bSpXj_XxVv1oVQctk-B6z1dNEWU/edit?usp=share_link"",""สงขลา!N691"")+IMPORTRANGE(""https://docs.google.com/spreadsheets/d/16cywr71Fj4fA5OGRHsZh30ZG2gwJhMAQv69oVBzYHv0/edit?usp=share_link"",""สตูล!N691"")+IMP"&amp;"ORTRANGE(""https://docs.google.com/spreadsheets/d/1vO9Sws6kMtrVtyvrAJptINXjK8TFBoX9xLYOVK_C8bQ/edit?usp=share_link"",""สุราษฎร์ธานี!N691"")"),0)</f>
        <v>0</v>
      </c>
      <c r="O691" s="38"/>
      <c r="P691" s="3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20.25" customHeight="1">
      <c r="A692" s="573"/>
      <c r="B692" s="574"/>
      <c r="C692" s="575"/>
      <c r="D692" s="575"/>
      <c r="E692" s="575"/>
      <c r="F692" s="576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IFERROR(__xludf.DUMMYFUNCTION("IMPORTRANGE(""https://docs.google.com/spreadsheets/d/1kC41EOXpGBFOW658Fs3oD8beYlym0-zO54WY-2Qnp9I/edit?usp=share_link"",""กระบี่!N692"")
+IMPORTRANGE(""https://docs.google.com/spreadsheets/d/1FbzMZY_f3MDiEuK7RpCQKrilJ_kpX0Wm7QBZ1L7EjIU/edit?usp=share_link"&amp;""",""ชุมพร!N692"")+IMPORTRANGE(""https://docs.google.com/spreadsheets/d/1v5sN-00LrXuhBxw4dkh2GrG_z4l5oAqOdJRBCsUyMaM/edit?usp=share_link"",""ตรัง!N692"")+IMPORTRANGE(""https://docs.google.com/spreadsheets/d/1T5rRTzFc79aSIvqnzkZNvwPstq829QYz_xALlO1Z0s8/edi"&amp;"t?usp=share_link"",""นครศรีธรรมราช!N692"")+IMPORTRANGE(""https://docs.google.com/spreadsheets/d/1BeghqumK0IvCmRd2QOy6_afsZq7ZtAGrSnVJy2u7WmY/edit?usp=share_link"",""นราธิวาส!N692"")+IMPORTRANGE(""https://docs.google.com/spreadsheets/d/1IwnW3-jjRf74MCLW-6P"&amp;"iFwMUffRQXZwZA7YM609NmRc/edit?usp=share_link"",""ปัตตานี!N692"")+IMPORTRANGE(""https://docs.google.com/spreadsheets/d/1vl4QWbWdFruual5o_wdo6ZSqXZ_it806oja4CctTLKs/edit?usp=share_link"",""พังงา!N692"")+IMPORTRANGE(""https://docs.google.com/spreadsheets/d/1"&amp;"b6QssHQp2FoAPSMKHOy273KNzAomaIKhtdlvuZ_zDNE/edit?usp=share_link"",""พัทลุง!N692"")+IMPORTRANGE(""https://docs.google.com/spreadsheets/d/1o7UZe4_OqlqtLDHrj01Z2YFRSZDf1DMy1n3XViHaxRc/edit?usp=share_link"",""ภูเก็ต!N692"")+IMPORTRANGE(""https://docs.google.c"&amp;"om/spreadsheets/d/1ctPm1vUzcUCPuOj9-eoHUD85PqINFqUB0TjdSWmR5-c/edit?usp=share_link"",""ยะลา!N692"")+IMPORTRANGE(""https://docs.google.com/spreadsheets/d/1YiDIE7Klmt8osgdapRqYWNr7iPGFSsiJqq46S7PYRE0/edit?usp=share_link"",""ระนอง!N692"")+IMPORTRANGE(""https"&amp;"://docs.google.com/spreadsheets/d/16o_4B-V7AWw_6E93bSpXj_XxVv1oVQctk-B6z1dNEWU/edit?usp=share_link"",""สงขลา!N692"")+IMPORTRANGE(""https://docs.google.com/spreadsheets/d/16cywr71Fj4fA5OGRHsZh30ZG2gwJhMAQv69oVBzYHv0/edit?usp=share_link"",""สตูล!N692"")+IMP"&amp;"ORTRANGE(""https://docs.google.com/spreadsheets/d/1vO9Sws6kMtrVtyvrAJptINXjK8TFBoX9xLYOVK_C8bQ/edit?usp=share_link"",""สุราษฎร์ธานี!N692"")"),0)</f>
        <v>0</v>
      </c>
      <c r="O692" s="38"/>
      <c r="P692" s="3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20.25" customHeight="1">
      <c r="A693" s="573"/>
      <c r="B693" s="574"/>
      <c r="C693" s="575"/>
      <c r="D693" s="575"/>
      <c r="E693" s="575"/>
      <c r="F693" s="576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IFERROR(__xludf.DUMMYFUNCTION("IMPORTRANGE(""https://docs.google.com/spreadsheets/d/1kC41EOXpGBFOW658Fs3oD8beYlym0-zO54WY-2Qnp9I/edit?usp=share_link"",""กระบี่!N693"")
+IMPORTRANGE(""https://docs.google.com/spreadsheets/d/1FbzMZY_f3MDiEuK7RpCQKrilJ_kpX0Wm7QBZ1L7EjIU/edit?usp=share_link"&amp;""",""ชุมพร!N693"")+IMPORTRANGE(""https://docs.google.com/spreadsheets/d/1v5sN-00LrXuhBxw4dkh2GrG_z4l5oAqOdJRBCsUyMaM/edit?usp=share_link"",""ตรัง!N693"")+IMPORTRANGE(""https://docs.google.com/spreadsheets/d/1T5rRTzFc79aSIvqnzkZNvwPstq829QYz_xALlO1Z0s8/edi"&amp;"t?usp=share_link"",""นครศรีธรรมราช!N693"")+IMPORTRANGE(""https://docs.google.com/spreadsheets/d/1BeghqumK0IvCmRd2QOy6_afsZq7ZtAGrSnVJy2u7WmY/edit?usp=share_link"",""นราธิวาส!N693"")+IMPORTRANGE(""https://docs.google.com/spreadsheets/d/1IwnW3-jjRf74MCLW-6P"&amp;"iFwMUffRQXZwZA7YM609NmRc/edit?usp=share_link"",""ปัตตานี!N693"")+IMPORTRANGE(""https://docs.google.com/spreadsheets/d/1vl4QWbWdFruual5o_wdo6ZSqXZ_it806oja4CctTLKs/edit?usp=share_link"",""พังงา!N693"")+IMPORTRANGE(""https://docs.google.com/spreadsheets/d/1"&amp;"b6QssHQp2FoAPSMKHOy273KNzAomaIKhtdlvuZ_zDNE/edit?usp=share_link"",""พัทลุง!N693"")+IMPORTRANGE(""https://docs.google.com/spreadsheets/d/1o7UZe4_OqlqtLDHrj01Z2YFRSZDf1DMy1n3XViHaxRc/edit?usp=share_link"",""ภูเก็ต!N693"")+IMPORTRANGE(""https://docs.google.c"&amp;"om/spreadsheets/d/1ctPm1vUzcUCPuOj9-eoHUD85PqINFqUB0TjdSWmR5-c/edit?usp=share_link"",""ยะลา!N693"")+IMPORTRANGE(""https://docs.google.com/spreadsheets/d/1YiDIE7Klmt8osgdapRqYWNr7iPGFSsiJqq46S7PYRE0/edit?usp=share_link"",""ระนอง!N693"")+IMPORTRANGE(""https"&amp;"://docs.google.com/spreadsheets/d/16o_4B-V7AWw_6E93bSpXj_XxVv1oVQctk-B6z1dNEWU/edit?usp=share_link"",""สงขลา!N693"")+IMPORTRANGE(""https://docs.google.com/spreadsheets/d/16cywr71Fj4fA5OGRHsZh30ZG2gwJhMAQv69oVBzYHv0/edit?usp=share_link"",""สตูล!N693"")+IMP"&amp;"ORTRANGE(""https://docs.google.com/spreadsheets/d/1vO9Sws6kMtrVtyvrAJptINXjK8TFBoX9xLYOVK_C8bQ/edit?usp=share_link"",""สุราษฎร์ธานี!N693"")"),0)</f>
        <v>0</v>
      </c>
      <c r="O693" s="38"/>
      <c r="P693" s="3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20.25" customHeight="1">
      <c r="A694" s="573"/>
      <c r="B694" s="574"/>
      <c r="C694" s="575"/>
      <c r="D694" s="575"/>
      <c r="E694" s="575"/>
      <c r="F694" s="576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IFERROR(__xludf.DUMMYFUNCTION("IMPORTRANGE(""https://docs.google.com/spreadsheets/d/1kC41EOXpGBFOW658Fs3oD8beYlym0-zO54WY-2Qnp9I/edit?usp=share_link"",""กระบี่!N694"")
+IMPORTRANGE(""https://docs.google.com/spreadsheets/d/1FbzMZY_f3MDiEuK7RpCQKrilJ_kpX0Wm7QBZ1L7EjIU/edit?usp=share_link"&amp;""",""ชุมพร!N694"")+IMPORTRANGE(""https://docs.google.com/spreadsheets/d/1v5sN-00LrXuhBxw4dkh2GrG_z4l5oAqOdJRBCsUyMaM/edit?usp=share_link"",""ตรัง!N694"")+IMPORTRANGE(""https://docs.google.com/spreadsheets/d/1T5rRTzFc79aSIvqnzkZNvwPstq829QYz_xALlO1Z0s8/edi"&amp;"t?usp=share_link"",""นครศรีธรรมราช!N694"")+IMPORTRANGE(""https://docs.google.com/spreadsheets/d/1BeghqumK0IvCmRd2QOy6_afsZq7ZtAGrSnVJy2u7WmY/edit?usp=share_link"",""นราธิวาส!N694"")+IMPORTRANGE(""https://docs.google.com/spreadsheets/d/1IwnW3-jjRf74MCLW-6P"&amp;"iFwMUffRQXZwZA7YM609NmRc/edit?usp=share_link"",""ปัตตานี!N694"")+IMPORTRANGE(""https://docs.google.com/spreadsheets/d/1vl4QWbWdFruual5o_wdo6ZSqXZ_it806oja4CctTLKs/edit?usp=share_link"",""พังงา!N694"")+IMPORTRANGE(""https://docs.google.com/spreadsheets/d/1"&amp;"b6QssHQp2FoAPSMKHOy273KNzAomaIKhtdlvuZ_zDNE/edit?usp=share_link"",""พัทลุง!N694"")+IMPORTRANGE(""https://docs.google.com/spreadsheets/d/1o7UZe4_OqlqtLDHrj01Z2YFRSZDf1DMy1n3XViHaxRc/edit?usp=share_link"",""ภูเก็ต!N694"")+IMPORTRANGE(""https://docs.google.c"&amp;"om/spreadsheets/d/1ctPm1vUzcUCPuOj9-eoHUD85PqINFqUB0TjdSWmR5-c/edit?usp=share_link"",""ยะลา!N694"")+IMPORTRANGE(""https://docs.google.com/spreadsheets/d/1YiDIE7Klmt8osgdapRqYWNr7iPGFSsiJqq46S7PYRE0/edit?usp=share_link"",""ระนอง!N694"")+IMPORTRANGE(""https"&amp;"://docs.google.com/spreadsheets/d/16o_4B-V7AWw_6E93bSpXj_XxVv1oVQctk-B6z1dNEWU/edit?usp=share_link"",""สงขลา!N694"")+IMPORTRANGE(""https://docs.google.com/spreadsheets/d/16cywr71Fj4fA5OGRHsZh30ZG2gwJhMAQv69oVBzYHv0/edit?usp=share_link"",""สตูล!N694"")+IMP"&amp;"ORTRANGE(""https://docs.google.com/spreadsheets/d/1vO9Sws6kMtrVtyvrAJptINXjK8TFBoX9xLYOVK_C8bQ/edit?usp=share_link"",""สุราษฎร์ธานี!N694"")"),2000)</f>
        <v>2000</v>
      </c>
      <c r="O694" s="38"/>
      <c r="P694" s="3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20.25" customHeight="1">
      <c r="A695" s="596"/>
      <c r="B695" s="574"/>
      <c r="C695" s="575"/>
      <c r="D695" s="756" t="s">
        <v>21</v>
      </c>
      <c r="E695" s="575"/>
      <c r="F695" s="575"/>
      <c r="G695" s="189"/>
      <c r="H695" s="168" t="s">
        <v>12</v>
      </c>
      <c r="I695" s="162"/>
      <c r="J695" s="162"/>
      <c r="K695" s="163"/>
      <c r="L695" s="38">
        <f t="shared" ref="L695:N695" si="326">L696+L697</f>
        <v>0</v>
      </c>
      <c r="M695" s="38">
        <f t="shared" si="326"/>
        <v>0</v>
      </c>
      <c r="N695" s="38">
        <f t="shared" si="326"/>
        <v>0</v>
      </c>
      <c r="O695" s="38">
        <f t="shared" ref="O695:O697" si="327">IF(L695&gt;0,N695*100/L695,0)</f>
        <v>0</v>
      </c>
      <c r="P695" s="38">
        <f t="shared" ref="P695:P697" si="328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20.25" hidden="1" customHeight="1">
      <c r="A696" s="598"/>
      <c r="B696" s="604"/>
      <c r="C696" s="599"/>
      <c r="D696" s="599"/>
      <c r="E696" s="757" t="s">
        <v>18</v>
      </c>
      <c r="F696" s="599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7"/>
        <v>0</v>
      </c>
      <c r="P696" s="45">
        <f t="shared" si="328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20.25" hidden="1" customHeight="1">
      <c r="A697" s="598"/>
      <c r="B697" s="604"/>
      <c r="C697" s="599"/>
      <c r="D697" s="599"/>
      <c r="E697" s="757" t="s">
        <v>19</v>
      </c>
      <c r="F697" s="599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7"/>
        <v>0</v>
      </c>
      <c r="P697" s="45">
        <f t="shared" si="328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20.25" customHeight="1">
      <c r="A698" s="607"/>
      <c r="B698" s="608"/>
      <c r="C698" s="575" t="s">
        <v>16</v>
      </c>
      <c r="D698" s="758" t="s">
        <v>38</v>
      </c>
      <c r="E698" s="759"/>
      <c r="F698" s="611"/>
      <c r="G698" s="612"/>
      <c r="H698" s="760"/>
      <c r="I698" s="162"/>
      <c r="J698" s="162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20.25" customHeight="1">
      <c r="A699" s="742"/>
      <c r="B699" s="575"/>
      <c r="C699" s="575"/>
      <c r="D699" s="576" t="s">
        <v>295</v>
      </c>
      <c r="E699" s="761"/>
      <c r="F699" s="575"/>
      <c r="G699" s="189"/>
      <c r="H699" s="762" t="s">
        <v>46</v>
      </c>
      <c r="I699" s="763">
        <f ca="1">IFERROR(__xludf.DUMMYFUNCTION("IMPORTRANGE(""https://docs.google.com/spreadsheets/d/1kC41EOXpGBFOW658Fs3oD8beYlym0-zO54WY-2Qnp9I/edit?usp=share_link"",""กระบี่!I699"")
+IMPORTRANGE(""https://docs.google.com/spreadsheets/d/1FbzMZY_f3MDiEuK7RpCQKrilJ_kpX0Wm7QBZ1L7EjIU/edit?usp=share_link"&amp;""",""ชุมพร!I699"")+IMPORTRANGE(""https://docs.google.com/spreadsheets/d/1v5sN-00LrXuhBxw4dkh2GrG_z4l5oAqOdJRBCsUyMaM/edit?usp=share_link"",""ตรัง!I699"")+IMPORTRANGE(""https://docs.google.com/spreadsheets/d/1T5rRTzFc79aSIvqnzkZNvwPstq829QYz_xALlO1Z0s8/edi"&amp;"t?usp=share_link"",""นครศรีธรรมราช!I699"")+IMPORTRANGE(""https://docs.google.com/spreadsheets/d/1BeghqumK0IvCmRd2QOy6_afsZq7ZtAGrSnVJy2u7WmY/edit?usp=share_link"",""นราธิวาส!I699"")+IMPORTRANGE(""https://docs.google.com/spreadsheets/d/1IwnW3-jjRf74MCLW-6P"&amp;"iFwMUffRQXZwZA7YM609NmRc/edit?usp=share_link"",""ปัตตานี!I699"")+IMPORTRANGE(""https://docs.google.com/spreadsheets/d/1vl4QWbWdFruual5o_wdo6ZSqXZ_it806oja4CctTLKs/edit?usp=share_link"",""พังงา!I699"")+IMPORTRANGE(""https://docs.google.com/spreadsheets/d/1"&amp;"b6QssHQp2FoAPSMKHOy273KNzAomaIKhtdlvuZ_zDNE/edit?usp=share_link"",""พัทลุง!I699"")+IMPORTRANGE(""https://docs.google.com/spreadsheets/d/1o7UZe4_OqlqtLDHrj01Z2YFRSZDf1DMy1n3XViHaxRc/edit?usp=share_link"",""ภูเก็ต!I699"")+IMPORTRANGE(""https://docs.google.c"&amp;"om/spreadsheets/d/1ctPm1vUzcUCPuOj9-eoHUD85PqINFqUB0TjdSWmR5-c/edit?usp=share_link"",""ยะลา!I699"")+IMPORTRANGE(""https://docs.google.com/spreadsheets/d/1YiDIE7Klmt8osgdapRqYWNr7iPGFSsiJqq46S7PYRE0/edit?usp=share_link"",""ระนอง!I699"")+IMPORTRANGE(""https"&amp;"://docs.google.com/spreadsheets/d/16o_4B-V7AWw_6E93bSpXj_XxVv1oVQctk-B6z1dNEWU/edit?usp=share_link"",""สงขลา!I699"")+IMPORTRANGE(""https://docs.google.com/spreadsheets/d/16cywr71Fj4fA5OGRHsZh30ZG2gwJhMAQv69oVBzYHv0/edit?usp=share_link"",""สตูล!I699"")+IMP"&amp;"ORTRANGE(""https://docs.google.com/spreadsheets/d/1vO9Sws6kMtrVtyvrAJptINXjK8TFBoX9xLYOVK_C8bQ/edit?usp=share_link"",""สุราษฎร์ธานี!I699"")"),248)</f>
        <v>248</v>
      </c>
      <c r="J699" s="37">
        <f ca="1">IFERROR(__xludf.DUMMYFUNCTION("IMPORTRANGE(""https://docs.google.com/spreadsheets/d/1kC41EOXpGBFOW658Fs3oD8beYlym0-zO54WY-2Qnp9I/edit?usp=share_link"",""กระบี่!J699"")
+IMPORTRANGE(""https://docs.google.com/spreadsheets/d/1FbzMZY_f3MDiEuK7RpCQKrilJ_kpX0Wm7QBZ1L7EjIU/edit?usp=share_link"&amp;""",""ชุมพร!J699"")+IMPORTRANGE(""https://docs.google.com/spreadsheets/d/1v5sN-00LrXuhBxw4dkh2GrG_z4l5oAqOdJRBCsUyMaM/edit?usp=share_link"",""ตรัง!J699"")+IMPORTRANGE(""https://docs.google.com/spreadsheets/d/1T5rRTzFc79aSIvqnzkZNvwPstq829QYz_xALlO1Z0s8/edi"&amp;"t?usp=share_link"",""นครศรีธรรมราช!J699"")+IMPORTRANGE(""https://docs.google.com/spreadsheets/d/1BeghqumK0IvCmRd2QOy6_afsZq7ZtAGrSnVJy2u7WmY/edit?usp=share_link"",""นราธิวาส!J699"")+IMPORTRANGE(""https://docs.google.com/spreadsheets/d/1IwnW3-jjRf74MCLW-6P"&amp;"iFwMUffRQXZwZA7YM609NmRc/edit?usp=share_link"",""ปัตตานี!J699"")+IMPORTRANGE(""https://docs.google.com/spreadsheets/d/1vl4QWbWdFruual5o_wdo6ZSqXZ_it806oja4CctTLKs/edit?usp=share_link"",""พังงา!J699"")+IMPORTRANGE(""https://docs.google.com/spreadsheets/d/1"&amp;"b6QssHQp2FoAPSMKHOy273KNzAomaIKhtdlvuZ_zDNE/edit?usp=share_link"",""พัทลุง!J699"")+IMPORTRANGE(""https://docs.google.com/spreadsheets/d/1o7UZe4_OqlqtLDHrj01Z2YFRSZDf1DMy1n3XViHaxRc/edit?usp=share_link"",""ภูเก็ต!J699"")+IMPORTRANGE(""https://docs.google.c"&amp;"om/spreadsheets/d/1ctPm1vUzcUCPuOj9-eoHUD85PqINFqUB0TjdSWmR5-c/edit?usp=share_link"",""ยะลา!J699"")+IMPORTRANGE(""https://docs.google.com/spreadsheets/d/1YiDIE7Klmt8osgdapRqYWNr7iPGFSsiJqq46S7PYRE0/edit?usp=share_link"",""ระนอง!J699"")+IMPORTRANGE(""https"&amp;"://docs.google.com/spreadsheets/d/16o_4B-V7AWw_6E93bSpXj_XxVv1oVQctk-B6z1dNEWU/edit?usp=share_link"",""สงขลา!J699"")+IMPORTRANGE(""https://docs.google.com/spreadsheets/d/16cywr71Fj4fA5OGRHsZh30ZG2gwJhMAQv69oVBzYHv0/edit?usp=share_link"",""สตูล!J699"")+IMP"&amp;"ORTRANGE(""https://docs.google.com/spreadsheets/d/1vO9Sws6kMtrVtyvrAJptINXjK8TFBoX9xLYOVK_C8bQ/edit?usp=share_link"",""สุราษฎร์ธานี!J699"")"),0)</f>
        <v>0</v>
      </c>
      <c r="K699" s="38">
        <f t="shared" ref="K699:K701" ca="1" si="329">IF(I699&gt;0,J699*100/I699,0)</f>
        <v>0</v>
      </c>
      <c r="L699" s="38"/>
      <c r="M699" s="189"/>
      <c r="N699" s="764"/>
      <c r="O699" s="38"/>
      <c r="P699" s="3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20.25" customHeight="1">
      <c r="A700" s="742"/>
      <c r="B700" s="575"/>
      <c r="C700" s="575"/>
      <c r="D700" s="576" t="s">
        <v>296</v>
      </c>
      <c r="E700" s="575"/>
      <c r="F700" s="575"/>
      <c r="G700" s="189"/>
      <c r="H700" s="762" t="s">
        <v>35</v>
      </c>
      <c r="I700" s="763">
        <f ca="1">IFERROR(__xludf.DUMMYFUNCTION("IMPORTRANGE(""https://docs.google.com/spreadsheets/d/1kC41EOXpGBFOW658Fs3oD8beYlym0-zO54WY-2Qnp9I/edit?usp=share_link"",""กระบี่!I700"")
+IMPORTRANGE(""https://docs.google.com/spreadsheets/d/1FbzMZY_f3MDiEuK7RpCQKrilJ_kpX0Wm7QBZ1L7EjIU/edit?usp=share_link"&amp;""",""ชุมพร!I700"")+IMPORTRANGE(""https://docs.google.com/spreadsheets/d/1v5sN-00LrXuhBxw4dkh2GrG_z4l5oAqOdJRBCsUyMaM/edit?usp=share_link"",""ตรัง!I700"")+IMPORTRANGE(""https://docs.google.com/spreadsheets/d/1T5rRTzFc79aSIvqnzkZNvwPstq829QYz_xALlO1Z0s8/edi"&amp;"t?usp=share_link"",""นครศรีธรรมราช!I700"")+IMPORTRANGE(""https://docs.google.com/spreadsheets/d/1BeghqumK0IvCmRd2QOy6_afsZq7ZtAGrSnVJy2u7WmY/edit?usp=share_link"",""นราธิวาส!I700"")+IMPORTRANGE(""https://docs.google.com/spreadsheets/d/1IwnW3-jjRf74MCLW-6P"&amp;"iFwMUffRQXZwZA7YM609NmRc/edit?usp=share_link"",""ปัตตานี!I700"")+IMPORTRANGE(""https://docs.google.com/spreadsheets/d/1vl4QWbWdFruual5o_wdo6ZSqXZ_it806oja4CctTLKs/edit?usp=share_link"",""พังงา!I700"")+IMPORTRANGE(""https://docs.google.com/spreadsheets/d/1"&amp;"b6QssHQp2FoAPSMKHOy273KNzAomaIKhtdlvuZ_zDNE/edit?usp=share_link"",""พัทลุง!I700"")+IMPORTRANGE(""https://docs.google.com/spreadsheets/d/1o7UZe4_OqlqtLDHrj01Z2YFRSZDf1DMy1n3XViHaxRc/edit?usp=share_link"",""ภูเก็ต!I700"")+IMPORTRANGE(""https://docs.google.c"&amp;"om/spreadsheets/d/1ctPm1vUzcUCPuOj9-eoHUD85PqINFqUB0TjdSWmR5-c/edit?usp=share_link"",""ยะลา!I700"")+IMPORTRANGE(""https://docs.google.com/spreadsheets/d/1YiDIE7Klmt8osgdapRqYWNr7iPGFSsiJqq46S7PYRE0/edit?usp=share_link"",""ระนอง!I700"")+IMPORTRANGE(""https"&amp;"://docs.google.com/spreadsheets/d/16o_4B-V7AWw_6E93bSpXj_XxVv1oVQctk-B6z1dNEWU/edit?usp=share_link"",""สงขลา!I700"")+IMPORTRANGE(""https://docs.google.com/spreadsheets/d/16cywr71Fj4fA5OGRHsZh30ZG2gwJhMAQv69oVBzYHv0/edit?usp=share_link"",""สตูล!I700"")+IMP"&amp;"ORTRANGE(""https://docs.google.com/spreadsheets/d/1vO9Sws6kMtrVtyvrAJptINXjK8TFBoX9xLYOVK_C8bQ/edit?usp=share_link"",""สุราษฎร์ธานี!I700"")"),57)</f>
        <v>57</v>
      </c>
      <c r="J700" s="37">
        <f ca="1">IFERROR(__xludf.DUMMYFUNCTION("IMPORTRANGE(""https://docs.google.com/spreadsheets/d/1kC41EOXpGBFOW658Fs3oD8beYlym0-zO54WY-2Qnp9I/edit?usp=share_link"",""กระบี่!J700"")
+IMPORTRANGE(""https://docs.google.com/spreadsheets/d/1FbzMZY_f3MDiEuK7RpCQKrilJ_kpX0Wm7QBZ1L7EjIU/edit?usp=share_link"&amp;""",""ชุมพร!J700"")+IMPORTRANGE(""https://docs.google.com/spreadsheets/d/1v5sN-00LrXuhBxw4dkh2GrG_z4l5oAqOdJRBCsUyMaM/edit?usp=share_link"",""ตรัง!J700"")+IMPORTRANGE(""https://docs.google.com/spreadsheets/d/1T5rRTzFc79aSIvqnzkZNvwPstq829QYz_xALlO1Z0s8/edi"&amp;"t?usp=share_link"",""นครศรีธรรมราช!J700"")+IMPORTRANGE(""https://docs.google.com/spreadsheets/d/1BeghqumK0IvCmRd2QOy6_afsZq7ZtAGrSnVJy2u7WmY/edit?usp=share_link"",""นราธิวาส!J700"")+IMPORTRANGE(""https://docs.google.com/spreadsheets/d/1IwnW3-jjRf74MCLW-6P"&amp;"iFwMUffRQXZwZA7YM609NmRc/edit?usp=share_link"",""ปัตตานี!J700"")+IMPORTRANGE(""https://docs.google.com/spreadsheets/d/1vl4QWbWdFruual5o_wdo6ZSqXZ_it806oja4CctTLKs/edit?usp=share_link"",""พังงา!J700"")+IMPORTRANGE(""https://docs.google.com/spreadsheets/d/1"&amp;"b6QssHQp2FoAPSMKHOy273KNzAomaIKhtdlvuZ_zDNE/edit?usp=share_link"",""พัทลุง!J700"")+IMPORTRANGE(""https://docs.google.com/spreadsheets/d/1o7UZe4_OqlqtLDHrj01Z2YFRSZDf1DMy1n3XViHaxRc/edit?usp=share_link"",""ภูเก็ต!J700"")+IMPORTRANGE(""https://docs.google.c"&amp;"om/spreadsheets/d/1ctPm1vUzcUCPuOj9-eoHUD85PqINFqUB0TjdSWmR5-c/edit?usp=share_link"",""ยะลา!J700"")+IMPORTRANGE(""https://docs.google.com/spreadsheets/d/1YiDIE7Klmt8osgdapRqYWNr7iPGFSsiJqq46S7PYRE0/edit?usp=share_link"",""ระนอง!J700"")+IMPORTRANGE(""https"&amp;"://docs.google.com/spreadsheets/d/16o_4B-V7AWw_6E93bSpXj_XxVv1oVQctk-B6z1dNEWU/edit?usp=share_link"",""สงขลา!J700"")+IMPORTRANGE(""https://docs.google.com/spreadsheets/d/16cywr71Fj4fA5OGRHsZh30ZG2gwJhMAQv69oVBzYHv0/edit?usp=share_link"",""สตูล!J700"")+IMP"&amp;"ORTRANGE(""https://docs.google.com/spreadsheets/d/1vO9Sws6kMtrVtyvrAJptINXjK8TFBoX9xLYOVK_C8bQ/edit?usp=share_link"",""สุราษฎร์ธานี!J700"")"),0)</f>
        <v>0</v>
      </c>
      <c r="K700" s="38">
        <f t="shared" ca="1" si="329"/>
        <v>0</v>
      </c>
      <c r="L700" s="38"/>
      <c r="M700" s="189"/>
      <c r="N700" s="764"/>
      <c r="O700" s="38"/>
      <c r="P700" s="3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20.25" customHeight="1">
      <c r="A701" s="742"/>
      <c r="B701" s="575"/>
      <c r="C701" s="575"/>
      <c r="D701" s="576" t="s">
        <v>297</v>
      </c>
      <c r="E701" s="575"/>
      <c r="F701" s="575"/>
      <c r="G701" s="189"/>
      <c r="H701" s="765" t="s">
        <v>46</v>
      </c>
      <c r="I701" s="766">
        <f ca="1">IFERROR(__xludf.DUMMYFUNCTION("IMPORTRANGE(""https://docs.google.com/spreadsheets/d/1kC41EOXpGBFOW658Fs3oD8beYlym0-zO54WY-2Qnp9I/edit?usp=share_link"",""กระบี่!I701"")
+IMPORTRANGE(""https://docs.google.com/spreadsheets/d/1FbzMZY_f3MDiEuK7RpCQKrilJ_kpX0Wm7QBZ1L7EjIU/edit?usp=share_link"&amp;""",""ชุมพร!I701"")+IMPORTRANGE(""https://docs.google.com/spreadsheets/d/1v5sN-00LrXuhBxw4dkh2GrG_z4l5oAqOdJRBCsUyMaM/edit?usp=share_link"",""ตรัง!I701"")+IMPORTRANGE(""https://docs.google.com/spreadsheets/d/1T5rRTzFc79aSIvqnzkZNvwPstq829QYz_xALlO1Z0s8/edi"&amp;"t?usp=share_link"",""นครศรีธรรมราช!I701"")+IMPORTRANGE(""https://docs.google.com/spreadsheets/d/1BeghqumK0IvCmRd2QOy6_afsZq7ZtAGrSnVJy2u7WmY/edit?usp=share_link"",""นราธิวาส!I701"")+IMPORTRANGE(""https://docs.google.com/spreadsheets/d/1IwnW3-jjRf74MCLW-6P"&amp;"iFwMUffRQXZwZA7YM609NmRc/edit?usp=share_link"",""ปัตตานี!I701"")+IMPORTRANGE(""https://docs.google.com/spreadsheets/d/1vl4QWbWdFruual5o_wdo6ZSqXZ_it806oja4CctTLKs/edit?usp=share_link"",""พังงา!I701"")+IMPORTRANGE(""https://docs.google.com/spreadsheets/d/1"&amp;"b6QssHQp2FoAPSMKHOy273KNzAomaIKhtdlvuZ_zDNE/edit?usp=share_link"",""พัทลุง!I701"")+IMPORTRANGE(""https://docs.google.com/spreadsheets/d/1o7UZe4_OqlqtLDHrj01Z2YFRSZDf1DMy1n3XViHaxRc/edit?usp=share_link"",""ภูเก็ต!I701"")+IMPORTRANGE(""https://docs.google.c"&amp;"om/spreadsheets/d/1ctPm1vUzcUCPuOj9-eoHUD85PqINFqUB0TjdSWmR5-c/edit?usp=share_link"",""ยะลา!I701"")+IMPORTRANGE(""https://docs.google.com/spreadsheets/d/1YiDIE7Klmt8osgdapRqYWNr7iPGFSsiJqq46S7PYRE0/edit?usp=share_link"",""ระนอง!I701"")+IMPORTRANGE(""https"&amp;"://docs.google.com/spreadsheets/d/16o_4B-V7AWw_6E93bSpXj_XxVv1oVQctk-B6z1dNEWU/edit?usp=share_link"",""สงขลา!I701"")+IMPORTRANGE(""https://docs.google.com/spreadsheets/d/16cywr71Fj4fA5OGRHsZh30ZG2gwJhMAQv69oVBzYHv0/edit?usp=share_link"",""สตูล!I701"")+IMP"&amp;"ORTRANGE(""https://docs.google.com/spreadsheets/d/1vO9Sws6kMtrVtyvrAJptINXjK8TFBoX9xLYOVK_C8bQ/edit?usp=share_link"",""สุราษฎร์ธานี!I701"")"),50)</f>
        <v>50</v>
      </c>
      <c r="J701" s="194">
        <f ca="1">J704+J707</f>
        <v>0</v>
      </c>
      <c r="K701" s="195">
        <f t="shared" ca="1" si="329"/>
        <v>0</v>
      </c>
      <c r="L701" s="38"/>
      <c r="M701" s="189"/>
      <c r="N701" s="764"/>
      <c r="O701" s="38"/>
      <c r="P701" s="3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20.25" customHeight="1">
      <c r="A702" s="742"/>
      <c r="B702" s="575"/>
      <c r="C702" s="575"/>
      <c r="D702" s="575"/>
      <c r="E702" s="576" t="s">
        <v>298</v>
      </c>
      <c r="F702" s="575"/>
      <c r="G702" s="189"/>
      <c r="H702" s="182" t="s">
        <v>35</v>
      </c>
      <c r="I702" s="763"/>
      <c r="J702" s="183">
        <f ca="1">IFERROR(__xludf.DUMMYFUNCTION("IMPORTRANGE(""https://docs.google.com/spreadsheets/d/1kC41EOXpGBFOW658Fs3oD8beYlym0-zO54WY-2Qnp9I/edit?usp=share_link"",""กระบี่!J702"")
+IMPORTRANGE(""https://docs.google.com/spreadsheets/d/1FbzMZY_f3MDiEuK7RpCQKrilJ_kpX0Wm7QBZ1L7EjIU/edit?usp=share_link"&amp;""",""ชุมพร!J702"")+IMPORTRANGE(""https://docs.google.com/spreadsheets/d/1v5sN-00LrXuhBxw4dkh2GrG_z4l5oAqOdJRBCsUyMaM/edit?usp=share_link"",""ตรัง!J702"")+IMPORTRANGE(""https://docs.google.com/spreadsheets/d/1T5rRTzFc79aSIvqnzkZNvwPstq829QYz_xALlO1Z0s8/edi"&amp;"t?usp=share_link"",""นครศรีธรรมราช!J702"")+IMPORTRANGE(""https://docs.google.com/spreadsheets/d/1BeghqumK0IvCmRd2QOy6_afsZq7ZtAGrSnVJy2u7WmY/edit?usp=share_link"",""นราธิวาส!J702"")+IMPORTRANGE(""https://docs.google.com/spreadsheets/d/1IwnW3-jjRf74MCLW-6P"&amp;"iFwMUffRQXZwZA7YM609NmRc/edit?usp=share_link"",""ปัตตานี!J702"")+IMPORTRANGE(""https://docs.google.com/spreadsheets/d/1vl4QWbWdFruual5o_wdo6ZSqXZ_it806oja4CctTLKs/edit?usp=share_link"",""พังงา!J702"")+IMPORTRANGE(""https://docs.google.com/spreadsheets/d/1"&amp;"b6QssHQp2FoAPSMKHOy273KNzAomaIKhtdlvuZ_zDNE/edit?usp=share_link"",""พัทลุง!J702"")+IMPORTRANGE(""https://docs.google.com/spreadsheets/d/1o7UZe4_OqlqtLDHrj01Z2YFRSZDf1DMy1n3XViHaxRc/edit?usp=share_link"",""ภูเก็ต!J702"")+IMPORTRANGE(""https://docs.google.c"&amp;"om/spreadsheets/d/1ctPm1vUzcUCPuOj9-eoHUD85PqINFqUB0TjdSWmR5-c/edit?usp=share_link"",""ยะลา!J702"")+IMPORTRANGE(""https://docs.google.com/spreadsheets/d/1YiDIE7Klmt8osgdapRqYWNr7iPGFSsiJqq46S7PYRE0/edit?usp=share_link"",""ระนอง!J702"")+IMPORTRANGE(""https"&amp;"://docs.google.com/spreadsheets/d/16o_4B-V7AWw_6E93bSpXj_XxVv1oVQctk-B6z1dNEWU/edit?usp=share_link"",""สงขลา!J702"")+IMPORTRANGE(""https://docs.google.com/spreadsheets/d/16cywr71Fj4fA5OGRHsZh30ZG2gwJhMAQv69oVBzYHv0/edit?usp=share_link"",""สตูล!J702"")+IMP"&amp;"ORTRANGE(""https://docs.google.com/spreadsheets/d/1vO9Sws6kMtrVtyvrAJptINXjK8TFBoX9xLYOVK_C8bQ/edit?usp=share_link"",""สุราษฎร์ธานี!J702"")"),0)</f>
        <v>0</v>
      </c>
      <c r="K702" s="38"/>
      <c r="L702" s="38"/>
      <c r="M702" s="189"/>
      <c r="N702" s="764"/>
      <c r="O702" s="38"/>
      <c r="P702" s="3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20.25" customHeight="1">
      <c r="A703" s="742"/>
      <c r="B703" s="575"/>
      <c r="C703" s="575"/>
      <c r="D703" s="575"/>
      <c r="E703" s="575"/>
      <c r="F703" s="575"/>
      <c r="G703" s="189"/>
      <c r="H703" s="182" t="s">
        <v>34</v>
      </c>
      <c r="I703" s="763"/>
      <c r="J703" s="183">
        <f ca="1">IFERROR(__xludf.DUMMYFUNCTION("IMPORTRANGE(""https://docs.google.com/spreadsheets/d/1kC41EOXpGBFOW658Fs3oD8beYlym0-zO54WY-2Qnp9I/edit?usp=share_link"",""กระบี่!J703"")
+IMPORTRANGE(""https://docs.google.com/spreadsheets/d/1FbzMZY_f3MDiEuK7RpCQKrilJ_kpX0Wm7QBZ1L7EjIU/edit?usp=share_link"&amp;""",""ชุมพร!J703"")+IMPORTRANGE(""https://docs.google.com/spreadsheets/d/1v5sN-00LrXuhBxw4dkh2GrG_z4l5oAqOdJRBCsUyMaM/edit?usp=share_link"",""ตรัง!J703"")+IMPORTRANGE(""https://docs.google.com/spreadsheets/d/1T5rRTzFc79aSIvqnzkZNvwPstq829QYz_xALlO1Z0s8/edi"&amp;"t?usp=share_link"",""นครศรีธรรมราช!J703"")+IMPORTRANGE(""https://docs.google.com/spreadsheets/d/1BeghqumK0IvCmRd2QOy6_afsZq7ZtAGrSnVJy2u7WmY/edit?usp=share_link"",""นราธิวาส!J703"")+IMPORTRANGE(""https://docs.google.com/spreadsheets/d/1IwnW3-jjRf74MCLW-6P"&amp;"iFwMUffRQXZwZA7YM609NmRc/edit?usp=share_link"",""ปัตตานี!J703"")+IMPORTRANGE(""https://docs.google.com/spreadsheets/d/1vl4QWbWdFruual5o_wdo6ZSqXZ_it806oja4CctTLKs/edit?usp=share_link"",""พังงา!J703"")+IMPORTRANGE(""https://docs.google.com/spreadsheets/d/1"&amp;"b6QssHQp2FoAPSMKHOy273KNzAomaIKhtdlvuZ_zDNE/edit?usp=share_link"",""พัทลุง!J703"")+IMPORTRANGE(""https://docs.google.com/spreadsheets/d/1o7UZe4_OqlqtLDHrj01Z2YFRSZDf1DMy1n3XViHaxRc/edit?usp=share_link"",""ภูเก็ต!J703"")+IMPORTRANGE(""https://docs.google.c"&amp;"om/spreadsheets/d/1ctPm1vUzcUCPuOj9-eoHUD85PqINFqUB0TjdSWmR5-c/edit?usp=share_link"",""ยะลา!J703"")+IMPORTRANGE(""https://docs.google.com/spreadsheets/d/1YiDIE7Klmt8osgdapRqYWNr7iPGFSsiJqq46S7PYRE0/edit?usp=share_link"",""ระนอง!J703"")+IMPORTRANGE(""https"&amp;"://docs.google.com/spreadsheets/d/16o_4B-V7AWw_6E93bSpXj_XxVv1oVQctk-B6z1dNEWU/edit?usp=share_link"",""สงขลา!J703"")+IMPORTRANGE(""https://docs.google.com/spreadsheets/d/16cywr71Fj4fA5OGRHsZh30ZG2gwJhMAQv69oVBzYHv0/edit?usp=share_link"",""สตูล!J703"")+IMP"&amp;"ORTRANGE(""https://docs.google.com/spreadsheets/d/1vO9Sws6kMtrVtyvrAJptINXjK8TFBoX9xLYOVK_C8bQ/edit?usp=share_link"",""สุราษฎร์ธานี!J703"")"),0)</f>
        <v>0</v>
      </c>
      <c r="K703" s="38"/>
      <c r="L703" s="38"/>
      <c r="M703" s="189"/>
      <c r="N703" s="764"/>
      <c r="O703" s="38"/>
      <c r="P703" s="3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20.25" customHeight="1">
      <c r="A704" s="742"/>
      <c r="B704" s="575"/>
      <c r="C704" s="575"/>
      <c r="D704" s="575"/>
      <c r="E704" s="575"/>
      <c r="F704" s="575"/>
      <c r="G704" s="189"/>
      <c r="H704" s="182" t="s">
        <v>46</v>
      </c>
      <c r="I704" s="763">
        <f ca="1">IFERROR(__xludf.DUMMYFUNCTION("IMPORTRANGE(""https://docs.google.com/spreadsheets/d/1kC41EOXpGBFOW658Fs3oD8beYlym0-zO54WY-2Qnp9I/edit?usp=share_link"",""กระบี่!I704"")
+IMPORTRANGE(""https://docs.google.com/spreadsheets/d/1FbzMZY_f3MDiEuK7RpCQKrilJ_kpX0Wm7QBZ1L7EjIU/edit?usp=share_link"&amp;""",""ชุมพร!I704"")+IMPORTRANGE(""https://docs.google.com/spreadsheets/d/1v5sN-00LrXuhBxw4dkh2GrG_z4l5oAqOdJRBCsUyMaM/edit?usp=share_link"",""ตรัง!I704"")+IMPORTRANGE(""https://docs.google.com/spreadsheets/d/1T5rRTzFc79aSIvqnzkZNvwPstq829QYz_xALlO1Z0s8/edi"&amp;"t?usp=share_link"",""นครศรีธรรมราช!I704"")+IMPORTRANGE(""https://docs.google.com/spreadsheets/d/1BeghqumK0IvCmRd2QOy6_afsZq7ZtAGrSnVJy2u7WmY/edit?usp=share_link"",""นราธิวาส!I704"")+IMPORTRANGE(""https://docs.google.com/spreadsheets/d/1IwnW3-jjRf74MCLW-6P"&amp;"iFwMUffRQXZwZA7YM609NmRc/edit?usp=share_link"",""ปัตตานี!I704"")+IMPORTRANGE(""https://docs.google.com/spreadsheets/d/1vl4QWbWdFruual5o_wdo6ZSqXZ_it806oja4CctTLKs/edit?usp=share_link"",""พังงา!I704"")+IMPORTRANGE(""https://docs.google.com/spreadsheets/d/1"&amp;"b6QssHQp2FoAPSMKHOy273KNzAomaIKhtdlvuZ_zDNE/edit?usp=share_link"",""พัทลุง!I704"")+IMPORTRANGE(""https://docs.google.com/spreadsheets/d/1o7UZe4_OqlqtLDHrj01Z2YFRSZDf1DMy1n3XViHaxRc/edit?usp=share_link"",""ภูเก็ต!I704"")+IMPORTRANGE(""https://docs.google.c"&amp;"om/spreadsheets/d/1ctPm1vUzcUCPuOj9-eoHUD85PqINFqUB0TjdSWmR5-c/edit?usp=share_link"",""ยะลา!I704"")+IMPORTRANGE(""https://docs.google.com/spreadsheets/d/1YiDIE7Klmt8osgdapRqYWNr7iPGFSsiJqq46S7PYRE0/edit?usp=share_link"",""ระนอง!I704"")+IMPORTRANGE(""https"&amp;"://docs.google.com/spreadsheets/d/16o_4B-V7AWw_6E93bSpXj_XxVv1oVQctk-B6z1dNEWU/edit?usp=share_link"",""สงขลา!I704"")+IMPORTRANGE(""https://docs.google.com/spreadsheets/d/16cywr71Fj4fA5OGRHsZh30ZG2gwJhMAQv69oVBzYHv0/edit?usp=share_link"",""สตูล!I704"")+IMP"&amp;"ORTRANGE(""https://docs.google.com/spreadsheets/d/1vO9Sws6kMtrVtyvrAJptINXjK8TFBoX9xLYOVK_C8bQ/edit?usp=share_link"",""สุราษฎร์ธานี!I704"")"),0)</f>
        <v>0</v>
      </c>
      <c r="J704" s="183">
        <f ca="1">IFERROR(__xludf.DUMMYFUNCTION("IMPORTRANGE(""https://docs.google.com/spreadsheets/d/1kC41EOXpGBFOW658Fs3oD8beYlym0-zO54WY-2Qnp9I/edit?usp=share_link"",""กระบี่!J704"")
+IMPORTRANGE(""https://docs.google.com/spreadsheets/d/1FbzMZY_f3MDiEuK7RpCQKrilJ_kpX0Wm7QBZ1L7EjIU/edit?usp=share_link"&amp;""",""ชุมพร!J704"")+IMPORTRANGE(""https://docs.google.com/spreadsheets/d/1v5sN-00LrXuhBxw4dkh2GrG_z4l5oAqOdJRBCsUyMaM/edit?usp=share_link"",""ตรัง!J704"")+IMPORTRANGE(""https://docs.google.com/spreadsheets/d/1T5rRTzFc79aSIvqnzkZNvwPstq829QYz_xALlO1Z0s8/edi"&amp;"t?usp=share_link"",""นครศรีธรรมราช!J704"")+IMPORTRANGE(""https://docs.google.com/spreadsheets/d/1BeghqumK0IvCmRd2QOy6_afsZq7ZtAGrSnVJy2u7WmY/edit?usp=share_link"",""นราธิวาส!J704"")+IMPORTRANGE(""https://docs.google.com/spreadsheets/d/1IwnW3-jjRf74MCLW-6P"&amp;"iFwMUffRQXZwZA7YM609NmRc/edit?usp=share_link"",""ปัตตานี!J704"")+IMPORTRANGE(""https://docs.google.com/spreadsheets/d/1vl4QWbWdFruual5o_wdo6ZSqXZ_it806oja4CctTLKs/edit?usp=share_link"",""พังงา!J704"")+IMPORTRANGE(""https://docs.google.com/spreadsheets/d/1"&amp;"b6QssHQp2FoAPSMKHOy273KNzAomaIKhtdlvuZ_zDNE/edit?usp=share_link"",""พัทลุง!J704"")+IMPORTRANGE(""https://docs.google.com/spreadsheets/d/1o7UZe4_OqlqtLDHrj01Z2YFRSZDf1DMy1n3XViHaxRc/edit?usp=share_link"",""ภูเก็ต!J704"")+IMPORTRANGE(""https://docs.google.c"&amp;"om/spreadsheets/d/1ctPm1vUzcUCPuOj9-eoHUD85PqINFqUB0TjdSWmR5-c/edit?usp=share_link"",""ยะลา!J704"")+IMPORTRANGE(""https://docs.google.com/spreadsheets/d/1YiDIE7Klmt8osgdapRqYWNr7iPGFSsiJqq46S7PYRE0/edit?usp=share_link"",""ระนอง!J704"")+IMPORTRANGE(""https"&amp;"://docs.google.com/spreadsheets/d/16o_4B-V7AWw_6E93bSpXj_XxVv1oVQctk-B6z1dNEWU/edit?usp=share_link"",""สงขลา!J704"")+IMPORTRANGE(""https://docs.google.com/spreadsheets/d/16cywr71Fj4fA5OGRHsZh30ZG2gwJhMAQv69oVBzYHv0/edit?usp=share_link"",""สตูล!J704"")+IMP"&amp;"ORTRANGE(""https://docs.google.com/spreadsheets/d/1vO9Sws6kMtrVtyvrAJptINXjK8TFBoX9xLYOVK_C8bQ/edit?usp=share_link"",""สุราษฎร์ธานี!J704"")"),0)</f>
        <v>0</v>
      </c>
      <c r="K704" s="38"/>
      <c r="L704" s="38"/>
      <c r="M704" s="189"/>
      <c r="N704" s="764"/>
      <c r="O704" s="38"/>
      <c r="P704" s="3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20.25" customHeight="1">
      <c r="A705" s="742"/>
      <c r="B705" s="575"/>
      <c r="C705" s="575"/>
      <c r="D705" s="575"/>
      <c r="E705" s="576" t="s">
        <v>299</v>
      </c>
      <c r="F705" s="575"/>
      <c r="G705" s="189"/>
      <c r="H705" s="182" t="s">
        <v>35</v>
      </c>
      <c r="I705" s="763"/>
      <c r="J705" s="183">
        <f ca="1">IFERROR(__xludf.DUMMYFUNCTION("IMPORTRANGE(""https://docs.google.com/spreadsheets/d/1kC41EOXpGBFOW658Fs3oD8beYlym0-zO54WY-2Qnp9I/edit?usp=share_link"",""กระบี่!J705"")
+IMPORTRANGE(""https://docs.google.com/spreadsheets/d/1FbzMZY_f3MDiEuK7RpCQKrilJ_kpX0Wm7QBZ1L7EjIU/edit?usp=share_link"&amp;""",""ชุมพร!J705"")+IMPORTRANGE(""https://docs.google.com/spreadsheets/d/1v5sN-00LrXuhBxw4dkh2GrG_z4l5oAqOdJRBCsUyMaM/edit?usp=share_link"",""ตรัง!J705"")+IMPORTRANGE(""https://docs.google.com/spreadsheets/d/1T5rRTzFc79aSIvqnzkZNvwPstq829QYz_xALlO1Z0s8/edi"&amp;"t?usp=share_link"",""นครศรีธรรมราช!J705"")+IMPORTRANGE(""https://docs.google.com/spreadsheets/d/1BeghqumK0IvCmRd2QOy6_afsZq7ZtAGrSnVJy2u7WmY/edit?usp=share_link"",""นราธิวาส!J705"")+IMPORTRANGE(""https://docs.google.com/spreadsheets/d/1IwnW3-jjRf74MCLW-6P"&amp;"iFwMUffRQXZwZA7YM609NmRc/edit?usp=share_link"",""ปัตตานี!J705"")+IMPORTRANGE(""https://docs.google.com/spreadsheets/d/1vl4QWbWdFruual5o_wdo6ZSqXZ_it806oja4CctTLKs/edit?usp=share_link"",""พังงา!J705"")+IMPORTRANGE(""https://docs.google.com/spreadsheets/d/1"&amp;"b6QssHQp2FoAPSMKHOy273KNzAomaIKhtdlvuZ_zDNE/edit?usp=share_link"",""พัทลุง!J705"")+IMPORTRANGE(""https://docs.google.com/spreadsheets/d/1o7UZe4_OqlqtLDHrj01Z2YFRSZDf1DMy1n3XViHaxRc/edit?usp=share_link"",""ภูเก็ต!J705"")+IMPORTRANGE(""https://docs.google.c"&amp;"om/spreadsheets/d/1ctPm1vUzcUCPuOj9-eoHUD85PqINFqUB0TjdSWmR5-c/edit?usp=share_link"",""ยะลา!J705"")+IMPORTRANGE(""https://docs.google.com/spreadsheets/d/1YiDIE7Klmt8osgdapRqYWNr7iPGFSsiJqq46S7PYRE0/edit?usp=share_link"",""ระนอง!J705"")+IMPORTRANGE(""https"&amp;"://docs.google.com/spreadsheets/d/16o_4B-V7AWw_6E93bSpXj_XxVv1oVQctk-B6z1dNEWU/edit?usp=share_link"",""สงขลา!J705"")+IMPORTRANGE(""https://docs.google.com/spreadsheets/d/16cywr71Fj4fA5OGRHsZh30ZG2gwJhMAQv69oVBzYHv0/edit?usp=share_link"",""สตูล!J705"")+IMP"&amp;"ORTRANGE(""https://docs.google.com/spreadsheets/d/1vO9Sws6kMtrVtyvrAJptINXjK8TFBoX9xLYOVK_C8bQ/edit?usp=share_link"",""สุราษฎร์ธานี!J705"")"),0)</f>
        <v>0</v>
      </c>
      <c r="K705" s="38"/>
      <c r="L705" s="38"/>
      <c r="M705" s="189"/>
      <c r="N705" s="764"/>
      <c r="O705" s="38"/>
      <c r="P705" s="3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20.25" customHeight="1">
      <c r="A706" s="742"/>
      <c r="B706" s="575"/>
      <c r="C706" s="575"/>
      <c r="D706" s="575"/>
      <c r="E706" s="575"/>
      <c r="F706" s="575"/>
      <c r="G706" s="189"/>
      <c r="H706" s="182" t="s">
        <v>34</v>
      </c>
      <c r="I706" s="763"/>
      <c r="J706" s="183">
        <f ca="1">IFERROR(__xludf.DUMMYFUNCTION("IMPORTRANGE(""https://docs.google.com/spreadsheets/d/1kC41EOXpGBFOW658Fs3oD8beYlym0-zO54WY-2Qnp9I/edit?usp=share_link"",""กระบี่!J706"")
+IMPORTRANGE(""https://docs.google.com/spreadsheets/d/1FbzMZY_f3MDiEuK7RpCQKrilJ_kpX0Wm7QBZ1L7EjIU/edit?usp=share_link"&amp;""",""ชุมพร!J706"")+IMPORTRANGE(""https://docs.google.com/spreadsheets/d/1v5sN-00LrXuhBxw4dkh2GrG_z4l5oAqOdJRBCsUyMaM/edit?usp=share_link"",""ตรัง!J706"")+IMPORTRANGE(""https://docs.google.com/spreadsheets/d/1T5rRTzFc79aSIvqnzkZNvwPstq829QYz_xALlO1Z0s8/edi"&amp;"t?usp=share_link"",""นครศรีธรรมราช!J706"")+IMPORTRANGE(""https://docs.google.com/spreadsheets/d/1BeghqumK0IvCmRd2QOy6_afsZq7ZtAGrSnVJy2u7WmY/edit?usp=share_link"",""นราธิวาส!J706"")+IMPORTRANGE(""https://docs.google.com/spreadsheets/d/1IwnW3-jjRf74MCLW-6P"&amp;"iFwMUffRQXZwZA7YM609NmRc/edit?usp=share_link"",""ปัตตานี!J706"")+IMPORTRANGE(""https://docs.google.com/spreadsheets/d/1vl4QWbWdFruual5o_wdo6ZSqXZ_it806oja4CctTLKs/edit?usp=share_link"",""พังงา!J706"")+IMPORTRANGE(""https://docs.google.com/spreadsheets/d/1"&amp;"b6QssHQp2FoAPSMKHOy273KNzAomaIKhtdlvuZ_zDNE/edit?usp=share_link"",""พัทลุง!J706"")+IMPORTRANGE(""https://docs.google.com/spreadsheets/d/1o7UZe4_OqlqtLDHrj01Z2YFRSZDf1DMy1n3XViHaxRc/edit?usp=share_link"",""ภูเก็ต!J706"")+IMPORTRANGE(""https://docs.google.c"&amp;"om/spreadsheets/d/1ctPm1vUzcUCPuOj9-eoHUD85PqINFqUB0TjdSWmR5-c/edit?usp=share_link"",""ยะลา!J706"")+IMPORTRANGE(""https://docs.google.com/spreadsheets/d/1YiDIE7Klmt8osgdapRqYWNr7iPGFSsiJqq46S7PYRE0/edit?usp=share_link"",""ระนอง!J706"")+IMPORTRANGE(""https"&amp;"://docs.google.com/spreadsheets/d/16o_4B-V7AWw_6E93bSpXj_XxVv1oVQctk-B6z1dNEWU/edit?usp=share_link"",""สงขลา!J706"")+IMPORTRANGE(""https://docs.google.com/spreadsheets/d/16cywr71Fj4fA5OGRHsZh30ZG2gwJhMAQv69oVBzYHv0/edit?usp=share_link"",""สตูล!J706"")+IMP"&amp;"ORTRANGE(""https://docs.google.com/spreadsheets/d/1vO9Sws6kMtrVtyvrAJptINXjK8TFBoX9xLYOVK_C8bQ/edit?usp=share_link"",""สุราษฎร์ธานี!J706"")"),0)</f>
        <v>0</v>
      </c>
      <c r="K706" s="38"/>
      <c r="L706" s="38"/>
      <c r="M706" s="189"/>
      <c r="N706" s="764"/>
      <c r="O706" s="38"/>
      <c r="P706" s="3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20.25" customHeight="1">
      <c r="A707" s="742"/>
      <c r="B707" s="575"/>
      <c r="C707" s="575"/>
      <c r="D707" s="575"/>
      <c r="E707" s="575"/>
      <c r="F707" s="575"/>
      <c r="G707" s="189"/>
      <c r="H707" s="182" t="s">
        <v>46</v>
      </c>
      <c r="I707" s="763">
        <f ca="1">IFERROR(__xludf.DUMMYFUNCTION("IMPORTRANGE(""https://docs.google.com/spreadsheets/d/1kC41EOXpGBFOW658Fs3oD8beYlym0-zO54WY-2Qnp9I/edit?usp=share_link"",""กระบี่!I707"")
+IMPORTRANGE(""https://docs.google.com/spreadsheets/d/1FbzMZY_f3MDiEuK7RpCQKrilJ_kpX0Wm7QBZ1L7EjIU/edit?usp=share_link"&amp;""",""ชุมพร!I707"")+IMPORTRANGE(""https://docs.google.com/spreadsheets/d/1v5sN-00LrXuhBxw4dkh2GrG_z4l5oAqOdJRBCsUyMaM/edit?usp=share_link"",""ตรัง!I707"")+IMPORTRANGE(""https://docs.google.com/spreadsheets/d/1T5rRTzFc79aSIvqnzkZNvwPstq829QYz_xALlO1Z0s8/edi"&amp;"t?usp=share_link"",""นครศรีธรรมราช!I707"")+IMPORTRANGE(""https://docs.google.com/spreadsheets/d/1BeghqumK0IvCmRd2QOy6_afsZq7ZtAGrSnVJy2u7WmY/edit?usp=share_link"",""นราธิวาส!I707"")+IMPORTRANGE(""https://docs.google.com/spreadsheets/d/1IwnW3-jjRf74MCLW-6P"&amp;"iFwMUffRQXZwZA7YM609NmRc/edit?usp=share_link"",""ปัตตานี!I707"")+IMPORTRANGE(""https://docs.google.com/spreadsheets/d/1vl4QWbWdFruual5o_wdo6ZSqXZ_it806oja4CctTLKs/edit?usp=share_link"",""พังงา!I707"")+IMPORTRANGE(""https://docs.google.com/spreadsheets/d/1"&amp;"b6QssHQp2FoAPSMKHOy273KNzAomaIKhtdlvuZ_zDNE/edit?usp=share_link"",""พัทลุง!I707"")+IMPORTRANGE(""https://docs.google.com/spreadsheets/d/1o7UZe4_OqlqtLDHrj01Z2YFRSZDf1DMy1n3XViHaxRc/edit?usp=share_link"",""ภูเก็ต!I707"")+IMPORTRANGE(""https://docs.google.c"&amp;"om/spreadsheets/d/1ctPm1vUzcUCPuOj9-eoHUD85PqINFqUB0TjdSWmR5-c/edit?usp=share_link"",""ยะลา!I707"")+IMPORTRANGE(""https://docs.google.com/spreadsheets/d/1YiDIE7Klmt8osgdapRqYWNr7iPGFSsiJqq46S7PYRE0/edit?usp=share_link"",""ระนอง!I707"")+IMPORTRANGE(""https"&amp;"://docs.google.com/spreadsheets/d/16o_4B-V7AWw_6E93bSpXj_XxVv1oVQctk-B6z1dNEWU/edit?usp=share_link"",""สงขลา!I707"")+IMPORTRANGE(""https://docs.google.com/spreadsheets/d/16cywr71Fj4fA5OGRHsZh30ZG2gwJhMAQv69oVBzYHv0/edit?usp=share_link"",""สตูล!I707"")+IMP"&amp;"ORTRANGE(""https://docs.google.com/spreadsheets/d/1vO9Sws6kMtrVtyvrAJptINXjK8TFBoX9xLYOVK_C8bQ/edit?usp=share_link"",""สุราษฎร์ธานี!I707"")"),50)</f>
        <v>50</v>
      </c>
      <c r="J707" s="183">
        <f ca="1">IFERROR(__xludf.DUMMYFUNCTION("IMPORTRANGE(""https://docs.google.com/spreadsheets/d/1kC41EOXpGBFOW658Fs3oD8beYlym0-zO54WY-2Qnp9I/edit?usp=share_link"",""กระบี่!J707"")
+IMPORTRANGE(""https://docs.google.com/spreadsheets/d/1FbzMZY_f3MDiEuK7RpCQKrilJ_kpX0Wm7QBZ1L7EjIU/edit?usp=share_link"&amp;""",""ชุมพร!J707"")+IMPORTRANGE(""https://docs.google.com/spreadsheets/d/1v5sN-00LrXuhBxw4dkh2GrG_z4l5oAqOdJRBCsUyMaM/edit?usp=share_link"",""ตรัง!J707"")+IMPORTRANGE(""https://docs.google.com/spreadsheets/d/1T5rRTzFc79aSIvqnzkZNvwPstq829QYz_xALlO1Z0s8/edi"&amp;"t?usp=share_link"",""นครศรีธรรมราช!J707"")+IMPORTRANGE(""https://docs.google.com/spreadsheets/d/1BeghqumK0IvCmRd2QOy6_afsZq7ZtAGrSnVJy2u7WmY/edit?usp=share_link"",""นราธิวาส!J707"")+IMPORTRANGE(""https://docs.google.com/spreadsheets/d/1IwnW3-jjRf74MCLW-6P"&amp;"iFwMUffRQXZwZA7YM609NmRc/edit?usp=share_link"",""ปัตตานี!J707"")+IMPORTRANGE(""https://docs.google.com/spreadsheets/d/1vl4QWbWdFruual5o_wdo6ZSqXZ_it806oja4CctTLKs/edit?usp=share_link"",""พังงา!J707"")+IMPORTRANGE(""https://docs.google.com/spreadsheets/d/1"&amp;"b6QssHQp2FoAPSMKHOy273KNzAomaIKhtdlvuZ_zDNE/edit?usp=share_link"",""พัทลุง!J707"")+IMPORTRANGE(""https://docs.google.com/spreadsheets/d/1o7UZe4_OqlqtLDHrj01Z2YFRSZDf1DMy1n3XViHaxRc/edit?usp=share_link"",""ภูเก็ต!J707"")+IMPORTRANGE(""https://docs.google.c"&amp;"om/spreadsheets/d/1ctPm1vUzcUCPuOj9-eoHUD85PqINFqUB0TjdSWmR5-c/edit?usp=share_link"",""ยะลา!J707"")+IMPORTRANGE(""https://docs.google.com/spreadsheets/d/1YiDIE7Klmt8osgdapRqYWNr7iPGFSsiJqq46S7PYRE0/edit?usp=share_link"",""ระนอง!J707"")+IMPORTRANGE(""https"&amp;"://docs.google.com/spreadsheets/d/16o_4B-V7AWw_6E93bSpXj_XxVv1oVQctk-B6z1dNEWU/edit?usp=share_link"",""สงขลา!J707"")+IMPORTRANGE(""https://docs.google.com/spreadsheets/d/16cywr71Fj4fA5OGRHsZh30ZG2gwJhMAQv69oVBzYHv0/edit?usp=share_link"",""สตูล!J707"")+IMP"&amp;"ORTRANGE(""https://docs.google.com/spreadsheets/d/1vO9Sws6kMtrVtyvrAJptINXjK8TFBoX9xLYOVK_C8bQ/edit?usp=share_link"",""สุราษฎร์ธานี!J707"")"),0)</f>
        <v>0</v>
      </c>
      <c r="K707" s="38"/>
      <c r="L707" s="38"/>
      <c r="M707" s="189"/>
      <c r="N707" s="764"/>
      <c r="O707" s="38"/>
      <c r="P707" s="3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20.25" customHeight="1">
      <c r="A708" s="742"/>
      <c r="B708" s="575"/>
      <c r="C708" s="575"/>
      <c r="D708" s="767" t="s">
        <v>300</v>
      </c>
      <c r="E708" s="575"/>
      <c r="F708" s="575"/>
      <c r="G708" s="189"/>
      <c r="H708" s="192" t="s">
        <v>46</v>
      </c>
      <c r="I708" s="766">
        <f ca="1">IFERROR(__xludf.DUMMYFUNCTION("IMPORTRANGE(""https://docs.google.com/spreadsheets/d/1kC41EOXpGBFOW658Fs3oD8beYlym0-zO54WY-2Qnp9I/edit?usp=share_link"",""กระบี่!I708"")
+IMPORTRANGE(""https://docs.google.com/spreadsheets/d/1FbzMZY_f3MDiEuK7RpCQKrilJ_kpX0Wm7QBZ1L7EjIU/edit?usp=share_link"&amp;""",""ชุมพร!I708"")+IMPORTRANGE(""https://docs.google.com/spreadsheets/d/1v5sN-00LrXuhBxw4dkh2GrG_z4l5oAqOdJRBCsUyMaM/edit?usp=share_link"",""ตรัง!I708"")+IMPORTRANGE(""https://docs.google.com/spreadsheets/d/1T5rRTzFc79aSIvqnzkZNvwPstq829QYz_xALlO1Z0s8/edi"&amp;"t?usp=share_link"",""นครศรีธรรมราช!I708"")+IMPORTRANGE(""https://docs.google.com/spreadsheets/d/1BeghqumK0IvCmRd2QOy6_afsZq7ZtAGrSnVJy2u7WmY/edit?usp=share_link"",""นราธิวาส!I708"")+IMPORTRANGE(""https://docs.google.com/spreadsheets/d/1IwnW3-jjRf74MCLW-6P"&amp;"iFwMUffRQXZwZA7YM609NmRc/edit?usp=share_link"",""ปัตตานี!I708"")+IMPORTRANGE(""https://docs.google.com/spreadsheets/d/1vl4QWbWdFruual5o_wdo6ZSqXZ_it806oja4CctTLKs/edit?usp=share_link"",""พังงา!I708"")+IMPORTRANGE(""https://docs.google.com/spreadsheets/d/1"&amp;"b6QssHQp2FoAPSMKHOy273KNzAomaIKhtdlvuZ_zDNE/edit?usp=share_link"",""พัทลุง!I708"")+IMPORTRANGE(""https://docs.google.com/spreadsheets/d/1o7UZe4_OqlqtLDHrj01Z2YFRSZDf1DMy1n3XViHaxRc/edit?usp=share_link"",""ภูเก็ต!I708"")+IMPORTRANGE(""https://docs.google.c"&amp;"om/spreadsheets/d/1ctPm1vUzcUCPuOj9-eoHUD85PqINFqUB0TjdSWmR5-c/edit?usp=share_link"",""ยะลา!I708"")+IMPORTRANGE(""https://docs.google.com/spreadsheets/d/1YiDIE7Klmt8osgdapRqYWNr7iPGFSsiJqq46S7PYRE0/edit?usp=share_link"",""ระนอง!I708"")+IMPORTRANGE(""https"&amp;"://docs.google.com/spreadsheets/d/16o_4B-V7AWw_6E93bSpXj_XxVv1oVQctk-B6z1dNEWU/edit?usp=share_link"",""สงขลา!I708"")+IMPORTRANGE(""https://docs.google.com/spreadsheets/d/16cywr71Fj4fA5OGRHsZh30ZG2gwJhMAQv69oVBzYHv0/edit?usp=share_link"",""สตูล!I708"")+IMP"&amp;"ORTRANGE(""https://docs.google.com/spreadsheets/d/1vO9Sws6kMtrVtyvrAJptINXjK8TFBoX9xLYOVK_C8bQ/edit?usp=share_link"",""สุราษฎร์ธานี!I708"")"),0)</f>
        <v>0</v>
      </c>
      <c r="J708" s="194">
        <f ca="1">J714+J717</f>
        <v>0</v>
      </c>
      <c r="K708" s="195">
        <f ca="1">IF(I708&gt;0,J708*100/I708,0)</f>
        <v>0</v>
      </c>
      <c r="L708" s="38"/>
      <c r="M708" s="189"/>
      <c r="N708" s="764"/>
      <c r="O708" s="38"/>
      <c r="P708" s="3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20.25" customHeight="1">
      <c r="A709" s="742"/>
      <c r="B709" s="575"/>
      <c r="C709" s="575"/>
      <c r="D709" s="575"/>
      <c r="E709" s="576" t="s">
        <v>301</v>
      </c>
      <c r="F709" s="575"/>
      <c r="G709" s="189"/>
      <c r="H709" s="182" t="s">
        <v>34</v>
      </c>
      <c r="I709" s="763"/>
      <c r="J709" s="183">
        <f ca="1">IFERROR(__xludf.DUMMYFUNCTION("IMPORTRANGE(""https://docs.google.com/spreadsheets/d/1kC41EOXpGBFOW658Fs3oD8beYlym0-zO54WY-2Qnp9I/edit?usp=share_link"",""กระบี่!J709"")
+IMPORTRANGE(""https://docs.google.com/spreadsheets/d/1FbzMZY_f3MDiEuK7RpCQKrilJ_kpX0Wm7QBZ1L7EjIU/edit?usp=share_link"&amp;""",""ชุมพร!J709"")+IMPORTRANGE(""https://docs.google.com/spreadsheets/d/1v5sN-00LrXuhBxw4dkh2GrG_z4l5oAqOdJRBCsUyMaM/edit?usp=share_link"",""ตรัง!J709"")+IMPORTRANGE(""https://docs.google.com/spreadsheets/d/1T5rRTzFc79aSIvqnzkZNvwPstq829QYz_xALlO1Z0s8/edi"&amp;"t?usp=share_link"",""นครศรีธรรมราช!J709"")+IMPORTRANGE(""https://docs.google.com/spreadsheets/d/1BeghqumK0IvCmRd2QOy6_afsZq7ZtAGrSnVJy2u7WmY/edit?usp=share_link"",""นราธิวาส!J709"")+IMPORTRANGE(""https://docs.google.com/spreadsheets/d/1IwnW3-jjRf74MCLW-6P"&amp;"iFwMUffRQXZwZA7YM609NmRc/edit?usp=share_link"",""ปัตตานี!J709"")+IMPORTRANGE(""https://docs.google.com/spreadsheets/d/1vl4QWbWdFruual5o_wdo6ZSqXZ_it806oja4CctTLKs/edit?usp=share_link"",""พังงา!J709"")+IMPORTRANGE(""https://docs.google.com/spreadsheets/d/1"&amp;"b6QssHQp2FoAPSMKHOy273KNzAomaIKhtdlvuZ_zDNE/edit?usp=share_link"",""พัทลุง!J709"")+IMPORTRANGE(""https://docs.google.com/spreadsheets/d/1o7UZe4_OqlqtLDHrj01Z2YFRSZDf1DMy1n3XViHaxRc/edit?usp=share_link"",""ภูเก็ต!J709"")+IMPORTRANGE(""https://docs.google.c"&amp;"om/spreadsheets/d/1ctPm1vUzcUCPuOj9-eoHUD85PqINFqUB0TjdSWmR5-c/edit?usp=share_link"",""ยะลา!J709"")+IMPORTRANGE(""https://docs.google.com/spreadsheets/d/1YiDIE7Klmt8osgdapRqYWNr7iPGFSsiJqq46S7PYRE0/edit?usp=share_link"",""ระนอง!J709"")+IMPORTRANGE(""https"&amp;"://docs.google.com/spreadsheets/d/16o_4B-V7AWw_6E93bSpXj_XxVv1oVQctk-B6z1dNEWU/edit?usp=share_link"",""สงขลา!J709"")+IMPORTRANGE(""https://docs.google.com/spreadsheets/d/16cywr71Fj4fA5OGRHsZh30ZG2gwJhMAQv69oVBzYHv0/edit?usp=share_link"",""สตูล!J709"")+IMP"&amp;"ORTRANGE(""https://docs.google.com/spreadsheets/d/1vO9Sws6kMtrVtyvrAJptINXjK8TFBoX9xLYOVK_C8bQ/edit?usp=share_link"",""สุราษฎร์ธานี!J709"")"),0)</f>
        <v>0</v>
      </c>
      <c r="K709" s="38"/>
      <c r="L709" s="764"/>
      <c r="M709" s="189"/>
      <c r="N709" s="764"/>
      <c r="O709" s="38"/>
      <c r="P709" s="3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20.25" customHeight="1">
      <c r="A710" s="742"/>
      <c r="B710" s="575"/>
      <c r="C710" s="575"/>
      <c r="D710" s="575"/>
      <c r="E710" s="575"/>
      <c r="F710" s="575"/>
      <c r="G710" s="189"/>
      <c r="H710" s="182" t="s">
        <v>46</v>
      </c>
      <c r="I710" s="763"/>
      <c r="J710" s="183">
        <f ca="1">IFERROR(__xludf.DUMMYFUNCTION("IMPORTRANGE(""https://docs.google.com/spreadsheets/d/1kC41EOXpGBFOW658Fs3oD8beYlym0-zO54WY-2Qnp9I/edit?usp=share_link"",""กระบี่!J710"")
+IMPORTRANGE(""https://docs.google.com/spreadsheets/d/1FbzMZY_f3MDiEuK7RpCQKrilJ_kpX0Wm7QBZ1L7EjIU/edit?usp=share_link"&amp;""",""ชุมพร!J710"")+IMPORTRANGE(""https://docs.google.com/spreadsheets/d/1v5sN-00LrXuhBxw4dkh2GrG_z4l5oAqOdJRBCsUyMaM/edit?usp=share_link"",""ตรัง!J710"")+IMPORTRANGE(""https://docs.google.com/spreadsheets/d/1T5rRTzFc79aSIvqnzkZNvwPstq829QYz_xALlO1Z0s8/edi"&amp;"t?usp=share_link"",""นครศรีธรรมราช!J710"")+IMPORTRANGE(""https://docs.google.com/spreadsheets/d/1BeghqumK0IvCmRd2QOy6_afsZq7ZtAGrSnVJy2u7WmY/edit?usp=share_link"",""นราธิวาส!J710"")+IMPORTRANGE(""https://docs.google.com/spreadsheets/d/1IwnW3-jjRf74MCLW-6P"&amp;"iFwMUffRQXZwZA7YM609NmRc/edit?usp=share_link"",""ปัตตานี!J710"")+IMPORTRANGE(""https://docs.google.com/spreadsheets/d/1vl4QWbWdFruual5o_wdo6ZSqXZ_it806oja4CctTLKs/edit?usp=share_link"",""พังงา!J710"")+IMPORTRANGE(""https://docs.google.com/spreadsheets/d/1"&amp;"b6QssHQp2FoAPSMKHOy273KNzAomaIKhtdlvuZ_zDNE/edit?usp=share_link"",""พัทลุง!J710"")+IMPORTRANGE(""https://docs.google.com/spreadsheets/d/1o7UZe4_OqlqtLDHrj01Z2YFRSZDf1DMy1n3XViHaxRc/edit?usp=share_link"",""ภูเก็ต!J710"")+IMPORTRANGE(""https://docs.google.c"&amp;"om/spreadsheets/d/1ctPm1vUzcUCPuOj9-eoHUD85PqINFqUB0TjdSWmR5-c/edit?usp=share_link"",""ยะลา!J710"")+IMPORTRANGE(""https://docs.google.com/spreadsheets/d/1YiDIE7Klmt8osgdapRqYWNr7iPGFSsiJqq46S7PYRE0/edit?usp=share_link"",""ระนอง!J710"")+IMPORTRANGE(""https"&amp;"://docs.google.com/spreadsheets/d/16o_4B-V7AWw_6E93bSpXj_XxVv1oVQctk-B6z1dNEWU/edit?usp=share_link"",""สงขลา!J710"")+IMPORTRANGE(""https://docs.google.com/spreadsheets/d/16cywr71Fj4fA5OGRHsZh30ZG2gwJhMAQv69oVBzYHv0/edit?usp=share_link"",""สตูล!J710"")+IMP"&amp;"ORTRANGE(""https://docs.google.com/spreadsheets/d/1vO9Sws6kMtrVtyvrAJptINXjK8TFBoX9xLYOVK_C8bQ/edit?usp=share_link"",""สุราษฎร์ธานี!J710"")"),0)</f>
        <v>0</v>
      </c>
      <c r="K710" s="38"/>
      <c r="L710" s="764"/>
      <c r="M710" s="189"/>
      <c r="N710" s="764"/>
      <c r="O710" s="38"/>
      <c r="P710" s="3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20.25" customHeight="1">
      <c r="A711" s="742"/>
      <c r="B711" s="575"/>
      <c r="C711" s="575"/>
      <c r="D711" s="575"/>
      <c r="E711" s="576" t="s">
        <v>302</v>
      </c>
      <c r="F711" s="575"/>
      <c r="G711" s="189"/>
      <c r="H711" s="175"/>
      <c r="I711" s="763"/>
      <c r="J711" s="37"/>
      <c r="K711" s="38"/>
      <c r="L711" s="764"/>
      <c r="M711" s="189"/>
      <c r="N711" s="764"/>
      <c r="O711" s="38"/>
      <c r="P711" s="3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20.25" customHeight="1">
      <c r="A712" s="742"/>
      <c r="B712" s="575"/>
      <c r="C712" s="575"/>
      <c r="D712" s="575"/>
      <c r="E712" s="575"/>
      <c r="F712" s="576" t="s">
        <v>303</v>
      </c>
      <c r="G712" s="189"/>
      <c r="H712" s="182" t="s">
        <v>35</v>
      </c>
      <c r="I712" s="763"/>
      <c r="J712" s="183">
        <f ca="1">IFERROR(__xludf.DUMMYFUNCTION("IMPORTRANGE(""https://docs.google.com/spreadsheets/d/1kC41EOXpGBFOW658Fs3oD8beYlym0-zO54WY-2Qnp9I/edit?usp=share_link"",""กระบี่!J712"")
+IMPORTRANGE(""https://docs.google.com/spreadsheets/d/1FbzMZY_f3MDiEuK7RpCQKrilJ_kpX0Wm7QBZ1L7EjIU/edit?usp=share_link"&amp;""",""ชุมพร!J712"")+IMPORTRANGE(""https://docs.google.com/spreadsheets/d/1v5sN-00LrXuhBxw4dkh2GrG_z4l5oAqOdJRBCsUyMaM/edit?usp=share_link"",""ตรัง!J712"")+IMPORTRANGE(""https://docs.google.com/spreadsheets/d/1T5rRTzFc79aSIvqnzkZNvwPstq829QYz_xALlO1Z0s8/edi"&amp;"t?usp=share_link"",""นครศรีธรรมราช!J712"")+IMPORTRANGE(""https://docs.google.com/spreadsheets/d/1BeghqumK0IvCmRd2QOy6_afsZq7ZtAGrSnVJy2u7WmY/edit?usp=share_link"",""นราธิวาส!J712"")+IMPORTRANGE(""https://docs.google.com/spreadsheets/d/1IwnW3-jjRf74MCLW-6P"&amp;"iFwMUffRQXZwZA7YM609NmRc/edit?usp=share_link"",""ปัตตานี!J712"")+IMPORTRANGE(""https://docs.google.com/spreadsheets/d/1vl4QWbWdFruual5o_wdo6ZSqXZ_it806oja4CctTLKs/edit?usp=share_link"",""พังงา!J712"")+IMPORTRANGE(""https://docs.google.com/spreadsheets/d/1"&amp;"b6QssHQp2FoAPSMKHOy273KNzAomaIKhtdlvuZ_zDNE/edit?usp=share_link"",""พัทลุง!J712"")+IMPORTRANGE(""https://docs.google.com/spreadsheets/d/1o7UZe4_OqlqtLDHrj01Z2YFRSZDf1DMy1n3XViHaxRc/edit?usp=share_link"",""ภูเก็ต!J712"")+IMPORTRANGE(""https://docs.google.c"&amp;"om/spreadsheets/d/1ctPm1vUzcUCPuOj9-eoHUD85PqINFqUB0TjdSWmR5-c/edit?usp=share_link"",""ยะลา!J712"")+IMPORTRANGE(""https://docs.google.com/spreadsheets/d/1YiDIE7Klmt8osgdapRqYWNr7iPGFSsiJqq46S7PYRE0/edit?usp=share_link"",""ระนอง!J712"")+IMPORTRANGE(""https"&amp;"://docs.google.com/spreadsheets/d/16o_4B-V7AWw_6E93bSpXj_XxVv1oVQctk-B6z1dNEWU/edit?usp=share_link"",""สงขลา!J712"")+IMPORTRANGE(""https://docs.google.com/spreadsheets/d/16cywr71Fj4fA5OGRHsZh30ZG2gwJhMAQv69oVBzYHv0/edit?usp=share_link"",""สตูล!J712"")+IMP"&amp;"ORTRANGE(""https://docs.google.com/spreadsheets/d/1vO9Sws6kMtrVtyvrAJptINXjK8TFBoX9xLYOVK_C8bQ/edit?usp=share_link"",""สุราษฎร์ธานี!J712"")"),0)</f>
        <v>0</v>
      </c>
      <c r="K712" s="38"/>
      <c r="L712" s="764"/>
      <c r="M712" s="189"/>
      <c r="N712" s="764"/>
      <c r="O712" s="38"/>
      <c r="P712" s="3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20.25" customHeight="1">
      <c r="A713" s="742"/>
      <c r="B713" s="575"/>
      <c r="C713" s="575"/>
      <c r="D713" s="575"/>
      <c r="E713" s="575"/>
      <c r="F713" s="575"/>
      <c r="G713" s="189"/>
      <c r="H713" s="182" t="s">
        <v>34</v>
      </c>
      <c r="I713" s="763"/>
      <c r="J713" s="183">
        <f ca="1">IFERROR(__xludf.DUMMYFUNCTION("IMPORTRANGE(""https://docs.google.com/spreadsheets/d/1kC41EOXpGBFOW658Fs3oD8beYlym0-zO54WY-2Qnp9I/edit?usp=share_link"",""กระบี่!J713"")
+IMPORTRANGE(""https://docs.google.com/spreadsheets/d/1FbzMZY_f3MDiEuK7RpCQKrilJ_kpX0Wm7QBZ1L7EjIU/edit?usp=share_link"&amp;""",""ชุมพร!J713"")+IMPORTRANGE(""https://docs.google.com/spreadsheets/d/1v5sN-00LrXuhBxw4dkh2GrG_z4l5oAqOdJRBCsUyMaM/edit?usp=share_link"",""ตรัง!J713"")+IMPORTRANGE(""https://docs.google.com/spreadsheets/d/1T5rRTzFc79aSIvqnzkZNvwPstq829QYz_xALlO1Z0s8/edi"&amp;"t?usp=share_link"",""นครศรีธรรมราช!J713"")+IMPORTRANGE(""https://docs.google.com/spreadsheets/d/1BeghqumK0IvCmRd2QOy6_afsZq7ZtAGrSnVJy2u7WmY/edit?usp=share_link"",""นราธิวาส!J713"")+IMPORTRANGE(""https://docs.google.com/spreadsheets/d/1IwnW3-jjRf74MCLW-6P"&amp;"iFwMUffRQXZwZA7YM609NmRc/edit?usp=share_link"",""ปัตตานี!J713"")+IMPORTRANGE(""https://docs.google.com/spreadsheets/d/1vl4QWbWdFruual5o_wdo6ZSqXZ_it806oja4CctTLKs/edit?usp=share_link"",""พังงา!J713"")+IMPORTRANGE(""https://docs.google.com/spreadsheets/d/1"&amp;"b6QssHQp2FoAPSMKHOy273KNzAomaIKhtdlvuZ_zDNE/edit?usp=share_link"",""พัทลุง!J713"")+IMPORTRANGE(""https://docs.google.com/spreadsheets/d/1o7UZe4_OqlqtLDHrj01Z2YFRSZDf1DMy1n3XViHaxRc/edit?usp=share_link"",""ภูเก็ต!J713"")+IMPORTRANGE(""https://docs.google.c"&amp;"om/spreadsheets/d/1ctPm1vUzcUCPuOj9-eoHUD85PqINFqUB0TjdSWmR5-c/edit?usp=share_link"",""ยะลา!J713"")+IMPORTRANGE(""https://docs.google.com/spreadsheets/d/1YiDIE7Klmt8osgdapRqYWNr7iPGFSsiJqq46S7PYRE0/edit?usp=share_link"",""ระนอง!J713"")+IMPORTRANGE(""https"&amp;"://docs.google.com/spreadsheets/d/16o_4B-V7AWw_6E93bSpXj_XxVv1oVQctk-B6z1dNEWU/edit?usp=share_link"",""สงขลา!J713"")+IMPORTRANGE(""https://docs.google.com/spreadsheets/d/16cywr71Fj4fA5OGRHsZh30ZG2gwJhMAQv69oVBzYHv0/edit?usp=share_link"",""สตูล!J713"")+IMP"&amp;"ORTRANGE(""https://docs.google.com/spreadsheets/d/1vO9Sws6kMtrVtyvrAJptINXjK8TFBoX9xLYOVK_C8bQ/edit?usp=share_link"",""สุราษฎร์ธานี!J713"")"),0)</f>
        <v>0</v>
      </c>
      <c r="K713" s="38"/>
      <c r="L713" s="764"/>
      <c r="M713" s="189"/>
      <c r="N713" s="764"/>
      <c r="O713" s="38"/>
      <c r="P713" s="3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20.25" customHeight="1">
      <c r="A714" s="742"/>
      <c r="B714" s="575"/>
      <c r="C714" s="575"/>
      <c r="D714" s="575"/>
      <c r="E714" s="575"/>
      <c r="F714" s="575"/>
      <c r="G714" s="189"/>
      <c r="H714" s="182" t="s">
        <v>46</v>
      </c>
      <c r="I714" s="763"/>
      <c r="J714" s="183">
        <f ca="1">IFERROR(__xludf.DUMMYFUNCTION("IMPORTRANGE(""https://docs.google.com/spreadsheets/d/1kC41EOXpGBFOW658Fs3oD8beYlym0-zO54WY-2Qnp9I/edit?usp=share_link"",""กระบี่!J714"")
+IMPORTRANGE(""https://docs.google.com/spreadsheets/d/1FbzMZY_f3MDiEuK7RpCQKrilJ_kpX0Wm7QBZ1L7EjIU/edit?usp=share_link"&amp;""",""ชุมพร!J714"")+IMPORTRANGE(""https://docs.google.com/spreadsheets/d/1v5sN-00LrXuhBxw4dkh2GrG_z4l5oAqOdJRBCsUyMaM/edit?usp=share_link"",""ตรัง!J714"")+IMPORTRANGE(""https://docs.google.com/spreadsheets/d/1T5rRTzFc79aSIvqnzkZNvwPstq829QYz_xALlO1Z0s8/edi"&amp;"t?usp=share_link"",""นครศรีธรรมราช!J714"")+IMPORTRANGE(""https://docs.google.com/spreadsheets/d/1BeghqumK0IvCmRd2QOy6_afsZq7ZtAGrSnVJy2u7WmY/edit?usp=share_link"",""นราธิวาส!J714"")+IMPORTRANGE(""https://docs.google.com/spreadsheets/d/1IwnW3-jjRf74MCLW-6P"&amp;"iFwMUffRQXZwZA7YM609NmRc/edit?usp=share_link"",""ปัตตานี!J714"")+IMPORTRANGE(""https://docs.google.com/spreadsheets/d/1vl4QWbWdFruual5o_wdo6ZSqXZ_it806oja4CctTLKs/edit?usp=share_link"",""พังงา!J714"")+IMPORTRANGE(""https://docs.google.com/spreadsheets/d/1"&amp;"b6QssHQp2FoAPSMKHOy273KNzAomaIKhtdlvuZ_zDNE/edit?usp=share_link"",""พัทลุง!J714"")+IMPORTRANGE(""https://docs.google.com/spreadsheets/d/1o7UZe4_OqlqtLDHrj01Z2YFRSZDf1DMy1n3XViHaxRc/edit?usp=share_link"",""ภูเก็ต!J714"")+IMPORTRANGE(""https://docs.google.c"&amp;"om/spreadsheets/d/1ctPm1vUzcUCPuOj9-eoHUD85PqINFqUB0TjdSWmR5-c/edit?usp=share_link"",""ยะลา!J714"")+IMPORTRANGE(""https://docs.google.com/spreadsheets/d/1YiDIE7Klmt8osgdapRqYWNr7iPGFSsiJqq46S7PYRE0/edit?usp=share_link"",""ระนอง!J714"")+IMPORTRANGE(""https"&amp;"://docs.google.com/spreadsheets/d/16o_4B-V7AWw_6E93bSpXj_XxVv1oVQctk-B6z1dNEWU/edit?usp=share_link"",""สงขลา!J714"")+IMPORTRANGE(""https://docs.google.com/spreadsheets/d/16cywr71Fj4fA5OGRHsZh30ZG2gwJhMAQv69oVBzYHv0/edit?usp=share_link"",""สตูล!J714"")+IMP"&amp;"ORTRANGE(""https://docs.google.com/spreadsheets/d/1vO9Sws6kMtrVtyvrAJptINXjK8TFBoX9xLYOVK_C8bQ/edit?usp=share_link"",""สุราษฎร์ธานี!J714"")"),0)</f>
        <v>0</v>
      </c>
      <c r="K714" s="38"/>
      <c r="L714" s="764"/>
      <c r="M714" s="189"/>
      <c r="N714" s="764"/>
      <c r="O714" s="38"/>
      <c r="P714" s="3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20.25" customHeight="1">
      <c r="A715" s="742"/>
      <c r="B715" s="575"/>
      <c r="C715" s="575"/>
      <c r="D715" s="575"/>
      <c r="E715" s="575"/>
      <c r="F715" s="576" t="s">
        <v>304</v>
      </c>
      <c r="G715" s="189"/>
      <c r="H715" s="182" t="s">
        <v>35</v>
      </c>
      <c r="I715" s="763"/>
      <c r="J715" s="183">
        <f ca="1">IFERROR(__xludf.DUMMYFUNCTION("IMPORTRANGE(""https://docs.google.com/spreadsheets/d/1kC41EOXpGBFOW658Fs3oD8beYlym0-zO54WY-2Qnp9I/edit?usp=share_link"",""กระบี่!J715"")
+IMPORTRANGE(""https://docs.google.com/spreadsheets/d/1FbzMZY_f3MDiEuK7RpCQKrilJ_kpX0Wm7QBZ1L7EjIU/edit?usp=share_link"&amp;""",""ชุมพร!J715"")+IMPORTRANGE(""https://docs.google.com/spreadsheets/d/1v5sN-00LrXuhBxw4dkh2GrG_z4l5oAqOdJRBCsUyMaM/edit?usp=share_link"",""ตรัง!J715"")+IMPORTRANGE(""https://docs.google.com/spreadsheets/d/1T5rRTzFc79aSIvqnzkZNvwPstq829QYz_xALlO1Z0s8/edi"&amp;"t?usp=share_link"",""นครศรีธรรมราช!J715"")+IMPORTRANGE(""https://docs.google.com/spreadsheets/d/1BeghqumK0IvCmRd2QOy6_afsZq7ZtAGrSnVJy2u7WmY/edit?usp=share_link"",""นราธิวาส!J715"")+IMPORTRANGE(""https://docs.google.com/spreadsheets/d/1IwnW3-jjRf74MCLW-6P"&amp;"iFwMUffRQXZwZA7YM609NmRc/edit?usp=share_link"",""ปัตตานี!J715"")+IMPORTRANGE(""https://docs.google.com/spreadsheets/d/1vl4QWbWdFruual5o_wdo6ZSqXZ_it806oja4CctTLKs/edit?usp=share_link"",""พังงา!J715"")+IMPORTRANGE(""https://docs.google.com/spreadsheets/d/1"&amp;"b6QssHQp2FoAPSMKHOy273KNzAomaIKhtdlvuZ_zDNE/edit?usp=share_link"",""พัทลุง!J715"")+IMPORTRANGE(""https://docs.google.com/spreadsheets/d/1o7UZe4_OqlqtLDHrj01Z2YFRSZDf1DMy1n3XViHaxRc/edit?usp=share_link"",""ภูเก็ต!J715"")+IMPORTRANGE(""https://docs.google.c"&amp;"om/spreadsheets/d/1ctPm1vUzcUCPuOj9-eoHUD85PqINFqUB0TjdSWmR5-c/edit?usp=share_link"",""ยะลา!J715"")+IMPORTRANGE(""https://docs.google.com/spreadsheets/d/1YiDIE7Klmt8osgdapRqYWNr7iPGFSsiJqq46S7PYRE0/edit?usp=share_link"",""ระนอง!J715"")+IMPORTRANGE(""https"&amp;"://docs.google.com/spreadsheets/d/16o_4B-V7AWw_6E93bSpXj_XxVv1oVQctk-B6z1dNEWU/edit?usp=share_link"",""สงขลา!J715"")+IMPORTRANGE(""https://docs.google.com/spreadsheets/d/16cywr71Fj4fA5OGRHsZh30ZG2gwJhMAQv69oVBzYHv0/edit?usp=share_link"",""สตูล!J715"")+IMP"&amp;"ORTRANGE(""https://docs.google.com/spreadsheets/d/1vO9Sws6kMtrVtyvrAJptINXjK8TFBoX9xLYOVK_C8bQ/edit?usp=share_link"",""สุราษฎร์ธานี!J715"")"),0)</f>
        <v>0</v>
      </c>
      <c r="K715" s="38"/>
      <c r="L715" s="764"/>
      <c r="M715" s="189"/>
      <c r="N715" s="764"/>
      <c r="O715" s="38"/>
      <c r="P715" s="3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20.25" customHeight="1">
      <c r="A716" s="742"/>
      <c r="B716" s="575"/>
      <c r="C716" s="575"/>
      <c r="D716" s="575"/>
      <c r="E716" s="575"/>
      <c r="F716" s="575"/>
      <c r="G716" s="189"/>
      <c r="H716" s="182" t="s">
        <v>34</v>
      </c>
      <c r="I716" s="763"/>
      <c r="J716" s="183">
        <f ca="1">IFERROR(__xludf.DUMMYFUNCTION("IMPORTRANGE(""https://docs.google.com/spreadsheets/d/1kC41EOXpGBFOW658Fs3oD8beYlym0-zO54WY-2Qnp9I/edit?usp=share_link"",""กระบี่!J716"")
+IMPORTRANGE(""https://docs.google.com/spreadsheets/d/1FbzMZY_f3MDiEuK7RpCQKrilJ_kpX0Wm7QBZ1L7EjIU/edit?usp=share_link"&amp;""",""ชุมพร!J716"")+IMPORTRANGE(""https://docs.google.com/spreadsheets/d/1v5sN-00LrXuhBxw4dkh2GrG_z4l5oAqOdJRBCsUyMaM/edit?usp=share_link"",""ตรัง!J716"")+IMPORTRANGE(""https://docs.google.com/spreadsheets/d/1T5rRTzFc79aSIvqnzkZNvwPstq829QYz_xALlO1Z0s8/edi"&amp;"t?usp=share_link"",""นครศรีธรรมราช!J716"")+IMPORTRANGE(""https://docs.google.com/spreadsheets/d/1BeghqumK0IvCmRd2QOy6_afsZq7ZtAGrSnVJy2u7WmY/edit?usp=share_link"",""นราธิวาส!J716"")+IMPORTRANGE(""https://docs.google.com/spreadsheets/d/1IwnW3-jjRf74MCLW-6P"&amp;"iFwMUffRQXZwZA7YM609NmRc/edit?usp=share_link"",""ปัตตานี!J716"")+IMPORTRANGE(""https://docs.google.com/spreadsheets/d/1vl4QWbWdFruual5o_wdo6ZSqXZ_it806oja4CctTLKs/edit?usp=share_link"",""พังงา!J716"")+IMPORTRANGE(""https://docs.google.com/spreadsheets/d/1"&amp;"b6QssHQp2FoAPSMKHOy273KNzAomaIKhtdlvuZ_zDNE/edit?usp=share_link"",""พัทลุง!J716"")+IMPORTRANGE(""https://docs.google.com/spreadsheets/d/1o7UZe4_OqlqtLDHrj01Z2YFRSZDf1DMy1n3XViHaxRc/edit?usp=share_link"",""ภูเก็ต!J716"")+IMPORTRANGE(""https://docs.google.c"&amp;"om/spreadsheets/d/1ctPm1vUzcUCPuOj9-eoHUD85PqINFqUB0TjdSWmR5-c/edit?usp=share_link"",""ยะลา!J716"")+IMPORTRANGE(""https://docs.google.com/spreadsheets/d/1YiDIE7Klmt8osgdapRqYWNr7iPGFSsiJqq46S7PYRE0/edit?usp=share_link"",""ระนอง!J716"")+IMPORTRANGE(""https"&amp;"://docs.google.com/spreadsheets/d/16o_4B-V7AWw_6E93bSpXj_XxVv1oVQctk-B6z1dNEWU/edit?usp=share_link"",""สงขลา!J716"")+IMPORTRANGE(""https://docs.google.com/spreadsheets/d/16cywr71Fj4fA5OGRHsZh30ZG2gwJhMAQv69oVBzYHv0/edit?usp=share_link"",""สตูล!J716"")+IMP"&amp;"ORTRANGE(""https://docs.google.com/spreadsheets/d/1vO9Sws6kMtrVtyvrAJptINXjK8TFBoX9xLYOVK_C8bQ/edit?usp=share_link"",""สุราษฎร์ธานี!J716"")"),0)</f>
        <v>0</v>
      </c>
      <c r="K716" s="38"/>
      <c r="L716" s="764"/>
      <c r="M716" s="189"/>
      <c r="N716" s="764"/>
      <c r="O716" s="38"/>
      <c r="P716" s="3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20.25" customHeight="1">
      <c r="A717" s="742"/>
      <c r="B717" s="575"/>
      <c r="C717" s="575"/>
      <c r="D717" s="575"/>
      <c r="E717" s="575"/>
      <c r="F717" s="575"/>
      <c r="G717" s="189"/>
      <c r="H717" s="182" t="s">
        <v>46</v>
      </c>
      <c r="I717" s="763"/>
      <c r="J717" s="183">
        <f ca="1">IFERROR(__xludf.DUMMYFUNCTION("IMPORTRANGE(""https://docs.google.com/spreadsheets/d/1kC41EOXpGBFOW658Fs3oD8beYlym0-zO54WY-2Qnp9I/edit?usp=share_link"",""กระบี่!J717"")
+IMPORTRANGE(""https://docs.google.com/spreadsheets/d/1FbzMZY_f3MDiEuK7RpCQKrilJ_kpX0Wm7QBZ1L7EjIU/edit?usp=share_link"&amp;""",""ชุมพร!J717"")+IMPORTRANGE(""https://docs.google.com/spreadsheets/d/1v5sN-00LrXuhBxw4dkh2GrG_z4l5oAqOdJRBCsUyMaM/edit?usp=share_link"",""ตรัง!J717"")+IMPORTRANGE(""https://docs.google.com/spreadsheets/d/1T5rRTzFc79aSIvqnzkZNvwPstq829QYz_xALlO1Z0s8/edi"&amp;"t?usp=share_link"",""นครศรีธรรมราช!J717"")+IMPORTRANGE(""https://docs.google.com/spreadsheets/d/1BeghqumK0IvCmRd2QOy6_afsZq7ZtAGrSnVJy2u7WmY/edit?usp=share_link"",""นราธิวาส!J717"")+IMPORTRANGE(""https://docs.google.com/spreadsheets/d/1IwnW3-jjRf74MCLW-6P"&amp;"iFwMUffRQXZwZA7YM609NmRc/edit?usp=share_link"",""ปัตตานี!J717"")+IMPORTRANGE(""https://docs.google.com/spreadsheets/d/1vl4QWbWdFruual5o_wdo6ZSqXZ_it806oja4CctTLKs/edit?usp=share_link"",""พังงา!J717"")+IMPORTRANGE(""https://docs.google.com/spreadsheets/d/1"&amp;"b6QssHQp2FoAPSMKHOy273KNzAomaIKhtdlvuZ_zDNE/edit?usp=share_link"",""พัทลุง!J717"")+IMPORTRANGE(""https://docs.google.com/spreadsheets/d/1o7UZe4_OqlqtLDHrj01Z2YFRSZDf1DMy1n3XViHaxRc/edit?usp=share_link"",""ภูเก็ต!J717"")+IMPORTRANGE(""https://docs.google.c"&amp;"om/spreadsheets/d/1ctPm1vUzcUCPuOj9-eoHUD85PqINFqUB0TjdSWmR5-c/edit?usp=share_link"",""ยะลา!J717"")+IMPORTRANGE(""https://docs.google.com/spreadsheets/d/1YiDIE7Klmt8osgdapRqYWNr7iPGFSsiJqq46S7PYRE0/edit?usp=share_link"",""ระนอง!J717"")+IMPORTRANGE(""https"&amp;"://docs.google.com/spreadsheets/d/16o_4B-V7AWw_6E93bSpXj_XxVv1oVQctk-B6z1dNEWU/edit?usp=share_link"",""สงขลา!J717"")+IMPORTRANGE(""https://docs.google.com/spreadsheets/d/16cywr71Fj4fA5OGRHsZh30ZG2gwJhMAQv69oVBzYHv0/edit?usp=share_link"",""สตูล!J717"")+IMP"&amp;"ORTRANGE(""https://docs.google.com/spreadsheets/d/1vO9Sws6kMtrVtyvrAJptINXjK8TFBoX9xLYOVK_C8bQ/edit?usp=share_link"",""สุราษฎร์ธานี!J717"")"),0)</f>
        <v>0</v>
      </c>
      <c r="K717" s="38"/>
      <c r="L717" s="764"/>
      <c r="M717" s="189"/>
      <c r="N717" s="764"/>
      <c r="O717" s="38"/>
      <c r="P717" s="3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20.25" customHeight="1">
      <c r="A718" s="742"/>
      <c r="B718" s="575"/>
      <c r="C718" s="575"/>
      <c r="D718" s="576" t="s">
        <v>305</v>
      </c>
      <c r="E718" s="575"/>
      <c r="F718" s="575"/>
      <c r="G718" s="189"/>
      <c r="H718" s="182" t="s">
        <v>35</v>
      </c>
      <c r="I718" s="763"/>
      <c r="J718" s="37">
        <f ca="1">IFERROR(__xludf.DUMMYFUNCTION("IMPORTRANGE(""https://docs.google.com/spreadsheets/d/1kC41EOXpGBFOW658Fs3oD8beYlym0-zO54WY-2Qnp9I/edit?usp=share_link"",""กระบี่!J718"")
+IMPORTRANGE(""https://docs.google.com/spreadsheets/d/1FbzMZY_f3MDiEuK7RpCQKrilJ_kpX0Wm7QBZ1L7EjIU/edit?usp=share_link"&amp;""",""ชุมพร!J718"")+IMPORTRANGE(""https://docs.google.com/spreadsheets/d/1v5sN-00LrXuhBxw4dkh2GrG_z4l5oAqOdJRBCsUyMaM/edit?usp=share_link"",""ตรัง!J718"")+IMPORTRANGE(""https://docs.google.com/spreadsheets/d/1T5rRTzFc79aSIvqnzkZNvwPstq829QYz_xALlO1Z0s8/edi"&amp;"t?usp=share_link"",""นครศรีธรรมราช!J718"")+IMPORTRANGE(""https://docs.google.com/spreadsheets/d/1BeghqumK0IvCmRd2QOy6_afsZq7ZtAGrSnVJy2u7WmY/edit?usp=share_link"",""นราธิวาส!J718"")+IMPORTRANGE(""https://docs.google.com/spreadsheets/d/1IwnW3-jjRf74MCLW-6P"&amp;"iFwMUffRQXZwZA7YM609NmRc/edit?usp=share_link"",""ปัตตานี!J718"")+IMPORTRANGE(""https://docs.google.com/spreadsheets/d/1vl4QWbWdFruual5o_wdo6ZSqXZ_it806oja4CctTLKs/edit?usp=share_link"",""พังงา!J718"")+IMPORTRANGE(""https://docs.google.com/spreadsheets/d/1"&amp;"b6QssHQp2FoAPSMKHOy273KNzAomaIKhtdlvuZ_zDNE/edit?usp=share_link"",""พัทลุง!J718"")+IMPORTRANGE(""https://docs.google.com/spreadsheets/d/1o7UZe4_OqlqtLDHrj01Z2YFRSZDf1DMy1n3XViHaxRc/edit?usp=share_link"",""ภูเก็ต!J718"")+IMPORTRANGE(""https://docs.google.c"&amp;"om/spreadsheets/d/1ctPm1vUzcUCPuOj9-eoHUD85PqINFqUB0TjdSWmR5-c/edit?usp=share_link"",""ยะลา!J718"")+IMPORTRANGE(""https://docs.google.com/spreadsheets/d/1YiDIE7Klmt8osgdapRqYWNr7iPGFSsiJqq46S7PYRE0/edit?usp=share_link"",""ระนอง!J718"")+IMPORTRANGE(""https"&amp;"://docs.google.com/spreadsheets/d/16o_4B-V7AWw_6E93bSpXj_XxVv1oVQctk-B6z1dNEWU/edit?usp=share_link"",""สงขลา!J718"")+IMPORTRANGE(""https://docs.google.com/spreadsheets/d/16cywr71Fj4fA5OGRHsZh30ZG2gwJhMAQv69oVBzYHv0/edit?usp=share_link"",""สตูล!J718"")+IMP"&amp;"ORTRANGE(""https://docs.google.com/spreadsheets/d/1vO9Sws6kMtrVtyvrAJptINXjK8TFBoX9xLYOVK_C8bQ/edit?usp=share_link"",""สุราษฎร์ธานี!J718"")"),0)</f>
        <v>0</v>
      </c>
      <c r="K718" s="38"/>
      <c r="L718" s="38"/>
      <c r="M718" s="189"/>
      <c r="N718" s="764"/>
      <c r="O718" s="38"/>
      <c r="P718" s="3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20.25" customHeight="1">
      <c r="A719" s="742"/>
      <c r="B719" s="575"/>
      <c r="C719" s="575"/>
      <c r="D719" s="575"/>
      <c r="E719" s="575"/>
      <c r="F719" s="575"/>
      <c r="G719" s="189"/>
      <c r="H719" s="182" t="s">
        <v>34</v>
      </c>
      <c r="I719" s="763"/>
      <c r="J719" s="37">
        <f ca="1">IFERROR(__xludf.DUMMYFUNCTION("IMPORTRANGE(""https://docs.google.com/spreadsheets/d/1kC41EOXpGBFOW658Fs3oD8beYlym0-zO54WY-2Qnp9I/edit?usp=share_link"",""กระบี่!J719"")
+IMPORTRANGE(""https://docs.google.com/spreadsheets/d/1FbzMZY_f3MDiEuK7RpCQKrilJ_kpX0Wm7QBZ1L7EjIU/edit?usp=share_link"&amp;""",""ชุมพร!J719"")+IMPORTRANGE(""https://docs.google.com/spreadsheets/d/1v5sN-00LrXuhBxw4dkh2GrG_z4l5oAqOdJRBCsUyMaM/edit?usp=share_link"",""ตรัง!J719"")+IMPORTRANGE(""https://docs.google.com/spreadsheets/d/1T5rRTzFc79aSIvqnzkZNvwPstq829QYz_xALlO1Z0s8/edi"&amp;"t?usp=share_link"",""นครศรีธรรมราช!J719"")+IMPORTRANGE(""https://docs.google.com/spreadsheets/d/1BeghqumK0IvCmRd2QOy6_afsZq7ZtAGrSnVJy2u7WmY/edit?usp=share_link"",""นราธิวาส!J719"")+IMPORTRANGE(""https://docs.google.com/spreadsheets/d/1IwnW3-jjRf74MCLW-6P"&amp;"iFwMUffRQXZwZA7YM609NmRc/edit?usp=share_link"",""ปัตตานี!J719"")+IMPORTRANGE(""https://docs.google.com/spreadsheets/d/1vl4QWbWdFruual5o_wdo6ZSqXZ_it806oja4CctTLKs/edit?usp=share_link"",""พังงา!J719"")+IMPORTRANGE(""https://docs.google.com/spreadsheets/d/1"&amp;"b6QssHQp2FoAPSMKHOy273KNzAomaIKhtdlvuZ_zDNE/edit?usp=share_link"",""พัทลุง!J719"")+IMPORTRANGE(""https://docs.google.com/spreadsheets/d/1o7UZe4_OqlqtLDHrj01Z2YFRSZDf1DMy1n3XViHaxRc/edit?usp=share_link"",""ภูเก็ต!J719"")+IMPORTRANGE(""https://docs.google.c"&amp;"om/spreadsheets/d/1ctPm1vUzcUCPuOj9-eoHUD85PqINFqUB0TjdSWmR5-c/edit?usp=share_link"",""ยะลา!J719"")+IMPORTRANGE(""https://docs.google.com/spreadsheets/d/1YiDIE7Klmt8osgdapRqYWNr7iPGFSsiJqq46S7PYRE0/edit?usp=share_link"",""ระนอง!J719"")+IMPORTRANGE(""https"&amp;"://docs.google.com/spreadsheets/d/16o_4B-V7AWw_6E93bSpXj_XxVv1oVQctk-B6z1dNEWU/edit?usp=share_link"",""สงขลา!J719"")+IMPORTRANGE(""https://docs.google.com/spreadsheets/d/16cywr71Fj4fA5OGRHsZh30ZG2gwJhMAQv69oVBzYHv0/edit?usp=share_link"",""สตูล!J719"")+IMP"&amp;"ORTRANGE(""https://docs.google.com/spreadsheets/d/1vO9Sws6kMtrVtyvrAJptINXjK8TFBoX9xLYOVK_C8bQ/edit?usp=share_link"",""สุราษฎร์ธานี!J719"")"),0)</f>
        <v>0</v>
      </c>
      <c r="K719" s="38"/>
      <c r="L719" s="764"/>
      <c r="M719" s="189"/>
      <c r="N719" s="764"/>
      <c r="O719" s="38"/>
      <c r="P719" s="3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20.25" customHeight="1">
      <c r="A720" s="742"/>
      <c r="B720" s="575"/>
      <c r="C720" s="575"/>
      <c r="D720" s="575"/>
      <c r="E720" s="575"/>
      <c r="F720" s="575"/>
      <c r="G720" s="189"/>
      <c r="H720" s="182" t="s">
        <v>46</v>
      </c>
      <c r="I720" s="763">
        <f ca="1">IFERROR(__xludf.DUMMYFUNCTION("IMPORTRANGE(""https://docs.google.com/spreadsheets/d/1kC41EOXpGBFOW658Fs3oD8beYlym0-zO54WY-2Qnp9I/edit?usp=share_link"",""กระบี่!I720"")
+IMPORTRANGE(""https://docs.google.com/spreadsheets/d/1FbzMZY_f3MDiEuK7RpCQKrilJ_kpX0Wm7QBZ1L7EjIU/edit?usp=share_link"&amp;""",""ชุมพร!I720"")+IMPORTRANGE(""https://docs.google.com/spreadsheets/d/1v5sN-00LrXuhBxw4dkh2GrG_z4l5oAqOdJRBCsUyMaM/edit?usp=share_link"",""ตรัง!I720"")+IMPORTRANGE(""https://docs.google.com/spreadsheets/d/1T5rRTzFc79aSIvqnzkZNvwPstq829QYz_xALlO1Z0s8/edi"&amp;"t?usp=share_link"",""นครศรีธรรมราช!I720"")+IMPORTRANGE(""https://docs.google.com/spreadsheets/d/1BeghqumK0IvCmRd2QOy6_afsZq7ZtAGrSnVJy2u7WmY/edit?usp=share_link"",""นราธิวาส!I720"")+IMPORTRANGE(""https://docs.google.com/spreadsheets/d/1IwnW3-jjRf74MCLW-6P"&amp;"iFwMUffRQXZwZA7YM609NmRc/edit?usp=share_link"",""ปัตตานี!I720"")+IMPORTRANGE(""https://docs.google.com/spreadsheets/d/1vl4QWbWdFruual5o_wdo6ZSqXZ_it806oja4CctTLKs/edit?usp=share_link"",""พังงา!I720"")+IMPORTRANGE(""https://docs.google.com/spreadsheets/d/1"&amp;"b6QssHQp2FoAPSMKHOy273KNzAomaIKhtdlvuZ_zDNE/edit?usp=share_link"",""พัทลุง!I720"")+IMPORTRANGE(""https://docs.google.com/spreadsheets/d/1o7UZe4_OqlqtLDHrj01Z2YFRSZDf1DMy1n3XViHaxRc/edit?usp=share_link"",""ภูเก็ต!I720"")+IMPORTRANGE(""https://docs.google.c"&amp;"om/spreadsheets/d/1ctPm1vUzcUCPuOj9-eoHUD85PqINFqUB0TjdSWmR5-c/edit?usp=share_link"",""ยะลา!I720"")+IMPORTRANGE(""https://docs.google.com/spreadsheets/d/1YiDIE7Klmt8osgdapRqYWNr7iPGFSsiJqq46S7PYRE0/edit?usp=share_link"",""ระนอง!I720"")+IMPORTRANGE(""https"&amp;"://docs.google.com/spreadsheets/d/16o_4B-V7AWw_6E93bSpXj_XxVv1oVQctk-B6z1dNEWU/edit?usp=share_link"",""สงขลา!I720"")+IMPORTRANGE(""https://docs.google.com/spreadsheets/d/16cywr71Fj4fA5OGRHsZh30ZG2gwJhMAQv69oVBzYHv0/edit?usp=share_link"",""สตูล!I720"")+IMP"&amp;"ORTRANGE(""https://docs.google.com/spreadsheets/d/1vO9Sws6kMtrVtyvrAJptINXjK8TFBoX9xLYOVK_C8bQ/edit?usp=share_link"",""สุราษฎร์ธานี!I720"")"),0)</f>
        <v>0</v>
      </c>
      <c r="J720" s="37">
        <f ca="1">IFERROR(__xludf.DUMMYFUNCTION("IMPORTRANGE(""https://docs.google.com/spreadsheets/d/1kC41EOXpGBFOW658Fs3oD8beYlym0-zO54WY-2Qnp9I/edit?usp=share_link"",""กระบี่!J720"")
+IMPORTRANGE(""https://docs.google.com/spreadsheets/d/1FbzMZY_f3MDiEuK7RpCQKrilJ_kpX0Wm7QBZ1L7EjIU/edit?usp=share_link"&amp;""",""ชุมพร!J720"")+IMPORTRANGE(""https://docs.google.com/spreadsheets/d/1v5sN-00LrXuhBxw4dkh2GrG_z4l5oAqOdJRBCsUyMaM/edit?usp=share_link"",""ตรัง!J720"")+IMPORTRANGE(""https://docs.google.com/spreadsheets/d/1T5rRTzFc79aSIvqnzkZNvwPstq829QYz_xALlO1Z0s8/edi"&amp;"t?usp=share_link"",""นครศรีธรรมราช!J720"")+IMPORTRANGE(""https://docs.google.com/spreadsheets/d/1BeghqumK0IvCmRd2QOy6_afsZq7ZtAGrSnVJy2u7WmY/edit?usp=share_link"",""นราธิวาส!J720"")+IMPORTRANGE(""https://docs.google.com/spreadsheets/d/1IwnW3-jjRf74MCLW-6P"&amp;"iFwMUffRQXZwZA7YM609NmRc/edit?usp=share_link"",""ปัตตานี!J720"")+IMPORTRANGE(""https://docs.google.com/spreadsheets/d/1vl4QWbWdFruual5o_wdo6ZSqXZ_it806oja4CctTLKs/edit?usp=share_link"",""พังงา!J720"")+IMPORTRANGE(""https://docs.google.com/spreadsheets/d/1"&amp;"b6QssHQp2FoAPSMKHOy273KNzAomaIKhtdlvuZ_zDNE/edit?usp=share_link"",""พัทลุง!J720"")+IMPORTRANGE(""https://docs.google.com/spreadsheets/d/1o7UZe4_OqlqtLDHrj01Z2YFRSZDf1DMy1n3XViHaxRc/edit?usp=share_link"",""ภูเก็ต!J720"")+IMPORTRANGE(""https://docs.google.c"&amp;"om/spreadsheets/d/1ctPm1vUzcUCPuOj9-eoHUD85PqINFqUB0TjdSWmR5-c/edit?usp=share_link"",""ยะลา!J720"")+IMPORTRANGE(""https://docs.google.com/spreadsheets/d/1YiDIE7Klmt8osgdapRqYWNr7iPGFSsiJqq46S7PYRE0/edit?usp=share_link"",""ระนอง!J720"")+IMPORTRANGE(""https"&amp;"://docs.google.com/spreadsheets/d/16o_4B-V7AWw_6E93bSpXj_XxVv1oVQctk-B6z1dNEWU/edit?usp=share_link"",""สงขลา!J720"")+IMPORTRANGE(""https://docs.google.com/spreadsheets/d/16cywr71Fj4fA5OGRHsZh30ZG2gwJhMAQv69oVBzYHv0/edit?usp=share_link"",""สตูล!J720"")+IMP"&amp;"ORTRANGE(""https://docs.google.com/spreadsheets/d/1vO9Sws6kMtrVtyvrAJptINXjK8TFBoX9xLYOVK_C8bQ/edit?usp=share_link"",""สุราษฎร์ธานี!J720"")"),0)</f>
        <v>0</v>
      </c>
      <c r="K720" s="38">
        <f t="shared" ref="K720:K723" ca="1" si="330">IF(I720&gt;0,J720*100/I720,0)</f>
        <v>0</v>
      </c>
      <c r="L720" s="764"/>
      <c r="M720" s="189"/>
      <c r="N720" s="764"/>
      <c r="O720" s="38"/>
      <c r="P720" s="3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20.25" customHeight="1">
      <c r="A721" s="742"/>
      <c r="B721" s="575"/>
      <c r="C721" s="575"/>
      <c r="D721" s="576" t="s">
        <v>306</v>
      </c>
      <c r="E721" s="575"/>
      <c r="F721" s="575"/>
      <c r="G721" s="189"/>
      <c r="H721" s="750" t="s">
        <v>35</v>
      </c>
      <c r="I721" s="766">
        <f ca="1">IFERROR(__xludf.DUMMYFUNCTION("IMPORTRANGE(""https://docs.google.com/spreadsheets/d/1kC41EOXpGBFOW658Fs3oD8beYlym0-zO54WY-2Qnp9I/edit?usp=share_link"",""กระบี่!I721"")
+IMPORTRANGE(""https://docs.google.com/spreadsheets/d/1FbzMZY_f3MDiEuK7RpCQKrilJ_kpX0Wm7QBZ1L7EjIU/edit?usp=share_link"&amp;""",""ชุมพร!I721"")+IMPORTRANGE(""https://docs.google.com/spreadsheets/d/1v5sN-00LrXuhBxw4dkh2GrG_z4l5oAqOdJRBCsUyMaM/edit?usp=share_link"",""ตรัง!I721"")+IMPORTRANGE(""https://docs.google.com/spreadsheets/d/1T5rRTzFc79aSIvqnzkZNvwPstq829QYz_xALlO1Z0s8/edi"&amp;"t?usp=share_link"",""นครศรีธรรมราช!I721"")+IMPORTRANGE(""https://docs.google.com/spreadsheets/d/1BeghqumK0IvCmRd2QOy6_afsZq7ZtAGrSnVJy2u7WmY/edit?usp=share_link"",""นราธิวาส!I721"")+IMPORTRANGE(""https://docs.google.com/spreadsheets/d/1IwnW3-jjRf74MCLW-6P"&amp;"iFwMUffRQXZwZA7YM609NmRc/edit?usp=share_link"",""ปัตตานี!I721"")+IMPORTRANGE(""https://docs.google.com/spreadsheets/d/1vl4QWbWdFruual5o_wdo6ZSqXZ_it806oja4CctTLKs/edit?usp=share_link"",""พังงา!I721"")+IMPORTRANGE(""https://docs.google.com/spreadsheets/d/1"&amp;"b6QssHQp2FoAPSMKHOy273KNzAomaIKhtdlvuZ_zDNE/edit?usp=share_link"",""พัทลุง!I721"")+IMPORTRANGE(""https://docs.google.com/spreadsheets/d/1o7UZe4_OqlqtLDHrj01Z2YFRSZDf1DMy1n3XViHaxRc/edit?usp=share_link"",""ภูเก็ต!I721"")+IMPORTRANGE(""https://docs.google.c"&amp;"om/spreadsheets/d/1ctPm1vUzcUCPuOj9-eoHUD85PqINFqUB0TjdSWmR5-c/edit?usp=share_link"",""ยะลา!I721"")+IMPORTRANGE(""https://docs.google.com/spreadsheets/d/1YiDIE7Klmt8osgdapRqYWNr7iPGFSsiJqq46S7PYRE0/edit?usp=share_link"",""ระนอง!I721"")+IMPORTRANGE(""https"&amp;"://docs.google.com/spreadsheets/d/16o_4B-V7AWw_6E93bSpXj_XxVv1oVQctk-B6z1dNEWU/edit?usp=share_link"",""สงขลา!I721"")+IMPORTRANGE(""https://docs.google.com/spreadsheets/d/16cywr71Fj4fA5OGRHsZh30ZG2gwJhMAQv69oVBzYHv0/edit?usp=share_link"",""สตูล!I721"")+IMP"&amp;"ORTRANGE(""https://docs.google.com/spreadsheets/d/1vO9Sws6kMtrVtyvrAJptINXjK8TFBoX9xLYOVK_C8bQ/edit?usp=share_link"",""สุราษฎร์ธานี!I721"")"),87)</f>
        <v>87</v>
      </c>
      <c r="J721" s="194">
        <f ca="1">J723+J726</f>
        <v>0</v>
      </c>
      <c r="K721" s="195">
        <f t="shared" ca="1" si="330"/>
        <v>0</v>
      </c>
      <c r="L721" s="764"/>
      <c r="M721" s="189"/>
      <c r="N721" s="764"/>
      <c r="O721" s="38"/>
      <c r="P721" s="3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20.25" customHeight="1">
      <c r="A722" s="742"/>
      <c r="B722" s="575"/>
      <c r="C722" s="575"/>
      <c r="D722" s="575"/>
      <c r="E722" s="576"/>
      <c r="F722" s="575"/>
      <c r="G722" s="189"/>
      <c r="H722" s="750" t="s">
        <v>46</v>
      </c>
      <c r="I722" s="766">
        <f ca="1">IFERROR(__xludf.DUMMYFUNCTION("IMPORTRANGE(""https://docs.google.com/spreadsheets/d/1kC41EOXpGBFOW658Fs3oD8beYlym0-zO54WY-2Qnp9I/edit?usp=share_link"",""กระบี่!I722"")
+IMPORTRANGE(""https://docs.google.com/spreadsheets/d/1FbzMZY_f3MDiEuK7RpCQKrilJ_kpX0Wm7QBZ1L7EjIU/edit?usp=share_link"&amp;""",""ชุมพร!I722"")+IMPORTRANGE(""https://docs.google.com/spreadsheets/d/1v5sN-00LrXuhBxw4dkh2GrG_z4l5oAqOdJRBCsUyMaM/edit?usp=share_link"",""ตรัง!I722"")+IMPORTRANGE(""https://docs.google.com/spreadsheets/d/1T5rRTzFc79aSIvqnzkZNvwPstq829QYz_xALlO1Z0s8/edi"&amp;"t?usp=share_link"",""นครศรีธรรมราช!I722"")+IMPORTRANGE(""https://docs.google.com/spreadsheets/d/1BeghqumK0IvCmRd2QOy6_afsZq7ZtAGrSnVJy2u7WmY/edit?usp=share_link"",""นราธิวาส!I722"")+IMPORTRANGE(""https://docs.google.com/spreadsheets/d/1IwnW3-jjRf74MCLW-6P"&amp;"iFwMUffRQXZwZA7YM609NmRc/edit?usp=share_link"",""ปัตตานี!I722"")+IMPORTRANGE(""https://docs.google.com/spreadsheets/d/1vl4QWbWdFruual5o_wdo6ZSqXZ_it806oja4CctTLKs/edit?usp=share_link"",""พังงา!I722"")+IMPORTRANGE(""https://docs.google.com/spreadsheets/d/1"&amp;"b6QssHQp2FoAPSMKHOy273KNzAomaIKhtdlvuZ_zDNE/edit?usp=share_link"",""พัทลุง!I722"")+IMPORTRANGE(""https://docs.google.com/spreadsheets/d/1o7UZe4_OqlqtLDHrj01Z2YFRSZDf1DMy1n3XViHaxRc/edit?usp=share_link"",""ภูเก็ต!I722"")+IMPORTRANGE(""https://docs.google.c"&amp;"om/spreadsheets/d/1ctPm1vUzcUCPuOj9-eoHUD85PqINFqUB0TjdSWmR5-c/edit?usp=share_link"",""ยะลา!I722"")+IMPORTRANGE(""https://docs.google.com/spreadsheets/d/1YiDIE7Klmt8osgdapRqYWNr7iPGFSsiJqq46S7PYRE0/edit?usp=share_link"",""ระนอง!I722"")+IMPORTRANGE(""https"&amp;"://docs.google.com/spreadsheets/d/16o_4B-V7AWw_6E93bSpXj_XxVv1oVQctk-B6z1dNEWU/edit?usp=share_link"",""สงขลา!I722"")+IMPORTRANGE(""https://docs.google.com/spreadsheets/d/16cywr71Fj4fA5OGRHsZh30ZG2gwJhMAQv69oVBzYHv0/edit?usp=share_link"",""สตูล!I722"")+IMP"&amp;"ORTRANGE(""https://docs.google.com/spreadsheets/d/1vO9Sws6kMtrVtyvrAJptINXjK8TFBoX9xLYOVK_C8bQ/edit?usp=share_link"",""สุราษฎร์ธานี!I722"")"),332)</f>
        <v>332</v>
      </c>
      <c r="J722" s="194">
        <f ca="1">J725+J728</f>
        <v>0</v>
      </c>
      <c r="K722" s="195">
        <f t="shared" ca="1" si="330"/>
        <v>0</v>
      </c>
      <c r="L722" s="38"/>
      <c r="M722" s="189"/>
      <c r="N722" s="764"/>
      <c r="O722" s="38"/>
      <c r="P722" s="3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20.25" customHeight="1">
      <c r="A723" s="742"/>
      <c r="B723" s="575"/>
      <c r="C723" s="575"/>
      <c r="D723" s="575"/>
      <c r="E723" s="576" t="s">
        <v>307</v>
      </c>
      <c r="F723" s="575"/>
      <c r="G723" s="189"/>
      <c r="H723" s="182" t="s">
        <v>35</v>
      </c>
      <c r="I723" s="763">
        <f ca="1">IFERROR(__xludf.DUMMYFUNCTION("IMPORTRANGE(""https://docs.google.com/spreadsheets/d/1kC41EOXpGBFOW658Fs3oD8beYlym0-zO54WY-2Qnp9I/edit?usp=share_link"",""กระบี่!I723"")
+IMPORTRANGE(""https://docs.google.com/spreadsheets/d/1FbzMZY_f3MDiEuK7RpCQKrilJ_kpX0Wm7QBZ1L7EjIU/edit?usp=share_link"&amp;""",""ชุมพร!I723"")+IMPORTRANGE(""https://docs.google.com/spreadsheets/d/1v5sN-00LrXuhBxw4dkh2GrG_z4l5oAqOdJRBCsUyMaM/edit?usp=share_link"",""ตรัง!I723"")+IMPORTRANGE(""https://docs.google.com/spreadsheets/d/1T5rRTzFc79aSIvqnzkZNvwPstq829QYz_xALlO1Z0s8/edi"&amp;"t?usp=share_link"",""นครศรีธรรมราช!I723"")+IMPORTRANGE(""https://docs.google.com/spreadsheets/d/1BeghqumK0IvCmRd2QOy6_afsZq7ZtAGrSnVJy2u7WmY/edit?usp=share_link"",""นราธิวาส!I723"")+IMPORTRANGE(""https://docs.google.com/spreadsheets/d/1IwnW3-jjRf74MCLW-6P"&amp;"iFwMUffRQXZwZA7YM609NmRc/edit?usp=share_link"",""ปัตตานี!I723"")+IMPORTRANGE(""https://docs.google.com/spreadsheets/d/1vl4QWbWdFruual5o_wdo6ZSqXZ_it806oja4CctTLKs/edit?usp=share_link"",""พังงา!I723"")+IMPORTRANGE(""https://docs.google.com/spreadsheets/d/1"&amp;"b6QssHQp2FoAPSMKHOy273KNzAomaIKhtdlvuZ_zDNE/edit?usp=share_link"",""พัทลุง!I723"")+IMPORTRANGE(""https://docs.google.com/spreadsheets/d/1o7UZe4_OqlqtLDHrj01Z2YFRSZDf1DMy1n3XViHaxRc/edit?usp=share_link"",""ภูเก็ต!I723"")+IMPORTRANGE(""https://docs.google.c"&amp;"om/spreadsheets/d/1ctPm1vUzcUCPuOj9-eoHUD85PqINFqUB0TjdSWmR5-c/edit?usp=share_link"",""ยะลา!I723"")+IMPORTRANGE(""https://docs.google.com/spreadsheets/d/1YiDIE7Klmt8osgdapRqYWNr7iPGFSsiJqq46S7PYRE0/edit?usp=share_link"",""ระนอง!I723"")+IMPORTRANGE(""https"&amp;"://docs.google.com/spreadsheets/d/16o_4B-V7AWw_6E93bSpXj_XxVv1oVQctk-B6z1dNEWU/edit?usp=share_link"",""สงขลา!I723"")+IMPORTRANGE(""https://docs.google.com/spreadsheets/d/16cywr71Fj4fA5OGRHsZh30ZG2gwJhMAQv69oVBzYHv0/edit?usp=share_link"",""สตูล!I723"")+IMP"&amp;"ORTRANGE(""https://docs.google.com/spreadsheets/d/1vO9Sws6kMtrVtyvrAJptINXjK8TFBoX9xLYOVK_C8bQ/edit?usp=share_link"",""สุราษฎร์ธานี!I723"")"),50)</f>
        <v>50</v>
      </c>
      <c r="J723" s="37">
        <f ca="1">IFERROR(__xludf.DUMMYFUNCTION("IMPORTRANGE(""https://docs.google.com/spreadsheets/d/1kC41EOXpGBFOW658Fs3oD8beYlym0-zO54WY-2Qnp9I/edit?usp=share_link"",""กระบี่!J723"")
+IMPORTRANGE(""https://docs.google.com/spreadsheets/d/1FbzMZY_f3MDiEuK7RpCQKrilJ_kpX0Wm7QBZ1L7EjIU/edit?usp=share_link"&amp;""",""ชุมพร!J723"")+IMPORTRANGE(""https://docs.google.com/spreadsheets/d/1v5sN-00LrXuhBxw4dkh2GrG_z4l5oAqOdJRBCsUyMaM/edit?usp=share_link"",""ตรัง!J723"")+IMPORTRANGE(""https://docs.google.com/spreadsheets/d/1T5rRTzFc79aSIvqnzkZNvwPstq829QYz_xALlO1Z0s8/edi"&amp;"t?usp=share_link"",""นครศรีธรรมราช!J723"")+IMPORTRANGE(""https://docs.google.com/spreadsheets/d/1BeghqumK0IvCmRd2QOy6_afsZq7ZtAGrSnVJy2u7WmY/edit?usp=share_link"",""นราธิวาส!J723"")+IMPORTRANGE(""https://docs.google.com/spreadsheets/d/1IwnW3-jjRf74MCLW-6P"&amp;"iFwMUffRQXZwZA7YM609NmRc/edit?usp=share_link"",""ปัตตานี!J723"")+IMPORTRANGE(""https://docs.google.com/spreadsheets/d/1vl4QWbWdFruual5o_wdo6ZSqXZ_it806oja4CctTLKs/edit?usp=share_link"",""พังงา!J723"")+IMPORTRANGE(""https://docs.google.com/spreadsheets/d/1"&amp;"b6QssHQp2FoAPSMKHOy273KNzAomaIKhtdlvuZ_zDNE/edit?usp=share_link"",""พัทลุง!J723"")+IMPORTRANGE(""https://docs.google.com/spreadsheets/d/1o7UZe4_OqlqtLDHrj01Z2YFRSZDf1DMy1n3XViHaxRc/edit?usp=share_link"",""ภูเก็ต!J723"")+IMPORTRANGE(""https://docs.google.c"&amp;"om/spreadsheets/d/1ctPm1vUzcUCPuOj9-eoHUD85PqINFqUB0TjdSWmR5-c/edit?usp=share_link"",""ยะลา!J723"")+IMPORTRANGE(""https://docs.google.com/spreadsheets/d/1YiDIE7Klmt8osgdapRqYWNr7iPGFSsiJqq46S7PYRE0/edit?usp=share_link"",""ระนอง!J723"")+IMPORTRANGE(""https"&amp;"://docs.google.com/spreadsheets/d/16o_4B-V7AWw_6E93bSpXj_XxVv1oVQctk-B6z1dNEWU/edit?usp=share_link"",""สงขลา!J723"")+IMPORTRANGE(""https://docs.google.com/spreadsheets/d/16cywr71Fj4fA5OGRHsZh30ZG2gwJhMAQv69oVBzYHv0/edit?usp=share_link"",""สตูล!J723"")+IMP"&amp;"ORTRANGE(""https://docs.google.com/spreadsheets/d/1vO9Sws6kMtrVtyvrAJptINXjK8TFBoX9xLYOVK_C8bQ/edit?usp=share_link"",""สุราษฎร์ธานี!J723"")"),0)</f>
        <v>0</v>
      </c>
      <c r="K723" s="38">
        <f t="shared" ca="1" si="330"/>
        <v>0</v>
      </c>
      <c r="L723" s="38"/>
      <c r="M723" s="189"/>
      <c r="N723" s="764"/>
      <c r="O723" s="38"/>
      <c r="P723" s="3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20.25" customHeight="1">
      <c r="A724" s="742"/>
      <c r="B724" s="575"/>
      <c r="C724" s="575"/>
      <c r="D724" s="575"/>
      <c r="E724" s="575"/>
      <c r="F724" s="575"/>
      <c r="G724" s="189"/>
      <c r="H724" s="182" t="s">
        <v>34</v>
      </c>
      <c r="I724" s="763"/>
      <c r="J724" s="37">
        <f ca="1">IFERROR(__xludf.DUMMYFUNCTION("IMPORTRANGE(""https://docs.google.com/spreadsheets/d/1kC41EOXpGBFOW658Fs3oD8beYlym0-zO54WY-2Qnp9I/edit?usp=share_link"",""กระบี่!J724"")
+IMPORTRANGE(""https://docs.google.com/spreadsheets/d/1FbzMZY_f3MDiEuK7RpCQKrilJ_kpX0Wm7QBZ1L7EjIU/edit?usp=share_link"&amp;""",""ชุมพร!J724"")+IMPORTRANGE(""https://docs.google.com/spreadsheets/d/1v5sN-00LrXuhBxw4dkh2GrG_z4l5oAqOdJRBCsUyMaM/edit?usp=share_link"",""ตรัง!J724"")+IMPORTRANGE(""https://docs.google.com/spreadsheets/d/1T5rRTzFc79aSIvqnzkZNvwPstq829QYz_xALlO1Z0s8/edi"&amp;"t?usp=share_link"",""นครศรีธรรมราช!J724"")+IMPORTRANGE(""https://docs.google.com/spreadsheets/d/1BeghqumK0IvCmRd2QOy6_afsZq7ZtAGrSnVJy2u7WmY/edit?usp=share_link"",""นราธิวาส!J724"")+IMPORTRANGE(""https://docs.google.com/spreadsheets/d/1IwnW3-jjRf74MCLW-6P"&amp;"iFwMUffRQXZwZA7YM609NmRc/edit?usp=share_link"",""ปัตตานี!J724"")+IMPORTRANGE(""https://docs.google.com/spreadsheets/d/1vl4QWbWdFruual5o_wdo6ZSqXZ_it806oja4CctTLKs/edit?usp=share_link"",""พังงา!J724"")+IMPORTRANGE(""https://docs.google.com/spreadsheets/d/1"&amp;"b6QssHQp2FoAPSMKHOy273KNzAomaIKhtdlvuZ_zDNE/edit?usp=share_link"",""พัทลุง!J724"")+IMPORTRANGE(""https://docs.google.com/spreadsheets/d/1o7UZe4_OqlqtLDHrj01Z2YFRSZDf1DMy1n3XViHaxRc/edit?usp=share_link"",""ภูเก็ต!J724"")+IMPORTRANGE(""https://docs.google.c"&amp;"om/spreadsheets/d/1ctPm1vUzcUCPuOj9-eoHUD85PqINFqUB0TjdSWmR5-c/edit?usp=share_link"",""ยะลา!J724"")+IMPORTRANGE(""https://docs.google.com/spreadsheets/d/1YiDIE7Klmt8osgdapRqYWNr7iPGFSsiJqq46S7PYRE0/edit?usp=share_link"",""ระนอง!J724"")+IMPORTRANGE(""https"&amp;"://docs.google.com/spreadsheets/d/16o_4B-V7AWw_6E93bSpXj_XxVv1oVQctk-B6z1dNEWU/edit?usp=share_link"",""สงขลา!J724"")+IMPORTRANGE(""https://docs.google.com/spreadsheets/d/16cywr71Fj4fA5OGRHsZh30ZG2gwJhMAQv69oVBzYHv0/edit?usp=share_link"",""สตูล!J724"")+IMP"&amp;"ORTRANGE(""https://docs.google.com/spreadsheets/d/1vO9Sws6kMtrVtyvrAJptINXjK8TFBoX9xLYOVK_C8bQ/edit?usp=share_link"",""สุราษฎร์ธานี!J724"")"),0)</f>
        <v>0</v>
      </c>
      <c r="K724" s="38"/>
      <c r="L724" s="764"/>
      <c r="M724" s="189"/>
      <c r="N724" s="764"/>
      <c r="O724" s="38"/>
      <c r="P724" s="3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20.25" customHeight="1">
      <c r="A725" s="742"/>
      <c r="B725" s="575"/>
      <c r="C725" s="575"/>
      <c r="D725" s="575"/>
      <c r="E725" s="575"/>
      <c r="F725" s="575"/>
      <c r="G725" s="189"/>
      <c r="H725" s="182" t="s">
        <v>46</v>
      </c>
      <c r="I725" s="763">
        <f ca="1">IFERROR(__xludf.DUMMYFUNCTION("IMPORTRANGE(""https://docs.google.com/spreadsheets/d/1kC41EOXpGBFOW658Fs3oD8beYlym0-zO54WY-2Qnp9I/edit?usp=share_link"",""กระบี่!I725"")
+IMPORTRANGE(""https://docs.google.com/spreadsheets/d/1FbzMZY_f3MDiEuK7RpCQKrilJ_kpX0Wm7QBZ1L7EjIU/edit?usp=share_link"&amp;""",""ชุมพร!I725"")+IMPORTRANGE(""https://docs.google.com/spreadsheets/d/1v5sN-00LrXuhBxw4dkh2GrG_z4l5oAqOdJRBCsUyMaM/edit?usp=share_link"",""ตรัง!I725"")+IMPORTRANGE(""https://docs.google.com/spreadsheets/d/1T5rRTzFc79aSIvqnzkZNvwPstq829QYz_xALlO1Z0s8/edi"&amp;"t?usp=share_link"",""นครศรีธรรมราช!I725"")+IMPORTRANGE(""https://docs.google.com/spreadsheets/d/1BeghqumK0IvCmRd2QOy6_afsZq7ZtAGrSnVJy2u7WmY/edit?usp=share_link"",""นราธิวาส!I725"")+IMPORTRANGE(""https://docs.google.com/spreadsheets/d/1IwnW3-jjRf74MCLW-6P"&amp;"iFwMUffRQXZwZA7YM609NmRc/edit?usp=share_link"",""ปัตตานี!I725"")+IMPORTRANGE(""https://docs.google.com/spreadsheets/d/1vl4QWbWdFruual5o_wdo6ZSqXZ_it806oja4CctTLKs/edit?usp=share_link"",""พังงา!I725"")+IMPORTRANGE(""https://docs.google.com/spreadsheets/d/1"&amp;"b6QssHQp2FoAPSMKHOy273KNzAomaIKhtdlvuZ_zDNE/edit?usp=share_link"",""พัทลุง!I725"")+IMPORTRANGE(""https://docs.google.com/spreadsheets/d/1o7UZe4_OqlqtLDHrj01Z2YFRSZDf1DMy1n3XViHaxRc/edit?usp=share_link"",""ภูเก็ต!I725"")+IMPORTRANGE(""https://docs.google.c"&amp;"om/spreadsheets/d/1ctPm1vUzcUCPuOj9-eoHUD85PqINFqUB0TjdSWmR5-c/edit?usp=share_link"",""ยะลา!I725"")+IMPORTRANGE(""https://docs.google.com/spreadsheets/d/1YiDIE7Klmt8osgdapRqYWNr7iPGFSsiJqq46S7PYRE0/edit?usp=share_link"",""ระนอง!I725"")+IMPORTRANGE(""https"&amp;"://docs.google.com/spreadsheets/d/16o_4B-V7AWw_6E93bSpXj_XxVv1oVQctk-B6z1dNEWU/edit?usp=share_link"",""สงขลา!I725"")+IMPORTRANGE(""https://docs.google.com/spreadsheets/d/16cywr71Fj4fA5OGRHsZh30ZG2gwJhMAQv69oVBzYHv0/edit?usp=share_link"",""สตูล!I725"")+IMP"&amp;"ORTRANGE(""https://docs.google.com/spreadsheets/d/1vO9Sws6kMtrVtyvrAJptINXjK8TFBoX9xLYOVK_C8bQ/edit?usp=share_link"",""สุราษฎร์ธานี!I725"")"),212)</f>
        <v>212</v>
      </c>
      <c r="J725" s="37">
        <f ca="1">IFERROR(__xludf.DUMMYFUNCTION("IMPORTRANGE(""https://docs.google.com/spreadsheets/d/1kC41EOXpGBFOW658Fs3oD8beYlym0-zO54WY-2Qnp9I/edit?usp=share_link"",""กระบี่!J725"")
+IMPORTRANGE(""https://docs.google.com/spreadsheets/d/1FbzMZY_f3MDiEuK7RpCQKrilJ_kpX0Wm7QBZ1L7EjIU/edit?usp=share_link"&amp;""",""ชุมพร!J725"")+IMPORTRANGE(""https://docs.google.com/spreadsheets/d/1v5sN-00LrXuhBxw4dkh2GrG_z4l5oAqOdJRBCsUyMaM/edit?usp=share_link"",""ตรัง!J725"")+IMPORTRANGE(""https://docs.google.com/spreadsheets/d/1T5rRTzFc79aSIvqnzkZNvwPstq829QYz_xALlO1Z0s8/edi"&amp;"t?usp=share_link"",""นครศรีธรรมราช!J725"")+IMPORTRANGE(""https://docs.google.com/spreadsheets/d/1BeghqumK0IvCmRd2QOy6_afsZq7ZtAGrSnVJy2u7WmY/edit?usp=share_link"",""นราธิวาส!J725"")+IMPORTRANGE(""https://docs.google.com/spreadsheets/d/1IwnW3-jjRf74MCLW-6P"&amp;"iFwMUffRQXZwZA7YM609NmRc/edit?usp=share_link"",""ปัตตานี!J725"")+IMPORTRANGE(""https://docs.google.com/spreadsheets/d/1vl4QWbWdFruual5o_wdo6ZSqXZ_it806oja4CctTLKs/edit?usp=share_link"",""พังงา!J725"")+IMPORTRANGE(""https://docs.google.com/spreadsheets/d/1"&amp;"b6QssHQp2FoAPSMKHOy273KNzAomaIKhtdlvuZ_zDNE/edit?usp=share_link"",""พัทลุง!J725"")+IMPORTRANGE(""https://docs.google.com/spreadsheets/d/1o7UZe4_OqlqtLDHrj01Z2YFRSZDf1DMy1n3XViHaxRc/edit?usp=share_link"",""ภูเก็ต!J725"")+IMPORTRANGE(""https://docs.google.c"&amp;"om/spreadsheets/d/1ctPm1vUzcUCPuOj9-eoHUD85PqINFqUB0TjdSWmR5-c/edit?usp=share_link"",""ยะลา!J725"")+IMPORTRANGE(""https://docs.google.com/spreadsheets/d/1YiDIE7Klmt8osgdapRqYWNr7iPGFSsiJqq46S7PYRE0/edit?usp=share_link"",""ระนอง!J725"")+IMPORTRANGE(""https"&amp;"://docs.google.com/spreadsheets/d/16o_4B-V7AWw_6E93bSpXj_XxVv1oVQctk-B6z1dNEWU/edit?usp=share_link"",""สงขลา!J725"")+IMPORTRANGE(""https://docs.google.com/spreadsheets/d/16cywr71Fj4fA5OGRHsZh30ZG2gwJhMAQv69oVBzYHv0/edit?usp=share_link"",""สตูล!J725"")+IMP"&amp;"ORTRANGE(""https://docs.google.com/spreadsheets/d/1vO9Sws6kMtrVtyvrAJptINXjK8TFBoX9xLYOVK_C8bQ/edit?usp=share_link"",""สุราษฎร์ธานี!J725"")"),0)</f>
        <v>0</v>
      </c>
      <c r="K725" s="38">
        <f t="shared" ref="K725:K726" ca="1" si="331">IF(I725&gt;0,J725*100/I725,0)</f>
        <v>0</v>
      </c>
      <c r="L725" s="764"/>
      <c r="M725" s="189"/>
      <c r="N725" s="764"/>
      <c r="O725" s="38"/>
      <c r="P725" s="3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20.25" customHeight="1">
      <c r="A726" s="742"/>
      <c r="B726" s="575"/>
      <c r="C726" s="575"/>
      <c r="D726" s="575"/>
      <c r="E726" s="576" t="s">
        <v>308</v>
      </c>
      <c r="F726" s="575"/>
      <c r="G726" s="189"/>
      <c r="H726" s="182" t="s">
        <v>35</v>
      </c>
      <c r="I726" s="763">
        <f ca="1">IFERROR(__xludf.DUMMYFUNCTION("IMPORTRANGE(""https://docs.google.com/spreadsheets/d/1kC41EOXpGBFOW658Fs3oD8beYlym0-zO54WY-2Qnp9I/edit?usp=share_link"",""กระบี่!I726"")
+IMPORTRANGE(""https://docs.google.com/spreadsheets/d/1FbzMZY_f3MDiEuK7RpCQKrilJ_kpX0Wm7QBZ1L7EjIU/edit?usp=share_link"&amp;""",""ชุมพร!I726"")+IMPORTRANGE(""https://docs.google.com/spreadsheets/d/1v5sN-00LrXuhBxw4dkh2GrG_z4l5oAqOdJRBCsUyMaM/edit?usp=share_link"",""ตรัง!I726"")+IMPORTRANGE(""https://docs.google.com/spreadsheets/d/1T5rRTzFc79aSIvqnzkZNvwPstq829QYz_xALlO1Z0s8/edi"&amp;"t?usp=share_link"",""นครศรีธรรมราช!I726"")+IMPORTRANGE(""https://docs.google.com/spreadsheets/d/1BeghqumK0IvCmRd2QOy6_afsZq7ZtAGrSnVJy2u7WmY/edit?usp=share_link"",""นราธิวาส!I726"")+IMPORTRANGE(""https://docs.google.com/spreadsheets/d/1IwnW3-jjRf74MCLW-6P"&amp;"iFwMUffRQXZwZA7YM609NmRc/edit?usp=share_link"",""ปัตตานี!I726"")+IMPORTRANGE(""https://docs.google.com/spreadsheets/d/1vl4QWbWdFruual5o_wdo6ZSqXZ_it806oja4CctTLKs/edit?usp=share_link"",""พังงา!I726"")+IMPORTRANGE(""https://docs.google.com/spreadsheets/d/1"&amp;"b6QssHQp2FoAPSMKHOy273KNzAomaIKhtdlvuZ_zDNE/edit?usp=share_link"",""พัทลุง!I726"")+IMPORTRANGE(""https://docs.google.com/spreadsheets/d/1o7UZe4_OqlqtLDHrj01Z2YFRSZDf1DMy1n3XViHaxRc/edit?usp=share_link"",""ภูเก็ต!I726"")+IMPORTRANGE(""https://docs.google.c"&amp;"om/spreadsheets/d/1ctPm1vUzcUCPuOj9-eoHUD85PqINFqUB0TjdSWmR5-c/edit?usp=share_link"",""ยะลา!I726"")+IMPORTRANGE(""https://docs.google.com/spreadsheets/d/1YiDIE7Klmt8osgdapRqYWNr7iPGFSsiJqq46S7PYRE0/edit?usp=share_link"",""ระนอง!I726"")+IMPORTRANGE(""https"&amp;"://docs.google.com/spreadsheets/d/16o_4B-V7AWw_6E93bSpXj_XxVv1oVQctk-B6z1dNEWU/edit?usp=share_link"",""สงขลา!I726"")+IMPORTRANGE(""https://docs.google.com/spreadsheets/d/16cywr71Fj4fA5OGRHsZh30ZG2gwJhMAQv69oVBzYHv0/edit?usp=share_link"",""สตูล!I726"")+IMP"&amp;"ORTRANGE(""https://docs.google.com/spreadsheets/d/1vO9Sws6kMtrVtyvrAJptINXjK8TFBoX9xLYOVK_C8bQ/edit?usp=share_link"",""สุราษฎร์ธานี!I726"")"),37)</f>
        <v>37</v>
      </c>
      <c r="J726" s="37">
        <f ca="1">IFERROR(__xludf.DUMMYFUNCTION("IMPORTRANGE(""https://docs.google.com/spreadsheets/d/1kC41EOXpGBFOW658Fs3oD8beYlym0-zO54WY-2Qnp9I/edit?usp=share_link"",""กระบี่!J726"")
+IMPORTRANGE(""https://docs.google.com/spreadsheets/d/1FbzMZY_f3MDiEuK7RpCQKrilJ_kpX0Wm7QBZ1L7EjIU/edit?usp=share_link"&amp;""",""ชุมพร!J726"")+IMPORTRANGE(""https://docs.google.com/spreadsheets/d/1v5sN-00LrXuhBxw4dkh2GrG_z4l5oAqOdJRBCsUyMaM/edit?usp=share_link"",""ตรัง!J726"")+IMPORTRANGE(""https://docs.google.com/spreadsheets/d/1T5rRTzFc79aSIvqnzkZNvwPstq829QYz_xALlO1Z0s8/edi"&amp;"t?usp=share_link"",""นครศรีธรรมราช!J726"")+IMPORTRANGE(""https://docs.google.com/spreadsheets/d/1BeghqumK0IvCmRd2QOy6_afsZq7ZtAGrSnVJy2u7WmY/edit?usp=share_link"",""นราธิวาส!J726"")+IMPORTRANGE(""https://docs.google.com/spreadsheets/d/1IwnW3-jjRf74MCLW-6P"&amp;"iFwMUffRQXZwZA7YM609NmRc/edit?usp=share_link"",""ปัตตานี!J726"")+IMPORTRANGE(""https://docs.google.com/spreadsheets/d/1vl4QWbWdFruual5o_wdo6ZSqXZ_it806oja4CctTLKs/edit?usp=share_link"",""พังงา!J726"")+IMPORTRANGE(""https://docs.google.com/spreadsheets/d/1"&amp;"b6QssHQp2FoAPSMKHOy273KNzAomaIKhtdlvuZ_zDNE/edit?usp=share_link"",""พัทลุง!J726"")+IMPORTRANGE(""https://docs.google.com/spreadsheets/d/1o7UZe4_OqlqtLDHrj01Z2YFRSZDf1DMy1n3XViHaxRc/edit?usp=share_link"",""ภูเก็ต!J726"")+IMPORTRANGE(""https://docs.google.c"&amp;"om/spreadsheets/d/1ctPm1vUzcUCPuOj9-eoHUD85PqINFqUB0TjdSWmR5-c/edit?usp=share_link"",""ยะลา!J726"")+IMPORTRANGE(""https://docs.google.com/spreadsheets/d/1YiDIE7Klmt8osgdapRqYWNr7iPGFSsiJqq46S7PYRE0/edit?usp=share_link"",""ระนอง!J726"")+IMPORTRANGE(""https"&amp;"://docs.google.com/spreadsheets/d/16o_4B-V7AWw_6E93bSpXj_XxVv1oVQctk-B6z1dNEWU/edit?usp=share_link"",""สงขลา!J726"")+IMPORTRANGE(""https://docs.google.com/spreadsheets/d/16cywr71Fj4fA5OGRHsZh30ZG2gwJhMAQv69oVBzYHv0/edit?usp=share_link"",""สตูล!J726"")+IMP"&amp;"ORTRANGE(""https://docs.google.com/spreadsheets/d/1vO9Sws6kMtrVtyvrAJptINXjK8TFBoX9xLYOVK_C8bQ/edit?usp=share_link"",""สุราษฎร์ธานี!J726"")"),0)</f>
        <v>0</v>
      </c>
      <c r="K726" s="38">
        <f t="shared" ca="1" si="331"/>
        <v>0</v>
      </c>
      <c r="L726" s="38"/>
      <c r="M726" s="189"/>
      <c r="N726" s="764"/>
      <c r="O726" s="38"/>
      <c r="P726" s="3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20.25" customHeight="1">
      <c r="A727" s="742"/>
      <c r="B727" s="575"/>
      <c r="C727" s="575"/>
      <c r="D727" s="575"/>
      <c r="E727" s="575"/>
      <c r="F727" s="575"/>
      <c r="G727" s="189"/>
      <c r="H727" s="182" t="s">
        <v>34</v>
      </c>
      <c r="I727" s="763"/>
      <c r="J727" s="37">
        <f ca="1">IFERROR(__xludf.DUMMYFUNCTION("IMPORTRANGE(""https://docs.google.com/spreadsheets/d/1kC41EOXpGBFOW658Fs3oD8beYlym0-zO54WY-2Qnp9I/edit?usp=share_link"",""กระบี่!J727"")
+IMPORTRANGE(""https://docs.google.com/spreadsheets/d/1FbzMZY_f3MDiEuK7RpCQKrilJ_kpX0Wm7QBZ1L7EjIU/edit?usp=share_link"&amp;""",""ชุมพร!J727"")+IMPORTRANGE(""https://docs.google.com/spreadsheets/d/1v5sN-00LrXuhBxw4dkh2GrG_z4l5oAqOdJRBCsUyMaM/edit?usp=share_link"",""ตรัง!J727"")+IMPORTRANGE(""https://docs.google.com/spreadsheets/d/1T5rRTzFc79aSIvqnzkZNvwPstq829QYz_xALlO1Z0s8/edi"&amp;"t?usp=share_link"",""นครศรีธรรมราช!J727"")+IMPORTRANGE(""https://docs.google.com/spreadsheets/d/1BeghqumK0IvCmRd2QOy6_afsZq7ZtAGrSnVJy2u7WmY/edit?usp=share_link"",""นราธิวาส!J727"")+IMPORTRANGE(""https://docs.google.com/spreadsheets/d/1IwnW3-jjRf74MCLW-6P"&amp;"iFwMUffRQXZwZA7YM609NmRc/edit?usp=share_link"",""ปัตตานี!J727"")+IMPORTRANGE(""https://docs.google.com/spreadsheets/d/1vl4QWbWdFruual5o_wdo6ZSqXZ_it806oja4CctTLKs/edit?usp=share_link"",""พังงา!J727"")+IMPORTRANGE(""https://docs.google.com/spreadsheets/d/1"&amp;"b6QssHQp2FoAPSMKHOy273KNzAomaIKhtdlvuZ_zDNE/edit?usp=share_link"",""พัทลุง!J727"")+IMPORTRANGE(""https://docs.google.com/spreadsheets/d/1o7UZe4_OqlqtLDHrj01Z2YFRSZDf1DMy1n3XViHaxRc/edit?usp=share_link"",""ภูเก็ต!J727"")+IMPORTRANGE(""https://docs.google.c"&amp;"om/spreadsheets/d/1ctPm1vUzcUCPuOj9-eoHUD85PqINFqUB0TjdSWmR5-c/edit?usp=share_link"",""ยะลา!J727"")+IMPORTRANGE(""https://docs.google.com/spreadsheets/d/1YiDIE7Klmt8osgdapRqYWNr7iPGFSsiJqq46S7PYRE0/edit?usp=share_link"",""ระนอง!J727"")+IMPORTRANGE(""https"&amp;"://docs.google.com/spreadsheets/d/16o_4B-V7AWw_6E93bSpXj_XxVv1oVQctk-B6z1dNEWU/edit?usp=share_link"",""สงขลา!J727"")+IMPORTRANGE(""https://docs.google.com/spreadsheets/d/16cywr71Fj4fA5OGRHsZh30ZG2gwJhMAQv69oVBzYHv0/edit?usp=share_link"",""สตูล!J727"")+IMP"&amp;"ORTRANGE(""https://docs.google.com/spreadsheets/d/1vO9Sws6kMtrVtyvrAJptINXjK8TFBoX9xLYOVK_C8bQ/edit?usp=share_link"",""สุราษฎร์ธานี!J727"")"),0)</f>
        <v>0</v>
      </c>
      <c r="K727" s="38"/>
      <c r="L727" s="764"/>
      <c r="M727" s="189"/>
      <c r="N727" s="764"/>
      <c r="O727" s="38"/>
      <c r="P727" s="3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20.25" customHeight="1">
      <c r="A728" s="742"/>
      <c r="B728" s="575"/>
      <c r="C728" s="575"/>
      <c r="D728" s="575"/>
      <c r="E728" s="575"/>
      <c r="F728" s="575"/>
      <c r="G728" s="189"/>
      <c r="H728" s="182" t="s">
        <v>46</v>
      </c>
      <c r="I728" s="763">
        <f ca="1">IFERROR(__xludf.DUMMYFUNCTION("IMPORTRANGE(""https://docs.google.com/spreadsheets/d/1kC41EOXpGBFOW658Fs3oD8beYlym0-zO54WY-2Qnp9I/edit?usp=share_link"",""กระบี่!I728"")
+IMPORTRANGE(""https://docs.google.com/spreadsheets/d/1FbzMZY_f3MDiEuK7RpCQKrilJ_kpX0Wm7QBZ1L7EjIU/edit?usp=share_link"&amp;""",""ชุมพร!I728"")+IMPORTRANGE(""https://docs.google.com/spreadsheets/d/1v5sN-00LrXuhBxw4dkh2GrG_z4l5oAqOdJRBCsUyMaM/edit?usp=share_link"",""ตรัง!I728"")+IMPORTRANGE(""https://docs.google.com/spreadsheets/d/1T5rRTzFc79aSIvqnzkZNvwPstq829QYz_xALlO1Z0s8/edi"&amp;"t?usp=share_link"",""นครศรีธรรมราช!I728"")+IMPORTRANGE(""https://docs.google.com/spreadsheets/d/1BeghqumK0IvCmRd2QOy6_afsZq7ZtAGrSnVJy2u7WmY/edit?usp=share_link"",""นราธิวาส!I728"")+IMPORTRANGE(""https://docs.google.com/spreadsheets/d/1IwnW3-jjRf74MCLW-6P"&amp;"iFwMUffRQXZwZA7YM609NmRc/edit?usp=share_link"",""ปัตตานี!I728"")+IMPORTRANGE(""https://docs.google.com/spreadsheets/d/1vl4QWbWdFruual5o_wdo6ZSqXZ_it806oja4CctTLKs/edit?usp=share_link"",""พังงา!I728"")+IMPORTRANGE(""https://docs.google.com/spreadsheets/d/1"&amp;"b6QssHQp2FoAPSMKHOy273KNzAomaIKhtdlvuZ_zDNE/edit?usp=share_link"",""พัทลุง!I728"")+IMPORTRANGE(""https://docs.google.com/spreadsheets/d/1o7UZe4_OqlqtLDHrj01Z2YFRSZDf1DMy1n3XViHaxRc/edit?usp=share_link"",""ภูเก็ต!I728"")+IMPORTRANGE(""https://docs.google.c"&amp;"om/spreadsheets/d/1ctPm1vUzcUCPuOj9-eoHUD85PqINFqUB0TjdSWmR5-c/edit?usp=share_link"",""ยะลา!I728"")+IMPORTRANGE(""https://docs.google.com/spreadsheets/d/1YiDIE7Klmt8osgdapRqYWNr7iPGFSsiJqq46S7PYRE0/edit?usp=share_link"",""ระนอง!I728"")+IMPORTRANGE(""https"&amp;"://docs.google.com/spreadsheets/d/16o_4B-V7AWw_6E93bSpXj_XxVv1oVQctk-B6z1dNEWU/edit?usp=share_link"",""สงขลา!I728"")+IMPORTRANGE(""https://docs.google.com/spreadsheets/d/16cywr71Fj4fA5OGRHsZh30ZG2gwJhMAQv69oVBzYHv0/edit?usp=share_link"",""สตูล!I728"")+IMP"&amp;"ORTRANGE(""https://docs.google.com/spreadsheets/d/1vO9Sws6kMtrVtyvrAJptINXjK8TFBoX9xLYOVK_C8bQ/edit?usp=share_link"",""สุราษฎร์ธานี!I728"")"),120)</f>
        <v>120</v>
      </c>
      <c r="J728" s="37">
        <f ca="1">IFERROR(__xludf.DUMMYFUNCTION("IMPORTRANGE(""https://docs.google.com/spreadsheets/d/1kC41EOXpGBFOW658Fs3oD8beYlym0-zO54WY-2Qnp9I/edit?usp=share_link"",""กระบี่!J728"")
+IMPORTRANGE(""https://docs.google.com/spreadsheets/d/1FbzMZY_f3MDiEuK7RpCQKrilJ_kpX0Wm7QBZ1L7EjIU/edit?usp=share_link"&amp;""",""ชุมพร!J728"")+IMPORTRANGE(""https://docs.google.com/spreadsheets/d/1v5sN-00LrXuhBxw4dkh2GrG_z4l5oAqOdJRBCsUyMaM/edit?usp=share_link"",""ตรัง!J728"")+IMPORTRANGE(""https://docs.google.com/spreadsheets/d/1T5rRTzFc79aSIvqnzkZNvwPstq829QYz_xALlO1Z0s8/edi"&amp;"t?usp=share_link"",""นครศรีธรรมราช!J728"")+IMPORTRANGE(""https://docs.google.com/spreadsheets/d/1BeghqumK0IvCmRd2QOy6_afsZq7ZtAGrSnVJy2u7WmY/edit?usp=share_link"",""นราธิวาส!J728"")+IMPORTRANGE(""https://docs.google.com/spreadsheets/d/1IwnW3-jjRf74MCLW-6P"&amp;"iFwMUffRQXZwZA7YM609NmRc/edit?usp=share_link"",""ปัตตานี!J728"")+IMPORTRANGE(""https://docs.google.com/spreadsheets/d/1vl4QWbWdFruual5o_wdo6ZSqXZ_it806oja4CctTLKs/edit?usp=share_link"",""พังงา!J728"")+IMPORTRANGE(""https://docs.google.com/spreadsheets/d/1"&amp;"b6QssHQp2FoAPSMKHOy273KNzAomaIKhtdlvuZ_zDNE/edit?usp=share_link"",""พัทลุง!J728"")+IMPORTRANGE(""https://docs.google.com/spreadsheets/d/1o7UZe4_OqlqtLDHrj01Z2YFRSZDf1DMy1n3XViHaxRc/edit?usp=share_link"",""ภูเก็ต!J728"")+IMPORTRANGE(""https://docs.google.c"&amp;"om/spreadsheets/d/1ctPm1vUzcUCPuOj9-eoHUD85PqINFqUB0TjdSWmR5-c/edit?usp=share_link"",""ยะลา!J728"")+IMPORTRANGE(""https://docs.google.com/spreadsheets/d/1YiDIE7Klmt8osgdapRqYWNr7iPGFSsiJqq46S7PYRE0/edit?usp=share_link"",""ระนอง!J728"")+IMPORTRANGE(""https"&amp;"://docs.google.com/spreadsheets/d/16o_4B-V7AWw_6E93bSpXj_XxVv1oVQctk-B6z1dNEWU/edit?usp=share_link"",""สงขลา!J728"")+IMPORTRANGE(""https://docs.google.com/spreadsheets/d/16cywr71Fj4fA5OGRHsZh30ZG2gwJhMAQv69oVBzYHv0/edit?usp=share_link"",""สตูล!J728"")+IMP"&amp;"ORTRANGE(""https://docs.google.com/spreadsheets/d/1vO9Sws6kMtrVtyvrAJptINXjK8TFBoX9xLYOVK_C8bQ/edit?usp=share_link"",""สุราษฎร์ธานี!J728"")"),0)</f>
        <v>0</v>
      </c>
      <c r="K728" s="38">
        <f t="shared" ref="K728:K729" ca="1" si="332">IF(I728&gt;0,J728*100/I728,0)</f>
        <v>0</v>
      </c>
      <c r="L728" s="764"/>
      <c r="M728" s="189"/>
      <c r="N728" s="764"/>
      <c r="O728" s="38"/>
      <c r="P728" s="3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20.25" customHeight="1">
      <c r="A729" s="742"/>
      <c r="B729" s="575"/>
      <c r="C729" s="575"/>
      <c r="D729" s="576" t="s">
        <v>309</v>
      </c>
      <c r="E729" s="575"/>
      <c r="F729" s="575"/>
      <c r="G729" s="189"/>
      <c r="H729" s="192" t="s">
        <v>46</v>
      </c>
      <c r="I729" s="766">
        <f ca="1">IFERROR(__xludf.DUMMYFUNCTION("IMPORTRANGE(""https://docs.google.com/spreadsheets/d/1kC41EOXpGBFOW658Fs3oD8beYlym0-zO54WY-2Qnp9I/edit?usp=share_link"",""กระบี่!I729"")
+IMPORTRANGE(""https://docs.google.com/spreadsheets/d/1FbzMZY_f3MDiEuK7RpCQKrilJ_kpX0Wm7QBZ1L7EjIU/edit?usp=share_link"&amp;""",""ชุมพร!I729"")+IMPORTRANGE(""https://docs.google.com/spreadsheets/d/1v5sN-00LrXuhBxw4dkh2GrG_z4l5oAqOdJRBCsUyMaM/edit?usp=share_link"",""ตรัง!I729"")+IMPORTRANGE(""https://docs.google.com/spreadsheets/d/1T5rRTzFc79aSIvqnzkZNvwPstq829QYz_xALlO1Z0s8/edi"&amp;"t?usp=share_link"",""นครศรีธรรมราช!I729"")+IMPORTRANGE(""https://docs.google.com/spreadsheets/d/1BeghqumK0IvCmRd2QOy6_afsZq7ZtAGrSnVJy2u7WmY/edit?usp=share_link"",""นราธิวาส!I729"")+IMPORTRANGE(""https://docs.google.com/spreadsheets/d/1IwnW3-jjRf74MCLW-6P"&amp;"iFwMUffRQXZwZA7YM609NmRc/edit?usp=share_link"",""ปัตตานี!I729"")+IMPORTRANGE(""https://docs.google.com/spreadsheets/d/1vl4QWbWdFruual5o_wdo6ZSqXZ_it806oja4CctTLKs/edit?usp=share_link"",""พังงา!I729"")+IMPORTRANGE(""https://docs.google.com/spreadsheets/d/1"&amp;"b6QssHQp2FoAPSMKHOy273KNzAomaIKhtdlvuZ_zDNE/edit?usp=share_link"",""พัทลุง!I729"")+IMPORTRANGE(""https://docs.google.com/spreadsheets/d/1o7UZe4_OqlqtLDHrj01Z2YFRSZDf1DMy1n3XViHaxRc/edit?usp=share_link"",""ภูเก็ต!I729"")+IMPORTRANGE(""https://docs.google.c"&amp;"om/spreadsheets/d/1ctPm1vUzcUCPuOj9-eoHUD85PqINFqUB0TjdSWmR5-c/edit?usp=share_link"",""ยะลา!I729"")+IMPORTRANGE(""https://docs.google.com/spreadsheets/d/1YiDIE7Klmt8osgdapRqYWNr7iPGFSsiJqq46S7PYRE0/edit?usp=share_link"",""ระนอง!I729"")+IMPORTRANGE(""https"&amp;"://docs.google.com/spreadsheets/d/16o_4B-V7AWw_6E93bSpXj_XxVv1oVQctk-B6z1dNEWU/edit?usp=share_link"",""สงขลา!I729"")+IMPORTRANGE(""https://docs.google.com/spreadsheets/d/16cywr71Fj4fA5OGRHsZh30ZG2gwJhMAQv69oVBzYHv0/edit?usp=share_link"",""สตูล!I729"")+IMP"&amp;"ORTRANGE(""https://docs.google.com/spreadsheets/d/1vO9Sws6kMtrVtyvrAJptINXjK8TFBoX9xLYOVK_C8bQ/edit?usp=share_link"",""สุราษฎร์ธานี!I729"")"),0)</f>
        <v>0</v>
      </c>
      <c r="J729" s="194">
        <f ca="1">J732+J735</f>
        <v>0</v>
      </c>
      <c r="K729" s="195">
        <f t="shared" ca="1" si="332"/>
        <v>0</v>
      </c>
      <c r="L729" s="38"/>
      <c r="M729" s="189"/>
      <c r="N729" s="764"/>
      <c r="O729" s="38"/>
      <c r="P729" s="3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20.25" customHeight="1">
      <c r="A730" s="742"/>
      <c r="B730" s="575"/>
      <c r="C730" s="575"/>
      <c r="D730" s="575"/>
      <c r="E730" s="576" t="s">
        <v>310</v>
      </c>
      <c r="F730" s="575"/>
      <c r="G730" s="189"/>
      <c r="H730" s="182" t="s">
        <v>35</v>
      </c>
      <c r="I730" s="763"/>
      <c r="J730" s="183">
        <f ca="1">IFERROR(__xludf.DUMMYFUNCTION("IMPORTRANGE(""https://docs.google.com/spreadsheets/d/1kC41EOXpGBFOW658Fs3oD8beYlym0-zO54WY-2Qnp9I/edit?usp=share_link"",""กระบี่!J730"")
+IMPORTRANGE(""https://docs.google.com/spreadsheets/d/1FbzMZY_f3MDiEuK7RpCQKrilJ_kpX0Wm7QBZ1L7EjIU/edit?usp=share_link"&amp;""",""ชุมพร!J730"")+IMPORTRANGE(""https://docs.google.com/spreadsheets/d/1v5sN-00LrXuhBxw4dkh2GrG_z4l5oAqOdJRBCsUyMaM/edit?usp=share_link"",""ตรัง!J730"")+IMPORTRANGE(""https://docs.google.com/spreadsheets/d/1T5rRTzFc79aSIvqnzkZNvwPstq829QYz_xALlO1Z0s8/edi"&amp;"t?usp=share_link"",""นครศรีธรรมราช!J730"")+IMPORTRANGE(""https://docs.google.com/spreadsheets/d/1BeghqumK0IvCmRd2QOy6_afsZq7ZtAGrSnVJy2u7WmY/edit?usp=share_link"",""นราธิวาส!J730"")+IMPORTRANGE(""https://docs.google.com/spreadsheets/d/1IwnW3-jjRf74MCLW-6P"&amp;"iFwMUffRQXZwZA7YM609NmRc/edit?usp=share_link"",""ปัตตานี!J730"")+IMPORTRANGE(""https://docs.google.com/spreadsheets/d/1vl4QWbWdFruual5o_wdo6ZSqXZ_it806oja4CctTLKs/edit?usp=share_link"",""พังงา!J730"")+IMPORTRANGE(""https://docs.google.com/spreadsheets/d/1"&amp;"b6QssHQp2FoAPSMKHOy273KNzAomaIKhtdlvuZ_zDNE/edit?usp=share_link"",""พัทลุง!J730"")+IMPORTRANGE(""https://docs.google.com/spreadsheets/d/1o7UZe4_OqlqtLDHrj01Z2YFRSZDf1DMy1n3XViHaxRc/edit?usp=share_link"",""ภูเก็ต!J730"")+IMPORTRANGE(""https://docs.google.c"&amp;"om/spreadsheets/d/1ctPm1vUzcUCPuOj9-eoHUD85PqINFqUB0TjdSWmR5-c/edit?usp=share_link"",""ยะลา!J730"")+IMPORTRANGE(""https://docs.google.com/spreadsheets/d/1YiDIE7Klmt8osgdapRqYWNr7iPGFSsiJqq46S7PYRE0/edit?usp=share_link"",""ระนอง!J730"")+IMPORTRANGE(""https"&amp;"://docs.google.com/spreadsheets/d/16o_4B-V7AWw_6E93bSpXj_XxVv1oVQctk-B6z1dNEWU/edit?usp=share_link"",""สงขลา!J730"")+IMPORTRANGE(""https://docs.google.com/spreadsheets/d/16cywr71Fj4fA5OGRHsZh30ZG2gwJhMAQv69oVBzYHv0/edit?usp=share_link"",""สตูล!J730"")+IMP"&amp;"ORTRANGE(""https://docs.google.com/spreadsheets/d/1vO9Sws6kMtrVtyvrAJptINXjK8TFBoX9xLYOVK_C8bQ/edit?usp=share_link"",""สุราษฎร์ธานี!J730"")"),0)</f>
        <v>0</v>
      </c>
      <c r="K730" s="38"/>
      <c r="L730" s="764"/>
      <c r="M730" s="38"/>
      <c r="N730" s="764"/>
      <c r="O730" s="38"/>
      <c r="P730" s="3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20.25" customHeight="1">
      <c r="A731" s="742"/>
      <c r="B731" s="575"/>
      <c r="C731" s="575"/>
      <c r="D731" s="575"/>
      <c r="E731" s="575"/>
      <c r="F731" s="575"/>
      <c r="G731" s="189"/>
      <c r="H731" s="182" t="s">
        <v>34</v>
      </c>
      <c r="I731" s="763"/>
      <c r="J731" s="183">
        <f ca="1">IFERROR(__xludf.DUMMYFUNCTION("IMPORTRANGE(""https://docs.google.com/spreadsheets/d/1kC41EOXpGBFOW658Fs3oD8beYlym0-zO54WY-2Qnp9I/edit?usp=share_link"",""กระบี่!J731"")
+IMPORTRANGE(""https://docs.google.com/spreadsheets/d/1FbzMZY_f3MDiEuK7RpCQKrilJ_kpX0Wm7QBZ1L7EjIU/edit?usp=share_link"&amp;""",""ชุมพร!J731"")+IMPORTRANGE(""https://docs.google.com/spreadsheets/d/1v5sN-00LrXuhBxw4dkh2GrG_z4l5oAqOdJRBCsUyMaM/edit?usp=share_link"",""ตรัง!J731"")+IMPORTRANGE(""https://docs.google.com/spreadsheets/d/1T5rRTzFc79aSIvqnzkZNvwPstq829QYz_xALlO1Z0s8/edi"&amp;"t?usp=share_link"",""นครศรีธรรมราช!J731"")+IMPORTRANGE(""https://docs.google.com/spreadsheets/d/1BeghqumK0IvCmRd2QOy6_afsZq7ZtAGrSnVJy2u7WmY/edit?usp=share_link"",""นราธิวาส!J731"")+IMPORTRANGE(""https://docs.google.com/spreadsheets/d/1IwnW3-jjRf74MCLW-6P"&amp;"iFwMUffRQXZwZA7YM609NmRc/edit?usp=share_link"",""ปัตตานี!J731"")+IMPORTRANGE(""https://docs.google.com/spreadsheets/d/1vl4QWbWdFruual5o_wdo6ZSqXZ_it806oja4CctTLKs/edit?usp=share_link"",""พังงา!J731"")+IMPORTRANGE(""https://docs.google.com/spreadsheets/d/1"&amp;"b6QssHQp2FoAPSMKHOy273KNzAomaIKhtdlvuZ_zDNE/edit?usp=share_link"",""พัทลุง!J731"")+IMPORTRANGE(""https://docs.google.com/spreadsheets/d/1o7UZe4_OqlqtLDHrj01Z2YFRSZDf1DMy1n3XViHaxRc/edit?usp=share_link"",""ภูเก็ต!J731"")+IMPORTRANGE(""https://docs.google.c"&amp;"om/spreadsheets/d/1ctPm1vUzcUCPuOj9-eoHUD85PqINFqUB0TjdSWmR5-c/edit?usp=share_link"",""ยะลา!J731"")+IMPORTRANGE(""https://docs.google.com/spreadsheets/d/1YiDIE7Klmt8osgdapRqYWNr7iPGFSsiJqq46S7PYRE0/edit?usp=share_link"",""ระนอง!J731"")+IMPORTRANGE(""https"&amp;"://docs.google.com/spreadsheets/d/16o_4B-V7AWw_6E93bSpXj_XxVv1oVQctk-B6z1dNEWU/edit?usp=share_link"",""สงขลา!J731"")+IMPORTRANGE(""https://docs.google.com/spreadsheets/d/16cywr71Fj4fA5OGRHsZh30ZG2gwJhMAQv69oVBzYHv0/edit?usp=share_link"",""สตูล!J731"")+IMP"&amp;"ORTRANGE(""https://docs.google.com/spreadsheets/d/1vO9Sws6kMtrVtyvrAJptINXjK8TFBoX9xLYOVK_C8bQ/edit?usp=share_link"",""สุราษฎร์ธานี!J731"")"),0)</f>
        <v>0</v>
      </c>
      <c r="K731" s="38"/>
      <c r="L731" s="764"/>
      <c r="M731" s="38"/>
      <c r="N731" s="764"/>
      <c r="O731" s="38"/>
      <c r="P731" s="3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20.25" customHeight="1">
      <c r="A732" s="742"/>
      <c r="B732" s="575"/>
      <c r="C732" s="575"/>
      <c r="D732" s="575"/>
      <c r="E732" s="575"/>
      <c r="F732" s="575"/>
      <c r="G732" s="189"/>
      <c r="H732" s="182" t="s">
        <v>46</v>
      </c>
      <c r="I732" s="763"/>
      <c r="J732" s="183">
        <f ca="1">IFERROR(__xludf.DUMMYFUNCTION("IMPORTRANGE(""https://docs.google.com/spreadsheets/d/1kC41EOXpGBFOW658Fs3oD8beYlym0-zO54WY-2Qnp9I/edit?usp=share_link"",""กระบี่!J732"")
+IMPORTRANGE(""https://docs.google.com/spreadsheets/d/1FbzMZY_f3MDiEuK7RpCQKrilJ_kpX0Wm7QBZ1L7EjIU/edit?usp=share_link"&amp;""",""ชุมพร!J732"")+IMPORTRANGE(""https://docs.google.com/spreadsheets/d/1v5sN-00LrXuhBxw4dkh2GrG_z4l5oAqOdJRBCsUyMaM/edit?usp=share_link"",""ตรัง!J732"")+IMPORTRANGE(""https://docs.google.com/spreadsheets/d/1T5rRTzFc79aSIvqnzkZNvwPstq829QYz_xALlO1Z0s8/edi"&amp;"t?usp=share_link"",""นครศรีธรรมราช!J732"")+IMPORTRANGE(""https://docs.google.com/spreadsheets/d/1BeghqumK0IvCmRd2QOy6_afsZq7ZtAGrSnVJy2u7WmY/edit?usp=share_link"",""นราธิวาส!J732"")+IMPORTRANGE(""https://docs.google.com/spreadsheets/d/1IwnW3-jjRf74MCLW-6P"&amp;"iFwMUffRQXZwZA7YM609NmRc/edit?usp=share_link"",""ปัตตานี!J732"")+IMPORTRANGE(""https://docs.google.com/spreadsheets/d/1vl4QWbWdFruual5o_wdo6ZSqXZ_it806oja4CctTLKs/edit?usp=share_link"",""พังงา!J732"")+IMPORTRANGE(""https://docs.google.com/spreadsheets/d/1"&amp;"b6QssHQp2FoAPSMKHOy273KNzAomaIKhtdlvuZ_zDNE/edit?usp=share_link"",""พัทลุง!J732"")+IMPORTRANGE(""https://docs.google.com/spreadsheets/d/1o7UZe4_OqlqtLDHrj01Z2YFRSZDf1DMy1n3XViHaxRc/edit?usp=share_link"",""ภูเก็ต!J732"")+IMPORTRANGE(""https://docs.google.c"&amp;"om/spreadsheets/d/1ctPm1vUzcUCPuOj9-eoHUD85PqINFqUB0TjdSWmR5-c/edit?usp=share_link"",""ยะลา!J732"")+IMPORTRANGE(""https://docs.google.com/spreadsheets/d/1YiDIE7Klmt8osgdapRqYWNr7iPGFSsiJqq46S7PYRE0/edit?usp=share_link"",""ระนอง!J732"")+IMPORTRANGE(""https"&amp;"://docs.google.com/spreadsheets/d/16o_4B-V7AWw_6E93bSpXj_XxVv1oVQctk-B6z1dNEWU/edit?usp=share_link"",""สงขลา!J732"")+IMPORTRANGE(""https://docs.google.com/spreadsheets/d/16cywr71Fj4fA5OGRHsZh30ZG2gwJhMAQv69oVBzYHv0/edit?usp=share_link"",""สตูล!J732"")+IMP"&amp;"ORTRANGE(""https://docs.google.com/spreadsheets/d/1vO9Sws6kMtrVtyvrAJptINXjK8TFBoX9xLYOVK_C8bQ/edit?usp=share_link"",""สุราษฎร์ธานี!J732"")"),0)</f>
        <v>0</v>
      </c>
      <c r="K732" s="38"/>
      <c r="L732" s="764"/>
      <c r="M732" s="38"/>
      <c r="N732" s="764"/>
      <c r="O732" s="38"/>
      <c r="P732" s="3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20.25" customHeight="1">
      <c r="A733" s="742"/>
      <c r="B733" s="575"/>
      <c r="C733" s="575"/>
      <c r="D733" s="575"/>
      <c r="E733" s="576" t="s">
        <v>311</v>
      </c>
      <c r="F733" s="575"/>
      <c r="G733" s="189"/>
      <c r="H733" s="182" t="s">
        <v>35</v>
      </c>
      <c r="I733" s="763"/>
      <c r="J733" s="183">
        <f ca="1">IFERROR(__xludf.DUMMYFUNCTION("IMPORTRANGE(""https://docs.google.com/spreadsheets/d/1kC41EOXpGBFOW658Fs3oD8beYlym0-zO54WY-2Qnp9I/edit?usp=share_link"",""กระบี่!J733"")
+IMPORTRANGE(""https://docs.google.com/spreadsheets/d/1FbzMZY_f3MDiEuK7RpCQKrilJ_kpX0Wm7QBZ1L7EjIU/edit?usp=share_link"&amp;""",""ชุมพร!J733"")+IMPORTRANGE(""https://docs.google.com/spreadsheets/d/1v5sN-00LrXuhBxw4dkh2GrG_z4l5oAqOdJRBCsUyMaM/edit?usp=share_link"",""ตรัง!J733"")+IMPORTRANGE(""https://docs.google.com/spreadsheets/d/1T5rRTzFc79aSIvqnzkZNvwPstq829QYz_xALlO1Z0s8/edi"&amp;"t?usp=share_link"",""นครศรีธรรมราช!J733"")+IMPORTRANGE(""https://docs.google.com/spreadsheets/d/1BeghqumK0IvCmRd2QOy6_afsZq7ZtAGrSnVJy2u7WmY/edit?usp=share_link"",""นราธิวาส!J733"")+IMPORTRANGE(""https://docs.google.com/spreadsheets/d/1IwnW3-jjRf74MCLW-6P"&amp;"iFwMUffRQXZwZA7YM609NmRc/edit?usp=share_link"",""ปัตตานี!J733"")+IMPORTRANGE(""https://docs.google.com/spreadsheets/d/1vl4QWbWdFruual5o_wdo6ZSqXZ_it806oja4CctTLKs/edit?usp=share_link"",""พังงา!J733"")+IMPORTRANGE(""https://docs.google.com/spreadsheets/d/1"&amp;"b6QssHQp2FoAPSMKHOy273KNzAomaIKhtdlvuZ_zDNE/edit?usp=share_link"",""พัทลุง!J733"")+IMPORTRANGE(""https://docs.google.com/spreadsheets/d/1o7UZe4_OqlqtLDHrj01Z2YFRSZDf1DMy1n3XViHaxRc/edit?usp=share_link"",""ภูเก็ต!J733"")+IMPORTRANGE(""https://docs.google.c"&amp;"om/spreadsheets/d/1ctPm1vUzcUCPuOj9-eoHUD85PqINFqUB0TjdSWmR5-c/edit?usp=share_link"",""ยะลา!J733"")+IMPORTRANGE(""https://docs.google.com/spreadsheets/d/1YiDIE7Klmt8osgdapRqYWNr7iPGFSsiJqq46S7PYRE0/edit?usp=share_link"",""ระนอง!J733"")+IMPORTRANGE(""https"&amp;"://docs.google.com/spreadsheets/d/16o_4B-V7AWw_6E93bSpXj_XxVv1oVQctk-B6z1dNEWU/edit?usp=share_link"",""สงขลา!J733"")+IMPORTRANGE(""https://docs.google.com/spreadsheets/d/16cywr71Fj4fA5OGRHsZh30ZG2gwJhMAQv69oVBzYHv0/edit?usp=share_link"",""สตูล!J733"")+IMP"&amp;"ORTRANGE(""https://docs.google.com/spreadsheets/d/1vO9Sws6kMtrVtyvrAJptINXjK8TFBoX9xLYOVK_C8bQ/edit?usp=share_link"",""สุราษฎร์ธานี!J733"")"),0)</f>
        <v>0</v>
      </c>
      <c r="K733" s="38"/>
      <c r="L733" s="764"/>
      <c r="M733" s="38"/>
      <c r="N733" s="764"/>
      <c r="O733" s="38"/>
      <c r="P733" s="3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20.25" customHeight="1">
      <c r="A734" s="742"/>
      <c r="B734" s="575"/>
      <c r="C734" s="575"/>
      <c r="D734" s="575"/>
      <c r="E734" s="575"/>
      <c r="F734" s="575"/>
      <c r="G734" s="189"/>
      <c r="H734" s="182" t="s">
        <v>34</v>
      </c>
      <c r="I734" s="763"/>
      <c r="J734" s="183">
        <f ca="1">IFERROR(__xludf.DUMMYFUNCTION("IMPORTRANGE(""https://docs.google.com/spreadsheets/d/1kC41EOXpGBFOW658Fs3oD8beYlym0-zO54WY-2Qnp9I/edit?usp=share_link"",""กระบี่!J734"")
+IMPORTRANGE(""https://docs.google.com/spreadsheets/d/1FbzMZY_f3MDiEuK7RpCQKrilJ_kpX0Wm7QBZ1L7EjIU/edit?usp=share_link"&amp;""",""ชุมพร!J734"")+IMPORTRANGE(""https://docs.google.com/spreadsheets/d/1v5sN-00LrXuhBxw4dkh2GrG_z4l5oAqOdJRBCsUyMaM/edit?usp=share_link"",""ตรัง!J734"")+IMPORTRANGE(""https://docs.google.com/spreadsheets/d/1T5rRTzFc79aSIvqnzkZNvwPstq829QYz_xALlO1Z0s8/edi"&amp;"t?usp=share_link"",""นครศรีธรรมราช!J734"")+IMPORTRANGE(""https://docs.google.com/spreadsheets/d/1BeghqumK0IvCmRd2QOy6_afsZq7ZtAGrSnVJy2u7WmY/edit?usp=share_link"",""นราธิวาส!J734"")+IMPORTRANGE(""https://docs.google.com/spreadsheets/d/1IwnW3-jjRf74MCLW-6P"&amp;"iFwMUffRQXZwZA7YM609NmRc/edit?usp=share_link"",""ปัตตานี!J734"")+IMPORTRANGE(""https://docs.google.com/spreadsheets/d/1vl4QWbWdFruual5o_wdo6ZSqXZ_it806oja4CctTLKs/edit?usp=share_link"",""พังงา!J734"")+IMPORTRANGE(""https://docs.google.com/spreadsheets/d/1"&amp;"b6QssHQp2FoAPSMKHOy273KNzAomaIKhtdlvuZ_zDNE/edit?usp=share_link"",""พัทลุง!J734"")+IMPORTRANGE(""https://docs.google.com/spreadsheets/d/1o7UZe4_OqlqtLDHrj01Z2YFRSZDf1DMy1n3XViHaxRc/edit?usp=share_link"",""ภูเก็ต!J734"")+IMPORTRANGE(""https://docs.google.c"&amp;"om/spreadsheets/d/1ctPm1vUzcUCPuOj9-eoHUD85PqINFqUB0TjdSWmR5-c/edit?usp=share_link"",""ยะลา!J734"")+IMPORTRANGE(""https://docs.google.com/spreadsheets/d/1YiDIE7Klmt8osgdapRqYWNr7iPGFSsiJqq46S7PYRE0/edit?usp=share_link"",""ระนอง!J734"")+IMPORTRANGE(""https"&amp;"://docs.google.com/spreadsheets/d/16o_4B-V7AWw_6E93bSpXj_XxVv1oVQctk-B6z1dNEWU/edit?usp=share_link"",""สงขลา!J734"")+IMPORTRANGE(""https://docs.google.com/spreadsheets/d/16cywr71Fj4fA5OGRHsZh30ZG2gwJhMAQv69oVBzYHv0/edit?usp=share_link"",""สตูล!J734"")+IMP"&amp;"ORTRANGE(""https://docs.google.com/spreadsheets/d/1vO9Sws6kMtrVtyvrAJptINXjK8TFBoX9xLYOVK_C8bQ/edit?usp=share_link"",""สุราษฎร์ธานี!J734"")"),0)</f>
        <v>0</v>
      </c>
      <c r="K734" s="38"/>
      <c r="L734" s="764"/>
      <c r="M734" s="38"/>
      <c r="N734" s="764"/>
      <c r="O734" s="38"/>
      <c r="P734" s="3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20.25" customHeight="1">
      <c r="A735" s="768"/>
      <c r="B735" s="769" t="s">
        <v>312</v>
      </c>
      <c r="C735" s="732"/>
      <c r="D735" s="732"/>
      <c r="E735" s="732"/>
      <c r="F735" s="732"/>
      <c r="G735" s="733"/>
      <c r="H735" s="423" t="s">
        <v>46</v>
      </c>
      <c r="I735" s="770"/>
      <c r="J735" s="425">
        <f ca="1">IFERROR(__xludf.DUMMYFUNCTION("IMPORTRANGE(""https://docs.google.com/spreadsheets/d/1kC41EOXpGBFOW658Fs3oD8beYlym0-zO54WY-2Qnp9I/edit?usp=share_link"",""กระบี่!J735"")
+IMPORTRANGE(""https://docs.google.com/spreadsheets/d/1FbzMZY_f3MDiEuK7RpCQKrilJ_kpX0Wm7QBZ1L7EjIU/edit?usp=share_link"&amp;""",""ชุมพร!J735"")+IMPORTRANGE(""https://docs.google.com/spreadsheets/d/1v5sN-00LrXuhBxw4dkh2GrG_z4l5oAqOdJRBCsUyMaM/edit?usp=share_link"",""ตรัง!J735"")+IMPORTRANGE(""https://docs.google.com/spreadsheets/d/1T5rRTzFc79aSIvqnzkZNvwPstq829QYz_xALlO1Z0s8/edi"&amp;"t?usp=share_link"",""นครศรีธรรมราช!J735"")+IMPORTRANGE(""https://docs.google.com/spreadsheets/d/1BeghqumK0IvCmRd2QOy6_afsZq7ZtAGrSnVJy2u7WmY/edit?usp=share_link"",""นราธิวาส!J735"")+IMPORTRANGE(""https://docs.google.com/spreadsheets/d/1IwnW3-jjRf74MCLW-6P"&amp;"iFwMUffRQXZwZA7YM609NmRc/edit?usp=share_link"",""ปัตตานี!J735"")+IMPORTRANGE(""https://docs.google.com/spreadsheets/d/1vl4QWbWdFruual5o_wdo6ZSqXZ_it806oja4CctTLKs/edit?usp=share_link"",""พังงา!J735"")+IMPORTRANGE(""https://docs.google.com/spreadsheets/d/1"&amp;"b6QssHQp2FoAPSMKHOy273KNzAomaIKhtdlvuZ_zDNE/edit?usp=share_link"",""พัทลุง!J735"")+IMPORTRANGE(""https://docs.google.com/spreadsheets/d/1o7UZe4_OqlqtLDHrj01Z2YFRSZDf1DMy1n3XViHaxRc/edit?usp=share_link"",""ภูเก็ต!J735"")+IMPORTRANGE(""https://docs.google.c"&amp;"om/spreadsheets/d/1ctPm1vUzcUCPuOj9-eoHUD85PqINFqUB0TjdSWmR5-c/edit?usp=share_link"",""ยะลา!J735"")+IMPORTRANGE(""https://docs.google.com/spreadsheets/d/1YiDIE7Klmt8osgdapRqYWNr7iPGFSsiJqq46S7PYRE0/edit?usp=share_link"",""ระนอง!J735"")+IMPORTRANGE(""https"&amp;"://docs.google.com/spreadsheets/d/16o_4B-V7AWw_6E93bSpXj_XxVv1oVQctk-B6z1dNEWU/edit?usp=share_link"",""สงขลา!J735"")+IMPORTRANGE(""https://docs.google.com/spreadsheets/d/16cywr71Fj4fA5OGRHsZh30ZG2gwJhMAQv69oVBzYHv0/edit?usp=share_link"",""สตูล!J735"")+IMP"&amp;"ORTRANGE(""https://docs.google.com/spreadsheets/d/1vO9Sws6kMtrVtyvrAJptINXjK8TFBoX9xLYOVK_C8bQ/edit?usp=share_link"",""สุราษฎร์ธานี!J735"")"),0)</f>
        <v>0</v>
      </c>
      <c r="K735" s="506"/>
      <c r="L735" s="771"/>
      <c r="M735" s="506"/>
      <c r="N735" s="771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20.25" hidden="1" customHeight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20.25" hidden="1" customHeight="1">
      <c r="A737" s="598"/>
      <c r="B737" s="599"/>
      <c r="C737" s="599" t="s">
        <v>16</v>
      </c>
      <c r="D737" s="848" t="s">
        <v>17</v>
      </c>
      <c r="E737" s="841"/>
      <c r="F737" s="841"/>
      <c r="G737" s="602"/>
      <c r="H737" s="644" t="s">
        <v>12</v>
      </c>
      <c r="I737" s="44"/>
      <c r="J737" s="44"/>
      <c r="K737" s="45"/>
      <c r="L737" s="645">
        <f t="shared" ref="L737:N737" si="333">L738+L739</f>
        <v>0</v>
      </c>
      <c r="M737" s="645">
        <f t="shared" si="333"/>
        <v>0</v>
      </c>
      <c r="N737" s="645">
        <f t="shared" si="333"/>
        <v>0</v>
      </c>
      <c r="O737" s="645">
        <f t="shared" ref="O737:O742" si="334">IF(L737&gt;0,N737*100/L737,0)</f>
        <v>0</v>
      </c>
      <c r="P737" s="645">
        <f t="shared" ref="P737:P742" si="335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20.25" hidden="1" customHeight="1">
      <c r="A738" s="598"/>
      <c r="B738" s="599"/>
      <c r="C738" s="599"/>
      <c r="D738" s="600"/>
      <c r="E738" s="601" t="s">
        <v>185</v>
      </c>
      <c r="F738" s="599"/>
      <c r="G738" s="602"/>
      <c r="H738" s="165" t="s">
        <v>12</v>
      </c>
      <c r="I738" s="44"/>
      <c r="J738" s="44"/>
      <c r="K738" s="45"/>
      <c r="L738" s="45">
        <f t="shared" ref="L738:N738" si="336">L741+L748</f>
        <v>0</v>
      </c>
      <c r="M738" s="45">
        <f t="shared" si="336"/>
        <v>0</v>
      </c>
      <c r="N738" s="45">
        <f t="shared" si="336"/>
        <v>0</v>
      </c>
      <c r="O738" s="45">
        <f t="shared" si="334"/>
        <v>0</v>
      </c>
      <c r="P738" s="45">
        <f t="shared" si="335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20.25" hidden="1" customHeight="1">
      <c r="A739" s="598"/>
      <c r="B739" s="604"/>
      <c r="C739" s="599"/>
      <c r="D739" s="600"/>
      <c r="E739" s="601" t="s">
        <v>186</v>
      </c>
      <c r="F739" s="599"/>
      <c r="G739" s="602"/>
      <c r="H739" s="165" t="s">
        <v>12</v>
      </c>
      <c r="I739" s="44"/>
      <c r="J739" s="44"/>
      <c r="K739" s="45"/>
      <c r="L739" s="45">
        <f t="shared" ref="L739:N739" si="337">L742+L749</f>
        <v>0</v>
      </c>
      <c r="M739" s="45">
        <f t="shared" si="337"/>
        <v>0</v>
      </c>
      <c r="N739" s="45">
        <f t="shared" si="337"/>
        <v>0</v>
      </c>
      <c r="O739" s="45">
        <f t="shared" si="334"/>
        <v>0</v>
      </c>
      <c r="P739" s="45">
        <f t="shared" si="335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20.25" hidden="1" customHeight="1">
      <c r="A740" s="598"/>
      <c r="B740" s="604"/>
      <c r="C740" s="599"/>
      <c r="D740" s="780" t="s">
        <v>20</v>
      </c>
      <c r="E740" s="599"/>
      <c r="F740" s="599"/>
      <c r="G740" s="602"/>
      <c r="H740" s="644" t="s">
        <v>12</v>
      </c>
      <c r="I740" s="166"/>
      <c r="J740" s="166"/>
      <c r="K740" s="167"/>
      <c r="L740" s="645">
        <f t="shared" ref="L740:N740" si="338">L741+L742</f>
        <v>0</v>
      </c>
      <c r="M740" s="645">
        <f t="shared" si="338"/>
        <v>0</v>
      </c>
      <c r="N740" s="645">
        <f t="shared" si="338"/>
        <v>0</v>
      </c>
      <c r="O740" s="645">
        <f t="shared" si="334"/>
        <v>0</v>
      </c>
      <c r="P740" s="645">
        <f t="shared" si="335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20.25" hidden="1" customHeight="1">
      <c r="A741" s="598"/>
      <c r="B741" s="604"/>
      <c r="C741" s="599"/>
      <c r="D741" s="600"/>
      <c r="E741" s="601" t="s">
        <v>185</v>
      </c>
      <c r="F741" s="599"/>
      <c r="G741" s="602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4"/>
        <v>0</v>
      </c>
      <c r="P741" s="45">
        <f t="shared" si="335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20.25" hidden="1" customHeight="1">
      <c r="A742" s="598"/>
      <c r="B742" s="604"/>
      <c r="C742" s="599"/>
      <c r="D742" s="600"/>
      <c r="E742" s="601" t="s">
        <v>186</v>
      </c>
      <c r="F742" s="599"/>
      <c r="G742" s="602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4"/>
        <v>0</v>
      </c>
      <c r="P742" s="45">
        <f t="shared" si="335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20.25" hidden="1" customHeight="1">
      <c r="A743" s="647"/>
      <c r="B743" s="604"/>
      <c r="C743" s="599"/>
      <c r="D743" s="599"/>
      <c r="E743" s="599"/>
      <c r="F743" s="601" t="s">
        <v>187</v>
      </c>
      <c r="G743" s="602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20.25" hidden="1" customHeight="1">
      <c r="A744" s="647"/>
      <c r="B744" s="604"/>
      <c r="C744" s="599"/>
      <c r="D744" s="599"/>
      <c r="E744" s="599"/>
      <c r="F744" s="601" t="s">
        <v>188</v>
      </c>
      <c r="G744" s="602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20.25" hidden="1" customHeight="1">
      <c r="A745" s="647"/>
      <c r="B745" s="604"/>
      <c r="C745" s="599"/>
      <c r="D745" s="599"/>
      <c r="E745" s="599"/>
      <c r="F745" s="601" t="s">
        <v>189</v>
      </c>
      <c r="G745" s="602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20.25" hidden="1" customHeight="1">
      <c r="A746" s="647"/>
      <c r="B746" s="604"/>
      <c r="C746" s="599"/>
      <c r="D746" s="599"/>
      <c r="E746" s="599"/>
      <c r="F746" s="601" t="s">
        <v>190</v>
      </c>
      <c r="G746" s="602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20.25" hidden="1" customHeight="1">
      <c r="A747" s="598"/>
      <c r="B747" s="604"/>
      <c r="C747" s="599"/>
      <c r="D747" s="780" t="s">
        <v>21</v>
      </c>
      <c r="E747" s="599"/>
      <c r="F747" s="599"/>
      <c r="G747" s="602"/>
      <c r="H747" s="781" t="s">
        <v>12</v>
      </c>
      <c r="I747" s="166"/>
      <c r="J747" s="166"/>
      <c r="K747" s="167"/>
      <c r="L747" s="645">
        <f t="shared" ref="L747:N747" si="339">L748+L749</f>
        <v>0</v>
      </c>
      <c r="M747" s="645">
        <f t="shared" si="339"/>
        <v>0</v>
      </c>
      <c r="N747" s="645">
        <f t="shared" si="339"/>
        <v>0</v>
      </c>
      <c r="O747" s="645">
        <f t="shared" ref="O747:O749" si="340">IF(L747&gt;0,N747*100/L747,0)</f>
        <v>0</v>
      </c>
      <c r="P747" s="645">
        <f t="shared" ref="P747:P749" si="34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20.25" hidden="1" customHeight="1">
      <c r="A748" s="598"/>
      <c r="B748" s="604"/>
      <c r="C748" s="599"/>
      <c r="D748" s="599"/>
      <c r="E748" s="601" t="s">
        <v>18</v>
      </c>
      <c r="F748" s="599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0"/>
        <v>0</v>
      </c>
      <c r="P748" s="45">
        <f t="shared" si="34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20.25" hidden="1" customHeight="1">
      <c r="A749" s="598"/>
      <c r="B749" s="604"/>
      <c r="C749" s="599"/>
      <c r="D749" s="599"/>
      <c r="E749" s="601" t="s">
        <v>19</v>
      </c>
      <c r="F749" s="599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0"/>
        <v>0</v>
      </c>
      <c r="P749" s="45">
        <f t="shared" si="34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20.25" hidden="1" customHeight="1">
      <c r="A750" s="613"/>
      <c r="B750" s="614"/>
      <c r="C750" s="599" t="s">
        <v>16</v>
      </c>
      <c r="D750" s="782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20.25" hidden="1" customHeight="1">
      <c r="A751" s="647"/>
      <c r="B751" s="604"/>
      <c r="C751" s="599"/>
      <c r="D751" s="599"/>
      <c r="E751" s="601" t="s">
        <v>314</v>
      </c>
      <c r="F751" s="599"/>
      <c r="G751" s="602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20.25" hidden="1" customHeight="1">
      <c r="A752" s="647"/>
      <c r="B752" s="604"/>
      <c r="C752" s="599"/>
      <c r="D752" s="599"/>
      <c r="E752" s="599"/>
      <c r="F752" s="599"/>
      <c r="G752" s="602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20.25" hidden="1" customHeight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20.25" hidden="1" customHeight="1">
      <c r="A754" s="598"/>
      <c r="B754" s="599"/>
      <c r="C754" s="599" t="s">
        <v>16</v>
      </c>
      <c r="D754" s="848" t="s">
        <v>17</v>
      </c>
      <c r="E754" s="841"/>
      <c r="F754" s="841"/>
      <c r="G754" s="602"/>
      <c r="H754" s="644" t="s">
        <v>12</v>
      </c>
      <c r="I754" s="44"/>
      <c r="J754" s="44"/>
      <c r="K754" s="45"/>
      <c r="L754" s="645">
        <f t="shared" ref="L754:N754" si="342">L755+L756</f>
        <v>0</v>
      </c>
      <c r="M754" s="645">
        <f t="shared" si="342"/>
        <v>0</v>
      </c>
      <c r="N754" s="645">
        <f t="shared" si="342"/>
        <v>0</v>
      </c>
      <c r="O754" s="645">
        <f t="shared" ref="O754:O759" si="343">IF(L754&gt;0,N754*100/L754,0)</f>
        <v>0</v>
      </c>
      <c r="P754" s="645">
        <f t="shared" ref="P754:P759" si="34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20.25" hidden="1" customHeight="1">
      <c r="A755" s="598"/>
      <c r="B755" s="599"/>
      <c r="C755" s="599"/>
      <c r="D755" s="600"/>
      <c r="E755" s="601" t="s">
        <v>185</v>
      </c>
      <c r="F755" s="599"/>
      <c r="G755" s="602"/>
      <c r="H755" s="165" t="s">
        <v>12</v>
      </c>
      <c r="I755" s="44"/>
      <c r="J755" s="44"/>
      <c r="K755" s="45"/>
      <c r="L755" s="45">
        <f t="shared" ref="L755:N755" si="345">L758+L765</f>
        <v>0</v>
      </c>
      <c r="M755" s="45">
        <f t="shared" si="345"/>
        <v>0</v>
      </c>
      <c r="N755" s="45">
        <f t="shared" si="345"/>
        <v>0</v>
      </c>
      <c r="O755" s="45">
        <f t="shared" si="343"/>
        <v>0</v>
      </c>
      <c r="P755" s="45">
        <f t="shared" si="34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20.25" hidden="1" customHeight="1">
      <c r="A756" s="598"/>
      <c r="B756" s="604"/>
      <c r="C756" s="599"/>
      <c r="D756" s="600"/>
      <c r="E756" s="601" t="s">
        <v>186</v>
      </c>
      <c r="F756" s="599"/>
      <c r="G756" s="602"/>
      <c r="H756" s="165" t="s">
        <v>12</v>
      </c>
      <c r="I756" s="44"/>
      <c r="J756" s="44"/>
      <c r="K756" s="45"/>
      <c r="L756" s="45">
        <f t="shared" ref="L756:N756" si="346">L759+L766</f>
        <v>0</v>
      </c>
      <c r="M756" s="45">
        <f t="shared" si="346"/>
        <v>0</v>
      </c>
      <c r="N756" s="45">
        <f t="shared" si="346"/>
        <v>0</v>
      </c>
      <c r="O756" s="45">
        <f t="shared" si="343"/>
        <v>0</v>
      </c>
      <c r="P756" s="45">
        <f t="shared" si="34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20.25" hidden="1" customHeight="1">
      <c r="A757" s="598"/>
      <c r="B757" s="604"/>
      <c r="C757" s="599"/>
      <c r="D757" s="780" t="s">
        <v>20</v>
      </c>
      <c r="E757" s="599"/>
      <c r="F757" s="599"/>
      <c r="G757" s="602"/>
      <c r="H757" s="644" t="s">
        <v>12</v>
      </c>
      <c r="I757" s="166"/>
      <c r="J757" s="166"/>
      <c r="K757" s="167"/>
      <c r="L757" s="645">
        <f t="shared" ref="L757:N757" si="347">L758+L759</f>
        <v>0</v>
      </c>
      <c r="M757" s="645">
        <f t="shared" si="347"/>
        <v>0</v>
      </c>
      <c r="N757" s="645">
        <f t="shared" si="347"/>
        <v>0</v>
      </c>
      <c r="O757" s="645">
        <f t="shared" si="343"/>
        <v>0</v>
      </c>
      <c r="P757" s="645">
        <f t="shared" si="34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20.25" hidden="1" customHeight="1">
      <c r="A758" s="598"/>
      <c r="B758" s="604"/>
      <c r="C758" s="599"/>
      <c r="D758" s="600"/>
      <c r="E758" s="601" t="s">
        <v>185</v>
      </c>
      <c r="F758" s="599"/>
      <c r="G758" s="602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3"/>
        <v>0</v>
      </c>
      <c r="P758" s="45">
        <f t="shared" si="34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20.25" hidden="1" customHeight="1">
      <c r="A759" s="598"/>
      <c r="B759" s="604"/>
      <c r="C759" s="599"/>
      <c r="D759" s="600"/>
      <c r="E759" s="601" t="s">
        <v>186</v>
      </c>
      <c r="F759" s="599"/>
      <c r="G759" s="602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3"/>
        <v>0</v>
      </c>
      <c r="P759" s="45">
        <f t="shared" si="34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20.25" hidden="1" customHeight="1">
      <c r="A760" s="647"/>
      <c r="B760" s="604"/>
      <c r="C760" s="599"/>
      <c r="D760" s="599"/>
      <c r="E760" s="599"/>
      <c r="F760" s="601" t="s">
        <v>187</v>
      </c>
      <c r="G760" s="602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20.25" hidden="1" customHeight="1">
      <c r="A761" s="647"/>
      <c r="B761" s="604"/>
      <c r="C761" s="599"/>
      <c r="D761" s="599"/>
      <c r="E761" s="599"/>
      <c r="F761" s="601" t="s">
        <v>188</v>
      </c>
      <c r="G761" s="602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20.25" hidden="1" customHeight="1">
      <c r="A762" s="647"/>
      <c r="B762" s="604"/>
      <c r="C762" s="599"/>
      <c r="D762" s="599"/>
      <c r="E762" s="599"/>
      <c r="F762" s="601" t="s">
        <v>189</v>
      </c>
      <c r="G762" s="602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20.25" hidden="1" customHeight="1">
      <c r="A763" s="647"/>
      <c r="B763" s="604"/>
      <c r="C763" s="599"/>
      <c r="D763" s="599"/>
      <c r="E763" s="599"/>
      <c r="F763" s="601" t="s">
        <v>190</v>
      </c>
      <c r="G763" s="602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20.25" hidden="1" customHeight="1">
      <c r="A764" s="598"/>
      <c r="B764" s="604"/>
      <c r="C764" s="599"/>
      <c r="D764" s="780" t="s">
        <v>21</v>
      </c>
      <c r="E764" s="599"/>
      <c r="F764" s="599"/>
      <c r="G764" s="602"/>
      <c r="H764" s="781" t="s">
        <v>12</v>
      </c>
      <c r="I764" s="166"/>
      <c r="J764" s="166"/>
      <c r="K764" s="167"/>
      <c r="L764" s="645">
        <f t="shared" ref="L764:N764" si="348">L765+L766</f>
        <v>0</v>
      </c>
      <c r="M764" s="645">
        <f t="shared" si="348"/>
        <v>0</v>
      </c>
      <c r="N764" s="645">
        <f t="shared" si="348"/>
        <v>0</v>
      </c>
      <c r="O764" s="645">
        <f t="shared" ref="O764:O766" si="349">IF(L764&gt;0,N764*100/L764,0)</f>
        <v>0</v>
      </c>
      <c r="P764" s="645">
        <f t="shared" ref="P764:P766" si="350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20.25" hidden="1" customHeight="1">
      <c r="A765" s="598"/>
      <c r="B765" s="604"/>
      <c r="C765" s="599"/>
      <c r="D765" s="599"/>
      <c r="E765" s="601" t="s">
        <v>18</v>
      </c>
      <c r="F765" s="599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49"/>
        <v>0</v>
      </c>
      <c r="P765" s="45">
        <f t="shared" si="350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20.25" hidden="1" customHeight="1">
      <c r="A766" s="598"/>
      <c r="B766" s="604"/>
      <c r="C766" s="599"/>
      <c r="D766" s="599"/>
      <c r="E766" s="601" t="s">
        <v>19</v>
      </c>
      <c r="F766" s="599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49"/>
        <v>0</v>
      </c>
      <c r="P766" s="45">
        <f t="shared" si="350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20.25" hidden="1" customHeight="1">
      <c r="A767" s="613"/>
      <c r="B767" s="614"/>
      <c r="C767" s="599" t="s">
        <v>16</v>
      </c>
      <c r="D767" s="782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20.25" hidden="1" customHeight="1">
      <c r="A768" s="647"/>
      <c r="B768" s="604"/>
      <c r="C768" s="599"/>
      <c r="D768" s="599"/>
      <c r="E768" s="601" t="s">
        <v>317</v>
      </c>
      <c r="F768" s="599"/>
      <c r="G768" s="602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20.25" hidden="1" customHeight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20.25" hidden="1" customHeight="1">
      <c r="A770" s="598"/>
      <c r="B770" s="599"/>
      <c r="C770" s="599" t="s">
        <v>16</v>
      </c>
      <c r="D770" s="848" t="s">
        <v>17</v>
      </c>
      <c r="E770" s="841"/>
      <c r="F770" s="841"/>
      <c r="G770" s="602"/>
      <c r="H770" s="644" t="s">
        <v>12</v>
      </c>
      <c r="I770" s="44"/>
      <c r="J770" s="44"/>
      <c r="K770" s="45"/>
      <c r="L770" s="645">
        <f t="shared" ref="L770:N770" si="351">L771+L772</f>
        <v>0</v>
      </c>
      <c r="M770" s="645">
        <f t="shared" si="351"/>
        <v>0</v>
      </c>
      <c r="N770" s="645">
        <f t="shared" si="351"/>
        <v>0</v>
      </c>
      <c r="O770" s="645">
        <f t="shared" ref="O770:O775" si="352">IF(L770&gt;0,N770*100/L770,0)</f>
        <v>0</v>
      </c>
      <c r="P770" s="645">
        <f t="shared" ref="P770:P775" si="353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20.25" hidden="1" customHeight="1">
      <c r="A771" s="598"/>
      <c r="B771" s="599"/>
      <c r="C771" s="599"/>
      <c r="D771" s="600"/>
      <c r="E771" s="601" t="s">
        <v>185</v>
      </c>
      <c r="F771" s="599"/>
      <c r="G771" s="602"/>
      <c r="H771" s="165" t="s">
        <v>12</v>
      </c>
      <c r="I771" s="44"/>
      <c r="J771" s="44"/>
      <c r="K771" s="45"/>
      <c r="L771" s="45">
        <f t="shared" ref="L771:N771" si="354">L774+L781</f>
        <v>0</v>
      </c>
      <c r="M771" s="45">
        <f t="shared" si="354"/>
        <v>0</v>
      </c>
      <c r="N771" s="45">
        <f t="shared" si="354"/>
        <v>0</v>
      </c>
      <c r="O771" s="45">
        <f t="shared" si="352"/>
        <v>0</v>
      </c>
      <c r="P771" s="45">
        <f t="shared" si="353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20.25" hidden="1" customHeight="1">
      <c r="A772" s="598"/>
      <c r="B772" s="604"/>
      <c r="C772" s="599"/>
      <c r="D772" s="600"/>
      <c r="E772" s="601" t="s">
        <v>186</v>
      </c>
      <c r="F772" s="599"/>
      <c r="G772" s="602"/>
      <c r="H772" s="165" t="s">
        <v>12</v>
      </c>
      <c r="I772" s="44"/>
      <c r="J772" s="44"/>
      <c r="K772" s="45"/>
      <c r="L772" s="45">
        <f t="shared" ref="L772:N772" si="355">L775+L782</f>
        <v>0</v>
      </c>
      <c r="M772" s="45">
        <f t="shared" si="355"/>
        <v>0</v>
      </c>
      <c r="N772" s="45">
        <f t="shared" si="355"/>
        <v>0</v>
      </c>
      <c r="O772" s="45">
        <f t="shared" si="352"/>
        <v>0</v>
      </c>
      <c r="P772" s="45">
        <f t="shared" si="353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20.25" hidden="1" customHeight="1">
      <c r="A773" s="598"/>
      <c r="B773" s="604"/>
      <c r="C773" s="599"/>
      <c r="D773" s="780" t="s">
        <v>20</v>
      </c>
      <c r="E773" s="599"/>
      <c r="F773" s="599"/>
      <c r="G773" s="602"/>
      <c r="H773" s="644" t="s">
        <v>12</v>
      </c>
      <c r="I773" s="166"/>
      <c r="J773" s="166"/>
      <c r="K773" s="167"/>
      <c r="L773" s="645">
        <f t="shared" ref="L773:N773" si="356">L774+L775</f>
        <v>0</v>
      </c>
      <c r="M773" s="645">
        <f t="shared" si="356"/>
        <v>0</v>
      </c>
      <c r="N773" s="645">
        <f t="shared" si="356"/>
        <v>0</v>
      </c>
      <c r="O773" s="645">
        <f t="shared" si="352"/>
        <v>0</v>
      </c>
      <c r="P773" s="645">
        <f t="shared" si="353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20.25" hidden="1" customHeight="1">
      <c r="A774" s="598"/>
      <c r="B774" s="604"/>
      <c r="C774" s="599"/>
      <c r="D774" s="600"/>
      <c r="E774" s="601" t="s">
        <v>185</v>
      </c>
      <c r="F774" s="599"/>
      <c r="G774" s="602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2"/>
        <v>0</v>
      </c>
      <c r="P774" s="45">
        <f t="shared" si="353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20.25" hidden="1" customHeight="1">
      <c r="A775" s="598"/>
      <c r="B775" s="604"/>
      <c r="C775" s="599"/>
      <c r="D775" s="600"/>
      <c r="E775" s="601" t="s">
        <v>186</v>
      </c>
      <c r="F775" s="599"/>
      <c r="G775" s="602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2"/>
        <v>0</v>
      </c>
      <c r="P775" s="45">
        <f t="shared" si="353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20.25" hidden="1" customHeight="1">
      <c r="A776" s="647"/>
      <c r="B776" s="604"/>
      <c r="C776" s="599"/>
      <c r="D776" s="599"/>
      <c r="E776" s="599"/>
      <c r="F776" s="601" t="s">
        <v>187</v>
      </c>
      <c r="G776" s="602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20.25" hidden="1" customHeight="1">
      <c r="A777" s="647"/>
      <c r="B777" s="604"/>
      <c r="C777" s="599"/>
      <c r="D777" s="599"/>
      <c r="E777" s="599"/>
      <c r="F777" s="601" t="s">
        <v>188</v>
      </c>
      <c r="G777" s="602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20.25" hidden="1" customHeight="1">
      <c r="A778" s="647"/>
      <c r="B778" s="604"/>
      <c r="C778" s="599"/>
      <c r="D778" s="599"/>
      <c r="E778" s="599"/>
      <c r="F778" s="601" t="s">
        <v>189</v>
      </c>
      <c r="G778" s="602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20.25" hidden="1" customHeight="1">
      <c r="A779" s="647"/>
      <c r="B779" s="604"/>
      <c r="C779" s="599"/>
      <c r="D779" s="599"/>
      <c r="E779" s="599"/>
      <c r="F779" s="601" t="s">
        <v>190</v>
      </c>
      <c r="G779" s="602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20.25" hidden="1" customHeight="1">
      <c r="A780" s="598"/>
      <c r="B780" s="604"/>
      <c r="C780" s="599"/>
      <c r="D780" s="780" t="s">
        <v>21</v>
      </c>
      <c r="E780" s="599"/>
      <c r="F780" s="599"/>
      <c r="G780" s="602"/>
      <c r="H780" s="781" t="s">
        <v>12</v>
      </c>
      <c r="I780" s="166"/>
      <c r="J780" s="166"/>
      <c r="K780" s="167"/>
      <c r="L780" s="645">
        <f t="shared" ref="L780:N780" si="357">L781+L782</f>
        <v>0</v>
      </c>
      <c r="M780" s="645">
        <f t="shared" si="357"/>
        <v>0</v>
      </c>
      <c r="N780" s="645">
        <f t="shared" si="357"/>
        <v>0</v>
      </c>
      <c r="O780" s="645">
        <f t="shared" ref="O780:O782" si="358">IF(L780&gt;0,N780*100/L780,0)</f>
        <v>0</v>
      </c>
      <c r="P780" s="645">
        <f t="shared" ref="P780:P782" si="359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20.25" hidden="1" customHeight="1">
      <c r="A781" s="598"/>
      <c r="B781" s="604"/>
      <c r="C781" s="599"/>
      <c r="D781" s="599"/>
      <c r="E781" s="601" t="s">
        <v>18</v>
      </c>
      <c r="F781" s="599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8"/>
        <v>0</v>
      </c>
      <c r="P781" s="45">
        <f t="shared" si="359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20.25" hidden="1" customHeight="1">
      <c r="A782" s="598"/>
      <c r="B782" s="604"/>
      <c r="C782" s="599"/>
      <c r="D782" s="599"/>
      <c r="E782" s="601" t="s">
        <v>19</v>
      </c>
      <c r="F782" s="599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8"/>
        <v>0</v>
      </c>
      <c r="P782" s="45">
        <f t="shared" si="359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20.25" hidden="1" customHeight="1">
      <c r="A783" s="613"/>
      <c r="B783" s="614"/>
      <c r="C783" s="599" t="s">
        <v>16</v>
      </c>
      <c r="D783" s="782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20.25" hidden="1" customHeight="1">
      <c r="A784" s="647"/>
      <c r="B784" s="604"/>
      <c r="C784" s="599"/>
      <c r="D784" s="599"/>
      <c r="E784" s="601" t="s">
        <v>319</v>
      </c>
      <c r="F784" s="599"/>
      <c r="G784" s="602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20.25" customHeight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60">I800</f>
        <v>0</v>
      </c>
      <c r="J785" s="806">
        <f t="shared" ca="1" si="360"/>
        <v>0</v>
      </c>
      <c r="K785" s="807">
        <f ca="1">IF(I785&gt;0,J785*100/I785,0)</f>
        <v>0</v>
      </c>
      <c r="L785" s="808"/>
      <c r="M785" s="808"/>
      <c r="N785" s="808"/>
      <c r="O785" s="808"/>
      <c r="P785" s="808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20.25" customHeight="1">
      <c r="A786" s="596"/>
      <c r="B786" s="574"/>
      <c r="C786" s="575" t="s">
        <v>16</v>
      </c>
      <c r="D786" s="847" t="s">
        <v>17</v>
      </c>
      <c r="E786" s="841"/>
      <c r="F786" s="841"/>
      <c r="G786" s="189"/>
      <c r="H786" s="597" t="s">
        <v>12</v>
      </c>
      <c r="I786" s="37"/>
      <c r="J786" s="37"/>
      <c r="K786" s="38"/>
      <c r="L786" s="195">
        <f t="shared" ref="L786:N786" ca="1" si="361">L787+L788</f>
        <v>0</v>
      </c>
      <c r="M786" s="195">
        <f t="shared" si="361"/>
        <v>0</v>
      </c>
      <c r="N786" s="195">
        <f t="shared" ca="1" si="361"/>
        <v>0</v>
      </c>
      <c r="O786" s="195">
        <f t="shared" ref="O786:O791" ca="1" si="362">IF(L786&gt;0,N786*100/L786,0)</f>
        <v>0</v>
      </c>
      <c r="P786" s="195">
        <f t="shared" ref="P786:P791" si="363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20.25" hidden="1" customHeight="1">
      <c r="A787" s="598"/>
      <c r="B787" s="604"/>
      <c r="C787" s="599"/>
      <c r="D787" s="600"/>
      <c r="E787" s="601" t="s">
        <v>185</v>
      </c>
      <c r="F787" s="599"/>
      <c r="G787" s="602"/>
      <c r="H787" s="165" t="s">
        <v>12</v>
      </c>
      <c r="I787" s="44"/>
      <c r="J787" s="44"/>
      <c r="K787" s="45"/>
      <c r="L787" s="45">
        <f t="shared" ref="L787:N787" si="364">L790+L797</f>
        <v>0</v>
      </c>
      <c r="M787" s="45">
        <f t="shared" si="364"/>
        <v>0</v>
      </c>
      <c r="N787" s="45">
        <f t="shared" si="364"/>
        <v>0</v>
      </c>
      <c r="O787" s="45">
        <f t="shared" si="362"/>
        <v>0</v>
      </c>
      <c r="P787" s="45">
        <f t="shared" si="363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20.25" hidden="1" customHeight="1">
      <c r="A788" s="598"/>
      <c r="B788" s="604"/>
      <c r="C788" s="604"/>
      <c r="D788" s="614"/>
      <c r="E788" s="601" t="s">
        <v>186</v>
      </c>
      <c r="F788" s="599"/>
      <c r="G788" s="602"/>
      <c r="H788" s="165" t="s">
        <v>12</v>
      </c>
      <c r="I788" s="44"/>
      <c r="J788" s="44"/>
      <c r="K788" s="45"/>
      <c r="L788" s="45">
        <f t="shared" ref="L788:N788" ca="1" si="365">L791+L798</f>
        <v>0</v>
      </c>
      <c r="M788" s="45">
        <f t="shared" si="365"/>
        <v>0</v>
      </c>
      <c r="N788" s="45">
        <f t="shared" ca="1" si="365"/>
        <v>0</v>
      </c>
      <c r="O788" s="45">
        <f t="shared" ca="1" si="362"/>
        <v>0</v>
      </c>
      <c r="P788" s="45">
        <f t="shared" si="363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20.25" customHeight="1">
      <c r="A789" s="596"/>
      <c r="B789" s="574"/>
      <c r="C789" s="574"/>
      <c r="D789" s="605" t="s">
        <v>20</v>
      </c>
      <c r="E789" s="575"/>
      <c r="F789" s="575"/>
      <c r="G789" s="189"/>
      <c r="H789" s="161" t="s">
        <v>12</v>
      </c>
      <c r="I789" s="162"/>
      <c r="J789" s="162"/>
      <c r="K789" s="163"/>
      <c r="L789" s="38">
        <f t="shared" ref="L789:N789" ca="1" si="366">L790+L791</f>
        <v>0</v>
      </c>
      <c r="M789" s="38">
        <f t="shared" si="366"/>
        <v>0</v>
      </c>
      <c r="N789" s="38">
        <f t="shared" ca="1" si="366"/>
        <v>0</v>
      </c>
      <c r="O789" s="38">
        <f t="shared" ca="1" si="362"/>
        <v>0</v>
      </c>
      <c r="P789" s="38">
        <f t="shared" si="363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20.25" hidden="1" customHeight="1">
      <c r="A790" s="598"/>
      <c r="B790" s="604"/>
      <c r="C790" s="604"/>
      <c r="D790" s="614"/>
      <c r="E790" s="601" t="s">
        <v>185</v>
      </c>
      <c r="F790" s="599"/>
      <c r="G790" s="602"/>
      <c r="H790" s="165" t="s">
        <v>12</v>
      </c>
      <c r="I790" s="44"/>
      <c r="J790" s="44"/>
      <c r="K790" s="45"/>
      <c r="L790" s="93">
        <v>0</v>
      </c>
      <c r="M790" s="93">
        <v>0</v>
      </c>
      <c r="N790" s="93">
        <v>0</v>
      </c>
      <c r="O790" s="45">
        <f t="shared" si="362"/>
        <v>0</v>
      </c>
      <c r="P790" s="45">
        <f t="shared" si="363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20.25" hidden="1" customHeight="1">
      <c r="A791" s="598"/>
      <c r="B791" s="604"/>
      <c r="C791" s="604"/>
      <c r="D791" s="614"/>
      <c r="E791" s="601" t="s">
        <v>186</v>
      </c>
      <c r="F791" s="599"/>
      <c r="G791" s="602"/>
      <c r="H791" s="165" t="s">
        <v>12</v>
      </c>
      <c r="I791" s="44"/>
      <c r="J791" s="44"/>
      <c r="K791" s="45"/>
      <c r="L791" s="45">
        <f ca="1">IFERROR(__xludf.DUMMYFUNCTION("IMPORTRANGE(""https://docs.google.com/spreadsheets/d/1kC41EOXpGBFOW658Fs3oD8beYlym0-zO54WY-2Qnp9I/edit?usp=share_link"",""กระบี่!L791"")
+IMPORTRANGE(""https://docs.google.com/spreadsheets/d/1FbzMZY_f3MDiEuK7RpCQKrilJ_kpX0Wm7QBZ1L7EjIU/edit?usp=share_link"&amp;""",""ชุมพร!L791"")+IMPORTRANGE(""https://docs.google.com/spreadsheets/d/1v5sN-00LrXuhBxw4dkh2GrG_z4l5oAqOdJRBCsUyMaM/edit?usp=share_link"",""ตรัง!L791"")+IMPORTRANGE(""https://docs.google.com/spreadsheets/d/1T5rRTzFc79aSIvqnzkZNvwPstq829QYz_xALlO1Z0s8/edi"&amp;"t?usp=share_link"",""นครศรีธรรมราช!L791"")+IMPORTRANGE(""https://docs.google.com/spreadsheets/d/1BeghqumK0IvCmRd2QOy6_afsZq7ZtAGrSnVJy2u7WmY/edit?usp=share_link"",""นราธิวาส!L791"")+IMPORTRANGE(""https://docs.google.com/spreadsheets/d/1IwnW3-jjRf74MCLW-6P"&amp;"iFwMUffRQXZwZA7YM609NmRc/edit?usp=share_link"",""ปัตตานี!L791"")+IMPORTRANGE(""https://docs.google.com/spreadsheets/d/1vl4QWbWdFruual5o_wdo6ZSqXZ_it806oja4CctTLKs/edit?usp=share_link"",""พังงา!L791"")+IMPORTRANGE(""https://docs.google.com/spreadsheets/d/1"&amp;"b6QssHQp2FoAPSMKHOy273KNzAomaIKhtdlvuZ_zDNE/edit?usp=share_link"",""พัทลุง!L791"")+IMPORTRANGE(""https://docs.google.com/spreadsheets/d/1o7UZe4_OqlqtLDHrj01Z2YFRSZDf1DMy1n3XViHaxRc/edit?usp=share_link"",""ภูเก็ต!L791"")+IMPORTRANGE(""https://docs.google.c"&amp;"om/spreadsheets/d/1ctPm1vUzcUCPuOj9-eoHUD85PqINFqUB0TjdSWmR5-c/edit?usp=share_link"",""ยะลา!L791"")+IMPORTRANGE(""https://docs.google.com/spreadsheets/d/1YiDIE7Klmt8osgdapRqYWNr7iPGFSsiJqq46S7PYRE0/edit?usp=share_link"",""ระนอง!L791"")+IMPORTRANGE(""https"&amp;"://docs.google.com/spreadsheets/d/16o_4B-V7AWw_6E93bSpXj_XxVv1oVQctk-B6z1dNEWU/edit?usp=share_link"",""สงขลา!L791"")+IMPORTRANGE(""https://docs.google.com/spreadsheets/d/16cywr71Fj4fA5OGRHsZh30ZG2gwJhMAQv69oVBzYHv0/edit?usp=share_link"",""สตูล!L791"")+IMP"&amp;"ORTRANGE(""https://docs.google.com/spreadsheets/d/1vO9Sws6kMtrVtyvrAJptINXjK8TFBoX9xLYOVK_C8bQ/edit?usp=share_link"",""สุราษฎร์ธานี!L791"")"),0)</f>
        <v>0</v>
      </c>
      <c r="M791" s="93">
        <v>0</v>
      </c>
      <c r="N791" s="45">
        <f ca="1">N792+N793+N794+N795</f>
        <v>0</v>
      </c>
      <c r="O791" s="45">
        <f t="shared" ca="1" si="362"/>
        <v>0</v>
      </c>
      <c r="P791" s="45">
        <f t="shared" si="363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20.25" customHeight="1">
      <c r="A792" s="573"/>
      <c r="B792" s="574"/>
      <c r="C792" s="575"/>
      <c r="D792" s="575"/>
      <c r="E792" s="575"/>
      <c r="F792" s="576" t="s">
        <v>187</v>
      </c>
      <c r="G792" s="189"/>
      <c r="H792" s="161" t="s">
        <v>12</v>
      </c>
      <c r="I792" s="37"/>
      <c r="J792" s="37"/>
      <c r="K792" s="38"/>
      <c r="L792" s="38"/>
      <c r="M792" s="38"/>
      <c r="N792" s="283">
        <f ca="1">IFERROR(__xludf.DUMMYFUNCTION("IMPORTRANGE(""https://docs.google.com/spreadsheets/d/1kC41EOXpGBFOW658Fs3oD8beYlym0-zO54WY-2Qnp9I/edit?usp=share_link"",""กระบี่!N792"")
+IMPORTRANGE(""https://docs.google.com/spreadsheets/d/1FbzMZY_f3MDiEuK7RpCQKrilJ_kpX0Wm7QBZ1L7EjIU/edit?usp=share_link"&amp;""",""ชุมพร!N792"")+IMPORTRANGE(""https://docs.google.com/spreadsheets/d/1v5sN-00LrXuhBxw4dkh2GrG_z4l5oAqOdJRBCsUyMaM/edit?usp=share_link"",""ตรัง!N792"")+IMPORTRANGE(""https://docs.google.com/spreadsheets/d/1T5rRTzFc79aSIvqnzkZNvwPstq829QYz_xALlO1Z0s8/edi"&amp;"t?usp=share_link"",""นครศรีธรรมราช!N792"")+IMPORTRANGE(""https://docs.google.com/spreadsheets/d/1BeghqumK0IvCmRd2QOy6_afsZq7ZtAGrSnVJy2u7WmY/edit?usp=share_link"",""นราธิวาส!N792"")+IMPORTRANGE(""https://docs.google.com/spreadsheets/d/1IwnW3-jjRf74MCLW-6P"&amp;"iFwMUffRQXZwZA7YM609NmRc/edit?usp=share_link"",""ปัตตานี!N792"")+IMPORTRANGE(""https://docs.google.com/spreadsheets/d/1vl4QWbWdFruual5o_wdo6ZSqXZ_it806oja4CctTLKs/edit?usp=share_link"",""พังงา!N792"")+IMPORTRANGE(""https://docs.google.com/spreadsheets/d/1"&amp;"b6QssHQp2FoAPSMKHOy273KNzAomaIKhtdlvuZ_zDNE/edit?usp=share_link"",""พัทลุง!N792"")+IMPORTRANGE(""https://docs.google.com/spreadsheets/d/1o7UZe4_OqlqtLDHrj01Z2YFRSZDf1DMy1n3XViHaxRc/edit?usp=share_link"",""ภูเก็ต!N792"")+IMPORTRANGE(""https://docs.google.c"&amp;"om/spreadsheets/d/1ctPm1vUzcUCPuOj9-eoHUD85PqINFqUB0TjdSWmR5-c/edit?usp=share_link"",""ยะลา!N792"")+IMPORTRANGE(""https://docs.google.com/spreadsheets/d/1YiDIE7Klmt8osgdapRqYWNr7iPGFSsiJqq46S7PYRE0/edit?usp=share_link"",""ระนอง!N792"")+IMPORTRANGE(""https"&amp;"://docs.google.com/spreadsheets/d/16o_4B-V7AWw_6E93bSpXj_XxVv1oVQctk-B6z1dNEWU/edit?usp=share_link"",""สงขลา!N792"")+IMPORTRANGE(""https://docs.google.com/spreadsheets/d/16cywr71Fj4fA5OGRHsZh30ZG2gwJhMAQv69oVBzYHv0/edit?usp=share_link"",""สตูล!N792"")+IMP"&amp;"ORTRANGE(""https://docs.google.com/spreadsheets/d/1vO9Sws6kMtrVtyvrAJptINXjK8TFBoX9xLYOVK_C8bQ/edit?usp=share_link"",""สุราษฎร์ธานี!N792"")"),0)</f>
        <v>0</v>
      </c>
      <c r="O792" s="38"/>
      <c r="P792" s="3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20.25" customHeight="1">
      <c r="A793" s="573"/>
      <c r="B793" s="574"/>
      <c r="C793" s="575"/>
      <c r="D793" s="575"/>
      <c r="E793" s="575"/>
      <c r="F793" s="576" t="s">
        <v>188</v>
      </c>
      <c r="G793" s="189"/>
      <c r="H793" s="161" t="s">
        <v>12</v>
      </c>
      <c r="I793" s="37"/>
      <c r="J793" s="37"/>
      <c r="K793" s="38"/>
      <c r="L793" s="38"/>
      <c r="M793" s="38"/>
      <c r="N793" s="283">
        <f ca="1">IFERROR(__xludf.DUMMYFUNCTION("IMPORTRANGE(""https://docs.google.com/spreadsheets/d/1kC41EOXpGBFOW658Fs3oD8beYlym0-zO54WY-2Qnp9I/edit?usp=share_link"",""กระบี่!N793"")
+IMPORTRANGE(""https://docs.google.com/spreadsheets/d/1FbzMZY_f3MDiEuK7RpCQKrilJ_kpX0Wm7QBZ1L7EjIU/edit?usp=share_link"&amp;""",""ชุมพร!N793"")+IMPORTRANGE(""https://docs.google.com/spreadsheets/d/1v5sN-00LrXuhBxw4dkh2GrG_z4l5oAqOdJRBCsUyMaM/edit?usp=share_link"",""ตรัง!N793"")+IMPORTRANGE(""https://docs.google.com/spreadsheets/d/1T5rRTzFc79aSIvqnzkZNvwPstq829QYz_xALlO1Z0s8/edi"&amp;"t?usp=share_link"",""นครศรีธรรมราช!N793"")+IMPORTRANGE(""https://docs.google.com/spreadsheets/d/1BeghqumK0IvCmRd2QOy6_afsZq7ZtAGrSnVJy2u7WmY/edit?usp=share_link"",""นราธิวาส!N793"")+IMPORTRANGE(""https://docs.google.com/spreadsheets/d/1IwnW3-jjRf74MCLW-6P"&amp;"iFwMUffRQXZwZA7YM609NmRc/edit?usp=share_link"",""ปัตตานี!N793"")+IMPORTRANGE(""https://docs.google.com/spreadsheets/d/1vl4QWbWdFruual5o_wdo6ZSqXZ_it806oja4CctTLKs/edit?usp=share_link"",""พังงา!N793"")+IMPORTRANGE(""https://docs.google.com/spreadsheets/d/1"&amp;"b6QssHQp2FoAPSMKHOy273KNzAomaIKhtdlvuZ_zDNE/edit?usp=share_link"",""พัทลุง!N793"")+IMPORTRANGE(""https://docs.google.com/spreadsheets/d/1o7UZe4_OqlqtLDHrj01Z2YFRSZDf1DMy1n3XViHaxRc/edit?usp=share_link"",""ภูเก็ต!N793"")+IMPORTRANGE(""https://docs.google.c"&amp;"om/spreadsheets/d/1ctPm1vUzcUCPuOj9-eoHUD85PqINFqUB0TjdSWmR5-c/edit?usp=share_link"",""ยะลา!N793"")+IMPORTRANGE(""https://docs.google.com/spreadsheets/d/1YiDIE7Klmt8osgdapRqYWNr7iPGFSsiJqq46S7PYRE0/edit?usp=share_link"",""ระนอง!N793"")+IMPORTRANGE(""https"&amp;"://docs.google.com/spreadsheets/d/16o_4B-V7AWw_6E93bSpXj_XxVv1oVQctk-B6z1dNEWU/edit?usp=share_link"",""สงขลา!N793"")+IMPORTRANGE(""https://docs.google.com/spreadsheets/d/16cywr71Fj4fA5OGRHsZh30ZG2gwJhMAQv69oVBzYHv0/edit?usp=share_link"",""สตูล!N793"")+IMP"&amp;"ORTRANGE(""https://docs.google.com/spreadsheets/d/1vO9Sws6kMtrVtyvrAJptINXjK8TFBoX9xLYOVK_C8bQ/edit?usp=share_link"",""สุราษฎร์ธานี!N793"")"),0)</f>
        <v>0</v>
      </c>
      <c r="O793" s="38"/>
      <c r="P793" s="3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20.25" customHeight="1">
      <c r="A794" s="573"/>
      <c r="B794" s="574"/>
      <c r="C794" s="575"/>
      <c r="D794" s="575"/>
      <c r="E794" s="575"/>
      <c r="F794" s="576" t="s">
        <v>189</v>
      </c>
      <c r="G794" s="189"/>
      <c r="H794" s="161" t="s">
        <v>12</v>
      </c>
      <c r="I794" s="37"/>
      <c r="J794" s="37"/>
      <c r="K794" s="38"/>
      <c r="L794" s="38"/>
      <c r="M794" s="38"/>
      <c r="N794" s="283">
        <f ca="1">IFERROR(__xludf.DUMMYFUNCTION("IMPORTRANGE(""https://docs.google.com/spreadsheets/d/1kC41EOXpGBFOW658Fs3oD8beYlym0-zO54WY-2Qnp9I/edit?usp=share_link"",""กระบี่!N794"")
+IMPORTRANGE(""https://docs.google.com/spreadsheets/d/1FbzMZY_f3MDiEuK7RpCQKrilJ_kpX0Wm7QBZ1L7EjIU/edit?usp=share_link"&amp;""",""ชุมพร!N794"")+IMPORTRANGE(""https://docs.google.com/spreadsheets/d/1v5sN-00LrXuhBxw4dkh2GrG_z4l5oAqOdJRBCsUyMaM/edit?usp=share_link"",""ตรัง!N794"")+IMPORTRANGE(""https://docs.google.com/spreadsheets/d/1T5rRTzFc79aSIvqnzkZNvwPstq829QYz_xALlO1Z0s8/edi"&amp;"t?usp=share_link"",""นครศรีธรรมราช!N794"")+IMPORTRANGE(""https://docs.google.com/spreadsheets/d/1BeghqumK0IvCmRd2QOy6_afsZq7ZtAGrSnVJy2u7WmY/edit?usp=share_link"",""นราธิวาส!N794"")+IMPORTRANGE(""https://docs.google.com/spreadsheets/d/1IwnW3-jjRf74MCLW-6P"&amp;"iFwMUffRQXZwZA7YM609NmRc/edit?usp=share_link"",""ปัตตานี!N794"")+IMPORTRANGE(""https://docs.google.com/spreadsheets/d/1vl4QWbWdFruual5o_wdo6ZSqXZ_it806oja4CctTLKs/edit?usp=share_link"",""พังงา!N794"")+IMPORTRANGE(""https://docs.google.com/spreadsheets/d/1"&amp;"b6QssHQp2FoAPSMKHOy273KNzAomaIKhtdlvuZ_zDNE/edit?usp=share_link"",""พัทลุง!N794"")+IMPORTRANGE(""https://docs.google.com/spreadsheets/d/1o7UZe4_OqlqtLDHrj01Z2YFRSZDf1DMy1n3XViHaxRc/edit?usp=share_link"",""ภูเก็ต!N794"")+IMPORTRANGE(""https://docs.google.c"&amp;"om/spreadsheets/d/1ctPm1vUzcUCPuOj9-eoHUD85PqINFqUB0TjdSWmR5-c/edit?usp=share_link"",""ยะลา!N794"")+IMPORTRANGE(""https://docs.google.com/spreadsheets/d/1YiDIE7Klmt8osgdapRqYWNr7iPGFSsiJqq46S7PYRE0/edit?usp=share_link"",""ระนอง!N794"")+IMPORTRANGE(""https"&amp;"://docs.google.com/spreadsheets/d/16o_4B-V7AWw_6E93bSpXj_XxVv1oVQctk-B6z1dNEWU/edit?usp=share_link"",""สงขลา!N794"")+IMPORTRANGE(""https://docs.google.com/spreadsheets/d/16cywr71Fj4fA5OGRHsZh30ZG2gwJhMAQv69oVBzYHv0/edit?usp=share_link"",""สตูล!N794"")+IMP"&amp;"ORTRANGE(""https://docs.google.com/spreadsheets/d/1vO9Sws6kMtrVtyvrAJptINXjK8TFBoX9xLYOVK_C8bQ/edit?usp=share_link"",""สุราษฎร์ธานี!N794"")"),0)</f>
        <v>0</v>
      </c>
      <c r="O794" s="38"/>
      <c r="P794" s="3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20.25" customHeight="1">
      <c r="A795" s="573"/>
      <c r="B795" s="574"/>
      <c r="C795" s="575"/>
      <c r="D795" s="575"/>
      <c r="E795" s="575"/>
      <c r="F795" s="576" t="s">
        <v>190</v>
      </c>
      <c r="G795" s="189"/>
      <c r="H795" s="161" t="s">
        <v>12</v>
      </c>
      <c r="I795" s="37"/>
      <c r="J795" s="37"/>
      <c r="K795" s="38"/>
      <c r="L795" s="38"/>
      <c r="M795" s="38"/>
      <c r="N795" s="283">
        <f ca="1">IFERROR(__xludf.DUMMYFUNCTION("IMPORTRANGE(""https://docs.google.com/spreadsheets/d/1kC41EOXpGBFOW658Fs3oD8beYlym0-zO54WY-2Qnp9I/edit?usp=share_link"",""กระบี่!N795"")
+IMPORTRANGE(""https://docs.google.com/spreadsheets/d/1FbzMZY_f3MDiEuK7RpCQKrilJ_kpX0Wm7QBZ1L7EjIU/edit?usp=share_link"&amp;""",""ชุมพร!N795"")+IMPORTRANGE(""https://docs.google.com/spreadsheets/d/1v5sN-00LrXuhBxw4dkh2GrG_z4l5oAqOdJRBCsUyMaM/edit?usp=share_link"",""ตรัง!N795"")+IMPORTRANGE(""https://docs.google.com/spreadsheets/d/1T5rRTzFc79aSIvqnzkZNvwPstq829QYz_xALlO1Z0s8/edi"&amp;"t?usp=share_link"",""นครศรีธรรมราช!N795"")+IMPORTRANGE(""https://docs.google.com/spreadsheets/d/1BeghqumK0IvCmRd2QOy6_afsZq7ZtAGrSnVJy2u7WmY/edit?usp=share_link"",""นราธิวาส!N795"")+IMPORTRANGE(""https://docs.google.com/spreadsheets/d/1IwnW3-jjRf74MCLW-6P"&amp;"iFwMUffRQXZwZA7YM609NmRc/edit?usp=share_link"",""ปัตตานี!N795"")+IMPORTRANGE(""https://docs.google.com/spreadsheets/d/1vl4QWbWdFruual5o_wdo6ZSqXZ_it806oja4CctTLKs/edit?usp=share_link"",""พังงา!N795"")+IMPORTRANGE(""https://docs.google.com/spreadsheets/d/1"&amp;"b6QssHQp2FoAPSMKHOy273KNzAomaIKhtdlvuZ_zDNE/edit?usp=share_link"",""พัทลุง!N795"")+IMPORTRANGE(""https://docs.google.com/spreadsheets/d/1o7UZe4_OqlqtLDHrj01Z2YFRSZDf1DMy1n3XViHaxRc/edit?usp=share_link"",""ภูเก็ต!N795"")+IMPORTRANGE(""https://docs.google.c"&amp;"om/spreadsheets/d/1ctPm1vUzcUCPuOj9-eoHUD85PqINFqUB0TjdSWmR5-c/edit?usp=share_link"",""ยะลา!N795"")+IMPORTRANGE(""https://docs.google.com/spreadsheets/d/1YiDIE7Klmt8osgdapRqYWNr7iPGFSsiJqq46S7PYRE0/edit?usp=share_link"",""ระนอง!N795"")+IMPORTRANGE(""https"&amp;"://docs.google.com/spreadsheets/d/16o_4B-V7AWw_6E93bSpXj_XxVv1oVQctk-B6z1dNEWU/edit?usp=share_link"",""สงขลา!N795"")+IMPORTRANGE(""https://docs.google.com/spreadsheets/d/16cywr71Fj4fA5OGRHsZh30ZG2gwJhMAQv69oVBzYHv0/edit?usp=share_link"",""สตูล!N795"")+IMP"&amp;"ORTRANGE(""https://docs.google.com/spreadsheets/d/1vO9Sws6kMtrVtyvrAJptINXjK8TFBoX9xLYOVK_C8bQ/edit?usp=share_link"",""สุราษฎร์ธานี!N795"")"),0)</f>
        <v>0</v>
      </c>
      <c r="O795" s="38"/>
      <c r="P795" s="3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20.25" customHeight="1">
      <c r="A796" s="596"/>
      <c r="B796" s="574"/>
      <c r="C796" s="575"/>
      <c r="D796" s="605" t="s">
        <v>21</v>
      </c>
      <c r="E796" s="575"/>
      <c r="F796" s="575"/>
      <c r="G796" s="189"/>
      <c r="H796" s="168" t="s">
        <v>12</v>
      </c>
      <c r="I796" s="162"/>
      <c r="J796" s="162"/>
      <c r="K796" s="163"/>
      <c r="L796" s="38">
        <f t="shared" ref="L796:N796" si="367">L797+L798</f>
        <v>0</v>
      </c>
      <c r="M796" s="38">
        <f t="shared" si="367"/>
        <v>0</v>
      </c>
      <c r="N796" s="38">
        <f t="shared" si="367"/>
        <v>0</v>
      </c>
      <c r="O796" s="38">
        <f t="shared" ref="O796:O798" si="368">IF(L796&gt;0,N796*100/L796,0)</f>
        <v>0</v>
      </c>
      <c r="P796" s="38">
        <f t="shared" ref="P796:P798" si="369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20.25" hidden="1" customHeight="1">
      <c r="A797" s="598"/>
      <c r="B797" s="604"/>
      <c r="C797" s="599"/>
      <c r="D797" s="599"/>
      <c r="E797" s="601" t="s">
        <v>18</v>
      </c>
      <c r="F797" s="599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45">
        <f t="shared" si="368"/>
        <v>0</v>
      </c>
      <c r="P797" s="45">
        <f t="shared" si="369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20.25" hidden="1" customHeight="1">
      <c r="A798" s="598"/>
      <c r="B798" s="604"/>
      <c r="C798" s="599"/>
      <c r="D798" s="599"/>
      <c r="E798" s="601" t="s">
        <v>19</v>
      </c>
      <c r="F798" s="599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45">
        <f t="shared" si="368"/>
        <v>0</v>
      </c>
      <c r="P798" s="45">
        <f t="shared" si="369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20.25" customHeight="1">
      <c r="A799" s="607"/>
      <c r="B799" s="608"/>
      <c r="C799" s="575" t="s">
        <v>16</v>
      </c>
      <c r="D799" s="758" t="s">
        <v>38</v>
      </c>
      <c r="E799" s="611"/>
      <c r="F799" s="611"/>
      <c r="G799" s="612"/>
      <c r="H799" s="809"/>
      <c r="I799" s="162"/>
      <c r="J799" s="162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20.25" customHeight="1">
      <c r="A800" s="607"/>
      <c r="B800" s="608"/>
      <c r="C800" s="608"/>
      <c r="D800" s="608"/>
      <c r="E800" s="618"/>
      <c r="F800" s="187" t="s">
        <v>321</v>
      </c>
      <c r="G800" s="175"/>
      <c r="H800" s="185" t="s">
        <v>46</v>
      </c>
      <c r="I800" s="162">
        <f ca="1">IFERROR(__xludf.DUMMYFUNCTION("IMPORTRANGE(""https://docs.google.com/spreadsheets/d/1kC41EOXpGBFOW658Fs3oD8beYlym0-zO54WY-2Qnp9I/edit?usp=share_link"",""กระบี่!I800"")
+IMPORTRANGE(""https://docs.google.com/spreadsheets/d/1FbzMZY_f3MDiEuK7RpCQKrilJ_kpX0Wm7QBZ1L7EjIU/edit?usp=share_link"&amp;""",""ชุมพร!I800"")+IMPORTRANGE(""https://docs.google.com/spreadsheets/d/1v5sN-00LrXuhBxw4dkh2GrG_z4l5oAqOdJRBCsUyMaM/edit?usp=share_link"",""ตรัง!I800"")+IMPORTRANGE(""https://docs.google.com/spreadsheets/d/1T5rRTzFc79aSIvqnzkZNvwPstq829QYz_xALlO1Z0s8/edi"&amp;"t?usp=share_link"",""นครศรีธรรมราช!I800"")+IMPORTRANGE(""https://docs.google.com/spreadsheets/d/1BeghqumK0IvCmRd2QOy6_afsZq7ZtAGrSnVJy2u7WmY/edit?usp=share_link"",""นราธิวาส!I800"")+IMPORTRANGE(""https://docs.google.com/spreadsheets/d/1IwnW3-jjRf74MCLW-6P"&amp;"iFwMUffRQXZwZA7YM609NmRc/edit?usp=share_link"",""ปัตตานี!I800"")+IMPORTRANGE(""https://docs.google.com/spreadsheets/d/1vl4QWbWdFruual5o_wdo6ZSqXZ_it806oja4CctTLKs/edit?usp=share_link"",""พังงา!I800"")+IMPORTRANGE(""https://docs.google.com/spreadsheets/d/1"&amp;"b6QssHQp2FoAPSMKHOy273KNzAomaIKhtdlvuZ_zDNE/edit?usp=share_link"",""พัทลุง!I800"")+IMPORTRANGE(""https://docs.google.com/spreadsheets/d/1o7UZe4_OqlqtLDHrj01Z2YFRSZDf1DMy1n3XViHaxRc/edit?usp=share_link"",""ภูเก็ต!I800"")+IMPORTRANGE(""https://docs.google.c"&amp;"om/spreadsheets/d/1ctPm1vUzcUCPuOj9-eoHUD85PqINFqUB0TjdSWmR5-c/edit?usp=share_link"",""ยะลา!I800"")+IMPORTRANGE(""https://docs.google.com/spreadsheets/d/1YiDIE7Klmt8osgdapRqYWNr7iPGFSsiJqq46S7PYRE0/edit?usp=share_link"",""ระนอง!I800"")+IMPORTRANGE(""https"&amp;"://docs.google.com/spreadsheets/d/16o_4B-V7AWw_6E93bSpXj_XxVv1oVQctk-B6z1dNEWU/edit?usp=share_link"",""สงขลา!I800"")+IMPORTRANGE(""https://docs.google.com/spreadsheets/d/16cywr71Fj4fA5OGRHsZh30ZG2gwJhMAQv69oVBzYHv0/edit?usp=share_link"",""สตูล!I800"")+IMP"&amp;"ORTRANGE(""https://docs.google.com/spreadsheets/d/1vO9Sws6kMtrVtyvrAJptINXjK8TFBoX9xLYOVK_C8bQ/edit?usp=share_link"",""สุราษฎร์ธานี!I800"")"),0)</f>
        <v>0</v>
      </c>
      <c r="J800" s="184">
        <f ca="1">IFERROR(__xludf.DUMMYFUNCTION("IMPORTRANGE(""https://docs.google.com/spreadsheets/d/1kC41EOXpGBFOW658Fs3oD8beYlym0-zO54WY-2Qnp9I/edit?usp=share_link"",""กระบี่!J800"")
+IMPORTRANGE(""https://docs.google.com/spreadsheets/d/1FbzMZY_f3MDiEuK7RpCQKrilJ_kpX0Wm7QBZ1L7EjIU/edit?usp=share_link"&amp;""",""ชุมพร!J800"")+IMPORTRANGE(""https://docs.google.com/spreadsheets/d/1v5sN-00LrXuhBxw4dkh2GrG_z4l5oAqOdJRBCsUyMaM/edit?usp=share_link"",""ตรัง!J800"")+IMPORTRANGE(""https://docs.google.com/spreadsheets/d/1T5rRTzFc79aSIvqnzkZNvwPstq829QYz_xALlO1Z0s8/edi"&amp;"t?usp=share_link"",""นครศรีธรรมราช!J800"")+IMPORTRANGE(""https://docs.google.com/spreadsheets/d/1BeghqumK0IvCmRd2QOy6_afsZq7ZtAGrSnVJy2u7WmY/edit?usp=share_link"",""นราธิวาส!J800"")+IMPORTRANGE(""https://docs.google.com/spreadsheets/d/1IwnW3-jjRf74MCLW-6P"&amp;"iFwMUffRQXZwZA7YM609NmRc/edit?usp=share_link"",""ปัตตานี!J800"")+IMPORTRANGE(""https://docs.google.com/spreadsheets/d/1vl4QWbWdFruual5o_wdo6ZSqXZ_it806oja4CctTLKs/edit?usp=share_link"",""พังงา!J800"")+IMPORTRANGE(""https://docs.google.com/spreadsheets/d/1"&amp;"b6QssHQp2FoAPSMKHOy273KNzAomaIKhtdlvuZ_zDNE/edit?usp=share_link"",""พัทลุง!J800"")+IMPORTRANGE(""https://docs.google.com/spreadsheets/d/1o7UZe4_OqlqtLDHrj01Z2YFRSZDf1DMy1n3XViHaxRc/edit?usp=share_link"",""ภูเก็ต!J800"")+IMPORTRANGE(""https://docs.google.c"&amp;"om/spreadsheets/d/1ctPm1vUzcUCPuOj9-eoHUD85PqINFqUB0TjdSWmR5-c/edit?usp=share_link"",""ยะลา!J800"")+IMPORTRANGE(""https://docs.google.com/spreadsheets/d/1YiDIE7Klmt8osgdapRqYWNr7iPGFSsiJqq46S7PYRE0/edit?usp=share_link"",""ระนอง!J800"")+IMPORTRANGE(""https"&amp;"://docs.google.com/spreadsheets/d/16o_4B-V7AWw_6E93bSpXj_XxVv1oVQctk-B6z1dNEWU/edit?usp=share_link"",""สงขลา!J800"")+IMPORTRANGE(""https://docs.google.com/spreadsheets/d/16cywr71Fj4fA5OGRHsZh30ZG2gwJhMAQv69oVBzYHv0/edit?usp=share_link"",""สตูล!J800"")+IMP"&amp;"ORTRANGE(""https://docs.google.com/spreadsheets/d/1vO9Sws6kMtrVtyvrAJptINXjK8TFBoX9xLYOVK_C8bQ/edit?usp=share_link"",""สุราษฎร์ธานี!J800"")"),0)</f>
        <v>0</v>
      </c>
      <c r="K800" s="38">
        <f ca="1">IF(I800&gt;0,J800*100/I800,0)</f>
        <v>0</v>
      </c>
      <c r="L800" s="38"/>
      <c r="M800" s="38"/>
      <c r="N800" s="3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20.25" customHeight="1">
      <c r="A801" s="607"/>
      <c r="B801" s="608"/>
      <c r="C801" s="608"/>
      <c r="D801" s="608"/>
      <c r="E801" s="618"/>
      <c r="F801" s="618"/>
      <c r="G801" s="175"/>
      <c r="H801" s="161" t="s">
        <v>34</v>
      </c>
      <c r="I801" s="162"/>
      <c r="J801" s="37">
        <f ca="1">IFERROR(__xludf.DUMMYFUNCTION("IMPORTRANGE(""https://docs.google.com/spreadsheets/d/1kC41EOXpGBFOW658Fs3oD8beYlym0-zO54WY-2Qnp9I/edit?usp=share_link"",""กระบี่!J801"")
+IMPORTRANGE(""https://docs.google.com/spreadsheets/d/1FbzMZY_f3MDiEuK7RpCQKrilJ_kpX0Wm7QBZ1L7EjIU/edit?usp=share_link"&amp;""",""ชุมพร!J801"")+IMPORTRANGE(""https://docs.google.com/spreadsheets/d/1v5sN-00LrXuhBxw4dkh2GrG_z4l5oAqOdJRBCsUyMaM/edit?usp=share_link"",""ตรัง!J801"")+IMPORTRANGE(""https://docs.google.com/spreadsheets/d/1T5rRTzFc79aSIvqnzkZNvwPstq829QYz_xALlO1Z0s8/edi"&amp;"t?usp=share_link"",""นครศรีธรรมราช!J801"")+IMPORTRANGE(""https://docs.google.com/spreadsheets/d/1BeghqumK0IvCmRd2QOy6_afsZq7ZtAGrSnVJy2u7WmY/edit?usp=share_link"",""นราธิวาส!J801"")+IMPORTRANGE(""https://docs.google.com/spreadsheets/d/1IwnW3-jjRf74MCLW-6P"&amp;"iFwMUffRQXZwZA7YM609NmRc/edit?usp=share_link"",""ปัตตานี!J801"")+IMPORTRANGE(""https://docs.google.com/spreadsheets/d/1vl4QWbWdFruual5o_wdo6ZSqXZ_it806oja4CctTLKs/edit?usp=share_link"",""พังงา!J801"")+IMPORTRANGE(""https://docs.google.com/spreadsheets/d/1"&amp;"b6QssHQp2FoAPSMKHOy273KNzAomaIKhtdlvuZ_zDNE/edit?usp=share_link"",""พัทลุง!J801"")+IMPORTRANGE(""https://docs.google.com/spreadsheets/d/1o7UZe4_OqlqtLDHrj01Z2YFRSZDf1DMy1n3XViHaxRc/edit?usp=share_link"",""ภูเก็ต!J801"")+IMPORTRANGE(""https://docs.google.c"&amp;"om/spreadsheets/d/1ctPm1vUzcUCPuOj9-eoHUD85PqINFqUB0TjdSWmR5-c/edit?usp=share_link"",""ยะลา!J801"")+IMPORTRANGE(""https://docs.google.com/spreadsheets/d/1YiDIE7Klmt8osgdapRqYWNr7iPGFSsiJqq46S7PYRE0/edit?usp=share_link"",""ระนอง!J801"")+IMPORTRANGE(""https"&amp;"://docs.google.com/spreadsheets/d/16o_4B-V7AWw_6E93bSpXj_XxVv1oVQctk-B6z1dNEWU/edit?usp=share_link"",""สงขลา!J801"")+IMPORTRANGE(""https://docs.google.com/spreadsheets/d/16cywr71Fj4fA5OGRHsZh30ZG2gwJhMAQv69oVBzYHv0/edit?usp=share_link"",""สตูล!J801"")+IMP"&amp;"ORTRANGE(""https://docs.google.com/spreadsheets/d/1vO9Sws6kMtrVtyvrAJptINXjK8TFBoX9xLYOVK_C8bQ/edit?usp=share_link"",""สุราษฎร์ธานี!J801"")"),0)</f>
        <v>0</v>
      </c>
      <c r="K801" s="38"/>
      <c r="L801" s="38"/>
      <c r="M801" s="38"/>
      <c r="N801" s="3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20.25" hidden="1" customHeight="1">
      <c r="A802" s="613"/>
      <c r="B802" s="614"/>
      <c r="C802" s="614"/>
      <c r="D802" s="614"/>
      <c r="E802" s="600"/>
      <c r="F802" s="718" t="s">
        <v>322</v>
      </c>
      <c r="G802" s="366"/>
      <c r="H802" s="651" t="s">
        <v>46</v>
      </c>
      <c r="I802" s="166"/>
      <c r="J802" s="44"/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20.25" hidden="1" customHeight="1">
      <c r="A803" s="613"/>
      <c r="B803" s="614"/>
      <c r="C803" s="614"/>
      <c r="D803" s="614"/>
      <c r="E803" s="600"/>
      <c r="F803" s="600"/>
      <c r="G803" s="366"/>
      <c r="H803" s="651" t="s">
        <v>34</v>
      </c>
      <c r="I803" s="166"/>
      <c r="J803" s="44"/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20.25" hidden="1" customHeight="1">
      <c r="A804" s="791">
        <v>13</v>
      </c>
      <c r="B804" s="792" t="s">
        <v>323</v>
      </c>
      <c r="C804" s="793"/>
      <c r="D804" s="810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20.25" hidden="1" customHeight="1">
      <c r="A805" s="598"/>
      <c r="B805" s="599"/>
      <c r="C805" s="599" t="s">
        <v>16</v>
      </c>
      <c r="D805" s="848" t="s">
        <v>17</v>
      </c>
      <c r="E805" s="841"/>
      <c r="F805" s="841"/>
      <c r="G805" s="602"/>
      <c r="H805" s="644" t="s">
        <v>12</v>
      </c>
      <c r="I805" s="44"/>
      <c r="J805" s="44"/>
      <c r="K805" s="45"/>
      <c r="L805" s="645">
        <f t="shared" ref="L805:N805" si="370">L806+L807</f>
        <v>0</v>
      </c>
      <c r="M805" s="645">
        <f t="shared" si="370"/>
        <v>0</v>
      </c>
      <c r="N805" s="645">
        <f t="shared" si="370"/>
        <v>0</v>
      </c>
      <c r="O805" s="645">
        <f t="shared" ref="O805:O810" si="371">IF(L805&gt;0,N805*100/L805,0)</f>
        <v>0</v>
      </c>
      <c r="P805" s="645">
        <f t="shared" ref="P805:P810" si="372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20.25" hidden="1" customHeight="1">
      <c r="A806" s="598"/>
      <c r="B806" s="599"/>
      <c r="C806" s="599"/>
      <c r="D806" s="614"/>
      <c r="E806" s="601" t="s">
        <v>185</v>
      </c>
      <c r="F806" s="599"/>
      <c r="G806" s="602"/>
      <c r="H806" s="165" t="s">
        <v>12</v>
      </c>
      <c r="I806" s="44"/>
      <c r="J806" s="44"/>
      <c r="K806" s="45"/>
      <c r="L806" s="45">
        <f t="shared" ref="L806:N806" si="373">L809+L816</f>
        <v>0</v>
      </c>
      <c r="M806" s="45">
        <f t="shared" si="373"/>
        <v>0</v>
      </c>
      <c r="N806" s="45">
        <f t="shared" si="373"/>
        <v>0</v>
      </c>
      <c r="O806" s="45">
        <f t="shared" si="371"/>
        <v>0</v>
      </c>
      <c r="P806" s="45">
        <f t="shared" si="372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20.25" hidden="1" customHeight="1">
      <c r="A807" s="598"/>
      <c r="B807" s="599"/>
      <c r="C807" s="599"/>
      <c r="D807" s="614"/>
      <c r="E807" s="601" t="s">
        <v>186</v>
      </c>
      <c r="F807" s="599"/>
      <c r="G807" s="602"/>
      <c r="H807" s="165" t="s">
        <v>12</v>
      </c>
      <c r="I807" s="44"/>
      <c r="J807" s="44"/>
      <c r="K807" s="45"/>
      <c r="L807" s="45">
        <f t="shared" ref="L807:N807" si="374">L810+L817</f>
        <v>0</v>
      </c>
      <c r="M807" s="45">
        <f t="shared" si="374"/>
        <v>0</v>
      </c>
      <c r="N807" s="45">
        <f t="shared" si="374"/>
        <v>0</v>
      </c>
      <c r="O807" s="45">
        <f t="shared" si="371"/>
        <v>0</v>
      </c>
      <c r="P807" s="45">
        <f t="shared" si="372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20.25" hidden="1" customHeight="1">
      <c r="A808" s="598"/>
      <c r="B808" s="604"/>
      <c r="C808" s="599"/>
      <c r="D808" s="850" t="s">
        <v>20</v>
      </c>
      <c r="E808" s="841"/>
      <c r="F808" s="841"/>
      <c r="G808" s="602"/>
      <c r="H808" s="644" t="s">
        <v>12</v>
      </c>
      <c r="I808" s="166"/>
      <c r="J808" s="166"/>
      <c r="K808" s="167"/>
      <c r="L808" s="645">
        <f t="shared" ref="L808:N808" si="375">L809+L810</f>
        <v>0</v>
      </c>
      <c r="M808" s="645">
        <f t="shared" si="375"/>
        <v>0</v>
      </c>
      <c r="N808" s="645">
        <f t="shared" si="375"/>
        <v>0</v>
      </c>
      <c r="O808" s="645">
        <f t="shared" si="371"/>
        <v>0</v>
      </c>
      <c r="P808" s="645">
        <f t="shared" si="372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20.25" hidden="1" customHeight="1">
      <c r="A809" s="598"/>
      <c r="B809" s="599"/>
      <c r="C809" s="599"/>
      <c r="D809" s="614"/>
      <c r="E809" s="601" t="s">
        <v>185</v>
      </c>
      <c r="F809" s="599"/>
      <c r="G809" s="602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1"/>
        <v>0</v>
      </c>
      <c r="P809" s="45">
        <f t="shared" si="372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20.25" hidden="1" customHeight="1">
      <c r="A810" s="598"/>
      <c r="B810" s="599"/>
      <c r="C810" s="599"/>
      <c r="D810" s="614"/>
      <c r="E810" s="601" t="s">
        <v>186</v>
      </c>
      <c r="F810" s="599"/>
      <c r="G810" s="602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1"/>
        <v>0</v>
      </c>
      <c r="P810" s="45">
        <f t="shared" si="372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20.25" hidden="1" customHeight="1">
      <c r="A811" s="647"/>
      <c r="B811" s="604"/>
      <c r="C811" s="599"/>
      <c r="D811" s="604"/>
      <c r="E811" s="599"/>
      <c r="F811" s="601" t="s">
        <v>187</v>
      </c>
      <c r="G811" s="602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20.25" hidden="1" customHeight="1">
      <c r="A812" s="647"/>
      <c r="B812" s="604"/>
      <c r="C812" s="599"/>
      <c r="D812" s="604"/>
      <c r="E812" s="599"/>
      <c r="F812" s="601" t="s">
        <v>188</v>
      </c>
      <c r="G812" s="602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20.25" hidden="1" customHeight="1">
      <c r="A813" s="647"/>
      <c r="B813" s="604"/>
      <c r="C813" s="599"/>
      <c r="D813" s="604"/>
      <c r="E813" s="599"/>
      <c r="F813" s="601" t="s">
        <v>189</v>
      </c>
      <c r="G813" s="602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20.25" hidden="1" customHeight="1">
      <c r="A814" s="647"/>
      <c r="B814" s="604"/>
      <c r="C814" s="599"/>
      <c r="D814" s="604"/>
      <c r="E814" s="599"/>
      <c r="F814" s="601" t="s">
        <v>190</v>
      </c>
      <c r="G814" s="602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20.25" hidden="1" customHeight="1">
      <c r="A815" s="598"/>
      <c r="B815" s="604"/>
      <c r="C815" s="599"/>
      <c r="D815" s="850" t="s">
        <v>21</v>
      </c>
      <c r="E815" s="841"/>
      <c r="F815" s="841"/>
      <c r="G815" s="602"/>
      <c r="H815" s="781" t="s">
        <v>12</v>
      </c>
      <c r="I815" s="166"/>
      <c r="J815" s="166"/>
      <c r="K815" s="167"/>
      <c r="L815" s="645">
        <f t="shared" ref="L815:N815" si="376">L816+L817</f>
        <v>0</v>
      </c>
      <c r="M815" s="645">
        <f t="shared" si="376"/>
        <v>0</v>
      </c>
      <c r="N815" s="645">
        <f t="shared" si="376"/>
        <v>0</v>
      </c>
      <c r="O815" s="645">
        <f t="shared" ref="O815:O817" si="377">IF(L815&gt;0,N815*100/L815,0)</f>
        <v>0</v>
      </c>
      <c r="P815" s="645">
        <f t="shared" ref="P815:P817" si="378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20.25" hidden="1" customHeight="1">
      <c r="A816" s="598"/>
      <c r="B816" s="604"/>
      <c r="C816" s="599"/>
      <c r="D816" s="604"/>
      <c r="E816" s="601" t="s">
        <v>18</v>
      </c>
      <c r="F816" s="599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7"/>
        <v>0</v>
      </c>
      <c r="P816" s="45">
        <f t="shared" si="378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20.25" hidden="1" customHeight="1">
      <c r="A817" s="598"/>
      <c r="B817" s="604"/>
      <c r="C817" s="599"/>
      <c r="D817" s="604"/>
      <c r="E817" s="601" t="s">
        <v>19</v>
      </c>
      <c r="F817" s="599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7"/>
        <v>0</v>
      </c>
      <c r="P817" s="45">
        <f t="shared" si="378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20.25" hidden="1" customHeight="1">
      <c r="A818" s="613"/>
      <c r="B818" s="614"/>
      <c r="C818" s="599" t="s">
        <v>16</v>
      </c>
      <c r="D818" s="811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20.25" hidden="1" customHeight="1">
      <c r="A819" s="812"/>
      <c r="B819" s="813"/>
      <c r="C819" s="814"/>
      <c r="D819" s="813"/>
      <c r="E819" s="815" t="s">
        <v>324</v>
      </c>
      <c r="F819" s="814"/>
      <c r="G819" s="816"/>
      <c r="H819" s="817" t="s">
        <v>46</v>
      </c>
      <c r="I819" s="818"/>
      <c r="J819" s="818"/>
      <c r="K819" s="819"/>
      <c r="L819" s="819"/>
      <c r="M819" s="819"/>
      <c r="N819" s="819"/>
      <c r="O819" s="819"/>
      <c r="P819" s="819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20.25" customHeight="1">
      <c r="A820" s="820" t="s">
        <v>325</v>
      </c>
      <c r="B820" s="821"/>
      <c r="C820" s="821"/>
      <c r="D820" s="822"/>
      <c r="E820" s="821"/>
      <c r="F820" s="821"/>
      <c r="G820" s="823"/>
      <c r="H820" s="824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215"/>
      <c r="J820" s="215"/>
      <c r="K820" s="825"/>
      <c r="L820" s="825"/>
      <c r="M820" s="825"/>
      <c r="N820" s="825"/>
      <c r="O820" s="825"/>
      <c r="P820" s="825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20.25" customHeight="1">
      <c r="A821" s="742"/>
      <c r="B821" s="576" t="s">
        <v>326</v>
      </c>
      <c r="C821" s="575"/>
      <c r="D821" s="574"/>
      <c r="E821" s="575"/>
      <c r="F821" s="575"/>
      <c r="G821" s="189"/>
      <c r="H821" s="36" t="s">
        <v>12</v>
      </c>
      <c r="I821" s="37">
        <f ca="1">IFERROR(__xludf.DUMMYFUNCTION("IMPORTRANGE(""https://docs.google.com/spreadsheets/d/1kC41EOXpGBFOW658Fs3oD8beYlym0-zO54WY-2Qnp9I/edit?usp=share_link"",""กระบี่!I821"")
+IMPORTRANGE(""https://docs.google.com/spreadsheets/d/1FbzMZY_f3MDiEuK7RpCQKrilJ_kpX0Wm7QBZ1L7EjIU/edit?usp=share_link"&amp;""",""ชุมพร!I821"")+IMPORTRANGE(""https://docs.google.com/spreadsheets/d/1v5sN-00LrXuhBxw4dkh2GrG_z4l5oAqOdJRBCsUyMaM/edit?usp=share_link"",""ตรัง!I821"")+IMPORTRANGE(""https://docs.google.com/spreadsheets/d/1T5rRTzFc79aSIvqnzkZNvwPstq829QYz_xALlO1Z0s8/edi"&amp;"t?usp=share_link"",""นครศรีธรรมราช!I821"")+IMPORTRANGE(""https://docs.google.com/spreadsheets/d/1BeghqumK0IvCmRd2QOy6_afsZq7ZtAGrSnVJy2u7WmY/edit?usp=share_link"",""นราธิวาส!I821"")+IMPORTRANGE(""https://docs.google.com/spreadsheets/d/1IwnW3-jjRf74MCLW-6P"&amp;"iFwMUffRQXZwZA7YM609NmRc/edit?usp=share_link"",""ปัตตานี!I821"")+IMPORTRANGE(""https://docs.google.com/spreadsheets/d/1vl4QWbWdFruual5o_wdo6ZSqXZ_it806oja4CctTLKs/edit?usp=share_link"",""พังงา!I821"")+IMPORTRANGE(""https://docs.google.com/spreadsheets/d/1"&amp;"b6QssHQp2FoAPSMKHOy273KNzAomaIKhtdlvuZ_zDNE/edit?usp=share_link"",""พัทลุง!I821"")+IMPORTRANGE(""https://docs.google.com/spreadsheets/d/1o7UZe4_OqlqtLDHrj01Z2YFRSZDf1DMy1n3XViHaxRc/edit?usp=share_link"",""ภูเก็ต!I821"")+IMPORTRANGE(""https://docs.google.c"&amp;"om/spreadsheets/d/1ctPm1vUzcUCPuOj9-eoHUD85PqINFqUB0TjdSWmR5-c/edit?usp=share_link"",""ยะลา!I821"")+IMPORTRANGE(""https://docs.google.com/spreadsheets/d/1YiDIE7Klmt8osgdapRqYWNr7iPGFSsiJqq46S7PYRE0/edit?usp=share_link"",""ระนอง!I821"")+IMPORTRANGE(""https"&amp;"://docs.google.com/spreadsheets/d/16o_4B-V7AWw_6E93bSpXj_XxVv1oVQctk-B6z1dNEWU/edit?usp=share_link"",""สงขลา!I821"")+IMPORTRANGE(""https://docs.google.com/spreadsheets/d/16cywr71Fj4fA5OGRHsZh30ZG2gwJhMAQv69oVBzYHv0/edit?usp=share_link"",""สตูล!I821"")+IMP"&amp;"ORTRANGE(""https://docs.google.com/spreadsheets/d/1vO9Sws6kMtrVtyvrAJptINXjK8TFBoX9xLYOVK_C8bQ/edit?usp=share_link"",""สุราษฎร์ธานี!I821"")"),20329297.68)</f>
        <v>20329297.68</v>
      </c>
      <c r="J821" s="37">
        <f ca="1">IFERROR(__xludf.DUMMYFUNCTION("IMPORTRANGE(""https://docs.google.com/spreadsheets/d/1kC41EOXpGBFOW658Fs3oD8beYlym0-zO54WY-2Qnp9I/edit?usp=share_link"",""กระบี่!J821"")
+IMPORTRANGE(""https://docs.google.com/spreadsheets/d/1FbzMZY_f3MDiEuK7RpCQKrilJ_kpX0Wm7QBZ1L7EjIU/edit?usp=share_link"&amp;""",""ชุมพร!J821"")+IMPORTRANGE(""https://docs.google.com/spreadsheets/d/1v5sN-00LrXuhBxw4dkh2GrG_z4l5oAqOdJRBCsUyMaM/edit?usp=share_link"",""ตรัง!J821"")+IMPORTRANGE(""https://docs.google.com/spreadsheets/d/1T5rRTzFc79aSIvqnzkZNvwPstq829QYz_xALlO1Z0s8/edi"&amp;"t?usp=share_link"",""นครศรีธรรมราช!J821"")+IMPORTRANGE(""https://docs.google.com/spreadsheets/d/1BeghqumK0IvCmRd2QOy6_afsZq7ZtAGrSnVJy2u7WmY/edit?usp=share_link"",""นราธิวาส!J821"")+IMPORTRANGE(""https://docs.google.com/spreadsheets/d/1IwnW3-jjRf74MCLW-6P"&amp;"iFwMUffRQXZwZA7YM609NmRc/edit?usp=share_link"",""ปัตตานี!J821"")+IMPORTRANGE(""https://docs.google.com/spreadsheets/d/1vl4QWbWdFruual5o_wdo6ZSqXZ_it806oja4CctTLKs/edit?usp=share_link"",""พังงา!J821"")+IMPORTRANGE(""https://docs.google.com/spreadsheets/d/1"&amp;"b6QssHQp2FoAPSMKHOy273KNzAomaIKhtdlvuZ_zDNE/edit?usp=share_link"",""พัทลุง!J821"")+IMPORTRANGE(""https://docs.google.com/spreadsheets/d/1o7UZe4_OqlqtLDHrj01Z2YFRSZDf1DMy1n3XViHaxRc/edit?usp=share_link"",""ภูเก็ต!J821"")+IMPORTRANGE(""https://docs.google.c"&amp;"om/spreadsheets/d/1ctPm1vUzcUCPuOj9-eoHUD85PqINFqUB0TjdSWmR5-c/edit?usp=share_link"",""ยะลา!J821"")+IMPORTRANGE(""https://docs.google.com/spreadsheets/d/1YiDIE7Klmt8osgdapRqYWNr7iPGFSsiJqq46S7PYRE0/edit?usp=share_link"",""ระนอง!J821"")+IMPORTRANGE(""https"&amp;"://docs.google.com/spreadsheets/d/16o_4B-V7AWw_6E93bSpXj_XxVv1oVQctk-B6z1dNEWU/edit?usp=share_link"",""สงขลา!J821"")+IMPORTRANGE(""https://docs.google.com/spreadsheets/d/16cywr71Fj4fA5OGRHsZh30ZG2gwJhMAQv69oVBzYHv0/edit?usp=share_link"",""สตูล!J821"")+IMP"&amp;"ORTRANGE(""https://docs.google.com/spreadsheets/d/1vO9Sws6kMtrVtyvrAJptINXjK8TFBoX9xLYOVK_C8bQ/edit?usp=share_link"",""สุราษฎร์ธานี!J821"")"),5529675.32999999)</f>
        <v>5529675.3299999898</v>
      </c>
      <c r="K821" s="38">
        <f t="shared" ref="K821:K828" ca="1" si="379">IF(I821&gt;0,J821*100/I821,0)</f>
        <v>27.200523190922105</v>
      </c>
      <c r="L821" s="38"/>
      <c r="M821" s="38"/>
      <c r="N821" s="38"/>
      <c r="O821" s="38"/>
      <c r="P821" s="3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20.25" customHeight="1">
      <c r="A822" s="742"/>
      <c r="B822" s="575"/>
      <c r="C822" s="575"/>
      <c r="D822" s="574"/>
      <c r="E822" s="575"/>
      <c r="F822" s="575"/>
      <c r="G822" s="189"/>
      <c r="H822" s="36" t="s">
        <v>35</v>
      </c>
      <c r="I822" s="37">
        <f ca="1">IFERROR(__xludf.DUMMYFUNCTION("IMPORTRANGE(""https://docs.google.com/spreadsheets/d/1kC41EOXpGBFOW658Fs3oD8beYlym0-zO54WY-2Qnp9I/edit?usp=share_link"",""กระบี่!I822"")
+IMPORTRANGE(""https://docs.google.com/spreadsheets/d/1FbzMZY_f3MDiEuK7RpCQKrilJ_kpX0Wm7QBZ1L7EjIU/edit?usp=share_link"&amp;""",""ชุมพร!I822"")+IMPORTRANGE(""https://docs.google.com/spreadsheets/d/1v5sN-00LrXuhBxw4dkh2GrG_z4l5oAqOdJRBCsUyMaM/edit?usp=share_link"",""ตรัง!I822"")+IMPORTRANGE(""https://docs.google.com/spreadsheets/d/1T5rRTzFc79aSIvqnzkZNvwPstq829QYz_xALlO1Z0s8/edi"&amp;"t?usp=share_link"",""นครศรีธรรมราช!I822"")+IMPORTRANGE(""https://docs.google.com/spreadsheets/d/1BeghqumK0IvCmRd2QOy6_afsZq7ZtAGrSnVJy2u7WmY/edit?usp=share_link"",""นราธิวาส!I822"")+IMPORTRANGE(""https://docs.google.com/spreadsheets/d/1IwnW3-jjRf74MCLW-6P"&amp;"iFwMUffRQXZwZA7YM609NmRc/edit?usp=share_link"",""ปัตตานี!I822"")+IMPORTRANGE(""https://docs.google.com/spreadsheets/d/1vl4QWbWdFruual5o_wdo6ZSqXZ_it806oja4CctTLKs/edit?usp=share_link"",""พังงา!I822"")+IMPORTRANGE(""https://docs.google.com/spreadsheets/d/1"&amp;"b6QssHQp2FoAPSMKHOy273KNzAomaIKhtdlvuZ_zDNE/edit?usp=share_link"",""พัทลุง!I822"")+IMPORTRANGE(""https://docs.google.com/spreadsheets/d/1o7UZe4_OqlqtLDHrj01Z2YFRSZDf1DMy1n3XViHaxRc/edit?usp=share_link"",""ภูเก็ต!I822"")+IMPORTRANGE(""https://docs.google.c"&amp;"om/spreadsheets/d/1ctPm1vUzcUCPuOj9-eoHUD85PqINFqUB0TjdSWmR5-c/edit?usp=share_link"",""ยะลา!I822"")+IMPORTRANGE(""https://docs.google.com/spreadsheets/d/1YiDIE7Klmt8osgdapRqYWNr7iPGFSsiJqq46S7PYRE0/edit?usp=share_link"",""ระนอง!I822"")+IMPORTRANGE(""https"&amp;"://docs.google.com/spreadsheets/d/16o_4B-V7AWw_6E93bSpXj_XxVv1oVQctk-B6z1dNEWU/edit?usp=share_link"",""สงขลา!I822"")+IMPORTRANGE(""https://docs.google.com/spreadsheets/d/16cywr71Fj4fA5OGRHsZh30ZG2gwJhMAQv69oVBzYHv0/edit?usp=share_link"",""สตูล!I822"")+IMP"&amp;"ORTRANGE(""https://docs.google.com/spreadsheets/d/1vO9Sws6kMtrVtyvrAJptINXjK8TFBoX9xLYOVK_C8bQ/edit?usp=share_link"",""สุราษฎร์ธานี!I822"")"),1508)</f>
        <v>1508</v>
      </c>
      <c r="J822" s="37">
        <f ca="1">IFERROR(__xludf.DUMMYFUNCTION("IMPORTRANGE(""https://docs.google.com/spreadsheets/d/1kC41EOXpGBFOW658Fs3oD8beYlym0-zO54WY-2Qnp9I/edit?usp=share_link"",""กระบี่!J822"")
+IMPORTRANGE(""https://docs.google.com/spreadsheets/d/1FbzMZY_f3MDiEuK7RpCQKrilJ_kpX0Wm7QBZ1L7EjIU/edit?usp=share_link"&amp;""",""ชุมพร!J822"")+IMPORTRANGE(""https://docs.google.com/spreadsheets/d/1v5sN-00LrXuhBxw4dkh2GrG_z4l5oAqOdJRBCsUyMaM/edit?usp=share_link"",""ตรัง!J822"")+IMPORTRANGE(""https://docs.google.com/spreadsheets/d/1T5rRTzFc79aSIvqnzkZNvwPstq829QYz_xALlO1Z0s8/edi"&amp;"t?usp=share_link"",""นครศรีธรรมราช!J822"")+IMPORTRANGE(""https://docs.google.com/spreadsheets/d/1BeghqumK0IvCmRd2QOy6_afsZq7ZtAGrSnVJy2u7WmY/edit?usp=share_link"",""นราธิวาส!J822"")+IMPORTRANGE(""https://docs.google.com/spreadsheets/d/1IwnW3-jjRf74MCLW-6P"&amp;"iFwMUffRQXZwZA7YM609NmRc/edit?usp=share_link"",""ปัตตานี!J822"")+IMPORTRANGE(""https://docs.google.com/spreadsheets/d/1vl4QWbWdFruual5o_wdo6ZSqXZ_it806oja4CctTLKs/edit?usp=share_link"",""พังงา!J822"")+IMPORTRANGE(""https://docs.google.com/spreadsheets/d/1"&amp;"b6QssHQp2FoAPSMKHOy273KNzAomaIKhtdlvuZ_zDNE/edit?usp=share_link"",""พัทลุง!J822"")+IMPORTRANGE(""https://docs.google.com/spreadsheets/d/1o7UZe4_OqlqtLDHrj01Z2YFRSZDf1DMy1n3XViHaxRc/edit?usp=share_link"",""ภูเก็ต!J822"")+IMPORTRANGE(""https://docs.google.c"&amp;"om/spreadsheets/d/1ctPm1vUzcUCPuOj9-eoHUD85PqINFqUB0TjdSWmR5-c/edit?usp=share_link"",""ยะลา!J822"")+IMPORTRANGE(""https://docs.google.com/spreadsheets/d/1YiDIE7Klmt8osgdapRqYWNr7iPGFSsiJqq46S7PYRE0/edit?usp=share_link"",""ระนอง!J822"")+IMPORTRANGE(""https"&amp;"://docs.google.com/spreadsheets/d/16o_4B-V7AWw_6E93bSpXj_XxVv1oVQctk-B6z1dNEWU/edit?usp=share_link"",""สงขลา!J822"")+IMPORTRANGE(""https://docs.google.com/spreadsheets/d/16cywr71Fj4fA5OGRHsZh30ZG2gwJhMAQv69oVBzYHv0/edit?usp=share_link"",""สตูล!J822"")+IMP"&amp;"ORTRANGE(""https://docs.google.com/spreadsheets/d/1vO9Sws6kMtrVtyvrAJptINXjK8TFBoX9xLYOVK_C8bQ/edit?usp=share_link"",""สุราษฎร์ธานี!J822"")"),457)</f>
        <v>457</v>
      </c>
      <c r="K822" s="38">
        <f t="shared" ca="1" si="379"/>
        <v>30.305039787798407</v>
      </c>
      <c r="L822" s="38"/>
      <c r="M822" s="38"/>
      <c r="N822" s="38"/>
      <c r="O822" s="38"/>
      <c r="P822" s="3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20.25" customHeight="1">
      <c r="A823" s="742"/>
      <c r="B823" s="576" t="s">
        <v>327</v>
      </c>
      <c r="C823" s="575"/>
      <c r="D823" s="574"/>
      <c r="E823" s="575"/>
      <c r="F823" s="575"/>
      <c r="G823" s="189"/>
      <c r="H823" s="36" t="s">
        <v>12</v>
      </c>
      <c r="I823" s="37">
        <f ca="1">IFERROR(__xludf.DUMMYFUNCTION("IMPORTRANGE(""https://docs.google.com/spreadsheets/d/1kC41EOXpGBFOW658Fs3oD8beYlym0-zO54WY-2Qnp9I/edit?usp=share_link"",""กระบี่!I823"")
+IMPORTRANGE(""https://docs.google.com/spreadsheets/d/1FbzMZY_f3MDiEuK7RpCQKrilJ_kpX0Wm7QBZ1L7EjIU/edit?usp=share_link"&amp;""",""ชุมพร!I823"")+IMPORTRANGE(""https://docs.google.com/spreadsheets/d/1v5sN-00LrXuhBxw4dkh2GrG_z4l5oAqOdJRBCsUyMaM/edit?usp=share_link"",""ตรัง!I823"")+IMPORTRANGE(""https://docs.google.com/spreadsheets/d/1T5rRTzFc79aSIvqnzkZNvwPstq829QYz_xALlO1Z0s8/edi"&amp;"t?usp=share_link"",""นครศรีธรรมราช!I823"")+IMPORTRANGE(""https://docs.google.com/spreadsheets/d/1BeghqumK0IvCmRd2QOy6_afsZq7ZtAGrSnVJy2u7WmY/edit?usp=share_link"",""นราธิวาส!I823"")+IMPORTRANGE(""https://docs.google.com/spreadsheets/d/1IwnW3-jjRf74MCLW-6P"&amp;"iFwMUffRQXZwZA7YM609NmRc/edit?usp=share_link"",""ปัตตานี!I823"")+IMPORTRANGE(""https://docs.google.com/spreadsheets/d/1vl4QWbWdFruual5o_wdo6ZSqXZ_it806oja4CctTLKs/edit?usp=share_link"",""พังงา!I823"")+IMPORTRANGE(""https://docs.google.com/spreadsheets/d/1"&amp;"b6QssHQp2FoAPSMKHOy273KNzAomaIKhtdlvuZ_zDNE/edit?usp=share_link"",""พัทลุง!I823"")+IMPORTRANGE(""https://docs.google.com/spreadsheets/d/1o7UZe4_OqlqtLDHrj01Z2YFRSZDf1DMy1n3XViHaxRc/edit?usp=share_link"",""ภูเก็ต!I823"")+IMPORTRANGE(""https://docs.google.c"&amp;"om/spreadsheets/d/1ctPm1vUzcUCPuOj9-eoHUD85PqINFqUB0TjdSWmR5-c/edit?usp=share_link"",""ยะลา!I823"")+IMPORTRANGE(""https://docs.google.com/spreadsheets/d/1YiDIE7Klmt8osgdapRqYWNr7iPGFSsiJqq46S7PYRE0/edit?usp=share_link"",""ระนอง!I823"")+IMPORTRANGE(""https"&amp;"://docs.google.com/spreadsheets/d/16o_4B-V7AWw_6E93bSpXj_XxVv1oVQctk-B6z1dNEWU/edit?usp=share_link"",""สงขลา!I823"")+IMPORTRANGE(""https://docs.google.com/spreadsheets/d/16cywr71Fj4fA5OGRHsZh30ZG2gwJhMAQv69oVBzYHv0/edit?usp=share_link"",""สตูล!I823"")+IMP"&amp;"ORTRANGE(""https://docs.google.com/spreadsheets/d/1vO9Sws6kMtrVtyvrAJptINXjK8TFBoX9xLYOVK_C8bQ/edit?usp=share_link"",""สุราษฎร์ธานี!I823"")"),14139693.52)</f>
        <v>14139693.52</v>
      </c>
      <c r="J823" s="37">
        <f ca="1">IFERROR(__xludf.DUMMYFUNCTION("IMPORTRANGE(""https://docs.google.com/spreadsheets/d/1kC41EOXpGBFOW658Fs3oD8beYlym0-zO54WY-2Qnp9I/edit?usp=share_link"",""กระบี่!J823"")
+IMPORTRANGE(""https://docs.google.com/spreadsheets/d/1FbzMZY_f3MDiEuK7RpCQKrilJ_kpX0Wm7QBZ1L7EjIU/edit?usp=share_link"&amp;""",""ชุมพร!J823"")+IMPORTRANGE(""https://docs.google.com/spreadsheets/d/1v5sN-00LrXuhBxw4dkh2GrG_z4l5oAqOdJRBCsUyMaM/edit?usp=share_link"",""ตรัง!J823"")+IMPORTRANGE(""https://docs.google.com/spreadsheets/d/1T5rRTzFc79aSIvqnzkZNvwPstq829QYz_xALlO1Z0s8/edi"&amp;"t?usp=share_link"",""นครศรีธรรมราช!J823"")+IMPORTRANGE(""https://docs.google.com/spreadsheets/d/1BeghqumK0IvCmRd2QOy6_afsZq7ZtAGrSnVJy2u7WmY/edit?usp=share_link"",""นราธิวาส!J823"")+IMPORTRANGE(""https://docs.google.com/spreadsheets/d/1IwnW3-jjRf74MCLW-6P"&amp;"iFwMUffRQXZwZA7YM609NmRc/edit?usp=share_link"",""ปัตตานี!J823"")+IMPORTRANGE(""https://docs.google.com/spreadsheets/d/1vl4QWbWdFruual5o_wdo6ZSqXZ_it806oja4CctTLKs/edit?usp=share_link"",""พังงา!J823"")+IMPORTRANGE(""https://docs.google.com/spreadsheets/d/1"&amp;"b6QssHQp2FoAPSMKHOy273KNzAomaIKhtdlvuZ_zDNE/edit?usp=share_link"",""พัทลุง!J823"")+IMPORTRANGE(""https://docs.google.com/spreadsheets/d/1o7UZe4_OqlqtLDHrj01Z2YFRSZDf1DMy1n3XViHaxRc/edit?usp=share_link"",""ภูเก็ต!J823"")+IMPORTRANGE(""https://docs.google.c"&amp;"om/spreadsheets/d/1ctPm1vUzcUCPuOj9-eoHUD85PqINFqUB0TjdSWmR5-c/edit?usp=share_link"",""ยะลา!J823"")+IMPORTRANGE(""https://docs.google.com/spreadsheets/d/1YiDIE7Klmt8osgdapRqYWNr7iPGFSsiJqq46S7PYRE0/edit?usp=share_link"",""ระนอง!J823"")+IMPORTRANGE(""https"&amp;"://docs.google.com/spreadsheets/d/16o_4B-V7AWw_6E93bSpXj_XxVv1oVQctk-B6z1dNEWU/edit?usp=share_link"",""สงขลา!J823"")+IMPORTRANGE(""https://docs.google.com/spreadsheets/d/16cywr71Fj4fA5OGRHsZh30ZG2gwJhMAQv69oVBzYHv0/edit?usp=share_link"",""สตูล!J823"")+IMP"&amp;"ORTRANGE(""https://docs.google.com/spreadsheets/d/1vO9Sws6kMtrVtyvrAJptINXjK8TFBoX9xLYOVK_C8bQ/edit?usp=share_link"",""สุราษฎร์ธานี!J823"")"),2177743.86)</f>
        <v>2177743.86</v>
      </c>
      <c r="K823" s="38">
        <f t="shared" ca="1" si="379"/>
        <v>15.401634108403222</v>
      </c>
      <c r="L823" s="38"/>
      <c r="M823" s="38"/>
      <c r="N823" s="38"/>
      <c r="O823" s="38"/>
      <c r="P823" s="3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20.25" customHeight="1">
      <c r="A824" s="742"/>
      <c r="B824" s="575"/>
      <c r="C824" s="575"/>
      <c r="D824" s="574"/>
      <c r="E824" s="575"/>
      <c r="F824" s="575"/>
      <c r="G824" s="189"/>
      <c r="H824" s="36" t="s">
        <v>35</v>
      </c>
      <c r="I824" s="37">
        <f ca="1">IFERROR(__xludf.DUMMYFUNCTION("IMPORTRANGE(""https://docs.google.com/spreadsheets/d/1kC41EOXpGBFOW658Fs3oD8beYlym0-zO54WY-2Qnp9I/edit?usp=share_link"",""กระบี่!I824"")
+IMPORTRANGE(""https://docs.google.com/spreadsheets/d/1FbzMZY_f3MDiEuK7RpCQKrilJ_kpX0Wm7QBZ1L7EjIU/edit?usp=share_link"&amp;""",""ชุมพร!I824"")+IMPORTRANGE(""https://docs.google.com/spreadsheets/d/1v5sN-00LrXuhBxw4dkh2GrG_z4l5oAqOdJRBCsUyMaM/edit?usp=share_link"",""ตรัง!I824"")+IMPORTRANGE(""https://docs.google.com/spreadsheets/d/1T5rRTzFc79aSIvqnzkZNvwPstq829QYz_xALlO1Z0s8/edi"&amp;"t?usp=share_link"",""นครศรีธรรมราช!I824"")+IMPORTRANGE(""https://docs.google.com/spreadsheets/d/1BeghqumK0IvCmRd2QOy6_afsZq7ZtAGrSnVJy2u7WmY/edit?usp=share_link"",""นราธิวาส!I824"")+IMPORTRANGE(""https://docs.google.com/spreadsheets/d/1IwnW3-jjRf74MCLW-6P"&amp;"iFwMUffRQXZwZA7YM609NmRc/edit?usp=share_link"",""ปัตตานี!I824"")+IMPORTRANGE(""https://docs.google.com/spreadsheets/d/1vl4QWbWdFruual5o_wdo6ZSqXZ_it806oja4CctTLKs/edit?usp=share_link"",""พังงา!I824"")+IMPORTRANGE(""https://docs.google.com/spreadsheets/d/1"&amp;"b6QssHQp2FoAPSMKHOy273KNzAomaIKhtdlvuZ_zDNE/edit?usp=share_link"",""พัทลุง!I824"")+IMPORTRANGE(""https://docs.google.com/spreadsheets/d/1o7UZe4_OqlqtLDHrj01Z2YFRSZDf1DMy1n3XViHaxRc/edit?usp=share_link"",""ภูเก็ต!I824"")+IMPORTRANGE(""https://docs.google.c"&amp;"om/spreadsheets/d/1ctPm1vUzcUCPuOj9-eoHUD85PqINFqUB0TjdSWmR5-c/edit?usp=share_link"",""ยะลา!I824"")+IMPORTRANGE(""https://docs.google.com/spreadsheets/d/1YiDIE7Klmt8osgdapRqYWNr7iPGFSsiJqq46S7PYRE0/edit?usp=share_link"",""ระนอง!I824"")+IMPORTRANGE(""https"&amp;"://docs.google.com/spreadsheets/d/16o_4B-V7AWw_6E93bSpXj_XxVv1oVQctk-B6z1dNEWU/edit?usp=share_link"",""สงขลา!I824"")+IMPORTRANGE(""https://docs.google.com/spreadsheets/d/16cywr71Fj4fA5OGRHsZh30ZG2gwJhMAQv69oVBzYHv0/edit?usp=share_link"",""สตูล!I824"")+IMP"&amp;"ORTRANGE(""https://docs.google.com/spreadsheets/d/1vO9Sws6kMtrVtyvrAJptINXjK8TFBoX9xLYOVK_C8bQ/edit?usp=share_link"",""สุราษฎร์ธานี!I824"")"),681)</f>
        <v>681</v>
      </c>
      <c r="J824" s="37">
        <f ca="1">IFERROR(__xludf.DUMMYFUNCTION("IMPORTRANGE(""https://docs.google.com/spreadsheets/d/1kC41EOXpGBFOW658Fs3oD8beYlym0-zO54WY-2Qnp9I/edit?usp=share_link"",""กระบี่!J824"")
+IMPORTRANGE(""https://docs.google.com/spreadsheets/d/1FbzMZY_f3MDiEuK7RpCQKrilJ_kpX0Wm7QBZ1L7EjIU/edit?usp=share_link"&amp;""",""ชุมพร!J824"")+IMPORTRANGE(""https://docs.google.com/spreadsheets/d/1v5sN-00LrXuhBxw4dkh2GrG_z4l5oAqOdJRBCsUyMaM/edit?usp=share_link"",""ตรัง!J824"")+IMPORTRANGE(""https://docs.google.com/spreadsheets/d/1T5rRTzFc79aSIvqnzkZNvwPstq829QYz_xALlO1Z0s8/edi"&amp;"t?usp=share_link"",""นครศรีธรรมราช!J824"")+IMPORTRANGE(""https://docs.google.com/spreadsheets/d/1BeghqumK0IvCmRd2QOy6_afsZq7ZtAGrSnVJy2u7WmY/edit?usp=share_link"",""นราธิวาส!J824"")+IMPORTRANGE(""https://docs.google.com/spreadsheets/d/1IwnW3-jjRf74MCLW-6P"&amp;"iFwMUffRQXZwZA7YM609NmRc/edit?usp=share_link"",""ปัตตานี!J824"")+IMPORTRANGE(""https://docs.google.com/spreadsheets/d/1vl4QWbWdFruual5o_wdo6ZSqXZ_it806oja4CctTLKs/edit?usp=share_link"",""พังงา!J824"")+IMPORTRANGE(""https://docs.google.com/spreadsheets/d/1"&amp;"b6QssHQp2FoAPSMKHOy273KNzAomaIKhtdlvuZ_zDNE/edit?usp=share_link"",""พัทลุง!J824"")+IMPORTRANGE(""https://docs.google.com/spreadsheets/d/1o7UZe4_OqlqtLDHrj01Z2YFRSZDf1DMy1n3XViHaxRc/edit?usp=share_link"",""ภูเก็ต!J824"")+IMPORTRANGE(""https://docs.google.c"&amp;"om/spreadsheets/d/1ctPm1vUzcUCPuOj9-eoHUD85PqINFqUB0TjdSWmR5-c/edit?usp=share_link"",""ยะลา!J824"")+IMPORTRANGE(""https://docs.google.com/spreadsheets/d/1YiDIE7Klmt8osgdapRqYWNr7iPGFSsiJqq46S7PYRE0/edit?usp=share_link"",""ระนอง!J824"")+IMPORTRANGE(""https"&amp;"://docs.google.com/spreadsheets/d/16o_4B-V7AWw_6E93bSpXj_XxVv1oVQctk-B6z1dNEWU/edit?usp=share_link"",""สงขลา!J824"")+IMPORTRANGE(""https://docs.google.com/spreadsheets/d/16cywr71Fj4fA5OGRHsZh30ZG2gwJhMAQv69oVBzYHv0/edit?usp=share_link"",""สตูล!J824"")+IMP"&amp;"ORTRANGE(""https://docs.google.com/spreadsheets/d/1vO9Sws6kMtrVtyvrAJptINXjK8TFBoX9xLYOVK_C8bQ/edit?usp=share_link"",""สุราษฎร์ธานี!J824"")"),449)</f>
        <v>449</v>
      </c>
      <c r="K824" s="38">
        <f t="shared" ca="1" si="379"/>
        <v>65.932452276064609</v>
      </c>
      <c r="L824" s="38"/>
      <c r="M824" s="38"/>
      <c r="N824" s="38"/>
      <c r="O824" s="38"/>
      <c r="P824" s="3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20.25" customHeight="1">
      <c r="A825" s="742"/>
      <c r="B825" s="576" t="s">
        <v>328</v>
      </c>
      <c r="C825" s="575"/>
      <c r="D825" s="574"/>
      <c r="E825" s="575"/>
      <c r="F825" s="575"/>
      <c r="G825" s="189"/>
      <c r="H825" s="36" t="s">
        <v>12</v>
      </c>
      <c r="I825" s="37">
        <f ca="1">IFERROR(__xludf.DUMMYFUNCTION("IMPORTRANGE(""https://docs.google.com/spreadsheets/d/1kC41EOXpGBFOW658Fs3oD8beYlym0-zO54WY-2Qnp9I/edit?usp=share_link"",""กระบี่!I825"")
+IMPORTRANGE(""https://docs.google.com/spreadsheets/d/1FbzMZY_f3MDiEuK7RpCQKrilJ_kpX0Wm7QBZ1L7EjIU/edit?usp=share_link"&amp;""",""ชุมพร!I825"")+IMPORTRANGE(""https://docs.google.com/spreadsheets/d/1v5sN-00LrXuhBxw4dkh2GrG_z4l5oAqOdJRBCsUyMaM/edit?usp=share_link"",""ตรัง!I825"")+IMPORTRANGE(""https://docs.google.com/spreadsheets/d/1T5rRTzFc79aSIvqnzkZNvwPstq829QYz_xALlO1Z0s8/edi"&amp;"t?usp=share_link"",""นครศรีธรรมราช!I825"")+IMPORTRANGE(""https://docs.google.com/spreadsheets/d/1BeghqumK0IvCmRd2QOy6_afsZq7ZtAGrSnVJy2u7WmY/edit?usp=share_link"",""นราธิวาส!I825"")+IMPORTRANGE(""https://docs.google.com/spreadsheets/d/1IwnW3-jjRf74MCLW-6P"&amp;"iFwMUffRQXZwZA7YM609NmRc/edit?usp=share_link"",""ปัตตานี!I825"")+IMPORTRANGE(""https://docs.google.com/spreadsheets/d/1vl4QWbWdFruual5o_wdo6ZSqXZ_it806oja4CctTLKs/edit?usp=share_link"",""พังงา!I825"")+IMPORTRANGE(""https://docs.google.com/spreadsheets/d/1"&amp;"b6QssHQp2FoAPSMKHOy273KNzAomaIKhtdlvuZ_zDNE/edit?usp=share_link"",""พัทลุง!I825"")+IMPORTRANGE(""https://docs.google.com/spreadsheets/d/1o7UZe4_OqlqtLDHrj01Z2YFRSZDf1DMy1n3XViHaxRc/edit?usp=share_link"",""ภูเก็ต!I825"")+IMPORTRANGE(""https://docs.google.c"&amp;"om/spreadsheets/d/1ctPm1vUzcUCPuOj9-eoHUD85PqINFqUB0TjdSWmR5-c/edit?usp=share_link"",""ยะลา!I825"")+IMPORTRANGE(""https://docs.google.com/spreadsheets/d/1YiDIE7Klmt8osgdapRqYWNr7iPGFSsiJqq46S7PYRE0/edit?usp=share_link"",""ระนอง!I825"")+IMPORTRANGE(""https"&amp;"://docs.google.com/spreadsheets/d/16o_4B-V7AWw_6E93bSpXj_XxVv1oVQctk-B6z1dNEWU/edit?usp=share_link"",""สงขลา!I825"")+IMPORTRANGE(""https://docs.google.com/spreadsheets/d/16cywr71Fj4fA5OGRHsZh30ZG2gwJhMAQv69oVBzYHv0/edit?usp=share_link"",""สตูล!I825"")+IMP"&amp;"ORTRANGE(""https://docs.google.com/spreadsheets/d/1vO9Sws6kMtrVtyvrAJptINXjK8TFBoX9xLYOVK_C8bQ/edit?usp=share_link"",""สุราษฎร์ธานี!I825"")"),213380.47)</f>
        <v>213380.47</v>
      </c>
      <c r="J825" s="37">
        <f ca="1">IFERROR(__xludf.DUMMYFUNCTION("IMPORTRANGE(""https://docs.google.com/spreadsheets/d/1kC41EOXpGBFOW658Fs3oD8beYlym0-zO54WY-2Qnp9I/edit?usp=share_link"",""กระบี่!J825"")
+IMPORTRANGE(""https://docs.google.com/spreadsheets/d/1FbzMZY_f3MDiEuK7RpCQKrilJ_kpX0Wm7QBZ1L7EjIU/edit?usp=share_link"&amp;""",""ชุมพร!J825"")+IMPORTRANGE(""https://docs.google.com/spreadsheets/d/1v5sN-00LrXuhBxw4dkh2GrG_z4l5oAqOdJRBCsUyMaM/edit?usp=share_link"",""ตรัง!J825"")+IMPORTRANGE(""https://docs.google.com/spreadsheets/d/1T5rRTzFc79aSIvqnzkZNvwPstq829QYz_xALlO1Z0s8/edi"&amp;"t?usp=share_link"",""นครศรีธรรมราช!J825"")+IMPORTRANGE(""https://docs.google.com/spreadsheets/d/1BeghqumK0IvCmRd2QOy6_afsZq7ZtAGrSnVJy2u7WmY/edit?usp=share_link"",""นราธิวาส!J825"")+IMPORTRANGE(""https://docs.google.com/spreadsheets/d/1IwnW3-jjRf74MCLW-6P"&amp;"iFwMUffRQXZwZA7YM609NmRc/edit?usp=share_link"",""ปัตตานี!J825"")+IMPORTRANGE(""https://docs.google.com/spreadsheets/d/1vl4QWbWdFruual5o_wdo6ZSqXZ_it806oja4CctTLKs/edit?usp=share_link"",""พังงา!J825"")+IMPORTRANGE(""https://docs.google.com/spreadsheets/d/1"&amp;"b6QssHQp2FoAPSMKHOy273KNzAomaIKhtdlvuZ_zDNE/edit?usp=share_link"",""พัทลุง!J825"")+IMPORTRANGE(""https://docs.google.com/spreadsheets/d/1o7UZe4_OqlqtLDHrj01Z2YFRSZDf1DMy1n3XViHaxRc/edit?usp=share_link"",""ภูเก็ต!J825"")+IMPORTRANGE(""https://docs.google.c"&amp;"om/spreadsheets/d/1ctPm1vUzcUCPuOj9-eoHUD85PqINFqUB0TjdSWmR5-c/edit?usp=share_link"",""ยะลา!J825"")+IMPORTRANGE(""https://docs.google.com/spreadsheets/d/1YiDIE7Klmt8osgdapRqYWNr7iPGFSsiJqq46S7PYRE0/edit?usp=share_link"",""ระนอง!J825"")+IMPORTRANGE(""https"&amp;"://docs.google.com/spreadsheets/d/16o_4B-V7AWw_6E93bSpXj_XxVv1oVQctk-B6z1dNEWU/edit?usp=share_link"",""สงขลา!J825"")+IMPORTRANGE(""https://docs.google.com/spreadsheets/d/16cywr71Fj4fA5OGRHsZh30ZG2gwJhMAQv69oVBzYHv0/edit?usp=share_link"",""สตูล!J825"")+IMP"&amp;"ORTRANGE(""https://docs.google.com/spreadsheets/d/1vO9Sws6kMtrVtyvrAJptINXjK8TFBoX9xLYOVK_C8bQ/edit?usp=share_link"",""สุราษฎร์ธานี!J825"")"),279225.4)</f>
        <v>279225.40000000002</v>
      </c>
      <c r="K825" s="38">
        <f t="shared" ca="1" si="379"/>
        <v>130.8579927675668</v>
      </c>
      <c r="L825" s="38"/>
      <c r="M825" s="38"/>
      <c r="N825" s="38"/>
      <c r="O825" s="38"/>
      <c r="P825" s="3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20.25" customHeight="1">
      <c r="A826" s="742"/>
      <c r="B826" s="575"/>
      <c r="C826" s="575"/>
      <c r="D826" s="574"/>
      <c r="E826" s="575"/>
      <c r="F826" s="575"/>
      <c r="G826" s="189"/>
      <c r="H826" s="36" t="s">
        <v>35</v>
      </c>
      <c r="I826" s="37">
        <f ca="1">IFERROR(__xludf.DUMMYFUNCTION("IMPORTRANGE(""https://docs.google.com/spreadsheets/d/1kC41EOXpGBFOW658Fs3oD8beYlym0-zO54WY-2Qnp9I/edit?usp=share_link"",""กระบี่!I826"")
+IMPORTRANGE(""https://docs.google.com/spreadsheets/d/1FbzMZY_f3MDiEuK7RpCQKrilJ_kpX0Wm7QBZ1L7EjIU/edit?usp=share_link"&amp;""",""ชุมพร!I826"")+IMPORTRANGE(""https://docs.google.com/spreadsheets/d/1v5sN-00LrXuhBxw4dkh2GrG_z4l5oAqOdJRBCsUyMaM/edit?usp=share_link"",""ตรัง!I826"")+IMPORTRANGE(""https://docs.google.com/spreadsheets/d/1T5rRTzFc79aSIvqnzkZNvwPstq829QYz_xALlO1Z0s8/edi"&amp;"t?usp=share_link"",""นครศรีธรรมราช!I826"")+IMPORTRANGE(""https://docs.google.com/spreadsheets/d/1BeghqumK0IvCmRd2QOy6_afsZq7ZtAGrSnVJy2u7WmY/edit?usp=share_link"",""นราธิวาส!I826"")+IMPORTRANGE(""https://docs.google.com/spreadsheets/d/1IwnW3-jjRf74MCLW-6P"&amp;"iFwMUffRQXZwZA7YM609NmRc/edit?usp=share_link"",""ปัตตานี!I826"")+IMPORTRANGE(""https://docs.google.com/spreadsheets/d/1vl4QWbWdFruual5o_wdo6ZSqXZ_it806oja4CctTLKs/edit?usp=share_link"",""พังงา!I826"")+IMPORTRANGE(""https://docs.google.com/spreadsheets/d/1"&amp;"b6QssHQp2FoAPSMKHOy273KNzAomaIKhtdlvuZ_zDNE/edit?usp=share_link"",""พัทลุง!I826"")+IMPORTRANGE(""https://docs.google.com/spreadsheets/d/1o7UZe4_OqlqtLDHrj01Z2YFRSZDf1DMy1n3XViHaxRc/edit?usp=share_link"",""ภูเก็ต!I826"")+IMPORTRANGE(""https://docs.google.c"&amp;"om/spreadsheets/d/1ctPm1vUzcUCPuOj9-eoHUD85PqINFqUB0TjdSWmR5-c/edit?usp=share_link"",""ยะลา!I826"")+IMPORTRANGE(""https://docs.google.com/spreadsheets/d/1YiDIE7Klmt8osgdapRqYWNr7iPGFSsiJqq46S7PYRE0/edit?usp=share_link"",""ระนอง!I826"")+IMPORTRANGE(""https"&amp;"://docs.google.com/spreadsheets/d/16o_4B-V7AWw_6E93bSpXj_XxVv1oVQctk-B6z1dNEWU/edit?usp=share_link"",""สงขลา!I826"")+IMPORTRANGE(""https://docs.google.com/spreadsheets/d/16cywr71Fj4fA5OGRHsZh30ZG2gwJhMAQv69oVBzYHv0/edit?usp=share_link"",""สตูล!I826"")+IMP"&amp;"ORTRANGE(""https://docs.google.com/spreadsheets/d/1vO9Sws6kMtrVtyvrAJptINXjK8TFBoX9xLYOVK_C8bQ/edit?usp=share_link"",""สุราษฎร์ธานี!I826"")"),465)</f>
        <v>465</v>
      </c>
      <c r="J826" s="37">
        <f ca="1">IFERROR(__xludf.DUMMYFUNCTION("IMPORTRANGE(""https://docs.google.com/spreadsheets/d/1kC41EOXpGBFOW658Fs3oD8beYlym0-zO54WY-2Qnp9I/edit?usp=share_link"",""กระบี่!J826"")
+IMPORTRANGE(""https://docs.google.com/spreadsheets/d/1FbzMZY_f3MDiEuK7RpCQKrilJ_kpX0Wm7QBZ1L7EjIU/edit?usp=share_link"&amp;""",""ชุมพร!J826"")+IMPORTRANGE(""https://docs.google.com/spreadsheets/d/1v5sN-00LrXuhBxw4dkh2GrG_z4l5oAqOdJRBCsUyMaM/edit?usp=share_link"",""ตรัง!J826"")+IMPORTRANGE(""https://docs.google.com/spreadsheets/d/1T5rRTzFc79aSIvqnzkZNvwPstq829QYz_xALlO1Z0s8/edi"&amp;"t?usp=share_link"",""นครศรีธรรมราช!J826"")+IMPORTRANGE(""https://docs.google.com/spreadsheets/d/1BeghqumK0IvCmRd2QOy6_afsZq7ZtAGrSnVJy2u7WmY/edit?usp=share_link"",""นราธิวาส!J826"")+IMPORTRANGE(""https://docs.google.com/spreadsheets/d/1IwnW3-jjRf74MCLW-6P"&amp;"iFwMUffRQXZwZA7YM609NmRc/edit?usp=share_link"",""ปัตตานี!J826"")+IMPORTRANGE(""https://docs.google.com/spreadsheets/d/1vl4QWbWdFruual5o_wdo6ZSqXZ_it806oja4CctTLKs/edit?usp=share_link"",""พังงา!J826"")+IMPORTRANGE(""https://docs.google.com/spreadsheets/d/1"&amp;"b6QssHQp2FoAPSMKHOy273KNzAomaIKhtdlvuZ_zDNE/edit?usp=share_link"",""พัทลุง!J826"")+IMPORTRANGE(""https://docs.google.com/spreadsheets/d/1o7UZe4_OqlqtLDHrj01Z2YFRSZDf1DMy1n3XViHaxRc/edit?usp=share_link"",""ภูเก็ต!J826"")+IMPORTRANGE(""https://docs.google.c"&amp;"om/spreadsheets/d/1ctPm1vUzcUCPuOj9-eoHUD85PqINFqUB0TjdSWmR5-c/edit?usp=share_link"",""ยะลา!J826"")+IMPORTRANGE(""https://docs.google.com/spreadsheets/d/1YiDIE7Klmt8osgdapRqYWNr7iPGFSsiJqq46S7PYRE0/edit?usp=share_link"",""ระนอง!J826"")+IMPORTRANGE(""https"&amp;"://docs.google.com/spreadsheets/d/16o_4B-V7AWw_6E93bSpXj_XxVv1oVQctk-B6z1dNEWU/edit?usp=share_link"",""สงขลา!J826"")+IMPORTRANGE(""https://docs.google.com/spreadsheets/d/16cywr71Fj4fA5OGRHsZh30ZG2gwJhMAQv69oVBzYHv0/edit?usp=share_link"",""สตูล!J826"")+IMP"&amp;"ORTRANGE(""https://docs.google.com/spreadsheets/d/1vO9Sws6kMtrVtyvrAJptINXjK8TFBoX9xLYOVK_C8bQ/edit?usp=share_link"",""สุราษฎร์ธานี!J826"")"),167)</f>
        <v>167</v>
      </c>
      <c r="K826" s="38">
        <f t="shared" ca="1" si="379"/>
        <v>35.913978494623656</v>
      </c>
      <c r="L826" s="38"/>
      <c r="M826" s="38"/>
      <c r="N826" s="38"/>
      <c r="O826" s="38"/>
      <c r="P826" s="3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20.25" customHeight="1">
      <c r="A827" s="742"/>
      <c r="B827" s="576" t="s">
        <v>329</v>
      </c>
      <c r="C827" s="575"/>
      <c r="D827" s="574"/>
      <c r="E827" s="575"/>
      <c r="F827" s="575"/>
      <c r="G827" s="189"/>
      <c r="H827" s="36" t="s">
        <v>12</v>
      </c>
      <c r="I827" s="37">
        <f ca="1">IFERROR(__xludf.DUMMYFUNCTION("IMPORTRANGE(""https://docs.google.com/spreadsheets/d/1kC41EOXpGBFOW658Fs3oD8beYlym0-zO54WY-2Qnp9I/edit?usp=share_link"",""กระบี่!I827"")
+IMPORTRANGE(""https://docs.google.com/spreadsheets/d/1FbzMZY_f3MDiEuK7RpCQKrilJ_kpX0Wm7QBZ1L7EjIU/edit?usp=share_link"&amp;""",""ชุมพร!I827"")+IMPORTRANGE(""https://docs.google.com/spreadsheets/d/1v5sN-00LrXuhBxw4dkh2GrG_z4l5oAqOdJRBCsUyMaM/edit?usp=share_link"",""ตรัง!I827"")+IMPORTRANGE(""https://docs.google.com/spreadsheets/d/1T5rRTzFc79aSIvqnzkZNvwPstq829QYz_xALlO1Z0s8/edi"&amp;"t?usp=share_link"",""นครศรีธรรมราช!I827"")+IMPORTRANGE(""https://docs.google.com/spreadsheets/d/1BeghqumK0IvCmRd2QOy6_afsZq7ZtAGrSnVJy2u7WmY/edit?usp=share_link"",""นราธิวาส!I827"")+IMPORTRANGE(""https://docs.google.com/spreadsheets/d/1IwnW3-jjRf74MCLW-6P"&amp;"iFwMUffRQXZwZA7YM609NmRc/edit?usp=share_link"",""ปัตตานี!I827"")+IMPORTRANGE(""https://docs.google.com/spreadsheets/d/1vl4QWbWdFruual5o_wdo6ZSqXZ_it806oja4CctTLKs/edit?usp=share_link"",""พังงา!I827"")+IMPORTRANGE(""https://docs.google.com/spreadsheets/d/1"&amp;"b6QssHQp2FoAPSMKHOy273KNzAomaIKhtdlvuZ_zDNE/edit?usp=share_link"",""พัทลุง!I827"")+IMPORTRANGE(""https://docs.google.com/spreadsheets/d/1o7UZe4_OqlqtLDHrj01Z2YFRSZDf1DMy1n3XViHaxRc/edit?usp=share_link"",""ภูเก็ต!I827"")+IMPORTRANGE(""https://docs.google.c"&amp;"om/spreadsheets/d/1ctPm1vUzcUCPuOj9-eoHUD85PqINFqUB0TjdSWmR5-c/edit?usp=share_link"",""ยะลา!I827"")+IMPORTRANGE(""https://docs.google.com/spreadsheets/d/1YiDIE7Klmt8osgdapRqYWNr7iPGFSsiJqq46S7PYRE0/edit?usp=share_link"",""ระนอง!I827"")+IMPORTRANGE(""https"&amp;"://docs.google.com/spreadsheets/d/16o_4B-V7AWw_6E93bSpXj_XxVv1oVQctk-B6z1dNEWU/edit?usp=share_link"",""สงขลา!I827"")+IMPORTRANGE(""https://docs.google.com/spreadsheets/d/16cywr71Fj4fA5OGRHsZh30ZG2gwJhMAQv69oVBzYHv0/edit?usp=share_link"",""สตูล!I827"")+IMP"&amp;"ORTRANGE(""https://docs.google.com/spreadsheets/d/1vO9Sws6kMtrVtyvrAJptINXjK8TFBoX9xLYOVK_C8bQ/edit?usp=share_link"",""สุราษฎร์ธานี!I827"")"),14105000)</f>
        <v>14105000</v>
      </c>
      <c r="J827" s="37">
        <f ca="1">IFERROR(__xludf.DUMMYFUNCTION("IMPORTRANGE(""https://docs.google.com/spreadsheets/d/1kC41EOXpGBFOW658Fs3oD8beYlym0-zO54WY-2Qnp9I/edit?usp=share_link"",""กระบี่!J827"")
+IMPORTRANGE(""https://docs.google.com/spreadsheets/d/1FbzMZY_f3MDiEuK7RpCQKrilJ_kpX0Wm7QBZ1L7EjIU/edit?usp=share_link"&amp;""",""ชุมพร!J827"")+IMPORTRANGE(""https://docs.google.com/spreadsheets/d/1v5sN-00LrXuhBxw4dkh2GrG_z4l5oAqOdJRBCsUyMaM/edit?usp=share_link"",""ตรัง!J827"")+IMPORTRANGE(""https://docs.google.com/spreadsheets/d/1T5rRTzFc79aSIvqnzkZNvwPstq829QYz_xALlO1Z0s8/edi"&amp;"t?usp=share_link"",""นครศรีธรรมราช!J827"")+IMPORTRANGE(""https://docs.google.com/spreadsheets/d/1BeghqumK0IvCmRd2QOy6_afsZq7ZtAGrSnVJy2u7WmY/edit?usp=share_link"",""นราธิวาส!J827"")+IMPORTRANGE(""https://docs.google.com/spreadsheets/d/1IwnW3-jjRf74MCLW-6P"&amp;"iFwMUffRQXZwZA7YM609NmRc/edit?usp=share_link"",""ปัตตานี!J827"")+IMPORTRANGE(""https://docs.google.com/spreadsheets/d/1vl4QWbWdFruual5o_wdo6ZSqXZ_it806oja4CctTLKs/edit?usp=share_link"",""พังงา!J827"")+IMPORTRANGE(""https://docs.google.com/spreadsheets/d/1"&amp;"b6QssHQp2FoAPSMKHOy273KNzAomaIKhtdlvuZ_zDNE/edit?usp=share_link"",""พัทลุง!J827"")+IMPORTRANGE(""https://docs.google.com/spreadsheets/d/1o7UZe4_OqlqtLDHrj01Z2YFRSZDf1DMy1n3XViHaxRc/edit?usp=share_link"",""ภูเก็ต!J827"")+IMPORTRANGE(""https://docs.google.c"&amp;"om/spreadsheets/d/1ctPm1vUzcUCPuOj9-eoHUD85PqINFqUB0TjdSWmR5-c/edit?usp=share_link"",""ยะลา!J827"")+IMPORTRANGE(""https://docs.google.com/spreadsheets/d/1YiDIE7Klmt8osgdapRqYWNr7iPGFSsiJqq46S7PYRE0/edit?usp=share_link"",""ระนอง!J827"")+IMPORTRANGE(""https"&amp;"://docs.google.com/spreadsheets/d/16o_4B-V7AWw_6E93bSpXj_XxVv1oVQctk-B6z1dNEWU/edit?usp=share_link"",""สงขลา!J827"")+IMPORTRANGE(""https://docs.google.com/spreadsheets/d/16cywr71Fj4fA5OGRHsZh30ZG2gwJhMAQv69oVBzYHv0/edit?usp=share_link"",""สตูล!J827"")+IMP"&amp;"ORTRANGE(""https://docs.google.com/spreadsheets/d/1vO9Sws6kMtrVtyvrAJptINXjK8TFBoX9xLYOVK_C8bQ/edit?usp=share_link"",""สุราษฎร์ธานี!J827"")"),6305000)</f>
        <v>6305000</v>
      </c>
      <c r="K827" s="38">
        <f t="shared" ca="1" si="379"/>
        <v>44.700460829493089</v>
      </c>
      <c r="L827" s="38"/>
      <c r="M827" s="38"/>
      <c r="N827" s="38"/>
      <c r="O827" s="38"/>
      <c r="P827" s="3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20.25" customHeight="1">
      <c r="A828" s="745"/>
      <c r="B828" s="747"/>
      <c r="C828" s="747"/>
      <c r="D828" s="746"/>
      <c r="E828" s="747"/>
      <c r="F828" s="747"/>
      <c r="G828" s="826"/>
      <c r="H828" s="827" t="s">
        <v>35</v>
      </c>
      <c r="I828" s="505">
        <f ca="1">IFERROR(__xludf.DUMMYFUNCTION("IMPORTRANGE(""https://docs.google.com/spreadsheets/d/1kC41EOXpGBFOW658Fs3oD8beYlym0-zO54WY-2Qnp9I/edit?usp=share_link"",""กระบี่!I828"")
+IMPORTRANGE(""https://docs.google.com/spreadsheets/d/1FbzMZY_f3MDiEuK7RpCQKrilJ_kpX0Wm7QBZ1L7EjIU/edit?usp=share_link"&amp;""",""ชุมพร!I828"")+IMPORTRANGE(""https://docs.google.com/spreadsheets/d/1v5sN-00LrXuhBxw4dkh2GrG_z4l5oAqOdJRBCsUyMaM/edit?usp=share_link"",""ตรัง!I828"")+IMPORTRANGE(""https://docs.google.com/spreadsheets/d/1T5rRTzFc79aSIvqnzkZNvwPstq829QYz_xALlO1Z0s8/edi"&amp;"t?usp=share_link"",""นครศรีธรรมราช!I828"")+IMPORTRANGE(""https://docs.google.com/spreadsheets/d/1BeghqumK0IvCmRd2QOy6_afsZq7ZtAGrSnVJy2u7WmY/edit?usp=share_link"",""นราธิวาส!I828"")+IMPORTRANGE(""https://docs.google.com/spreadsheets/d/1IwnW3-jjRf74MCLW-6P"&amp;"iFwMUffRQXZwZA7YM609NmRc/edit?usp=share_link"",""ปัตตานี!I828"")+IMPORTRANGE(""https://docs.google.com/spreadsheets/d/1vl4QWbWdFruual5o_wdo6ZSqXZ_it806oja4CctTLKs/edit?usp=share_link"",""พังงา!I828"")+IMPORTRANGE(""https://docs.google.com/spreadsheets/d/1"&amp;"b6QssHQp2FoAPSMKHOy273KNzAomaIKhtdlvuZ_zDNE/edit?usp=share_link"",""พัทลุง!I828"")+IMPORTRANGE(""https://docs.google.com/spreadsheets/d/1o7UZe4_OqlqtLDHrj01Z2YFRSZDf1DMy1n3XViHaxRc/edit?usp=share_link"",""ภูเก็ต!I828"")+IMPORTRANGE(""https://docs.google.c"&amp;"om/spreadsheets/d/1ctPm1vUzcUCPuOj9-eoHUD85PqINFqUB0TjdSWmR5-c/edit?usp=share_link"",""ยะลา!I828"")+IMPORTRANGE(""https://docs.google.com/spreadsheets/d/1YiDIE7Klmt8osgdapRqYWNr7iPGFSsiJqq46S7PYRE0/edit?usp=share_link"",""ระนอง!I828"")+IMPORTRANGE(""https"&amp;"://docs.google.com/spreadsheets/d/16o_4B-V7AWw_6E93bSpXj_XxVv1oVQctk-B6z1dNEWU/edit?usp=share_link"",""สงขลา!I828"")+IMPORTRANGE(""https://docs.google.com/spreadsheets/d/16cywr71Fj4fA5OGRHsZh30ZG2gwJhMAQv69oVBzYHv0/edit?usp=share_link"",""สตูล!I828"")+IMP"&amp;"ORTRANGE(""https://docs.google.com/spreadsheets/d/1vO9Sws6kMtrVtyvrAJptINXjK8TFBoX9xLYOVK_C8bQ/edit?usp=share_link"",""สุราษฎร์ธานี!I828"")"),549)</f>
        <v>549</v>
      </c>
      <c r="J828" s="505">
        <f ca="1">IFERROR(__xludf.DUMMYFUNCTION("IMPORTRANGE(""https://docs.google.com/spreadsheets/d/1kC41EOXpGBFOW658Fs3oD8beYlym0-zO54WY-2Qnp9I/edit?usp=share_link"",""กระบี่!J828"")
+IMPORTRANGE(""https://docs.google.com/spreadsheets/d/1FbzMZY_f3MDiEuK7RpCQKrilJ_kpX0Wm7QBZ1L7EjIU/edit?usp=share_link"&amp;""",""ชุมพร!J828"")+IMPORTRANGE(""https://docs.google.com/spreadsheets/d/1v5sN-00LrXuhBxw4dkh2GrG_z4l5oAqOdJRBCsUyMaM/edit?usp=share_link"",""ตรัง!J828"")+IMPORTRANGE(""https://docs.google.com/spreadsheets/d/1T5rRTzFc79aSIvqnzkZNvwPstq829QYz_xALlO1Z0s8/edi"&amp;"t?usp=share_link"",""นครศรีธรรมราช!J828"")+IMPORTRANGE(""https://docs.google.com/spreadsheets/d/1BeghqumK0IvCmRd2QOy6_afsZq7ZtAGrSnVJy2u7WmY/edit?usp=share_link"",""นราธิวาส!J828"")+IMPORTRANGE(""https://docs.google.com/spreadsheets/d/1IwnW3-jjRf74MCLW-6P"&amp;"iFwMUffRQXZwZA7YM609NmRc/edit?usp=share_link"",""ปัตตานี!J828"")+IMPORTRANGE(""https://docs.google.com/spreadsheets/d/1vl4QWbWdFruual5o_wdo6ZSqXZ_it806oja4CctTLKs/edit?usp=share_link"",""พังงา!J828"")+IMPORTRANGE(""https://docs.google.com/spreadsheets/d/1"&amp;"b6QssHQp2FoAPSMKHOy273KNzAomaIKhtdlvuZ_zDNE/edit?usp=share_link"",""พัทลุง!J828"")+IMPORTRANGE(""https://docs.google.com/spreadsheets/d/1o7UZe4_OqlqtLDHrj01Z2YFRSZDf1DMy1n3XViHaxRc/edit?usp=share_link"",""ภูเก็ต!J828"")+IMPORTRANGE(""https://docs.google.c"&amp;"om/spreadsheets/d/1ctPm1vUzcUCPuOj9-eoHUD85PqINFqUB0TjdSWmR5-c/edit?usp=share_link"",""ยะลา!J828"")+IMPORTRANGE(""https://docs.google.com/spreadsheets/d/1YiDIE7Klmt8osgdapRqYWNr7iPGFSsiJqq46S7PYRE0/edit?usp=share_link"",""ระนอง!J828"")+IMPORTRANGE(""https"&amp;"://docs.google.com/spreadsheets/d/16o_4B-V7AWw_6E93bSpXj_XxVv1oVQctk-B6z1dNEWU/edit?usp=share_link"",""สงขลา!J828"")+IMPORTRANGE(""https://docs.google.com/spreadsheets/d/16cywr71Fj4fA5OGRHsZh30ZG2gwJhMAQv69oVBzYHv0/edit?usp=share_link"",""สตูล!J828"")+IMP"&amp;"ORTRANGE(""https://docs.google.com/spreadsheets/d/1vO9Sws6kMtrVtyvrAJptINXjK8TFBoX9xLYOVK_C8bQ/edit?usp=share_link"",""สุราษฎร์ธานี!J828"")"),183)</f>
        <v>183</v>
      </c>
      <c r="K828" s="506">
        <f t="shared" ca="1" si="379"/>
        <v>33.333333333333336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82A5F-F957-4AC8-AD4F-2A1865473F18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52" customWidth="1"/>
    <col min="4" max="6" width="5.85546875" style="852" customWidth="1"/>
    <col min="7" max="7" width="56.42578125" style="852" customWidth="1"/>
    <col min="8" max="8" width="9.42578125" style="852" customWidth="1"/>
    <col min="9" max="10" width="13.7109375" style="852" bestFit="1" customWidth="1"/>
    <col min="11" max="11" width="13.28515625" style="852" bestFit="1" customWidth="1"/>
    <col min="12" max="15" width="20.28515625" style="852" bestFit="1" customWidth="1"/>
    <col min="16" max="16" width="22.140625" style="852" bestFit="1" customWidth="1"/>
    <col min="17" max="16384" width="12.5703125" style="852"/>
  </cols>
  <sheetData>
    <row r="1" spans="1:26" ht="19.5">
      <c r="A1" s="828" t="s">
        <v>0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51"/>
    </row>
    <row r="2" spans="1:26" ht="19.5">
      <c r="A2" s="828" t="s">
        <v>347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</row>
    <row r="3" spans="1:26" ht="19.5">
      <c r="A3" s="828" t="s">
        <v>330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</row>
    <row r="4" spans="1:26" ht="12.75">
      <c r="A4" s="853"/>
      <c r="B4" s="853"/>
      <c r="C4" s="853"/>
      <c r="D4" s="853"/>
      <c r="E4" s="853"/>
      <c r="F4" s="853"/>
      <c r="G4" s="853"/>
      <c r="H4" s="853"/>
      <c r="I4" s="853"/>
      <c r="J4" s="854"/>
      <c r="K4" s="855"/>
      <c r="L4" s="854"/>
      <c r="M4" s="854"/>
      <c r="N4" s="854"/>
      <c r="O4" s="853"/>
      <c r="P4" s="853"/>
    </row>
    <row r="5" spans="1:26" ht="19.5">
      <c r="A5" s="836" t="s">
        <v>2</v>
      </c>
      <c r="B5" s="851"/>
      <c r="C5" s="851"/>
      <c r="D5" s="851"/>
      <c r="E5" s="851"/>
      <c r="F5" s="851"/>
      <c r="G5" s="837"/>
      <c r="H5" s="830" t="s">
        <v>3</v>
      </c>
      <c r="I5" s="832" t="s">
        <v>4</v>
      </c>
      <c r="J5" s="833"/>
      <c r="K5" s="831"/>
      <c r="L5" s="834" t="s">
        <v>5</v>
      </c>
      <c r="M5" s="831"/>
      <c r="N5" s="835" t="s">
        <v>6</v>
      </c>
      <c r="O5" s="833"/>
      <c r="P5" s="831"/>
    </row>
    <row r="6" spans="1:26" ht="19.5">
      <c r="A6" s="838"/>
      <c r="B6" s="833"/>
      <c r="C6" s="833"/>
      <c r="D6" s="833"/>
      <c r="E6" s="833"/>
      <c r="F6" s="833"/>
      <c r="G6" s="831"/>
      <c r="H6" s="83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6" t="s">
        <v>15</v>
      </c>
      <c r="B7" s="833"/>
      <c r="C7" s="833"/>
      <c r="D7" s="833"/>
      <c r="E7" s="833"/>
      <c r="F7" s="833"/>
      <c r="G7" s="831"/>
      <c r="H7" s="857"/>
      <c r="I7" s="858"/>
      <c r="J7" s="858"/>
      <c r="K7" s="859"/>
      <c r="L7" s="859"/>
      <c r="M7" s="859"/>
      <c r="N7" s="859"/>
      <c r="O7" s="859"/>
      <c r="P7" s="859"/>
    </row>
    <row r="8" spans="1:26" ht="19.5">
      <c r="A8" s="860"/>
      <c r="B8" s="861"/>
      <c r="C8" s="862" t="s">
        <v>16</v>
      </c>
      <c r="D8" s="863" t="s">
        <v>17</v>
      </c>
      <c r="E8" s="861"/>
      <c r="F8" s="861"/>
      <c r="G8" s="864"/>
      <c r="H8" s="19" t="s">
        <v>12</v>
      </c>
      <c r="I8" s="865"/>
      <c r="J8" s="865"/>
      <c r="K8" s="866"/>
      <c r="L8" s="867">
        <f t="shared" ref="L8:N8" ca="1" si="0">L9+L10</f>
        <v>2198108</v>
      </c>
      <c r="M8" s="867">
        <f t="shared" ca="1" si="0"/>
        <v>1908242.45</v>
      </c>
      <c r="N8" s="867">
        <f t="shared" ca="1" si="0"/>
        <v>1141258.02</v>
      </c>
      <c r="O8" s="867">
        <f t="shared" ref="O8:O16" ca="1" si="1">IF(L8&gt;0,N8*100/L8,0)</f>
        <v>51.920015759007292</v>
      </c>
      <c r="P8" s="867">
        <f t="shared" ref="P8:P16" ca="1" si="2">IF(M8&gt;0,N8*100/M8,0)</f>
        <v>59.8067619761839</v>
      </c>
      <c r="Q8" s="868"/>
      <c r="R8" s="868"/>
      <c r="S8" s="868"/>
      <c r="T8" s="868"/>
      <c r="U8" s="868"/>
      <c r="V8" s="868"/>
      <c r="W8" s="868"/>
      <c r="X8" s="868"/>
      <c r="Y8" s="868"/>
      <c r="Z8" s="868"/>
    </row>
    <row r="9" spans="1:26" ht="18.75" hidden="1">
      <c r="A9" s="869"/>
      <c r="B9" s="870"/>
      <c r="C9" s="870"/>
      <c r="D9" s="870"/>
      <c r="E9" s="871" t="s">
        <v>18</v>
      </c>
      <c r="F9" s="870"/>
      <c r="G9" s="872"/>
      <c r="H9" s="28" t="s">
        <v>12</v>
      </c>
      <c r="I9" s="873"/>
      <c r="J9" s="873"/>
      <c r="K9" s="874"/>
      <c r="L9" s="874">
        <f t="shared" ref="L9:N10" si="3">L12+L15</f>
        <v>0</v>
      </c>
      <c r="M9" s="874">
        <f t="shared" si="3"/>
        <v>0</v>
      </c>
      <c r="N9" s="874">
        <f t="shared" si="3"/>
        <v>0</v>
      </c>
      <c r="O9" s="874">
        <f t="shared" si="1"/>
        <v>0</v>
      </c>
      <c r="P9" s="874">
        <f t="shared" si="2"/>
        <v>0</v>
      </c>
      <c r="Q9" s="875"/>
      <c r="R9" s="875"/>
      <c r="S9" s="875"/>
      <c r="T9" s="875"/>
      <c r="U9" s="875"/>
      <c r="V9" s="875"/>
      <c r="W9" s="875"/>
      <c r="X9" s="875"/>
      <c r="Y9" s="875"/>
      <c r="Z9" s="875"/>
    </row>
    <row r="10" spans="1:26" ht="18.75" hidden="1">
      <c r="A10" s="869"/>
      <c r="B10" s="870"/>
      <c r="C10" s="870"/>
      <c r="D10" s="870"/>
      <c r="E10" s="871" t="s">
        <v>19</v>
      </c>
      <c r="F10" s="870"/>
      <c r="G10" s="872"/>
      <c r="H10" s="28" t="s">
        <v>12</v>
      </c>
      <c r="I10" s="873"/>
      <c r="J10" s="873"/>
      <c r="K10" s="874"/>
      <c r="L10" s="874">
        <f t="shared" ca="1" si="3"/>
        <v>2198108</v>
      </c>
      <c r="M10" s="874">
        <f t="shared" ca="1" si="3"/>
        <v>1908242.45</v>
      </c>
      <c r="N10" s="874">
        <f t="shared" ca="1" si="3"/>
        <v>1141258.02</v>
      </c>
      <c r="O10" s="874">
        <f t="shared" ca="1" si="1"/>
        <v>51.920015759007292</v>
      </c>
      <c r="P10" s="874">
        <f t="shared" ca="1" si="2"/>
        <v>59.8067619761839</v>
      </c>
      <c r="Q10" s="875"/>
      <c r="R10" s="875"/>
      <c r="S10" s="875"/>
      <c r="T10" s="875"/>
      <c r="U10" s="875"/>
      <c r="V10" s="875"/>
      <c r="W10" s="875"/>
      <c r="X10" s="875"/>
      <c r="Y10" s="875"/>
      <c r="Z10" s="875"/>
    </row>
    <row r="11" spans="1:26" ht="18.75">
      <c r="A11" s="876"/>
      <c r="B11" s="877"/>
      <c r="C11" s="877"/>
      <c r="D11" s="878" t="s">
        <v>20</v>
      </c>
      <c r="E11" s="877"/>
      <c r="F11" s="877"/>
      <c r="G11" s="879"/>
      <c r="H11" s="622" t="s">
        <v>12</v>
      </c>
      <c r="I11" s="880"/>
      <c r="J11" s="880"/>
      <c r="K11" s="881"/>
      <c r="L11" s="881">
        <f t="shared" ref="L11:N11" ca="1" si="4">L12+L13</f>
        <v>2084308</v>
      </c>
      <c r="M11" s="881">
        <f t="shared" ca="1" si="4"/>
        <v>1794642.45</v>
      </c>
      <c r="N11" s="881">
        <f t="shared" ca="1" si="4"/>
        <v>1027658.02</v>
      </c>
      <c r="O11" s="881">
        <f t="shared" ca="1" si="1"/>
        <v>49.304518334142557</v>
      </c>
      <c r="P11" s="881">
        <f t="shared" ca="1" si="2"/>
        <v>57.262549428717683</v>
      </c>
      <c r="Q11" s="868"/>
      <c r="R11" s="868"/>
      <c r="S11" s="868"/>
      <c r="T11" s="868"/>
      <c r="U11" s="868"/>
      <c r="V11" s="868"/>
      <c r="W11" s="868"/>
      <c r="X11" s="868"/>
      <c r="Y11" s="868"/>
      <c r="Z11" s="868"/>
    </row>
    <row r="12" spans="1:26" ht="18.75" hidden="1">
      <c r="A12" s="882"/>
      <c r="B12" s="883"/>
      <c r="C12" s="883"/>
      <c r="D12" s="883"/>
      <c r="E12" s="884" t="s">
        <v>18</v>
      </c>
      <c r="F12" s="883"/>
      <c r="G12" s="885"/>
      <c r="H12" s="43" t="s">
        <v>12</v>
      </c>
      <c r="I12" s="886"/>
      <c r="J12" s="886"/>
      <c r="K12" s="887"/>
      <c r="L12" s="887">
        <f t="shared" ref="L12:N13" si="5">L22+L32</f>
        <v>0</v>
      </c>
      <c r="M12" s="887">
        <f t="shared" si="5"/>
        <v>0</v>
      </c>
      <c r="N12" s="887">
        <f t="shared" si="5"/>
        <v>0</v>
      </c>
      <c r="O12" s="887">
        <f t="shared" si="1"/>
        <v>0</v>
      </c>
      <c r="P12" s="887">
        <f t="shared" si="2"/>
        <v>0</v>
      </c>
      <c r="Q12" s="875"/>
      <c r="R12" s="875"/>
      <c r="S12" s="875"/>
      <c r="T12" s="875"/>
      <c r="U12" s="875"/>
      <c r="V12" s="875"/>
      <c r="W12" s="875"/>
      <c r="X12" s="875"/>
      <c r="Y12" s="875"/>
      <c r="Z12" s="875"/>
    </row>
    <row r="13" spans="1:26" ht="18.75" hidden="1">
      <c r="A13" s="882"/>
      <c r="B13" s="883"/>
      <c r="C13" s="883"/>
      <c r="D13" s="883"/>
      <c r="E13" s="884" t="s">
        <v>19</v>
      </c>
      <c r="F13" s="883"/>
      <c r="G13" s="885"/>
      <c r="H13" s="43" t="s">
        <v>12</v>
      </c>
      <c r="I13" s="886"/>
      <c r="J13" s="886"/>
      <c r="K13" s="887"/>
      <c r="L13" s="887">
        <f t="shared" ca="1" si="5"/>
        <v>2084308</v>
      </c>
      <c r="M13" s="887">
        <f t="shared" ca="1" si="5"/>
        <v>1794642.45</v>
      </c>
      <c r="N13" s="887">
        <f t="shared" ca="1" si="5"/>
        <v>1027658.02</v>
      </c>
      <c r="O13" s="887">
        <f t="shared" ca="1" si="1"/>
        <v>49.304518334142557</v>
      </c>
      <c r="P13" s="887">
        <f t="shared" ca="1" si="2"/>
        <v>57.262549428717683</v>
      </c>
      <c r="Q13" s="875"/>
      <c r="R13" s="875"/>
      <c r="S13" s="875"/>
      <c r="T13" s="875"/>
      <c r="U13" s="875"/>
      <c r="V13" s="875"/>
      <c r="W13" s="875"/>
      <c r="X13" s="875"/>
      <c r="Y13" s="875"/>
      <c r="Z13" s="875"/>
    </row>
    <row r="14" spans="1:26" ht="18.75">
      <c r="A14" s="876"/>
      <c r="B14" s="877"/>
      <c r="C14" s="877"/>
      <c r="D14" s="878" t="s">
        <v>21</v>
      </c>
      <c r="E14" s="877"/>
      <c r="F14" s="877"/>
      <c r="G14" s="879"/>
      <c r="H14" s="622" t="s">
        <v>12</v>
      </c>
      <c r="I14" s="880"/>
      <c r="J14" s="880"/>
      <c r="K14" s="881"/>
      <c r="L14" s="881">
        <f t="shared" ref="L14:N14" ca="1" si="6">L15+L16</f>
        <v>113800</v>
      </c>
      <c r="M14" s="881">
        <f t="shared" ca="1" si="6"/>
        <v>113600</v>
      </c>
      <c r="N14" s="881">
        <f t="shared" ca="1" si="6"/>
        <v>113600</v>
      </c>
      <c r="O14" s="881">
        <f t="shared" ca="1" si="1"/>
        <v>99.824253075571178</v>
      </c>
      <c r="P14" s="881">
        <f t="shared" ca="1" si="2"/>
        <v>100</v>
      </c>
      <c r="Q14" s="868"/>
      <c r="R14" s="868"/>
      <c r="S14" s="868"/>
      <c r="T14" s="868"/>
      <c r="U14" s="868"/>
      <c r="V14" s="868"/>
      <c r="W14" s="868"/>
      <c r="X14" s="868"/>
      <c r="Y14" s="868"/>
      <c r="Z14" s="868"/>
    </row>
    <row r="15" spans="1:26" ht="18.75" hidden="1">
      <c r="A15" s="882"/>
      <c r="B15" s="883"/>
      <c r="C15" s="883"/>
      <c r="D15" s="883"/>
      <c r="E15" s="884" t="s">
        <v>18</v>
      </c>
      <c r="F15" s="883"/>
      <c r="G15" s="885"/>
      <c r="H15" s="43" t="s">
        <v>12</v>
      </c>
      <c r="I15" s="886"/>
      <c r="J15" s="886"/>
      <c r="K15" s="887"/>
      <c r="L15" s="887">
        <f t="shared" ref="L15:N16" si="7">L25+L35</f>
        <v>0</v>
      </c>
      <c r="M15" s="887">
        <f t="shared" si="7"/>
        <v>0</v>
      </c>
      <c r="N15" s="887">
        <f t="shared" si="7"/>
        <v>0</v>
      </c>
      <c r="O15" s="887">
        <f t="shared" si="1"/>
        <v>0</v>
      </c>
      <c r="P15" s="887">
        <f t="shared" si="2"/>
        <v>0</v>
      </c>
      <c r="Q15" s="875"/>
      <c r="R15" s="875"/>
      <c r="S15" s="875"/>
      <c r="T15" s="875"/>
      <c r="U15" s="875"/>
      <c r="V15" s="875"/>
      <c r="W15" s="875"/>
      <c r="X15" s="875"/>
      <c r="Y15" s="875"/>
      <c r="Z15" s="875"/>
    </row>
    <row r="16" spans="1:26" ht="18.75" hidden="1">
      <c r="A16" s="888"/>
      <c r="B16" s="889"/>
      <c r="C16" s="889"/>
      <c r="D16" s="889"/>
      <c r="E16" s="890" t="s">
        <v>19</v>
      </c>
      <c r="F16" s="889"/>
      <c r="G16" s="891"/>
      <c r="H16" s="50" t="s">
        <v>12</v>
      </c>
      <c r="I16" s="892"/>
      <c r="J16" s="892"/>
      <c r="K16" s="893"/>
      <c r="L16" s="893">
        <f t="shared" ca="1" si="7"/>
        <v>113800</v>
      </c>
      <c r="M16" s="893">
        <f t="shared" ca="1" si="7"/>
        <v>113600</v>
      </c>
      <c r="N16" s="893">
        <f t="shared" ca="1" si="7"/>
        <v>113600</v>
      </c>
      <c r="O16" s="893">
        <f t="shared" ca="1" si="1"/>
        <v>99.824253075571178</v>
      </c>
      <c r="P16" s="893">
        <f t="shared" ca="1" si="2"/>
        <v>100</v>
      </c>
      <c r="Q16" s="875"/>
      <c r="R16" s="875"/>
      <c r="S16" s="875"/>
      <c r="T16" s="875"/>
      <c r="U16" s="875"/>
      <c r="V16" s="875"/>
      <c r="W16" s="875"/>
      <c r="X16" s="875"/>
      <c r="Y16" s="875"/>
      <c r="Z16" s="875"/>
    </row>
    <row r="17" spans="1:26" ht="19.5">
      <c r="A17" s="856" t="s">
        <v>22</v>
      </c>
      <c r="B17" s="833"/>
      <c r="C17" s="833"/>
      <c r="D17" s="833"/>
      <c r="E17" s="833"/>
      <c r="F17" s="833"/>
      <c r="G17" s="831"/>
      <c r="H17" s="857"/>
      <c r="I17" s="858"/>
      <c r="J17" s="858"/>
      <c r="K17" s="859"/>
      <c r="L17" s="859"/>
      <c r="M17" s="859"/>
      <c r="N17" s="859"/>
      <c r="O17" s="859"/>
      <c r="P17" s="859"/>
    </row>
    <row r="18" spans="1:26" ht="19.5">
      <c r="A18" s="860"/>
      <c r="B18" s="861"/>
      <c r="C18" s="862" t="s">
        <v>16</v>
      </c>
      <c r="D18" s="863" t="s">
        <v>17</v>
      </c>
      <c r="E18" s="861"/>
      <c r="F18" s="861"/>
      <c r="G18" s="864"/>
      <c r="H18" s="19" t="s">
        <v>12</v>
      </c>
      <c r="I18" s="865"/>
      <c r="J18" s="865"/>
      <c r="K18" s="866"/>
      <c r="L18" s="867">
        <f t="shared" ref="L18:N18" ca="1" si="8">L19+L20</f>
        <v>1847225</v>
      </c>
      <c r="M18" s="867">
        <f t="shared" ca="1" si="8"/>
        <v>1557359.45</v>
      </c>
      <c r="N18" s="867">
        <f t="shared" ca="1" si="8"/>
        <v>1015166.52</v>
      </c>
      <c r="O18" s="867">
        <f t="shared" ref="O18:O26" ca="1" si="9">IF(L18&gt;0,N18*100/L18,0)</f>
        <v>54.956300396540755</v>
      </c>
      <c r="P18" s="867">
        <f t="shared" ref="P18:P26" ca="1" si="10">IF(M18&gt;0,N18*100/M18,0)</f>
        <v>65.185113173455235</v>
      </c>
      <c r="Q18" s="868"/>
      <c r="R18" s="868"/>
      <c r="S18" s="868"/>
      <c r="T18" s="868"/>
      <c r="U18" s="868"/>
      <c r="V18" s="868"/>
      <c r="W18" s="868"/>
      <c r="X18" s="868"/>
      <c r="Y18" s="868"/>
      <c r="Z18" s="868"/>
    </row>
    <row r="19" spans="1:26" ht="18.75" hidden="1">
      <c r="A19" s="869"/>
      <c r="B19" s="870"/>
      <c r="C19" s="870"/>
      <c r="D19" s="870"/>
      <c r="E19" s="871" t="s">
        <v>18</v>
      </c>
      <c r="F19" s="870"/>
      <c r="G19" s="872"/>
      <c r="H19" s="28" t="s">
        <v>12</v>
      </c>
      <c r="I19" s="873"/>
      <c r="J19" s="873"/>
      <c r="K19" s="874"/>
      <c r="L19" s="874">
        <f t="shared" ref="L19:N20" si="11">L22+L25</f>
        <v>0</v>
      </c>
      <c r="M19" s="874">
        <f t="shared" si="11"/>
        <v>0</v>
      </c>
      <c r="N19" s="874">
        <f t="shared" si="11"/>
        <v>0</v>
      </c>
      <c r="O19" s="874">
        <f t="shared" si="9"/>
        <v>0</v>
      </c>
      <c r="P19" s="874">
        <f t="shared" si="10"/>
        <v>0</v>
      </c>
      <c r="Q19" s="875"/>
      <c r="R19" s="875"/>
      <c r="S19" s="875"/>
      <c r="T19" s="875"/>
      <c r="U19" s="875"/>
      <c r="V19" s="875"/>
      <c r="W19" s="875"/>
      <c r="X19" s="875"/>
      <c r="Y19" s="875"/>
      <c r="Z19" s="875"/>
    </row>
    <row r="20" spans="1:26" ht="18.75" hidden="1">
      <c r="A20" s="869"/>
      <c r="B20" s="870"/>
      <c r="C20" s="870"/>
      <c r="D20" s="870"/>
      <c r="E20" s="871" t="s">
        <v>19</v>
      </c>
      <c r="F20" s="870"/>
      <c r="G20" s="872"/>
      <c r="H20" s="28" t="s">
        <v>12</v>
      </c>
      <c r="I20" s="873"/>
      <c r="J20" s="873"/>
      <c r="K20" s="874"/>
      <c r="L20" s="874">
        <f t="shared" ca="1" si="11"/>
        <v>1847225</v>
      </c>
      <c r="M20" s="874">
        <f t="shared" ca="1" si="11"/>
        <v>1557359.45</v>
      </c>
      <c r="N20" s="874">
        <f t="shared" ca="1" si="11"/>
        <v>1015166.52</v>
      </c>
      <c r="O20" s="874">
        <f t="shared" ca="1" si="9"/>
        <v>54.956300396540755</v>
      </c>
      <c r="P20" s="874">
        <f t="shared" ca="1" si="10"/>
        <v>65.185113173455235</v>
      </c>
      <c r="Q20" s="875"/>
      <c r="R20" s="875"/>
      <c r="S20" s="875"/>
      <c r="T20" s="875"/>
      <c r="U20" s="875"/>
      <c r="V20" s="875"/>
      <c r="W20" s="875"/>
      <c r="X20" s="875"/>
      <c r="Y20" s="875"/>
      <c r="Z20" s="875"/>
    </row>
    <row r="21" spans="1:26" ht="18.75">
      <c r="A21" s="876"/>
      <c r="B21" s="877"/>
      <c r="C21" s="877"/>
      <c r="D21" s="878" t="s">
        <v>20</v>
      </c>
      <c r="E21" s="877"/>
      <c r="F21" s="877"/>
      <c r="G21" s="879"/>
      <c r="H21" s="622" t="s">
        <v>12</v>
      </c>
      <c r="I21" s="880"/>
      <c r="J21" s="880"/>
      <c r="K21" s="881"/>
      <c r="L21" s="881">
        <f t="shared" ref="L21:N21" ca="1" si="12">L22+L23</f>
        <v>1733425</v>
      </c>
      <c r="M21" s="881">
        <f t="shared" ca="1" si="12"/>
        <v>1443759.45</v>
      </c>
      <c r="N21" s="881">
        <f t="shared" ca="1" si="12"/>
        <v>901566.52</v>
      </c>
      <c r="O21" s="881">
        <f t="shared" ca="1" si="9"/>
        <v>52.010702510924901</v>
      </c>
      <c r="P21" s="881">
        <f t="shared" ca="1" si="10"/>
        <v>62.445757151580899</v>
      </c>
      <c r="Q21" s="868"/>
      <c r="R21" s="868"/>
      <c r="S21" s="868"/>
      <c r="T21" s="868"/>
      <c r="U21" s="868"/>
      <c r="V21" s="868"/>
      <c r="W21" s="868"/>
      <c r="X21" s="868"/>
      <c r="Y21" s="868"/>
      <c r="Z21" s="868"/>
    </row>
    <row r="22" spans="1:26" ht="18.75" hidden="1">
      <c r="A22" s="882"/>
      <c r="B22" s="883"/>
      <c r="C22" s="883"/>
      <c r="D22" s="883"/>
      <c r="E22" s="884" t="s">
        <v>18</v>
      </c>
      <c r="F22" s="883"/>
      <c r="G22" s="885"/>
      <c r="H22" s="43" t="s">
        <v>12</v>
      </c>
      <c r="I22" s="886"/>
      <c r="J22" s="886"/>
      <c r="K22" s="887"/>
      <c r="L22" s="887">
        <f t="shared" ref="L22:N23" si="13">L45+L57+L70+L92+L123+L136+L153+L185+L169+L265+L281+L302+L319+L332+L349+L393+L406</f>
        <v>0</v>
      </c>
      <c r="M22" s="887">
        <f t="shared" si="13"/>
        <v>0</v>
      </c>
      <c r="N22" s="887">
        <f t="shared" si="13"/>
        <v>0</v>
      </c>
      <c r="O22" s="887">
        <f t="shared" si="9"/>
        <v>0</v>
      </c>
      <c r="P22" s="887">
        <f t="shared" si="10"/>
        <v>0</v>
      </c>
      <c r="Q22" s="875"/>
      <c r="R22" s="875"/>
      <c r="S22" s="875"/>
      <c r="T22" s="875"/>
      <c r="U22" s="875"/>
      <c r="V22" s="875"/>
      <c r="W22" s="875"/>
      <c r="X22" s="875"/>
      <c r="Y22" s="875"/>
      <c r="Z22" s="875"/>
    </row>
    <row r="23" spans="1:26" ht="18.75" hidden="1">
      <c r="A23" s="882"/>
      <c r="B23" s="883"/>
      <c r="C23" s="883"/>
      <c r="D23" s="883"/>
      <c r="E23" s="884" t="s">
        <v>19</v>
      </c>
      <c r="F23" s="883"/>
      <c r="G23" s="885"/>
      <c r="H23" s="43" t="s">
        <v>12</v>
      </c>
      <c r="I23" s="886"/>
      <c r="J23" s="886"/>
      <c r="K23" s="887"/>
      <c r="L23" s="887">
        <f t="shared" ca="1" si="13"/>
        <v>1733425</v>
      </c>
      <c r="M23" s="887">
        <f t="shared" ca="1" si="13"/>
        <v>1443759.45</v>
      </c>
      <c r="N23" s="887">
        <f t="shared" ca="1" si="13"/>
        <v>901566.52</v>
      </c>
      <c r="O23" s="887">
        <f t="shared" ca="1" si="9"/>
        <v>52.010702510924901</v>
      </c>
      <c r="P23" s="887">
        <f t="shared" ca="1" si="10"/>
        <v>62.445757151580899</v>
      </c>
      <c r="Q23" s="875"/>
      <c r="R23" s="875"/>
      <c r="S23" s="875"/>
      <c r="T23" s="875"/>
      <c r="U23" s="875"/>
      <c r="V23" s="875"/>
      <c r="W23" s="875"/>
      <c r="X23" s="875"/>
      <c r="Y23" s="875"/>
      <c r="Z23" s="875"/>
    </row>
    <row r="24" spans="1:26" ht="18.75">
      <c r="A24" s="876"/>
      <c r="B24" s="877"/>
      <c r="C24" s="877"/>
      <c r="D24" s="878" t="s">
        <v>21</v>
      </c>
      <c r="E24" s="877"/>
      <c r="F24" s="877"/>
      <c r="G24" s="879"/>
      <c r="H24" s="622" t="s">
        <v>12</v>
      </c>
      <c r="I24" s="880"/>
      <c r="J24" s="880"/>
      <c r="K24" s="881"/>
      <c r="L24" s="881">
        <f t="shared" ref="L24:N24" ca="1" si="14">L25+L26</f>
        <v>113800</v>
      </c>
      <c r="M24" s="881">
        <f t="shared" ca="1" si="14"/>
        <v>113600</v>
      </c>
      <c r="N24" s="881">
        <f t="shared" ca="1" si="14"/>
        <v>113600</v>
      </c>
      <c r="O24" s="881">
        <f t="shared" ca="1" si="9"/>
        <v>99.824253075571178</v>
      </c>
      <c r="P24" s="881">
        <f t="shared" ca="1" si="10"/>
        <v>100</v>
      </c>
      <c r="Q24" s="868"/>
      <c r="R24" s="868"/>
      <c r="S24" s="868"/>
      <c r="T24" s="868"/>
      <c r="U24" s="868"/>
      <c r="V24" s="868"/>
      <c r="W24" s="868"/>
      <c r="X24" s="868"/>
      <c r="Y24" s="868"/>
      <c r="Z24" s="868"/>
    </row>
    <row r="25" spans="1:26" ht="18.75" hidden="1">
      <c r="A25" s="882"/>
      <c r="B25" s="883"/>
      <c r="C25" s="883"/>
      <c r="D25" s="883"/>
      <c r="E25" s="884" t="s">
        <v>18</v>
      </c>
      <c r="F25" s="883"/>
      <c r="G25" s="885"/>
      <c r="H25" s="43" t="s">
        <v>12</v>
      </c>
      <c r="I25" s="886"/>
      <c r="J25" s="886"/>
      <c r="K25" s="887"/>
      <c r="L25" s="887">
        <f t="shared" ref="L25:N26" si="15">L48+L60+L73+L95+L126+L139+L156+L188+L172+L268+L284+L305+L322+L335+L352+L396+L409</f>
        <v>0</v>
      </c>
      <c r="M25" s="887">
        <f t="shared" si="15"/>
        <v>0</v>
      </c>
      <c r="N25" s="887">
        <f t="shared" si="15"/>
        <v>0</v>
      </c>
      <c r="O25" s="887">
        <f t="shared" si="9"/>
        <v>0</v>
      </c>
      <c r="P25" s="887">
        <f t="shared" si="10"/>
        <v>0</v>
      </c>
      <c r="Q25" s="875"/>
      <c r="R25" s="875"/>
      <c r="S25" s="875"/>
      <c r="T25" s="875"/>
      <c r="U25" s="875"/>
      <c r="V25" s="875"/>
      <c r="W25" s="875"/>
      <c r="X25" s="875"/>
      <c r="Y25" s="875"/>
      <c r="Z25" s="875"/>
    </row>
    <row r="26" spans="1:26" ht="18.75" hidden="1">
      <c r="A26" s="888"/>
      <c r="B26" s="889"/>
      <c r="C26" s="889"/>
      <c r="D26" s="889"/>
      <c r="E26" s="890" t="s">
        <v>19</v>
      </c>
      <c r="F26" s="889"/>
      <c r="G26" s="891"/>
      <c r="H26" s="50" t="s">
        <v>12</v>
      </c>
      <c r="I26" s="892"/>
      <c r="J26" s="892"/>
      <c r="K26" s="893"/>
      <c r="L26" s="893">
        <f t="shared" ca="1" si="15"/>
        <v>113800</v>
      </c>
      <c r="M26" s="893">
        <f t="shared" ca="1" si="15"/>
        <v>113600</v>
      </c>
      <c r="N26" s="893">
        <f t="shared" ca="1" si="15"/>
        <v>113600</v>
      </c>
      <c r="O26" s="893">
        <f t="shared" ca="1" si="9"/>
        <v>99.824253075571178</v>
      </c>
      <c r="P26" s="893">
        <f t="shared" ca="1" si="10"/>
        <v>100</v>
      </c>
      <c r="Q26" s="875"/>
      <c r="R26" s="875"/>
      <c r="S26" s="875"/>
      <c r="T26" s="875"/>
      <c r="U26" s="875"/>
      <c r="V26" s="875"/>
      <c r="W26" s="875"/>
      <c r="X26" s="875"/>
      <c r="Y26" s="875"/>
      <c r="Z26" s="875"/>
    </row>
    <row r="27" spans="1:26" ht="19.5">
      <c r="A27" s="856" t="s">
        <v>23</v>
      </c>
      <c r="B27" s="833"/>
      <c r="C27" s="833"/>
      <c r="D27" s="833"/>
      <c r="E27" s="833"/>
      <c r="F27" s="833"/>
      <c r="G27" s="831"/>
      <c r="H27" s="857"/>
      <c r="I27" s="858"/>
      <c r="J27" s="858"/>
      <c r="K27" s="859"/>
      <c r="L27" s="859"/>
      <c r="M27" s="859"/>
      <c r="N27" s="859"/>
      <c r="O27" s="859"/>
      <c r="P27" s="859"/>
    </row>
    <row r="28" spans="1:26" ht="19.5">
      <c r="A28" s="860"/>
      <c r="B28" s="861"/>
      <c r="C28" s="862" t="s">
        <v>16</v>
      </c>
      <c r="D28" s="863" t="s">
        <v>17</v>
      </c>
      <c r="E28" s="861"/>
      <c r="F28" s="861"/>
      <c r="G28" s="864"/>
      <c r="H28" s="19" t="s">
        <v>12</v>
      </c>
      <c r="I28" s="865"/>
      <c r="J28" s="865"/>
      <c r="K28" s="866"/>
      <c r="L28" s="867">
        <f t="shared" ref="L28:N28" ca="1" si="16">L29+L30</f>
        <v>350883</v>
      </c>
      <c r="M28" s="867">
        <f t="shared" ca="1" si="16"/>
        <v>350883</v>
      </c>
      <c r="N28" s="867">
        <f t="shared" si="16"/>
        <v>126091.5</v>
      </c>
      <c r="O28" s="867">
        <f t="shared" ref="O28:O37" ca="1" si="17">IF(L28&gt;0,N28*100/L28,0)</f>
        <v>35.935482767760192</v>
      </c>
      <c r="P28" s="867">
        <f t="shared" ref="P28:P37" ca="1" si="18">IF(M28&gt;0,N28*100/M28,0)</f>
        <v>35.935482767760192</v>
      </c>
      <c r="Q28" s="868"/>
      <c r="R28" s="868"/>
      <c r="S28" s="868"/>
      <c r="T28" s="868"/>
      <c r="U28" s="868"/>
      <c r="V28" s="868"/>
      <c r="W28" s="868"/>
      <c r="X28" s="868"/>
      <c r="Y28" s="868"/>
      <c r="Z28" s="868"/>
    </row>
    <row r="29" spans="1:26" ht="18.75" hidden="1">
      <c r="A29" s="869"/>
      <c r="B29" s="870"/>
      <c r="C29" s="870"/>
      <c r="D29" s="870"/>
      <c r="E29" s="871" t="s">
        <v>18</v>
      </c>
      <c r="F29" s="870"/>
      <c r="G29" s="872"/>
      <c r="H29" s="28" t="s">
        <v>12</v>
      </c>
      <c r="I29" s="873"/>
      <c r="J29" s="873"/>
      <c r="K29" s="874"/>
      <c r="L29" s="874">
        <f t="shared" ref="L29:N30" si="19">L32+L35</f>
        <v>0</v>
      </c>
      <c r="M29" s="874">
        <f t="shared" si="19"/>
        <v>0</v>
      </c>
      <c r="N29" s="874">
        <f t="shared" si="19"/>
        <v>0</v>
      </c>
      <c r="O29" s="874">
        <f t="shared" si="17"/>
        <v>0</v>
      </c>
      <c r="P29" s="874">
        <f t="shared" si="18"/>
        <v>0</v>
      </c>
      <c r="Q29" s="875"/>
      <c r="R29" s="875"/>
      <c r="S29" s="875"/>
      <c r="T29" s="875"/>
      <c r="U29" s="875"/>
      <c r="V29" s="875"/>
      <c r="W29" s="875"/>
      <c r="X29" s="875"/>
      <c r="Y29" s="875"/>
      <c r="Z29" s="875"/>
    </row>
    <row r="30" spans="1:26" ht="18.75" hidden="1">
      <c r="A30" s="869"/>
      <c r="B30" s="870"/>
      <c r="C30" s="870"/>
      <c r="D30" s="870"/>
      <c r="E30" s="871" t="s">
        <v>19</v>
      </c>
      <c r="F30" s="870"/>
      <c r="G30" s="872"/>
      <c r="H30" s="28" t="s">
        <v>12</v>
      </c>
      <c r="I30" s="873"/>
      <c r="J30" s="873"/>
      <c r="K30" s="874"/>
      <c r="L30" s="874">
        <f t="shared" ca="1" si="19"/>
        <v>350883</v>
      </c>
      <c r="M30" s="874">
        <f t="shared" ca="1" si="19"/>
        <v>350883</v>
      </c>
      <c r="N30" s="874">
        <f t="shared" si="19"/>
        <v>126091.5</v>
      </c>
      <c r="O30" s="874">
        <f t="shared" ca="1" si="17"/>
        <v>35.935482767760192</v>
      </c>
      <c r="P30" s="874">
        <f t="shared" ca="1" si="18"/>
        <v>35.935482767760192</v>
      </c>
      <c r="Q30" s="875"/>
      <c r="R30" s="875"/>
      <c r="S30" s="875"/>
      <c r="T30" s="875"/>
      <c r="U30" s="875"/>
      <c r="V30" s="875"/>
      <c r="W30" s="875"/>
      <c r="X30" s="875"/>
      <c r="Y30" s="875"/>
      <c r="Z30" s="875"/>
    </row>
    <row r="31" spans="1:26" ht="18.75">
      <c r="A31" s="876"/>
      <c r="B31" s="877"/>
      <c r="C31" s="877"/>
      <c r="D31" s="878" t="s">
        <v>20</v>
      </c>
      <c r="E31" s="877"/>
      <c r="F31" s="877"/>
      <c r="G31" s="879"/>
      <c r="H31" s="622" t="s">
        <v>12</v>
      </c>
      <c r="I31" s="880"/>
      <c r="J31" s="880"/>
      <c r="K31" s="881"/>
      <c r="L31" s="881">
        <f t="shared" ref="L31:N31" ca="1" si="20">L32+L33</f>
        <v>350883</v>
      </c>
      <c r="M31" s="881">
        <f t="shared" ca="1" si="20"/>
        <v>350883</v>
      </c>
      <c r="N31" s="881">
        <f t="shared" si="20"/>
        <v>126091.5</v>
      </c>
      <c r="O31" s="881">
        <f t="shared" ca="1" si="17"/>
        <v>35.935482767760192</v>
      </c>
      <c r="P31" s="881">
        <f t="shared" ca="1" si="18"/>
        <v>35.935482767760192</v>
      </c>
      <c r="Q31" s="868"/>
      <c r="R31" s="868"/>
      <c r="S31" s="868"/>
      <c r="T31" s="868"/>
      <c r="U31" s="868"/>
      <c r="V31" s="868"/>
      <c r="W31" s="868"/>
      <c r="X31" s="868"/>
      <c r="Y31" s="868"/>
      <c r="Z31" s="868"/>
    </row>
    <row r="32" spans="1:26" ht="18.75" hidden="1">
      <c r="A32" s="882"/>
      <c r="B32" s="883"/>
      <c r="C32" s="883"/>
      <c r="D32" s="883"/>
      <c r="E32" s="884" t="s">
        <v>18</v>
      </c>
      <c r="F32" s="883"/>
      <c r="G32" s="885"/>
      <c r="H32" s="43" t="s">
        <v>12</v>
      </c>
      <c r="I32" s="886"/>
      <c r="J32" s="886"/>
      <c r="K32" s="887"/>
      <c r="L32" s="887">
        <f t="shared" ref="L32:N33" si="21">L423+L448+L471+L506+L527+L548+L633+L659+L689+L741+L758+L774+L790+L809</f>
        <v>0</v>
      </c>
      <c r="M32" s="887">
        <f t="shared" si="21"/>
        <v>0</v>
      </c>
      <c r="N32" s="887">
        <f t="shared" si="21"/>
        <v>0</v>
      </c>
      <c r="O32" s="887">
        <f t="shared" si="17"/>
        <v>0</v>
      </c>
      <c r="P32" s="887">
        <f t="shared" si="18"/>
        <v>0</v>
      </c>
      <c r="Q32" s="875"/>
      <c r="R32" s="875"/>
      <c r="S32" s="875"/>
      <c r="T32" s="875"/>
      <c r="U32" s="875"/>
      <c r="V32" s="875"/>
      <c r="W32" s="875"/>
      <c r="X32" s="875"/>
      <c r="Y32" s="875"/>
      <c r="Z32" s="875"/>
    </row>
    <row r="33" spans="1:26" ht="18.75" hidden="1">
      <c r="A33" s="882"/>
      <c r="B33" s="883"/>
      <c r="C33" s="883"/>
      <c r="D33" s="883"/>
      <c r="E33" s="884" t="s">
        <v>19</v>
      </c>
      <c r="F33" s="883"/>
      <c r="G33" s="885"/>
      <c r="H33" s="43" t="s">
        <v>12</v>
      </c>
      <c r="I33" s="886"/>
      <c r="J33" s="886"/>
      <c r="K33" s="887"/>
      <c r="L33" s="887">
        <f t="shared" ca="1" si="21"/>
        <v>350883</v>
      </c>
      <c r="M33" s="887">
        <f t="shared" ca="1" si="21"/>
        <v>350883</v>
      </c>
      <c r="N33" s="887">
        <f t="shared" si="21"/>
        <v>126091.5</v>
      </c>
      <c r="O33" s="887">
        <f t="shared" ca="1" si="17"/>
        <v>35.935482767760192</v>
      </c>
      <c r="P33" s="887">
        <f t="shared" ca="1" si="18"/>
        <v>35.935482767760192</v>
      </c>
      <c r="Q33" s="875"/>
      <c r="R33" s="875"/>
      <c r="S33" s="875"/>
      <c r="T33" s="875"/>
      <c r="U33" s="875"/>
      <c r="V33" s="875"/>
      <c r="W33" s="875"/>
      <c r="X33" s="875"/>
      <c r="Y33" s="875"/>
      <c r="Z33" s="875"/>
    </row>
    <row r="34" spans="1:26" ht="18.75">
      <c r="A34" s="876"/>
      <c r="B34" s="877"/>
      <c r="C34" s="877"/>
      <c r="D34" s="878" t="s">
        <v>21</v>
      </c>
      <c r="E34" s="877"/>
      <c r="F34" s="877"/>
      <c r="G34" s="879"/>
      <c r="H34" s="622" t="s">
        <v>12</v>
      </c>
      <c r="I34" s="880"/>
      <c r="J34" s="880"/>
      <c r="K34" s="881"/>
      <c r="L34" s="881">
        <f t="shared" ref="L34:N34" ca="1" si="22">L35+L36</f>
        <v>0</v>
      </c>
      <c r="M34" s="881">
        <f t="shared" si="22"/>
        <v>0</v>
      </c>
      <c r="N34" s="881">
        <f t="shared" si="22"/>
        <v>0</v>
      </c>
      <c r="O34" s="881">
        <f t="shared" ca="1" si="17"/>
        <v>0</v>
      </c>
      <c r="P34" s="881">
        <f t="shared" si="18"/>
        <v>0</v>
      </c>
      <c r="Q34" s="868"/>
      <c r="R34" s="868"/>
      <c r="S34" s="868"/>
      <c r="T34" s="868"/>
      <c r="U34" s="868"/>
      <c r="V34" s="868"/>
      <c r="W34" s="868"/>
      <c r="X34" s="868"/>
      <c r="Y34" s="868"/>
      <c r="Z34" s="868"/>
    </row>
    <row r="35" spans="1:26" ht="18.75" hidden="1">
      <c r="A35" s="882"/>
      <c r="B35" s="883"/>
      <c r="C35" s="883"/>
      <c r="D35" s="883"/>
      <c r="E35" s="884" t="s">
        <v>18</v>
      </c>
      <c r="F35" s="883"/>
      <c r="G35" s="885"/>
      <c r="H35" s="43" t="s">
        <v>12</v>
      </c>
      <c r="I35" s="886"/>
      <c r="J35" s="886"/>
      <c r="K35" s="887"/>
      <c r="L35" s="887">
        <f t="shared" ref="L35:N36" si="23">L430+L455+L478+L513+L534+L556+L640+L666+L696+L748+L765+L781+L797+L816</f>
        <v>0</v>
      </c>
      <c r="M35" s="887">
        <f t="shared" si="23"/>
        <v>0</v>
      </c>
      <c r="N35" s="887">
        <f t="shared" si="23"/>
        <v>0</v>
      </c>
      <c r="O35" s="887">
        <f t="shared" si="17"/>
        <v>0</v>
      </c>
      <c r="P35" s="887">
        <f t="shared" si="18"/>
        <v>0</v>
      </c>
      <c r="Q35" s="875"/>
      <c r="R35" s="875"/>
      <c r="S35" s="875"/>
      <c r="T35" s="875"/>
      <c r="U35" s="875"/>
      <c r="V35" s="875"/>
      <c r="W35" s="875"/>
      <c r="X35" s="875"/>
      <c r="Y35" s="875"/>
      <c r="Z35" s="875"/>
    </row>
    <row r="36" spans="1:26" ht="18.75" hidden="1">
      <c r="A36" s="888"/>
      <c r="B36" s="889"/>
      <c r="C36" s="889"/>
      <c r="D36" s="889"/>
      <c r="E36" s="890" t="s">
        <v>19</v>
      </c>
      <c r="F36" s="889"/>
      <c r="G36" s="891"/>
      <c r="H36" s="50" t="s">
        <v>12</v>
      </c>
      <c r="I36" s="892"/>
      <c r="J36" s="892"/>
      <c r="K36" s="893"/>
      <c r="L36" s="893">
        <f t="shared" ca="1" si="23"/>
        <v>0</v>
      </c>
      <c r="M36" s="893">
        <f t="shared" si="23"/>
        <v>0</v>
      </c>
      <c r="N36" s="893">
        <f t="shared" si="23"/>
        <v>0</v>
      </c>
      <c r="O36" s="893">
        <f t="shared" ca="1" si="17"/>
        <v>0</v>
      </c>
      <c r="P36" s="893">
        <f t="shared" si="18"/>
        <v>0</v>
      </c>
      <c r="Q36" s="875"/>
      <c r="R36" s="875"/>
      <c r="S36" s="875"/>
      <c r="T36" s="875"/>
      <c r="U36" s="875"/>
      <c r="V36" s="875"/>
      <c r="W36" s="875"/>
      <c r="X36" s="875"/>
      <c r="Y36" s="875"/>
      <c r="Z36" s="875"/>
    </row>
    <row r="37" spans="1:26" ht="19.5">
      <c r="A37" s="894" t="s">
        <v>24</v>
      </c>
      <c r="B37" s="895"/>
      <c r="C37" s="895"/>
      <c r="D37" s="895"/>
      <c r="E37" s="895"/>
      <c r="F37" s="895"/>
      <c r="G37" s="896"/>
      <c r="H37" s="897"/>
      <c r="I37" s="898"/>
      <c r="J37" s="898"/>
      <c r="K37" s="899"/>
      <c r="L37" s="900">
        <f t="shared" ref="L37:N37" ca="1" si="24">L41+L53+L66+L88+L119+L132+L149+L165+L181+L261+L277+L298+L315+L328+L345+L389+L402</f>
        <v>1847225</v>
      </c>
      <c r="M37" s="900">
        <f t="shared" ca="1" si="24"/>
        <v>1557359.45</v>
      </c>
      <c r="N37" s="900">
        <f t="shared" ca="1" si="24"/>
        <v>1015166.52</v>
      </c>
      <c r="O37" s="900">
        <f t="shared" ca="1" si="17"/>
        <v>54.956300396540755</v>
      </c>
      <c r="P37" s="900">
        <f t="shared" ca="1" si="18"/>
        <v>65.185113173455235</v>
      </c>
    </row>
    <row r="38" spans="1:26" ht="19.5">
      <c r="A38" s="901" t="s">
        <v>25</v>
      </c>
      <c r="B38" s="902"/>
      <c r="C38" s="902"/>
      <c r="D38" s="902"/>
      <c r="E38" s="902"/>
      <c r="F38" s="902"/>
      <c r="G38" s="903"/>
      <c r="H38" s="904"/>
      <c r="I38" s="905"/>
      <c r="J38" s="905"/>
      <c r="K38" s="906"/>
      <c r="L38" s="906"/>
      <c r="M38" s="906"/>
      <c r="N38" s="906"/>
      <c r="O38" s="906"/>
      <c r="P38" s="906"/>
    </row>
    <row r="39" spans="1:26" ht="19.5">
      <c r="A39" s="907"/>
      <c r="B39" s="908" t="s">
        <v>26</v>
      </c>
      <c r="C39" s="909"/>
      <c r="D39" s="909"/>
      <c r="E39" s="909"/>
      <c r="F39" s="909"/>
      <c r="G39" s="910"/>
      <c r="H39" s="911"/>
      <c r="I39" s="912"/>
      <c r="J39" s="912"/>
      <c r="K39" s="913"/>
      <c r="L39" s="913"/>
      <c r="M39" s="913"/>
      <c r="N39" s="913"/>
      <c r="O39" s="913"/>
      <c r="P39" s="913"/>
    </row>
    <row r="40" spans="1:26" ht="19.5">
      <c r="A40" s="914"/>
      <c r="B40" s="915" t="s">
        <v>27</v>
      </c>
      <c r="C40" s="841"/>
      <c r="D40" s="841"/>
      <c r="E40" s="841"/>
      <c r="F40" s="841"/>
      <c r="G40" s="842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82" t="s">
        <v>12</v>
      </c>
      <c r="I41" s="924"/>
      <c r="J41" s="924"/>
      <c r="K41" s="925"/>
      <c r="L41" s="926">
        <f t="shared" ref="L41:N41" ca="1" si="25">L42+L43</f>
        <v>190700</v>
      </c>
      <c r="M41" s="926">
        <f t="shared" ca="1" si="25"/>
        <v>95445.45</v>
      </c>
      <c r="N41" s="926">
        <f t="shared" ca="1" si="25"/>
        <v>60794.45</v>
      </c>
      <c r="O41" s="926">
        <f t="shared" ref="O41:O49" ca="1" si="26">IF(L41&gt;0,N41*100/L41,0)</f>
        <v>31.879627687467227</v>
      </c>
      <c r="P41" s="926">
        <f t="shared" ref="P41:P49" ca="1" si="27">IF(M41&gt;0,N41*100/M41,0)</f>
        <v>63.695493080078727</v>
      </c>
      <c r="Q41" s="868"/>
      <c r="R41" s="868"/>
      <c r="S41" s="868"/>
      <c r="T41" s="868"/>
      <c r="U41" s="868"/>
      <c r="V41" s="868"/>
      <c r="W41" s="868"/>
      <c r="X41" s="868"/>
      <c r="Y41" s="868"/>
      <c r="Z41" s="868"/>
    </row>
    <row r="42" spans="1:26" ht="18.75" hidden="1">
      <c r="A42" s="927"/>
      <c r="B42" s="928"/>
      <c r="C42" s="928"/>
      <c r="D42" s="928"/>
      <c r="E42" s="929" t="s">
        <v>18</v>
      </c>
      <c r="F42" s="928"/>
      <c r="G42" s="930"/>
      <c r="H42" s="90" t="s">
        <v>12</v>
      </c>
      <c r="I42" s="931"/>
      <c r="J42" s="931"/>
      <c r="K42" s="932"/>
      <c r="L42" s="932">
        <f t="shared" ref="L42:N43" si="28">L45+L48</f>
        <v>0</v>
      </c>
      <c r="M42" s="932">
        <f t="shared" si="28"/>
        <v>0</v>
      </c>
      <c r="N42" s="932">
        <f t="shared" si="28"/>
        <v>0</v>
      </c>
      <c r="O42" s="932">
        <f t="shared" si="26"/>
        <v>0</v>
      </c>
      <c r="P42" s="932">
        <f t="shared" si="27"/>
        <v>0</v>
      </c>
      <c r="Q42" s="875"/>
      <c r="R42" s="875"/>
      <c r="S42" s="875"/>
      <c r="T42" s="875"/>
      <c r="U42" s="875"/>
      <c r="V42" s="875"/>
      <c r="W42" s="875"/>
      <c r="X42" s="875"/>
      <c r="Y42" s="875"/>
      <c r="Z42" s="875"/>
    </row>
    <row r="43" spans="1:26" ht="18.75" hidden="1">
      <c r="A43" s="927"/>
      <c r="B43" s="928"/>
      <c r="C43" s="928"/>
      <c r="D43" s="928"/>
      <c r="E43" s="929" t="s">
        <v>19</v>
      </c>
      <c r="F43" s="928"/>
      <c r="G43" s="930"/>
      <c r="H43" s="90" t="s">
        <v>12</v>
      </c>
      <c r="I43" s="931"/>
      <c r="J43" s="931"/>
      <c r="K43" s="932"/>
      <c r="L43" s="932">
        <f t="shared" ca="1" si="28"/>
        <v>190700</v>
      </c>
      <c r="M43" s="932">
        <f t="shared" ca="1" si="28"/>
        <v>95445.45</v>
      </c>
      <c r="N43" s="932">
        <f t="shared" ca="1" si="28"/>
        <v>60794.45</v>
      </c>
      <c r="O43" s="932">
        <f t="shared" ca="1" si="26"/>
        <v>31.879627687467227</v>
      </c>
      <c r="P43" s="932">
        <f t="shared" ca="1" si="27"/>
        <v>63.695493080078727</v>
      </c>
      <c r="Q43" s="875"/>
      <c r="R43" s="875"/>
      <c r="S43" s="875"/>
      <c r="T43" s="875"/>
      <c r="U43" s="875"/>
      <c r="V43" s="875"/>
      <c r="W43" s="875"/>
      <c r="X43" s="875"/>
      <c r="Y43" s="875"/>
      <c r="Z43" s="875"/>
    </row>
    <row r="44" spans="1:26" ht="18.75">
      <c r="A44" s="876"/>
      <c r="B44" s="877"/>
      <c r="C44" s="877"/>
      <c r="D44" s="878" t="s">
        <v>20</v>
      </c>
      <c r="E44" s="877"/>
      <c r="F44" s="877"/>
      <c r="G44" s="879"/>
      <c r="H44" s="622" t="s">
        <v>12</v>
      </c>
      <c r="I44" s="880"/>
      <c r="J44" s="880"/>
      <c r="K44" s="881"/>
      <c r="L44" s="881">
        <f t="shared" ref="L44:N44" ca="1" si="29">L45+L46</f>
        <v>190700</v>
      </c>
      <c r="M44" s="881">
        <f t="shared" ca="1" si="29"/>
        <v>95445.45</v>
      </c>
      <c r="N44" s="881">
        <f t="shared" ca="1" si="29"/>
        <v>60794.45</v>
      </c>
      <c r="O44" s="881">
        <f t="shared" ca="1" si="26"/>
        <v>31.879627687467227</v>
      </c>
      <c r="P44" s="881">
        <f t="shared" ca="1" si="27"/>
        <v>63.695493080078727</v>
      </c>
      <c r="Q44" s="868"/>
      <c r="R44" s="868"/>
      <c r="S44" s="868"/>
      <c r="T44" s="868"/>
      <c r="U44" s="868"/>
      <c r="V44" s="868"/>
      <c r="W44" s="868"/>
      <c r="X44" s="868"/>
      <c r="Y44" s="868"/>
      <c r="Z44" s="868"/>
    </row>
    <row r="45" spans="1:26" ht="18.75" hidden="1">
      <c r="A45" s="882"/>
      <c r="B45" s="883"/>
      <c r="C45" s="883"/>
      <c r="D45" s="883"/>
      <c r="E45" s="884" t="s">
        <v>18</v>
      </c>
      <c r="F45" s="883"/>
      <c r="G45" s="885"/>
      <c r="H45" s="43" t="s">
        <v>12</v>
      </c>
      <c r="I45" s="886"/>
      <c r="J45" s="886"/>
      <c r="K45" s="887"/>
      <c r="L45" s="887">
        <v>0</v>
      </c>
      <c r="M45" s="887">
        <v>0</v>
      </c>
      <c r="N45" s="887">
        <v>0</v>
      </c>
      <c r="O45" s="887">
        <f t="shared" si="26"/>
        <v>0</v>
      </c>
      <c r="P45" s="887">
        <f t="shared" si="27"/>
        <v>0</v>
      </c>
      <c r="Q45" s="875"/>
      <c r="R45" s="875"/>
      <c r="S45" s="875"/>
      <c r="T45" s="875"/>
      <c r="U45" s="875"/>
      <c r="V45" s="875"/>
      <c r="W45" s="875"/>
      <c r="X45" s="875"/>
      <c r="Y45" s="875"/>
      <c r="Z45" s="875"/>
    </row>
    <row r="46" spans="1:26" ht="18.75" hidden="1">
      <c r="A46" s="882"/>
      <c r="B46" s="883"/>
      <c r="C46" s="883"/>
      <c r="D46" s="883"/>
      <c r="E46" s="884" t="s">
        <v>19</v>
      </c>
      <c r="F46" s="883"/>
      <c r="G46" s="885"/>
      <c r="H46" s="43" t="s">
        <v>12</v>
      </c>
      <c r="I46" s="886"/>
      <c r="J46" s="886"/>
      <c r="K46" s="887"/>
      <c r="L46" s="887">
        <f ca="1">IFERROR(__xludf.DUMMYFUNCTION("IMPORTRANGE(""https://docs.google.com/spreadsheets/d/1MeEWN-I1oV_STSDYn1IFDPWt_1FKiwhDph83XaGc0o0/edit?usp=sharing"",""งบพรบ!M83"")"),190700)</f>
        <v>190700</v>
      </c>
      <c r="M46" s="887">
        <f ca="1">IFERROR(__xludf.DUMMYFUNCTION("IMPORTRANGE(""https://docs.google.com/spreadsheets/d/1MeEWN-I1oV_STSDYn1IFDPWt_1FKiwhDph83XaGc0o0/edit?usp=sharing"",""งบพรบ!R83"")"),95445.45)</f>
        <v>95445.45</v>
      </c>
      <c r="N46" s="887">
        <f ca="1">IFERROR(__xludf.DUMMYFUNCTION("IMPORTRANGE(""https://docs.google.com/spreadsheets/d/1MeEWN-I1oV_STSDYn1IFDPWt_1FKiwhDph83XaGc0o0/edit?usp=sharing"",""งบพรบ!T83"")"),60794.45)</f>
        <v>60794.45</v>
      </c>
      <c r="O46" s="887">
        <f t="shared" ca="1" si="26"/>
        <v>31.879627687467227</v>
      </c>
      <c r="P46" s="887">
        <f t="shared" ca="1" si="27"/>
        <v>63.695493080078727</v>
      </c>
      <c r="Q46" s="875"/>
      <c r="R46" s="875"/>
      <c r="S46" s="875"/>
      <c r="T46" s="875"/>
      <c r="U46" s="875"/>
      <c r="V46" s="875"/>
      <c r="W46" s="875"/>
      <c r="X46" s="875"/>
      <c r="Y46" s="875"/>
      <c r="Z46" s="875"/>
    </row>
    <row r="47" spans="1:26" ht="18.75">
      <c r="A47" s="876"/>
      <c r="B47" s="877"/>
      <c r="C47" s="877"/>
      <c r="D47" s="878" t="s">
        <v>21</v>
      </c>
      <c r="E47" s="877"/>
      <c r="F47" s="877"/>
      <c r="G47" s="879"/>
      <c r="H47" s="622" t="s">
        <v>12</v>
      </c>
      <c r="I47" s="880"/>
      <c r="J47" s="880"/>
      <c r="K47" s="881"/>
      <c r="L47" s="881">
        <f t="shared" ref="L47:N47" ca="1" si="30">L48+L49</f>
        <v>0</v>
      </c>
      <c r="M47" s="881">
        <f t="shared" ca="1" si="30"/>
        <v>0</v>
      </c>
      <c r="N47" s="881">
        <f t="shared" ca="1" si="30"/>
        <v>0</v>
      </c>
      <c r="O47" s="881">
        <f t="shared" ca="1" si="26"/>
        <v>0</v>
      </c>
      <c r="P47" s="881">
        <f t="shared" ca="1" si="27"/>
        <v>0</v>
      </c>
      <c r="Q47" s="868"/>
      <c r="R47" s="868"/>
      <c r="S47" s="868"/>
      <c r="T47" s="868"/>
      <c r="U47" s="868"/>
      <c r="V47" s="868"/>
      <c r="W47" s="868"/>
      <c r="X47" s="868"/>
      <c r="Y47" s="868"/>
      <c r="Z47" s="868"/>
    </row>
    <row r="48" spans="1:26" ht="18.75" hidden="1">
      <c r="A48" s="882"/>
      <c r="B48" s="883"/>
      <c r="C48" s="883"/>
      <c r="D48" s="883"/>
      <c r="E48" s="884" t="s">
        <v>18</v>
      </c>
      <c r="F48" s="883"/>
      <c r="G48" s="885"/>
      <c r="H48" s="43" t="s">
        <v>12</v>
      </c>
      <c r="I48" s="886"/>
      <c r="J48" s="886"/>
      <c r="K48" s="887"/>
      <c r="L48" s="887">
        <v>0</v>
      </c>
      <c r="M48" s="887">
        <v>0</v>
      </c>
      <c r="N48" s="887">
        <v>0</v>
      </c>
      <c r="O48" s="887">
        <f t="shared" si="26"/>
        <v>0</v>
      </c>
      <c r="P48" s="887">
        <f t="shared" si="27"/>
        <v>0</v>
      </c>
      <c r="Q48" s="875"/>
      <c r="R48" s="875"/>
      <c r="S48" s="875"/>
      <c r="T48" s="875"/>
      <c r="U48" s="875"/>
      <c r="V48" s="875"/>
      <c r="W48" s="875"/>
      <c r="X48" s="875"/>
      <c r="Y48" s="875"/>
      <c r="Z48" s="875"/>
    </row>
    <row r="49" spans="1:26" ht="18.75" hidden="1">
      <c r="A49" s="888"/>
      <c r="B49" s="889"/>
      <c r="C49" s="889"/>
      <c r="D49" s="889"/>
      <c r="E49" s="890" t="s">
        <v>19</v>
      </c>
      <c r="F49" s="889"/>
      <c r="G49" s="891"/>
      <c r="H49" s="50" t="s">
        <v>12</v>
      </c>
      <c r="I49" s="892"/>
      <c r="J49" s="892"/>
      <c r="K49" s="893"/>
      <c r="L49" s="893">
        <f ca="1">IFERROR(__xludf.DUMMYFUNCTION("IMPORTRANGE(""https://docs.google.com/spreadsheets/d/1MeEWN-I1oV_STSDYn1IFDPWt_1FKiwhDph83XaGc0o0/edit?usp=sharing"",""งบพรบ!P83"")"),0)</f>
        <v>0</v>
      </c>
      <c r="M49" s="893">
        <f ca="1">IFERROR(__xludf.DUMMYFUNCTION("IMPORTRANGE(""https://docs.google.com/spreadsheets/d/1MeEWN-I1oV_STSDYn1IFDPWt_1FKiwhDph83XaGc0o0/edit?usp=sharing"",""งบพรบ!S83"")"),0)</f>
        <v>0</v>
      </c>
      <c r="N49" s="893">
        <f ca="1">IFERROR(__xludf.DUMMYFUNCTION("IMPORTRANGE(""https://docs.google.com/spreadsheets/d/1MeEWN-I1oV_STSDYn1IFDPWt_1FKiwhDph83XaGc0o0/edit?usp=sharing"",""งบพรบ!U83"")"),0)</f>
        <v>0</v>
      </c>
      <c r="O49" s="893">
        <f t="shared" ca="1" si="26"/>
        <v>0</v>
      </c>
      <c r="P49" s="893">
        <f t="shared" ca="1" si="27"/>
        <v>0</v>
      </c>
      <c r="Q49" s="875"/>
      <c r="R49" s="875"/>
      <c r="S49" s="875"/>
      <c r="T49" s="875"/>
      <c r="U49" s="875"/>
      <c r="V49" s="875"/>
      <c r="W49" s="875"/>
      <c r="X49" s="875"/>
      <c r="Y49" s="875"/>
      <c r="Z49" s="875"/>
    </row>
    <row r="50" spans="1:26" ht="19.5">
      <c r="A50" s="933" t="s">
        <v>28</v>
      </c>
      <c r="B50" s="833"/>
      <c r="C50" s="833"/>
      <c r="D50" s="833"/>
      <c r="E50" s="833"/>
      <c r="F50" s="833"/>
      <c r="G50" s="831"/>
      <c r="H50" s="934"/>
      <c r="I50" s="935"/>
      <c r="J50" s="935"/>
      <c r="K50" s="936"/>
      <c r="L50" s="936"/>
      <c r="M50" s="936"/>
      <c r="N50" s="936"/>
      <c r="O50" s="936"/>
      <c r="P50" s="936"/>
    </row>
    <row r="51" spans="1:26" ht="19.5">
      <c r="A51" s="937"/>
      <c r="B51" s="938" t="s">
        <v>29</v>
      </c>
      <c r="C51" s="841"/>
      <c r="D51" s="841"/>
      <c r="E51" s="841"/>
      <c r="F51" s="841"/>
      <c r="G51" s="842"/>
      <c r="H51" s="939"/>
      <c r="I51" s="940"/>
      <c r="J51" s="940"/>
      <c r="K51" s="941"/>
      <c r="L51" s="941"/>
      <c r="M51" s="941"/>
      <c r="N51" s="941"/>
      <c r="O51" s="941"/>
      <c r="P51" s="941"/>
    </row>
    <row r="52" spans="1:26" ht="19.5">
      <c r="A52" s="942"/>
      <c r="B52" s="943" t="s">
        <v>30</v>
      </c>
      <c r="C52" s="944"/>
      <c r="D52" s="944"/>
      <c r="E52" s="944"/>
      <c r="F52" s="944"/>
      <c r="G52" s="945"/>
      <c r="H52" s="946"/>
      <c r="I52" s="947"/>
      <c r="J52" s="947"/>
      <c r="K52" s="948"/>
      <c r="L52" s="948"/>
      <c r="M52" s="948"/>
      <c r="N52" s="948"/>
      <c r="O52" s="948"/>
      <c r="P52" s="948"/>
    </row>
    <row r="53" spans="1:26" ht="19.5">
      <c r="A53" s="949"/>
      <c r="B53" s="950"/>
      <c r="C53" s="951" t="s">
        <v>16</v>
      </c>
      <c r="D53" s="952" t="s">
        <v>17</v>
      </c>
      <c r="E53" s="950"/>
      <c r="F53" s="950"/>
      <c r="G53" s="953"/>
      <c r="H53" s="113" t="s">
        <v>12</v>
      </c>
      <c r="I53" s="954"/>
      <c r="J53" s="954"/>
      <c r="K53" s="955"/>
      <c r="L53" s="956">
        <f t="shared" ref="L53:N53" ca="1" si="31">L54+L55</f>
        <v>606700</v>
      </c>
      <c r="M53" s="956">
        <f t="shared" ca="1" si="31"/>
        <v>455025</v>
      </c>
      <c r="N53" s="956">
        <f t="shared" ca="1" si="31"/>
        <v>319075.09000000003</v>
      </c>
      <c r="O53" s="956">
        <f t="shared" ref="O53:O61" ca="1" si="32">IF(L53&gt;0,N53*100/L53,0)</f>
        <v>52.591905389813753</v>
      </c>
      <c r="P53" s="956">
        <f t="shared" ref="P53:P61" ca="1" si="33">IF(M53&gt;0,N53*100/M53,0)</f>
        <v>70.122540519751666</v>
      </c>
      <c r="Q53" s="868"/>
      <c r="R53" s="868"/>
      <c r="S53" s="868"/>
      <c r="T53" s="868"/>
      <c r="U53" s="868"/>
      <c r="V53" s="868"/>
      <c r="W53" s="868"/>
      <c r="X53" s="868"/>
      <c r="Y53" s="868"/>
      <c r="Z53" s="868"/>
    </row>
    <row r="54" spans="1:26" ht="18.75" hidden="1">
      <c r="A54" s="957"/>
      <c r="B54" s="958"/>
      <c r="C54" s="958"/>
      <c r="D54" s="958"/>
      <c r="E54" s="959" t="s">
        <v>18</v>
      </c>
      <c r="F54" s="958"/>
      <c r="G54" s="960"/>
      <c r="H54" s="121" t="s">
        <v>12</v>
      </c>
      <c r="I54" s="961"/>
      <c r="J54" s="961"/>
      <c r="K54" s="962"/>
      <c r="L54" s="962">
        <f t="shared" ref="L54:N55" si="34">L57+L60</f>
        <v>0</v>
      </c>
      <c r="M54" s="962">
        <f t="shared" si="34"/>
        <v>0</v>
      </c>
      <c r="N54" s="962">
        <f t="shared" si="34"/>
        <v>0</v>
      </c>
      <c r="O54" s="962">
        <f t="shared" si="32"/>
        <v>0</v>
      </c>
      <c r="P54" s="962">
        <f t="shared" si="33"/>
        <v>0</v>
      </c>
      <c r="Q54" s="875"/>
      <c r="R54" s="875"/>
      <c r="S54" s="875"/>
      <c r="T54" s="875"/>
      <c r="U54" s="875"/>
      <c r="V54" s="875"/>
      <c r="W54" s="875"/>
      <c r="X54" s="875"/>
      <c r="Y54" s="875"/>
      <c r="Z54" s="875"/>
    </row>
    <row r="55" spans="1:26" ht="18.75" hidden="1">
      <c r="A55" s="957"/>
      <c r="B55" s="958"/>
      <c r="C55" s="958"/>
      <c r="D55" s="958"/>
      <c r="E55" s="959" t="s">
        <v>19</v>
      </c>
      <c r="F55" s="958"/>
      <c r="G55" s="960"/>
      <c r="H55" s="121" t="s">
        <v>12</v>
      </c>
      <c r="I55" s="961"/>
      <c r="J55" s="961"/>
      <c r="K55" s="962"/>
      <c r="L55" s="962">
        <f t="shared" ca="1" si="34"/>
        <v>606700</v>
      </c>
      <c r="M55" s="962">
        <f t="shared" ca="1" si="34"/>
        <v>455025</v>
      </c>
      <c r="N55" s="962">
        <f t="shared" ca="1" si="34"/>
        <v>319075.09000000003</v>
      </c>
      <c r="O55" s="962">
        <f t="shared" ca="1" si="32"/>
        <v>52.591905389813753</v>
      </c>
      <c r="P55" s="962">
        <f t="shared" ca="1" si="33"/>
        <v>70.122540519751666</v>
      </c>
      <c r="Q55" s="875"/>
      <c r="R55" s="875"/>
      <c r="S55" s="875"/>
      <c r="T55" s="875"/>
      <c r="U55" s="875"/>
      <c r="V55" s="875"/>
      <c r="W55" s="875"/>
      <c r="X55" s="875"/>
      <c r="Y55" s="875"/>
      <c r="Z55" s="875"/>
    </row>
    <row r="56" spans="1:26" ht="18.75">
      <c r="A56" s="876"/>
      <c r="B56" s="877"/>
      <c r="C56" s="877"/>
      <c r="D56" s="878" t="s">
        <v>20</v>
      </c>
      <c r="E56" s="877"/>
      <c r="F56" s="877"/>
      <c r="G56" s="879"/>
      <c r="H56" s="622" t="s">
        <v>12</v>
      </c>
      <c r="I56" s="880"/>
      <c r="J56" s="880"/>
      <c r="K56" s="881"/>
      <c r="L56" s="881">
        <f t="shared" ref="L56:N56" ca="1" si="35">L57+L58</f>
        <v>606700</v>
      </c>
      <c r="M56" s="881">
        <f t="shared" ca="1" si="35"/>
        <v>455025</v>
      </c>
      <c r="N56" s="881">
        <f t="shared" ca="1" si="35"/>
        <v>319075.09000000003</v>
      </c>
      <c r="O56" s="881">
        <f t="shared" ca="1" si="32"/>
        <v>52.591905389813753</v>
      </c>
      <c r="P56" s="881">
        <f t="shared" ca="1" si="33"/>
        <v>70.122540519751666</v>
      </c>
      <c r="Q56" s="868"/>
      <c r="R56" s="868"/>
      <c r="S56" s="868"/>
      <c r="T56" s="868"/>
      <c r="U56" s="868"/>
      <c r="V56" s="868"/>
      <c r="W56" s="868"/>
      <c r="X56" s="868"/>
      <c r="Y56" s="868"/>
      <c r="Z56" s="868"/>
    </row>
    <row r="57" spans="1:26" ht="18.75" hidden="1">
      <c r="A57" s="882"/>
      <c r="B57" s="883"/>
      <c r="C57" s="883"/>
      <c r="D57" s="883"/>
      <c r="E57" s="884" t="s">
        <v>18</v>
      </c>
      <c r="F57" s="883"/>
      <c r="G57" s="885"/>
      <c r="H57" s="43" t="s">
        <v>12</v>
      </c>
      <c r="I57" s="886"/>
      <c r="J57" s="886"/>
      <c r="K57" s="887"/>
      <c r="L57" s="887">
        <v>0</v>
      </c>
      <c r="M57" s="887">
        <v>0</v>
      </c>
      <c r="N57" s="887">
        <v>0</v>
      </c>
      <c r="O57" s="887">
        <f t="shared" si="32"/>
        <v>0</v>
      </c>
      <c r="P57" s="887">
        <f t="shared" si="33"/>
        <v>0</v>
      </c>
      <c r="Q57" s="875"/>
      <c r="R57" s="875"/>
      <c r="S57" s="875"/>
      <c r="T57" s="875"/>
      <c r="U57" s="875"/>
      <c r="V57" s="875"/>
      <c r="W57" s="875"/>
      <c r="X57" s="875"/>
      <c r="Y57" s="875"/>
      <c r="Z57" s="875"/>
    </row>
    <row r="58" spans="1:26" ht="18.75" hidden="1">
      <c r="A58" s="882"/>
      <c r="B58" s="883"/>
      <c r="C58" s="883"/>
      <c r="D58" s="883"/>
      <c r="E58" s="884" t="s">
        <v>19</v>
      </c>
      <c r="F58" s="883"/>
      <c r="G58" s="885"/>
      <c r="H58" s="43" t="s">
        <v>12</v>
      </c>
      <c r="I58" s="886"/>
      <c r="J58" s="886"/>
      <c r="K58" s="887"/>
      <c r="L58" s="887">
        <f ca="1">IFERROR(__xludf.DUMMYFUNCTION("IMPORTRANGE(""https://docs.google.com/spreadsheets/d/1MeEWN-I1oV_STSDYn1IFDPWt_1FKiwhDph83XaGc0o0/edit?usp=sharing"",""งบพรบ!W83"")"),606700)</f>
        <v>606700</v>
      </c>
      <c r="M58" s="887">
        <f ca="1">IFERROR(__xludf.DUMMYFUNCTION("IMPORTRANGE(""https://docs.google.com/spreadsheets/d/1MeEWN-I1oV_STSDYn1IFDPWt_1FKiwhDph83XaGc0o0/edit?usp=sharing"",""งบพรบ!AB83"")"),455025)</f>
        <v>455025</v>
      </c>
      <c r="N58" s="887">
        <f ca="1">IFERROR(__xludf.DUMMYFUNCTION("IMPORTRANGE(""https://docs.google.com/spreadsheets/d/1MeEWN-I1oV_STSDYn1IFDPWt_1FKiwhDph83XaGc0o0/edit?usp=sharing"",""งบพรบ!AD83"")"),319075.09)</f>
        <v>319075.09000000003</v>
      </c>
      <c r="O58" s="887">
        <f t="shared" ca="1" si="32"/>
        <v>52.591905389813753</v>
      </c>
      <c r="P58" s="887">
        <f t="shared" ca="1" si="33"/>
        <v>70.122540519751666</v>
      </c>
      <c r="Q58" s="875"/>
      <c r="R58" s="875"/>
      <c r="S58" s="875"/>
      <c r="T58" s="875"/>
      <c r="U58" s="875"/>
      <c r="V58" s="875"/>
      <c r="W58" s="875"/>
      <c r="X58" s="875"/>
      <c r="Y58" s="875"/>
      <c r="Z58" s="875"/>
    </row>
    <row r="59" spans="1:26" ht="18.75">
      <c r="A59" s="876"/>
      <c r="B59" s="877"/>
      <c r="C59" s="877"/>
      <c r="D59" s="878" t="s">
        <v>21</v>
      </c>
      <c r="E59" s="877"/>
      <c r="F59" s="877"/>
      <c r="G59" s="879"/>
      <c r="H59" s="622" t="s">
        <v>12</v>
      </c>
      <c r="I59" s="880"/>
      <c r="J59" s="880"/>
      <c r="K59" s="881"/>
      <c r="L59" s="881">
        <f t="shared" ref="L59:N59" ca="1" si="36">L60+L61</f>
        <v>0</v>
      </c>
      <c r="M59" s="881">
        <f t="shared" ca="1" si="36"/>
        <v>0</v>
      </c>
      <c r="N59" s="881">
        <f t="shared" ca="1" si="36"/>
        <v>0</v>
      </c>
      <c r="O59" s="881">
        <f t="shared" ca="1" si="32"/>
        <v>0</v>
      </c>
      <c r="P59" s="881">
        <f t="shared" ca="1" si="33"/>
        <v>0</v>
      </c>
      <c r="Q59" s="868"/>
      <c r="R59" s="868"/>
      <c r="S59" s="868"/>
      <c r="T59" s="868"/>
      <c r="U59" s="868"/>
      <c r="V59" s="868"/>
      <c r="W59" s="868"/>
      <c r="X59" s="868"/>
      <c r="Y59" s="868"/>
      <c r="Z59" s="868"/>
    </row>
    <row r="60" spans="1:26" ht="18.75" hidden="1">
      <c r="A60" s="882"/>
      <c r="B60" s="883"/>
      <c r="C60" s="883"/>
      <c r="D60" s="883"/>
      <c r="E60" s="884" t="s">
        <v>18</v>
      </c>
      <c r="F60" s="883"/>
      <c r="G60" s="885"/>
      <c r="H60" s="43" t="s">
        <v>12</v>
      </c>
      <c r="I60" s="886"/>
      <c r="J60" s="886"/>
      <c r="K60" s="887"/>
      <c r="L60" s="887">
        <v>0</v>
      </c>
      <c r="M60" s="887">
        <v>0</v>
      </c>
      <c r="N60" s="887">
        <v>0</v>
      </c>
      <c r="O60" s="887">
        <f t="shared" si="32"/>
        <v>0</v>
      </c>
      <c r="P60" s="887">
        <f t="shared" si="33"/>
        <v>0</v>
      </c>
      <c r="Q60" s="875"/>
      <c r="R60" s="875"/>
      <c r="S60" s="875"/>
      <c r="T60" s="875"/>
      <c r="U60" s="875"/>
      <c r="V60" s="875"/>
      <c r="W60" s="875"/>
      <c r="X60" s="875"/>
      <c r="Y60" s="875"/>
      <c r="Z60" s="875"/>
    </row>
    <row r="61" spans="1:26" ht="18.75" hidden="1">
      <c r="A61" s="888"/>
      <c r="B61" s="889"/>
      <c r="C61" s="889"/>
      <c r="D61" s="889"/>
      <c r="E61" s="890" t="s">
        <v>19</v>
      </c>
      <c r="F61" s="889"/>
      <c r="G61" s="891"/>
      <c r="H61" s="50" t="s">
        <v>12</v>
      </c>
      <c r="I61" s="892"/>
      <c r="J61" s="892"/>
      <c r="K61" s="893"/>
      <c r="L61" s="893">
        <f ca="1">IFERROR(__xludf.DUMMYFUNCTION("IMPORTRANGE(""https://docs.google.com/spreadsheets/d/1MeEWN-I1oV_STSDYn1IFDPWt_1FKiwhDph83XaGc0o0/edit?usp=sharing"",""งบพรบ!Z83"")"),0)</f>
        <v>0</v>
      </c>
      <c r="M61" s="893">
        <f ca="1">IFERROR(__xludf.DUMMYFUNCTION("IMPORTRANGE(""https://docs.google.com/spreadsheets/d/1MeEWN-I1oV_STSDYn1IFDPWt_1FKiwhDph83XaGc0o0/edit?usp=sharing"",""งบพรบ!AC83"")"),0)</f>
        <v>0</v>
      </c>
      <c r="N61" s="893">
        <f ca="1">IFERROR(__xludf.DUMMYFUNCTION("IMPORTRANGE(""https://docs.google.com/spreadsheets/d/1MeEWN-I1oV_STSDYn1IFDPWt_1FKiwhDph83XaGc0o0/edit?usp=sharing"",""งบพรบ!AE83"")"),0)</f>
        <v>0</v>
      </c>
      <c r="O61" s="893">
        <f t="shared" ca="1" si="32"/>
        <v>0</v>
      </c>
      <c r="P61" s="893">
        <f t="shared" ca="1" si="33"/>
        <v>0</v>
      </c>
      <c r="Q61" s="875"/>
      <c r="R61" s="875"/>
      <c r="S61" s="875"/>
      <c r="T61" s="875"/>
      <c r="U61" s="875"/>
      <c r="V61" s="875"/>
      <c r="W61" s="875"/>
      <c r="X61" s="875"/>
      <c r="Y61" s="875"/>
      <c r="Z61" s="875"/>
    </row>
    <row r="62" spans="1:26" ht="19.5">
      <c r="A62" s="963" t="s">
        <v>31</v>
      </c>
      <c r="B62" s="964"/>
      <c r="C62" s="964"/>
      <c r="D62" s="964"/>
      <c r="E62" s="965"/>
      <c r="F62" s="965"/>
      <c r="G62" s="966"/>
      <c r="H62" s="967"/>
      <c r="I62" s="968"/>
      <c r="J62" s="968"/>
      <c r="K62" s="969"/>
      <c r="L62" s="969"/>
      <c r="M62" s="969"/>
      <c r="N62" s="969"/>
      <c r="O62" s="969"/>
      <c r="P62" s="969"/>
    </row>
    <row r="63" spans="1:26" ht="19.5" hidden="1">
      <c r="A63" s="970" t="s">
        <v>32</v>
      </c>
      <c r="B63" s="971"/>
      <c r="C63" s="972"/>
      <c r="D63" s="971"/>
      <c r="E63" s="971"/>
      <c r="F63" s="971"/>
      <c r="G63" s="973"/>
      <c r="H63" s="974"/>
      <c r="I63" s="975"/>
      <c r="J63" s="975"/>
      <c r="K63" s="976"/>
      <c r="L63" s="976"/>
      <c r="M63" s="976"/>
      <c r="N63" s="976"/>
      <c r="O63" s="976"/>
      <c r="P63" s="976"/>
    </row>
    <row r="64" spans="1:26" ht="19.5" hidden="1">
      <c r="A64" s="977"/>
      <c r="B64" s="978" t="s">
        <v>33</v>
      </c>
      <c r="C64" s="979"/>
      <c r="D64" s="980"/>
      <c r="E64" s="979"/>
      <c r="F64" s="979"/>
      <c r="G64" s="981"/>
      <c r="H64" s="205" t="s">
        <v>34</v>
      </c>
      <c r="I64" s="982">
        <f t="shared" ref="I64:J65" ca="1" si="37">I76</f>
        <v>0</v>
      </c>
      <c r="J64" s="982">
        <f t="shared" si="37"/>
        <v>0</v>
      </c>
      <c r="K64" s="983">
        <f t="shared" ref="K64:K65" ca="1" si="38">IF(I64&gt;0,J64*100/I64,0)</f>
        <v>0</v>
      </c>
      <c r="L64" s="984"/>
      <c r="M64" s="984"/>
      <c r="N64" s="984"/>
      <c r="O64" s="984"/>
      <c r="P64" s="984"/>
    </row>
    <row r="65" spans="1:26" ht="19.5" hidden="1">
      <c r="A65" s="977"/>
      <c r="B65" s="979"/>
      <c r="C65" s="979"/>
      <c r="D65" s="980"/>
      <c r="E65" s="979"/>
      <c r="F65" s="979"/>
      <c r="G65" s="981"/>
      <c r="H65" s="205" t="s">
        <v>35</v>
      </c>
      <c r="I65" s="982">
        <f t="shared" ca="1" si="37"/>
        <v>0</v>
      </c>
      <c r="J65" s="982">
        <f t="shared" si="37"/>
        <v>0</v>
      </c>
      <c r="K65" s="983">
        <f t="shared" ca="1" si="38"/>
        <v>0</v>
      </c>
      <c r="L65" s="984"/>
      <c r="M65" s="984"/>
      <c r="N65" s="984"/>
      <c r="O65" s="984"/>
      <c r="P65" s="984"/>
    </row>
    <row r="66" spans="1:26" ht="19.5" hidden="1">
      <c r="A66" s="985"/>
      <c r="B66" s="986"/>
      <c r="C66" s="987" t="s">
        <v>16</v>
      </c>
      <c r="D66" s="988" t="s">
        <v>17</v>
      </c>
      <c r="E66" s="986"/>
      <c r="F66" s="986"/>
      <c r="G66" s="989"/>
      <c r="H66" s="152" t="s">
        <v>12</v>
      </c>
      <c r="I66" s="990"/>
      <c r="J66" s="990"/>
      <c r="K66" s="991"/>
      <c r="L66" s="992">
        <f t="shared" ref="L66:N66" ca="1" si="39">L67+L68</f>
        <v>0</v>
      </c>
      <c r="M66" s="992">
        <f t="shared" ca="1" si="39"/>
        <v>0</v>
      </c>
      <c r="N66" s="992">
        <f t="shared" ca="1" si="39"/>
        <v>0</v>
      </c>
      <c r="O66" s="992">
        <f t="shared" ref="O66:O74" ca="1" si="40">IF(L66&gt;0,N66*100/L66,0)</f>
        <v>0</v>
      </c>
      <c r="P66" s="992">
        <f t="shared" ref="P66:P74" ca="1" si="41">IF(M66&gt;0,N66*100/M66,0)</f>
        <v>0</v>
      </c>
      <c r="Q66" s="868"/>
      <c r="R66" s="868"/>
      <c r="S66" s="868"/>
      <c r="T66" s="868"/>
      <c r="U66" s="868"/>
      <c r="V66" s="868"/>
      <c r="W66" s="868"/>
      <c r="X66" s="868"/>
      <c r="Y66" s="868"/>
      <c r="Z66" s="868"/>
    </row>
    <row r="67" spans="1:26" ht="18.75" hidden="1">
      <c r="A67" s="993"/>
      <c r="B67" s="883"/>
      <c r="C67" s="883"/>
      <c r="D67" s="883"/>
      <c r="E67" s="884" t="s">
        <v>18</v>
      </c>
      <c r="F67" s="883"/>
      <c r="G67" s="994"/>
      <c r="H67" s="158" t="s">
        <v>12</v>
      </c>
      <c r="I67" s="886"/>
      <c r="J67" s="886"/>
      <c r="K67" s="887"/>
      <c r="L67" s="887">
        <f t="shared" ref="L67:N68" si="42">L70+L73</f>
        <v>0</v>
      </c>
      <c r="M67" s="887">
        <f t="shared" si="42"/>
        <v>0</v>
      </c>
      <c r="N67" s="887">
        <f t="shared" si="42"/>
        <v>0</v>
      </c>
      <c r="O67" s="887">
        <f t="shared" si="40"/>
        <v>0</v>
      </c>
      <c r="P67" s="887">
        <f t="shared" si="41"/>
        <v>0</v>
      </c>
      <c r="Q67" s="875"/>
      <c r="R67" s="875"/>
      <c r="S67" s="875"/>
      <c r="T67" s="875"/>
      <c r="U67" s="875"/>
      <c r="V67" s="875"/>
      <c r="W67" s="875"/>
      <c r="X67" s="875"/>
      <c r="Y67" s="875"/>
      <c r="Z67" s="875"/>
    </row>
    <row r="68" spans="1:26" ht="18.75" hidden="1">
      <c r="A68" s="993"/>
      <c r="B68" s="883"/>
      <c r="C68" s="883"/>
      <c r="D68" s="883"/>
      <c r="E68" s="884" t="s">
        <v>19</v>
      </c>
      <c r="F68" s="883"/>
      <c r="G68" s="994"/>
      <c r="H68" s="158" t="s">
        <v>12</v>
      </c>
      <c r="I68" s="886"/>
      <c r="J68" s="886"/>
      <c r="K68" s="887"/>
      <c r="L68" s="887">
        <f t="shared" ca="1" si="42"/>
        <v>0</v>
      </c>
      <c r="M68" s="887">
        <f t="shared" ca="1" si="42"/>
        <v>0</v>
      </c>
      <c r="N68" s="887">
        <f t="shared" ca="1" si="42"/>
        <v>0</v>
      </c>
      <c r="O68" s="887">
        <f t="shared" ca="1" si="40"/>
        <v>0</v>
      </c>
      <c r="P68" s="887">
        <f t="shared" ca="1" si="41"/>
        <v>0</v>
      </c>
      <c r="Q68" s="875"/>
      <c r="R68" s="875"/>
      <c r="S68" s="875"/>
      <c r="T68" s="875"/>
      <c r="U68" s="875"/>
      <c r="V68" s="875"/>
      <c r="W68" s="875"/>
      <c r="X68" s="875"/>
      <c r="Y68" s="875"/>
      <c r="Z68" s="875"/>
    </row>
    <row r="69" spans="1:26" ht="18.75" hidden="1">
      <c r="A69" s="995"/>
      <c r="B69" s="877"/>
      <c r="C69" s="996"/>
      <c r="D69" s="878" t="s">
        <v>20</v>
      </c>
      <c r="E69" s="877"/>
      <c r="F69" s="877"/>
      <c r="G69" s="879"/>
      <c r="H69" s="161" t="s">
        <v>12</v>
      </c>
      <c r="I69" s="997"/>
      <c r="J69" s="997"/>
      <c r="K69" s="998"/>
      <c r="L69" s="881">
        <f t="shared" ref="L69:N69" ca="1" si="43">L70+L71</f>
        <v>0</v>
      </c>
      <c r="M69" s="881">
        <f t="shared" ca="1" si="43"/>
        <v>0</v>
      </c>
      <c r="N69" s="881">
        <f t="shared" ca="1" si="43"/>
        <v>0</v>
      </c>
      <c r="O69" s="881">
        <f t="shared" ca="1" si="40"/>
        <v>0</v>
      </c>
      <c r="P69" s="881">
        <f t="shared" ca="1" si="41"/>
        <v>0</v>
      </c>
      <c r="Q69" s="868"/>
      <c r="R69" s="868"/>
      <c r="S69" s="868"/>
      <c r="T69" s="868"/>
      <c r="U69" s="868"/>
      <c r="V69" s="868"/>
      <c r="W69" s="868"/>
      <c r="X69" s="868"/>
      <c r="Y69" s="868"/>
      <c r="Z69" s="868"/>
    </row>
    <row r="70" spans="1:26" ht="19.5" hidden="1">
      <c r="A70" s="993"/>
      <c r="B70" s="883"/>
      <c r="C70" s="999"/>
      <c r="D70" s="883"/>
      <c r="E70" s="884" t="s">
        <v>36</v>
      </c>
      <c r="F70" s="883"/>
      <c r="G70" s="994"/>
      <c r="H70" s="165" t="s">
        <v>12</v>
      </c>
      <c r="I70" s="1000"/>
      <c r="J70" s="1000"/>
      <c r="K70" s="1001"/>
      <c r="L70" s="887">
        <v>0</v>
      </c>
      <c r="M70" s="887">
        <v>0</v>
      </c>
      <c r="N70" s="887">
        <v>0</v>
      </c>
      <c r="O70" s="887">
        <f t="shared" si="40"/>
        <v>0</v>
      </c>
      <c r="P70" s="887">
        <f t="shared" si="41"/>
        <v>0</v>
      </c>
      <c r="Q70" s="875"/>
      <c r="R70" s="875"/>
      <c r="S70" s="875"/>
      <c r="T70" s="875"/>
      <c r="U70" s="875"/>
      <c r="V70" s="875"/>
      <c r="W70" s="875"/>
      <c r="X70" s="875"/>
      <c r="Y70" s="875"/>
      <c r="Z70" s="875"/>
    </row>
    <row r="71" spans="1:26" ht="19.5" hidden="1">
      <c r="A71" s="993"/>
      <c r="B71" s="883"/>
      <c r="C71" s="999"/>
      <c r="D71" s="883"/>
      <c r="E71" s="884" t="s">
        <v>37</v>
      </c>
      <c r="F71" s="883"/>
      <c r="G71" s="994"/>
      <c r="H71" s="165" t="s">
        <v>12</v>
      </c>
      <c r="I71" s="1000"/>
      <c r="J71" s="1000"/>
      <c r="K71" s="1001"/>
      <c r="L71" s="887">
        <f ca="1">IFERROR(__xludf.DUMMYFUNCTION("IMPORTRANGE(""https://docs.google.com/spreadsheets/d/1MeEWN-I1oV_STSDYn1IFDPWt_1FKiwhDph83XaGc0o0/edit?usp=sharing"",""งบพรบ!AG83"")"),0)</f>
        <v>0</v>
      </c>
      <c r="M71" s="887">
        <f ca="1">IFERROR(__xludf.DUMMYFUNCTION("IMPORTRANGE(""https://docs.google.com/spreadsheets/d/1MeEWN-I1oV_STSDYn1IFDPWt_1FKiwhDph83XaGc0o0/edit?usp=sharing"",""งบพรบ!AL83"")"),0)</f>
        <v>0</v>
      </c>
      <c r="N71" s="887">
        <f ca="1">IFERROR(__xludf.DUMMYFUNCTION("IMPORTRANGE(""https://docs.google.com/spreadsheets/d/1MeEWN-I1oV_STSDYn1IFDPWt_1FKiwhDph83XaGc0o0/edit?usp=sharing"",""งบพรบ!AN83"")"),0)</f>
        <v>0</v>
      </c>
      <c r="O71" s="887">
        <f t="shared" ca="1" si="40"/>
        <v>0</v>
      </c>
      <c r="P71" s="887">
        <f t="shared" ca="1" si="41"/>
        <v>0</v>
      </c>
      <c r="Q71" s="875"/>
      <c r="R71" s="875"/>
      <c r="S71" s="875"/>
      <c r="T71" s="875"/>
      <c r="U71" s="875"/>
      <c r="V71" s="875"/>
      <c r="W71" s="875"/>
      <c r="X71" s="875"/>
      <c r="Y71" s="875"/>
      <c r="Z71" s="875"/>
    </row>
    <row r="72" spans="1:26" ht="18.75" hidden="1">
      <c r="A72" s="995"/>
      <c r="B72" s="877"/>
      <c r="C72" s="996"/>
      <c r="D72" s="878" t="s">
        <v>21</v>
      </c>
      <c r="E72" s="877"/>
      <c r="F72" s="877"/>
      <c r="G72" s="879"/>
      <c r="H72" s="168" t="s">
        <v>12</v>
      </c>
      <c r="I72" s="997"/>
      <c r="J72" s="997"/>
      <c r="K72" s="998"/>
      <c r="L72" s="881">
        <f t="shared" ref="L72:N72" ca="1" si="44">L73+L74</f>
        <v>0</v>
      </c>
      <c r="M72" s="881">
        <f t="shared" ca="1" si="44"/>
        <v>0</v>
      </c>
      <c r="N72" s="881">
        <f t="shared" ca="1" si="44"/>
        <v>0</v>
      </c>
      <c r="O72" s="881">
        <f t="shared" ca="1" si="40"/>
        <v>0</v>
      </c>
      <c r="P72" s="881">
        <f t="shared" ca="1" si="41"/>
        <v>0</v>
      </c>
      <c r="Q72" s="868"/>
      <c r="R72" s="868"/>
      <c r="S72" s="868"/>
      <c r="T72" s="868"/>
      <c r="U72" s="868"/>
      <c r="V72" s="868"/>
      <c r="W72" s="868"/>
      <c r="X72" s="868"/>
      <c r="Y72" s="868"/>
      <c r="Z72" s="868"/>
    </row>
    <row r="73" spans="1:26" ht="19.5" hidden="1">
      <c r="A73" s="993"/>
      <c r="B73" s="883"/>
      <c r="C73" s="999"/>
      <c r="D73" s="883"/>
      <c r="E73" s="884" t="s">
        <v>18</v>
      </c>
      <c r="F73" s="883"/>
      <c r="G73" s="994"/>
      <c r="H73" s="165" t="s">
        <v>12</v>
      </c>
      <c r="I73" s="1000"/>
      <c r="J73" s="1000"/>
      <c r="K73" s="1001"/>
      <c r="L73" s="887">
        <v>0</v>
      </c>
      <c r="M73" s="887"/>
      <c r="N73" s="887"/>
      <c r="O73" s="887">
        <f t="shared" si="40"/>
        <v>0</v>
      </c>
      <c r="P73" s="887">
        <f t="shared" si="41"/>
        <v>0</v>
      </c>
      <c r="Q73" s="875"/>
      <c r="R73" s="875"/>
      <c r="S73" s="875"/>
      <c r="T73" s="875"/>
      <c r="U73" s="875"/>
      <c r="V73" s="875"/>
      <c r="W73" s="875"/>
      <c r="X73" s="875"/>
      <c r="Y73" s="875"/>
      <c r="Z73" s="875"/>
    </row>
    <row r="74" spans="1:26" ht="19.5" hidden="1">
      <c r="A74" s="993"/>
      <c r="B74" s="883"/>
      <c r="C74" s="999"/>
      <c r="D74" s="883"/>
      <c r="E74" s="884" t="s">
        <v>19</v>
      </c>
      <c r="F74" s="883"/>
      <c r="G74" s="994"/>
      <c r="H74" s="169" t="s">
        <v>12</v>
      </c>
      <c r="I74" s="1000"/>
      <c r="J74" s="1000"/>
      <c r="K74" s="1001"/>
      <c r="L74" s="887">
        <f ca="1">IFERROR(__xludf.DUMMYFUNCTION("IMPORTRANGE(""https://docs.google.com/spreadsheets/d/1MeEWN-I1oV_STSDYn1IFDPWt_1FKiwhDph83XaGc0o0/edit?usp=sharing"",""งบพรบ!AJ83"")"),0)</f>
        <v>0</v>
      </c>
      <c r="M74" s="887">
        <f ca="1">IFERROR(__xludf.DUMMYFUNCTION("IMPORTRANGE(""https://docs.google.com/spreadsheets/d/1MeEWN-I1oV_STSDYn1IFDPWt_1FKiwhDph83XaGc0o0/edit?usp=sharing"",""งบพรบ!AM83"")"),0)</f>
        <v>0</v>
      </c>
      <c r="N74" s="887">
        <f ca="1">IFERROR(__xludf.DUMMYFUNCTION("IMPORTRANGE(""https://docs.google.com/spreadsheets/d/1MeEWN-I1oV_STSDYn1IFDPWt_1FKiwhDph83XaGc0o0/edit?usp=sharing"",""งบพรบ!AO83"")"),0)</f>
        <v>0</v>
      </c>
      <c r="O74" s="887">
        <f t="shared" ca="1" si="40"/>
        <v>0</v>
      </c>
      <c r="P74" s="887">
        <f t="shared" ca="1" si="41"/>
        <v>0</v>
      </c>
      <c r="Q74" s="875"/>
      <c r="R74" s="875"/>
      <c r="S74" s="875"/>
      <c r="T74" s="875"/>
      <c r="U74" s="875"/>
      <c r="V74" s="875"/>
      <c r="W74" s="875"/>
      <c r="X74" s="875"/>
      <c r="Y74" s="875"/>
      <c r="Z74" s="875"/>
    </row>
    <row r="75" spans="1:26" ht="19.5" hidden="1">
      <c r="A75" s="1002"/>
      <c r="B75" s="1003"/>
      <c r="C75" s="999" t="s">
        <v>16</v>
      </c>
      <c r="D75" s="1004" t="s">
        <v>38</v>
      </c>
      <c r="E75" s="1005"/>
      <c r="F75" s="1005"/>
      <c r="G75" s="1006"/>
      <c r="H75" s="1007"/>
      <c r="I75" s="997"/>
      <c r="J75" s="997"/>
      <c r="K75" s="998"/>
      <c r="L75" s="998"/>
      <c r="M75" s="998"/>
      <c r="N75" s="998"/>
      <c r="O75" s="998"/>
      <c r="P75" s="998"/>
    </row>
    <row r="76" spans="1:26" ht="19.5" hidden="1">
      <c r="A76" s="1002"/>
      <c r="B76" s="1003"/>
      <c r="C76" s="1003"/>
      <c r="D76" s="1008" t="s">
        <v>39</v>
      </c>
      <c r="E76" s="1009"/>
      <c r="F76" s="1010"/>
      <c r="G76" s="1011"/>
      <c r="H76" s="180" t="s">
        <v>34</v>
      </c>
      <c r="I76" s="880">
        <f t="shared" ref="I76:J77" ca="1" si="45">I78+I80+I82</f>
        <v>0</v>
      </c>
      <c r="J76" s="880">
        <f t="shared" si="45"/>
        <v>0</v>
      </c>
      <c r="K76" s="998">
        <f t="shared" ref="K76:K84" ca="1" si="46">IF(I76&gt;0,J76*100/I76,0)</f>
        <v>0</v>
      </c>
      <c r="L76" s="998"/>
      <c r="M76" s="998"/>
      <c r="N76" s="998"/>
      <c r="O76" s="998"/>
      <c r="P76" s="998"/>
    </row>
    <row r="77" spans="1:26" ht="19.5" hidden="1">
      <c r="A77" s="1002"/>
      <c r="B77" s="1003"/>
      <c r="C77" s="1003"/>
      <c r="D77" s="1003"/>
      <c r="E77" s="1010"/>
      <c r="F77" s="1010"/>
      <c r="G77" s="1011"/>
      <c r="H77" s="180" t="s">
        <v>35</v>
      </c>
      <c r="I77" s="880">
        <f t="shared" ca="1" si="45"/>
        <v>0</v>
      </c>
      <c r="J77" s="880">
        <f t="shared" si="45"/>
        <v>0</v>
      </c>
      <c r="K77" s="998">
        <f t="shared" ca="1" si="46"/>
        <v>0</v>
      </c>
      <c r="L77" s="998"/>
      <c r="M77" s="998"/>
      <c r="N77" s="998"/>
      <c r="O77" s="998"/>
      <c r="P77" s="998"/>
    </row>
    <row r="78" spans="1:26" ht="18.75" hidden="1">
      <c r="A78" s="1002"/>
      <c r="B78" s="1003"/>
      <c r="C78" s="1003"/>
      <c r="D78" s="1003"/>
      <c r="E78" s="1009" t="s">
        <v>40</v>
      </c>
      <c r="F78" s="1009"/>
      <c r="G78" s="1011"/>
      <c r="H78" s="762" t="s">
        <v>34</v>
      </c>
      <c r="I78" s="997">
        <f ca="1">IFERROR(__xludf.DUMMYFUNCTION("IMPORTRANGE(""https://docs.google.com/spreadsheets/d/1QqKyyYR6Q21VydFLVH3TRQUabQu_ym0Zz7PgGX0-kHA/edit?usp=sharing"",""แผน!H83"")"),0)</f>
        <v>0</v>
      </c>
      <c r="J78" s="1012">
        <v>0</v>
      </c>
      <c r="K78" s="998">
        <f t="shared" ca="1" si="46"/>
        <v>0</v>
      </c>
      <c r="L78" s="998"/>
      <c r="M78" s="998"/>
      <c r="N78" s="998"/>
      <c r="O78" s="998"/>
      <c r="P78" s="998"/>
    </row>
    <row r="79" spans="1:26" ht="18.75" hidden="1">
      <c r="A79" s="1002"/>
      <c r="B79" s="1003"/>
      <c r="C79" s="1003"/>
      <c r="D79" s="1003"/>
      <c r="E79" s="1010"/>
      <c r="F79" s="1010"/>
      <c r="G79" s="1011"/>
      <c r="H79" s="762" t="s">
        <v>35</v>
      </c>
      <c r="I79" s="997">
        <f ca="1">IFERROR(__xludf.DUMMYFUNCTION("IMPORTRANGE(""https://docs.google.com/spreadsheets/d/1QqKyyYR6Q21VydFLVH3TRQUabQu_ym0Zz7PgGX0-kHA/edit?usp=sharing"",""แผน!I83"")"),0)</f>
        <v>0</v>
      </c>
      <c r="J79" s="1012">
        <v>0</v>
      </c>
      <c r="K79" s="998">
        <f t="shared" ca="1" si="46"/>
        <v>0</v>
      </c>
      <c r="L79" s="998"/>
      <c r="M79" s="998"/>
      <c r="N79" s="998"/>
      <c r="O79" s="998"/>
      <c r="P79" s="998"/>
    </row>
    <row r="80" spans="1:26" ht="18.75" hidden="1">
      <c r="A80" s="1002"/>
      <c r="B80" s="1003"/>
      <c r="C80" s="1003"/>
      <c r="D80" s="1003"/>
      <c r="E80" s="1009" t="s">
        <v>41</v>
      </c>
      <c r="F80" s="1009"/>
      <c r="G80" s="1011"/>
      <c r="H80" s="762" t="s">
        <v>34</v>
      </c>
      <c r="I80" s="997">
        <f ca="1">IFERROR(__xludf.DUMMYFUNCTION("IMPORTRANGE(""https://docs.google.com/spreadsheets/d/1QqKyyYR6Q21VydFLVH3TRQUabQu_ym0Zz7PgGX0-kHA/edit?usp=sharing"",""แผน!F83"")"),0)</f>
        <v>0</v>
      </c>
      <c r="J80" s="1012">
        <v>0</v>
      </c>
      <c r="K80" s="998">
        <f t="shared" ca="1" si="46"/>
        <v>0</v>
      </c>
      <c r="L80" s="998"/>
      <c r="M80" s="998"/>
      <c r="N80" s="998"/>
      <c r="O80" s="998"/>
      <c r="P80" s="998"/>
    </row>
    <row r="81" spans="1:26" ht="18.75" hidden="1">
      <c r="A81" s="1002"/>
      <c r="B81" s="1003"/>
      <c r="C81" s="1003"/>
      <c r="D81" s="1003"/>
      <c r="E81" s="1010"/>
      <c r="F81" s="1010"/>
      <c r="G81" s="1011"/>
      <c r="H81" s="762" t="s">
        <v>35</v>
      </c>
      <c r="I81" s="997">
        <f ca="1">IFERROR(__xludf.DUMMYFUNCTION("IMPORTRANGE(""https://docs.google.com/spreadsheets/d/1QqKyyYR6Q21VydFLVH3TRQUabQu_ym0Zz7PgGX0-kHA/edit?usp=sharing"",""แผน!G83"")"),0)</f>
        <v>0</v>
      </c>
      <c r="J81" s="1012">
        <v>0</v>
      </c>
      <c r="K81" s="998">
        <f t="shared" ca="1" si="46"/>
        <v>0</v>
      </c>
      <c r="L81" s="998"/>
      <c r="M81" s="998"/>
      <c r="N81" s="998"/>
      <c r="O81" s="998"/>
      <c r="P81" s="998"/>
    </row>
    <row r="82" spans="1:26" ht="18.75" hidden="1">
      <c r="A82" s="1002"/>
      <c r="B82" s="1003"/>
      <c r="C82" s="1003"/>
      <c r="D82" s="1003"/>
      <c r="E82" s="1009" t="s">
        <v>42</v>
      </c>
      <c r="F82" s="1009"/>
      <c r="G82" s="1011"/>
      <c r="H82" s="762" t="s">
        <v>34</v>
      </c>
      <c r="I82" s="997">
        <f ca="1">IFERROR(__xludf.DUMMYFUNCTION("IMPORTRANGE(""https://docs.google.com/spreadsheets/d/1QqKyyYR6Q21VydFLVH3TRQUabQu_ym0Zz7PgGX0-kHA/edit?usp=sharing"",""แผน!D83"")"),0)</f>
        <v>0</v>
      </c>
      <c r="J82" s="1012">
        <v>0</v>
      </c>
      <c r="K82" s="998">
        <f t="shared" ca="1" si="46"/>
        <v>0</v>
      </c>
      <c r="L82" s="998"/>
      <c r="M82" s="998"/>
      <c r="N82" s="998"/>
      <c r="O82" s="998"/>
      <c r="P82" s="998"/>
    </row>
    <row r="83" spans="1:26" ht="18.75" hidden="1">
      <c r="A83" s="1002"/>
      <c r="B83" s="1003"/>
      <c r="C83" s="1003"/>
      <c r="D83" s="1003"/>
      <c r="E83" s="1010"/>
      <c r="F83" s="1010"/>
      <c r="G83" s="1011"/>
      <c r="H83" s="762" t="s">
        <v>35</v>
      </c>
      <c r="I83" s="997">
        <f ca="1">IFERROR(__xludf.DUMMYFUNCTION("IMPORTRANGE(""https://docs.google.com/spreadsheets/d/1QqKyyYR6Q21VydFLVH3TRQUabQu_ym0Zz7PgGX0-kHA/edit?usp=sharing"",""แผน!E83"")"),0)</f>
        <v>0</v>
      </c>
      <c r="J83" s="1012">
        <v>0</v>
      </c>
      <c r="K83" s="998">
        <f t="shared" ca="1" si="46"/>
        <v>0</v>
      </c>
      <c r="L83" s="998"/>
      <c r="M83" s="998"/>
      <c r="N83" s="998"/>
      <c r="O83" s="998"/>
      <c r="P83" s="998"/>
    </row>
    <row r="84" spans="1:26" ht="18.75" hidden="1">
      <c r="A84" s="1002"/>
      <c r="B84" s="1003"/>
      <c r="C84" s="1003"/>
      <c r="D84" s="1008" t="s">
        <v>43</v>
      </c>
      <c r="E84" s="1009"/>
      <c r="F84" s="1010"/>
      <c r="G84" s="1011"/>
      <c r="H84" s="185" t="s">
        <v>34</v>
      </c>
      <c r="I84" s="997">
        <f ca="1">IFERROR(__xludf.DUMMYFUNCTION("IMPORTRANGE(""https://docs.google.com/spreadsheets/d/1QqKyyYR6Q21VydFLVH3TRQUabQu_ym0Zz7PgGX0-kHA/edit?usp=sharing"",""แผน!J83"")"),0)</f>
        <v>0</v>
      </c>
      <c r="J84" s="1012">
        <v>0</v>
      </c>
      <c r="K84" s="998">
        <f t="shared" ca="1" si="46"/>
        <v>0</v>
      </c>
      <c r="L84" s="998"/>
      <c r="M84" s="998"/>
      <c r="N84" s="998"/>
      <c r="O84" s="998"/>
      <c r="P84" s="998"/>
    </row>
    <row r="85" spans="1:26" ht="19.5">
      <c r="A85" s="970" t="s">
        <v>44</v>
      </c>
      <c r="B85" s="971"/>
      <c r="C85" s="972"/>
      <c r="D85" s="971"/>
      <c r="E85" s="971"/>
      <c r="F85" s="971"/>
      <c r="G85" s="973"/>
      <c r="H85" s="974"/>
      <c r="I85" s="975"/>
      <c r="J85" s="975"/>
      <c r="K85" s="976"/>
      <c r="L85" s="976"/>
      <c r="M85" s="976"/>
      <c r="N85" s="976"/>
      <c r="O85" s="976"/>
      <c r="P85" s="976"/>
    </row>
    <row r="86" spans="1:26" ht="19.5">
      <c r="A86" s="977"/>
      <c r="B86" s="978" t="s">
        <v>45</v>
      </c>
      <c r="C86" s="979"/>
      <c r="D86" s="980"/>
      <c r="E86" s="979"/>
      <c r="F86" s="979"/>
      <c r="G86" s="981"/>
      <c r="H86" s="205" t="s">
        <v>46</v>
      </c>
      <c r="I86" s="982">
        <f t="shared" ref="I86:J87" ca="1" si="47">I98</f>
        <v>0</v>
      </c>
      <c r="J86" s="982">
        <f t="shared" si="47"/>
        <v>0</v>
      </c>
      <c r="K86" s="983">
        <f t="shared" ref="K86:K87" ca="1" si="48">IF(I86&gt;0,J86*100/I86,0)</f>
        <v>0</v>
      </c>
      <c r="L86" s="984"/>
      <c r="M86" s="984"/>
      <c r="N86" s="984"/>
      <c r="O86" s="984"/>
      <c r="P86" s="984"/>
    </row>
    <row r="87" spans="1:26" ht="19.5">
      <c r="A87" s="977"/>
      <c r="B87" s="979"/>
      <c r="C87" s="979"/>
      <c r="D87" s="980"/>
      <c r="E87" s="979"/>
      <c r="F87" s="979"/>
      <c r="G87" s="981"/>
      <c r="H87" s="205" t="s">
        <v>35</v>
      </c>
      <c r="I87" s="982">
        <f t="shared" ca="1" si="47"/>
        <v>0</v>
      </c>
      <c r="J87" s="982">
        <f t="shared" si="47"/>
        <v>0</v>
      </c>
      <c r="K87" s="983">
        <f t="shared" ca="1" si="48"/>
        <v>0</v>
      </c>
      <c r="L87" s="984"/>
      <c r="M87" s="984"/>
      <c r="N87" s="984"/>
      <c r="O87" s="984"/>
      <c r="P87" s="984"/>
    </row>
    <row r="88" spans="1:26" ht="19.5">
      <c r="A88" s="985"/>
      <c r="B88" s="986"/>
      <c r="C88" s="987" t="s">
        <v>16</v>
      </c>
      <c r="D88" s="988" t="s">
        <v>17</v>
      </c>
      <c r="E88" s="986"/>
      <c r="F88" s="986"/>
      <c r="G88" s="989"/>
      <c r="H88" s="152" t="s">
        <v>12</v>
      </c>
      <c r="I88" s="990"/>
      <c r="J88" s="990"/>
      <c r="K88" s="991"/>
      <c r="L88" s="992">
        <f t="shared" ref="L88:N88" ca="1" si="49">L89+L90</f>
        <v>319000</v>
      </c>
      <c r="M88" s="992">
        <f t="shared" ca="1" si="49"/>
        <v>241950</v>
      </c>
      <c r="N88" s="992">
        <f t="shared" ca="1" si="49"/>
        <v>190927.37</v>
      </c>
      <c r="O88" s="992">
        <f t="shared" ref="O88:O96" ca="1" si="50">IF(L88&gt;0,N88*100/L88,0)</f>
        <v>59.851840125391853</v>
      </c>
      <c r="P88" s="992">
        <f t="shared" ref="P88:P96" ca="1" si="51">IF(M88&gt;0,N88*100/M88,0)</f>
        <v>78.911911551973546</v>
      </c>
      <c r="Q88" s="868"/>
      <c r="R88" s="868"/>
      <c r="S88" s="868"/>
      <c r="T88" s="868"/>
      <c r="U88" s="868"/>
      <c r="V88" s="868"/>
      <c r="W88" s="868"/>
      <c r="X88" s="868"/>
      <c r="Y88" s="868"/>
      <c r="Z88" s="868"/>
    </row>
    <row r="89" spans="1:26" ht="18.75" hidden="1">
      <c r="A89" s="993"/>
      <c r="B89" s="883"/>
      <c r="C89" s="883"/>
      <c r="D89" s="883"/>
      <c r="E89" s="884" t="s">
        <v>18</v>
      </c>
      <c r="F89" s="883"/>
      <c r="G89" s="994"/>
      <c r="H89" s="158" t="s">
        <v>12</v>
      </c>
      <c r="I89" s="886"/>
      <c r="J89" s="886"/>
      <c r="K89" s="887"/>
      <c r="L89" s="887">
        <f t="shared" ref="L89:N90" si="52">L92+L95</f>
        <v>0</v>
      </c>
      <c r="M89" s="887">
        <f t="shared" si="52"/>
        <v>0</v>
      </c>
      <c r="N89" s="887">
        <f t="shared" si="52"/>
        <v>0</v>
      </c>
      <c r="O89" s="887">
        <f t="shared" si="50"/>
        <v>0</v>
      </c>
      <c r="P89" s="887">
        <f t="shared" si="51"/>
        <v>0</v>
      </c>
      <c r="Q89" s="875"/>
      <c r="R89" s="875"/>
      <c r="S89" s="875"/>
      <c r="T89" s="875"/>
      <c r="U89" s="875"/>
      <c r="V89" s="875"/>
      <c r="W89" s="875"/>
      <c r="X89" s="875"/>
      <c r="Y89" s="875"/>
      <c r="Z89" s="875"/>
    </row>
    <row r="90" spans="1:26" ht="18.75" hidden="1">
      <c r="A90" s="993"/>
      <c r="B90" s="883"/>
      <c r="C90" s="883"/>
      <c r="D90" s="883"/>
      <c r="E90" s="884" t="s">
        <v>19</v>
      </c>
      <c r="F90" s="883"/>
      <c r="G90" s="994"/>
      <c r="H90" s="158" t="s">
        <v>12</v>
      </c>
      <c r="I90" s="886"/>
      <c r="J90" s="886"/>
      <c r="K90" s="887"/>
      <c r="L90" s="887">
        <f t="shared" ca="1" si="52"/>
        <v>319000</v>
      </c>
      <c r="M90" s="887">
        <f t="shared" ca="1" si="52"/>
        <v>241950</v>
      </c>
      <c r="N90" s="887">
        <f t="shared" ca="1" si="52"/>
        <v>190927.37</v>
      </c>
      <c r="O90" s="887">
        <f t="shared" ca="1" si="50"/>
        <v>59.851840125391853</v>
      </c>
      <c r="P90" s="887">
        <f t="shared" ca="1" si="51"/>
        <v>78.911911551973546</v>
      </c>
      <c r="Q90" s="875"/>
      <c r="R90" s="875"/>
      <c r="S90" s="875"/>
      <c r="T90" s="875"/>
      <c r="U90" s="875"/>
      <c r="V90" s="875"/>
      <c r="W90" s="875"/>
      <c r="X90" s="875"/>
      <c r="Y90" s="875"/>
      <c r="Z90" s="875"/>
    </row>
    <row r="91" spans="1:26" ht="18.75">
      <c r="A91" s="995"/>
      <c r="B91" s="877"/>
      <c r="C91" s="996"/>
      <c r="D91" s="878" t="s">
        <v>20</v>
      </c>
      <c r="E91" s="877"/>
      <c r="F91" s="877"/>
      <c r="G91" s="879"/>
      <c r="H91" s="161" t="s">
        <v>12</v>
      </c>
      <c r="I91" s="997"/>
      <c r="J91" s="997"/>
      <c r="K91" s="998"/>
      <c r="L91" s="881">
        <f t="shared" ref="L91:N91" ca="1" si="53">L92+L93</f>
        <v>319000</v>
      </c>
      <c r="M91" s="881">
        <f t="shared" ca="1" si="53"/>
        <v>241950</v>
      </c>
      <c r="N91" s="881">
        <f t="shared" ca="1" si="53"/>
        <v>190927.37</v>
      </c>
      <c r="O91" s="881">
        <f t="shared" ca="1" si="50"/>
        <v>59.851840125391853</v>
      </c>
      <c r="P91" s="881">
        <f t="shared" ca="1" si="51"/>
        <v>78.911911551973546</v>
      </c>
      <c r="Q91" s="868"/>
      <c r="R91" s="868"/>
      <c r="S91" s="868"/>
      <c r="T91" s="868"/>
      <c r="U91" s="868"/>
      <c r="V91" s="868"/>
      <c r="W91" s="868"/>
      <c r="X91" s="868"/>
      <c r="Y91" s="868"/>
      <c r="Z91" s="868"/>
    </row>
    <row r="92" spans="1:26" ht="19.5" hidden="1">
      <c r="A92" s="993"/>
      <c r="B92" s="883"/>
      <c r="C92" s="999"/>
      <c r="D92" s="883"/>
      <c r="E92" s="884" t="s">
        <v>36</v>
      </c>
      <c r="F92" s="883"/>
      <c r="G92" s="994"/>
      <c r="H92" s="165" t="s">
        <v>12</v>
      </c>
      <c r="I92" s="1000"/>
      <c r="J92" s="1000"/>
      <c r="K92" s="1001"/>
      <c r="L92" s="887">
        <v>0</v>
      </c>
      <c r="M92" s="887">
        <v>0</v>
      </c>
      <c r="N92" s="887">
        <v>0</v>
      </c>
      <c r="O92" s="887">
        <f t="shared" si="50"/>
        <v>0</v>
      </c>
      <c r="P92" s="887">
        <f t="shared" si="51"/>
        <v>0</v>
      </c>
      <c r="Q92" s="875"/>
      <c r="R92" s="875"/>
      <c r="S92" s="875"/>
      <c r="T92" s="875"/>
      <c r="U92" s="875"/>
      <c r="V92" s="875"/>
      <c r="W92" s="875"/>
      <c r="X92" s="875"/>
      <c r="Y92" s="875"/>
      <c r="Z92" s="875"/>
    </row>
    <row r="93" spans="1:26" ht="19.5" hidden="1">
      <c r="A93" s="993"/>
      <c r="B93" s="883"/>
      <c r="C93" s="999"/>
      <c r="D93" s="883"/>
      <c r="E93" s="884" t="s">
        <v>37</v>
      </c>
      <c r="F93" s="883"/>
      <c r="G93" s="994"/>
      <c r="H93" s="165" t="s">
        <v>12</v>
      </c>
      <c r="I93" s="1000"/>
      <c r="J93" s="1000"/>
      <c r="K93" s="1001"/>
      <c r="L93" s="887">
        <f ca="1">IFERROR(__xludf.DUMMYFUNCTION("IMPORTRANGE(""https://docs.google.com/spreadsheets/d/1MeEWN-I1oV_STSDYn1IFDPWt_1FKiwhDph83XaGc0o0/edit?usp=sharing"",""งบพรบ!AQ83"")"),319000)</f>
        <v>319000</v>
      </c>
      <c r="M93" s="887">
        <f ca="1">IFERROR(__xludf.DUMMYFUNCTION("IMPORTRANGE(""https://docs.google.com/spreadsheets/d/1MeEWN-I1oV_STSDYn1IFDPWt_1FKiwhDph83XaGc0o0/edit?usp=sharing"",""งบพรบ!AV83"")"),241950)</f>
        <v>241950</v>
      </c>
      <c r="N93" s="887">
        <f ca="1">IFERROR(__xludf.DUMMYFUNCTION("IMPORTRANGE(""https://docs.google.com/spreadsheets/d/1MeEWN-I1oV_STSDYn1IFDPWt_1FKiwhDph83XaGc0o0/edit?usp=sharing"",""งบพรบ!AX83"")"),190927.37)</f>
        <v>190927.37</v>
      </c>
      <c r="O93" s="887">
        <f t="shared" ca="1" si="50"/>
        <v>59.851840125391853</v>
      </c>
      <c r="P93" s="887">
        <f t="shared" ca="1" si="51"/>
        <v>78.911911551973546</v>
      </c>
      <c r="Q93" s="875"/>
      <c r="R93" s="875"/>
      <c r="S93" s="875"/>
      <c r="T93" s="875"/>
      <c r="U93" s="875"/>
      <c r="V93" s="875"/>
      <c r="W93" s="875"/>
      <c r="X93" s="875"/>
      <c r="Y93" s="875"/>
      <c r="Z93" s="875"/>
    </row>
    <row r="94" spans="1:26" ht="18.75">
      <c r="A94" s="995"/>
      <c r="B94" s="877"/>
      <c r="C94" s="996"/>
      <c r="D94" s="878" t="s">
        <v>21</v>
      </c>
      <c r="E94" s="877"/>
      <c r="F94" s="877"/>
      <c r="G94" s="879"/>
      <c r="H94" s="168" t="s">
        <v>12</v>
      </c>
      <c r="I94" s="997"/>
      <c r="J94" s="997"/>
      <c r="K94" s="998"/>
      <c r="L94" s="881">
        <f t="shared" ref="L94:N94" ca="1" si="54">L95+L96</f>
        <v>0</v>
      </c>
      <c r="M94" s="881">
        <f t="shared" ca="1" si="54"/>
        <v>0</v>
      </c>
      <c r="N94" s="881">
        <f t="shared" ca="1" si="54"/>
        <v>0</v>
      </c>
      <c r="O94" s="881">
        <f t="shared" ca="1" si="50"/>
        <v>0</v>
      </c>
      <c r="P94" s="881">
        <f t="shared" ca="1" si="51"/>
        <v>0</v>
      </c>
      <c r="Q94" s="868"/>
      <c r="R94" s="868"/>
      <c r="S94" s="868"/>
      <c r="T94" s="868"/>
      <c r="U94" s="868"/>
      <c r="V94" s="868"/>
      <c r="W94" s="868"/>
      <c r="X94" s="868"/>
      <c r="Y94" s="868"/>
      <c r="Z94" s="868"/>
    </row>
    <row r="95" spans="1:26" ht="19.5" hidden="1">
      <c r="A95" s="993"/>
      <c r="B95" s="883"/>
      <c r="C95" s="999"/>
      <c r="D95" s="883"/>
      <c r="E95" s="884" t="s">
        <v>18</v>
      </c>
      <c r="F95" s="883"/>
      <c r="G95" s="994"/>
      <c r="H95" s="165" t="s">
        <v>12</v>
      </c>
      <c r="I95" s="1000"/>
      <c r="J95" s="1000"/>
      <c r="K95" s="1001"/>
      <c r="L95" s="887">
        <v>0</v>
      </c>
      <c r="M95" s="887">
        <v>0</v>
      </c>
      <c r="N95" s="887">
        <v>0</v>
      </c>
      <c r="O95" s="887">
        <f t="shared" si="50"/>
        <v>0</v>
      </c>
      <c r="P95" s="887">
        <f t="shared" si="51"/>
        <v>0</v>
      </c>
      <c r="Q95" s="875"/>
      <c r="R95" s="875"/>
      <c r="S95" s="875"/>
      <c r="T95" s="875"/>
      <c r="U95" s="875"/>
      <c r="V95" s="875"/>
      <c r="W95" s="875"/>
      <c r="X95" s="875"/>
      <c r="Y95" s="875"/>
      <c r="Z95" s="875"/>
    </row>
    <row r="96" spans="1:26" ht="19.5" hidden="1">
      <c r="A96" s="993"/>
      <c r="B96" s="883"/>
      <c r="C96" s="999"/>
      <c r="D96" s="883"/>
      <c r="E96" s="884" t="s">
        <v>19</v>
      </c>
      <c r="F96" s="883"/>
      <c r="G96" s="994"/>
      <c r="H96" s="169" t="s">
        <v>12</v>
      </c>
      <c r="I96" s="1000"/>
      <c r="J96" s="1000"/>
      <c r="K96" s="1001"/>
      <c r="L96" s="887">
        <f ca="1">IFERROR(__xludf.DUMMYFUNCTION("IMPORTRANGE(""https://docs.google.com/spreadsheets/d/1MeEWN-I1oV_STSDYn1IFDPWt_1FKiwhDph83XaGc0o0/edit?usp=sharing"",""งบพรบ!AT83"")"),0)</f>
        <v>0</v>
      </c>
      <c r="M96" s="887">
        <f ca="1">IFERROR(__xludf.DUMMYFUNCTION("IMPORTRANGE(""https://docs.google.com/spreadsheets/d/1MeEWN-I1oV_STSDYn1IFDPWt_1FKiwhDph83XaGc0o0/edit?usp=sharing"",""งบพรบ!AW83"")"),0)</f>
        <v>0</v>
      </c>
      <c r="N96" s="887">
        <f ca="1">IFERROR(__xludf.DUMMYFUNCTION("IMPORTRANGE(""https://docs.google.com/spreadsheets/d/1MeEWN-I1oV_STSDYn1IFDPWt_1FKiwhDph83XaGc0o0/edit?usp=sharing"",""งบพรบ!AY83"")"),0)</f>
        <v>0</v>
      </c>
      <c r="O96" s="887">
        <f t="shared" ca="1" si="50"/>
        <v>0</v>
      </c>
      <c r="P96" s="887">
        <f t="shared" ca="1" si="51"/>
        <v>0</v>
      </c>
      <c r="Q96" s="875"/>
      <c r="R96" s="875"/>
      <c r="S96" s="875"/>
      <c r="T96" s="875"/>
      <c r="U96" s="875"/>
      <c r="V96" s="875"/>
      <c r="W96" s="875"/>
      <c r="X96" s="875"/>
      <c r="Y96" s="875"/>
      <c r="Z96" s="875"/>
    </row>
    <row r="97" spans="1:16" ht="19.5">
      <c r="A97" s="1002"/>
      <c r="B97" s="1003"/>
      <c r="C97" s="999" t="s">
        <v>16</v>
      </c>
      <c r="D97" s="1004" t="s">
        <v>38</v>
      </c>
      <c r="E97" s="1005"/>
      <c r="F97" s="1005"/>
      <c r="G97" s="1006"/>
      <c r="H97" s="1007"/>
      <c r="I97" s="997"/>
      <c r="J97" s="880"/>
      <c r="K97" s="881"/>
      <c r="L97" s="881"/>
      <c r="M97" s="881"/>
      <c r="N97" s="881"/>
      <c r="O97" s="998"/>
      <c r="P97" s="998"/>
    </row>
    <row r="98" spans="1:16" ht="18.75">
      <c r="A98" s="1002"/>
      <c r="B98" s="1003"/>
      <c r="C98" s="1003"/>
      <c r="D98" s="1009" t="s">
        <v>47</v>
      </c>
      <c r="E98" s="1009"/>
      <c r="F98" s="1010"/>
      <c r="G98" s="1011"/>
      <c r="H98" s="622" t="s">
        <v>46</v>
      </c>
      <c r="I98" s="880">
        <f ca="1">IFERROR(__xludf.DUMMYFUNCTION("IMPORTRANGE(""https://docs.google.com/spreadsheets/d/1QqKyyYR6Q21VydFLVH3TRQUabQu_ym0Zz7PgGX0-kHA/edit?usp=sharing"",""แผน!K83"")"),0)</f>
        <v>0</v>
      </c>
      <c r="J98" s="880">
        <f>J102</f>
        <v>0</v>
      </c>
      <c r="K98" s="881">
        <f t="shared" ref="K98:K100" ca="1" si="55">IF(I98&gt;0,J98*100/I98,0)</f>
        <v>0</v>
      </c>
      <c r="L98" s="881"/>
      <c r="M98" s="881"/>
      <c r="N98" s="881"/>
      <c r="O98" s="998"/>
      <c r="P98" s="998"/>
    </row>
    <row r="99" spans="1:16" ht="18.75">
      <c r="A99" s="1002"/>
      <c r="B99" s="1003"/>
      <c r="C99" s="1003"/>
      <c r="D99" s="1009" t="s">
        <v>48</v>
      </c>
      <c r="E99" s="1009"/>
      <c r="F99" s="1010"/>
      <c r="G99" s="1011"/>
      <c r="H99" s="622" t="s">
        <v>35</v>
      </c>
      <c r="I99" s="880">
        <f ca="1">IFERROR(__xludf.DUMMYFUNCTION("IMPORTRANGE(""https://docs.google.com/spreadsheets/d/1QqKyyYR6Q21VydFLVH3TRQUabQu_ym0Zz7PgGX0-kHA/edit?usp=sharing"",""แผน!L83"")"),0)</f>
        <v>0</v>
      </c>
      <c r="J99" s="880">
        <f>J104</f>
        <v>0</v>
      </c>
      <c r="K99" s="881">
        <f t="shared" ca="1" si="55"/>
        <v>0</v>
      </c>
      <c r="L99" s="881"/>
      <c r="M99" s="881"/>
      <c r="N99" s="881"/>
      <c r="O99" s="998"/>
      <c r="P99" s="998"/>
    </row>
    <row r="100" spans="1:16" ht="18.75">
      <c r="A100" s="1002"/>
      <c r="B100" s="1003"/>
      <c r="C100" s="1003"/>
      <c r="D100" s="1003"/>
      <c r="E100" s="1010"/>
      <c r="F100" s="1010"/>
      <c r="G100" s="1011"/>
      <c r="H100" s="622" t="s">
        <v>49</v>
      </c>
      <c r="I100" s="880">
        <f ca="1">IFERROR(__xludf.DUMMYFUNCTION("IMPORTRANGE(""https://docs.google.com/spreadsheets/d/1QqKyyYR6Q21VydFLVH3TRQUabQu_ym0Zz7PgGX0-kHA/edit?usp=sharing"",""แผน!M83"")"),1)</f>
        <v>1</v>
      </c>
      <c r="J100" s="880">
        <f>J107+J110</f>
        <v>1</v>
      </c>
      <c r="K100" s="881">
        <f t="shared" ca="1" si="55"/>
        <v>100</v>
      </c>
      <c r="L100" s="881"/>
      <c r="M100" s="881"/>
      <c r="N100" s="881"/>
      <c r="O100" s="998"/>
      <c r="P100" s="998"/>
    </row>
    <row r="101" spans="1:16" ht="19.5">
      <c r="A101" s="1002"/>
      <c r="B101" s="1003"/>
      <c r="C101" s="1003"/>
      <c r="D101" s="1010"/>
      <c r="E101" s="1013" t="s">
        <v>50</v>
      </c>
      <c r="F101" s="1010"/>
      <c r="G101" s="1011"/>
      <c r="H101" s="622"/>
      <c r="I101" s="880"/>
      <c r="J101" s="880"/>
      <c r="K101" s="881"/>
      <c r="L101" s="881"/>
      <c r="M101" s="881"/>
      <c r="N101" s="881"/>
      <c r="O101" s="998"/>
      <c r="P101" s="998"/>
    </row>
    <row r="102" spans="1:16" ht="18.75">
      <c r="A102" s="1002"/>
      <c r="B102" s="1003"/>
      <c r="C102" s="1003"/>
      <c r="D102" s="1010"/>
      <c r="E102" s="1014" t="s">
        <v>47</v>
      </c>
      <c r="F102" s="1010"/>
      <c r="G102" s="1011"/>
      <c r="H102" s="622" t="s">
        <v>46</v>
      </c>
      <c r="I102" s="880">
        <f ca="1">IFERROR(__xludf.DUMMYFUNCTION("IMPORTRANGE(""https://docs.google.com/spreadsheets/d/1QqKyyYR6Q21VydFLVH3TRQUabQu_ym0Zz7PgGX0-kHA/edit?usp=sharing"",""แผน!N83"")"),0)</f>
        <v>0</v>
      </c>
      <c r="J102" s="1012">
        <v>0</v>
      </c>
      <c r="K102" s="881">
        <f t="shared" ref="K102:K104" ca="1" si="56">IF(I102&gt;0,J102*100/I102,0)</f>
        <v>0</v>
      </c>
      <c r="L102" s="881"/>
      <c r="M102" s="881"/>
      <c r="N102" s="881"/>
      <c r="O102" s="998"/>
      <c r="P102" s="998"/>
    </row>
    <row r="103" spans="1:16" ht="19.5">
      <c r="A103" s="1002"/>
      <c r="B103" s="1003"/>
      <c r="C103" s="1003"/>
      <c r="D103" s="1010"/>
      <c r="E103" s="1009" t="s">
        <v>51</v>
      </c>
      <c r="F103" s="1010"/>
      <c r="G103" s="1011"/>
      <c r="H103" s="622" t="s">
        <v>35</v>
      </c>
      <c r="I103" s="880">
        <f ca="1">IFERROR(__xludf.DUMMYFUNCTION("IMPORTRANGE(""https://docs.google.com/spreadsheets/d/1QqKyyYR6Q21VydFLVH3TRQUabQu_ym0Zz7PgGX0-kHA/edit?usp=sharing"",""แผน!O83"")"),0)</f>
        <v>0</v>
      </c>
      <c r="J103" s="1012">
        <v>0</v>
      </c>
      <c r="K103" s="881">
        <f t="shared" ca="1" si="56"/>
        <v>0</v>
      </c>
      <c r="L103" s="881"/>
      <c r="M103" s="881"/>
      <c r="N103" s="881"/>
      <c r="O103" s="998"/>
      <c r="P103" s="998"/>
    </row>
    <row r="104" spans="1:16" ht="18.75">
      <c r="A104" s="1002"/>
      <c r="B104" s="1003"/>
      <c r="C104" s="1003"/>
      <c r="D104" s="1010"/>
      <c r="E104" s="1015" t="s">
        <v>52</v>
      </c>
      <c r="F104" s="1010"/>
      <c r="G104" s="1011"/>
      <c r="H104" s="622" t="s">
        <v>35</v>
      </c>
      <c r="I104" s="880">
        <f ca="1">IFERROR(__xludf.DUMMYFUNCTION("IMPORTRANGE(""https://docs.google.com/spreadsheets/d/1QqKyyYR6Q21VydFLVH3TRQUabQu_ym0Zz7PgGX0-kHA/edit?usp=sharing"",""แผน!O83"")"),0)</f>
        <v>0</v>
      </c>
      <c r="J104" s="1012">
        <v>0</v>
      </c>
      <c r="K104" s="881">
        <f t="shared" ca="1" si="56"/>
        <v>0</v>
      </c>
      <c r="L104" s="881"/>
      <c r="M104" s="881"/>
      <c r="N104" s="881"/>
      <c r="O104" s="998"/>
      <c r="P104" s="998"/>
    </row>
    <row r="105" spans="1:16" ht="19.5">
      <c r="A105" s="1002"/>
      <c r="B105" s="1003"/>
      <c r="C105" s="1003"/>
      <c r="D105" s="1010"/>
      <c r="E105" s="1013" t="s">
        <v>53</v>
      </c>
      <c r="F105" s="1010"/>
      <c r="G105" s="1011"/>
      <c r="H105" s="1016"/>
      <c r="I105" s="880"/>
      <c r="J105" s="880"/>
      <c r="K105" s="881"/>
      <c r="L105" s="881"/>
      <c r="M105" s="881"/>
      <c r="N105" s="881"/>
      <c r="O105" s="998"/>
      <c r="P105" s="998"/>
    </row>
    <row r="106" spans="1:16" ht="19.5">
      <c r="A106" s="1002"/>
      <c r="B106" s="1003"/>
      <c r="C106" s="1003"/>
      <c r="D106" s="1010"/>
      <c r="E106" s="1009" t="s">
        <v>54</v>
      </c>
      <c r="F106" s="1010"/>
      <c r="G106" s="1011"/>
      <c r="H106" s="622" t="s">
        <v>49</v>
      </c>
      <c r="I106" s="880">
        <f ca="1">IFERROR(__xludf.DUMMYFUNCTION("IMPORTRANGE(""https://docs.google.com/spreadsheets/d/1QqKyyYR6Q21VydFLVH3TRQUabQu_ym0Zz7PgGX0-kHA/edit?usp=sharing"",""แผน!P83"")"),0)</f>
        <v>0</v>
      </c>
      <c r="J106" s="1012">
        <v>0</v>
      </c>
      <c r="K106" s="881">
        <f t="shared" ref="K106:K107" ca="1" si="57">IF(I106&gt;0,J106*100/I106,0)</f>
        <v>0</v>
      </c>
      <c r="L106" s="881"/>
      <c r="M106" s="881"/>
      <c r="N106" s="881"/>
      <c r="O106" s="998"/>
      <c r="P106" s="998"/>
    </row>
    <row r="107" spans="1:16" ht="18.75">
      <c r="A107" s="1002"/>
      <c r="B107" s="1003"/>
      <c r="C107" s="1003"/>
      <c r="D107" s="1010"/>
      <c r="E107" s="1015" t="s">
        <v>55</v>
      </c>
      <c r="F107" s="1010"/>
      <c r="G107" s="1011"/>
      <c r="H107" s="622" t="s">
        <v>49</v>
      </c>
      <c r="I107" s="880">
        <f ca="1">IFERROR(__xludf.DUMMYFUNCTION("IMPORTRANGE(""https://docs.google.com/spreadsheets/d/1QqKyyYR6Q21VydFLVH3TRQUabQu_ym0Zz7PgGX0-kHA/edit?usp=sharing"",""แผน!P83"")"),0)</f>
        <v>0</v>
      </c>
      <c r="J107" s="1012">
        <v>0</v>
      </c>
      <c r="K107" s="881">
        <f t="shared" ca="1" si="57"/>
        <v>0</v>
      </c>
      <c r="L107" s="881"/>
      <c r="M107" s="881"/>
      <c r="N107" s="881"/>
      <c r="O107" s="998"/>
      <c r="P107" s="998"/>
    </row>
    <row r="108" spans="1:16" ht="19.5">
      <c r="A108" s="1002"/>
      <c r="B108" s="1003"/>
      <c r="C108" s="1003"/>
      <c r="D108" s="1010"/>
      <c r="E108" s="1013" t="s">
        <v>56</v>
      </c>
      <c r="F108" s="1010"/>
      <c r="G108" s="1011"/>
      <c r="H108" s="1016"/>
      <c r="I108" s="880"/>
      <c r="J108" s="880"/>
      <c r="K108" s="881"/>
      <c r="L108" s="881"/>
      <c r="M108" s="881"/>
      <c r="N108" s="881"/>
      <c r="O108" s="998"/>
      <c r="P108" s="998"/>
    </row>
    <row r="109" spans="1:16" ht="19.5">
      <c r="A109" s="1002"/>
      <c r="B109" s="1003"/>
      <c r="C109" s="1003"/>
      <c r="D109" s="1010"/>
      <c r="E109" s="1009" t="s">
        <v>57</v>
      </c>
      <c r="F109" s="1010"/>
      <c r="G109" s="1011"/>
      <c r="H109" s="622" t="s">
        <v>49</v>
      </c>
      <c r="I109" s="880">
        <f ca="1">IFERROR(__xludf.DUMMYFUNCTION("IMPORTRANGE(""https://docs.google.com/spreadsheets/d/1QqKyyYR6Q21VydFLVH3TRQUabQu_ym0Zz7PgGX0-kHA/edit?usp=sharing"",""แผน!Q83"")"),1)</f>
        <v>1</v>
      </c>
      <c r="J109" s="1012">
        <v>1</v>
      </c>
      <c r="K109" s="881">
        <f t="shared" ref="K109:K116" ca="1" si="58">IF(I109&gt;0,J109*100/I109,0)</f>
        <v>100</v>
      </c>
      <c r="L109" s="881"/>
      <c r="M109" s="881"/>
      <c r="N109" s="881"/>
      <c r="O109" s="998"/>
      <c r="P109" s="998"/>
    </row>
    <row r="110" spans="1:16" ht="18.75">
      <c r="A110" s="1002"/>
      <c r="B110" s="1003"/>
      <c r="C110" s="1003"/>
      <c r="D110" s="1010"/>
      <c r="E110" s="1017" t="s">
        <v>58</v>
      </c>
      <c r="F110" s="1010"/>
      <c r="G110" s="1011"/>
      <c r="H110" s="622" t="s">
        <v>49</v>
      </c>
      <c r="I110" s="880">
        <f ca="1">IFERROR(__xludf.DUMMYFUNCTION("IMPORTRANGE(""https://docs.google.com/spreadsheets/d/1QqKyyYR6Q21VydFLVH3TRQUabQu_ym0Zz7PgGX0-kHA/edit?usp=sharing"",""แผน!Q83"")"),1)</f>
        <v>1</v>
      </c>
      <c r="J110" s="1012">
        <v>1</v>
      </c>
      <c r="K110" s="881">
        <f t="shared" ca="1" si="58"/>
        <v>100</v>
      </c>
      <c r="L110" s="881"/>
      <c r="M110" s="881"/>
      <c r="N110" s="881"/>
      <c r="O110" s="998"/>
      <c r="P110" s="998"/>
    </row>
    <row r="111" spans="1:16" ht="19.5">
      <c r="A111" s="1002"/>
      <c r="B111" s="1003"/>
      <c r="C111" s="1003"/>
      <c r="D111" s="1013" t="s">
        <v>59</v>
      </c>
      <c r="E111" s="1013"/>
      <c r="F111" s="1010"/>
      <c r="G111" s="1011"/>
      <c r="H111" s="765" t="s">
        <v>35</v>
      </c>
      <c r="I111" s="1018">
        <f ca="1">IFERROR(__xludf.DUMMYFUNCTION("IMPORTRANGE(""https://docs.google.com/spreadsheets/d/1QqKyyYR6Q21VydFLVH3TRQUabQu_ym0Zz7PgGX0-kHA/edit?usp=sharing"",""แผน!R83"")"),0)</f>
        <v>0</v>
      </c>
      <c r="J111" s="1019">
        <f>J114</f>
        <v>0</v>
      </c>
      <c r="K111" s="1020">
        <f t="shared" ca="1" si="58"/>
        <v>0</v>
      </c>
      <c r="L111" s="881"/>
      <c r="M111" s="881"/>
      <c r="N111" s="881"/>
      <c r="O111" s="998"/>
      <c r="P111" s="998"/>
    </row>
    <row r="112" spans="1:16" ht="19.5">
      <c r="A112" s="1002"/>
      <c r="B112" s="1003"/>
      <c r="C112" s="1003"/>
      <c r="D112" s="1003"/>
      <c r="E112" s="1010"/>
      <c r="F112" s="1010"/>
      <c r="G112" s="1011"/>
      <c r="H112" s="196" t="s">
        <v>49</v>
      </c>
      <c r="I112" s="1018">
        <f t="shared" ref="I112:J112" ca="1" si="59">I115+I116</f>
        <v>1</v>
      </c>
      <c r="J112" s="1019">
        <f t="shared" si="59"/>
        <v>0</v>
      </c>
      <c r="K112" s="1020">
        <f t="shared" ca="1" si="58"/>
        <v>0</v>
      </c>
      <c r="L112" s="881"/>
      <c r="M112" s="881"/>
      <c r="N112" s="881"/>
      <c r="O112" s="998"/>
      <c r="P112" s="998"/>
    </row>
    <row r="113" spans="1:26" ht="19.5">
      <c r="A113" s="1002"/>
      <c r="B113" s="1003"/>
      <c r="C113" s="1003"/>
      <c r="D113" s="1003"/>
      <c r="E113" s="1021" t="s">
        <v>60</v>
      </c>
      <c r="F113" s="1010"/>
      <c r="G113" s="1011"/>
      <c r="H113" s="198" t="s">
        <v>35</v>
      </c>
      <c r="I113" s="997">
        <f ca="1">IFERROR(__xludf.DUMMYFUNCTION("IMPORTRANGE(""https://docs.google.com/spreadsheets/d/1QqKyyYR6Q21VydFLVH3TRQUabQu_ym0Zz7PgGX0-kHA/edit?usp=sharing"",""แผน!R83"")"),0)</f>
        <v>0</v>
      </c>
      <c r="J113" s="1012">
        <v>0</v>
      </c>
      <c r="K113" s="881">
        <f t="shared" ca="1" si="58"/>
        <v>0</v>
      </c>
      <c r="L113" s="881"/>
      <c r="M113" s="881"/>
      <c r="N113" s="881"/>
      <c r="O113" s="998"/>
      <c r="P113" s="998"/>
    </row>
    <row r="114" spans="1:26" ht="19.5">
      <c r="A114" s="1002"/>
      <c r="B114" s="1003"/>
      <c r="C114" s="1003"/>
      <c r="D114" s="1003"/>
      <c r="E114" s="1009" t="s">
        <v>61</v>
      </c>
      <c r="F114" s="1010"/>
      <c r="G114" s="1011"/>
      <c r="H114" s="199" t="s">
        <v>35</v>
      </c>
      <c r="I114" s="997">
        <f ca="1">IFERROR(__xludf.DUMMYFUNCTION("IMPORTRANGE(""https://docs.google.com/spreadsheets/d/1QqKyyYR6Q21VydFLVH3TRQUabQu_ym0Zz7PgGX0-kHA/edit?usp=sharing"",""แผน!R83"")"),0)</f>
        <v>0</v>
      </c>
      <c r="J114" s="1012">
        <v>0</v>
      </c>
      <c r="K114" s="881">
        <f t="shared" ca="1" si="58"/>
        <v>0</v>
      </c>
      <c r="L114" s="881"/>
      <c r="M114" s="881"/>
      <c r="N114" s="881"/>
      <c r="O114" s="998"/>
      <c r="P114" s="998"/>
    </row>
    <row r="115" spans="1:26" ht="18.75">
      <c r="A115" s="1002"/>
      <c r="B115" s="1003"/>
      <c r="C115" s="1003"/>
      <c r="D115" s="1003"/>
      <c r="E115" s="1009" t="s">
        <v>62</v>
      </c>
      <c r="F115" s="1010"/>
      <c r="G115" s="1011"/>
      <c r="H115" s="199" t="s">
        <v>49</v>
      </c>
      <c r="I115" s="997">
        <f ca="1">IFERROR(__xludf.DUMMYFUNCTION("IMPORTRANGE(""https://docs.google.com/spreadsheets/d/1QqKyyYR6Q21VydFLVH3TRQUabQu_ym0Zz7PgGX0-kHA/edit?usp=sharing"",""แผน!S83"")"),0)</f>
        <v>0</v>
      </c>
      <c r="J115" s="1012">
        <v>0</v>
      </c>
      <c r="K115" s="881">
        <f t="shared" ca="1" si="58"/>
        <v>0</v>
      </c>
      <c r="L115" s="881"/>
      <c r="M115" s="881"/>
      <c r="N115" s="881"/>
      <c r="O115" s="998"/>
      <c r="P115" s="998"/>
    </row>
    <row r="116" spans="1:26" ht="18.75">
      <c r="A116" s="1002"/>
      <c r="B116" s="1003"/>
      <c r="C116" s="1003"/>
      <c r="D116" s="1003"/>
      <c r="E116" s="1009" t="s">
        <v>63</v>
      </c>
      <c r="F116" s="1010"/>
      <c r="G116" s="1011"/>
      <c r="H116" s="199" t="s">
        <v>49</v>
      </c>
      <c r="I116" s="997">
        <f ca="1">IFERROR(__xludf.DUMMYFUNCTION("IMPORTRANGE(""https://docs.google.com/spreadsheets/d/1QqKyyYR6Q21VydFLVH3TRQUabQu_ym0Zz7PgGX0-kHA/edit?usp=sharing"",""แผน!T83"")"),1)</f>
        <v>1</v>
      </c>
      <c r="J116" s="1012">
        <v>0</v>
      </c>
      <c r="K116" s="881">
        <f t="shared" ca="1" si="58"/>
        <v>0</v>
      </c>
      <c r="L116" s="881"/>
      <c r="M116" s="881"/>
      <c r="N116" s="881"/>
      <c r="O116" s="998"/>
      <c r="P116" s="998"/>
    </row>
    <row r="117" spans="1:26" ht="19.5" hidden="1">
      <c r="A117" s="970" t="s">
        <v>64</v>
      </c>
      <c r="B117" s="971"/>
      <c r="C117" s="1022"/>
      <c r="D117" s="971"/>
      <c r="E117" s="971"/>
      <c r="F117" s="971"/>
      <c r="G117" s="971"/>
      <c r="H117" s="1023"/>
      <c r="I117" s="1024"/>
      <c r="J117" s="1024"/>
      <c r="K117" s="1025"/>
      <c r="L117" s="976"/>
      <c r="M117" s="976"/>
      <c r="N117" s="976"/>
      <c r="O117" s="976"/>
      <c r="P117" s="976"/>
    </row>
    <row r="118" spans="1:26" ht="19.5" hidden="1">
      <c r="A118" s="977"/>
      <c r="B118" s="978" t="s">
        <v>65</v>
      </c>
      <c r="C118" s="1026"/>
      <c r="D118" s="980"/>
      <c r="E118" s="979"/>
      <c r="F118" s="979"/>
      <c r="G118" s="981"/>
      <c r="H118" s="205"/>
      <c r="I118" s="1027"/>
      <c r="J118" s="1027"/>
      <c r="K118" s="984"/>
      <c r="L118" s="984"/>
      <c r="M118" s="984"/>
      <c r="N118" s="984"/>
      <c r="O118" s="984"/>
      <c r="P118" s="984"/>
    </row>
    <row r="119" spans="1:26" ht="19.5" hidden="1">
      <c r="A119" s="985"/>
      <c r="B119" s="986"/>
      <c r="C119" s="987" t="s">
        <v>16</v>
      </c>
      <c r="D119" s="988" t="s">
        <v>17</v>
      </c>
      <c r="E119" s="986"/>
      <c r="F119" s="986"/>
      <c r="G119" s="989"/>
      <c r="H119" s="152" t="s">
        <v>12</v>
      </c>
      <c r="I119" s="990"/>
      <c r="J119" s="990"/>
      <c r="K119" s="991"/>
      <c r="L119" s="992">
        <f t="shared" ref="L119:N119" ca="1" si="60">L120+L121</f>
        <v>0</v>
      </c>
      <c r="M119" s="992">
        <f t="shared" ca="1" si="60"/>
        <v>0</v>
      </c>
      <c r="N119" s="992">
        <f t="shared" ca="1" si="60"/>
        <v>0</v>
      </c>
      <c r="O119" s="992">
        <f t="shared" ref="O119:O127" ca="1" si="61">IF(L119&gt;0,N119*100/L119,0)</f>
        <v>0</v>
      </c>
      <c r="P119" s="992">
        <f t="shared" ref="P119:P127" ca="1" si="62">IF(M119&gt;0,N119*100/M119,0)</f>
        <v>0</v>
      </c>
      <c r="Q119" s="868"/>
      <c r="R119" s="868"/>
      <c r="S119" s="868"/>
      <c r="T119" s="868"/>
      <c r="U119" s="868"/>
      <c r="V119" s="868"/>
      <c r="W119" s="868"/>
      <c r="X119" s="868"/>
      <c r="Y119" s="868"/>
      <c r="Z119" s="868"/>
    </row>
    <row r="120" spans="1:26" ht="18.75" hidden="1">
      <c r="A120" s="993"/>
      <c r="B120" s="883"/>
      <c r="C120" s="883"/>
      <c r="D120" s="883"/>
      <c r="E120" s="884" t="s">
        <v>18</v>
      </c>
      <c r="F120" s="883"/>
      <c r="G120" s="994"/>
      <c r="H120" s="158" t="s">
        <v>12</v>
      </c>
      <c r="I120" s="886"/>
      <c r="J120" s="886"/>
      <c r="K120" s="887"/>
      <c r="L120" s="887">
        <f t="shared" ref="L120:N121" si="63">L123+L126</f>
        <v>0</v>
      </c>
      <c r="M120" s="887">
        <f t="shared" si="63"/>
        <v>0</v>
      </c>
      <c r="N120" s="887">
        <f t="shared" si="63"/>
        <v>0</v>
      </c>
      <c r="O120" s="887">
        <f t="shared" si="61"/>
        <v>0</v>
      </c>
      <c r="P120" s="887">
        <f t="shared" si="62"/>
        <v>0</v>
      </c>
      <c r="Q120" s="875"/>
      <c r="R120" s="875"/>
      <c r="S120" s="875"/>
      <c r="T120" s="875"/>
      <c r="U120" s="875"/>
      <c r="V120" s="875"/>
      <c r="W120" s="875"/>
      <c r="X120" s="875"/>
      <c r="Y120" s="875"/>
      <c r="Z120" s="875"/>
    </row>
    <row r="121" spans="1:26" ht="18.75" hidden="1">
      <c r="A121" s="993"/>
      <c r="B121" s="883"/>
      <c r="C121" s="883"/>
      <c r="D121" s="883"/>
      <c r="E121" s="884" t="s">
        <v>19</v>
      </c>
      <c r="F121" s="883"/>
      <c r="G121" s="994"/>
      <c r="H121" s="158" t="s">
        <v>12</v>
      </c>
      <c r="I121" s="886"/>
      <c r="J121" s="886"/>
      <c r="K121" s="887"/>
      <c r="L121" s="887">
        <f t="shared" ca="1" si="63"/>
        <v>0</v>
      </c>
      <c r="M121" s="887">
        <f t="shared" ca="1" si="63"/>
        <v>0</v>
      </c>
      <c r="N121" s="887">
        <f t="shared" ca="1" si="63"/>
        <v>0</v>
      </c>
      <c r="O121" s="887">
        <f t="shared" ca="1" si="61"/>
        <v>0</v>
      </c>
      <c r="P121" s="887">
        <f t="shared" ca="1" si="62"/>
        <v>0</v>
      </c>
      <c r="Q121" s="875"/>
      <c r="R121" s="875"/>
      <c r="S121" s="875"/>
      <c r="T121" s="875"/>
      <c r="U121" s="875"/>
      <c r="V121" s="875"/>
      <c r="W121" s="875"/>
      <c r="X121" s="875"/>
      <c r="Y121" s="875"/>
      <c r="Z121" s="875"/>
    </row>
    <row r="122" spans="1:26" ht="18.75" hidden="1">
      <c r="A122" s="995"/>
      <c r="B122" s="877"/>
      <c r="C122" s="996"/>
      <c r="D122" s="878" t="s">
        <v>20</v>
      </c>
      <c r="E122" s="877"/>
      <c r="F122" s="877"/>
      <c r="G122" s="879"/>
      <c r="H122" s="161" t="s">
        <v>12</v>
      </c>
      <c r="I122" s="997"/>
      <c r="J122" s="997"/>
      <c r="K122" s="998"/>
      <c r="L122" s="881">
        <f t="shared" ref="L122:N122" ca="1" si="64">L123+L124</f>
        <v>0</v>
      </c>
      <c r="M122" s="881">
        <f t="shared" ca="1" si="64"/>
        <v>0</v>
      </c>
      <c r="N122" s="881">
        <f t="shared" ca="1" si="64"/>
        <v>0</v>
      </c>
      <c r="O122" s="881">
        <f t="shared" ca="1" si="61"/>
        <v>0</v>
      </c>
      <c r="P122" s="881">
        <f t="shared" ca="1" si="62"/>
        <v>0</v>
      </c>
      <c r="Q122" s="868"/>
      <c r="R122" s="868"/>
      <c r="S122" s="868"/>
      <c r="T122" s="868"/>
      <c r="U122" s="868"/>
      <c r="V122" s="868"/>
      <c r="W122" s="868"/>
      <c r="X122" s="868"/>
      <c r="Y122" s="868"/>
      <c r="Z122" s="868"/>
    </row>
    <row r="123" spans="1:26" ht="18.75" hidden="1">
      <c r="A123" s="993"/>
      <c r="B123" s="883"/>
      <c r="C123" s="884"/>
      <c r="D123" s="883"/>
      <c r="E123" s="884" t="s">
        <v>36</v>
      </c>
      <c r="F123" s="883"/>
      <c r="G123" s="994"/>
      <c r="H123" s="165" t="s">
        <v>12</v>
      </c>
      <c r="I123" s="1000"/>
      <c r="J123" s="1000"/>
      <c r="K123" s="1001"/>
      <c r="L123" s="887">
        <v>0</v>
      </c>
      <c r="M123" s="887">
        <v>0</v>
      </c>
      <c r="N123" s="887">
        <v>0</v>
      </c>
      <c r="O123" s="887">
        <f t="shared" si="61"/>
        <v>0</v>
      </c>
      <c r="P123" s="887">
        <f t="shared" si="62"/>
        <v>0</v>
      </c>
      <c r="Q123" s="875"/>
      <c r="R123" s="875"/>
      <c r="S123" s="875"/>
      <c r="T123" s="875"/>
      <c r="U123" s="875"/>
      <c r="V123" s="875"/>
      <c r="W123" s="875"/>
      <c r="X123" s="875"/>
      <c r="Y123" s="875"/>
      <c r="Z123" s="875"/>
    </row>
    <row r="124" spans="1:26" ht="18.75" hidden="1">
      <c r="A124" s="993"/>
      <c r="B124" s="883"/>
      <c r="C124" s="884"/>
      <c r="D124" s="883"/>
      <c r="E124" s="884" t="s">
        <v>37</v>
      </c>
      <c r="F124" s="883"/>
      <c r="G124" s="994"/>
      <c r="H124" s="165" t="s">
        <v>12</v>
      </c>
      <c r="I124" s="1000"/>
      <c r="J124" s="1000"/>
      <c r="K124" s="1001"/>
      <c r="L124" s="887">
        <f ca="1">IFERROR(__xludf.DUMMYFUNCTION("IMPORTRANGE(""https://docs.google.com/spreadsheets/d/1MeEWN-I1oV_STSDYn1IFDPWt_1FKiwhDph83XaGc0o0/edit?usp=sharing"",""งบพรบ!BA83"")"),0)</f>
        <v>0</v>
      </c>
      <c r="M124" s="887">
        <f ca="1">IFERROR(__xludf.DUMMYFUNCTION("IMPORTRANGE(""https://docs.google.com/spreadsheets/d/1MeEWN-I1oV_STSDYn1IFDPWt_1FKiwhDph83XaGc0o0/edit?usp=sharing"",""งบพรบ!BF83"")"),0)</f>
        <v>0</v>
      </c>
      <c r="N124" s="887">
        <f ca="1">IFERROR(__xludf.DUMMYFUNCTION("IMPORTRANGE(""https://docs.google.com/spreadsheets/d/1MeEWN-I1oV_STSDYn1IFDPWt_1FKiwhDph83XaGc0o0/edit?usp=sharing"",""งบพรบ!BH83"")"),0)</f>
        <v>0</v>
      </c>
      <c r="O124" s="887">
        <f t="shared" ca="1" si="61"/>
        <v>0</v>
      </c>
      <c r="P124" s="887">
        <f t="shared" ca="1" si="62"/>
        <v>0</v>
      </c>
      <c r="Q124" s="875"/>
      <c r="R124" s="875"/>
      <c r="S124" s="875"/>
      <c r="T124" s="875"/>
      <c r="U124" s="875"/>
      <c r="V124" s="875"/>
      <c r="W124" s="875"/>
      <c r="X124" s="875"/>
      <c r="Y124" s="875"/>
      <c r="Z124" s="875"/>
    </row>
    <row r="125" spans="1:26" ht="18.75" hidden="1">
      <c r="A125" s="995"/>
      <c r="B125" s="877"/>
      <c r="C125" s="996"/>
      <c r="D125" s="878" t="s">
        <v>21</v>
      </c>
      <c r="E125" s="877"/>
      <c r="F125" s="877"/>
      <c r="G125" s="879"/>
      <c r="H125" s="168" t="s">
        <v>12</v>
      </c>
      <c r="I125" s="997"/>
      <c r="J125" s="997"/>
      <c r="K125" s="998"/>
      <c r="L125" s="881">
        <f t="shared" ref="L125:N125" ca="1" si="65">L126+L127</f>
        <v>0</v>
      </c>
      <c r="M125" s="881">
        <f t="shared" ca="1" si="65"/>
        <v>0</v>
      </c>
      <c r="N125" s="881">
        <f t="shared" ca="1" si="65"/>
        <v>0</v>
      </c>
      <c r="O125" s="881">
        <f t="shared" ca="1" si="61"/>
        <v>0</v>
      </c>
      <c r="P125" s="881">
        <f t="shared" ca="1" si="62"/>
        <v>0</v>
      </c>
      <c r="Q125" s="868"/>
      <c r="R125" s="868"/>
      <c r="S125" s="868"/>
      <c r="T125" s="868"/>
      <c r="U125" s="868"/>
      <c r="V125" s="868"/>
      <c r="W125" s="868"/>
      <c r="X125" s="868"/>
      <c r="Y125" s="868"/>
      <c r="Z125" s="868"/>
    </row>
    <row r="126" spans="1:26" ht="19.5" hidden="1">
      <c r="A126" s="993"/>
      <c r="B126" s="883"/>
      <c r="C126" s="999"/>
      <c r="D126" s="883"/>
      <c r="E126" s="884" t="s">
        <v>18</v>
      </c>
      <c r="F126" s="883"/>
      <c r="G126" s="994"/>
      <c r="H126" s="165" t="s">
        <v>12</v>
      </c>
      <c r="I126" s="1000"/>
      <c r="J126" s="1000"/>
      <c r="K126" s="1001"/>
      <c r="L126" s="887">
        <v>0</v>
      </c>
      <c r="M126" s="887">
        <v>0</v>
      </c>
      <c r="N126" s="887">
        <v>0</v>
      </c>
      <c r="O126" s="887">
        <f t="shared" si="61"/>
        <v>0</v>
      </c>
      <c r="P126" s="887">
        <f t="shared" si="62"/>
        <v>0</v>
      </c>
      <c r="Q126" s="875"/>
      <c r="R126" s="875"/>
      <c r="S126" s="875"/>
      <c r="T126" s="875"/>
      <c r="U126" s="875"/>
      <c r="V126" s="875"/>
      <c r="W126" s="875"/>
      <c r="X126" s="875"/>
      <c r="Y126" s="875"/>
      <c r="Z126" s="875"/>
    </row>
    <row r="127" spans="1:26" ht="19.5" hidden="1">
      <c r="A127" s="993"/>
      <c r="B127" s="883"/>
      <c r="C127" s="999"/>
      <c r="D127" s="883"/>
      <c r="E127" s="884" t="s">
        <v>19</v>
      </c>
      <c r="F127" s="883"/>
      <c r="G127" s="994"/>
      <c r="H127" s="169" t="s">
        <v>12</v>
      </c>
      <c r="I127" s="1000"/>
      <c r="J127" s="1000"/>
      <c r="K127" s="1001"/>
      <c r="L127" s="887">
        <f ca="1">IFERROR(__xludf.DUMMYFUNCTION("IMPORTRANGE(""https://docs.google.com/spreadsheets/d/1MeEWN-I1oV_STSDYn1IFDPWt_1FKiwhDph83XaGc0o0/edit?usp=sharing"",""งบพรบ!BD83"")"),0)</f>
        <v>0</v>
      </c>
      <c r="M127" s="887">
        <f ca="1">IFERROR(__xludf.DUMMYFUNCTION("IMPORTRANGE(""https://docs.google.com/spreadsheets/d/1MeEWN-I1oV_STSDYn1IFDPWt_1FKiwhDph83XaGc0o0/edit?usp=sharing"",""งบพรบ!BG83"")"),0)</f>
        <v>0</v>
      </c>
      <c r="N127" s="887">
        <f ca="1">IFERROR(__xludf.DUMMYFUNCTION("IMPORTRANGE(""https://docs.google.com/spreadsheets/d/1MeEWN-I1oV_STSDYn1IFDPWt_1FKiwhDph83XaGc0o0/edit?usp=sharing"",""งบพรบ!BI83"")"),0)</f>
        <v>0</v>
      </c>
      <c r="O127" s="887">
        <f t="shared" ca="1" si="61"/>
        <v>0</v>
      </c>
      <c r="P127" s="887">
        <f t="shared" ca="1" si="62"/>
        <v>0</v>
      </c>
      <c r="Q127" s="875"/>
      <c r="R127" s="875"/>
      <c r="S127" s="875"/>
      <c r="T127" s="875"/>
      <c r="U127" s="875"/>
      <c r="V127" s="875"/>
      <c r="W127" s="875"/>
      <c r="X127" s="875"/>
      <c r="Y127" s="875"/>
      <c r="Z127" s="875"/>
    </row>
    <row r="128" spans="1:26" ht="19.5" hidden="1">
      <c r="A128" s="970" t="s">
        <v>67</v>
      </c>
      <c r="B128" s="971"/>
      <c r="C128" s="1022"/>
      <c r="D128" s="971"/>
      <c r="E128" s="971"/>
      <c r="F128" s="971"/>
      <c r="G128" s="971"/>
      <c r="H128" s="1023"/>
      <c r="I128" s="1024"/>
      <c r="J128" s="1024"/>
      <c r="K128" s="1025"/>
      <c r="L128" s="976"/>
      <c r="M128" s="976"/>
      <c r="N128" s="976"/>
      <c r="O128" s="976"/>
      <c r="P128" s="976"/>
    </row>
    <row r="129" spans="1:26" ht="19.5" hidden="1">
      <c r="A129" s="977"/>
      <c r="B129" s="978" t="s">
        <v>68</v>
      </c>
      <c r="C129" s="1026"/>
      <c r="D129" s="980"/>
      <c r="E129" s="979"/>
      <c r="F129" s="979"/>
      <c r="G129" s="979"/>
      <c r="H129" s="207"/>
      <c r="I129" s="1027"/>
      <c r="J129" s="1027"/>
      <c r="K129" s="984"/>
      <c r="L129" s="984"/>
      <c r="M129" s="984"/>
      <c r="N129" s="984"/>
      <c r="O129" s="984"/>
      <c r="P129" s="984"/>
    </row>
    <row r="130" spans="1:26" ht="19.5" hidden="1">
      <c r="A130" s="977"/>
      <c r="B130" s="978"/>
      <c r="C130" s="1028" t="s">
        <v>69</v>
      </c>
      <c r="D130" s="980"/>
      <c r="E130" s="979"/>
      <c r="F130" s="979"/>
      <c r="G130" s="981"/>
      <c r="H130" s="205" t="s">
        <v>66</v>
      </c>
      <c r="I130" s="982">
        <f t="shared" ref="I130:J130" ca="1" si="66">I146</f>
        <v>0</v>
      </c>
      <c r="J130" s="982">
        <f t="shared" si="66"/>
        <v>0</v>
      </c>
      <c r="K130" s="983">
        <f t="shared" ref="K130:K131" ca="1" si="67">IF(I130&gt;0,J130*100/I130,0)</f>
        <v>0</v>
      </c>
      <c r="L130" s="984"/>
      <c r="M130" s="984"/>
      <c r="N130" s="984"/>
      <c r="O130" s="984"/>
      <c r="P130" s="984"/>
    </row>
    <row r="131" spans="1:26" ht="19.5" hidden="1">
      <c r="A131" s="977"/>
      <c r="B131" s="978"/>
      <c r="C131" s="1028" t="s">
        <v>70</v>
      </c>
      <c r="D131" s="980"/>
      <c r="E131" s="979"/>
      <c r="F131" s="979"/>
      <c r="G131" s="981"/>
      <c r="H131" s="205" t="s">
        <v>35</v>
      </c>
      <c r="I131" s="982">
        <f t="shared" ref="I131:J131" ca="1" si="68">I143</f>
        <v>0</v>
      </c>
      <c r="J131" s="982">
        <f t="shared" ca="1" si="68"/>
        <v>0</v>
      </c>
      <c r="K131" s="983">
        <f t="shared" ca="1" si="67"/>
        <v>0</v>
      </c>
      <c r="L131" s="984"/>
      <c r="M131" s="984"/>
      <c r="N131" s="984"/>
      <c r="O131" s="984"/>
      <c r="P131" s="984"/>
    </row>
    <row r="132" spans="1:26" ht="19.5" hidden="1">
      <c r="A132" s="985"/>
      <c r="B132" s="986"/>
      <c r="C132" s="987" t="s">
        <v>16</v>
      </c>
      <c r="D132" s="988" t="s">
        <v>17</v>
      </c>
      <c r="E132" s="986"/>
      <c r="F132" s="986"/>
      <c r="G132" s="989"/>
      <c r="H132" s="152" t="s">
        <v>12</v>
      </c>
      <c r="I132" s="990"/>
      <c r="J132" s="990"/>
      <c r="K132" s="991"/>
      <c r="L132" s="992">
        <f t="shared" ref="L132:N132" ca="1" si="69">L133+L134</f>
        <v>0</v>
      </c>
      <c r="M132" s="992">
        <f t="shared" ca="1" si="69"/>
        <v>0</v>
      </c>
      <c r="N132" s="992">
        <f t="shared" ca="1" si="69"/>
        <v>0</v>
      </c>
      <c r="O132" s="992">
        <f t="shared" ref="O132:O140" ca="1" si="70">IF(L132&gt;0,N132*100/L132,0)</f>
        <v>0</v>
      </c>
      <c r="P132" s="992">
        <f t="shared" ref="P132:P140" ca="1" si="71">IF(M132&gt;0,N132*100/M132,0)</f>
        <v>0</v>
      </c>
      <c r="Q132" s="868"/>
      <c r="R132" s="868"/>
      <c r="S132" s="868"/>
      <c r="T132" s="868"/>
      <c r="U132" s="868"/>
      <c r="V132" s="868"/>
      <c r="W132" s="868"/>
      <c r="X132" s="868"/>
      <c r="Y132" s="868"/>
      <c r="Z132" s="868"/>
    </row>
    <row r="133" spans="1:26" ht="18.75" hidden="1">
      <c r="A133" s="993"/>
      <c r="B133" s="883"/>
      <c r="C133" s="883"/>
      <c r="D133" s="883"/>
      <c r="E133" s="884" t="s">
        <v>18</v>
      </c>
      <c r="F133" s="883"/>
      <c r="G133" s="994"/>
      <c r="H133" s="158" t="s">
        <v>12</v>
      </c>
      <c r="I133" s="886"/>
      <c r="J133" s="886"/>
      <c r="K133" s="887"/>
      <c r="L133" s="887">
        <f t="shared" ref="L133:N134" si="72">L136+L139</f>
        <v>0</v>
      </c>
      <c r="M133" s="887">
        <f t="shared" si="72"/>
        <v>0</v>
      </c>
      <c r="N133" s="887">
        <f t="shared" si="72"/>
        <v>0</v>
      </c>
      <c r="O133" s="887">
        <f t="shared" si="70"/>
        <v>0</v>
      </c>
      <c r="P133" s="887">
        <f t="shared" si="71"/>
        <v>0</v>
      </c>
      <c r="Q133" s="875"/>
      <c r="R133" s="875"/>
      <c r="S133" s="875"/>
      <c r="T133" s="875"/>
      <c r="U133" s="875"/>
      <c r="V133" s="875"/>
      <c r="W133" s="875"/>
      <c r="X133" s="875"/>
      <c r="Y133" s="875"/>
      <c r="Z133" s="875"/>
    </row>
    <row r="134" spans="1:26" ht="18.75" hidden="1">
      <c r="A134" s="993"/>
      <c r="B134" s="883"/>
      <c r="C134" s="883"/>
      <c r="D134" s="883"/>
      <c r="E134" s="884" t="s">
        <v>19</v>
      </c>
      <c r="F134" s="883"/>
      <c r="G134" s="994"/>
      <c r="H134" s="158" t="s">
        <v>12</v>
      </c>
      <c r="I134" s="886"/>
      <c r="J134" s="886"/>
      <c r="K134" s="887"/>
      <c r="L134" s="887">
        <f t="shared" ca="1" si="72"/>
        <v>0</v>
      </c>
      <c r="M134" s="887">
        <f t="shared" ca="1" si="72"/>
        <v>0</v>
      </c>
      <c r="N134" s="887">
        <f t="shared" ca="1" si="72"/>
        <v>0</v>
      </c>
      <c r="O134" s="887">
        <f t="shared" ca="1" si="70"/>
        <v>0</v>
      </c>
      <c r="P134" s="887">
        <f t="shared" ca="1" si="71"/>
        <v>0</v>
      </c>
      <c r="Q134" s="875"/>
      <c r="R134" s="875"/>
      <c r="S134" s="875"/>
      <c r="T134" s="875"/>
      <c r="U134" s="875"/>
      <c r="V134" s="875"/>
      <c r="W134" s="875"/>
      <c r="X134" s="875"/>
      <c r="Y134" s="875"/>
      <c r="Z134" s="875"/>
    </row>
    <row r="135" spans="1:26" ht="18.75" hidden="1">
      <c r="A135" s="995"/>
      <c r="B135" s="877"/>
      <c r="C135" s="996"/>
      <c r="D135" s="878" t="s">
        <v>20</v>
      </c>
      <c r="E135" s="877"/>
      <c r="F135" s="877"/>
      <c r="G135" s="879"/>
      <c r="H135" s="161" t="s">
        <v>12</v>
      </c>
      <c r="I135" s="997"/>
      <c r="J135" s="997"/>
      <c r="K135" s="998"/>
      <c r="L135" s="881">
        <f t="shared" ref="L135:N135" ca="1" si="73">L136+L137</f>
        <v>0</v>
      </c>
      <c r="M135" s="881">
        <f t="shared" ca="1" si="73"/>
        <v>0</v>
      </c>
      <c r="N135" s="881">
        <f t="shared" ca="1" si="73"/>
        <v>0</v>
      </c>
      <c r="O135" s="881">
        <f t="shared" ca="1" si="70"/>
        <v>0</v>
      </c>
      <c r="P135" s="881">
        <f t="shared" ca="1" si="71"/>
        <v>0</v>
      </c>
      <c r="Q135" s="868"/>
      <c r="R135" s="868"/>
      <c r="S135" s="868"/>
      <c r="T135" s="868"/>
      <c r="U135" s="868"/>
      <c r="V135" s="868"/>
      <c r="W135" s="868"/>
      <c r="X135" s="868"/>
      <c r="Y135" s="868"/>
      <c r="Z135" s="868"/>
    </row>
    <row r="136" spans="1:26" ht="19.5" hidden="1">
      <c r="A136" s="993"/>
      <c r="B136" s="883"/>
      <c r="C136" s="999"/>
      <c r="D136" s="883"/>
      <c r="E136" s="884" t="s">
        <v>36</v>
      </c>
      <c r="F136" s="883"/>
      <c r="G136" s="994"/>
      <c r="H136" s="165" t="s">
        <v>12</v>
      </c>
      <c r="I136" s="1000"/>
      <c r="J136" s="1000"/>
      <c r="K136" s="1001"/>
      <c r="L136" s="887">
        <v>0</v>
      </c>
      <c r="M136" s="887">
        <v>0</v>
      </c>
      <c r="N136" s="887">
        <v>0</v>
      </c>
      <c r="O136" s="887">
        <f t="shared" si="70"/>
        <v>0</v>
      </c>
      <c r="P136" s="887">
        <f t="shared" si="71"/>
        <v>0</v>
      </c>
      <c r="Q136" s="875"/>
      <c r="R136" s="875"/>
      <c r="S136" s="875"/>
      <c r="T136" s="875"/>
      <c r="U136" s="875"/>
      <c r="V136" s="875"/>
      <c r="W136" s="875"/>
      <c r="X136" s="875"/>
      <c r="Y136" s="875"/>
      <c r="Z136" s="875"/>
    </row>
    <row r="137" spans="1:26" ht="19.5" hidden="1">
      <c r="A137" s="993"/>
      <c r="B137" s="883"/>
      <c r="C137" s="999"/>
      <c r="D137" s="883"/>
      <c r="E137" s="884" t="s">
        <v>37</v>
      </c>
      <c r="F137" s="883"/>
      <c r="G137" s="994"/>
      <c r="H137" s="165" t="s">
        <v>12</v>
      </c>
      <c r="I137" s="1000"/>
      <c r="J137" s="1000"/>
      <c r="K137" s="1001"/>
      <c r="L137" s="887">
        <f ca="1">IFERROR(__xludf.DUMMYFUNCTION("IMPORTRANGE(""https://docs.google.com/spreadsheets/d/1MeEWN-I1oV_STSDYn1IFDPWt_1FKiwhDph83XaGc0o0/edit?usp=sharing"",""งบพรบ!BK83"")"),0)</f>
        <v>0</v>
      </c>
      <c r="M137" s="887">
        <f ca="1">IFERROR(__xludf.DUMMYFUNCTION("IMPORTRANGE(""https://docs.google.com/spreadsheets/d/1MeEWN-I1oV_STSDYn1IFDPWt_1FKiwhDph83XaGc0o0/edit?usp=sharing"",""งบพรบ!BP83"")"),0)</f>
        <v>0</v>
      </c>
      <c r="N137" s="887">
        <f ca="1">IFERROR(__xludf.DUMMYFUNCTION("IMPORTRANGE(""https://docs.google.com/spreadsheets/d/1MeEWN-I1oV_STSDYn1IFDPWt_1FKiwhDph83XaGc0o0/edit?usp=sharing"",""งบพรบ!BR83"")"),0)</f>
        <v>0</v>
      </c>
      <c r="O137" s="887">
        <f t="shared" ca="1" si="70"/>
        <v>0</v>
      </c>
      <c r="P137" s="887">
        <f t="shared" ca="1" si="71"/>
        <v>0</v>
      </c>
      <c r="Q137" s="875"/>
      <c r="R137" s="875"/>
      <c r="S137" s="875"/>
      <c r="T137" s="875"/>
      <c r="U137" s="875"/>
      <c r="V137" s="875"/>
      <c r="W137" s="875"/>
      <c r="X137" s="875"/>
      <c r="Y137" s="875"/>
      <c r="Z137" s="875"/>
    </row>
    <row r="138" spans="1:26" ht="18.75" hidden="1">
      <c r="A138" s="995"/>
      <c r="B138" s="877"/>
      <c r="C138" s="996"/>
      <c r="D138" s="878" t="s">
        <v>21</v>
      </c>
      <c r="E138" s="877"/>
      <c r="F138" s="877"/>
      <c r="G138" s="879"/>
      <c r="H138" s="168" t="s">
        <v>12</v>
      </c>
      <c r="I138" s="997"/>
      <c r="J138" s="997"/>
      <c r="K138" s="998"/>
      <c r="L138" s="881">
        <f t="shared" ref="L138:N138" ca="1" si="74">L139+L140</f>
        <v>0</v>
      </c>
      <c r="M138" s="881">
        <f t="shared" ca="1" si="74"/>
        <v>0</v>
      </c>
      <c r="N138" s="881">
        <f t="shared" ca="1" si="74"/>
        <v>0</v>
      </c>
      <c r="O138" s="881">
        <f t="shared" ca="1" si="70"/>
        <v>0</v>
      </c>
      <c r="P138" s="881">
        <f t="shared" ca="1" si="71"/>
        <v>0</v>
      </c>
      <c r="Q138" s="868"/>
      <c r="R138" s="868"/>
      <c r="S138" s="868"/>
      <c r="T138" s="868"/>
      <c r="U138" s="868"/>
      <c r="V138" s="868"/>
      <c r="W138" s="868"/>
      <c r="X138" s="868"/>
      <c r="Y138" s="868"/>
      <c r="Z138" s="868"/>
    </row>
    <row r="139" spans="1:26" ht="19.5" hidden="1">
      <c r="A139" s="993"/>
      <c r="B139" s="883"/>
      <c r="C139" s="999"/>
      <c r="D139" s="883"/>
      <c r="E139" s="884" t="s">
        <v>18</v>
      </c>
      <c r="F139" s="883"/>
      <c r="G139" s="994"/>
      <c r="H139" s="165" t="s">
        <v>12</v>
      </c>
      <c r="I139" s="1000"/>
      <c r="J139" s="1000"/>
      <c r="K139" s="1001"/>
      <c r="L139" s="887">
        <v>0</v>
      </c>
      <c r="M139" s="887">
        <v>0</v>
      </c>
      <c r="N139" s="887">
        <v>0</v>
      </c>
      <c r="O139" s="887">
        <f t="shared" si="70"/>
        <v>0</v>
      </c>
      <c r="P139" s="887">
        <f t="shared" si="71"/>
        <v>0</v>
      </c>
      <c r="Q139" s="875"/>
      <c r="R139" s="875"/>
      <c r="S139" s="875"/>
      <c r="T139" s="875"/>
      <c r="U139" s="875"/>
      <c r="V139" s="875"/>
      <c r="W139" s="875"/>
      <c r="X139" s="875"/>
      <c r="Y139" s="875"/>
      <c r="Z139" s="875"/>
    </row>
    <row r="140" spans="1:26" ht="19.5" hidden="1">
      <c r="A140" s="993"/>
      <c r="B140" s="883"/>
      <c r="C140" s="999"/>
      <c r="D140" s="883"/>
      <c r="E140" s="884" t="s">
        <v>19</v>
      </c>
      <c r="F140" s="883"/>
      <c r="G140" s="994"/>
      <c r="H140" s="169" t="s">
        <v>12</v>
      </c>
      <c r="I140" s="1000"/>
      <c r="J140" s="1000"/>
      <c r="K140" s="1001"/>
      <c r="L140" s="887">
        <f ca="1">IFERROR(__xludf.DUMMYFUNCTION("IMPORTRANGE(""https://docs.google.com/spreadsheets/d/1MeEWN-I1oV_STSDYn1IFDPWt_1FKiwhDph83XaGc0o0/edit?usp=sharing"",""งบพรบ!BN83"")"),0)</f>
        <v>0</v>
      </c>
      <c r="M140" s="887">
        <f ca="1">IFERROR(__xludf.DUMMYFUNCTION("IMPORTRANGE(""https://docs.google.com/spreadsheets/d/1MeEWN-I1oV_STSDYn1IFDPWt_1FKiwhDph83XaGc0o0/edit?usp=sharing"",""งบพรบ!BQ83"")"),0)</f>
        <v>0</v>
      </c>
      <c r="N140" s="887">
        <f ca="1">IFERROR(__xludf.DUMMYFUNCTION("IMPORTRANGE(""https://docs.google.com/spreadsheets/d/1MeEWN-I1oV_STSDYn1IFDPWt_1FKiwhDph83XaGc0o0/edit?usp=sharing"",""งบพรบ!BS83"")"),0)</f>
        <v>0</v>
      </c>
      <c r="O140" s="887">
        <f t="shared" ca="1" si="70"/>
        <v>0</v>
      </c>
      <c r="P140" s="887">
        <f t="shared" ca="1" si="71"/>
        <v>0</v>
      </c>
      <c r="Q140" s="875"/>
      <c r="R140" s="875"/>
      <c r="S140" s="875"/>
      <c r="T140" s="875"/>
      <c r="U140" s="875"/>
      <c r="V140" s="875"/>
      <c r="W140" s="875"/>
      <c r="X140" s="875"/>
      <c r="Y140" s="875"/>
      <c r="Z140" s="875"/>
    </row>
    <row r="141" spans="1:26" ht="19.5" hidden="1">
      <c r="A141" s="1002"/>
      <c r="B141" s="1003"/>
      <c r="C141" s="987" t="s">
        <v>16</v>
      </c>
      <c r="D141" s="1004" t="s">
        <v>38</v>
      </c>
      <c r="E141" s="1005"/>
      <c r="F141" s="1005"/>
      <c r="G141" s="1006"/>
      <c r="H141" s="168"/>
      <c r="I141" s="880"/>
      <c r="J141" s="880"/>
      <c r="K141" s="881"/>
      <c r="L141" s="881"/>
      <c r="M141" s="881"/>
      <c r="N141" s="881"/>
      <c r="O141" s="881"/>
      <c r="P141" s="881"/>
    </row>
    <row r="142" spans="1:26" ht="19.5" hidden="1">
      <c r="A142" s="995"/>
      <c r="B142" s="877"/>
      <c r="C142" s="1029"/>
      <c r="D142" s="996" t="s">
        <v>71</v>
      </c>
      <c r="E142" s="878"/>
      <c r="F142" s="877"/>
      <c r="G142" s="1030"/>
      <c r="H142" s="168"/>
      <c r="I142" s="880"/>
      <c r="J142" s="1012">
        <v>0</v>
      </c>
      <c r="K142" s="881"/>
      <c r="L142" s="881"/>
      <c r="M142" s="881"/>
      <c r="N142" s="881"/>
      <c r="O142" s="881"/>
      <c r="P142" s="881"/>
    </row>
    <row r="143" spans="1:26" ht="19.5" hidden="1">
      <c r="A143" s="995"/>
      <c r="B143" s="877"/>
      <c r="C143" s="1029"/>
      <c r="D143" s="996" t="s">
        <v>72</v>
      </c>
      <c r="E143" s="878"/>
      <c r="F143" s="877"/>
      <c r="G143" s="1030"/>
      <c r="H143" s="168" t="s">
        <v>35</v>
      </c>
      <c r="I143" s="880">
        <f ca="1">I145</f>
        <v>0</v>
      </c>
      <c r="J143" s="880">
        <f ca="1">IF(AND(J144&gt;=I144,J145&gt;=I145),J145,0)</f>
        <v>0</v>
      </c>
      <c r="K143" s="881">
        <f t="shared" ref="K143:K146" ca="1" si="75">IF(I143&gt;0,J143*100/I143,0)</f>
        <v>0</v>
      </c>
      <c r="L143" s="881"/>
      <c r="M143" s="881"/>
      <c r="N143" s="881"/>
      <c r="O143" s="881"/>
      <c r="P143" s="881"/>
    </row>
    <row r="144" spans="1:26" ht="19.5" hidden="1">
      <c r="A144" s="995"/>
      <c r="B144" s="877"/>
      <c r="C144" s="1029"/>
      <c r="D144" s="1010"/>
      <c r="E144" s="996" t="s">
        <v>73</v>
      </c>
      <c r="F144" s="877"/>
      <c r="G144" s="1030"/>
      <c r="H144" s="168" t="s">
        <v>35</v>
      </c>
      <c r="I144" s="880">
        <f ca="1">IFERROR(__xludf.DUMMYFUNCTION("IMPORTRANGE(""https://docs.google.com/spreadsheets/d/1QqKyyYR6Q21VydFLVH3TRQUabQu_ym0Zz7PgGX0-kHA/edit?usp=sharing"",""แผน!U83"")"),0)</f>
        <v>0</v>
      </c>
      <c r="J144" s="1012">
        <v>0</v>
      </c>
      <c r="K144" s="881">
        <f t="shared" ca="1" si="75"/>
        <v>0</v>
      </c>
      <c r="L144" s="881"/>
      <c r="M144" s="881"/>
      <c r="N144" s="881"/>
      <c r="O144" s="881"/>
      <c r="P144" s="881"/>
    </row>
    <row r="145" spans="1:26" ht="19.5" hidden="1">
      <c r="A145" s="995"/>
      <c r="B145" s="877"/>
      <c r="C145" s="1029"/>
      <c r="D145" s="1010"/>
      <c r="E145" s="996" t="s">
        <v>74</v>
      </c>
      <c r="F145" s="877"/>
      <c r="G145" s="1030"/>
      <c r="H145" s="168" t="s">
        <v>35</v>
      </c>
      <c r="I145" s="880">
        <f ca="1">IFERROR(__xludf.DUMMYFUNCTION("IMPORTRANGE(""https://docs.google.com/spreadsheets/d/1QqKyyYR6Q21VydFLVH3TRQUabQu_ym0Zz7PgGX0-kHA/edit?usp=sharing"",""แผน!V83"")"),0)</f>
        <v>0</v>
      </c>
      <c r="J145" s="1012">
        <v>0</v>
      </c>
      <c r="K145" s="881">
        <f t="shared" ca="1" si="75"/>
        <v>0</v>
      </c>
      <c r="L145" s="881"/>
      <c r="M145" s="881"/>
      <c r="N145" s="881"/>
      <c r="O145" s="881"/>
      <c r="P145" s="881"/>
    </row>
    <row r="146" spans="1:26" ht="19.5" hidden="1">
      <c r="A146" s="995"/>
      <c r="B146" s="877"/>
      <c r="C146" s="1029"/>
      <c r="D146" s="996" t="s">
        <v>75</v>
      </c>
      <c r="E146" s="878"/>
      <c r="F146" s="877"/>
      <c r="G146" s="1030"/>
      <c r="H146" s="168" t="s">
        <v>66</v>
      </c>
      <c r="I146" s="880">
        <f ca="1">IFERROR(__xludf.DUMMYFUNCTION("IMPORTRANGE(""https://docs.google.com/spreadsheets/d/1QqKyyYR6Q21VydFLVH3TRQUabQu_ym0Zz7PgGX0-kHA/edit?usp=sharing"",""แผน!W83"")"),0)</f>
        <v>0</v>
      </c>
      <c r="J146" s="1012">
        <v>0</v>
      </c>
      <c r="K146" s="881">
        <f t="shared" ca="1" si="75"/>
        <v>0</v>
      </c>
      <c r="L146" s="881"/>
      <c r="M146" s="881"/>
      <c r="N146" s="881"/>
      <c r="O146" s="881"/>
      <c r="P146" s="881"/>
    </row>
    <row r="147" spans="1:26" ht="19.5" hidden="1">
      <c r="A147" s="970" t="s">
        <v>76</v>
      </c>
      <c r="B147" s="971"/>
      <c r="C147" s="1022"/>
      <c r="D147" s="971"/>
      <c r="E147" s="971"/>
      <c r="F147" s="971"/>
      <c r="G147" s="971"/>
      <c r="H147" s="1023"/>
      <c r="I147" s="1024"/>
      <c r="J147" s="1024"/>
      <c r="K147" s="1025"/>
      <c r="L147" s="976"/>
      <c r="M147" s="976"/>
      <c r="N147" s="976"/>
      <c r="O147" s="976"/>
      <c r="P147" s="976"/>
    </row>
    <row r="148" spans="1:26" ht="19.5" hidden="1">
      <c r="A148" s="1031"/>
      <c r="B148" s="978" t="s">
        <v>77</v>
      </c>
      <c r="C148" s="978"/>
      <c r="D148" s="978"/>
      <c r="E148" s="1032"/>
      <c r="F148" s="1033"/>
      <c r="G148" s="1034"/>
      <c r="H148" s="221" t="s">
        <v>35</v>
      </c>
      <c r="I148" s="982">
        <f t="shared" ref="I148:J148" ca="1" si="76">I159</f>
        <v>0</v>
      </c>
      <c r="J148" s="982">
        <f t="shared" si="76"/>
        <v>0</v>
      </c>
      <c r="K148" s="983">
        <f ca="1">IF(I148&gt;0,J148*100/I148,0)</f>
        <v>0</v>
      </c>
      <c r="L148" s="983"/>
      <c r="M148" s="983"/>
      <c r="N148" s="983"/>
      <c r="O148" s="983"/>
      <c r="P148" s="98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85"/>
      <c r="B149" s="986"/>
      <c r="C149" s="987" t="s">
        <v>16</v>
      </c>
      <c r="D149" s="988" t="s">
        <v>17</v>
      </c>
      <c r="E149" s="986"/>
      <c r="F149" s="986"/>
      <c r="G149" s="989"/>
      <c r="H149" s="152" t="s">
        <v>12</v>
      </c>
      <c r="I149" s="990"/>
      <c r="J149" s="990"/>
      <c r="K149" s="991"/>
      <c r="L149" s="992">
        <f t="shared" ref="L149:N149" ca="1" si="77">L150+L151</f>
        <v>0</v>
      </c>
      <c r="M149" s="992">
        <f t="shared" ca="1" si="77"/>
        <v>0</v>
      </c>
      <c r="N149" s="992">
        <f t="shared" ca="1" si="77"/>
        <v>0</v>
      </c>
      <c r="O149" s="992">
        <f t="shared" ref="O149:O157" ca="1" si="78">IF(L149&gt;0,N149*100/L149,0)</f>
        <v>0</v>
      </c>
      <c r="P149" s="992">
        <f t="shared" ref="P149:P157" ca="1" si="79">IF(M149&gt;0,N149*100/M149,0)</f>
        <v>0</v>
      </c>
      <c r="Q149" s="868"/>
      <c r="R149" s="868"/>
      <c r="S149" s="868"/>
      <c r="T149" s="868"/>
      <c r="U149" s="868"/>
      <c r="V149" s="868"/>
      <c r="W149" s="868"/>
      <c r="X149" s="868"/>
      <c r="Y149" s="868"/>
      <c r="Z149" s="868"/>
    </row>
    <row r="150" spans="1:26" ht="18.75" hidden="1">
      <c r="A150" s="993"/>
      <c r="B150" s="883"/>
      <c r="C150" s="883"/>
      <c r="D150" s="883"/>
      <c r="E150" s="884" t="s">
        <v>18</v>
      </c>
      <c r="F150" s="883"/>
      <c r="G150" s="994"/>
      <c r="H150" s="158" t="s">
        <v>12</v>
      </c>
      <c r="I150" s="886"/>
      <c r="J150" s="886"/>
      <c r="K150" s="887"/>
      <c r="L150" s="887">
        <f t="shared" ref="L150:N151" si="80">L153+L156</f>
        <v>0</v>
      </c>
      <c r="M150" s="887">
        <f t="shared" si="80"/>
        <v>0</v>
      </c>
      <c r="N150" s="887">
        <f t="shared" si="80"/>
        <v>0</v>
      </c>
      <c r="O150" s="887">
        <f t="shared" si="78"/>
        <v>0</v>
      </c>
      <c r="P150" s="887">
        <f t="shared" si="79"/>
        <v>0</v>
      </c>
      <c r="Q150" s="875"/>
      <c r="R150" s="875"/>
      <c r="S150" s="875"/>
      <c r="T150" s="875"/>
      <c r="U150" s="875"/>
      <c r="V150" s="875"/>
      <c r="W150" s="875"/>
      <c r="X150" s="875"/>
      <c r="Y150" s="875"/>
      <c r="Z150" s="875"/>
    </row>
    <row r="151" spans="1:26" ht="18.75" hidden="1">
      <c r="A151" s="993"/>
      <c r="B151" s="883"/>
      <c r="C151" s="883"/>
      <c r="D151" s="883"/>
      <c r="E151" s="884" t="s">
        <v>19</v>
      </c>
      <c r="F151" s="883"/>
      <c r="G151" s="994"/>
      <c r="H151" s="158" t="s">
        <v>12</v>
      </c>
      <c r="I151" s="886"/>
      <c r="J151" s="886"/>
      <c r="K151" s="887"/>
      <c r="L151" s="887">
        <f t="shared" ca="1" si="80"/>
        <v>0</v>
      </c>
      <c r="M151" s="887">
        <f t="shared" ca="1" si="80"/>
        <v>0</v>
      </c>
      <c r="N151" s="887">
        <f t="shared" ca="1" si="80"/>
        <v>0</v>
      </c>
      <c r="O151" s="887">
        <f t="shared" ca="1" si="78"/>
        <v>0</v>
      </c>
      <c r="P151" s="887">
        <f t="shared" ca="1" si="79"/>
        <v>0</v>
      </c>
      <c r="Q151" s="875"/>
      <c r="R151" s="875"/>
      <c r="S151" s="875"/>
      <c r="T151" s="875"/>
      <c r="U151" s="875"/>
      <c r="V151" s="875"/>
      <c r="W151" s="875"/>
      <c r="X151" s="875"/>
      <c r="Y151" s="875"/>
      <c r="Z151" s="875"/>
    </row>
    <row r="152" spans="1:26" ht="18.75" hidden="1">
      <c r="A152" s="995"/>
      <c r="B152" s="877"/>
      <c r="C152" s="996"/>
      <c r="D152" s="878" t="s">
        <v>20</v>
      </c>
      <c r="E152" s="877"/>
      <c r="F152" s="877"/>
      <c r="G152" s="879"/>
      <c r="H152" s="161" t="s">
        <v>12</v>
      </c>
      <c r="I152" s="997"/>
      <c r="J152" s="997"/>
      <c r="K152" s="998"/>
      <c r="L152" s="881">
        <f t="shared" ref="L152:N152" ca="1" si="81">L153+L154</f>
        <v>0</v>
      </c>
      <c r="M152" s="881">
        <f t="shared" ca="1" si="81"/>
        <v>0</v>
      </c>
      <c r="N152" s="881">
        <f t="shared" ca="1" si="81"/>
        <v>0</v>
      </c>
      <c r="O152" s="881">
        <f t="shared" ca="1" si="78"/>
        <v>0</v>
      </c>
      <c r="P152" s="881">
        <f t="shared" ca="1" si="79"/>
        <v>0</v>
      </c>
      <c r="Q152" s="868"/>
      <c r="R152" s="868"/>
      <c r="S152" s="868"/>
      <c r="T152" s="868"/>
      <c r="U152" s="868"/>
      <c r="V152" s="868"/>
      <c r="W152" s="868"/>
      <c r="X152" s="868"/>
      <c r="Y152" s="868"/>
      <c r="Z152" s="868"/>
    </row>
    <row r="153" spans="1:26" ht="19.5" hidden="1">
      <c r="A153" s="993"/>
      <c r="B153" s="883"/>
      <c r="C153" s="999"/>
      <c r="D153" s="883"/>
      <c r="E153" s="884" t="s">
        <v>36</v>
      </c>
      <c r="F153" s="883"/>
      <c r="G153" s="994"/>
      <c r="H153" s="165" t="s">
        <v>12</v>
      </c>
      <c r="I153" s="1000"/>
      <c r="J153" s="1000"/>
      <c r="K153" s="1001"/>
      <c r="L153" s="887">
        <v>0</v>
      </c>
      <c r="M153" s="887">
        <v>0</v>
      </c>
      <c r="N153" s="887">
        <v>0</v>
      </c>
      <c r="O153" s="887">
        <f t="shared" si="78"/>
        <v>0</v>
      </c>
      <c r="P153" s="887">
        <f t="shared" si="79"/>
        <v>0</v>
      </c>
      <c r="Q153" s="875"/>
      <c r="R153" s="875"/>
      <c r="S153" s="875"/>
      <c r="T153" s="875"/>
      <c r="U153" s="875"/>
      <c r="V153" s="875"/>
      <c r="W153" s="875"/>
      <c r="X153" s="875"/>
      <c r="Y153" s="875"/>
      <c r="Z153" s="875"/>
    </row>
    <row r="154" spans="1:26" ht="19.5" hidden="1">
      <c r="A154" s="993"/>
      <c r="B154" s="883"/>
      <c r="C154" s="999"/>
      <c r="D154" s="883"/>
      <c r="E154" s="884" t="s">
        <v>37</v>
      </c>
      <c r="F154" s="883"/>
      <c r="G154" s="994"/>
      <c r="H154" s="165" t="s">
        <v>12</v>
      </c>
      <c r="I154" s="1000"/>
      <c r="J154" s="1000"/>
      <c r="K154" s="1001"/>
      <c r="L154" s="887">
        <f ca="1">IFERROR(__xludf.DUMMYFUNCTION("IMPORTRANGE(""https://docs.google.com/spreadsheets/d/1MeEWN-I1oV_STSDYn1IFDPWt_1FKiwhDph83XaGc0o0/edit?usp=sharing"",""งบพรบ!BU83"")"),0)</f>
        <v>0</v>
      </c>
      <c r="M154" s="887">
        <f ca="1">IFERROR(__xludf.DUMMYFUNCTION("IMPORTRANGE(""https://docs.google.com/spreadsheets/d/1MeEWN-I1oV_STSDYn1IFDPWt_1FKiwhDph83XaGc0o0/edit?usp=sharing"",""งบพรบ!BZ83"")"),0)</f>
        <v>0</v>
      </c>
      <c r="N154" s="887">
        <f ca="1">IFERROR(__xludf.DUMMYFUNCTION("IMPORTRANGE(""https://docs.google.com/spreadsheets/d/1MeEWN-I1oV_STSDYn1IFDPWt_1FKiwhDph83XaGc0o0/edit?usp=sharing"",""งบพรบ!CB83"")"),0)</f>
        <v>0</v>
      </c>
      <c r="O154" s="887">
        <f t="shared" ca="1" si="78"/>
        <v>0</v>
      </c>
      <c r="P154" s="887">
        <f t="shared" ca="1" si="79"/>
        <v>0</v>
      </c>
      <c r="Q154" s="875"/>
      <c r="R154" s="875"/>
      <c r="S154" s="875"/>
      <c r="T154" s="875"/>
      <c r="U154" s="875"/>
      <c r="V154" s="875"/>
      <c r="W154" s="875"/>
      <c r="X154" s="875"/>
      <c r="Y154" s="875"/>
      <c r="Z154" s="875"/>
    </row>
    <row r="155" spans="1:26" ht="18.75" hidden="1">
      <c r="A155" s="995"/>
      <c r="B155" s="877"/>
      <c r="C155" s="996"/>
      <c r="D155" s="878" t="s">
        <v>21</v>
      </c>
      <c r="E155" s="877"/>
      <c r="F155" s="877"/>
      <c r="G155" s="879"/>
      <c r="H155" s="168" t="s">
        <v>12</v>
      </c>
      <c r="I155" s="997"/>
      <c r="J155" s="997"/>
      <c r="K155" s="998"/>
      <c r="L155" s="881">
        <f t="shared" ref="L155:N155" ca="1" si="82">L156+L157</f>
        <v>0</v>
      </c>
      <c r="M155" s="881">
        <f t="shared" ca="1" si="82"/>
        <v>0</v>
      </c>
      <c r="N155" s="881">
        <f t="shared" ca="1" si="82"/>
        <v>0</v>
      </c>
      <c r="O155" s="881">
        <f t="shared" ca="1" si="78"/>
        <v>0</v>
      </c>
      <c r="P155" s="881">
        <f t="shared" ca="1" si="79"/>
        <v>0</v>
      </c>
      <c r="Q155" s="868"/>
      <c r="R155" s="868"/>
      <c r="S155" s="868"/>
      <c r="T155" s="868"/>
      <c r="U155" s="868"/>
      <c r="V155" s="868"/>
      <c r="W155" s="868"/>
      <c r="X155" s="868"/>
      <c r="Y155" s="868"/>
      <c r="Z155" s="868"/>
    </row>
    <row r="156" spans="1:26" ht="19.5" hidden="1">
      <c r="A156" s="993"/>
      <c r="B156" s="883"/>
      <c r="C156" s="999"/>
      <c r="D156" s="883"/>
      <c r="E156" s="884" t="s">
        <v>18</v>
      </c>
      <c r="F156" s="883"/>
      <c r="G156" s="994"/>
      <c r="H156" s="165" t="s">
        <v>12</v>
      </c>
      <c r="I156" s="1000"/>
      <c r="J156" s="1000"/>
      <c r="K156" s="1001"/>
      <c r="L156" s="887">
        <v>0</v>
      </c>
      <c r="M156" s="887">
        <v>0</v>
      </c>
      <c r="N156" s="887">
        <v>0</v>
      </c>
      <c r="O156" s="887">
        <f t="shared" si="78"/>
        <v>0</v>
      </c>
      <c r="P156" s="887">
        <f t="shared" si="79"/>
        <v>0</v>
      </c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</row>
    <row r="157" spans="1:26" ht="19.5" hidden="1">
      <c r="A157" s="993"/>
      <c r="B157" s="883"/>
      <c r="C157" s="999"/>
      <c r="D157" s="883"/>
      <c r="E157" s="884" t="s">
        <v>19</v>
      </c>
      <c r="F157" s="883"/>
      <c r="G157" s="994"/>
      <c r="H157" s="169" t="s">
        <v>12</v>
      </c>
      <c r="I157" s="1000"/>
      <c r="J157" s="1000"/>
      <c r="K157" s="1001"/>
      <c r="L157" s="887">
        <f ca="1">IFERROR(__xludf.DUMMYFUNCTION("IMPORTRANGE(""https://docs.google.com/spreadsheets/d/1MeEWN-I1oV_STSDYn1IFDPWt_1FKiwhDph83XaGc0o0/edit?usp=sharing"",""งบพรบ!BX83"")"),0)</f>
        <v>0</v>
      </c>
      <c r="M157" s="887">
        <f ca="1">IFERROR(__xludf.DUMMYFUNCTION("IMPORTRANGE(""https://docs.google.com/spreadsheets/d/1MeEWN-I1oV_STSDYn1IFDPWt_1FKiwhDph83XaGc0o0/edit?usp=sharing"",""งบพรบ!CA83"")"),0)</f>
        <v>0</v>
      </c>
      <c r="N157" s="887">
        <f ca="1">IFERROR(__xludf.DUMMYFUNCTION("IMPORTRANGE(""https://docs.google.com/spreadsheets/d/1MeEWN-I1oV_STSDYn1IFDPWt_1FKiwhDph83XaGc0o0/edit?usp=sharing"",""งบพรบ!CC83"")"),0)</f>
        <v>0</v>
      </c>
      <c r="O157" s="887">
        <f t="shared" ca="1" si="78"/>
        <v>0</v>
      </c>
      <c r="P157" s="887">
        <f t="shared" ca="1" si="79"/>
        <v>0</v>
      </c>
      <c r="Q157" s="875"/>
      <c r="R157" s="875"/>
      <c r="S157" s="875"/>
      <c r="T157" s="875"/>
      <c r="U157" s="875"/>
      <c r="V157" s="875"/>
      <c r="W157" s="875"/>
      <c r="X157" s="875"/>
      <c r="Y157" s="875"/>
      <c r="Z157" s="875"/>
    </row>
    <row r="158" spans="1:26" ht="19.5" hidden="1">
      <c r="A158" s="1002"/>
      <c r="B158" s="1003"/>
      <c r="C158" s="999" t="s">
        <v>16</v>
      </c>
      <c r="D158" s="1004" t="s">
        <v>38</v>
      </c>
      <c r="E158" s="1005"/>
      <c r="F158" s="1005"/>
      <c r="G158" s="1006"/>
      <c r="H158" s="168"/>
      <c r="I158" s="880"/>
      <c r="J158" s="880"/>
      <c r="K158" s="881"/>
      <c r="L158" s="881"/>
      <c r="M158" s="881"/>
      <c r="N158" s="881"/>
      <c r="O158" s="881"/>
      <c r="P158" s="881"/>
    </row>
    <row r="159" spans="1:26" ht="19.5" hidden="1">
      <c r="A159" s="995"/>
      <c r="B159" s="877"/>
      <c r="C159" s="1029"/>
      <c r="D159" s="996" t="s">
        <v>78</v>
      </c>
      <c r="E159" s="878"/>
      <c r="F159" s="877"/>
      <c r="G159" s="1030"/>
      <c r="H159" s="168" t="s">
        <v>35</v>
      </c>
      <c r="I159" s="880">
        <f ca="1">IFERROR(__xludf.DUMMYFUNCTION("IMPORTRANGE(""https://docs.google.com/spreadsheets/d/1QqKyyYR6Q21VydFLVH3TRQUabQu_ym0Zz7PgGX0-kHA/edit?usp=sharing"",""แผน!X83"")"),0)</f>
        <v>0</v>
      </c>
      <c r="J159" s="1012">
        <v>0</v>
      </c>
      <c r="K159" s="881">
        <f ca="1">IF(I159&gt;0,J159*100/I159,0)</f>
        <v>0</v>
      </c>
      <c r="L159" s="881"/>
      <c r="M159" s="881"/>
      <c r="N159" s="881"/>
      <c r="O159" s="881"/>
      <c r="P159" s="881"/>
    </row>
    <row r="160" spans="1:26" ht="19.5" hidden="1">
      <c r="A160" s="993"/>
      <c r="B160" s="883"/>
      <c r="C160" s="999"/>
      <c r="D160" s="884" t="s">
        <v>79</v>
      </c>
      <c r="E160" s="1035"/>
      <c r="F160" s="883"/>
      <c r="G160" s="994"/>
      <c r="H160" s="169" t="s">
        <v>35</v>
      </c>
      <c r="I160" s="886"/>
      <c r="J160" s="886"/>
      <c r="K160" s="887"/>
      <c r="L160" s="887"/>
      <c r="M160" s="887"/>
      <c r="N160" s="887"/>
      <c r="O160" s="887"/>
      <c r="P160" s="88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232" t="s">
        <v>35</v>
      </c>
      <c r="I161" s="1042"/>
      <c r="J161" s="1042"/>
      <c r="K161" s="1043"/>
      <c r="L161" s="1043"/>
      <c r="M161" s="1043"/>
      <c r="N161" s="1043"/>
      <c r="O161" s="1043"/>
      <c r="P161" s="104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44" t="s">
        <v>81</v>
      </c>
      <c r="B162" s="1045"/>
      <c r="C162" s="1045"/>
      <c r="D162" s="1045"/>
      <c r="E162" s="1046"/>
      <c r="F162" s="1046"/>
      <c r="G162" s="1047"/>
      <c r="H162" s="1048"/>
      <c r="I162" s="1049"/>
      <c r="J162" s="1049"/>
      <c r="K162" s="1050"/>
      <c r="L162" s="1050"/>
      <c r="M162" s="1050"/>
      <c r="N162" s="1050"/>
      <c r="O162" s="1050"/>
      <c r="P162" s="1050"/>
    </row>
    <row r="163" spans="1:26" ht="19.5">
      <c r="A163" s="1051" t="s">
        <v>82</v>
      </c>
      <c r="B163" s="1052"/>
      <c r="C163" s="1052"/>
      <c r="D163" s="1053"/>
      <c r="E163" s="1053"/>
      <c r="F163" s="1053"/>
      <c r="G163" s="1054"/>
      <c r="H163" s="1055"/>
      <c r="I163" s="1056"/>
      <c r="J163" s="1056"/>
      <c r="K163" s="1057"/>
      <c r="L163" s="1057"/>
      <c r="M163" s="1057"/>
      <c r="N163" s="1057"/>
      <c r="O163" s="1057"/>
      <c r="P163" s="1057"/>
    </row>
    <row r="164" spans="1:26" ht="19.5">
      <c r="A164" s="1058"/>
      <c r="B164" s="1059" t="s">
        <v>83</v>
      </c>
      <c r="C164" s="1060"/>
      <c r="D164" s="1005"/>
      <c r="E164" s="1005"/>
      <c r="F164" s="1005"/>
      <c r="G164" s="1006"/>
      <c r="H164" s="252" t="s">
        <v>35</v>
      </c>
      <c r="I164" s="1075">
        <f t="shared" ref="I164:J164" ca="1" si="83">I174+I177</f>
        <v>13</v>
      </c>
      <c r="J164" s="1075">
        <f t="shared" si="83"/>
        <v>13</v>
      </c>
      <c r="K164" s="1076">
        <f ca="1">IF(I164&gt;0,J164*100/I164,0)</f>
        <v>100</v>
      </c>
      <c r="L164" s="1062"/>
      <c r="M164" s="1062"/>
      <c r="N164" s="1062"/>
      <c r="O164" s="1062"/>
      <c r="P164" s="1062"/>
    </row>
    <row r="165" spans="1:26" ht="19.5">
      <c r="A165" s="985"/>
      <c r="B165" s="986"/>
      <c r="C165" s="987" t="s">
        <v>16</v>
      </c>
      <c r="D165" s="988" t="s">
        <v>17</v>
      </c>
      <c r="E165" s="986"/>
      <c r="F165" s="986"/>
      <c r="G165" s="989"/>
      <c r="H165" s="152" t="s">
        <v>12</v>
      </c>
      <c r="I165" s="990"/>
      <c r="J165" s="990"/>
      <c r="K165" s="991"/>
      <c r="L165" s="992">
        <f t="shared" ref="L165:N165" ca="1" si="84">L166+L167</f>
        <v>24065</v>
      </c>
      <c r="M165" s="992">
        <f t="shared" ca="1" si="84"/>
        <v>41535</v>
      </c>
      <c r="N165" s="992">
        <f t="shared" ca="1" si="84"/>
        <v>41535</v>
      </c>
      <c r="O165" s="992">
        <f t="shared" ref="O165:O173" ca="1" si="85">IF(L165&gt;0,N165*100/L165,0)</f>
        <v>172.59505505921462</v>
      </c>
      <c r="P165" s="992">
        <f t="shared" ref="P165:P173" ca="1" si="86">IF(M165&gt;0,N165*100/M165,0)</f>
        <v>100</v>
      </c>
      <c r="Q165" s="868"/>
      <c r="R165" s="868"/>
      <c r="S165" s="868"/>
      <c r="T165" s="868"/>
      <c r="U165" s="868"/>
      <c r="V165" s="868"/>
      <c r="W165" s="868"/>
      <c r="X165" s="868"/>
      <c r="Y165" s="868"/>
      <c r="Z165" s="868"/>
    </row>
    <row r="166" spans="1:26" ht="18.75" hidden="1">
      <c r="A166" s="993"/>
      <c r="B166" s="883"/>
      <c r="C166" s="883"/>
      <c r="D166" s="883"/>
      <c r="E166" s="884" t="s">
        <v>18</v>
      </c>
      <c r="F166" s="883"/>
      <c r="G166" s="994"/>
      <c r="H166" s="158" t="s">
        <v>12</v>
      </c>
      <c r="I166" s="886"/>
      <c r="J166" s="886"/>
      <c r="K166" s="887"/>
      <c r="L166" s="887">
        <f t="shared" ref="L166:N167" si="87">L169+L172</f>
        <v>0</v>
      </c>
      <c r="M166" s="887">
        <f t="shared" si="87"/>
        <v>0</v>
      </c>
      <c r="N166" s="887">
        <f t="shared" si="87"/>
        <v>0</v>
      </c>
      <c r="O166" s="887">
        <f t="shared" si="85"/>
        <v>0</v>
      </c>
      <c r="P166" s="887">
        <f t="shared" si="86"/>
        <v>0</v>
      </c>
      <c r="Q166" s="875"/>
      <c r="R166" s="875"/>
      <c r="S166" s="875"/>
      <c r="T166" s="875"/>
      <c r="U166" s="875"/>
      <c r="V166" s="875"/>
      <c r="W166" s="875"/>
      <c r="X166" s="875"/>
      <c r="Y166" s="875"/>
      <c r="Z166" s="875"/>
    </row>
    <row r="167" spans="1:26" ht="18.75" hidden="1">
      <c r="A167" s="993"/>
      <c r="B167" s="883"/>
      <c r="C167" s="883"/>
      <c r="D167" s="883"/>
      <c r="E167" s="884" t="s">
        <v>19</v>
      </c>
      <c r="F167" s="883"/>
      <c r="G167" s="994"/>
      <c r="H167" s="158" t="s">
        <v>12</v>
      </c>
      <c r="I167" s="886"/>
      <c r="J167" s="886"/>
      <c r="K167" s="887"/>
      <c r="L167" s="887">
        <f t="shared" ca="1" si="87"/>
        <v>24065</v>
      </c>
      <c r="M167" s="887">
        <f t="shared" ca="1" si="87"/>
        <v>41535</v>
      </c>
      <c r="N167" s="887">
        <f t="shared" ca="1" si="87"/>
        <v>41535</v>
      </c>
      <c r="O167" s="887">
        <f t="shared" ca="1" si="85"/>
        <v>172.59505505921462</v>
      </c>
      <c r="P167" s="887">
        <f t="shared" ca="1" si="86"/>
        <v>100</v>
      </c>
      <c r="Q167" s="875"/>
      <c r="R167" s="875"/>
      <c r="S167" s="875"/>
      <c r="T167" s="875"/>
      <c r="U167" s="875"/>
      <c r="V167" s="875"/>
      <c r="W167" s="875"/>
      <c r="X167" s="875"/>
      <c r="Y167" s="875"/>
      <c r="Z167" s="875"/>
    </row>
    <row r="168" spans="1:26" ht="18.75">
      <c r="A168" s="995"/>
      <c r="B168" s="877"/>
      <c r="C168" s="996"/>
      <c r="D168" s="878" t="s">
        <v>20</v>
      </c>
      <c r="E168" s="877"/>
      <c r="F168" s="877"/>
      <c r="G168" s="879"/>
      <c r="H168" s="161" t="s">
        <v>12</v>
      </c>
      <c r="I168" s="997"/>
      <c r="J168" s="997"/>
      <c r="K168" s="998"/>
      <c r="L168" s="881">
        <f t="shared" ref="L168:N168" ca="1" si="88">L169+L170</f>
        <v>24065</v>
      </c>
      <c r="M168" s="881">
        <f t="shared" ca="1" si="88"/>
        <v>41535</v>
      </c>
      <c r="N168" s="881">
        <f t="shared" ca="1" si="88"/>
        <v>41535</v>
      </c>
      <c r="O168" s="881">
        <f t="shared" ca="1" si="85"/>
        <v>172.59505505921462</v>
      </c>
      <c r="P168" s="881">
        <f t="shared" ca="1" si="86"/>
        <v>100</v>
      </c>
      <c r="Q168" s="868"/>
      <c r="R168" s="868"/>
      <c r="S168" s="868"/>
      <c r="T168" s="868"/>
      <c r="U168" s="868"/>
      <c r="V168" s="868"/>
      <c r="W168" s="868"/>
      <c r="X168" s="868"/>
      <c r="Y168" s="868"/>
      <c r="Z168" s="868"/>
    </row>
    <row r="169" spans="1:26" ht="19.5" hidden="1">
      <c r="A169" s="993"/>
      <c r="B169" s="883"/>
      <c r="C169" s="999"/>
      <c r="D169" s="883"/>
      <c r="E169" s="884" t="s">
        <v>36</v>
      </c>
      <c r="F169" s="883"/>
      <c r="G169" s="994"/>
      <c r="H169" s="165" t="s">
        <v>12</v>
      </c>
      <c r="I169" s="1000"/>
      <c r="J169" s="1000"/>
      <c r="K169" s="1001"/>
      <c r="L169" s="887">
        <v>0</v>
      </c>
      <c r="M169" s="887">
        <v>0</v>
      </c>
      <c r="N169" s="887">
        <v>0</v>
      </c>
      <c r="O169" s="887">
        <f t="shared" si="85"/>
        <v>0</v>
      </c>
      <c r="P169" s="887">
        <f t="shared" si="86"/>
        <v>0</v>
      </c>
      <c r="Q169" s="875"/>
      <c r="R169" s="875"/>
      <c r="S169" s="875"/>
      <c r="T169" s="875"/>
      <c r="U169" s="875"/>
      <c r="V169" s="875"/>
      <c r="W169" s="875"/>
      <c r="X169" s="875"/>
      <c r="Y169" s="875"/>
      <c r="Z169" s="875"/>
    </row>
    <row r="170" spans="1:26" ht="19.5" hidden="1">
      <c r="A170" s="993"/>
      <c r="B170" s="883"/>
      <c r="C170" s="999"/>
      <c r="D170" s="883"/>
      <c r="E170" s="884" t="s">
        <v>37</v>
      </c>
      <c r="F170" s="883"/>
      <c r="G170" s="994"/>
      <c r="H170" s="165" t="s">
        <v>12</v>
      </c>
      <c r="I170" s="1000"/>
      <c r="J170" s="1000"/>
      <c r="K170" s="1001"/>
      <c r="L170" s="887">
        <f ca="1">IFERROR(__xludf.DUMMYFUNCTION("IMPORTRANGE(""https://docs.google.com/spreadsheets/d/1MeEWN-I1oV_STSDYn1IFDPWt_1FKiwhDph83XaGc0o0/edit?usp=sharing"",""งบพรบ!CE83"")"),24065)</f>
        <v>24065</v>
      </c>
      <c r="M170" s="887">
        <f ca="1">IFERROR(__xludf.DUMMYFUNCTION("IMPORTRANGE(""https://docs.google.com/spreadsheets/d/1MeEWN-I1oV_STSDYn1IFDPWt_1FKiwhDph83XaGc0o0/edit?usp=sharing"",""งบพรบ!CJ83"")"),41535)</f>
        <v>41535</v>
      </c>
      <c r="N170" s="887">
        <f ca="1">IFERROR(__xludf.DUMMYFUNCTION("IMPORTRANGE(""https://docs.google.com/spreadsheets/d/1MeEWN-I1oV_STSDYn1IFDPWt_1FKiwhDph83XaGc0o0/edit?usp=sharing"",""งบพรบ!CL83"")"),41535)</f>
        <v>41535</v>
      </c>
      <c r="O170" s="887">
        <f t="shared" ca="1" si="85"/>
        <v>172.59505505921462</v>
      </c>
      <c r="P170" s="887">
        <f t="shared" ca="1" si="86"/>
        <v>100</v>
      </c>
      <c r="Q170" s="875"/>
      <c r="R170" s="875"/>
      <c r="S170" s="875"/>
      <c r="T170" s="875"/>
      <c r="U170" s="875"/>
      <c r="V170" s="875"/>
      <c r="W170" s="875"/>
      <c r="X170" s="875"/>
      <c r="Y170" s="875"/>
      <c r="Z170" s="875"/>
    </row>
    <row r="171" spans="1:26" ht="18.75">
      <c r="A171" s="995"/>
      <c r="B171" s="877"/>
      <c r="C171" s="996"/>
      <c r="D171" s="878" t="s">
        <v>21</v>
      </c>
      <c r="E171" s="877"/>
      <c r="F171" s="877"/>
      <c r="G171" s="879"/>
      <c r="H171" s="168" t="s">
        <v>12</v>
      </c>
      <c r="I171" s="997"/>
      <c r="J171" s="997"/>
      <c r="K171" s="998"/>
      <c r="L171" s="881">
        <f t="shared" ref="L171:N171" ca="1" si="89">L172+L173</f>
        <v>0</v>
      </c>
      <c r="M171" s="881">
        <f t="shared" ca="1" si="89"/>
        <v>0</v>
      </c>
      <c r="N171" s="881">
        <f t="shared" ca="1" si="89"/>
        <v>0</v>
      </c>
      <c r="O171" s="881">
        <f t="shared" ca="1" si="85"/>
        <v>0</v>
      </c>
      <c r="P171" s="881">
        <f t="shared" ca="1" si="86"/>
        <v>0</v>
      </c>
      <c r="Q171" s="868"/>
      <c r="R171" s="868"/>
      <c r="S171" s="868"/>
      <c r="T171" s="868"/>
      <c r="U171" s="868"/>
      <c r="V171" s="868"/>
      <c r="W171" s="868"/>
      <c r="X171" s="868"/>
      <c r="Y171" s="868"/>
      <c r="Z171" s="868"/>
    </row>
    <row r="172" spans="1:26" ht="19.5" hidden="1">
      <c r="A172" s="993"/>
      <c r="B172" s="883"/>
      <c r="C172" s="999"/>
      <c r="D172" s="883"/>
      <c r="E172" s="884" t="s">
        <v>18</v>
      </c>
      <c r="F172" s="883"/>
      <c r="G172" s="994"/>
      <c r="H172" s="165" t="s">
        <v>12</v>
      </c>
      <c r="I172" s="1000"/>
      <c r="J172" s="1000"/>
      <c r="K172" s="1001"/>
      <c r="L172" s="887">
        <v>0</v>
      </c>
      <c r="M172" s="887">
        <v>0</v>
      </c>
      <c r="N172" s="887">
        <v>0</v>
      </c>
      <c r="O172" s="887">
        <f t="shared" si="85"/>
        <v>0</v>
      </c>
      <c r="P172" s="887">
        <f t="shared" si="86"/>
        <v>0</v>
      </c>
      <c r="Q172" s="875"/>
      <c r="R172" s="875"/>
      <c r="S172" s="875"/>
      <c r="T172" s="875"/>
      <c r="U172" s="875"/>
      <c r="V172" s="875"/>
      <c r="W172" s="875"/>
      <c r="X172" s="875"/>
      <c r="Y172" s="875"/>
      <c r="Z172" s="875"/>
    </row>
    <row r="173" spans="1:26" ht="19.5" hidden="1">
      <c r="A173" s="993"/>
      <c r="B173" s="883"/>
      <c r="C173" s="999"/>
      <c r="D173" s="883"/>
      <c r="E173" s="884" t="s">
        <v>19</v>
      </c>
      <c r="F173" s="883"/>
      <c r="G173" s="994"/>
      <c r="H173" s="169" t="s">
        <v>12</v>
      </c>
      <c r="I173" s="1000"/>
      <c r="J173" s="1000"/>
      <c r="K173" s="1001"/>
      <c r="L173" s="887">
        <f ca="1">IFERROR(__xludf.DUMMYFUNCTION("IMPORTRANGE(""https://docs.google.com/spreadsheets/d/1MeEWN-I1oV_STSDYn1IFDPWt_1FKiwhDph83XaGc0o0/edit?usp=sharing"",""งบพรบ!CH83"")"),0)</f>
        <v>0</v>
      </c>
      <c r="M173" s="887">
        <f ca="1">IFERROR(__xludf.DUMMYFUNCTION("IMPORTRANGE(""https://docs.google.com/spreadsheets/d/1MeEWN-I1oV_STSDYn1IFDPWt_1FKiwhDph83XaGc0o0/edit?usp=sharing"",""งบพรบ!CK83"")"),0)</f>
        <v>0</v>
      </c>
      <c r="N173" s="887">
        <f ca="1">IFERROR(__xludf.DUMMYFUNCTION("IMPORTRANGE(""https://docs.google.com/spreadsheets/d/1MeEWN-I1oV_STSDYn1IFDPWt_1FKiwhDph83XaGc0o0/edit?usp=sharing"",""งบพรบ!CM83"")"),0)</f>
        <v>0</v>
      </c>
      <c r="O173" s="887">
        <f t="shared" ca="1" si="85"/>
        <v>0</v>
      </c>
      <c r="P173" s="887">
        <f t="shared" ca="1" si="86"/>
        <v>0</v>
      </c>
      <c r="Q173" s="875"/>
      <c r="R173" s="875"/>
      <c r="S173" s="875"/>
      <c r="T173" s="875"/>
      <c r="U173" s="875"/>
      <c r="V173" s="875"/>
      <c r="W173" s="875"/>
      <c r="X173" s="875"/>
      <c r="Y173" s="875"/>
      <c r="Z173" s="875"/>
    </row>
    <row r="174" spans="1:26" ht="19.5">
      <c r="A174" s="1063"/>
      <c r="B174" s="1064"/>
      <c r="C174" s="1065" t="s">
        <v>84</v>
      </c>
      <c r="D174" s="1064"/>
      <c r="E174" s="1064"/>
      <c r="F174" s="1064"/>
      <c r="G174" s="1066"/>
      <c r="H174" s="260" t="s">
        <v>35</v>
      </c>
      <c r="I174" s="1067">
        <f t="shared" ref="I174:J174" ca="1" si="90">I176</f>
        <v>13</v>
      </c>
      <c r="J174" s="1067">
        <f t="shared" si="90"/>
        <v>13</v>
      </c>
      <c r="K174" s="1068">
        <f ca="1">IF(I174&gt;0,J174*100/I174,0)</f>
        <v>100</v>
      </c>
      <c r="L174" s="1068"/>
      <c r="M174" s="1068"/>
      <c r="N174" s="1068"/>
      <c r="O174" s="1068"/>
      <c r="P174" s="1068"/>
    </row>
    <row r="175" spans="1:26" ht="19.5">
      <c r="A175" s="1002"/>
      <c r="B175" s="1003"/>
      <c r="C175" s="999" t="s">
        <v>16</v>
      </c>
      <c r="D175" s="1004" t="s">
        <v>38</v>
      </c>
      <c r="E175" s="1005"/>
      <c r="F175" s="1005"/>
      <c r="G175" s="1006"/>
      <c r="H175" s="1007"/>
      <c r="I175" s="997"/>
      <c r="J175" s="997"/>
      <c r="K175" s="998"/>
      <c r="L175" s="998"/>
      <c r="M175" s="998"/>
      <c r="N175" s="998"/>
      <c r="O175" s="998"/>
      <c r="P175" s="998"/>
    </row>
    <row r="176" spans="1:26" ht="18.75">
      <c r="A176" s="1002"/>
      <c r="B176" s="1003"/>
      <c r="C176" s="1003"/>
      <c r="D176" s="1069" t="s">
        <v>85</v>
      </c>
      <c r="E176" s="1010"/>
      <c r="F176" s="1010"/>
      <c r="G176" s="1011"/>
      <c r="H176" s="622" t="s">
        <v>35</v>
      </c>
      <c r="I176" s="880">
        <f ca="1">IFERROR(__xludf.DUMMYFUNCTION("IMPORTRANGE(""https://docs.google.com/spreadsheets/d/1QqKyyYR6Q21VydFLVH3TRQUabQu_ym0Zz7PgGX0-kHA/edit?usp=sharing"",""แผน!Y83"")"),13)</f>
        <v>13</v>
      </c>
      <c r="J176" s="1012">
        <v>13</v>
      </c>
      <c r="K176" s="998">
        <f ca="1">IF(I176&gt;0,J176*100/I176,0)</f>
        <v>100</v>
      </c>
      <c r="L176" s="998"/>
      <c r="M176" s="998"/>
      <c r="N176" s="998"/>
      <c r="O176" s="998"/>
      <c r="P176" s="998"/>
    </row>
    <row r="177" spans="1:26" ht="19.5" hidden="1">
      <c r="A177" s="1063"/>
      <c r="B177" s="1070"/>
      <c r="C177" s="1071" t="s">
        <v>86</v>
      </c>
      <c r="D177" s="1070"/>
      <c r="E177" s="1064"/>
      <c r="F177" s="1064"/>
      <c r="G177" s="1066"/>
      <c r="H177" s="266" t="s">
        <v>35</v>
      </c>
      <c r="I177" s="1067"/>
      <c r="J177" s="1067">
        <f>J179</f>
        <v>0</v>
      </c>
      <c r="K177" s="1068"/>
      <c r="L177" s="1068"/>
      <c r="M177" s="1068"/>
      <c r="N177" s="1068"/>
      <c r="O177" s="1068"/>
      <c r="P177" s="1068"/>
    </row>
    <row r="178" spans="1:26" ht="19.5" hidden="1">
      <c r="A178" s="1002"/>
      <c r="B178" s="1003"/>
      <c r="C178" s="999" t="s">
        <v>16</v>
      </c>
      <c r="D178" s="1072" t="s">
        <v>38</v>
      </c>
      <c r="E178" s="1005"/>
      <c r="F178" s="1005"/>
      <c r="G178" s="1006"/>
      <c r="H178" s="1007"/>
      <c r="I178" s="997"/>
      <c r="J178" s="997"/>
      <c r="K178" s="998"/>
      <c r="L178" s="998"/>
      <c r="M178" s="998"/>
      <c r="N178" s="998"/>
      <c r="O178" s="998"/>
      <c r="P178" s="998"/>
    </row>
    <row r="179" spans="1:26" ht="18.75" hidden="1">
      <c r="A179" s="1002"/>
      <c r="B179" s="1003"/>
      <c r="C179" s="1003"/>
      <c r="D179" s="1073" t="s">
        <v>87</v>
      </c>
      <c r="E179" s="1010"/>
      <c r="F179" s="1074"/>
      <c r="G179" s="1011"/>
      <c r="H179" s="43" t="s">
        <v>35</v>
      </c>
      <c r="I179" s="880"/>
      <c r="J179" s="880"/>
      <c r="K179" s="998"/>
      <c r="L179" s="998"/>
      <c r="M179" s="998"/>
      <c r="N179" s="998"/>
      <c r="O179" s="998"/>
      <c r="P179" s="998"/>
    </row>
    <row r="180" spans="1:26" ht="19.5">
      <c r="A180" s="1058"/>
      <c r="B180" s="1059" t="s">
        <v>88</v>
      </c>
      <c r="C180" s="1060"/>
      <c r="D180" s="1005"/>
      <c r="E180" s="1005"/>
      <c r="F180" s="1005"/>
      <c r="G180" s="1006"/>
      <c r="H180" s="252" t="s">
        <v>35</v>
      </c>
      <c r="I180" s="1075" t="e">
        <f t="shared" ref="I180:J180" ca="1" si="91">I225+I226</f>
        <v>#VALUE!</v>
      </c>
      <c r="J180" s="1075">
        <f t="shared" si="91"/>
        <v>0</v>
      </c>
      <c r="K180" s="1076" t="e">
        <f ca="1">IF(I180&gt;0,J180*100/I180,0)</f>
        <v>#VALUE!</v>
      </c>
      <c r="L180" s="1062"/>
      <c r="M180" s="1062"/>
      <c r="N180" s="1062"/>
      <c r="O180" s="1062"/>
      <c r="P180" s="1062"/>
    </row>
    <row r="181" spans="1:26" ht="19.5">
      <c r="A181" s="985"/>
      <c r="B181" s="986"/>
      <c r="C181" s="987" t="s">
        <v>16</v>
      </c>
      <c r="D181" s="988" t="s">
        <v>17</v>
      </c>
      <c r="E181" s="986"/>
      <c r="F181" s="986"/>
      <c r="G181" s="989"/>
      <c r="H181" s="152" t="s">
        <v>12</v>
      </c>
      <c r="I181" s="990"/>
      <c r="J181" s="990"/>
      <c r="K181" s="991"/>
      <c r="L181" s="992">
        <f t="shared" ref="L181:N181" ca="1" si="92">L182+L183</f>
        <v>6000</v>
      </c>
      <c r="M181" s="992">
        <f t="shared" ca="1" si="92"/>
        <v>4500</v>
      </c>
      <c r="N181" s="992">
        <f t="shared" ca="1" si="92"/>
        <v>1624</v>
      </c>
      <c r="O181" s="992">
        <f t="shared" ref="O181:O189" ca="1" si="93">IF(L181&gt;0,N181*100/L181,0)</f>
        <v>27.066666666666666</v>
      </c>
      <c r="P181" s="992">
        <f t="shared" ref="P181:P189" ca="1" si="94">IF(M181&gt;0,N181*100/M181,0)</f>
        <v>36.088888888888889</v>
      </c>
      <c r="Q181" s="868"/>
      <c r="R181" s="868"/>
      <c r="S181" s="868"/>
      <c r="T181" s="868"/>
      <c r="U181" s="868"/>
      <c r="V181" s="868"/>
      <c r="W181" s="868"/>
      <c r="X181" s="868"/>
      <c r="Y181" s="868"/>
      <c r="Z181" s="868"/>
    </row>
    <row r="182" spans="1:26" ht="18.75" hidden="1">
      <c r="A182" s="993"/>
      <c r="B182" s="883"/>
      <c r="C182" s="883"/>
      <c r="D182" s="883"/>
      <c r="E182" s="884" t="s">
        <v>18</v>
      </c>
      <c r="F182" s="883"/>
      <c r="G182" s="994"/>
      <c r="H182" s="158" t="s">
        <v>12</v>
      </c>
      <c r="I182" s="886"/>
      <c r="J182" s="886"/>
      <c r="K182" s="887"/>
      <c r="L182" s="887">
        <f t="shared" ref="L182:N183" si="95">L185+L188</f>
        <v>0</v>
      </c>
      <c r="M182" s="887">
        <f t="shared" si="95"/>
        <v>0</v>
      </c>
      <c r="N182" s="887">
        <f t="shared" si="95"/>
        <v>0</v>
      </c>
      <c r="O182" s="887">
        <f t="shared" si="93"/>
        <v>0</v>
      </c>
      <c r="P182" s="887">
        <f t="shared" si="94"/>
        <v>0</v>
      </c>
      <c r="Q182" s="875"/>
      <c r="R182" s="875"/>
      <c r="S182" s="875"/>
      <c r="T182" s="875"/>
      <c r="U182" s="875"/>
      <c r="V182" s="875"/>
      <c r="W182" s="875"/>
      <c r="X182" s="875"/>
      <c r="Y182" s="875"/>
      <c r="Z182" s="875"/>
    </row>
    <row r="183" spans="1:26" ht="18.75" hidden="1">
      <c r="A183" s="993"/>
      <c r="B183" s="883"/>
      <c r="C183" s="883"/>
      <c r="D183" s="883"/>
      <c r="E183" s="884" t="s">
        <v>19</v>
      </c>
      <c r="F183" s="883"/>
      <c r="G183" s="994"/>
      <c r="H183" s="158" t="s">
        <v>12</v>
      </c>
      <c r="I183" s="886"/>
      <c r="J183" s="886"/>
      <c r="K183" s="887"/>
      <c r="L183" s="887">
        <f t="shared" ca="1" si="95"/>
        <v>6000</v>
      </c>
      <c r="M183" s="887">
        <f t="shared" ca="1" si="95"/>
        <v>4500</v>
      </c>
      <c r="N183" s="887">
        <f t="shared" ca="1" si="95"/>
        <v>1624</v>
      </c>
      <c r="O183" s="887">
        <f t="shared" ca="1" si="93"/>
        <v>27.066666666666666</v>
      </c>
      <c r="P183" s="887">
        <f t="shared" ca="1" si="94"/>
        <v>36.088888888888889</v>
      </c>
      <c r="Q183" s="875"/>
      <c r="R183" s="875"/>
      <c r="S183" s="875"/>
      <c r="T183" s="875"/>
      <c r="U183" s="875"/>
      <c r="V183" s="875"/>
      <c r="W183" s="875"/>
      <c r="X183" s="875"/>
      <c r="Y183" s="875"/>
      <c r="Z183" s="875"/>
    </row>
    <row r="184" spans="1:26" ht="18.75">
      <c r="A184" s="995"/>
      <c r="B184" s="877"/>
      <c r="C184" s="996"/>
      <c r="D184" s="878" t="s">
        <v>20</v>
      </c>
      <c r="E184" s="877"/>
      <c r="F184" s="877"/>
      <c r="G184" s="879"/>
      <c r="H184" s="161" t="s">
        <v>12</v>
      </c>
      <c r="I184" s="997"/>
      <c r="J184" s="997"/>
      <c r="K184" s="998"/>
      <c r="L184" s="881">
        <f t="shared" ref="L184:N184" ca="1" si="96">L185+L186</f>
        <v>6000</v>
      </c>
      <c r="M184" s="881">
        <f t="shared" ca="1" si="96"/>
        <v>4500</v>
      </c>
      <c r="N184" s="881">
        <f t="shared" ca="1" si="96"/>
        <v>1624</v>
      </c>
      <c r="O184" s="881">
        <f t="shared" ca="1" si="93"/>
        <v>27.066666666666666</v>
      </c>
      <c r="P184" s="881">
        <f t="shared" ca="1" si="94"/>
        <v>36.088888888888889</v>
      </c>
      <c r="Q184" s="868"/>
      <c r="R184" s="868"/>
      <c r="S184" s="868"/>
      <c r="T184" s="868"/>
      <c r="U184" s="868"/>
      <c r="V184" s="868"/>
      <c r="W184" s="868"/>
      <c r="X184" s="868"/>
      <c r="Y184" s="868"/>
      <c r="Z184" s="868"/>
    </row>
    <row r="185" spans="1:26" ht="19.5" hidden="1">
      <c r="A185" s="993"/>
      <c r="B185" s="883"/>
      <c r="C185" s="999"/>
      <c r="D185" s="883"/>
      <c r="E185" s="884" t="s">
        <v>36</v>
      </c>
      <c r="F185" s="883"/>
      <c r="G185" s="994"/>
      <c r="H185" s="165" t="s">
        <v>12</v>
      </c>
      <c r="I185" s="1000"/>
      <c r="J185" s="1000"/>
      <c r="K185" s="1001"/>
      <c r="L185" s="887">
        <v>0</v>
      </c>
      <c r="M185" s="887">
        <v>0</v>
      </c>
      <c r="N185" s="887">
        <v>0</v>
      </c>
      <c r="O185" s="887">
        <f t="shared" si="93"/>
        <v>0</v>
      </c>
      <c r="P185" s="887">
        <f t="shared" si="94"/>
        <v>0</v>
      </c>
      <c r="Q185" s="875"/>
      <c r="R185" s="875"/>
      <c r="S185" s="875"/>
      <c r="T185" s="875"/>
      <c r="U185" s="875"/>
      <c r="V185" s="875"/>
      <c r="W185" s="875"/>
      <c r="X185" s="875"/>
      <c r="Y185" s="875"/>
      <c r="Z185" s="875"/>
    </row>
    <row r="186" spans="1:26" ht="19.5" hidden="1">
      <c r="A186" s="993"/>
      <c r="B186" s="883"/>
      <c r="C186" s="999"/>
      <c r="D186" s="883"/>
      <c r="E186" s="884" t="s">
        <v>37</v>
      </c>
      <c r="F186" s="883"/>
      <c r="G186" s="994"/>
      <c r="H186" s="165" t="s">
        <v>12</v>
      </c>
      <c r="I186" s="1000"/>
      <c r="J186" s="1000"/>
      <c r="K186" s="1001"/>
      <c r="L186" s="887">
        <f ca="1">IFERROR(__xludf.DUMMYFUNCTION("IMPORTRANGE(""https://docs.google.com/spreadsheets/d/1MeEWN-I1oV_STSDYn1IFDPWt_1FKiwhDph83XaGc0o0/edit?usp=sharing"",""งบพรบ!CO83"")"),6000)</f>
        <v>6000</v>
      </c>
      <c r="M186" s="887">
        <f ca="1">IFERROR(__xludf.DUMMYFUNCTION("IMPORTRANGE(""https://docs.google.com/spreadsheets/d/1MeEWN-I1oV_STSDYn1IFDPWt_1FKiwhDph83XaGc0o0/edit?usp=sharing"",""งบพรบ!CT83"")"),4500)</f>
        <v>4500</v>
      </c>
      <c r="N186" s="887">
        <f ca="1">IFERROR(__xludf.DUMMYFUNCTION("IMPORTRANGE(""https://docs.google.com/spreadsheets/d/1MeEWN-I1oV_STSDYn1IFDPWt_1FKiwhDph83XaGc0o0/edit?usp=sharing"",""งบพรบ!CV83"")"),1624)</f>
        <v>1624</v>
      </c>
      <c r="O186" s="887">
        <f t="shared" ca="1" si="93"/>
        <v>27.066666666666666</v>
      </c>
      <c r="P186" s="887">
        <f t="shared" ca="1" si="94"/>
        <v>36.088888888888889</v>
      </c>
      <c r="Q186" s="875"/>
      <c r="R186" s="875"/>
      <c r="S186" s="875"/>
      <c r="T186" s="875"/>
      <c r="U186" s="875"/>
      <c r="V186" s="875"/>
      <c r="W186" s="875"/>
      <c r="X186" s="875"/>
      <c r="Y186" s="875"/>
      <c r="Z186" s="875"/>
    </row>
    <row r="187" spans="1:26" ht="18.75">
      <c r="A187" s="995"/>
      <c r="B187" s="877"/>
      <c r="C187" s="996"/>
      <c r="D187" s="878" t="s">
        <v>21</v>
      </c>
      <c r="E187" s="877"/>
      <c r="F187" s="877"/>
      <c r="G187" s="879"/>
      <c r="H187" s="168" t="s">
        <v>12</v>
      </c>
      <c r="I187" s="997"/>
      <c r="J187" s="997"/>
      <c r="K187" s="998"/>
      <c r="L187" s="881">
        <f t="shared" ref="L187:N187" ca="1" si="97">L188+L189</f>
        <v>0</v>
      </c>
      <c r="M187" s="881">
        <f t="shared" ca="1" si="97"/>
        <v>0</v>
      </c>
      <c r="N187" s="881">
        <f t="shared" ca="1" si="97"/>
        <v>0</v>
      </c>
      <c r="O187" s="881">
        <f t="shared" ca="1" si="93"/>
        <v>0</v>
      </c>
      <c r="P187" s="881">
        <f t="shared" ca="1" si="94"/>
        <v>0</v>
      </c>
      <c r="Q187" s="868"/>
      <c r="R187" s="868"/>
      <c r="S187" s="868"/>
      <c r="T187" s="868"/>
      <c r="U187" s="868"/>
      <c r="V187" s="868"/>
      <c r="W187" s="868"/>
      <c r="X187" s="868"/>
      <c r="Y187" s="868"/>
      <c r="Z187" s="868"/>
    </row>
    <row r="188" spans="1:26" ht="19.5" hidden="1">
      <c r="A188" s="993"/>
      <c r="B188" s="883"/>
      <c r="C188" s="999"/>
      <c r="D188" s="883"/>
      <c r="E188" s="884" t="s">
        <v>18</v>
      </c>
      <c r="F188" s="883"/>
      <c r="G188" s="994"/>
      <c r="H188" s="165" t="s">
        <v>12</v>
      </c>
      <c r="I188" s="1000"/>
      <c r="J188" s="1000"/>
      <c r="K188" s="1001"/>
      <c r="L188" s="887">
        <v>0</v>
      </c>
      <c r="M188" s="887">
        <v>0</v>
      </c>
      <c r="N188" s="887">
        <v>0</v>
      </c>
      <c r="O188" s="887">
        <f t="shared" si="93"/>
        <v>0</v>
      </c>
      <c r="P188" s="887">
        <f t="shared" si="94"/>
        <v>0</v>
      </c>
      <c r="Q188" s="875"/>
      <c r="R188" s="875"/>
      <c r="S188" s="875"/>
      <c r="T188" s="875"/>
      <c r="U188" s="875"/>
      <c r="V188" s="875"/>
      <c r="W188" s="875"/>
      <c r="X188" s="875"/>
      <c r="Y188" s="875"/>
      <c r="Z188" s="875"/>
    </row>
    <row r="189" spans="1:26" ht="19.5" hidden="1">
      <c r="A189" s="993"/>
      <c r="B189" s="883"/>
      <c r="C189" s="999"/>
      <c r="D189" s="883"/>
      <c r="E189" s="884" t="s">
        <v>19</v>
      </c>
      <c r="F189" s="883"/>
      <c r="G189" s="994"/>
      <c r="H189" s="169" t="s">
        <v>12</v>
      </c>
      <c r="I189" s="1000"/>
      <c r="J189" s="1000"/>
      <c r="K189" s="1001"/>
      <c r="L189" s="887">
        <f ca="1">IFERROR(__xludf.DUMMYFUNCTION("IMPORTRANGE(""https://docs.google.com/spreadsheets/d/1MeEWN-I1oV_STSDYn1IFDPWt_1FKiwhDph83XaGc0o0/edit?usp=sharing"",""งบพรบ!CR83"")"),0)</f>
        <v>0</v>
      </c>
      <c r="M189" s="887">
        <f ca="1">IFERROR(__xludf.DUMMYFUNCTION("IMPORTRANGE(""https://docs.google.com/spreadsheets/d/1MeEWN-I1oV_STSDYn1IFDPWt_1FKiwhDph83XaGc0o0/edit?usp=sharing"",""งบพรบ!CU83"")"),0)</f>
        <v>0</v>
      </c>
      <c r="N189" s="887">
        <f ca="1">IFERROR(__xludf.DUMMYFUNCTION("IMPORTRANGE(""https://docs.google.com/spreadsheets/d/1MeEWN-I1oV_STSDYn1IFDPWt_1FKiwhDph83XaGc0o0/edit?usp=sharing"",""งบพรบ!CW83"")"),0)</f>
        <v>0</v>
      </c>
      <c r="O189" s="887">
        <f t="shared" ca="1" si="93"/>
        <v>0</v>
      </c>
      <c r="P189" s="887">
        <f t="shared" ca="1" si="94"/>
        <v>0</v>
      </c>
      <c r="Q189" s="875"/>
      <c r="R189" s="875"/>
      <c r="S189" s="875"/>
      <c r="T189" s="875"/>
      <c r="U189" s="875"/>
      <c r="V189" s="875"/>
      <c r="W189" s="875"/>
      <c r="X189" s="875"/>
      <c r="Y189" s="875"/>
      <c r="Z189" s="875"/>
    </row>
    <row r="190" spans="1:26" ht="19.5">
      <c r="A190" s="1063"/>
      <c r="B190" s="1070"/>
      <c r="C190" s="1077" t="s">
        <v>89</v>
      </c>
      <c r="D190" s="1064"/>
      <c r="E190" s="1064"/>
      <c r="F190" s="1064"/>
      <c r="G190" s="1066"/>
      <c r="H190" s="260" t="s">
        <v>90</v>
      </c>
      <c r="I190" s="1078">
        <f t="shared" ref="I190:J190" ca="1" si="98">I193</f>
        <v>4</v>
      </c>
      <c r="J190" s="1078">
        <f t="shared" si="98"/>
        <v>2</v>
      </c>
      <c r="K190" s="1079">
        <f ca="1">IF(I190&gt;0,J190*100/I190,0)</f>
        <v>50</v>
      </c>
      <c r="L190" s="1068"/>
      <c r="M190" s="1068"/>
      <c r="N190" s="1068"/>
      <c r="O190" s="1068"/>
      <c r="P190" s="1068"/>
    </row>
    <row r="191" spans="1:26" ht="19.5">
      <c r="A191" s="985"/>
      <c r="B191" s="986"/>
      <c r="C191" s="987" t="s">
        <v>16</v>
      </c>
      <c r="D191" s="1080" t="s">
        <v>17</v>
      </c>
      <c r="E191" s="986"/>
      <c r="F191" s="986"/>
      <c r="G191" s="989"/>
      <c r="H191" s="275" t="s">
        <v>12</v>
      </c>
      <c r="I191" s="990"/>
      <c r="J191" s="990"/>
      <c r="K191" s="991"/>
      <c r="L191" s="992">
        <f ca="1">IFERROR(__xludf.DUMMYFUNCTION("IMPORTRANGE(""https://docs.google.com/spreadsheets/d/1QqKyyYR6Q21VydFLVH3TRQUabQu_ym0Zz7PgGX0-kHA/edit?usp=sharing"",""แผน!Z83"")"),6000)</f>
        <v>6000</v>
      </c>
      <c r="M191" s="992"/>
      <c r="N191" s="1081">
        <v>1624</v>
      </c>
      <c r="O191" s="992">
        <f ca="1">IF(L191&gt;0,N191*100/L191,0)</f>
        <v>27.066666666666666</v>
      </c>
      <c r="P191" s="992">
        <f>IF(M191&gt;0,N191*100/M191,0)</f>
        <v>0</v>
      </c>
      <c r="Q191" s="868"/>
      <c r="R191" s="868"/>
      <c r="S191" s="868"/>
      <c r="T191" s="868"/>
      <c r="U191" s="868"/>
      <c r="V191" s="868"/>
      <c r="W191" s="868"/>
      <c r="X191" s="868"/>
      <c r="Y191" s="868"/>
      <c r="Z191" s="868"/>
    </row>
    <row r="192" spans="1:26" ht="19.5">
      <c r="A192" s="1002"/>
      <c r="B192" s="1003"/>
      <c r="C192" s="1029" t="s">
        <v>16</v>
      </c>
      <c r="D192" s="1004" t="s">
        <v>38</v>
      </c>
      <c r="E192" s="1005"/>
      <c r="F192" s="1005"/>
      <c r="G192" s="1006"/>
      <c r="H192" s="1007"/>
      <c r="I192" s="880"/>
      <c r="J192" s="880"/>
      <c r="K192" s="881"/>
      <c r="L192" s="881"/>
      <c r="M192" s="881"/>
      <c r="N192" s="881"/>
      <c r="O192" s="881"/>
      <c r="P192" s="881"/>
      <c r="Q192" s="868"/>
      <c r="R192" s="868"/>
      <c r="S192" s="868"/>
      <c r="T192" s="868"/>
      <c r="U192" s="868"/>
      <c r="V192" s="868"/>
      <c r="W192" s="868"/>
      <c r="X192" s="868"/>
      <c r="Y192" s="868"/>
      <c r="Z192" s="868"/>
    </row>
    <row r="193" spans="1:26" ht="18.75">
      <c r="A193" s="1002"/>
      <c r="B193" s="1003"/>
      <c r="C193" s="1003"/>
      <c r="D193" s="1009" t="s">
        <v>91</v>
      </c>
      <c r="E193" s="1010"/>
      <c r="F193" s="1010"/>
      <c r="G193" s="1011"/>
      <c r="H193" s="762" t="s">
        <v>90</v>
      </c>
      <c r="I193" s="880">
        <f ca="1">IFERROR(__xludf.DUMMYFUNCTION("IMPORTRANGE(""https://docs.google.com/spreadsheets/d/1QqKyyYR6Q21VydFLVH3TRQUabQu_ym0Zz7PgGX0-kHA/edit?usp=sharing"",""แผน!AC83"")"),4)</f>
        <v>4</v>
      </c>
      <c r="J193" s="1012">
        <v>2</v>
      </c>
      <c r="K193" s="881">
        <f ca="1">IF(I193&gt;0,J193*100/I193,0)</f>
        <v>50</v>
      </c>
      <c r="L193" s="881"/>
      <c r="M193" s="881"/>
      <c r="N193" s="881"/>
      <c r="O193" s="881"/>
      <c r="P193" s="881"/>
      <c r="Q193" s="868"/>
      <c r="R193" s="868"/>
      <c r="S193" s="868"/>
      <c r="T193" s="868"/>
      <c r="U193" s="868"/>
      <c r="V193" s="868"/>
      <c r="W193" s="868"/>
      <c r="X193" s="868"/>
      <c r="Y193" s="868"/>
      <c r="Z193" s="868"/>
    </row>
    <row r="194" spans="1:26" ht="18.75">
      <c r="A194" s="1002"/>
      <c r="B194" s="1003"/>
      <c r="C194" s="1003"/>
      <c r="D194" s="1009" t="s">
        <v>92</v>
      </c>
      <c r="E194" s="1010"/>
      <c r="F194" s="1010"/>
      <c r="G194" s="1011"/>
      <c r="H194" s="277" t="s">
        <v>35</v>
      </c>
      <c r="I194" s="880"/>
      <c r="J194" s="880">
        <f>J195+J196</f>
        <v>79</v>
      </c>
      <c r="K194" s="881"/>
      <c r="L194" s="881"/>
      <c r="M194" s="881"/>
      <c r="N194" s="881"/>
      <c r="O194" s="881"/>
      <c r="P194" s="881"/>
      <c r="Q194" s="868"/>
      <c r="R194" s="868"/>
      <c r="S194" s="868"/>
      <c r="T194" s="868"/>
      <c r="U194" s="868"/>
      <c r="V194" s="868"/>
      <c r="W194" s="868"/>
      <c r="X194" s="868"/>
      <c r="Y194" s="868"/>
      <c r="Z194" s="868"/>
    </row>
    <row r="195" spans="1:26" ht="18.75">
      <c r="A195" s="1002"/>
      <c r="B195" s="1003"/>
      <c r="C195" s="1003"/>
      <c r="D195" s="1003"/>
      <c r="E195" s="1009" t="s">
        <v>93</v>
      </c>
      <c r="F195" s="1010"/>
      <c r="G195" s="1011"/>
      <c r="H195" s="277" t="s">
        <v>35</v>
      </c>
      <c r="I195" s="880"/>
      <c r="J195" s="1012">
        <v>79</v>
      </c>
      <c r="K195" s="881"/>
      <c r="L195" s="881"/>
      <c r="M195" s="881"/>
      <c r="N195" s="881"/>
      <c r="O195" s="881"/>
      <c r="P195" s="881"/>
      <c r="Q195" s="868"/>
      <c r="R195" s="868"/>
      <c r="S195" s="868"/>
      <c r="T195" s="868"/>
      <c r="U195" s="868"/>
      <c r="V195" s="868"/>
      <c r="W195" s="868"/>
      <c r="X195" s="868"/>
      <c r="Y195" s="868"/>
      <c r="Z195" s="868"/>
    </row>
    <row r="196" spans="1:26" ht="18.75">
      <c r="A196" s="1002"/>
      <c r="B196" s="1003"/>
      <c r="C196" s="1003"/>
      <c r="D196" s="1003"/>
      <c r="E196" s="1009" t="s">
        <v>94</v>
      </c>
      <c r="F196" s="1010"/>
      <c r="G196" s="1011"/>
      <c r="H196" s="277" t="s">
        <v>35</v>
      </c>
      <c r="I196" s="880"/>
      <c r="J196" s="1012">
        <v>0</v>
      </c>
      <c r="K196" s="881"/>
      <c r="L196" s="881"/>
      <c r="M196" s="881"/>
      <c r="N196" s="881"/>
      <c r="O196" s="881"/>
      <c r="P196" s="881"/>
      <c r="Q196" s="868"/>
      <c r="R196" s="868"/>
      <c r="S196" s="868"/>
      <c r="T196" s="868"/>
      <c r="U196" s="868"/>
      <c r="V196" s="868"/>
      <c r="W196" s="868"/>
      <c r="X196" s="868"/>
      <c r="Y196" s="868"/>
      <c r="Z196" s="868"/>
    </row>
    <row r="197" spans="1:26" ht="19.5" hidden="1">
      <c r="A197" s="1063"/>
      <c r="B197" s="1070"/>
      <c r="C197" s="1077" t="s">
        <v>95</v>
      </c>
      <c r="D197" s="1064"/>
      <c r="E197" s="1064"/>
      <c r="F197" s="1064"/>
      <c r="G197" s="1066"/>
      <c r="H197" s="278" t="s">
        <v>96</v>
      </c>
      <c r="I197" s="1078">
        <f t="shared" ref="I197:J197" ca="1" si="99">I204</f>
        <v>0</v>
      </c>
      <c r="J197" s="1078">
        <f t="shared" si="99"/>
        <v>0</v>
      </c>
      <c r="K197" s="1079">
        <f ca="1">IF(I197&gt;0,J197*100/I197,0)</f>
        <v>0</v>
      </c>
      <c r="L197" s="1068"/>
      <c r="M197" s="1068"/>
      <c r="N197" s="1068"/>
      <c r="O197" s="1068"/>
      <c r="P197" s="1068"/>
    </row>
    <row r="198" spans="1:26" ht="19.5" hidden="1">
      <c r="A198" s="985"/>
      <c r="B198" s="986"/>
      <c r="C198" s="987" t="s">
        <v>16</v>
      </c>
      <c r="D198" s="1080" t="s">
        <v>17</v>
      </c>
      <c r="E198" s="986"/>
      <c r="F198" s="986"/>
      <c r="G198" s="989"/>
      <c r="H198" s="275" t="s">
        <v>12</v>
      </c>
      <c r="I198" s="1082"/>
      <c r="J198" s="1082"/>
      <c r="K198" s="1083"/>
      <c r="L198" s="992">
        <f ca="1">L199+L200+L201+L202</f>
        <v>0</v>
      </c>
      <c r="M198" s="992"/>
      <c r="N198" s="992">
        <f>N199+N200+N201+N202</f>
        <v>0</v>
      </c>
      <c r="O198" s="992">
        <f ca="1">IF(L198&gt;0,N198*100/L198,0)</f>
        <v>0</v>
      </c>
      <c r="P198" s="992">
        <f>IF(M198&gt;0,N198*100/M198,0)</f>
        <v>0</v>
      </c>
      <c r="Q198" s="868"/>
      <c r="R198" s="868"/>
      <c r="S198" s="868"/>
      <c r="T198" s="868"/>
      <c r="U198" s="868"/>
      <c r="V198" s="868"/>
      <c r="W198" s="868"/>
      <c r="X198" s="868"/>
      <c r="Y198" s="868"/>
      <c r="Z198" s="868"/>
    </row>
    <row r="199" spans="1:26" ht="18.75" hidden="1">
      <c r="A199" s="995"/>
      <c r="B199" s="1084"/>
      <c r="C199" s="877"/>
      <c r="D199" s="996" t="s">
        <v>97</v>
      </c>
      <c r="E199" s="877"/>
      <c r="F199" s="877"/>
      <c r="G199" s="879"/>
      <c r="H199" s="161" t="s">
        <v>12</v>
      </c>
      <c r="I199" s="997"/>
      <c r="J199" s="997"/>
      <c r="K199" s="998"/>
      <c r="L199" s="881">
        <f ca="1">IFERROR(__xludf.DUMMYFUNCTION("IMPORTRANGE(""https://docs.google.com/spreadsheets/d/1QqKyyYR6Q21VydFLVH3TRQUabQu_ym0Zz7PgGX0-kHA/edit?usp=sharing"",""แผน!AE83"")"),0)</f>
        <v>0</v>
      </c>
      <c r="M199" s="881"/>
      <c r="N199" s="1085">
        <v>0</v>
      </c>
      <c r="O199" s="881"/>
      <c r="P199" s="881"/>
      <c r="Q199" s="868"/>
      <c r="R199" s="868"/>
      <c r="S199" s="868"/>
      <c r="T199" s="868"/>
      <c r="U199" s="868"/>
      <c r="V199" s="868"/>
      <c r="W199" s="868"/>
      <c r="X199" s="868"/>
      <c r="Y199" s="868"/>
      <c r="Z199" s="868"/>
    </row>
    <row r="200" spans="1:26" ht="19.5" hidden="1">
      <c r="A200" s="1086"/>
      <c r="B200" s="1084"/>
      <c r="C200" s="1029"/>
      <c r="D200" s="996" t="s">
        <v>98</v>
      </c>
      <c r="E200" s="877"/>
      <c r="F200" s="877"/>
      <c r="G200" s="879"/>
      <c r="H200" s="622" t="s">
        <v>12</v>
      </c>
      <c r="I200" s="880"/>
      <c r="J200" s="880"/>
      <c r="K200" s="881"/>
      <c r="L200" s="881">
        <f ca="1">IFERROR(__xludf.DUMMYFUNCTION("IMPORTRANGE(""https://docs.google.com/spreadsheets/d/1QqKyyYR6Q21VydFLVH3TRQUabQu_ym0Zz7PgGX0-kHA/edit?usp=sharing"",""แผน!AF83"")"),0)</f>
        <v>0</v>
      </c>
      <c r="M200" s="881"/>
      <c r="N200" s="1085">
        <v>0</v>
      </c>
      <c r="O200" s="881"/>
      <c r="P200" s="881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</row>
    <row r="201" spans="1:26" ht="19.5" hidden="1">
      <c r="A201" s="1086"/>
      <c r="B201" s="1084"/>
      <c r="C201" s="1029"/>
      <c r="D201" s="996" t="s">
        <v>99</v>
      </c>
      <c r="E201" s="877"/>
      <c r="F201" s="877"/>
      <c r="G201" s="879"/>
      <c r="H201" s="622" t="s">
        <v>12</v>
      </c>
      <c r="I201" s="880"/>
      <c r="J201" s="880"/>
      <c r="K201" s="881"/>
      <c r="L201" s="881">
        <f ca="1">IFERROR(__xludf.DUMMYFUNCTION("IMPORTRANGE(""https://docs.google.com/spreadsheets/d/1QqKyyYR6Q21VydFLVH3TRQUabQu_ym0Zz7PgGX0-kHA/edit?usp=sharing"",""แผน!AG83"")"),0)</f>
        <v>0</v>
      </c>
      <c r="M201" s="881"/>
      <c r="N201" s="1085">
        <v>0</v>
      </c>
      <c r="O201" s="881"/>
      <c r="P201" s="881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</row>
    <row r="202" spans="1:26" ht="19.5" hidden="1">
      <c r="A202" s="1086"/>
      <c r="B202" s="1084"/>
      <c r="C202" s="1029"/>
      <c r="D202" s="996" t="s">
        <v>100</v>
      </c>
      <c r="E202" s="877"/>
      <c r="F202" s="877"/>
      <c r="G202" s="879"/>
      <c r="H202" s="622" t="s">
        <v>12</v>
      </c>
      <c r="I202" s="880"/>
      <c r="J202" s="880"/>
      <c r="K202" s="881"/>
      <c r="L202" s="881">
        <f ca="1">IFERROR(__xludf.DUMMYFUNCTION("IMPORTRANGE(""https://docs.google.com/spreadsheets/d/1QqKyyYR6Q21VydFLVH3TRQUabQu_ym0Zz7PgGX0-kHA/edit?usp=sharing"",""แผน!AH83"")"),0)</f>
        <v>0</v>
      </c>
      <c r="M202" s="881"/>
      <c r="N202" s="1085">
        <v>0</v>
      </c>
      <c r="O202" s="881"/>
      <c r="P202" s="881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</row>
    <row r="203" spans="1:26" ht="19.5" hidden="1">
      <c r="A203" s="1002"/>
      <c r="B203" s="1003"/>
      <c r="C203" s="1029" t="s">
        <v>16</v>
      </c>
      <c r="D203" s="1004" t="s">
        <v>38</v>
      </c>
      <c r="E203" s="1005"/>
      <c r="F203" s="1005"/>
      <c r="G203" s="1006"/>
      <c r="H203" s="1007"/>
      <c r="I203" s="997"/>
      <c r="J203" s="997"/>
      <c r="K203" s="998"/>
      <c r="L203" s="998"/>
      <c r="M203" s="998"/>
      <c r="N203" s="998"/>
      <c r="O203" s="998"/>
      <c r="P203" s="99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</row>
    <row r="204" spans="1:26" ht="18.75" hidden="1">
      <c r="A204" s="1002"/>
      <c r="B204" s="1003"/>
      <c r="C204" s="1003"/>
      <c r="D204" s="1008" t="s">
        <v>101</v>
      </c>
      <c r="E204" s="1010"/>
      <c r="F204" s="1010"/>
      <c r="G204" s="1011"/>
      <c r="H204" s="1007" t="s">
        <v>96</v>
      </c>
      <c r="I204" s="880">
        <f ca="1">IFERROR(__xludf.DUMMYFUNCTION("IMPORTRANGE(""https://docs.google.com/spreadsheets/d/1QqKyyYR6Q21VydFLVH3TRQUabQu_ym0Zz7PgGX0-kHA/edit?usp=sharing"",""แผน!AI83"")"),0)</f>
        <v>0</v>
      </c>
      <c r="J204" s="1012">
        <v>0</v>
      </c>
      <c r="K204" s="998">
        <f ca="1">IF(I204&gt;0,J204*100/I204,0)</f>
        <v>0</v>
      </c>
      <c r="L204" s="881"/>
      <c r="M204" s="881"/>
      <c r="N204" s="881"/>
      <c r="O204" s="881"/>
      <c r="P204" s="881"/>
      <c r="Q204" s="868"/>
      <c r="R204" s="868"/>
      <c r="S204" s="868"/>
      <c r="T204" s="868"/>
      <c r="U204" s="868"/>
      <c r="V204" s="868"/>
      <c r="W204" s="868"/>
      <c r="X204" s="868"/>
      <c r="Y204" s="868"/>
      <c r="Z204" s="868"/>
    </row>
    <row r="205" spans="1:26" ht="18.75" hidden="1">
      <c r="A205" s="1002"/>
      <c r="B205" s="1003"/>
      <c r="C205" s="1003"/>
      <c r="D205" s="1009" t="s">
        <v>59</v>
      </c>
      <c r="E205" s="1010"/>
      <c r="F205" s="1010"/>
      <c r="G205" s="1011"/>
      <c r="H205" s="1007"/>
      <c r="I205" s="880"/>
      <c r="J205" s="880"/>
      <c r="K205" s="998"/>
      <c r="L205" s="881"/>
      <c r="M205" s="881"/>
      <c r="N205" s="881"/>
      <c r="O205" s="881"/>
      <c r="P205" s="881"/>
      <c r="Q205" s="868"/>
      <c r="R205" s="868"/>
      <c r="S205" s="868"/>
      <c r="T205" s="868"/>
      <c r="U205" s="868"/>
      <c r="V205" s="868"/>
      <c r="W205" s="868"/>
      <c r="X205" s="868"/>
      <c r="Y205" s="868"/>
      <c r="Z205" s="868"/>
    </row>
    <row r="206" spans="1:26" ht="18.75" hidden="1">
      <c r="A206" s="1002"/>
      <c r="B206" s="1003"/>
      <c r="C206" s="1003"/>
      <c r="D206" s="1010"/>
      <c r="E206" s="1009" t="s">
        <v>348</v>
      </c>
      <c r="F206" s="1010"/>
      <c r="G206" s="1011"/>
      <c r="H206" s="1007" t="s">
        <v>96</v>
      </c>
      <c r="I206" s="880"/>
      <c r="J206" s="1012">
        <v>0</v>
      </c>
      <c r="K206" s="998"/>
      <c r="L206" s="881"/>
      <c r="M206" s="881"/>
      <c r="N206" s="881"/>
      <c r="O206" s="881"/>
      <c r="P206" s="881"/>
      <c r="Q206" s="868"/>
      <c r="R206" s="868"/>
      <c r="S206" s="868"/>
      <c r="T206" s="868"/>
      <c r="U206" s="868"/>
      <c r="V206" s="868"/>
      <c r="W206" s="868"/>
      <c r="X206" s="868"/>
      <c r="Y206" s="868"/>
      <c r="Z206" s="868"/>
    </row>
    <row r="207" spans="1:26" ht="18.75" hidden="1">
      <c r="A207" s="1002"/>
      <c r="B207" s="1003"/>
      <c r="C207" s="1003"/>
      <c r="D207" s="1009"/>
      <c r="E207" s="1009" t="s">
        <v>349</v>
      </c>
      <c r="F207" s="1010"/>
      <c r="G207" s="1011"/>
      <c r="H207" s="762" t="s">
        <v>66</v>
      </c>
      <c r="I207" s="880"/>
      <c r="J207" s="1012">
        <v>0</v>
      </c>
      <c r="K207" s="998"/>
      <c r="L207" s="881"/>
      <c r="M207" s="881"/>
      <c r="N207" s="881"/>
      <c r="O207" s="881"/>
      <c r="P207" s="881"/>
      <c r="Q207" s="868"/>
      <c r="R207" s="868"/>
      <c r="S207" s="868"/>
      <c r="T207" s="868"/>
      <c r="U207" s="868"/>
      <c r="V207" s="868"/>
      <c r="W207" s="868"/>
      <c r="X207" s="868"/>
      <c r="Y207" s="868"/>
      <c r="Z207" s="868"/>
    </row>
    <row r="208" spans="1:26" ht="19.5" hidden="1">
      <c r="A208" s="1063"/>
      <c r="B208" s="1070"/>
      <c r="C208" s="1077" t="s">
        <v>105</v>
      </c>
      <c r="D208" s="1064"/>
      <c r="E208" s="1064"/>
      <c r="F208" s="1091"/>
      <c r="G208" s="1066"/>
      <c r="H208" s="278" t="s">
        <v>96</v>
      </c>
      <c r="I208" s="1078">
        <f t="shared" ref="I208:J208" ca="1" si="100">I215</f>
        <v>0</v>
      </c>
      <c r="J208" s="1078">
        <f t="shared" si="100"/>
        <v>0</v>
      </c>
      <c r="K208" s="1079">
        <f ca="1">IF(I208&gt;0,J208*100/I208,0)</f>
        <v>0</v>
      </c>
      <c r="L208" s="1068"/>
      <c r="M208" s="1068"/>
      <c r="N208" s="1068"/>
      <c r="O208" s="1068"/>
      <c r="P208" s="1068"/>
    </row>
    <row r="209" spans="1:26" ht="19.5" hidden="1">
      <c r="A209" s="985"/>
      <c r="B209" s="986"/>
      <c r="C209" s="987" t="s">
        <v>16</v>
      </c>
      <c r="D209" s="1080" t="s">
        <v>17</v>
      </c>
      <c r="E209" s="986"/>
      <c r="F209" s="986"/>
      <c r="G209" s="989"/>
      <c r="H209" s="275" t="s">
        <v>12</v>
      </c>
      <c r="I209" s="1082"/>
      <c r="J209" s="1082"/>
      <c r="K209" s="1083"/>
      <c r="L209" s="992">
        <f ca="1">L210+L211+L212</f>
        <v>0</v>
      </c>
      <c r="M209" s="992"/>
      <c r="N209" s="992">
        <f>N210+N211+N212</f>
        <v>0</v>
      </c>
      <c r="O209" s="992">
        <f ca="1">IF(L209&gt;0,N209*100/L209,0)</f>
        <v>0</v>
      </c>
      <c r="P209" s="992">
        <f>IF(M209&gt;0,N209*100/M209,0)</f>
        <v>0</v>
      </c>
      <c r="Q209" s="868"/>
      <c r="R209" s="868"/>
      <c r="S209" s="868"/>
      <c r="T209" s="868"/>
      <c r="U209" s="868"/>
      <c r="V209" s="868"/>
      <c r="W209" s="868"/>
      <c r="X209" s="868"/>
      <c r="Y209" s="868"/>
      <c r="Z209" s="868"/>
    </row>
    <row r="210" spans="1:26" ht="18.75" hidden="1">
      <c r="A210" s="995"/>
      <c r="B210" s="1084"/>
      <c r="C210" s="877"/>
      <c r="D210" s="996" t="s">
        <v>97</v>
      </c>
      <c r="E210" s="877"/>
      <c r="F210" s="877"/>
      <c r="G210" s="879"/>
      <c r="H210" s="161" t="s">
        <v>12</v>
      </c>
      <c r="I210" s="997"/>
      <c r="J210" s="997"/>
      <c r="K210" s="998"/>
      <c r="L210" s="881">
        <f ca="1">IFERROR(__xludf.DUMMYFUNCTION("IMPORTRANGE(""https://docs.google.com/spreadsheets/d/1QqKyyYR6Q21VydFLVH3TRQUabQu_ym0Zz7PgGX0-kHA/edit?usp=sharing"",""แผน!AK83"")"),0)</f>
        <v>0</v>
      </c>
      <c r="M210" s="881"/>
      <c r="N210" s="1085">
        <v>0</v>
      </c>
      <c r="O210" s="881"/>
      <c r="P210" s="881"/>
      <c r="Q210" s="868"/>
      <c r="R210" s="868"/>
      <c r="S210" s="868"/>
      <c r="T210" s="868"/>
      <c r="U210" s="868"/>
      <c r="V210" s="868"/>
      <c r="W210" s="868"/>
      <c r="X210" s="868"/>
      <c r="Y210" s="868"/>
      <c r="Z210" s="868"/>
    </row>
    <row r="211" spans="1:26" ht="19.5" hidden="1">
      <c r="A211" s="1086"/>
      <c r="B211" s="1084"/>
      <c r="C211" s="1092"/>
      <c r="D211" s="996" t="s">
        <v>99</v>
      </c>
      <c r="E211" s="877"/>
      <c r="F211" s="877"/>
      <c r="G211" s="879"/>
      <c r="H211" s="161" t="s">
        <v>12</v>
      </c>
      <c r="I211" s="880"/>
      <c r="J211" s="880"/>
      <c r="K211" s="881"/>
      <c r="L211" s="881">
        <f ca="1">IFERROR(__xludf.DUMMYFUNCTION("IMPORTRANGE(""https://docs.google.com/spreadsheets/d/1QqKyyYR6Q21VydFLVH3TRQUabQu_ym0Zz7PgGX0-kHA/edit?usp=sharing"",""แผน!AL83"")"),0)</f>
        <v>0</v>
      </c>
      <c r="M211" s="881"/>
      <c r="N211" s="1085">
        <v>0</v>
      </c>
      <c r="O211" s="881"/>
      <c r="P211" s="881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</row>
    <row r="212" spans="1:26" ht="19.5" hidden="1">
      <c r="A212" s="1086"/>
      <c r="B212" s="1084"/>
      <c r="C212" s="1092"/>
      <c r="D212" s="996" t="s">
        <v>98</v>
      </c>
      <c r="E212" s="877"/>
      <c r="F212" s="877"/>
      <c r="G212" s="879"/>
      <c r="H212" s="161" t="s">
        <v>12</v>
      </c>
      <c r="I212" s="880"/>
      <c r="J212" s="880"/>
      <c r="K212" s="881"/>
      <c r="L212" s="881">
        <f ca="1">IFERROR(__xludf.DUMMYFUNCTION("IMPORTRANGE(""https://docs.google.com/spreadsheets/d/1QqKyyYR6Q21VydFLVH3TRQUabQu_ym0Zz7PgGX0-kHA/edit?usp=sharing"",""แผน!AM83"")"),0)</f>
        <v>0</v>
      </c>
      <c r="M212" s="881"/>
      <c r="N212" s="1085">
        <v>0</v>
      </c>
      <c r="O212" s="881"/>
      <c r="P212" s="881"/>
      <c r="Q212" s="1087"/>
      <c r="R212" s="1087"/>
      <c r="S212" s="1087"/>
      <c r="T212" s="1087"/>
      <c r="U212" s="1087"/>
      <c r="V212" s="1087"/>
      <c r="W212" s="1087"/>
      <c r="X212" s="1087"/>
      <c r="Y212" s="1087"/>
      <c r="Z212" s="1087"/>
    </row>
    <row r="213" spans="1:26" ht="19.5" hidden="1">
      <c r="A213" s="1002"/>
      <c r="B213" s="1003"/>
      <c r="C213" s="1092" t="s">
        <v>16</v>
      </c>
      <c r="D213" s="1004" t="s">
        <v>38</v>
      </c>
      <c r="E213" s="1005"/>
      <c r="F213" s="1005"/>
      <c r="G213" s="1006"/>
      <c r="H213" s="1007"/>
      <c r="I213" s="997"/>
      <c r="J213" s="880"/>
      <c r="K213" s="881"/>
      <c r="L213" s="881"/>
      <c r="M213" s="881"/>
      <c r="N213" s="881"/>
      <c r="O213" s="998"/>
      <c r="P213" s="998"/>
      <c r="Q213" s="868"/>
      <c r="R213" s="868"/>
      <c r="S213" s="868"/>
      <c r="T213" s="868"/>
      <c r="U213" s="868"/>
      <c r="V213" s="868"/>
      <c r="W213" s="868"/>
      <c r="X213" s="868"/>
      <c r="Y213" s="868"/>
      <c r="Z213" s="868"/>
    </row>
    <row r="214" spans="1:26" ht="18.75" hidden="1">
      <c r="A214" s="1002"/>
      <c r="B214" s="1003"/>
      <c r="C214" s="1003"/>
      <c r="D214" s="1008" t="s">
        <v>106</v>
      </c>
      <c r="E214" s="1010"/>
      <c r="F214" s="1010"/>
      <c r="G214" s="1011"/>
      <c r="H214" s="1007" t="s">
        <v>96</v>
      </c>
      <c r="I214" s="880">
        <f ca="1">IFERROR(__xludf.DUMMYFUNCTION("IMPORTRANGE(""https://docs.google.com/spreadsheets/d/1QqKyyYR6Q21VydFLVH3TRQUabQu_ym0Zz7PgGX0-kHA/edit?usp=sharing"",""แผน!AN83"")"),0)</f>
        <v>0</v>
      </c>
      <c r="J214" s="1012">
        <v>0</v>
      </c>
      <c r="K214" s="881">
        <f t="shared" ref="K214:K216" ca="1" si="101">IF(I214&gt;0,J214*100/I214,0)</f>
        <v>0</v>
      </c>
      <c r="L214" s="881"/>
      <c r="M214" s="881"/>
      <c r="N214" s="881"/>
      <c r="O214" s="881"/>
      <c r="P214" s="881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</row>
    <row r="215" spans="1:26" ht="18.75" hidden="1">
      <c r="A215" s="1002"/>
      <c r="B215" s="1003"/>
      <c r="C215" s="1003"/>
      <c r="D215" s="1008" t="s">
        <v>107</v>
      </c>
      <c r="E215" s="1010"/>
      <c r="F215" s="1010"/>
      <c r="G215" s="1011"/>
      <c r="H215" s="1007" t="s">
        <v>96</v>
      </c>
      <c r="I215" s="880">
        <f ca="1">IFERROR(__xludf.DUMMYFUNCTION("IMPORTRANGE(""https://docs.google.com/spreadsheets/d/1QqKyyYR6Q21VydFLVH3TRQUabQu_ym0Zz7PgGX0-kHA/edit?usp=sharing"",""แผน!AN83"")"),0)</f>
        <v>0</v>
      </c>
      <c r="J215" s="1012">
        <v>0</v>
      </c>
      <c r="K215" s="881">
        <f t="shared" ca="1" si="101"/>
        <v>0</v>
      </c>
      <c r="L215" s="881"/>
      <c r="M215" s="881"/>
      <c r="N215" s="881"/>
      <c r="O215" s="881"/>
      <c r="P215" s="881"/>
      <c r="Q215" s="868"/>
      <c r="R215" s="868"/>
      <c r="S215" s="868"/>
      <c r="T215" s="868"/>
      <c r="U215" s="868"/>
      <c r="V215" s="868"/>
      <c r="W215" s="868"/>
      <c r="X215" s="868"/>
      <c r="Y215" s="868"/>
      <c r="Z215" s="868"/>
    </row>
    <row r="216" spans="1:26" ht="19.5" hidden="1">
      <c r="A216" s="1063"/>
      <c r="B216" s="1070"/>
      <c r="C216" s="1077" t="s">
        <v>108</v>
      </c>
      <c r="D216" s="1064"/>
      <c r="E216" s="1064"/>
      <c r="F216" s="1091"/>
      <c r="G216" s="1066"/>
      <c r="H216" s="260" t="s">
        <v>109</v>
      </c>
      <c r="I216" s="1078">
        <f t="shared" ref="I216:J216" ca="1" si="102">I224</f>
        <v>0</v>
      </c>
      <c r="J216" s="1078">
        <f t="shared" si="102"/>
        <v>0</v>
      </c>
      <c r="K216" s="1079">
        <f t="shared" ca="1" si="101"/>
        <v>0</v>
      </c>
      <c r="L216" s="1068"/>
      <c r="M216" s="1068"/>
      <c r="N216" s="1068"/>
      <c r="O216" s="1068"/>
      <c r="P216" s="1068"/>
    </row>
    <row r="217" spans="1:26" ht="19.5" hidden="1">
      <c r="A217" s="985"/>
      <c r="B217" s="986"/>
      <c r="C217" s="987" t="s">
        <v>16</v>
      </c>
      <c r="D217" s="1080" t="s">
        <v>17</v>
      </c>
      <c r="E217" s="986"/>
      <c r="F217" s="986"/>
      <c r="G217" s="989"/>
      <c r="H217" s="275" t="s">
        <v>12</v>
      </c>
      <c r="I217" s="1082"/>
      <c r="J217" s="1082"/>
      <c r="K217" s="1083"/>
      <c r="L217" s="992">
        <f ca="1">L218+L219+L220</f>
        <v>0</v>
      </c>
      <c r="M217" s="992"/>
      <c r="N217" s="992">
        <f>N218+N219+N220</f>
        <v>0</v>
      </c>
      <c r="O217" s="992">
        <f ca="1">IF(L217&gt;0,N217*100/L217,0)</f>
        <v>0</v>
      </c>
      <c r="P217" s="992">
        <f>IF(M217&gt;0,N217*100/M217,0)</f>
        <v>0</v>
      </c>
      <c r="Q217" s="868"/>
      <c r="R217" s="868"/>
      <c r="S217" s="868"/>
      <c r="T217" s="868"/>
      <c r="U217" s="868"/>
      <c r="V217" s="868"/>
      <c r="W217" s="868"/>
      <c r="X217" s="868"/>
      <c r="Y217" s="868"/>
      <c r="Z217" s="868"/>
    </row>
    <row r="218" spans="1:26" ht="18.75" hidden="1">
      <c r="A218" s="995"/>
      <c r="B218" s="1084"/>
      <c r="C218" s="877"/>
      <c r="D218" s="996" t="s">
        <v>97</v>
      </c>
      <c r="E218" s="877"/>
      <c r="F218" s="877"/>
      <c r="G218" s="879"/>
      <c r="H218" s="161" t="s">
        <v>12</v>
      </c>
      <c r="I218" s="997"/>
      <c r="J218" s="997"/>
      <c r="K218" s="998"/>
      <c r="L218" s="881">
        <f ca="1">IFERROR(__xludf.DUMMYFUNCTION("IMPORTRANGE(""https://docs.google.com/spreadsheets/d/1QqKyyYR6Q21VydFLVH3TRQUabQu_ym0Zz7PgGX0-kHA/edit?usp=sharing"",""แผน!AP83"")"),0)</f>
        <v>0</v>
      </c>
      <c r="M218" s="881"/>
      <c r="N218" s="1085">
        <v>0</v>
      </c>
      <c r="O218" s="881"/>
      <c r="P218" s="881"/>
      <c r="Q218" s="868"/>
      <c r="R218" s="868"/>
      <c r="S218" s="868"/>
      <c r="T218" s="868"/>
      <c r="U218" s="868"/>
      <c r="V218" s="868"/>
      <c r="W218" s="868"/>
      <c r="X218" s="868"/>
      <c r="Y218" s="868"/>
      <c r="Z218" s="868"/>
    </row>
    <row r="219" spans="1:26" ht="19.5" hidden="1">
      <c r="A219" s="1086"/>
      <c r="B219" s="1084"/>
      <c r="C219" s="1092"/>
      <c r="D219" s="996" t="s">
        <v>110</v>
      </c>
      <c r="E219" s="877"/>
      <c r="F219" s="877"/>
      <c r="G219" s="879"/>
      <c r="H219" s="161" t="s">
        <v>12</v>
      </c>
      <c r="I219" s="880"/>
      <c r="J219" s="880"/>
      <c r="K219" s="881"/>
      <c r="L219" s="881">
        <f ca="1">IFERROR(__xludf.DUMMYFUNCTION("IMPORTRANGE(""https://docs.google.com/spreadsheets/d/1QqKyyYR6Q21VydFLVH3TRQUabQu_ym0Zz7PgGX0-kHA/edit?usp=sharing"",""แผน!AQ83"")"),0)</f>
        <v>0</v>
      </c>
      <c r="M219" s="881"/>
      <c r="N219" s="1085">
        <v>0</v>
      </c>
      <c r="O219" s="881"/>
      <c r="P219" s="881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</row>
    <row r="220" spans="1:26" ht="19.5" hidden="1">
      <c r="A220" s="1086"/>
      <c r="B220" s="1084"/>
      <c r="C220" s="1092"/>
      <c r="D220" s="996" t="s">
        <v>98</v>
      </c>
      <c r="E220" s="877"/>
      <c r="F220" s="877"/>
      <c r="G220" s="879"/>
      <c r="H220" s="161" t="s">
        <v>12</v>
      </c>
      <c r="I220" s="880"/>
      <c r="J220" s="880"/>
      <c r="K220" s="881"/>
      <c r="L220" s="881">
        <f ca="1">IFERROR(__xludf.DUMMYFUNCTION("IMPORTRANGE(""https://docs.google.com/spreadsheets/d/1QqKyyYR6Q21VydFLVH3TRQUabQu_ym0Zz7PgGX0-kHA/edit?usp=sharing"",""แผน!AR83"")"),0)</f>
        <v>0</v>
      </c>
      <c r="M220" s="881"/>
      <c r="N220" s="1085">
        <v>0</v>
      </c>
      <c r="O220" s="881"/>
      <c r="P220" s="881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</row>
    <row r="221" spans="1:26" ht="19.5" hidden="1">
      <c r="A221" s="1002"/>
      <c r="B221" s="1003"/>
      <c r="C221" s="1092" t="s">
        <v>16</v>
      </c>
      <c r="D221" s="1004" t="s">
        <v>38</v>
      </c>
      <c r="E221" s="1005"/>
      <c r="F221" s="1005"/>
      <c r="G221" s="1006"/>
      <c r="H221" s="1007"/>
      <c r="I221" s="997"/>
      <c r="J221" s="997"/>
      <c r="K221" s="998"/>
      <c r="L221" s="998"/>
      <c r="M221" s="998"/>
      <c r="N221" s="998"/>
      <c r="O221" s="998"/>
      <c r="P221" s="99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8"/>
    </row>
    <row r="222" spans="1:26" ht="18.75" hidden="1">
      <c r="A222" s="1002"/>
      <c r="B222" s="1003"/>
      <c r="C222" s="1003"/>
      <c r="D222" s="996" t="s">
        <v>111</v>
      </c>
      <c r="E222" s="1010"/>
      <c r="F222" s="1010"/>
      <c r="G222" s="1011"/>
      <c r="H222" s="1007"/>
      <c r="I222" s="880"/>
      <c r="J222" s="880"/>
      <c r="K222" s="998"/>
      <c r="L222" s="998"/>
      <c r="M222" s="998"/>
      <c r="N222" s="998"/>
      <c r="O222" s="998"/>
      <c r="P222" s="998"/>
      <c r="Q222" s="868"/>
      <c r="R222" s="868"/>
      <c r="S222" s="868"/>
      <c r="T222" s="868"/>
      <c r="U222" s="868"/>
      <c r="V222" s="868"/>
      <c r="W222" s="868"/>
      <c r="X222" s="868"/>
      <c r="Y222" s="868"/>
      <c r="Z222" s="868"/>
    </row>
    <row r="223" spans="1:26" ht="18.75" hidden="1">
      <c r="A223" s="1002"/>
      <c r="B223" s="1003"/>
      <c r="C223" s="1003"/>
      <c r="D223" s="1003"/>
      <c r="E223" s="1008" t="s">
        <v>112</v>
      </c>
      <c r="F223" s="1010"/>
      <c r="G223" s="1011"/>
      <c r="H223" s="762" t="s">
        <v>109</v>
      </c>
      <c r="I223" s="880">
        <f ca="1">IFERROR(__xludf.DUMMYFUNCTION("IMPORTRANGE(""https://docs.google.com/spreadsheets/d/1QqKyyYR6Q21VydFLVH3TRQUabQu_ym0Zz7PgGX0-kHA/edit?usp=sharing"",""แผน!AT83"")"),0)</f>
        <v>0</v>
      </c>
      <c r="J223" s="1012">
        <v>0</v>
      </c>
      <c r="K223" s="998">
        <f t="shared" ref="K223:K226" ca="1" si="103">IF(I223&gt;0,J223*100/I223,0)</f>
        <v>0</v>
      </c>
      <c r="L223" s="998"/>
      <c r="M223" s="998"/>
      <c r="N223" s="998"/>
      <c r="O223" s="998"/>
      <c r="P223" s="998"/>
      <c r="Q223" s="868"/>
      <c r="R223" s="868"/>
      <c r="S223" s="868"/>
      <c r="T223" s="868"/>
      <c r="U223" s="868"/>
      <c r="V223" s="868"/>
      <c r="W223" s="868"/>
      <c r="X223" s="868"/>
      <c r="Y223" s="868"/>
      <c r="Z223" s="868"/>
    </row>
    <row r="224" spans="1:26" ht="18.75" hidden="1">
      <c r="A224" s="1002"/>
      <c r="B224" s="1003"/>
      <c r="C224" s="1003"/>
      <c r="D224" s="1003"/>
      <c r="E224" s="1008" t="s">
        <v>113</v>
      </c>
      <c r="F224" s="1010"/>
      <c r="G224" s="1011"/>
      <c r="H224" s="762" t="s">
        <v>109</v>
      </c>
      <c r="I224" s="880">
        <f ca="1">IFERROR(__xludf.DUMMYFUNCTION("IMPORTRANGE(""https://docs.google.com/spreadsheets/d/1QqKyyYR6Q21VydFLVH3TRQUabQu_ym0Zz7PgGX0-kHA/edit?usp=sharing"",""แผน!AT83"")"),0)</f>
        <v>0</v>
      </c>
      <c r="J224" s="1012">
        <v>0</v>
      </c>
      <c r="K224" s="998">
        <f t="shared" ca="1" si="103"/>
        <v>0</v>
      </c>
      <c r="L224" s="881"/>
      <c r="M224" s="881"/>
      <c r="N224" s="881"/>
      <c r="O224" s="881"/>
      <c r="P224" s="881"/>
      <c r="Q224" s="868"/>
      <c r="R224" s="868"/>
      <c r="S224" s="868"/>
      <c r="T224" s="868"/>
      <c r="U224" s="868"/>
      <c r="V224" s="868"/>
      <c r="W224" s="868"/>
      <c r="X224" s="868"/>
      <c r="Y224" s="868"/>
      <c r="Z224" s="868"/>
    </row>
    <row r="225" spans="1:26" ht="18.75" hidden="1">
      <c r="A225" s="1002"/>
      <c r="B225" s="1003"/>
      <c r="C225" s="1003"/>
      <c r="D225" s="996" t="s">
        <v>114</v>
      </c>
      <c r="E225" s="1010"/>
      <c r="F225" s="1010"/>
      <c r="G225" s="1011"/>
      <c r="H225" s="762" t="s">
        <v>35</v>
      </c>
      <c r="I225" s="880">
        <f ca="1">IFERROR(__xludf.DUMMYFUNCTION("IMPORTRANGE(""https://docs.google.com/spreadsheets/d/1QqKyyYR6Q21VydFLVH3TRQUabQu_ym0Zz7PgGX0-kHA/edit?usp=sharing"",""แผน!AS83"")"),0)</f>
        <v>0</v>
      </c>
      <c r="J225" s="1012">
        <v>0</v>
      </c>
      <c r="K225" s="998">
        <f t="shared" ca="1" si="103"/>
        <v>0</v>
      </c>
      <c r="L225" s="881"/>
      <c r="M225" s="881"/>
      <c r="N225" s="881"/>
      <c r="O225" s="881"/>
      <c r="P225" s="881"/>
      <c r="Q225" s="868"/>
      <c r="R225" s="868"/>
      <c r="S225" s="868"/>
      <c r="T225" s="868"/>
      <c r="U225" s="868"/>
      <c r="V225" s="868"/>
      <c r="W225" s="868"/>
      <c r="X225" s="868"/>
      <c r="Y225" s="868"/>
      <c r="Z225" s="868"/>
    </row>
    <row r="226" spans="1:26" ht="19.5" hidden="1">
      <c r="A226" s="1063"/>
      <c r="B226" s="1070"/>
      <c r="C226" s="1093" t="s">
        <v>115</v>
      </c>
      <c r="D226" s="1064"/>
      <c r="E226" s="1064"/>
      <c r="F226" s="1064"/>
      <c r="G226" s="1066"/>
      <c r="H226" s="266" t="s">
        <v>35</v>
      </c>
      <c r="I226" s="1094" t="e">
        <f t="shared" ref="I226:J226" ca="1" si="104">I237+I248</f>
        <v>#VALUE!</v>
      </c>
      <c r="J226" s="1094">
        <f t="shared" si="104"/>
        <v>0</v>
      </c>
      <c r="K226" s="1095" t="e">
        <f t="shared" ca="1" si="103"/>
        <v>#VALUE!</v>
      </c>
      <c r="L226" s="1068"/>
      <c r="M226" s="1068"/>
      <c r="N226" s="1068"/>
      <c r="O226" s="1068"/>
      <c r="P226" s="1068"/>
    </row>
    <row r="227" spans="1:26" ht="19.5" hidden="1">
      <c r="A227" s="1096"/>
      <c r="B227" s="1097"/>
      <c r="C227" s="1098" t="s">
        <v>16</v>
      </c>
      <c r="D227" s="1099" t="s">
        <v>17</v>
      </c>
      <c r="E227" s="1097"/>
      <c r="F227" s="1097"/>
      <c r="G227" s="1100"/>
      <c r="H227" s="353" t="s">
        <v>12</v>
      </c>
      <c r="I227" s="1101"/>
      <c r="J227" s="1101"/>
      <c r="K227" s="1102"/>
      <c r="L227" s="1103">
        <f t="shared" ref="L227:L231" ca="1" si="105">L238+L249</f>
        <v>0</v>
      </c>
      <c r="M227" s="1103"/>
      <c r="N227" s="1103">
        <f t="shared" ref="N227:N231" si="106">N238+N249</f>
        <v>0</v>
      </c>
      <c r="O227" s="1104"/>
      <c r="P227" s="1104"/>
      <c r="Q227" s="875"/>
      <c r="R227" s="875"/>
      <c r="S227" s="875"/>
      <c r="T227" s="875"/>
      <c r="U227" s="875"/>
      <c r="V227" s="875"/>
      <c r="W227" s="875"/>
      <c r="X227" s="875"/>
      <c r="Y227" s="875"/>
      <c r="Z227" s="875"/>
    </row>
    <row r="228" spans="1:26" ht="18.75" hidden="1">
      <c r="A228" s="993"/>
      <c r="B228" s="1105"/>
      <c r="C228" s="883"/>
      <c r="D228" s="884" t="s">
        <v>97</v>
      </c>
      <c r="E228" s="883"/>
      <c r="F228" s="883"/>
      <c r="G228" s="885"/>
      <c r="H228" s="165" t="s">
        <v>12</v>
      </c>
      <c r="I228" s="1000"/>
      <c r="J228" s="1000"/>
      <c r="K228" s="1001"/>
      <c r="L228" s="887">
        <f t="shared" ca="1" si="105"/>
        <v>0</v>
      </c>
      <c r="M228" s="887"/>
      <c r="N228" s="887">
        <f t="shared" si="106"/>
        <v>0</v>
      </c>
      <c r="O228" s="887"/>
      <c r="P228" s="887"/>
      <c r="Q228" s="875"/>
      <c r="R228" s="875"/>
      <c r="S228" s="875"/>
      <c r="T228" s="875"/>
      <c r="U228" s="875"/>
      <c r="V228" s="875"/>
      <c r="W228" s="875"/>
      <c r="X228" s="875"/>
      <c r="Y228" s="875"/>
      <c r="Z228" s="875"/>
    </row>
    <row r="229" spans="1:26" ht="19.5" hidden="1">
      <c r="A229" s="1106"/>
      <c r="B229" s="1105"/>
      <c r="C229" s="1107"/>
      <c r="D229" s="884" t="s">
        <v>98</v>
      </c>
      <c r="E229" s="883"/>
      <c r="F229" s="883"/>
      <c r="G229" s="885"/>
      <c r="H229" s="165" t="s">
        <v>12</v>
      </c>
      <c r="I229" s="886"/>
      <c r="J229" s="886"/>
      <c r="K229" s="887"/>
      <c r="L229" s="887">
        <f t="shared" ca="1" si="105"/>
        <v>0</v>
      </c>
      <c r="M229" s="887"/>
      <c r="N229" s="887">
        <f t="shared" si="106"/>
        <v>0</v>
      </c>
      <c r="O229" s="887"/>
      <c r="P229" s="887"/>
      <c r="Q229" s="1108"/>
      <c r="R229" s="1108"/>
      <c r="S229" s="1108"/>
      <c r="T229" s="1108"/>
      <c r="U229" s="1108"/>
      <c r="V229" s="1108"/>
      <c r="W229" s="1108"/>
      <c r="X229" s="1108"/>
      <c r="Y229" s="1108"/>
      <c r="Z229" s="1108"/>
    </row>
    <row r="230" spans="1:26" ht="19.5" hidden="1">
      <c r="A230" s="1106"/>
      <c r="B230" s="1105"/>
      <c r="C230" s="1107"/>
      <c r="D230" s="884" t="s">
        <v>116</v>
      </c>
      <c r="E230" s="883"/>
      <c r="F230" s="883"/>
      <c r="G230" s="885"/>
      <c r="H230" s="165" t="s">
        <v>12</v>
      </c>
      <c r="I230" s="886"/>
      <c r="J230" s="886"/>
      <c r="K230" s="887"/>
      <c r="L230" s="887">
        <f t="shared" ca="1" si="105"/>
        <v>0</v>
      </c>
      <c r="M230" s="887"/>
      <c r="N230" s="887">
        <f t="shared" si="106"/>
        <v>0</v>
      </c>
      <c r="O230" s="887"/>
      <c r="P230" s="887"/>
      <c r="Q230" s="1108"/>
      <c r="R230" s="1108"/>
      <c r="S230" s="1108"/>
      <c r="T230" s="1108"/>
      <c r="U230" s="1108"/>
      <c r="V230" s="1108"/>
      <c r="W230" s="1108"/>
      <c r="X230" s="1108"/>
      <c r="Y230" s="1108"/>
      <c r="Z230" s="1108"/>
    </row>
    <row r="231" spans="1:26" ht="19.5" hidden="1">
      <c r="A231" s="1106"/>
      <c r="B231" s="1105"/>
      <c r="C231" s="1107"/>
      <c r="D231" s="884" t="s">
        <v>100</v>
      </c>
      <c r="E231" s="883"/>
      <c r="F231" s="883"/>
      <c r="G231" s="885"/>
      <c r="H231" s="165" t="s">
        <v>12</v>
      </c>
      <c r="I231" s="886"/>
      <c r="J231" s="886"/>
      <c r="K231" s="887"/>
      <c r="L231" s="887">
        <f t="shared" ca="1" si="105"/>
        <v>0</v>
      </c>
      <c r="M231" s="887"/>
      <c r="N231" s="887">
        <f t="shared" si="106"/>
        <v>0</v>
      </c>
      <c r="O231" s="887"/>
      <c r="P231" s="887"/>
      <c r="Q231" s="1108"/>
      <c r="R231" s="1108"/>
      <c r="S231" s="1108"/>
      <c r="T231" s="1108"/>
      <c r="U231" s="1108"/>
      <c r="V231" s="1108"/>
      <c r="W231" s="1108"/>
      <c r="X231" s="1108"/>
      <c r="Y231" s="1108"/>
      <c r="Z231" s="1108"/>
    </row>
    <row r="232" spans="1:26" ht="19.5" hidden="1">
      <c r="A232" s="1109"/>
      <c r="B232" s="1110"/>
      <c r="C232" s="1107" t="s">
        <v>16</v>
      </c>
      <c r="D232" s="1072" t="s">
        <v>38</v>
      </c>
      <c r="E232" s="1111"/>
      <c r="F232" s="1111"/>
      <c r="G232" s="1112"/>
      <c r="H232" s="1113"/>
      <c r="I232" s="1000"/>
      <c r="J232" s="886"/>
      <c r="K232" s="887"/>
      <c r="L232" s="887"/>
      <c r="M232" s="887"/>
      <c r="N232" s="887"/>
      <c r="O232" s="1001"/>
      <c r="P232" s="1001"/>
      <c r="Q232" s="875"/>
      <c r="R232" s="875"/>
      <c r="S232" s="875"/>
      <c r="T232" s="875"/>
      <c r="U232" s="875"/>
      <c r="V232" s="875"/>
      <c r="W232" s="875"/>
      <c r="X232" s="875"/>
      <c r="Y232" s="875"/>
      <c r="Z232" s="875"/>
    </row>
    <row r="233" spans="1:26" ht="18.75" hidden="1">
      <c r="A233" s="1109"/>
      <c r="B233" s="1110"/>
      <c r="C233" s="1110"/>
      <c r="D233" s="1074" t="s">
        <v>117</v>
      </c>
      <c r="E233" s="1114"/>
      <c r="F233" s="1114"/>
      <c r="G233" s="1115"/>
      <c r="H233" s="370" t="s">
        <v>35</v>
      </c>
      <c r="I233" s="886" t="e">
        <f t="shared" ref="I233:J233" ca="1" si="107">I244+I255</f>
        <v>#VALUE!</v>
      </c>
      <c r="J233" s="886">
        <f t="shared" si="107"/>
        <v>0</v>
      </c>
      <c r="K233" s="887" t="e">
        <f ca="1">IF(I233&gt;0,J233*100/I233,0)</f>
        <v>#VALUE!</v>
      </c>
      <c r="L233" s="887"/>
      <c r="M233" s="887"/>
      <c r="N233" s="887"/>
      <c r="O233" s="887"/>
      <c r="P233" s="887"/>
      <c r="Q233" s="875"/>
      <c r="R233" s="875"/>
      <c r="S233" s="875"/>
      <c r="T233" s="875"/>
      <c r="U233" s="875"/>
      <c r="V233" s="875"/>
      <c r="W233" s="875"/>
      <c r="X233" s="875"/>
      <c r="Y233" s="875"/>
      <c r="Z233" s="875"/>
    </row>
    <row r="234" spans="1:26" ht="18.75" hidden="1">
      <c r="A234" s="1109"/>
      <c r="B234" s="1110"/>
      <c r="C234" s="1110"/>
      <c r="D234" s="1116" t="s">
        <v>43</v>
      </c>
      <c r="E234" s="1114"/>
      <c r="F234" s="1114"/>
      <c r="G234" s="1115"/>
      <c r="H234" s="370"/>
      <c r="I234" s="886"/>
      <c r="J234" s="886"/>
      <c r="K234" s="887"/>
      <c r="L234" s="887"/>
      <c r="M234" s="887"/>
      <c r="N234" s="887"/>
      <c r="O234" s="1001"/>
      <c r="P234" s="1001"/>
      <c r="Q234" s="875"/>
      <c r="R234" s="875"/>
      <c r="S234" s="875"/>
      <c r="T234" s="875"/>
      <c r="U234" s="875"/>
      <c r="V234" s="875"/>
      <c r="W234" s="875"/>
      <c r="X234" s="875"/>
      <c r="Y234" s="875"/>
      <c r="Z234" s="875"/>
    </row>
    <row r="235" spans="1:26" ht="18.75" hidden="1">
      <c r="A235" s="1109"/>
      <c r="B235" s="1110"/>
      <c r="C235" s="1110"/>
      <c r="D235" s="1110"/>
      <c r="E235" s="1073" t="s">
        <v>118</v>
      </c>
      <c r="F235" s="1114"/>
      <c r="G235" s="1115"/>
      <c r="H235" s="370" t="s">
        <v>35</v>
      </c>
      <c r="I235" s="886">
        <f t="shared" ref="I235:J236" si="108">I246+I257</f>
        <v>0</v>
      </c>
      <c r="J235" s="886">
        <f t="shared" si="108"/>
        <v>0</v>
      </c>
      <c r="K235" s="887">
        <f t="shared" ref="K235:K237" si="109">IF(I235&gt;0,J235*100/I235,0)</f>
        <v>0</v>
      </c>
      <c r="L235" s="887"/>
      <c r="M235" s="887"/>
      <c r="N235" s="887"/>
      <c r="O235" s="887"/>
      <c r="P235" s="887"/>
      <c r="Q235" s="875"/>
      <c r="R235" s="875"/>
      <c r="S235" s="875"/>
      <c r="T235" s="875"/>
      <c r="U235" s="875"/>
      <c r="V235" s="875"/>
      <c r="W235" s="875"/>
      <c r="X235" s="875"/>
      <c r="Y235" s="875"/>
      <c r="Z235" s="875"/>
    </row>
    <row r="236" spans="1:26" ht="18.75" hidden="1">
      <c r="A236" s="1109"/>
      <c r="B236" s="1110"/>
      <c r="C236" s="1110"/>
      <c r="D236" s="1110"/>
      <c r="E236" s="1073" t="s">
        <v>119</v>
      </c>
      <c r="F236" s="1114"/>
      <c r="G236" s="1115"/>
      <c r="H236" s="370" t="s">
        <v>66</v>
      </c>
      <c r="I236" s="886">
        <f t="shared" si="108"/>
        <v>0</v>
      </c>
      <c r="J236" s="886">
        <f t="shared" si="108"/>
        <v>0</v>
      </c>
      <c r="K236" s="887">
        <f t="shared" si="109"/>
        <v>0</v>
      </c>
      <c r="L236" s="887"/>
      <c r="M236" s="887"/>
      <c r="N236" s="887"/>
      <c r="O236" s="887"/>
      <c r="P236" s="887"/>
      <c r="Q236" s="875"/>
      <c r="R236" s="875"/>
      <c r="S236" s="875"/>
      <c r="T236" s="875"/>
      <c r="U236" s="875"/>
      <c r="V236" s="875"/>
      <c r="W236" s="875"/>
      <c r="X236" s="875"/>
      <c r="Y236" s="875"/>
      <c r="Z236" s="875"/>
    </row>
    <row r="237" spans="1:26" ht="19.5" hidden="1">
      <c r="A237" s="1063"/>
      <c r="B237" s="1070"/>
      <c r="C237" s="1077" t="s">
        <v>332</v>
      </c>
      <c r="D237" s="1064"/>
      <c r="E237" s="1064"/>
      <c r="F237" s="1064"/>
      <c r="G237" s="1066"/>
      <c r="H237" s="260" t="s">
        <v>35</v>
      </c>
      <c r="I237" s="1078">
        <f t="shared" ref="I237:J237" ca="1" si="110">I244</f>
        <v>0</v>
      </c>
      <c r="J237" s="1078">
        <f t="shared" si="110"/>
        <v>0</v>
      </c>
      <c r="K237" s="1079">
        <f t="shared" ca="1" si="109"/>
        <v>0</v>
      </c>
      <c r="L237" s="1068"/>
      <c r="M237" s="1068"/>
      <c r="N237" s="1068"/>
      <c r="O237" s="1068"/>
      <c r="P237" s="1068"/>
    </row>
    <row r="238" spans="1:26" ht="19.5" hidden="1">
      <c r="A238" s="985"/>
      <c r="B238" s="986"/>
      <c r="C238" s="987" t="s">
        <v>16</v>
      </c>
      <c r="D238" s="988" t="s">
        <v>17</v>
      </c>
      <c r="E238" s="986"/>
      <c r="F238" s="986"/>
      <c r="G238" s="989"/>
      <c r="H238" s="275" t="s">
        <v>12</v>
      </c>
      <c r="I238" s="1082"/>
      <c r="J238" s="1082"/>
      <c r="K238" s="1083"/>
      <c r="L238" s="992">
        <f ca="1">L239+L240+L241+L242</f>
        <v>0</v>
      </c>
      <c r="M238" s="992"/>
      <c r="N238" s="992">
        <f>N239+N240+N241+N242</f>
        <v>0</v>
      </c>
      <c r="O238" s="992">
        <f ca="1">IF(L238&gt;0,N238*100/L238,0)</f>
        <v>0</v>
      </c>
      <c r="P238" s="992">
        <f>IF(M238&gt;0,N238*100/M238,0)</f>
        <v>0</v>
      </c>
      <c r="Q238" s="868"/>
      <c r="R238" s="868"/>
      <c r="S238" s="868"/>
      <c r="T238" s="868"/>
      <c r="U238" s="868"/>
      <c r="V238" s="868"/>
      <c r="W238" s="868"/>
      <c r="X238" s="868"/>
      <c r="Y238" s="868"/>
      <c r="Z238" s="868"/>
    </row>
    <row r="239" spans="1:26" ht="18.75" hidden="1">
      <c r="A239" s="1117"/>
      <c r="B239" s="1118"/>
      <c r="C239" s="1119"/>
      <c r="D239" s="1120" t="s">
        <v>97</v>
      </c>
      <c r="E239" s="1119"/>
      <c r="F239" s="1119"/>
      <c r="G239" s="1121"/>
      <c r="H239" s="319" t="s">
        <v>12</v>
      </c>
      <c r="I239" s="1122"/>
      <c r="J239" s="1122"/>
      <c r="K239" s="1123"/>
      <c r="L239" s="1124">
        <f ca="1">IFERROR(__xludf.DUMMYFUNCTION("IMPORTRANGE(""https://docs.google.com/spreadsheets/d/1QqKyyYR6Q21VydFLVH3TRQUabQu_ym0Zz7PgGX0-kHA/edit?usp=sharing"",""แผน!AV83"")"),0)</f>
        <v>0</v>
      </c>
      <c r="M239" s="1124"/>
      <c r="N239" s="1125">
        <v>0</v>
      </c>
      <c r="O239" s="1124"/>
      <c r="P239" s="1124"/>
      <c r="Q239" s="1126"/>
      <c r="R239" s="1126"/>
      <c r="S239" s="1126"/>
      <c r="T239" s="1126"/>
      <c r="U239" s="1126"/>
      <c r="V239" s="1126"/>
      <c r="W239" s="1126"/>
      <c r="X239" s="1126"/>
      <c r="Y239" s="1126"/>
      <c r="Z239" s="1126"/>
    </row>
    <row r="240" spans="1:26" ht="19.5" hidden="1">
      <c r="A240" s="1127"/>
      <c r="B240" s="1118"/>
      <c r="C240" s="1128"/>
      <c r="D240" s="1120" t="s">
        <v>98</v>
      </c>
      <c r="E240" s="1119"/>
      <c r="F240" s="1119"/>
      <c r="G240" s="1121"/>
      <c r="H240" s="319" t="s">
        <v>12</v>
      </c>
      <c r="I240" s="1129"/>
      <c r="J240" s="1129"/>
      <c r="K240" s="1124"/>
      <c r="L240" s="1124">
        <f ca="1">IFERROR(__xludf.DUMMYFUNCTION("IMPORTRANGE(""https://docs.google.com/spreadsheets/d/1QqKyyYR6Q21VydFLVH3TRQUabQu_ym0Zz7PgGX0-kHA/edit?usp=sharing"",""แผน!AW83"")"),0)</f>
        <v>0</v>
      </c>
      <c r="M240" s="1124"/>
      <c r="N240" s="1125">
        <v>0</v>
      </c>
      <c r="O240" s="1124"/>
      <c r="P240" s="1124"/>
      <c r="Q240" s="1130"/>
      <c r="R240" s="1130"/>
      <c r="S240" s="1130"/>
      <c r="T240" s="1130"/>
      <c r="U240" s="1130"/>
      <c r="V240" s="1130"/>
      <c r="W240" s="1130"/>
      <c r="X240" s="1130"/>
      <c r="Y240" s="1130"/>
      <c r="Z240" s="1130"/>
    </row>
    <row r="241" spans="1:26" ht="19.5" hidden="1">
      <c r="A241" s="1127"/>
      <c r="B241" s="1118"/>
      <c r="C241" s="1128"/>
      <c r="D241" s="1120" t="s">
        <v>116</v>
      </c>
      <c r="E241" s="1119"/>
      <c r="F241" s="1119"/>
      <c r="G241" s="1121"/>
      <c r="H241" s="319" t="s">
        <v>12</v>
      </c>
      <c r="I241" s="1129"/>
      <c r="J241" s="1129"/>
      <c r="K241" s="1124"/>
      <c r="L241" s="1124">
        <f ca="1">IFERROR(__xludf.DUMMYFUNCTION("IMPORTRANGE(""https://docs.google.com/spreadsheets/d/1QqKyyYR6Q21VydFLVH3TRQUabQu_ym0Zz7PgGX0-kHA/edit?usp=sharing"",""แผน!AX83"")"),0)</f>
        <v>0</v>
      </c>
      <c r="M241" s="1124"/>
      <c r="N241" s="1125">
        <v>0</v>
      </c>
      <c r="O241" s="1124"/>
      <c r="P241" s="1124"/>
      <c r="Q241" s="1130"/>
      <c r="R241" s="1130"/>
      <c r="S241" s="1130"/>
      <c r="T241" s="1130"/>
      <c r="U241" s="1130"/>
      <c r="V241" s="1130"/>
      <c r="W241" s="1130"/>
      <c r="X241" s="1130"/>
      <c r="Y241" s="1130"/>
      <c r="Z241" s="1130"/>
    </row>
    <row r="242" spans="1:26" ht="19.5" hidden="1">
      <c r="A242" s="1127"/>
      <c r="B242" s="1118"/>
      <c r="C242" s="1128"/>
      <c r="D242" s="1120" t="s">
        <v>100</v>
      </c>
      <c r="E242" s="1119"/>
      <c r="F242" s="1119"/>
      <c r="G242" s="1121"/>
      <c r="H242" s="319" t="s">
        <v>12</v>
      </c>
      <c r="I242" s="1129"/>
      <c r="J242" s="1129"/>
      <c r="K242" s="1124"/>
      <c r="L242" s="1124">
        <f ca="1">IFERROR(__xludf.DUMMYFUNCTION("IMPORTRANGE(""https://docs.google.com/spreadsheets/d/1QqKyyYR6Q21VydFLVH3TRQUabQu_ym0Zz7PgGX0-kHA/edit?usp=sharing"",""แผน!AY83"")"),0)</f>
        <v>0</v>
      </c>
      <c r="M242" s="1124"/>
      <c r="N242" s="1125">
        <v>0</v>
      </c>
      <c r="O242" s="1124"/>
      <c r="P242" s="1124"/>
      <c r="Q242" s="1130"/>
      <c r="R242" s="1130"/>
      <c r="S242" s="1130"/>
      <c r="T242" s="1130"/>
      <c r="U242" s="1130"/>
      <c r="V242" s="1130"/>
      <c r="W242" s="1130"/>
      <c r="X242" s="1130"/>
      <c r="Y242" s="1130"/>
      <c r="Z242" s="1130"/>
    </row>
    <row r="243" spans="1:26" ht="19.5" hidden="1">
      <c r="A243" s="1002"/>
      <c r="B243" s="1003"/>
      <c r="C243" s="1092" t="s">
        <v>16</v>
      </c>
      <c r="D243" s="1004" t="s">
        <v>38</v>
      </c>
      <c r="E243" s="1005"/>
      <c r="F243" s="1005"/>
      <c r="G243" s="1006"/>
      <c r="H243" s="1007"/>
      <c r="I243" s="997"/>
      <c r="J243" s="880"/>
      <c r="K243" s="881"/>
      <c r="L243" s="881"/>
      <c r="M243" s="881"/>
      <c r="N243" s="881"/>
      <c r="O243" s="998"/>
      <c r="P243" s="998"/>
      <c r="Q243" s="868"/>
      <c r="R243" s="868"/>
      <c r="S243" s="868"/>
      <c r="T243" s="868"/>
      <c r="U243" s="868"/>
      <c r="V243" s="868"/>
      <c r="W243" s="868"/>
      <c r="X243" s="868"/>
      <c r="Y243" s="868"/>
      <c r="Z243" s="868"/>
    </row>
    <row r="244" spans="1:26" ht="18.75" hidden="1">
      <c r="A244" s="1002"/>
      <c r="B244" s="1003"/>
      <c r="C244" s="1003"/>
      <c r="D244" s="1009" t="s">
        <v>117</v>
      </c>
      <c r="E244" s="1010"/>
      <c r="F244" s="1010"/>
      <c r="G244" s="1011"/>
      <c r="H244" s="762" t="s">
        <v>35</v>
      </c>
      <c r="I244" s="880">
        <f ca="1">IFERROR(__xludf.DUMMYFUNCTION("IMPORTRANGE(""https://docs.google.com/spreadsheets/d/1QqKyyYR6Q21VydFLVH3TRQUabQu_ym0Zz7PgGX0-kHA/edit?usp=sharing"",""แผน!BE83"")"),0)</f>
        <v>0</v>
      </c>
      <c r="J244" s="1012">
        <v>0</v>
      </c>
      <c r="K244" s="881">
        <f ca="1">IF(I244&gt;0,J244*100/I244,0)</f>
        <v>0</v>
      </c>
      <c r="L244" s="881"/>
      <c r="M244" s="881"/>
      <c r="N244" s="881"/>
      <c r="O244" s="881"/>
      <c r="P244" s="881"/>
      <c r="Q244" s="868"/>
      <c r="R244" s="868"/>
      <c r="S244" s="868"/>
      <c r="T244" s="868"/>
      <c r="U244" s="868"/>
      <c r="V244" s="868"/>
      <c r="W244" s="868"/>
      <c r="X244" s="868"/>
      <c r="Y244" s="868"/>
      <c r="Z244" s="868"/>
    </row>
    <row r="245" spans="1:26" ht="18.75" hidden="1">
      <c r="A245" s="1002"/>
      <c r="B245" s="1003"/>
      <c r="C245" s="1003"/>
      <c r="D245" s="1131" t="s">
        <v>43</v>
      </c>
      <c r="E245" s="1010"/>
      <c r="F245" s="1010"/>
      <c r="G245" s="1011"/>
      <c r="H245" s="762"/>
      <c r="I245" s="880"/>
      <c r="J245" s="880"/>
      <c r="K245" s="881"/>
      <c r="L245" s="881"/>
      <c r="M245" s="881"/>
      <c r="N245" s="881"/>
      <c r="O245" s="998"/>
      <c r="P245" s="998"/>
      <c r="Q245" s="868"/>
      <c r="R245" s="868"/>
      <c r="S245" s="868"/>
      <c r="T245" s="868"/>
      <c r="U245" s="868"/>
      <c r="V245" s="868"/>
      <c r="W245" s="868"/>
      <c r="X245" s="868"/>
      <c r="Y245" s="868"/>
      <c r="Z245" s="868"/>
    </row>
    <row r="246" spans="1:26" ht="18.75" hidden="1">
      <c r="A246" s="1002"/>
      <c r="B246" s="1003"/>
      <c r="C246" s="1003"/>
      <c r="D246" s="1003"/>
      <c r="E246" s="1008" t="s">
        <v>118</v>
      </c>
      <c r="F246" s="1010"/>
      <c r="G246" s="1011"/>
      <c r="H246" s="762" t="s">
        <v>35</v>
      </c>
      <c r="I246" s="880"/>
      <c r="J246" s="1012">
        <v>0</v>
      </c>
      <c r="K246" s="881">
        <f t="shared" ref="K246:K248" si="111">IF(I246&gt;0,J246*100/I246,0)</f>
        <v>0</v>
      </c>
      <c r="L246" s="881"/>
      <c r="M246" s="881"/>
      <c r="N246" s="881"/>
      <c r="O246" s="881"/>
      <c r="P246" s="881"/>
      <c r="Q246" s="868"/>
      <c r="R246" s="868"/>
      <c r="S246" s="868"/>
      <c r="T246" s="868"/>
      <c r="U246" s="868"/>
      <c r="V246" s="868"/>
      <c r="W246" s="868"/>
      <c r="X246" s="868"/>
      <c r="Y246" s="868"/>
      <c r="Z246" s="868"/>
    </row>
    <row r="247" spans="1:26" ht="18.75" hidden="1">
      <c r="A247" s="1002"/>
      <c r="B247" s="1003"/>
      <c r="C247" s="1003"/>
      <c r="D247" s="1003"/>
      <c r="E247" s="1008" t="s">
        <v>119</v>
      </c>
      <c r="F247" s="1010"/>
      <c r="G247" s="1011"/>
      <c r="H247" s="762" t="s">
        <v>66</v>
      </c>
      <c r="I247" s="880"/>
      <c r="J247" s="1012">
        <v>0</v>
      </c>
      <c r="K247" s="881">
        <f t="shared" si="111"/>
        <v>0</v>
      </c>
      <c r="L247" s="881"/>
      <c r="M247" s="881"/>
      <c r="N247" s="881"/>
      <c r="O247" s="881"/>
      <c r="P247" s="881"/>
      <c r="Q247" s="868"/>
      <c r="R247" s="868"/>
      <c r="S247" s="868"/>
      <c r="T247" s="868"/>
      <c r="U247" s="868"/>
      <c r="V247" s="868"/>
      <c r="W247" s="868"/>
      <c r="X247" s="868"/>
      <c r="Y247" s="868"/>
      <c r="Z247" s="868"/>
    </row>
    <row r="248" spans="1:26" ht="19.5" hidden="1">
      <c r="A248" s="1063"/>
      <c r="B248" s="1070"/>
      <c r="C248" s="1077" t="s">
        <v>333</v>
      </c>
      <c r="D248" s="1064"/>
      <c r="E248" s="1064"/>
      <c r="F248" s="1064"/>
      <c r="G248" s="1066"/>
      <c r="H248" s="260" t="s">
        <v>35</v>
      </c>
      <c r="I248" s="1078" t="str">
        <f t="shared" ref="I248:J248" ca="1" si="112">I255</f>
        <v/>
      </c>
      <c r="J248" s="1078">
        <f t="shared" si="112"/>
        <v>0</v>
      </c>
      <c r="K248" s="1079" t="e">
        <f t="shared" ca="1" si="111"/>
        <v>#VALUE!</v>
      </c>
      <c r="L248" s="1068"/>
      <c r="M248" s="1068"/>
      <c r="N248" s="1068"/>
      <c r="O248" s="1068"/>
      <c r="P248" s="1068"/>
    </row>
    <row r="249" spans="1:26" ht="19.5" hidden="1">
      <c r="A249" s="985"/>
      <c r="B249" s="986"/>
      <c r="C249" s="987" t="s">
        <v>16</v>
      </c>
      <c r="D249" s="1080" t="s">
        <v>17</v>
      </c>
      <c r="E249" s="986"/>
      <c r="F249" s="986"/>
      <c r="G249" s="989"/>
      <c r="H249" s="275" t="s">
        <v>12</v>
      </c>
      <c r="I249" s="1082"/>
      <c r="J249" s="1082"/>
      <c r="K249" s="1083"/>
      <c r="L249" s="992">
        <f ca="1">L250+L251+L252+L253</f>
        <v>0</v>
      </c>
      <c r="M249" s="992"/>
      <c r="N249" s="992">
        <f>N250+N251+N252+N253</f>
        <v>0</v>
      </c>
      <c r="O249" s="992">
        <f ca="1">IF(L249&gt;0,N249*100/L249,0)</f>
        <v>0</v>
      </c>
      <c r="P249" s="992">
        <f>IF(M249&gt;0,N249*100/M249,0)</f>
        <v>0</v>
      </c>
      <c r="Q249" s="868"/>
      <c r="R249" s="868"/>
      <c r="S249" s="868"/>
      <c r="T249" s="868"/>
      <c r="U249" s="868"/>
      <c r="V249" s="868"/>
      <c r="W249" s="868"/>
      <c r="X249" s="868"/>
      <c r="Y249" s="868"/>
      <c r="Z249" s="868"/>
    </row>
    <row r="250" spans="1:26" ht="18.75" hidden="1">
      <c r="A250" s="1117"/>
      <c r="B250" s="1118"/>
      <c r="C250" s="1119"/>
      <c r="D250" s="1120" t="s">
        <v>97</v>
      </c>
      <c r="E250" s="1119"/>
      <c r="F250" s="1119"/>
      <c r="G250" s="1121"/>
      <c r="H250" s="319" t="s">
        <v>12</v>
      </c>
      <c r="I250" s="1122"/>
      <c r="J250" s="1122"/>
      <c r="K250" s="1123"/>
      <c r="L250" s="1124">
        <f ca="1">IFERROR(__xludf.DUMMYFUNCTION("IMPORTRANGE(""https://docs.google.com/spreadsheets/d/1QqKyyYR6Q21VydFLVH3TRQUabQu_ym0Zz7PgGX0-kHA/edit?usp=sharing"",""แผน!AZ83"")"),0)</f>
        <v>0</v>
      </c>
      <c r="M250" s="1124"/>
      <c r="N250" s="1125">
        <v>0</v>
      </c>
      <c r="O250" s="1124"/>
      <c r="P250" s="1124"/>
      <c r="Q250" s="1126"/>
      <c r="R250" s="1126"/>
      <c r="S250" s="1126"/>
      <c r="T250" s="1126"/>
      <c r="U250" s="1126"/>
      <c r="V250" s="1126"/>
      <c r="W250" s="1126"/>
      <c r="X250" s="1126"/>
      <c r="Y250" s="1126"/>
      <c r="Z250" s="1126"/>
    </row>
    <row r="251" spans="1:26" ht="19.5" hidden="1">
      <c r="A251" s="1127"/>
      <c r="B251" s="1118"/>
      <c r="C251" s="1128"/>
      <c r="D251" s="1120" t="s">
        <v>98</v>
      </c>
      <c r="E251" s="1119"/>
      <c r="F251" s="1119"/>
      <c r="G251" s="1121"/>
      <c r="H251" s="319" t="s">
        <v>12</v>
      </c>
      <c r="I251" s="1129"/>
      <c r="J251" s="1129"/>
      <c r="K251" s="1124"/>
      <c r="L251" s="1124">
        <f ca="1">IFERROR(__xludf.DUMMYFUNCTION("IMPORTRANGE(""https://docs.google.com/spreadsheets/d/1QqKyyYR6Q21VydFLVH3TRQUabQu_ym0Zz7PgGX0-kHA/edit?usp=sharing"",""แผน!BA83"")"),0)</f>
        <v>0</v>
      </c>
      <c r="M251" s="1124"/>
      <c r="N251" s="1125">
        <v>0</v>
      </c>
      <c r="O251" s="1124"/>
      <c r="P251" s="1124"/>
      <c r="Q251" s="1130"/>
      <c r="R251" s="1130"/>
      <c r="S251" s="1130"/>
      <c r="T251" s="1130"/>
      <c r="U251" s="1130"/>
      <c r="V251" s="1130"/>
      <c r="W251" s="1130"/>
      <c r="X251" s="1130"/>
      <c r="Y251" s="1130"/>
      <c r="Z251" s="1130"/>
    </row>
    <row r="252" spans="1:26" ht="19.5" hidden="1">
      <c r="A252" s="1127"/>
      <c r="B252" s="1118"/>
      <c r="C252" s="1128"/>
      <c r="D252" s="1120" t="s">
        <v>116</v>
      </c>
      <c r="E252" s="1119"/>
      <c r="F252" s="1119"/>
      <c r="G252" s="1121"/>
      <c r="H252" s="319" t="s">
        <v>12</v>
      </c>
      <c r="I252" s="1129"/>
      <c r="J252" s="1129"/>
      <c r="K252" s="1124"/>
      <c r="L252" s="1124">
        <f ca="1">IFERROR(__xludf.DUMMYFUNCTION("IMPORTRANGE(""https://docs.google.com/spreadsheets/d/1QqKyyYR6Q21VydFLVH3TRQUabQu_ym0Zz7PgGX0-kHA/edit?usp=sharing"",""แผน!BB83"")"),0)</f>
        <v>0</v>
      </c>
      <c r="M252" s="1124"/>
      <c r="N252" s="1125">
        <v>0</v>
      </c>
      <c r="O252" s="1124"/>
      <c r="P252" s="1124"/>
      <c r="Q252" s="1130"/>
      <c r="R252" s="1130"/>
      <c r="S252" s="1130"/>
      <c r="T252" s="1130"/>
      <c r="U252" s="1130"/>
      <c r="V252" s="1130"/>
      <c r="W252" s="1130"/>
      <c r="X252" s="1130"/>
      <c r="Y252" s="1130"/>
      <c r="Z252" s="1130"/>
    </row>
    <row r="253" spans="1:26" ht="19.5" hidden="1">
      <c r="A253" s="1127"/>
      <c r="B253" s="1118"/>
      <c r="C253" s="1128"/>
      <c r="D253" s="1120" t="s">
        <v>100</v>
      </c>
      <c r="E253" s="1119"/>
      <c r="F253" s="1119"/>
      <c r="G253" s="1121"/>
      <c r="H253" s="319" t="s">
        <v>12</v>
      </c>
      <c r="I253" s="1129"/>
      <c r="J253" s="1129"/>
      <c r="K253" s="1124"/>
      <c r="L253" s="1124">
        <f ca="1">IFERROR(__xludf.DUMMYFUNCTION("IMPORTRANGE(""https://docs.google.com/spreadsheets/d/1QqKyyYR6Q21VydFLVH3TRQUabQu_ym0Zz7PgGX0-kHA/edit?usp=sharing"",""แผน!BC83"")"),0)</f>
        <v>0</v>
      </c>
      <c r="M253" s="1124"/>
      <c r="N253" s="1125">
        <v>0</v>
      </c>
      <c r="O253" s="1124"/>
      <c r="P253" s="1124"/>
      <c r="Q253" s="1130"/>
      <c r="R253" s="1130"/>
      <c r="S253" s="1130"/>
      <c r="T253" s="1130"/>
      <c r="U253" s="1130"/>
      <c r="V253" s="1130"/>
      <c r="W253" s="1130"/>
      <c r="X253" s="1130"/>
      <c r="Y253" s="1130"/>
      <c r="Z253" s="1130"/>
    </row>
    <row r="254" spans="1:26" ht="19.5" hidden="1">
      <c r="A254" s="1002"/>
      <c r="B254" s="1003"/>
      <c r="C254" s="1092" t="s">
        <v>16</v>
      </c>
      <c r="D254" s="1004" t="s">
        <v>38</v>
      </c>
      <c r="E254" s="1005"/>
      <c r="F254" s="1005"/>
      <c r="G254" s="1006"/>
      <c r="H254" s="1007"/>
      <c r="I254" s="997"/>
      <c r="J254" s="880"/>
      <c r="K254" s="881"/>
      <c r="L254" s="881"/>
      <c r="M254" s="881"/>
      <c r="N254" s="881"/>
      <c r="O254" s="998"/>
      <c r="P254" s="998"/>
      <c r="Q254" s="868"/>
      <c r="R254" s="868"/>
      <c r="S254" s="868"/>
      <c r="T254" s="868"/>
      <c r="U254" s="868"/>
      <c r="V254" s="868"/>
      <c r="W254" s="868"/>
      <c r="X254" s="868"/>
      <c r="Y254" s="868"/>
      <c r="Z254" s="868"/>
    </row>
    <row r="255" spans="1:26" ht="18.75" hidden="1">
      <c r="A255" s="1002"/>
      <c r="B255" s="1003"/>
      <c r="C255" s="1003"/>
      <c r="D255" s="1009" t="s">
        <v>117</v>
      </c>
      <c r="E255" s="1010"/>
      <c r="F255" s="1010"/>
      <c r="G255" s="1011"/>
      <c r="H255" s="762" t="s">
        <v>35</v>
      </c>
      <c r="I255" s="880" t="str">
        <f ca="1">IFERROR(__xludf.DUMMYFUNCTION("IMPORTRANGE(""https://docs.google.com/spreadsheets/d/1QqKyyYR6Q21VydFLVH3TRQUabQu_ym0Zz7PgGX0-kHA/edit?usp=sharing"",""แผน!BF83"")"),"")</f>
        <v/>
      </c>
      <c r="J255" s="1012">
        <v>0</v>
      </c>
      <c r="K255" s="881" t="e">
        <f ca="1">IF(I255&gt;0,J255*100/I255,0)</f>
        <v>#VALUE!</v>
      </c>
      <c r="L255" s="881"/>
      <c r="M255" s="881"/>
      <c r="N255" s="881"/>
      <c r="O255" s="881"/>
      <c r="P255" s="881"/>
      <c r="Q255" s="868"/>
      <c r="R255" s="868"/>
      <c r="S255" s="868"/>
      <c r="T255" s="868"/>
      <c r="U255" s="868"/>
      <c r="V255" s="868"/>
      <c r="W255" s="868"/>
      <c r="X255" s="868"/>
      <c r="Y255" s="868"/>
      <c r="Z255" s="868"/>
    </row>
    <row r="256" spans="1:26" ht="18.75" hidden="1">
      <c r="A256" s="1002"/>
      <c r="B256" s="1003"/>
      <c r="C256" s="1003"/>
      <c r="D256" s="1131" t="s">
        <v>43</v>
      </c>
      <c r="E256" s="1010"/>
      <c r="F256" s="1010"/>
      <c r="G256" s="1011"/>
      <c r="H256" s="762"/>
      <c r="I256" s="880"/>
      <c r="J256" s="880"/>
      <c r="K256" s="881"/>
      <c r="L256" s="881"/>
      <c r="M256" s="881"/>
      <c r="N256" s="881"/>
      <c r="O256" s="998"/>
      <c r="P256" s="998"/>
      <c r="Q256" s="868"/>
      <c r="R256" s="868"/>
      <c r="S256" s="868"/>
      <c r="T256" s="868"/>
      <c r="U256" s="868"/>
      <c r="V256" s="868"/>
      <c r="W256" s="868"/>
      <c r="X256" s="868"/>
      <c r="Y256" s="868"/>
      <c r="Z256" s="868"/>
    </row>
    <row r="257" spans="1:26" ht="18.75" hidden="1">
      <c r="A257" s="1002"/>
      <c r="B257" s="1003"/>
      <c r="C257" s="1003"/>
      <c r="D257" s="1003"/>
      <c r="E257" s="1008" t="s">
        <v>118</v>
      </c>
      <c r="F257" s="1010"/>
      <c r="G257" s="1011"/>
      <c r="H257" s="762" t="s">
        <v>35</v>
      </c>
      <c r="I257" s="880"/>
      <c r="J257" s="1012">
        <v>0</v>
      </c>
      <c r="K257" s="881">
        <f t="shared" ref="K257:K258" si="113">IF(I257&gt;0,J257*100/I257,0)</f>
        <v>0</v>
      </c>
      <c r="L257" s="881"/>
      <c r="M257" s="881"/>
      <c r="N257" s="881"/>
      <c r="O257" s="881"/>
      <c r="P257" s="881"/>
      <c r="Q257" s="868"/>
      <c r="R257" s="868"/>
      <c r="S257" s="868"/>
      <c r="T257" s="868"/>
      <c r="U257" s="868"/>
      <c r="V257" s="868"/>
      <c r="W257" s="868"/>
      <c r="X257" s="868"/>
      <c r="Y257" s="868"/>
      <c r="Z257" s="868"/>
    </row>
    <row r="258" spans="1:26" ht="18.75" hidden="1">
      <c r="A258" s="1002"/>
      <c r="B258" s="1003"/>
      <c r="C258" s="1003"/>
      <c r="D258" s="1003"/>
      <c r="E258" s="1008" t="s">
        <v>119</v>
      </c>
      <c r="F258" s="1010"/>
      <c r="G258" s="1011"/>
      <c r="H258" s="762" t="s">
        <v>66</v>
      </c>
      <c r="I258" s="880"/>
      <c r="J258" s="1012">
        <v>0</v>
      </c>
      <c r="K258" s="881">
        <f t="shared" si="113"/>
        <v>0</v>
      </c>
      <c r="L258" s="881"/>
      <c r="M258" s="881"/>
      <c r="N258" s="881"/>
      <c r="O258" s="881"/>
      <c r="P258" s="881"/>
      <c r="Q258" s="868"/>
      <c r="R258" s="868"/>
      <c r="S258" s="868"/>
      <c r="T258" s="868"/>
      <c r="U258" s="868"/>
      <c r="V258" s="868"/>
      <c r="W258" s="868"/>
      <c r="X258" s="868"/>
      <c r="Y258" s="868"/>
      <c r="Z258" s="868"/>
    </row>
    <row r="259" spans="1:26" ht="19.5">
      <c r="A259" s="1051" t="s">
        <v>122</v>
      </c>
      <c r="B259" s="1052"/>
      <c r="C259" s="1052"/>
      <c r="D259" s="1053"/>
      <c r="E259" s="1053"/>
      <c r="F259" s="1053"/>
      <c r="G259" s="1054"/>
      <c r="H259" s="1055"/>
      <c r="I259" s="1056"/>
      <c r="J259" s="1056"/>
      <c r="K259" s="1057"/>
      <c r="L259" s="1057"/>
      <c r="M259" s="1057"/>
      <c r="N259" s="1057"/>
      <c r="O259" s="1057"/>
      <c r="P259" s="1057"/>
    </row>
    <row r="260" spans="1:26" ht="19.5">
      <c r="A260" s="1058"/>
      <c r="B260" s="1059" t="s">
        <v>123</v>
      </c>
      <c r="C260" s="1060"/>
      <c r="D260" s="1005"/>
      <c r="E260" s="1005"/>
      <c r="F260" s="1005"/>
      <c r="G260" s="1006"/>
      <c r="H260" s="252" t="s">
        <v>35</v>
      </c>
      <c r="I260" s="1075">
        <f t="shared" ref="I260:J260" ca="1" si="114">I271</f>
        <v>20</v>
      </c>
      <c r="J260" s="1075">
        <f t="shared" si="114"/>
        <v>0</v>
      </c>
      <c r="K260" s="1076">
        <f ca="1">IF(I260&gt;0,J260*100/I260,0)</f>
        <v>0</v>
      </c>
      <c r="L260" s="1062"/>
      <c r="M260" s="1062"/>
      <c r="N260" s="1062"/>
      <c r="O260" s="1062"/>
      <c r="P260" s="1062"/>
    </row>
    <row r="261" spans="1:26" ht="19.5">
      <c r="A261" s="985"/>
      <c r="B261" s="986"/>
      <c r="C261" s="987" t="s">
        <v>16</v>
      </c>
      <c r="D261" s="988" t="s">
        <v>17</v>
      </c>
      <c r="E261" s="986"/>
      <c r="F261" s="986"/>
      <c r="G261" s="989"/>
      <c r="H261" s="152" t="s">
        <v>12</v>
      </c>
      <c r="I261" s="990"/>
      <c r="J261" s="990"/>
      <c r="K261" s="991"/>
      <c r="L261" s="992">
        <f t="shared" ref="L261:N261" ca="1" si="115">L262+L263</f>
        <v>25000</v>
      </c>
      <c r="M261" s="992">
        <f t="shared" ca="1" si="115"/>
        <v>0</v>
      </c>
      <c r="N261" s="992">
        <f t="shared" ca="1" si="115"/>
        <v>0</v>
      </c>
      <c r="O261" s="992">
        <f t="shared" ref="O261:O269" ca="1" si="116">IF(L261&gt;0,N261*100/L261,0)</f>
        <v>0</v>
      </c>
      <c r="P261" s="992">
        <f t="shared" ref="P261:P269" ca="1" si="117">IF(M261&gt;0,N261*100/M261,0)</f>
        <v>0</v>
      </c>
      <c r="Q261" s="868"/>
      <c r="R261" s="868"/>
      <c r="S261" s="868"/>
      <c r="T261" s="868"/>
      <c r="U261" s="868"/>
      <c r="V261" s="868"/>
      <c r="W261" s="868"/>
      <c r="X261" s="868"/>
      <c r="Y261" s="868"/>
      <c r="Z261" s="868"/>
    </row>
    <row r="262" spans="1:26" ht="18.75" hidden="1">
      <c r="A262" s="993"/>
      <c r="B262" s="883"/>
      <c r="C262" s="883"/>
      <c r="D262" s="883"/>
      <c r="E262" s="884" t="s">
        <v>18</v>
      </c>
      <c r="F262" s="883"/>
      <c r="G262" s="994"/>
      <c r="H262" s="158" t="s">
        <v>12</v>
      </c>
      <c r="I262" s="886"/>
      <c r="J262" s="886"/>
      <c r="K262" s="887"/>
      <c r="L262" s="887">
        <f t="shared" ref="L262:N263" si="118">L265+L268</f>
        <v>0</v>
      </c>
      <c r="M262" s="887">
        <f t="shared" si="118"/>
        <v>0</v>
      </c>
      <c r="N262" s="887">
        <f t="shared" si="118"/>
        <v>0</v>
      </c>
      <c r="O262" s="887">
        <f t="shared" si="116"/>
        <v>0</v>
      </c>
      <c r="P262" s="887">
        <f t="shared" si="117"/>
        <v>0</v>
      </c>
      <c r="Q262" s="875"/>
      <c r="R262" s="875"/>
      <c r="S262" s="875"/>
      <c r="T262" s="875"/>
      <c r="U262" s="875"/>
      <c r="V262" s="875"/>
      <c r="W262" s="875"/>
      <c r="X262" s="875"/>
      <c r="Y262" s="875"/>
      <c r="Z262" s="875"/>
    </row>
    <row r="263" spans="1:26" ht="18.75" hidden="1">
      <c r="A263" s="993"/>
      <c r="B263" s="883"/>
      <c r="C263" s="883"/>
      <c r="D263" s="883"/>
      <c r="E263" s="884" t="s">
        <v>19</v>
      </c>
      <c r="F263" s="883"/>
      <c r="G263" s="994"/>
      <c r="H263" s="158" t="s">
        <v>12</v>
      </c>
      <c r="I263" s="886"/>
      <c r="J263" s="886"/>
      <c r="K263" s="887"/>
      <c r="L263" s="887">
        <f t="shared" ca="1" si="118"/>
        <v>25000</v>
      </c>
      <c r="M263" s="887">
        <f t="shared" ca="1" si="118"/>
        <v>0</v>
      </c>
      <c r="N263" s="887">
        <f t="shared" ca="1" si="118"/>
        <v>0</v>
      </c>
      <c r="O263" s="887">
        <f t="shared" ca="1" si="116"/>
        <v>0</v>
      </c>
      <c r="P263" s="887">
        <f t="shared" ca="1" si="117"/>
        <v>0</v>
      </c>
      <c r="Q263" s="875"/>
      <c r="R263" s="875"/>
      <c r="S263" s="875"/>
      <c r="T263" s="875"/>
      <c r="U263" s="875"/>
      <c r="V263" s="875"/>
      <c r="W263" s="875"/>
      <c r="X263" s="875"/>
      <c r="Y263" s="875"/>
      <c r="Z263" s="875"/>
    </row>
    <row r="264" spans="1:26" ht="18.75">
      <c r="A264" s="995"/>
      <c r="B264" s="877"/>
      <c r="C264" s="996"/>
      <c r="D264" s="878" t="s">
        <v>20</v>
      </c>
      <c r="E264" s="877"/>
      <c r="F264" s="877"/>
      <c r="G264" s="879"/>
      <c r="H264" s="161" t="s">
        <v>12</v>
      </c>
      <c r="I264" s="997"/>
      <c r="J264" s="997"/>
      <c r="K264" s="998"/>
      <c r="L264" s="881">
        <f t="shared" ref="L264:N264" ca="1" si="119">L265+L266</f>
        <v>25000</v>
      </c>
      <c r="M264" s="881">
        <f t="shared" ca="1" si="119"/>
        <v>0</v>
      </c>
      <c r="N264" s="881">
        <f t="shared" ca="1" si="119"/>
        <v>0</v>
      </c>
      <c r="O264" s="881">
        <f t="shared" ca="1" si="116"/>
        <v>0</v>
      </c>
      <c r="P264" s="881">
        <f t="shared" ca="1" si="117"/>
        <v>0</v>
      </c>
      <c r="Q264" s="868"/>
      <c r="R264" s="868"/>
      <c r="S264" s="868"/>
      <c r="T264" s="868"/>
      <c r="U264" s="868"/>
      <c r="V264" s="868"/>
      <c r="W264" s="868"/>
      <c r="X264" s="868"/>
      <c r="Y264" s="868"/>
      <c r="Z264" s="868"/>
    </row>
    <row r="265" spans="1:26" ht="19.5" hidden="1">
      <c r="A265" s="993"/>
      <c r="B265" s="883"/>
      <c r="C265" s="999"/>
      <c r="D265" s="883"/>
      <c r="E265" s="884" t="s">
        <v>36</v>
      </c>
      <c r="F265" s="883"/>
      <c r="G265" s="994"/>
      <c r="H265" s="165" t="s">
        <v>12</v>
      </c>
      <c r="I265" s="1000"/>
      <c r="J265" s="1000"/>
      <c r="K265" s="1001"/>
      <c r="L265" s="887">
        <v>0</v>
      </c>
      <c r="M265" s="887">
        <v>0</v>
      </c>
      <c r="N265" s="887">
        <v>0</v>
      </c>
      <c r="O265" s="887">
        <f t="shared" si="116"/>
        <v>0</v>
      </c>
      <c r="P265" s="887">
        <f t="shared" si="117"/>
        <v>0</v>
      </c>
      <c r="Q265" s="875"/>
      <c r="R265" s="875"/>
      <c r="S265" s="875"/>
      <c r="T265" s="875"/>
      <c r="U265" s="875"/>
      <c r="V265" s="875"/>
      <c r="W265" s="875"/>
      <c r="X265" s="875"/>
      <c r="Y265" s="875"/>
      <c r="Z265" s="875"/>
    </row>
    <row r="266" spans="1:26" ht="19.5" hidden="1">
      <c r="A266" s="993"/>
      <c r="B266" s="883"/>
      <c r="C266" s="999"/>
      <c r="D266" s="883"/>
      <c r="E266" s="884" t="s">
        <v>37</v>
      </c>
      <c r="F266" s="883"/>
      <c r="G266" s="994"/>
      <c r="H266" s="165" t="s">
        <v>12</v>
      </c>
      <c r="I266" s="1000"/>
      <c r="J266" s="1000"/>
      <c r="K266" s="1001"/>
      <c r="L266" s="887">
        <f ca="1">IFERROR(__xludf.DUMMYFUNCTION("IMPORTRANGE(""https://docs.google.com/spreadsheets/d/1MeEWN-I1oV_STSDYn1IFDPWt_1FKiwhDph83XaGc0o0/edit?usp=sharing"",""งบพรบ!CY83"")"),25000)</f>
        <v>25000</v>
      </c>
      <c r="M266" s="887">
        <f ca="1">IFERROR(__xludf.DUMMYFUNCTION("IMPORTRANGE(""https://docs.google.com/spreadsheets/d/1MeEWN-I1oV_STSDYn1IFDPWt_1FKiwhDph83XaGc0o0/edit?usp=sharing"",""งบพรบ!DD83"")"),0)</f>
        <v>0</v>
      </c>
      <c r="N266" s="887">
        <f ca="1">IFERROR(__xludf.DUMMYFUNCTION("IMPORTRANGE(""https://docs.google.com/spreadsheets/d/1MeEWN-I1oV_STSDYn1IFDPWt_1FKiwhDph83XaGc0o0/edit?usp=sharing"",""งบพรบ!DF83"")"),0)</f>
        <v>0</v>
      </c>
      <c r="O266" s="887">
        <f t="shared" ca="1" si="116"/>
        <v>0</v>
      </c>
      <c r="P266" s="887">
        <f t="shared" ca="1" si="117"/>
        <v>0</v>
      </c>
      <c r="Q266" s="875"/>
      <c r="R266" s="875"/>
      <c r="S266" s="875"/>
      <c r="T266" s="875"/>
      <c r="U266" s="875"/>
      <c r="V266" s="875"/>
      <c r="W266" s="875"/>
      <c r="X266" s="875"/>
      <c r="Y266" s="875"/>
      <c r="Z266" s="875"/>
    </row>
    <row r="267" spans="1:26" ht="18.75">
      <c r="A267" s="995"/>
      <c r="B267" s="877"/>
      <c r="C267" s="996"/>
      <c r="D267" s="878" t="s">
        <v>21</v>
      </c>
      <c r="E267" s="877"/>
      <c r="F267" s="877"/>
      <c r="G267" s="879"/>
      <c r="H267" s="168" t="s">
        <v>12</v>
      </c>
      <c r="I267" s="997"/>
      <c r="J267" s="997"/>
      <c r="K267" s="998"/>
      <c r="L267" s="881">
        <f t="shared" ref="L267:N267" ca="1" si="120">L268+L269</f>
        <v>0</v>
      </c>
      <c r="M267" s="881">
        <f t="shared" ca="1" si="120"/>
        <v>0</v>
      </c>
      <c r="N267" s="881">
        <f t="shared" ca="1" si="120"/>
        <v>0</v>
      </c>
      <c r="O267" s="881">
        <f t="shared" ca="1" si="116"/>
        <v>0</v>
      </c>
      <c r="P267" s="881">
        <f t="shared" ca="1" si="117"/>
        <v>0</v>
      </c>
      <c r="Q267" s="868"/>
      <c r="R267" s="868"/>
      <c r="S267" s="868"/>
      <c r="T267" s="868"/>
      <c r="U267" s="868"/>
      <c r="V267" s="868"/>
      <c r="W267" s="868"/>
      <c r="X267" s="868"/>
      <c r="Y267" s="868"/>
      <c r="Z267" s="868"/>
    </row>
    <row r="268" spans="1:26" ht="19.5" hidden="1">
      <c r="A268" s="993"/>
      <c r="B268" s="883"/>
      <c r="C268" s="999"/>
      <c r="D268" s="883"/>
      <c r="E268" s="884" t="s">
        <v>18</v>
      </c>
      <c r="F268" s="883"/>
      <c r="G268" s="994"/>
      <c r="H268" s="165" t="s">
        <v>12</v>
      </c>
      <c r="I268" s="1000"/>
      <c r="J268" s="1000"/>
      <c r="K268" s="1001"/>
      <c r="L268" s="887">
        <v>0</v>
      </c>
      <c r="M268" s="887">
        <v>0</v>
      </c>
      <c r="N268" s="887">
        <v>0</v>
      </c>
      <c r="O268" s="887">
        <f t="shared" si="116"/>
        <v>0</v>
      </c>
      <c r="P268" s="887">
        <f t="shared" si="117"/>
        <v>0</v>
      </c>
      <c r="Q268" s="875"/>
      <c r="R268" s="875"/>
      <c r="S268" s="875"/>
      <c r="T268" s="875"/>
      <c r="U268" s="875"/>
      <c r="V268" s="875"/>
      <c r="W268" s="875"/>
      <c r="X268" s="875"/>
      <c r="Y268" s="875"/>
      <c r="Z268" s="875"/>
    </row>
    <row r="269" spans="1:26" ht="19.5" hidden="1">
      <c r="A269" s="993"/>
      <c r="B269" s="883"/>
      <c r="C269" s="999"/>
      <c r="D269" s="883"/>
      <c r="E269" s="884" t="s">
        <v>19</v>
      </c>
      <c r="F269" s="883"/>
      <c r="G269" s="994"/>
      <c r="H269" s="169" t="s">
        <v>12</v>
      </c>
      <c r="I269" s="1000"/>
      <c r="J269" s="1000"/>
      <c r="K269" s="1001"/>
      <c r="L269" s="887">
        <f ca="1">IFERROR(__xludf.DUMMYFUNCTION("IMPORTRANGE(""https://docs.google.com/spreadsheets/d/1MeEWN-I1oV_STSDYn1IFDPWt_1FKiwhDph83XaGc0o0/edit?usp=sharing"",""งบพรบ!DB83"")"),0)</f>
        <v>0</v>
      </c>
      <c r="M269" s="887">
        <f ca="1">IFERROR(__xludf.DUMMYFUNCTION("IMPORTRANGE(""https://docs.google.com/spreadsheets/d/1MeEWN-I1oV_STSDYn1IFDPWt_1FKiwhDph83XaGc0o0/edit?usp=sharing"",""งบพรบ!DE83"")"),0)</f>
        <v>0</v>
      </c>
      <c r="N269" s="887">
        <f ca="1">IFERROR(__xludf.DUMMYFUNCTION("IMPORTRANGE(""https://docs.google.com/spreadsheets/d/1MeEWN-I1oV_STSDYn1IFDPWt_1FKiwhDph83XaGc0o0/edit?usp=sharing"",""งบพรบ!DG83"")"),0)</f>
        <v>0</v>
      </c>
      <c r="O269" s="887">
        <f t="shared" ca="1" si="116"/>
        <v>0</v>
      </c>
      <c r="P269" s="887">
        <f t="shared" ca="1" si="117"/>
        <v>0</v>
      </c>
      <c r="Q269" s="875"/>
      <c r="R269" s="875"/>
      <c r="S269" s="875"/>
      <c r="T269" s="875"/>
      <c r="U269" s="875"/>
      <c r="V269" s="875"/>
      <c r="W269" s="875"/>
      <c r="X269" s="875"/>
      <c r="Y269" s="875"/>
      <c r="Z269" s="875"/>
    </row>
    <row r="270" spans="1:26" ht="19.5">
      <c r="A270" s="1002"/>
      <c r="B270" s="1003"/>
      <c r="C270" s="996" t="s">
        <v>16</v>
      </c>
      <c r="D270" s="1004" t="s">
        <v>38</v>
      </c>
      <c r="E270" s="1005"/>
      <c r="F270" s="1005"/>
      <c r="G270" s="1006"/>
      <c r="H270" s="1007"/>
      <c r="I270" s="997"/>
      <c r="J270" s="997"/>
      <c r="K270" s="998"/>
      <c r="L270" s="998"/>
      <c r="M270" s="998"/>
      <c r="N270" s="998"/>
      <c r="O270" s="998"/>
      <c r="P270" s="998"/>
    </row>
    <row r="271" spans="1:26" ht="18.75">
      <c r="A271" s="1002"/>
      <c r="B271" s="1003"/>
      <c r="C271" s="1003"/>
      <c r="D271" s="1132" t="s">
        <v>124</v>
      </c>
      <c r="E271" s="1010"/>
      <c r="F271" s="1074"/>
      <c r="G271" s="1011"/>
      <c r="H271" s="377" t="s">
        <v>35</v>
      </c>
      <c r="I271" s="880">
        <f ca="1">IFERROR(__xludf.DUMMYFUNCTION("IMPORTRANGE(""https://docs.google.com/spreadsheets/d/1QqKyyYR6Q21VydFLVH3TRQUabQu_ym0Zz7PgGX0-kHA/edit?usp=sharing"",""แผน!EA83"")"),20)</f>
        <v>20</v>
      </c>
      <c r="J271" s="1012">
        <v>0</v>
      </c>
      <c r="K271" s="998">
        <f ca="1">IF(I271&gt;0,J271*100/I271,0)</f>
        <v>0</v>
      </c>
      <c r="L271" s="998"/>
      <c r="M271" s="998"/>
      <c r="N271" s="998"/>
      <c r="O271" s="998"/>
      <c r="P271" s="998"/>
    </row>
    <row r="272" spans="1:26" ht="18.75" hidden="1">
      <c r="A272" s="1133"/>
      <c r="B272" s="1134"/>
      <c r="C272" s="1134"/>
      <c r="D272" s="1135" t="s">
        <v>125</v>
      </c>
      <c r="E272" s="1136"/>
      <c r="F272" s="1136"/>
      <c r="G272" s="1137"/>
      <c r="H272" s="50" t="s">
        <v>35</v>
      </c>
      <c r="I272" s="1138">
        <v>0</v>
      </c>
      <c r="J272" s="1138">
        <v>0</v>
      </c>
      <c r="K272" s="1139">
        <v>0</v>
      </c>
      <c r="L272" s="1139"/>
      <c r="M272" s="1139"/>
      <c r="N272" s="1139"/>
      <c r="O272" s="1139"/>
      <c r="P272" s="1139"/>
    </row>
    <row r="273" spans="1:26" ht="19.5" hidden="1">
      <c r="A273" s="1140" t="s">
        <v>126</v>
      </c>
      <c r="B273" s="1141"/>
      <c r="C273" s="1141"/>
      <c r="D273" s="1141"/>
      <c r="E273" s="1142"/>
      <c r="F273" s="1142"/>
      <c r="G273" s="1143"/>
      <c r="H273" s="1144"/>
      <c r="I273" s="1145"/>
      <c r="J273" s="1145"/>
      <c r="K273" s="1146"/>
      <c r="L273" s="1146"/>
      <c r="M273" s="1146"/>
      <c r="N273" s="1146"/>
      <c r="O273" s="1146"/>
      <c r="P273" s="1146"/>
    </row>
    <row r="274" spans="1:26" ht="19.5" hidden="1">
      <c r="A274" s="1147" t="s">
        <v>127</v>
      </c>
      <c r="B274" s="1148"/>
      <c r="C274" s="1149"/>
      <c r="D274" s="1148"/>
      <c r="E274" s="1148"/>
      <c r="F274" s="1148"/>
      <c r="G274" s="1148"/>
      <c r="H274" s="1150"/>
      <c r="I274" s="1151"/>
      <c r="J274" s="1152"/>
      <c r="K274" s="1153"/>
      <c r="L274" s="1153"/>
      <c r="M274" s="1153"/>
      <c r="N274" s="1153"/>
      <c r="O274" s="1153"/>
      <c r="P274" s="1153"/>
    </row>
    <row r="275" spans="1:26" ht="19.5" hidden="1">
      <c r="A275" s="1154"/>
      <c r="B275" s="1155" t="s">
        <v>128</v>
      </c>
      <c r="C275" s="1156"/>
      <c r="D275" s="1157"/>
      <c r="E275" s="1156"/>
      <c r="F275" s="1156"/>
      <c r="G275" s="1158"/>
      <c r="H275" s="405" t="s">
        <v>35</v>
      </c>
      <c r="I275" s="1159">
        <f t="shared" ref="I275:J275" ca="1" si="121">I288</f>
        <v>0</v>
      </c>
      <c r="J275" s="1159">
        <f t="shared" ca="1" si="121"/>
        <v>0</v>
      </c>
      <c r="K275" s="1160">
        <f t="shared" ref="K275:K276" ca="1" si="122">IF(I275&gt;0,J275*100/I275,0)</f>
        <v>0</v>
      </c>
      <c r="L275" s="1161"/>
      <c r="M275" s="1161"/>
      <c r="N275" s="1161"/>
      <c r="O275" s="1161"/>
      <c r="P275" s="1161"/>
    </row>
    <row r="276" spans="1:26" ht="19.5" hidden="1">
      <c r="A276" s="1154"/>
      <c r="B276" s="1155"/>
      <c r="C276" s="1156"/>
      <c r="D276" s="1157"/>
      <c r="E276" s="1156"/>
      <c r="F276" s="1156"/>
      <c r="G276" s="1158"/>
      <c r="H276" s="405" t="s">
        <v>46</v>
      </c>
      <c r="I276" s="1493">
        <f t="shared" ref="I276:J276" ca="1" si="123">I287</f>
        <v>0</v>
      </c>
      <c r="J276" s="1493">
        <f t="shared" si="123"/>
        <v>0</v>
      </c>
      <c r="K276" s="1161">
        <f t="shared" ca="1" si="122"/>
        <v>0</v>
      </c>
      <c r="L276" s="1161"/>
      <c r="M276" s="1161"/>
      <c r="N276" s="1161"/>
      <c r="O276" s="1161"/>
      <c r="P276" s="1161"/>
    </row>
    <row r="277" spans="1:26" ht="19.5" hidden="1">
      <c r="A277" s="985"/>
      <c r="B277" s="986"/>
      <c r="C277" s="987" t="s">
        <v>16</v>
      </c>
      <c r="D277" s="988" t="s">
        <v>17</v>
      </c>
      <c r="E277" s="986"/>
      <c r="F277" s="986"/>
      <c r="G277" s="989"/>
      <c r="H277" s="152" t="s">
        <v>12</v>
      </c>
      <c r="I277" s="990"/>
      <c r="J277" s="990"/>
      <c r="K277" s="991"/>
      <c r="L277" s="992">
        <f t="shared" ref="L277:N277" ca="1" si="124">L278+L279</f>
        <v>0</v>
      </c>
      <c r="M277" s="992">
        <f t="shared" ca="1" si="124"/>
        <v>0</v>
      </c>
      <c r="N277" s="992">
        <f t="shared" ca="1" si="124"/>
        <v>0</v>
      </c>
      <c r="O277" s="992">
        <f t="shared" ref="O277:O285" ca="1" si="125">IF(L277&gt;0,N277*100/L277,0)</f>
        <v>0</v>
      </c>
      <c r="P277" s="992">
        <f t="shared" ref="P277:P285" ca="1" si="126">IF(M277&gt;0,N277*100/M277,0)</f>
        <v>0</v>
      </c>
      <c r="Q277" s="868"/>
      <c r="R277" s="868"/>
      <c r="S277" s="868"/>
      <c r="T277" s="868"/>
      <c r="U277" s="868"/>
      <c r="V277" s="868"/>
      <c r="W277" s="868"/>
      <c r="X277" s="868"/>
      <c r="Y277" s="868"/>
      <c r="Z277" s="868"/>
    </row>
    <row r="278" spans="1:26" ht="18.75" hidden="1">
      <c r="A278" s="993"/>
      <c r="B278" s="883"/>
      <c r="C278" s="883"/>
      <c r="D278" s="883"/>
      <c r="E278" s="884" t="s">
        <v>18</v>
      </c>
      <c r="F278" s="883"/>
      <c r="G278" s="994"/>
      <c r="H278" s="158" t="s">
        <v>12</v>
      </c>
      <c r="I278" s="886"/>
      <c r="J278" s="886"/>
      <c r="K278" s="887"/>
      <c r="L278" s="887">
        <f t="shared" ref="L278:N279" si="127">L281+L284</f>
        <v>0</v>
      </c>
      <c r="M278" s="887">
        <f t="shared" si="127"/>
        <v>0</v>
      </c>
      <c r="N278" s="887">
        <f t="shared" si="127"/>
        <v>0</v>
      </c>
      <c r="O278" s="887">
        <f t="shared" si="125"/>
        <v>0</v>
      </c>
      <c r="P278" s="887">
        <f t="shared" si="126"/>
        <v>0</v>
      </c>
      <c r="Q278" s="875"/>
      <c r="R278" s="875"/>
      <c r="S278" s="875"/>
      <c r="T278" s="875"/>
      <c r="U278" s="875"/>
      <c r="V278" s="875"/>
      <c r="W278" s="875"/>
      <c r="X278" s="875"/>
      <c r="Y278" s="875"/>
      <c r="Z278" s="875"/>
    </row>
    <row r="279" spans="1:26" ht="18.75" hidden="1">
      <c r="A279" s="993"/>
      <c r="B279" s="883"/>
      <c r="C279" s="883"/>
      <c r="D279" s="883"/>
      <c r="E279" s="884" t="s">
        <v>19</v>
      </c>
      <c r="F279" s="883"/>
      <c r="G279" s="994"/>
      <c r="H279" s="158" t="s">
        <v>12</v>
      </c>
      <c r="I279" s="886"/>
      <c r="J279" s="886"/>
      <c r="K279" s="887"/>
      <c r="L279" s="887">
        <f t="shared" ca="1" si="127"/>
        <v>0</v>
      </c>
      <c r="M279" s="887">
        <f t="shared" ca="1" si="127"/>
        <v>0</v>
      </c>
      <c r="N279" s="887">
        <f t="shared" ca="1" si="127"/>
        <v>0</v>
      </c>
      <c r="O279" s="887">
        <f t="shared" ca="1" si="125"/>
        <v>0</v>
      </c>
      <c r="P279" s="887">
        <f t="shared" ca="1" si="126"/>
        <v>0</v>
      </c>
      <c r="Q279" s="875"/>
      <c r="R279" s="875"/>
      <c r="S279" s="875"/>
      <c r="T279" s="875"/>
      <c r="U279" s="875"/>
      <c r="V279" s="875"/>
      <c r="W279" s="875"/>
      <c r="X279" s="875"/>
      <c r="Y279" s="875"/>
      <c r="Z279" s="875"/>
    </row>
    <row r="280" spans="1:26" ht="18.75" hidden="1">
      <c r="A280" s="995"/>
      <c r="B280" s="877"/>
      <c r="C280" s="996"/>
      <c r="D280" s="878" t="s">
        <v>20</v>
      </c>
      <c r="E280" s="877"/>
      <c r="F280" s="877"/>
      <c r="G280" s="879"/>
      <c r="H280" s="161" t="s">
        <v>12</v>
      </c>
      <c r="I280" s="997"/>
      <c r="J280" s="997"/>
      <c r="K280" s="998"/>
      <c r="L280" s="881">
        <f t="shared" ref="L280:N280" ca="1" si="128">L281+L282</f>
        <v>0</v>
      </c>
      <c r="M280" s="881">
        <f t="shared" ca="1" si="128"/>
        <v>0</v>
      </c>
      <c r="N280" s="881">
        <f t="shared" ca="1" si="128"/>
        <v>0</v>
      </c>
      <c r="O280" s="881">
        <f t="shared" ca="1" si="125"/>
        <v>0</v>
      </c>
      <c r="P280" s="881">
        <f t="shared" ca="1" si="126"/>
        <v>0</v>
      </c>
      <c r="Q280" s="868"/>
      <c r="R280" s="868"/>
      <c r="S280" s="868"/>
      <c r="T280" s="868"/>
      <c r="U280" s="868"/>
      <c r="V280" s="868"/>
      <c r="W280" s="868"/>
      <c r="X280" s="868"/>
      <c r="Y280" s="868"/>
      <c r="Z280" s="868"/>
    </row>
    <row r="281" spans="1:26" ht="19.5" hidden="1">
      <c r="A281" s="993"/>
      <c r="B281" s="883"/>
      <c r="C281" s="999"/>
      <c r="D281" s="883"/>
      <c r="E281" s="884" t="s">
        <v>36</v>
      </c>
      <c r="F281" s="883"/>
      <c r="G281" s="994"/>
      <c r="H281" s="165" t="s">
        <v>12</v>
      </c>
      <c r="I281" s="1000"/>
      <c r="J281" s="1000"/>
      <c r="K281" s="1001"/>
      <c r="L281" s="887">
        <v>0</v>
      </c>
      <c r="M281" s="887">
        <v>0</v>
      </c>
      <c r="N281" s="887">
        <v>0</v>
      </c>
      <c r="O281" s="887">
        <f t="shared" si="125"/>
        <v>0</v>
      </c>
      <c r="P281" s="887">
        <f t="shared" si="126"/>
        <v>0</v>
      </c>
      <c r="Q281" s="875"/>
      <c r="R281" s="875"/>
      <c r="S281" s="875"/>
      <c r="T281" s="875"/>
      <c r="U281" s="875"/>
      <c r="V281" s="875"/>
      <c r="W281" s="875"/>
      <c r="X281" s="875"/>
      <c r="Y281" s="875"/>
      <c r="Z281" s="875"/>
    </row>
    <row r="282" spans="1:26" ht="19.5" hidden="1">
      <c r="A282" s="993"/>
      <c r="B282" s="883"/>
      <c r="C282" s="999"/>
      <c r="D282" s="883"/>
      <c r="E282" s="884" t="s">
        <v>37</v>
      </c>
      <c r="F282" s="883"/>
      <c r="G282" s="994"/>
      <c r="H282" s="165" t="s">
        <v>12</v>
      </c>
      <c r="I282" s="1000"/>
      <c r="J282" s="1000"/>
      <c r="K282" s="1001"/>
      <c r="L282" s="887">
        <f ca="1">IFERROR(__xludf.DUMMYFUNCTION("IMPORTRANGE(""https://docs.google.com/spreadsheets/d/1MeEWN-I1oV_STSDYn1IFDPWt_1FKiwhDph83XaGc0o0/edit?usp=sharing"",""งบพรบ!DI83"")"),0)</f>
        <v>0</v>
      </c>
      <c r="M282" s="887">
        <f ca="1">IFERROR(__xludf.DUMMYFUNCTION("IMPORTRANGE(""https://docs.google.com/spreadsheets/d/1MeEWN-I1oV_STSDYn1IFDPWt_1FKiwhDph83XaGc0o0/edit?usp=sharing"",""งบพรบ!DN83"")"),0)</f>
        <v>0</v>
      </c>
      <c r="N282" s="887">
        <f ca="1">IFERROR(__xludf.DUMMYFUNCTION("IMPORTRANGE(""https://docs.google.com/spreadsheets/d/1MeEWN-I1oV_STSDYn1IFDPWt_1FKiwhDph83XaGc0o0/edit?usp=sharing"",""งบพรบ!DP83"")"),0)</f>
        <v>0</v>
      </c>
      <c r="O282" s="887">
        <f t="shared" ca="1" si="125"/>
        <v>0</v>
      </c>
      <c r="P282" s="887">
        <f t="shared" ca="1" si="126"/>
        <v>0</v>
      </c>
      <c r="Q282" s="875"/>
      <c r="R282" s="875"/>
      <c r="S282" s="875"/>
      <c r="T282" s="875"/>
      <c r="U282" s="875"/>
      <c r="V282" s="875"/>
      <c r="W282" s="875"/>
      <c r="X282" s="875"/>
      <c r="Y282" s="875"/>
      <c r="Z282" s="875"/>
    </row>
    <row r="283" spans="1:26" ht="18.75" hidden="1">
      <c r="A283" s="995"/>
      <c r="B283" s="877"/>
      <c r="C283" s="996"/>
      <c r="D283" s="878" t="s">
        <v>21</v>
      </c>
      <c r="E283" s="877"/>
      <c r="F283" s="877"/>
      <c r="G283" s="879"/>
      <c r="H283" s="168" t="s">
        <v>12</v>
      </c>
      <c r="I283" s="997"/>
      <c r="J283" s="997"/>
      <c r="K283" s="998"/>
      <c r="L283" s="881">
        <f t="shared" ref="L283:N283" ca="1" si="129">L284+L285</f>
        <v>0</v>
      </c>
      <c r="M283" s="881">
        <f t="shared" ca="1" si="129"/>
        <v>0</v>
      </c>
      <c r="N283" s="881">
        <f t="shared" ca="1" si="129"/>
        <v>0</v>
      </c>
      <c r="O283" s="881">
        <f t="shared" ca="1" si="125"/>
        <v>0</v>
      </c>
      <c r="P283" s="881">
        <f t="shared" ca="1" si="126"/>
        <v>0</v>
      </c>
      <c r="Q283" s="868"/>
      <c r="R283" s="868"/>
      <c r="S283" s="868"/>
      <c r="T283" s="868"/>
      <c r="U283" s="868"/>
      <c r="V283" s="868"/>
      <c r="W283" s="868"/>
      <c r="X283" s="868"/>
      <c r="Y283" s="868"/>
      <c r="Z283" s="868"/>
    </row>
    <row r="284" spans="1:26" ht="19.5" hidden="1">
      <c r="A284" s="993"/>
      <c r="B284" s="883"/>
      <c r="C284" s="999"/>
      <c r="D284" s="883"/>
      <c r="E284" s="884" t="s">
        <v>18</v>
      </c>
      <c r="F284" s="883"/>
      <c r="G284" s="994"/>
      <c r="H284" s="165" t="s">
        <v>12</v>
      </c>
      <c r="I284" s="1000"/>
      <c r="J284" s="1000"/>
      <c r="K284" s="1001"/>
      <c r="L284" s="887">
        <v>0</v>
      </c>
      <c r="M284" s="887">
        <v>0</v>
      </c>
      <c r="N284" s="887">
        <v>0</v>
      </c>
      <c r="O284" s="887">
        <f t="shared" si="125"/>
        <v>0</v>
      </c>
      <c r="P284" s="887">
        <f t="shared" si="126"/>
        <v>0</v>
      </c>
      <c r="Q284" s="875"/>
      <c r="R284" s="875"/>
      <c r="S284" s="875"/>
      <c r="T284" s="875"/>
      <c r="U284" s="875"/>
      <c r="V284" s="875"/>
      <c r="W284" s="875"/>
      <c r="X284" s="875"/>
      <c r="Y284" s="875"/>
      <c r="Z284" s="875"/>
    </row>
    <row r="285" spans="1:26" ht="19.5" hidden="1">
      <c r="A285" s="993"/>
      <c r="B285" s="883"/>
      <c r="C285" s="999"/>
      <c r="D285" s="883"/>
      <c r="E285" s="884" t="s">
        <v>19</v>
      </c>
      <c r="F285" s="883"/>
      <c r="G285" s="994"/>
      <c r="H285" s="169" t="s">
        <v>12</v>
      </c>
      <c r="I285" s="1000"/>
      <c r="J285" s="1000"/>
      <c r="K285" s="1001"/>
      <c r="L285" s="887">
        <f ca="1">IFERROR(__xludf.DUMMYFUNCTION("IMPORTRANGE(""https://docs.google.com/spreadsheets/d/1MeEWN-I1oV_STSDYn1IFDPWt_1FKiwhDph83XaGc0o0/edit?usp=sharing"",""งบพรบ!DL83"")"),0)</f>
        <v>0</v>
      </c>
      <c r="M285" s="887">
        <f ca="1">IFERROR(__xludf.DUMMYFUNCTION("IMPORTRANGE(""https://docs.google.com/spreadsheets/d/1MeEWN-I1oV_STSDYn1IFDPWt_1FKiwhDph83XaGc0o0/edit?usp=sharing"",""งบพรบ!DO83"")"),0)</f>
        <v>0</v>
      </c>
      <c r="N285" s="887">
        <f ca="1">IFERROR(__xludf.DUMMYFUNCTION("IMPORTRANGE(""https://docs.google.com/spreadsheets/d/1MeEWN-I1oV_STSDYn1IFDPWt_1FKiwhDph83XaGc0o0/edit?usp=sharing"",""งบพรบ!DQ83"")"),0)</f>
        <v>0</v>
      </c>
      <c r="O285" s="887">
        <f t="shared" ca="1" si="125"/>
        <v>0</v>
      </c>
      <c r="P285" s="887">
        <f t="shared" ca="1" si="126"/>
        <v>0</v>
      </c>
      <c r="Q285" s="875"/>
      <c r="R285" s="875"/>
      <c r="S285" s="875"/>
      <c r="T285" s="875"/>
      <c r="U285" s="875"/>
      <c r="V285" s="875"/>
      <c r="W285" s="875"/>
      <c r="X285" s="875"/>
      <c r="Y285" s="875"/>
      <c r="Z285" s="875"/>
    </row>
    <row r="286" spans="1:26" ht="19.5" hidden="1">
      <c r="A286" s="1002"/>
      <c r="B286" s="1003"/>
      <c r="C286" s="999" t="s">
        <v>16</v>
      </c>
      <c r="D286" s="1004" t="s">
        <v>38</v>
      </c>
      <c r="E286" s="1005"/>
      <c r="F286" s="1005"/>
      <c r="G286" s="1006"/>
      <c r="H286" s="1007"/>
      <c r="I286" s="997"/>
      <c r="J286" s="997"/>
      <c r="K286" s="998"/>
      <c r="L286" s="998"/>
      <c r="M286" s="998"/>
      <c r="N286" s="998"/>
      <c r="O286" s="998"/>
      <c r="P286" s="998"/>
    </row>
    <row r="287" spans="1:26" ht="18.75" hidden="1">
      <c r="A287" s="1002"/>
      <c r="B287" s="1003"/>
      <c r="C287" s="1003"/>
      <c r="D287" s="1014" t="s">
        <v>129</v>
      </c>
      <c r="E287" s="1003"/>
      <c r="F287" s="1010"/>
      <c r="G287" s="1011"/>
      <c r="H287" s="185" t="s">
        <v>46</v>
      </c>
      <c r="I287" s="880">
        <f ca="1">IFERROR(__xludf.DUMMYFUNCTION("IMPORTRANGE(""https://docs.google.com/spreadsheets/d/1QqKyyYR6Q21VydFLVH3TRQUabQu_ym0Zz7PgGX0-kHA/edit?usp=sharing"",""แผน!EC83"")"),0)</f>
        <v>0</v>
      </c>
      <c r="J287" s="880">
        <v>0</v>
      </c>
      <c r="K287" s="998">
        <f t="shared" ref="K287:K288" ca="1" si="130">IF(I287&gt;0,J287*100/I287,0)</f>
        <v>0</v>
      </c>
      <c r="L287" s="998"/>
      <c r="M287" s="998"/>
      <c r="N287" s="998"/>
      <c r="O287" s="998"/>
      <c r="P287" s="998"/>
    </row>
    <row r="288" spans="1:26" ht="19.5" hidden="1">
      <c r="A288" s="1002"/>
      <c r="B288" s="1003"/>
      <c r="C288" s="1003"/>
      <c r="D288" s="1014" t="s">
        <v>130</v>
      </c>
      <c r="E288" s="1003"/>
      <c r="F288" s="1010"/>
      <c r="G288" s="1011"/>
      <c r="H288" s="180" t="s">
        <v>35</v>
      </c>
      <c r="I288" s="1019">
        <f ca="1">IFERROR(__xludf.DUMMYFUNCTION("IMPORTRANGE(""https://docs.google.com/spreadsheets/d/1QqKyyYR6Q21VydFLVH3TRQUabQu_ym0Zz7PgGX0-kHA/edit?usp=sharing"",""แผน!EB83"")"),0)</f>
        <v>0</v>
      </c>
      <c r="J288" s="1019">
        <f ca="1">IF(AND(J291&gt;=I288,J294&gt;=I288),J294,0)</f>
        <v>0</v>
      </c>
      <c r="K288" s="1162">
        <f t="shared" ca="1" si="130"/>
        <v>0</v>
      </c>
      <c r="L288" s="998"/>
      <c r="M288" s="998"/>
      <c r="N288" s="998"/>
      <c r="O288" s="998"/>
      <c r="P288" s="998"/>
    </row>
    <row r="289" spans="1:26" ht="19.5" hidden="1">
      <c r="A289" s="1002"/>
      <c r="B289" s="1003"/>
      <c r="C289" s="1003"/>
      <c r="D289" s="1163"/>
      <c r="E289" s="1164" t="s">
        <v>131</v>
      </c>
      <c r="F289" s="1010"/>
      <c r="G289" s="1011"/>
      <c r="H289" s="762"/>
      <c r="I289" s="997"/>
      <c r="J289" s="880"/>
      <c r="K289" s="998"/>
      <c r="L289" s="998"/>
      <c r="M289" s="998"/>
      <c r="N289" s="998"/>
      <c r="O289" s="998"/>
      <c r="P289" s="998"/>
    </row>
    <row r="290" spans="1:26" ht="19.5" hidden="1">
      <c r="A290" s="1002"/>
      <c r="B290" s="1003"/>
      <c r="C290" s="1003"/>
      <c r="D290" s="1163"/>
      <c r="E290" s="1014" t="s">
        <v>132</v>
      </c>
      <c r="F290" s="1010"/>
      <c r="G290" s="1011"/>
      <c r="H290" s="762" t="s">
        <v>35</v>
      </c>
      <c r="I290" s="997">
        <f ca="1">IFERROR(__xludf.DUMMYFUNCTION("IMPORTRANGE(""https://docs.google.com/spreadsheets/d/1QqKyyYR6Q21VydFLVH3TRQUabQu_ym0Zz7PgGX0-kHA/edit?usp=sharing"",""แผน!EB83"")"),0)</f>
        <v>0</v>
      </c>
      <c r="J290" s="1012">
        <v>0</v>
      </c>
      <c r="K290" s="998">
        <f t="shared" ref="K290:K291" ca="1" si="131">IF(I290&gt;0,J290*100/I290,0)</f>
        <v>0</v>
      </c>
      <c r="L290" s="998"/>
      <c r="M290" s="998"/>
      <c r="N290" s="998"/>
      <c r="O290" s="998"/>
      <c r="P290" s="998"/>
    </row>
    <row r="291" spans="1:26" ht="19.5" hidden="1">
      <c r="A291" s="1002"/>
      <c r="B291" s="1003"/>
      <c r="C291" s="1003"/>
      <c r="D291" s="1010"/>
      <c r="E291" s="1014" t="s">
        <v>338</v>
      </c>
      <c r="F291" s="1010"/>
      <c r="G291" s="1011"/>
      <c r="H291" s="762" t="s">
        <v>35</v>
      </c>
      <c r="I291" s="997">
        <f ca="1">IFERROR(__xludf.DUMMYFUNCTION("IMPORTRANGE(""https://docs.google.com/spreadsheets/d/1QqKyyYR6Q21VydFLVH3TRQUabQu_ym0Zz7PgGX0-kHA/edit?usp=sharing"",""แผน!EB83"")"),0)</f>
        <v>0</v>
      </c>
      <c r="J291" s="1012">
        <v>0</v>
      </c>
      <c r="K291" s="998">
        <f t="shared" ca="1" si="131"/>
        <v>0</v>
      </c>
      <c r="L291" s="998"/>
      <c r="M291" s="998"/>
      <c r="N291" s="998"/>
      <c r="O291" s="998"/>
      <c r="P291" s="998"/>
    </row>
    <row r="292" spans="1:26" ht="19.5" hidden="1">
      <c r="A292" s="1165"/>
      <c r="B292" s="1166"/>
      <c r="C292" s="1166"/>
      <c r="D292" s="1167"/>
      <c r="E292" s="1168" t="s">
        <v>134</v>
      </c>
      <c r="F292" s="1088"/>
      <c r="G292" s="1089"/>
      <c r="H292" s="419"/>
      <c r="I292" s="1082"/>
      <c r="J292" s="990"/>
      <c r="K292" s="1083"/>
      <c r="L292" s="1083"/>
      <c r="M292" s="1083"/>
      <c r="N292" s="1083"/>
      <c r="O292" s="1083"/>
      <c r="P292" s="1083"/>
    </row>
    <row r="293" spans="1:26" ht="19.5" hidden="1">
      <c r="A293" s="1002"/>
      <c r="B293" s="1003"/>
      <c r="C293" s="1003"/>
      <c r="D293" s="1163"/>
      <c r="E293" s="1014" t="s">
        <v>132</v>
      </c>
      <c r="F293" s="1010"/>
      <c r="G293" s="1011"/>
      <c r="H293" s="762" t="s">
        <v>35</v>
      </c>
      <c r="I293" s="997">
        <f ca="1">IFERROR(__xludf.DUMMYFUNCTION("IMPORTRANGE(""https://docs.google.com/spreadsheets/d/1QqKyyYR6Q21VydFLVH3TRQUabQu_ym0Zz7PgGX0-kHA/edit?usp=sharing"",""แผน!EB83"")"),0)</f>
        <v>0</v>
      </c>
      <c r="J293" s="1012">
        <v>0</v>
      </c>
      <c r="K293" s="998">
        <f t="shared" ref="K293:K294" ca="1" si="132">IF(I293&gt;0,J293*100/I293,0)</f>
        <v>0</v>
      </c>
      <c r="L293" s="998"/>
      <c r="M293" s="998"/>
      <c r="N293" s="998"/>
      <c r="O293" s="998"/>
      <c r="P293" s="998"/>
    </row>
    <row r="294" spans="1:26" ht="19.5" hidden="1">
      <c r="A294" s="1133"/>
      <c r="B294" s="1134"/>
      <c r="C294" s="1134"/>
      <c r="D294" s="1136"/>
      <c r="E294" s="1169" t="s">
        <v>338</v>
      </c>
      <c r="F294" s="1136"/>
      <c r="G294" s="1137"/>
      <c r="H294" s="423" t="s">
        <v>35</v>
      </c>
      <c r="I294" s="1170">
        <f ca="1">IFERROR(__xludf.DUMMYFUNCTION("IMPORTRANGE(""https://docs.google.com/spreadsheets/d/1QqKyyYR6Q21VydFLVH3TRQUabQu_ym0Zz7PgGX0-kHA/edit?usp=sharing"",""แผน!EB83"")"),0)</f>
        <v>0</v>
      </c>
      <c r="J294" s="1171">
        <v>0</v>
      </c>
      <c r="K294" s="1139">
        <f t="shared" ca="1" si="132"/>
        <v>0</v>
      </c>
      <c r="L294" s="1139"/>
      <c r="M294" s="1139"/>
      <c r="N294" s="1139"/>
      <c r="O294" s="1139"/>
      <c r="P294" s="1139"/>
    </row>
    <row r="295" spans="1:26" ht="19.5">
      <c r="A295" s="1172" t="s">
        <v>137</v>
      </c>
      <c r="B295" s="1173"/>
      <c r="C295" s="1173"/>
      <c r="D295" s="1173"/>
      <c r="E295" s="1174"/>
      <c r="F295" s="1174"/>
      <c r="G295" s="1175"/>
      <c r="H295" s="1176"/>
      <c r="I295" s="1177"/>
      <c r="J295" s="1177"/>
      <c r="K295" s="1178"/>
      <c r="L295" s="1178"/>
      <c r="M295" s="1178"/>
      <c r="N295" s="1178"/>
      <c r="O295" s="1178"/>
      <c r="P295" s="1178"/>
    </row>
    <row r="296" spans="1:26" ht="19.5" hidden="1">
      <c r="A296" s="1179" t="s">
        <v>138</v>
      </c>
      <c r="B296" s="1180"/>
      <c r="C296" s="1180"/>
      <c r="D296" s="1181"/>
      <c r="E296" s="1181"/>
      <c r="F296" s="1181"/>
      <c r="G296" s="1182"/>
      <c r="H296" s="1183"/>
      <c r="I296" s="1184"/>
      <c r="J296" s="1184"/>
      <c r="K296" s="1185"/>
      <c r="L296" s="1185"/>
      <c r="M296" s="1185"/>
      <c r="N296" s="1185"/>
      <c r="O296" s="1185"/>
      <c r="P296" s="1185"/>
    </row>
    <row r="297" spans="1:26" ht="19.5" hidden="1">
      <c r="A297" s="1186"/>
      <c r="B297" s="1187" t="s">
        <v>139</v>
      </c>
      <c r="C297" s="1188"/>
      <c r="D297" s="1188"/>
      <c r="E297" s="1188"/>
      <c r="F297" s="1188"/>
      <c r="G297" s="1189"/>
      <c r="H297" s="444" t="s">
        <v>35</v>
      </c>
      <c r="I297" s="1190">
        <f t="shared" ref="I297:J297" ca="1" si="133">I309</f>
        <v>0</v>
      </c>
      <c r="J297" s="1190">
        <f t="shared" si="133"/>
        <v>0</v>
      </c>
      <c r="K297" s="1191">
        <f ca="1">IF(I297&gt;0,J297*100/I297,0)</f>
        <v>0</v>
      </c>
      <c r="L297" s="1192"/>
      <c r="M297" s="1192"/>
      <c r="N297" s="1192"/>
      <c r="O297" s="1192"/>
      <c r="P297" s="1192"/>
    </row>
    <row r="298" spans="1:26" ht="19.5" hidden="1">
      <c r="A298" s="985"/>
      <c r="B298" s="986"/>
      <c r="C298" s="987" t="s">
        <v>16</v>
      </c>
      <c r="D298" s="988" t="s">
        <v>17</v>
      </c>
      <c r="E298" s="986"/>
      <c r="F298" s="986"/>
      <c r="G298" s="989"/>
      <c r="H298" s="152" t="s">
        <v>12</v>
      </c>
      <c r="I298" s="990"/>
      <c r="J298" s="990"/>
      <c r="K298" s="991"/>
      <c r="L298" s="992">
        <f t="shared" ref="L298:N298" ca="1" si="134">L299+L300</f>
        <v>0</v>
      </c>
      <c r="M298" s="992">
        <f t="shared" ca="1" si="134"/>
        <v>0</v>
      </c>
      <c r="N298" s="992">
        <f t="shared" ca="1" si="134"/>
        <v>0</v>
      </c>
      <c r="O298" s="992">
        <f t="shared" ref="O298:O306" ca="1" si="135">IF(L298&gt;0,N298*100/L298,0)</f>
        <v>0</v>
      </c>
      <c r="P298" s="992">
        <f t="shared" ref="P298:P306" ca="1" si="136">IF(M298&gt;0,N298*100/M298,0)</f>
        <v>0</v>
      </c>
      <c r="Q298" s="868"/>
      <c r="R298" s="868"/>
      <c r="S298" s="868"/>
      <c r="T298" s="868"/>
      <c r="U298" s="868"/>
      <c r="V298" s="868"/>
      <c r="W298" s="868"/>
      <c r="X298" s="868"/>
      <c r="Y298" s="868"/>
      <c r="Z298" s="868"/>
    </row>
    <row r="299" spans="1:26" ht="18.75" hidden="1">
      <c r="A299" s="993"/>
      <c r="B299" s="883"/>
      <c r="C299" s="883"/>
      <c r="D299" s="883"/>
      <c r="E299" s="884" t="s">
        <v>18</v>
      </c>
      <c r="F299" s="883"/>
      <c r="G299" s="994"/>
      <c r="H299" s="158" t="s">
        <v>12</v>
      </c>
      <c r="I299" s="886"/>
      <c r="J299" s="886"/>
      <c r="K299" s="887"/>
      <c r="L299" s="887">
        <f t="shared" ref="L299:N300" si="137">L302+L305</f>
        <v>0</v>
      </c>
      <c r="M299" s="887">
        <f t="shared" si="137"/>
        <v>0</v>
      </c>
      <c r="N299" s="887">
        <f t="shared" si="137"/>
        <v>0</v>
      </c>
      <c r="O299" s="887">
        <f t="shared" si="135"/>
        <v>0</v>
      </c>
      <c r="P299" s="887">
        <f t="shared" si="136"/>
        <v>0</v>
      </c>
      <c r="Q299" s="875"/>
      <c r="R299" s="875"/>
      <c r="S299" s="875"/>
      <c r="T299" s="875"/>
      <c r="U299" s="875"/>
      <c r="V299" s="875"/>
      <c r="W299" s="875"/>
      <c r="X299" s="875"/>
      <c r="Y299" s="875"/>
      <c r="Z299" s="875"/>
    </row>
    <row r="300" spans="1:26" ht="18.75" hidden="1">
      <c r="A300" s="993"/>
      <c r="B300" s="883"/>
      <c r="C300" s="883"/>
      <c r="D300" s="883"/>
      <c r="E300" s="884" t="s">
        <v>19</v>
      </c>
      <c r="F300" s="883"/>
      <c r="G300" s="994"/>
      <c r="H300" s="158" t="s">
        <v>12</v>
      </c>
      <c r="I300" s="886"/>
      <c r="J300" s="886"/>
      <c r="K300" s="887"/>
      <c r="L300" s="887">
        <f t="shared" ca="1" si="137"/>
        <v>0</v>
      </c>
      <c r="M300" s="887">
        <f t="shared" ca="1" si="137"/>
        <v>0</v>
      </c>
      <c r="N300" s="887">
        <f t="shared" ca="1" si="137"/>
        <v>0</v>
      </c>
      <c r="O300" s="887">
        <f t="shared" ca="1" si="135"/>
        <v>0</v>
      </c>
      <c r="P300" s="887">
        <f t="shared" ca="1" si="136"/>
        <v>0</v>
      </c>
      <c r="Q300" s="875"/>
      <c r="R300" s="875"/>
      <c r="S300" s="875"/>
      <c r="T300" s="875"/>
      <c r="U300" s="875"/>
      <c r="V300" s="875"/>
      <c r="W300" s="875"/>
      <c r="X300" s="875"/>
      <c r="Y300" s="875"/>
      <c r="Z300" s="875"/>
    </row>
    <row r="301" spans="1:26" ht="18.75" hidden="1">
      <c r="A301" s="995"/>
      <c r="B301" s="877"/>
      <c r="C301" s="996"/>
      <c r="D301" s="878" t="s">
        <v>20</v>
      </c>
      <c r="E301" s="877"/>
      <c r="F301" s="877"/>
      <c r="G301" s="879"/>
      <c r="H301" s="161" t="s">
        <v>12</v>
      </c>
      <c r="I301" s="997"/>
      <c r="J301" s="997"/>
      <c r="K301" s="998"/>
      <c r="L301" s="881">
        <f t="shared" ref="L301:N301" ca="1" si="138">L302+L303</f>
        <v>0</v>
      </c>
      <c r="M301" s="881">
        <f t="shared" ca="1" si="138"/>
        <v>0</v>
      </c>
      <c r="N301" s="881">
        <f t="shared" ca="1" si="138"/>
        <v>0</v>
      </c>
      <c r="O301" s="881">
        <f t="shared" ca="1" si="135"/>
        <v>0</v>
      </c>
      <c r="P301" s="881">
        <f t="shared" ca="1" si="136"/>
        <v>0</v>
      </c>
      <c r="Q301" s="868"/>
      <c r="R301" s="868"/>
      <c r="S301" s="868"/>
      <c r="T301" s="868"/>
      <c r="U301" s="868"/>
      <c r="V301" s="868"/>
      <c r="W301" s="868"/>
      <c r="X301" s="868"/>
      <c r="Y301" s="868"/>
      <c r="Z301" s="868"/>
    </row>
    <row r="302" spans="1:26" ht="19.5" hidden="1">
      <c r="A302" s="993"/>
      <c r="B302" s="883"/>
      <c r="C302" s="999"/>
      <c r="D302" s="883"/>
      <c r="E302" s="884" t="s">
        <v>36</v>
      </c>
      <c r="F302" s="883"/>
      <c r="G302" s="994"/>
      <c r="H302" s="165" t="s">
        <v>12</v>
      </c>
      <c r="I302" s="1000"/>
      <c r="J302" s="1000"/>
      <c r="K302" s="1001"/>
      <c r="L302" s="887">
        <v>0</v>
      </c>
      <c r="M302" s="887">
        <v>0</v>
      </c>
      <c r="N302" s="887">
        <v>0</v>
      </c>
      <c r="O302" s="887">
        <f t="shared" si="135"/>
        <v>0</v>
      </c>
      <c r="P302" s="887">
        <f t="shared" si="136"/>
        <v>0</v>
      </c>
      <c r="Q302" s="875"/>
      <c r="R302" s="875"/>
      <c r="S302" s="875"/>
      <c r="T302" s="875"/>
      <c r="U302" s="875"/>
      <c r="V302" s="875"/>
      <c r="W302" s="875"/>
      <c r="X302" s="875"/>
      <c r="Y302" s="875"/>
      <c r="Z302" s="875"/>
    </row>
    <row r="303" spans="1:26" ht="19.5" hidden="1">
      <c r="A303" s="993"/>
      <c r="B303" s="883"/>
      <c r="C303" s="999"/>
      <c r="D303" s="883"/>
      <c r="E303" s="884" t="s">
        <v>37</v>
      </c>
      <c r="F303" s="883"/>
      <c r="G303" s="994"/>
      <c r="H303" s="165" t="s">
        <v>12</v>
      </c>
      <c r="I303" s="1000"/>
      <c r="J303" s="1000"/>
      <c r="K303" s="1001"/>
      <c r="L303" s="887">
        <f ca="1">IFERROR(__xludf.DUMMYFUNCTION("IMPORTRANGE(""https://docs.google.com/spreadsheets/d/1MeEWN-I1oV_STSDYn1IFDPWt_1FKiwhDph83XaGc0o0/edit?usp=sharing"",""งบพรบ!DS83"")"),0)</f>
        <v>0</v>
      </c>
      <c r="M303" s="887">
        <f ca="1">IFERROR(__xludf.DUMMYFUNCTION("IMPORTRANGE(""https://docs.google.com/spreadsheets/d/1MeEWN-I1oV_STSDYn1IFDPWt_1FKiwhDph83XaGc0o0/edit?usp=sharing"",""งบพรบ!DX83"")"),0)</f>
        <v>0</v>
      </c>
      <c r="N303" s="887">
        <f ca="1">IFERROR(__xludf.DUMMYFUNCTION("IMPORTRANGE(""https://docs.google.com/spreadsheets/d/1MeEWN-I1oV_STSDYn1IFDPWt_1FKiwhDph83XaGc0o0/edit?usp=sharing"",""งบพรบ!DZ83"")"),0)</f>
        <v>0</v>
      </c>
      <c r="O303" s="887">
        <f t="shared" ca="1" si="135"/>
        <v>0</v>
      </c>
      <c r="P303" s="887">
        <f t="shared" ca="1" si="136"/>
        <v>0</v>
      </c>
      <c r="Q303" s="875"/>
      <c r="R303" s="875"/>
      <c r="S303" s="875"/>
      <c r="T303" s="875"/>
      <c r="U303" s="875"/>
      <c r="V303" s="875"/>
      <c r="W303" s="875"/>
      <c r="X303" s="875"/>
      <c r="Y303" s="875"/>
      <c r="Z303" s="875"/>
    </row>
    <row r="304" spans="1:26" ht="18.75" hidden="1">
      <c r="A304" s="995"/>
      <c r="B304" s="877"/>
      <c r="C304" s="996"/>
      <c r="D304" s="878" t="s">
        <v>21</v>
      </c>
      <c r="E304" s="877"/>
      <c r="F304" s="877"/>
      <c r="G304" s="879"/>
      <c r="H304" s="168" t="s">
        <v>12</v>
      </c>
      <c r="I304" s="997"/>
      <c r="J304" s="997"/>
      <c r="K304" s="998"/>
      <c r="L304" s="881">
        <f t="shared" ref="L304:N304" ca="1" si="139">L305+L306</f>
        <v>0</v>
      </c>
      <c r="M304" s="881">
        <f t="shared" ca="1" si="139"/>
        <v>0</v>
      </c>
      <c r="N304" s="881">
        <f t="shared" ca="1" si="139"/>
        <v>0</v>
      </c>
      <c r="O304" s="881">
        <f t="shared" ca="1" si="135"/>
        <v>0</v>
      </c>
      <c r="P304" s="881">
        <f t="shared" ca="1" si="136"/>
        <v>0</v>
      </c>
      <c r="Q304" s="868"/>
      <c r="R304" s="868"/>
      <c r="S304" s="868"/>
      <c r="T304" s="868"/>
      <c r="U304" s="868"/>
      <c r="V304" s="868"/>
      <c r="W304" s="868"/>
      <c r="X304" s="868"/>
      <c r="Y304" s="868"/>
      <c r="Z304" s="868"/>
    </row>
    <row r="305" spans="1:26" ht="19.5" hidden="1">
      <c r="A305" s="993"/>
      <c r="B305" s="883"/>
      <c r="C305" s="999"/>
      <c r="D305" s="883"/>
      <c r="E305" s="884" t="s">
        <v>18</v>
      </c>
      <c r="F305" s="883"/>
      <c r="G305" s="994"/>
      <c r="H305" s="165" t="s">
        <v>12</v>
      </c>
      <c r="I305" s="1000"/>
      <c r="J305" s="1000"/>
      <c r="K305" s="1001"/>
      <c r="L305" s="887">
        <v>0</v>
      </c>
      <c r="M305" s="887">
        <v>0</v>
      </c>
      <c r="N305" s="887">
        <v>0</v>
      </c>
      <c r="O305" s="887">
        <f t="shared" si="135"/>
        <v>0</v>
      </c>
      <c r="P305" s="887">
        <f t="shared" si="136"/>
        <v>0</v>
      </c>
      <c r="Q305" s="875"/>
      <c r="R305" s="875"/>
      <c r="S305" s="875"/>
      <c r="T305" s="875"/>
      <c r="U305" s="875"/>
      <c r="V305" s="875"/>
      <c r="W305" s="875"/>
      <c r="X305" s="875"/>
      <c r="Y305" s="875"/>
      <c r="Z305" s="875"/>
    </row>
    <row r="306" spans="1:26" ht="19.5" hidden="1">
      <c r="A306" s="993"/>
      <c r="B306" s="883"/>
      <c r="C306" s="999"/>
      <c r="D306" s="883"/>
      <c r="E306" s="884" t="s">
        <v>19</v>
      </c>
      <c r="F306" s="883"/>
      <c r="G306" s="994"/>
      <c r="H306" s="169" t="s">
        <v>12</v>
      </c>
      <c r="I306" s="1000"/>
      <c r="J306" s="1000"/>
      <c r="K306" s="1001"/>
      <c r="L306" s="887">
        <f ca="1">IFERROR(__xludf.DUMMYFUNCTION("IMPORTRANGE(""https://docs.google.com/spreadsheets/d/1MeEWN-I1oV_STSDYn1IFDPWt_1FKiwhDph83XaGc0o0/edit?usp=sharing"",""งบพรบ!DV83"")"),0)</f>
        <v>0</v>
      </c>
      <c r="M306" s="887">
        <f ca="1">IFERROR(__xludf.DUMMYFUNCTION("IMPORTRANGE(""https://docs.google.com/spreadsheets/d/1MeEWN-I1oV_STSDYn1IFDPWt_1FKiwhDph83XaGc0o0/edit?usp=sharing"",""งบพรบ!DY83"")"),0)</f>
        <v>0</v>
      </c>
      <c r="N306" s="887">
        <f ca="1">IFERROR(__xludf.DUMMYFUNCTION("IMPORTRANGE(""https://docs.google.com/spreadsheets/d/1MeEWN-I1oV_STSDYn1IFDPWt_1FKiwhDph83XaGc0o0/edit?usp=sharing"",""งบพรบ!EA83"")"),0)</f>
        <v>0</v>
      </c>
      <c r="O306" s="887">
        <f t="shared" ca="1" si="135"/>
        <v>0</v>
      </c>
      <c r="P306" s="887">
        <f t="shared" ca="1" si="136"/>
        <v>0</v>
      </c>
      <c r="Q306" s="875"/>
      <c r="R306" s="875"/>
      <c r="S306" s="875"/>
      <c r="T306" s="875"/>
      <c r="U306" s="875"/>
      <c r="V306" s="875"/>
      <c r="W306" s="875"/>
      <c r="X306" s="875"/>
      <c r="Y306" s="875"/>
      <c r="Z306" s="875"/>
    </row>
    <row r="307" spans="1:26" ht="19.5" hidden="1">
      <c r="A307" s="1002"/>
      <c r="B307" s="1003"/>
      <c r="C307" s="999" t="s">
        <v>16</v>
      </c>
      <c r="D307" s="1004" t="s">
        <v>38</v>
      </c>
      <c r="E307" s="1005"/>
      <c r="F307" s="1005"/>
      <c r="G307" s="1006"/>
      <c r="H307" s="1007"/>
      <c r="I307" s="880"/>
      <c r="J307" s="880"/>
      <c r="K307" s="881"/>
      <c r="L307" s="881"/>
      <c r="M307" s="881"/>
      <c r="N307" s="881"/>
      <c r="O307" s="881"/>
      <c r="P307" s="881"/>
    </row>
    <row r="308" spans="1:26" ht="18.75" hidden="1">
      <c r="A308" s="1002"/>
      <c r="B308" s="1003"/>
      <c r="C308" s="1003"/>
      <c r="D308" s="1009" t="s">
        <v>140</v>
      </c>
      <c r="E308" s="1009"/>
      <c r="F308" s="1009"/>
      <c r="G308" s="1011"/>
      <c r="H308" s="762"/>
      <c r="I308" s="880"/>
      <c r="J308" s="1012">
        <v>0</v>
      </c>
      <c r="K308" s="881"/>
      <c r="L308" s="881"/>
      <c r="M308" s="881"/>
      <c r="N308" s="881"/>
      <c r="O308" s="881"/>
      <c r="P308" s="881"/>
    </row>
    <row r="309" spans="1:26" ht="18.75" hidden="1">
      <c r="A309" s="1002"/>
      <c r="B309" s="1003"/>
      <c r="C309" s="1003"/>
      <c r="D309" s="1009" t="s">
        <v>141</v>
      </c>
      <c r="E309" s="1009"/>
      <c r="F309" s="1009"/>
      <c r="G309" s="1011"/>
      <c r="H309" s="762" t="s">
        <v>35</v>
      </c>
      <c r="I309" s="880">
        <f ca="1">IFERROR(__xludf.DUMMYFUNCTION("IMPORTRANGE(""https://docs.google.com/spreadsheets/d/1QqKyyYR6Q21VydFLVH3TRQUabQu_ym0Zz7PgGX0-kHA/edit?usp=sharing"",""แผน!ED83"")"),0)</f>
        <v>0</v>
      </c>
      <c r="J309" s="1012">
        <v>0</v>
      </c>
      <c r="K309" s="881">
        <f t="shared" ref="K309:K312" ca="1" si="140">IF(I309&gt;0,J309*100/I309,0)</f>
        <v>0</v>
      </c>
      <c r="L309" s="881"/>
      <c r="M309" s="881"/>
      <c r="N309" s="881"/>
      <c r="O309" s="881"/>
      <c r="P309" s="881"/>
    </row>
    <row r="310" spans="1:26" ht="18.75" hidden="1">
      <c r="A310" s="1002"/>
      <c r="B310" s="1003"/>
      <c r="C310" s="1003"/>
      <c r="D310" s="1009" t="s">
        <v>142</v>
      </c>
      <c r="E310" s="1009"/>
      <c r="F310" s="1009"/>
      <c r="G310" s="1011"/>
      <c r="H310" s="762" t="s">
        <v>35</v>
      </c>
      <c r="I310" s="880">
        <f ca="1">IFERROR(__xludf.DUMMYFUNCTION("IMPORTRANGE(""https://docs.google.com/spreadsheets/d/1QqKyyYR6Q21VydFLVH3TRQUabQu_ym0Zz7PgGX0-kHA/edit?usp=sharing"",""แผน!ED83"")"),0)</f>
        <v>0</v>
      </c>
      <c r="J310" s="1012">
        <v>0</v>
      </c>
      <c r="K310" s="881">
        <f t="shared" ca="1" si="140"/>
        <v>0</v>
      </c>
      <c r="L310" s="881"/>
      <c r="M310" s="881"/>
      <c r="N310" s="881"/>
      <c r="O310" s="881"/>
      <c r="P310" s="881"/>
    </row>
    <row r="311" spans="1:26" ht="18.75" hidden="1">
      <c r="A311" s="1002"/>
      <c r="B311" s="1003"/>
      <c r="C311" s="1003"/>
      <c r="D311" s="1009" t="s">
        <v>59</v>
      </c>
      <c r="E311" s="1009"/>
      <c r="F311" s="1009"/>
      <c r="G311" s="1011"/>
      <c r="H311" s="762" t="s">
        <v>35</v>
      </c>
      <c r="I311" s="880">
        <f ca="1">IFERROR(__xludf.DUMMYFUNCTION("IMPORTRANGE(""https://docs.google.com/spreadsheets/d/1QqKyyYR6Q21VydFLVH3TRQUabQu_ym0Zz7PgGX0-kHA/edit?usp=sharing"",""แผน!ED83"")"),0)</f>
        <v>0</v>
      </c>
      <c r="J311" s="1012">
        <v>0</v>
      </c>
      <c r="K311" s="881">
        <f t="shared" ca="1" si="140"/>
        <v>0</v>
      </c>
      <c r="L311" s="881"/>
      <c r="M311" s="881"/>
      <c r="N311" s="881"/>
      <c r="O311" s="881"/>
      <c r="P311" s="881"/>
    </row>
    <row r="312" spans="1:26" ht="18.75" hidden="1">
      <c r="A312" s="1002"/>
      <c r="B312" s="1003"/>
      <c r="C312" s="1003"/>
      <c r="D312" s="1009" t="s">
        <v>143</v>
      </c>
      <c r="E312" s="1009"/>
      <c r="F312" s="1009"/>
      <c r="G312" s="1011"/>
      <c r="H312" s="762" t="s">
        <v>35</v>
      </c>
      <c r="I312" s="880">
        <f ca="1">IFERROR(__xludf.DUMMYFUNCTION("IMPORTRANGE(""https://docs.google.com/spreadsheets/d/1QqKyyYR6Q21VydFLVH3TRQUabQu_ym0Zz7PgGX0-kHA/edit?usp=sharing"",""แผน!EE83"")"),0)</f>
        <v>0</v>
      </c>
      <c r="J312" s="1012">
        <v>0</v>
      </c>
      <c r="K312" s="881">
        <f t="shared" ca="1" si="140"/>
        <v>0</v>
      </c>
      <c r="L312" s="881"/>
      <c r="M312" s="881"/>
      <c r="N312" s="881"/>
      <c r="O312" s="881"/>
      <c r="P312" s="881"/>
    </row>
    <row r="313" spans="1:26" ht="19.5" hidden="1">
      <c r="A313" s="1179" t="s">
        <v>144</v>
      </c>
      <c r="B313" s="1180"/>
      <c r="C313" s="1180"/>
      <c r="D313" s="1181"/>
      <c r="E313" s="1180"/>
      <c r="F313" s="1180"/>
      <c r="G313" s="1180"/>
      <c r="H313" s="1193"/>
      <c r="I313" s="1184"/>
      <c r="J313" s="1184"/>
      <c r="K313" s="1185"/>
      <c r="L313" s="1185"/>
      <c r="M313" s="1185"/>
      <c r="N313" s="1185"/>
      <c r="O313" s="1185"/>
      <c r="P313" s="1185"/>
    </row>
    <row r="314" spans="1:26" ht="19.5" hidden="1">
      <c r="A314" s="1194"/>
      <c r="B314" s="1187" t="s">
        <v>145</v>
      </c>
      <c r="C314" s="1195"/>
      <c r="D314" s="1196"/>
      <c r="E314" s="1188"/>
      <c r="F314" s="1188"/>
      <c r="G314" s="1189"/>
      <c r="H314" s="444" t="s">
        <v>146</v>
      </c>
      <c r="I314" s="1190">
        <f t="shared" ref="I314:J314" ca="1" si="141">I325</f>
        <v>0</v>
      </c>
      <c r="J314" s="1190">
        <f t="shared" si="141"/>
        <v>0</v>
      </c>
      <c r="K314" s="1191">
        <f ca="1">IF(I314&gt;0,J314*100/I314,0)</f>
        <v>0</v>
      </c>
      <c r="L314" s="1192"/>
      <c r="M314" s="1192"/>
      <c r="N314" s="1192"/>
      <c r="O314" s="1192"/>
      <c r="P314" s="1192"/>
    </row>
    <row r="315" spans="1:26" ht="19.5" hidden="1">
      <c r="A315" s="985"/>
      <c r="B315" s="986"/>
      <c r="C315" s="987" t="s">
        <v>16</v>
      </c>
      <c r="D315" s="988" t="s">
        <v>17</v>
      </c>
      <c r="E315" s="986"/>
      <c r="F315" s="986"/>
      <c r="G315" s="989"/>
      <c r="H315" s="152" t="s">
        <v>12</v>
      </c>
      <c r="I315" s="990"/>
      <c r="J315" s="990"/>
      <c r="K315" s="991"/>
      <c r="L315" s="992">
        <f t="shared" ref="L315:N315" ca="1" si="142">L316+L317</f>
        <v>0</v>
      </c>
      <c r="M315" s="992">
        <f t="shared" ca="1" si="142"/>
        <v>0</v>
      </c>
      <c r="N315" s="992">
        <f t="shared" ca="1" si="142"/>
        <v>0</v>
      </c>
      <c r="O315" s="992">
        <f t="shared" ref="O315:O323" ca="1" si="143">IF(L315&gt;0,N315*100/L315,0)</f>
        <v>0</v>
      </c>
      <c r="P315" s="992">
        <f t="shared" ref="P315:P323" ca="1" si="144">IF(M315&gt;0,N315*100/M315,0)</f>
        <v>0</v>
      </c>
      <c r="Q315" s="868"/>
      <c r="R315" s="868"/>
      <c r="S315" s="868"/>
      <c r="T315" s="868"/>
      <c r="U315" s="868"/>
      <c r="V315" s="868"/>
      <c r="W315" s="868"/>
      <c r="X315" s="868"/>
      <c r="Y315" s="868"/>
      <c r="Z315" s="868"/>
    </row>
    <row r="316" spans="1:26" ht="18.75" hidden="1">
      <c r="A316" s="993"/>
      <c r="B316" s="883"/>
      <c r="C316" s="883"/>
      <c r="D316" s="883"/>
      <c r="E316" s="884" t="s">
        <v>18</v>
      </c>
      <c r="F316" s="883"/>
      <c r="G316" s="994"/>
      <c r="H316" s="158" t="s">
        <v>12</v>
      </c>
      <c r="I316" s="886"/>
      <c r="J316" s="886"/>
      <c r="K316" s="887"/>
      <c r="L316" s="887">
        <f t="shared" ref="L316:N317" si="145">L319+L322</f>
        <v>0</v>
      </c>
      <c r="M316" s="887">
        <f t="shared" si="145"/>
        <v>0</v>
      </c>
      <c r="N316" s="887">
        <f t="shared" si="145"/>
        <v>0</v>
      </c>
      <c r="O316" s="887">
        <f t="shared" si="143"/>
        <v>0</v>
      </c>
      <c r="P316" s="887">
        <f t="shared" si="144"/>
        <v>0</v>
      </c>
      <c r="Q316" s="875"/>
      <c r="R316" s="875"/>
      <c r="S316" s="875"/>
      <c r="T316" s="875"/>
      <c r="U316" s="875"/>
      <c r="V316" s="875"/>
      <c r="W316" s="875"/>
      <c r="X316" s="875"/>
      <c r="Y316" s="875"/>
      <c r="Z316" s="875"/>
    </row>
    <row r="317" spans="1:26" ht="18.75" hidden="1">
      <c r="A317" s="993"/>
      <c r="B317" s="883"/>
      <c r="C317" s="883"/>
      <c r="D317" s="883"/>
      <c r="E317" s="884" t="s">
        <v>19</v>
      </c>
      <c r="F317" s="883"/>
      <c r="G317" s="994"/>
      <c r="H317" s="158" t="s">
        <v>12</v>
      </c>
      <c r="I317" s="886"/>
      <c r="J317" s="886"/>
      <c r="K317" s="887"/>
      <c r="L317" s="887">
        <f t="shared" ca="1" si="145"/>
        <v>0</v>
      </c>
      <c r="M317" s="887">
        <f t="shared" ca="1" si="145"/>
        <v>0</v>
      </c>
      <c r="N317" s="887">
        <f t="shared" ca="1" si="145"/>
        <v>0</v>
      </c>
      <c r="O317" s="887">
        <f t="shared" ca="1" si="143"/>
        <v>0</v>
      </c>
      <c r="P317" s="887">
        <f t="shared" ca="1" si="144"/>
        <v>0</v>
      </c>
      <c r="Q317" s="875"/>
      <c r="R317" s="875"/>
      <c r="S317" s="875"/>
      <c r="T317" s="875"/>
      <c r="U317" s="875"/>
      <c r="V317" s="875"/>
      <c r="W317" s="875"/>
      <c r="X317" s="875"/>
      <c r="Y317" s="875"/>
      <c r="Z317" s="875"/>
    </row>
    <row r="318" spans="1:26" ht="18.75" hidden="1">
      <c r="A318" s="995"/>
      <c r="B318" s="877"/>
      <c r="C318" s="996"/>
      <c r="D318" s="878" t="s">
        <v>20</v>
      </c>
      <c r="E318" s="877"/>
      <c r="F318" s="877"/>
      <c r="G318" s="879"/>
      <c r="H318" s="161" t="s">
        <v>12</v>
      </c>
      <c r="I318" s="997"/>
      <c r="J318" s="997"/>
      <c r="K318" s="998"/>
      <c r="L318" s="881">
        <f t="shared" ref="L318:N318" ca="1" si="146">L319+L320</f>
        <v>0</v>
      </c>
      <c r="M318" s="881">
        <f t="shared" ca="1" si="146"/>
        <v>0</v>
      </c>
      <c r="N318" s="881">
        <f t="shared" ca="1" si="146"/>
        <v>0</v>
      </c>
      <c r="O318" s="881">
        <f t="shared" ca="1" si="143"/>
        <v>0</v>
      </c>
      <c r="P318" s="881">
        <f t="shared" ca="1" si="144"/>
        <v>0</v>
      </c>
      <c r="Q318" s="868"/>
      <c r="R318" s="868"/>
      <c r="S318" s="868"/>
      <c r="T318" s="868"/>
      <c r="U318" s="868"/>
      <c r="V318" s="868"/>
      <c r="W318" s="868"/>
      <c r="X318" s="868"/>
      <c r="Y318" s="868"/>
      <c r="Z318" s="868"/>
    </row>
    <row r="319" spans="1:26" ht="19.5" hidden="1">
      <c r="A319" s="993"/>
      <c r="B319" s="883"/>
      <c r="C319" s="999"/>
      <c r="D319" s="883"/>
      <c r="E319" s="884" t="s">
        <v>36</v>
      </c>
      <c r="F319" s="883"/>
      <c r="G319" s="994"/>
      <c r="H319" s="165" t="s">
        <v>12</v>
      </c>
      <c r="I319" s="1000"/>
      <c r="J319" s="1000"/>
      <c r="K319" s="1001"/>
      <c r="L319" s="887">
        <v>0</v>
      </c>
      <c r="M319" s="887">
        <v>0</v>
      </c>
      <c r="N319" s="887">
        <v>0</v>
      </c>
      <c r="O319" s="887">
        <f t="shared" si="143"/>
        <v>0</v>
      </c>
      <c r="P319" s="887">
        <f t="shared" si="144"/>
        <v>0</v>
      </c>
      <c r="Q319" s="875"/>
      <c r="R319" s="875"/>
      <c r="S319" s="875"/>
      <c r="T319" s="875"/>
      <c r="U319" s="875"/>
      <c r="V319" s="875"/>
      <c r="W319" s="875"/>
      <c r="X319" s="875"/>
      <c r="Y319" s="875"/>
      <c r="Z319" s="875"/>
    </row>
    <row r="320" spans="1:26" ht="19.5" hidden="1">
      <c r="A320" s="993"/>
      <c r="B320" s="883"/>
      <c r="C320" s="999"/>
      <c r="D320" s="883"/>
      <c r="E320" s="884" t="s">
        <v>37</v>
      </c>
      <c r="F320" s="883"/>
      <c r="G320" s="994"/>
      <c r="H320" s="165" t="s">
        <v>12</v>
      </c>
      <c r="I320" s="1000"/>
      <c r="J320" s="1000"/>
      <c r="K320" s="1001"/>
      <c r="L320" s="887">
        <f ca="1">IFERROR(__xludf.DUMMYFUNCTION("IMPORTRANGE(""https://docs.google.com/spreadsheets/d/1MeEWN-I1oV_STSDYn1IFDPWt_1FKiwhDph83XaGc0o0/edit?usp=sharing"",""งบพรบ!EC83"")"),0)</f>
        <v>0</v>
      </c>
      <c r="M320" s="887">
        <f ca="1">IFERROR(__xludf.DUMMYFUNCTION("IMPORTRANGE(""https://docs.google.com/spreadsheets/d/1MeEWN-I1oV_STSDYn1IFDPWt_1FKiwhDph83XaGc0o0/edit?usp=sharing"",""งบพรบ!EH83"")"),0)</f>
        <v>0</v>
      </c>
      <c r="N320" s="887">
        <f ca="1">IFERROR(__xludf.DUMMYFUNCTION("IMPORTRANGE(""https://docs.google.com/spreadsheets/d/1MeEWN-I1oV_STSDYn1IFDPWt_1FKiwhDph83XaGc0o0/edit?usp=sharing"",""งบพรบ!EJ83"")"),0)</f>
        <v>0</v>
      </c>
      <c r="O320" s="887">
        <f t="shared" ca="1" si="143"/>
        <v>0</v>
      </c>
      <c r="P320" s="887">
        <f t="shared" ca="1" si="144"/>
        <v>0</v>
      </c>
      <c r="Q320" s="875"/>
      <c r="R320" s="875"/>
      <c r="S320" s="875"/>
      <c r="T320" s="875"/>
      <c r="U320" s="875"/>
      <c r="V320" s="875"/>
      <c r="W320" s="875"/>
      <c r="X320" s="875"/>
      <c r="Y320" s="875"/>
      <c r="Z320" s="875"/>
    </row>
    <row r="321" spans="1:26" ht="18.75" hidden="1">
      <c r="A321" s="995"/>
      <c r="B321" s="877"/>
      <c r="C321" s="996"/>
      <c r="D321" s="878" t="s">
        <v>21</v>
      </c>
      <c r="E321" s="877"/>
      <c r="F321" s="877"/>
      <c r="G321" s="879"/>
      <c r="H321" s="168" t="s">
        <v>12</v>
      </c>
      <c r="I321" s="997"/>
      <c r="J321" s="997"/>
      <c r="K321" s="998"/>
      <c r="L321" s="881">
        <f t="shared" ref="L321:N321" ca="1" si="147">L322+L323</f>
        <v>0</v>
      </c>
      <c r="M321" s="881">
        <f t="shared" ca="1" si="147"/>
        <v>0</v>
      </c>
      <c r="N321" s="881">
        <f t="shared" ca="1" si="147"/>
        <v>0</v>
      </c>
      <c r="O321" s="881">
        <f t="shared" ca="1" si="143"/>
        <v>0</v>
      </c>
      <c r="P321" s="881">
        <f t="shared" ca="1" si="144"/>
        <v>0</v>
      </c>
      <c r="Q321" s="868"/>
      <c r="R321" s="868"/>
      <c r="S321" s="868"/>
      <c r="T321" s="868"/>
      <c r="U321" s="868"/>
      <c r="V321" s="868"/>
      <c r="W321" s="868"/>
      <c r="X321" s="868"/>
      <c r="Y321" s="868"/>
      <c r="Z321" s="868"/>
    </row>
    <row r="322" spans="1:26" ht="19.5" hidden="1">
      <c r="A322" s="993"/>
      <c r="B322" s="883"/>
      <c r="C322" s="999"/>
      <c r="D322" s="883"/>
      <c r="E322" s="884" t="s">
        <v>18</v>
      </c>
      <c r="F322" s="883"/>
      <c r="G322" s="994"/>
      <c r="H322" s="165" t="s">
        <v>12</v>
      </c>
      <c r="I322" s="1000"/>
      <c r="J322" s="1000"/>
      <c r="K322" s="1001"/>
      <c r="L322" s="887">
        <v>0</v>
      </c>
      <c r="M322" s="887">
        <v>0</v>
      </c>
      <c r="N322" s="887">
        <v>0</v>
      </c>
      <c r="O322" s="887">
        <f t="shared" si="143"/>
        <v>0</v>
      </c>
      <c r="P322" s="887">
        <f t="shared" si="144"/>
        <v>0</v>
      </c>
      <c r="Q322" s="875"/>
      <c r="R322" s="875"/>
      <c r="S322" s="875"/>
      <c r="T322" s="875"/>
      <c r="U322" s="875"/>
      <c r="V322" s="875"/>
      <c r="W322" s="875"/>
      <c r="X322" s="875"/>
      <c r="Y322" s="875"/>
      <c r="Z322" s="875"/>
    </row>
    <row r="323" spans="1:26" ht="19.5" hidden="1">
      <c r="A323" s="993"/>
      <c r="B323" s="883"/>
      <c r="C323" s="999"/>
      <c r="D323" s="883"/>
      <c r="E323" s="884" t="s">
        <v>19</v>
      </c>
      <c r="F323" s="883"/>
      <c r="G323" s="994"/>
      <c r="H323" s="169" t="s">
        <v>12</v>
      </c>
      <c r="I323" s="1000"/>
      <c r="J323" s="1000"/>
      <c r="K323" s="1001"/>
      <c r="L323" s="887">
        <f ca="1">IFERROR(__xludf.DUMMYFUNCTION("IMPORTRANGE(""https://docs.google.com/spreadsheets/d/1MeEWN-I1oV_STSDYn1IFDPWt_1FKiwhDph83XaGc0o0/edit?usp=sharing"",""งบพรบ!EF83"")"),0)</f>
        <v>0</v>
      </c>
      <c r="M323" s="887">
        <f ca="1">IFERROR(__xludf.DUMMYFUNCTION("IMPORTRANGE(""https://docs.google.com/spreadsheets/d/1MeEWN-I1oV_STSDYn1IFDPWt_1FKiwhDph83XaGc0o0/edit?usp=sharing"",""งบพรบ!EI83"")"),0)</f>
        <v>0</v>
      </c>
      <c r="N323" s="887">
        <f ca="1">IFERROR(__xludf.DUMMYFUNCTION("IMPORTRANGE(""https://docs.google.com/spreadsheets/d/1MeEWN-I1oV_STSDYn1IFDPWt_1FKiwhDph83XaGc0o0/edit?usp=sharing"",""งบพรบ!EK83"")"),0)</f>
        <v>0</v>
      </c>
      <c r="O323" s="887">
        <f t="shared" ca="1" si="143"/>
        <v>0</v>
      </c>
      <c r="P323" s="887">
        <f t="shared" ca="1" si="144"/>
        <v>0</v>
      </c>
      <c r="Q323" s="875"/>
      <c r="R323" s="875"/>
      <c r="S323" s="875"/>
      <c r="T323" s="875"/>
      <c r="U323" s="875"/>
      <c r="V323" s="875"/>
      <c r="W323" s="875"/>
      <c r="X323" s="875"/>
      <c r="Y323" s="875"/>
      <c r="Z323" s="875"/>
    </row>
    <row r="324" spans="1:26" ht="19.5" hidden="1">
      <c r="A324" s="1002"/>
      <c r="B324" s="1003"/>
      <c r="C324" s="999" t="s">
        <v>16</v>
      </c>
      <c r="D324" s="1004" t="s">
        <v>38</v>
      </c>
      <c r="E324" s="1005"/>
      <c r="F324" s="1005"/>
      <c r="G324" s="1006"/>
      <c r="H324" s="1007"/>
      <c r="I324" s="997"/>
      <c r="J324" s="880"/>
      <c r="K324" s="881"/>
      <c r="L324" s="881"/>
      <c r="M324" s="881"/>
      <c r="N324" s="881"/>
      <c r="O324" s="998"/>
      <c r="P324" s="998"/>
    </row>
    <row r="325" spans="1:26" ht="18.75" hidden="1">
      <c r="A325" s="1002"/>
      <c r="B325" s="1003"/>
      <c r="C325" s="1003"/>
      <c r="D325" s="1008" t="s">
        <v>147</v>
      </c>
      <c r="E325" s="1010"/>
      <c r="F325" s="1009"/>
      <c r="G325" s="1011"/>
      <c r="H325" s="622" t="s">
        <v>146</v>
      </c>
      <c r="I325" s="880">
        <f ca="1">IFERROR(__xludf.DUMMYFUNCTION("IMPORTRANGE(""https://docs.google.com/spreadsheets/d/1QqKyyYR6Q21VydFLVH3TRQUabQu_ym0Zz7PgGX0-kHA/edit?usp=sharing"",""แผน!EF83"")"),0)</f>
        <v>0</v>
      </c>
      <c r="J325" s="1012">
        <v>0</v>
      </c>
      <c r="K325" s="881">
        <f ca="1">IF(I325&gt;0,J325*100/I325,0)</f>
        <v>0</v>
      </c>
      <c r="L325" s="881"/>
      <c r="M325" s="881"/>
      <c r="N325" s="881"/>
      <c r="O325" s="998"/>
      <c r="P325" s="998"/>
    </row>
    <row r="326" spans="1:26" ht="19.5">
      <c r="A326" s="1179" t="s">
        <v>148</v>
      </c>
      <c r="B326" s="1180"/>
      <c r="C326" s="1180"/>
      <c r="D326" s="1181"/>
      <c r="E326" s="1180"/>
      <c r="F326" s="1180"/>
      <c r="G326" s="1180"/>
      <c r="H326" s="1193"/>
      <c r="I326" s="1184"/>
      <c r="J326" s="1184"/>
      <c r="K326" s="1185"/>
      <c r="L326" s="1185"/>
      <c r="M326" s="1185"/>
      <c r="N326" s="1185"/>
      <c r="O326" s="1185"/>
      <c r="P326" s="1185"/>
    </row>
    <row r="327" spans="1:26" ht="19.5">
      <c r="A327" s="1186"/>
      <c r="B327" s="1187" t="s">
        <v>149</v>
      </c>
      <c r="C327" s="1196"/>
      <c r="D327" s="1188"/>
      <c r="E327" s="1188"/>
      <c r="F327" s="1188"/>
      <c r="G327" s="1189"/>
      <c r="H327" s="444" t="s">
        <v>35</v>
      </c>
      <c r="I327" s="1190">
        <f ca="1">IFERROR(__xludf.DUMMYFUNCTION("IMPORTRANGE(""https://docs.google.com/spreadsheets/d/1QqKyyYR6Q21VydFLVH3TRQUabQu_ym0Zz7PgGX0-kHA/edit?usp=sharing"",""แผน!EG83"")"),180)</f>
        <v>180</v>
      </c>
      <c r="J327" s="1190">
        <f ca="1">J338+J341+J342+J343</f>
        <v>99</v>
      </c>
      <c r="K327" s="1191">
        <f ca="1">IF(I327&gt;0,J327*100/I327,0)</f>
        <v>55</v>
      </c>
      <c r="L327" s="1192"/>
      <c r="M327" s="1192"/>
      <c r="N327" s="1192"/>
      <c r="O327" s="1192"/>
      <c r="P327" s="1192"/>
    </row>
    <row r="328" spans="1:26" ht="19.5">
      <c r="A328" s="985"/>
      <c r="B328" s="986"/>
      <c r="C328" s="987" t="s">
        <v>16</v>
      </c>
      <c r="D328" s="988" t="s">
        <v>17</v>
      </c>
      <c r="E328" s="986"/>
      <c r="F328" s="986"/>
      <c r="G328" s="989"/>
      <c r="H328" s="152" t="s">
        <v>12</v>
      </c>
      <c r="I328" s="990"/>
      <c r="J328" s="990"/>
      <c r="K328" s="991"/>
      <c r="L328" s="992">
        <f t="shared" ref="L328:N328" ca="1" si="148">L329+L330</f>
        <v>157000</v>
      </c>
      <c r="M328" s="992">
        <f t="shared" ca="1" si="148"/>
        <v>120250</v>
      </c>
      <c r="N328" s="992">
        <f t="shared" ca="1" si="148"/>
        <v>69706.2</v>
      </c>
      <c r="O328" s="992">
        <f t="shared" ref="O328:O336" ca="1" si="149">IF(L328&gt;0,N328*100/L328,0)</f>
        <v>44.398853503184711</v>
      </c>
      <c r="P328" s="992">
        <f t="shared" ref="P328:P336" ca="1" si="150">IF(M328&gt;0,N328*100/M328,0)</f>
        <v>57.967733887733885</v>
      </c>
      <c r="Q328" s="868"/>
      <c r="R328" s="868"/>
      <c r="S328" s="868"/>
      <c r="T328" s="868"/>
      <c r="U328" s="868"/>
      <c r="V328" s="868"/>
      <c r="W328" s="868"/>
      <c r="X328" s="868"/>
      <c r="Y328" s="868"/>
      <c r="Z328" s="868"/>
    </row>
    <row r="329" spans="1:26" ht="18.75" hidden="1">
      <c r="A329" s="993"/>
      <c r="B329" s="883"/>
      <c r="C329" s="883"/>
      <c r="D329" s="883"/>
      <c r="E329" s="884" t="s">
        <v>18</v>
      </c>
      <c r="F329" s="883"/>
      <c r="G329" s="994"/>
      <c r="H329" s="158" t="s">
        <v>12</v>
      </c>
      <c r="I329" s="886"/>
      <c r="J329" s="886"/>
      <c r="K329" s="887"/>
      <c r="L329" s="887">
        <f t="shared" ref="L329:N330" si="151">L332+L335</f>
        <v>0</v>
      </c>
      <c r="M329" s="887">
        <f t="shared" si="151"/>
        <v>0</v>
      </c>
      <c r="N329" s="887">
        <f t="shared" si="151"/>
        <v>0</v>
      </c>
      <c r="O329" s="887">
        <f t="shared" si="149"/>
        <v>0</v>
      </c>
      <c r="P329" s="887">
        <f t="shared" si="150"/>
        <v>0</v>
      </c>
      <c r="Q329" s="875"/>
      <c r="R329" s="875"/>
      <c r="S329" s="875"/>
      <c r="T329" s="875"/>
      <c r="U329" s="875"/>
      <c r="V329" s="875"/>
      <c r="W329" s="875"/>
      <c r="X329" s="875"/>
      <c r="Y329" s="875"/>
      <c r="Z329" s="875"/>
    </row>
    <row r="330" spans="1:26" ht="18.75" hidden="1">
      <c r="A330" s="993"/>
      <c r="B330" s="883"/>
      <c r="C330" s="883"/>
      <c r="D330" s="883"/>
      <c r="E330" s="884" t="s">
        <v>19</v>
      </c>
      <c r="F330" s="883"/>
      <c r="G330" s="994"/>
      <c r="H330" s="158" t="s">
        <v>12</v>
      </c>
      <c r="I330" s="886"/>
      <c r="J330" s="886"/>
      <c r="K330" s="887"/>
      <c r="L330" s="887">
        <f t="shared" ca="1" si="151"/>
        <v>157000</v>
      </c>
      <c r="M330" s="887">
        <f t="shared" ca="1" si="151"/>
        <v>120250</v>
      </c>
      <c r="N330" s="887">
        <f t="shared" ca="1" si="151"/>
        <v>69706.2</v>
      </c>
      <c r="O330" s="887">
        <f t="shared" ca="1" si="149"/>
        <v>44.398853503184711</v>
      </c>
      <c r="P330" s="887">
        <f t="shared" ca="1" si="150"/>
        <v>57.967733887733885</v>
      </c>
      <c r="Q330" s="875"/>
      <c r="R330" s="875"/>
      <c r="S330" s="875"/>
      <c r="T330" s="875"/>
      <c r="U330" s="875"/>
      <c r="V330" s="875"/>
      <c r="W330" s="875"/>
      <c r="X330" s="875"/>
      <c r="Y330" s="875"/>
      <c r="Z330" s="875"/>
    </row>
    <row r="331" spans="1:26" ht="18.75">
      <c r="A331" s="995"/>
      <c r="B331" s="877"/>
      <c r="C331" s="996"/>
      <c r="D331" s="878" t="s">
        <v>20</v>
      </c>
      <c r="E331" s="877"/>
      <c r="F331" s="877"/>
      <c r="G331" s="879"/>
      <c r="H331" s="161" t="s">
        <v>12</v>
      </c>
      <c r="I331" s="997"/>
      <c r="J331" s="997"/>
      <c r="K331" s="998"/>
      <c r="L331" s="881">
        <f t="shared" ref="L331:N331" ca="1" si="152">L332+L333</f>
        <v>157000</v>
      </c>
      <c r="M331" s="881">
        <f t="shared" ca="1" si="152"/>
        <v>120250</v>
      </c>
      <c r="N331" s="881">
        <f t="shared" ca="1" si="152"/>
        <v>69706.2</v>
      </c>
      <c r="O331" s="881">
        <f t="shared" ca="1" si="149"/>
        <v>44.398853503184711</v>
      </c>
      <c r="P331" s="881">
        <f t="shared" ca="1" si="150"/>
        <v>57.967733887733885</v>
      </c>
      <c r="Q331" s="868"/>
      <c r="R331" s="868"/>
      <c r="S331" s="868"/>
      <c r="T331" s="868"/>
      <c r="U331" s="868"/>
      <c r="V331" s="868"/>
      <c r="W331" s="868"/>
      <c r="X331" s="868"/>
      <c r="Y331" s="868"/>
      <c r="Z331" s="868"/>
    </row>
    <row r="332" spans="1:26" ht="19.5" hidden="1">
      <c r="A332" s="993"/>
      <c r="B332" s="883"/>
      <c r="C332" s="999"/>
      <c r="D332" s="883"/>
      <c r="E332" s="884" t="s">
        <v>36</v>
      </c>
      <c r="F332" s="883"/>
      <c r="G332" s="994"/>
      <c r="H332" s="165" t="s">
        <v>12</v>
      </c>
      <c r="I332" s="1000"/>
      <c r="J332" s="1000"/>
      <c r="K332" s="1001"/>
      <c r="L332" s="887">
        <v>0</v>
      </c>
      <c r="M332" s="887">
        <v>0</v>
      </c>
      <c r="N332" s="887">
        <v>0</v>
      </c>
      <c r="O332" s="887">
        <f t="shared" si="149"/>
        <v>0</v>
      </c>
      <c r="P332" s="887">
        <f t="shared" si="150"/>
        <v>0</v>
      </c>
      <c r="Q332" s="875"/>
      <c r="R332" s="875"/>
      <c r="S332" s="875"/>
      <c r="T332" s="875"/>
      <c r="U332" s="875"/>
      <c r="V332" s="875"/>
      <c r="W332" s="875"/>
      <c r="X332" s="875"/>
      <c r="Y332" s="875"/>
      <c r="Z332" s="875"/>
    </row>
    <row r="333" spans="1:26" ht="19.5" hidden="1">
      <c r="A333" s="993"/>
      <c r="B333" s="883"/>
      <c r="C333" s="999"/>
      <c r="D333" s="883"/>
      <c r="E333" s="884" t="s">
        <v>37</v>
      </c>
      <c r="F333" s="883"/>
      <c r="G333" s="994"/>
      <c r="H333" s="165" t="s">
        <v>12</v>
      </c>
      <c r="I333" s="1000"/>
      <c r="J333" s="1000"/>
      <c r="K333" s="1001"/>
      <c r="L333" s="887">
        <f ca="1">IFERROR(__xludf.DUMMYFUNCTION("IMPORTRANGE(""https://docs.google.com/spreadsheets/d/1MeEWN-I1oV_STSDYn1IFDPWt_1FKiwhDph83XaGc0o0/edit?usp=sharing"",""งบพรบ!EM83"")"),157000)</f>
        <v>157000</v>
      </c>
      <c r="M333" s="887">
        <f ca="1">IFERROR(__xludf.DUMMYFUNCTION("IMPORTRANGE(""https://docs.google.com/spreadsheets/d/1MeEWN-I1oV_STSDYn1IFDPWt_1FKiwhDph83XaGc0o0/edit?usp=sharing"",""งบพรบ!ER83"")"),120250)</f>
        <v>120250</v>
      </c>
      <c r="N333" s="887">
        <f ca="1">IFERROR(__xludf.DUMMYFUNCTION("IMPORTRANGE(""https://docs.google.com/spreadsheets/d/1MeEWN-I1oV_STSDYn1IFDPWt_1FKiwhDph83XaGc0o0/edit?usp=sharing"",""งบพรบ!ET83"")"),69706.2)</f>
        <v>69706.2</v>
      </c>
      <c r="O333" s="887">
        <f t="shared" ca="1" si="149"/>
        <v>44.398853503184711</v>
      </c>
      <c r="P333" s="887">
        <f t="shared" ca="1" si="150"/>
        <v>57.967733887733885</v>
      </c>
      <c r="Q333" s="875"/>
      <c r="R333" s="875"/>
      <c r="S333" s="875"/>
      <c r="T333" s="875"/>
      <c r="U333" s="875"/>
      <c r="V333" s="875"/>
      <c r="W333" s="875"/>
      <c r="X333" s="875"/>
      <c r="Y333" s="875"/>
      <c r="Z333" s="875"/>
    </row>
    <row r="334" spans="1:26" ht="18.75">
      <c r="A334" s="995"/>
      <c r="B334" s="877"/>
      <c r="C334" s="996"/>
      <c r="D334" s="878" t="s">
        <v>21</v>
      </c>
      <c r="E334" s="877"/>
      <c r="F334" s="877"/>
      <c r="G334" s="879"/>
      <c r="H334" s="168" t="s">
        <v>12</v>
      </c>
      <c r="I334" s="997"/>
      <c r="J334" s="997"/>
      <c r="K334" s="998"/>
      <c r="L334" s="881">
        <f t="shared" ref="L334:N334" ca="1" si="153">L335+L336</f>
        <v>0</v>
      </c>
      <c r="M334" s="881">
        <f t="shared" ca="1" si="153"/>
        <v>0</v>
      </c>
      <c r="N334" s="881">
        <f t="shared" ca="1" si="153"/>
        <v>0</v>
      </c>
      <c r="O334" s="881">
        <f t="shared" ca="1" si="149"/>
        <v>0</v>
      </c>
      <c r="P334" s="881">
        <f t="shared" ca="1" si="150"/>
        <v>0</v>
      </c>
      <c r="Q334" s="868"/>
      <c r="R334" s="868"/>
      <c r="S334" s="868"/>
      <c r="T334" s="868"/>
      <c r="U334" s="868"/>
      <c r="V334" s="868"/>
      <c r="W334" s="868"/>
      <c r="X334" s="868"/>
      <c r="Y334" s="868"/>
      <c r="Z334" s="868"/>
    </row>
    <row r="335" spans="1:26" ht="19.5" hidden="1">
      <c r="A335" s="993"/>
      <c r="B335" s="883"/>
      <c r="C335" s="999"/>
      <c r="D335" s="883"/>
      <c r="E335" s="884" t="s">
        <v>18</v>
      </c>
      <c r="F335" s="883"/>
      <c r="G335" s="994"/>
      <c r="H335" s="165" t="s">
        <v>12</v>
      </c>
      <c r="I335" s="1000"/>
      <c r="J335" s="1000"/>
      <c r="K335" s="1001"/>
      <c r="L335" s="887">
        <v>0</v>
      </c>
      <c r="M335" s="887">
        <v>0</v>
      </c>
      <c r="N335" s="887">
        <v>0</v>
      </c>
      <c r="O335" s="887">
        <f t="shared" si="149"/>
        <v>0</v>
      </c>
      <c r="P335" s="887">
        <f t="shared" si="150"/>
        <v>0</v>
      </c>
      <c r="Q335" s="875"/>
      <c r="R335" s="875"/>
      <c r="S335" s="875"/>
      <c r="T335" s="875"/>
      <c r="U335" s="875"/>
      <c r="V335" s="875"/>
      <c r="W335" s="875"/>
      <c r="X335" s="875"/>
      <c r="Y335" s="875"/>
      <c r="Z335" s="875"/>
    </row>
    <row r="336" spans="1:26" ht="19.5" hidden="1">
      <c r="A336" s="993"/>
      <c r="B336" s="883"/>
      <c r="C336" s="999"/>
      <c r="D336" s="883"/>
      <c r="E336" s="884" t="s">
        <v>19</v>
      </c>
      <c r="F336" s="883"/>
      <c r="G336" s="994"/>
      <c r="H336" s="169" t="s">
        <v>12</v>
      </c>
      <c r="I336" s="1000"/>
      <c r="J336" s="1000"/>
      <c r="K336" s="1001"/>
      <c r="L336" s="887">
        <f ca="1">IFERROR(__xludf.DUMMYFUNCTION("IMPORTRANGE(""https://docs.google.com/spreadsheets/d/1MeEWN-I1oV_STSDYn1IFDPWt_1FKiwhDph83XaGc0o0/edit?usp=sharing"",""งบพรบ!EP83"")"),0)</f>
        <v>0</v>
      </c>
      <c r="M336" s="887">
        <f ca="1">IFERROR(__xludf.DUMMYFUNCTION("IMPORTRANGE(""https://docs.google.com/spreadsheets/d/1MeEWN-I1oV_STSDYn1IFDPWt_1FKiwhDph83XaGc0o0/edit?usp=sharing"",""งบพรบ!ES83"")"),0)</f>
        <v>0</v>
      </c>
      <c r="N336" s="887">
        <f ca="1">IFERROR(__xludf.DUMMYFUNCTION("IMPORTRANGE(""https://docs.google.com/spreadsheets/d/1MeEWN-I1oV_STSDYn1IFDPWt_1FKiwhDph83XaGc0o0/edit?usp=sharing"",""งบพรบ!EU83"")"),0)</f>
        <v>0</v>
      </c>
      <c r="O336" s="887">
        <f t="shared" ca="1" si="149"/>
        <v>0</v>
      </c>
      <c r="P336" s="887">
        <f t="shared" ca="1" si="150"/>
        <v>0</v>
      </c>
      <c r="Q336" s="875"/>
      <c r="R336" s="875"/>
      <c r="S336" s="875"/>
      <c r="T336" s="875"/>
      <c r="U336" s="875"/>
      <c r="V336" s="875"/>
      <c r="W336" s="875"/>
      <c r="X336" s="875"/>
      <c r="Y336" s="875"/>
      <c r="Z336" s="875"/>
    </row>
    <row r="337" spans="1:26" ht="19.5">
      <c r="A337" s="1002"/>
      <c r="B337" s="1003"/>
      <c r="C337" s="999" t="s">
        <v>16</v>
      </c>
      <c r="D337" s="1004" t="s">
        <v>38</v>
      </c>
      <c r="E337" s="1005"/>
      <c r="F337" s="1005"/>
      <c r="G337" s="1006"/>
      <c r="H337" s="1007"/>
      <c r="I337" s="997"/>
      <c r="J337" s="880"/>
      <c r="K337" s="881"/>
      <c r="L337" s="881"/>
      <c r="M337" s="881"/>
      <c r="N337" s="881"/>
      <c r="O337" s="998"/>
      <c r="P337" s="998"/>
    </row>
    <row r="338" spans="1:26" ht="18.75">
      <c r="A338" s="1086"/>
      <c r="B338" s="877"/>
      <c r="C338" s="1084"/>
      <c r="D338" s="1009" t="s">
        <v>150</v>
      </c>
      <c r="E338" s="1003"/>
      <c r="F338" s="877"/>
      <c r="G338" s="879"/>
      <c r="H338" s="277" t="s">
        <v>35</v>
      </c>
      <c r="I338" s="880">
        <f ca="1">IFERROR(__xludf.DUMMYFUNCTION("IMPORTRANGE(""https://docs.google.com/spreadsheets/d/1QqKyyYR6Q21VydFLVH3TRQUabQu_ym0Zz7PgGX0-kHA/edit?usp=sharing"",""แผน!EG83"")"),180)</f>
        <v>180</v>
      </c>
      <c r="J338" s="880">
        <f ca="1">IFERROR(__xludf.DUMMYFUNCTION("IMPORTRANGE(""https://docs.google.com/spreadsheets/d/1kVcqe37tkHyjCSG3S0O1AXqVkqjo8mSIZil3BcpIysc/edit?usp=sharing"",""ศูนย์!D83"")"),91)</f>
        <v>91</v>
      </c>
      <c r="K338" s="881">
        <f ca="1">IF(I338&gt;0,J338*100/I338,0)</f>
        <v>50.555555555555557</v>
      </c>
      <c r="L338" s="881"/>
      <c r="M338" s="881"/>
      <c r="N338" s="881"/>
      <c r="O338" s="881"/>
      <c r="P338" s="881"/>
    </row>
    <row r="339" spans="1:26" ht="18.75">
      <c r="A339" s="1086"/>
      <c r="B339" s="877"/>
      <c r="C339" s="1084"/>
      <c r="D339" s="1009" t="s">
        <v>151</v>
      </c>
      <c r="E339" s="1003"/>
      <c r="F339" s="877"/>
      <c r="G339" s="879"/>
      <c r="H339" s="277"/>
      <c r="I339" s="880"/>
      <c r="J339" s="880"/>
      <c r="K339" s="881"/>
      <c r="L339" s="881"/>
      <c r="M339" s="881"/>
      <c r="N339" s="881"/>
      <c r="O339" s="881"/>
      <c r="P339" s="881"/>
    </row>
    <row r="340" spans="1:26" ht="18.75">
      <c r="A340" s="1086"/>
      <c r="B340" s="877"/>
      <c r="C340" s="1084"/>
      <c r="D340" s="1010"/>
      <c r="E340" s="1009" t="s">
        <v>152</v>
      </c>
      <c r="F340" s="877"/>
      <c r="G340" s="879"/>
      <c r="H340" s="277" t="s">
        <v>153</v>
      </c>
      <c r="I340" s="880">
        <f ca="1">IFERROR(__xludf.DUMMYFUNCTION("IMPORTRANGE(""https://docs.google.com/spreadsheets/d/1QqKyyYR6Q21VydFLVH3TRQUabQu_ym0Zz7PgGX0-kHA/edit?usp=sharing"",""แผน!EH83"")"),2)</f>
        <v>2</v>
      </c>
      <c r="J340" s="880">
        <f ca="1">IFERROR(__xludf.DUMMYFUNCTION("IMPORTRANGE(""https://docs.google.com/spreadsheets/d/1kVcqe37tkHyjCSG3S0O1AXqVkqjo8mSIZil3BcpIysc/edit?usp=sharing"",""ศูนย์!E83"")"),1)</f>
        <v>1</v>
      </c>
      <c r="K340" s="881">
        <f ca="1">IF(I340&gt;0,J340*100/I340,0)</f>
        <v>50</v>
      </c>
      <c r="L340" s="881"/>
      <c r="M340" s="881"/>
      <c r="N340" s="881"/>
      <c r="O340" s="881"/>
      <c r="P340" s="881"/>
    </row>
    <row r="341" spans="1:26" ht="18.75">
      <c r="A341" s="1086"/>
      <c r="B341" s="877"/>
      <c r="C341" s="1084"/>
      <c r="D341" s="1010"/>
      <c r="E341" s="1009" t="s">
        <v>154</v>
      </c>
      <c r="F341" s="877"/>
      <c r="G341" s="879"/>
      <c r="H341" s="277" t="s">
        <v>35</v>
      </c>
      <c r="I341" s="880"/>
      <c r="J341" s="880">
        <f ca="1">IFERROR(__xludf.DUMMYFUNCTION("IMPORTRANGE(""https://docs.google.com/spreadsheets/d/1kVcqe37tkHyjCSG3S0O1AXqVkqjo8mSIZil3BcpIysc/edit?usp=sharing"",""ศูนย์!F83"")"),8)</f>
        <v>8</v>
      </c>
      <c r="K341" s="881"/>
      <c r="L341" s="881"/>
      <c r="M341" s="881"/>
      <c r="N341" s="881"/>
      <c r="O341" s="881"/>
      <c r="P341" s="881"/>
    </row>
    <row r="342" spans="1:26" ht="18.75">
      <c r="A342" s="1086"/>
      <c r="B342" s="877"/>
      <c r="C342" s="1084"/>
      <c r="D342" s="1009" t="s">
        <v>155</v>
      </c>
      <c r="E342" s="1010"/>
      <c r="F342" s="1010"/>
      <c r="G342" s="879"/>
      <c r="H342" s="277" t="s">
        <v>35</v>
      </c>
      <c r="I342" s="880"/>
      <c r="J342" s="880">
        <f ca="1">IFERROR(__xludf.DUMMYFUNCTION("IMPORTRANGE(""https://docs.google.com/spreadsheets/d/1kVcqe37tkHyjCSG3S0O1AXqVkqjo8mSIZil3BcpIysc/edit?usp=sharing"",""ศูนย์!G83"")"),0)</f>
        <v>0</v>
      </c>
      <c r="K342" s="881"/>
      <c r="L342" s="881"/>
      <c r="M342" s="881"/>
      <c r="N342" s="881"/>
      <c r="O342" s="881"/>
      <c r="P342" s="881"/>
    </row>
    <row r="343" spans="1:26" ht="18.75">
      <c r="A343" s="1086"/>
      <c r="B343" s="877"/>
      <c r="C343" s="1084"/>
      <c r="D343" s="1009" t="s">
        <v>156</v>
      </c>
      <c r="E343" s="1010"/>
      <c r="F343" s="1010"/>
      <c r="G343" s="879"/>
      <c r="H343" s="277" t="s">
        <v>35</v>
      </c>
      <c r="I343" s="880"/>
      <c r="J343" s="880">
        <f ca="1">IFERROR(__xludf.DUMMYFUNCTION("IMPORTRANGE(""https://docs.google.com/spreadsheets/d/1kVcqe37tkHyjCSG3S0O1AXqVkqjo8mSIZil3BcpIysc/edit?usp=sharing"",""ศูนย์!H83"")"),0)</f>
        <v>0</v>
      </c>
      <c r="K343" s="881"/>
      <c r="L343" s="881"/>
      <c r="M343" s="881"/>
      <c r="N343" s="881"/>
      <c r="O343" s="881"/>
      <c r="P343" s="881"/>
    </row>
    <row r="344" spans="1:26" ht="19.5">
      <c r="A344" s="1186"/>
      <c r="B344" s="1187" t="s">
        <v>157</v>
      </c>
      <c r="C344" s="1196"/>
      <c r="D344" s="1188"/>
      <c r="E344" s="1188"/>
      <c r="F344" s="1188"/>
      <c r="G344" s="1189"/>
      <c r="H344" s="444"/>
      <c r="I344" s="1197"/>
      <c r="J344" s="1197"/>
      <c r="K344" s="1192"/>
      <c r="L344" s="1192"/>
      <c r="M344" s="1192"/>
      <c r="N344" s="1192"/>
      <c r="O344" s="1192"/>
      <c r="P344" s="1192"/>
    </row>
    <row r="345" spans="1:26" ht="19.5">
      <c r="A345" s="985"/>
      <c r="B345" s="986"/>
      <c r="C345" s="987" t="s">
        <v>16</v>
      </c>
      <c r="D345" s="988" t="s">
        <v>17</v>
      </c>
      <c r="E345" s="986"/>
      <c r="F345" s="986"/>
      <c r="G345" s="989"/>
      <c r="H345" s="152" t="s">
        <v>12</v>
      </c>
      <c r="I345" s="990"/>
      <c r="J345" s="990"/>
      <c r="K345" s="991"/>
      <c r="L345" s="992">
        <f t="shared" ref="L345:N345" ca="1" si="154">L346+L347</f>
        <v>518760</v>
      </c>
      <c r="M345" s="992">
        <f t="shared" ca="1" si="154"/>
        <v>598654</v>
      </c>
      <c r="N345" s="992">
        <f t="shared" ca="1" si="154"/>
        <v>331504.41000000003</v>
      </c>
      <c r="O345" s="992">
        <f t="shared" ref="O345:O353" ca="1" si="155">IF(L345&gt;0,N345*100/L345,0)</f>
        <v>63.903232708767064</v>
      </c>
      <c r="P345" s="992">
        <f t="shared" ref="P345:P353" ca="1" si="156">IF(M345&gt;0,N345*100/M345,0)</f>
        <v>55.374959492461429</v>
      </c>
      <c r="Q345" s="868"/>
      <c r="R345" s="868"/>
      <c r="S345" s="868"/>
      <c r="T345" s="868"/>
      <c r="U345" s="868"/>
      <c r="V345" s="868"/>
      <c r="W345" s="868"/>
      <c r="X345" s="868"/>
      <c r="Y345" s="868"/>
      <c r="Z345" s="868"/>
    </row>
    <row r="346" spans="1:26" ht="18.75" hidden="1">
      <c r="A346" s="993"/>
      <c r="B346" s="883"/>
      <c r="C346" s="883"/>
      <c r="D346" s="883"/>
      <c r="E346" s="884" t="s">
        <v>18</v>
      </c>
      <c r="F346" s="883"/>
      <c r="G346" s="994"/>
      <c r="H346" s="158" t="s">
        <v>12</v>
      </c>
      <c r="I346" s="886"/>
      <c r="J346" s="886"/>
      <c r="K346" s="887"/>
      <c r="L346" s="887">
        <f t="shared" ref="L346:N347" si="157">L349+L352</f>
        <v>0</v>
      </c>
      <c r="M346" s="887">
        <f t="shared" si="157"/>
        <v>0</v>
      </c>
      <c r="N346" s="887">
        <f t="shared" si="157"/>
        <v>0</v>
      </c>
      <c r="O346" s="887">
        <f t="shared" si="155"/>
        <v>0</v>
      </c>
      <c r="P346" s="887">
        <f t="shared" si="156"/>
        <v>0</v>
      </c>
      <c r="Q346" s="875"/>
      <c r="R346" s="875"/>
      <c r="S346" s="875"/>
      <c r="T346" s="875"/>
      <c r="U346" s="875"/>
      <c r="V346" s="875"/>
      <c r="W346" s="875"/>
      <c r="X346" s="875"/>
      <c r="Y346" s="875"/>
      <c r="Z346" s="875"/>
    </row>
    <row r="347" spans="1:26" ht="18.75" hidden="1">
      <c r="A347" s="993"/>
      <c r="B347" s="883"/>
      <c r="C347" s="883"/>
      <c r="D347" s="883"/>
      <c r="E347" s="884" t="s">
        <v>19</v>
      </c>
      <c r="F347" s="883"/>
      <c r="G347" s="994"/>
      <c r="H347" s="158" t="s">
        <v>12</v>
      </c>
      <c r="I347" s="886"/>
      <c r="J347" s="886"/>
      <c r="K347" s="887"/>
      <c r="L347" s="887">
        <f t="shared" ca="1" si="157"/>
        <v>518760</v>
      </c>
      <c r="M347" s="887">
        <f t="shared" ca="1" si="157"/>
        <v>598654</v>
      </c>
      <c r="N347" s="887">
        <f t="shared" ca="1" si="157"/>
        <v>331504.41000000003</v>
      </c>
      <c r="O347" s="887">
        <f t="shared" ca="1" si="155"/>
        <v>63.903232708767064</v>
      </c>
      <c r="P347" s="887">
        <f t="shared" ca="1" si="156"/>
        <v>55.374959492461429</v>
      </c>
      <c r="Q347" s="875"/>
      <c r="R347" s="875"/>
      <c r="S347" s="875"/>
      <c r="T347" s="875"/>
      <c r="U347" s="875"/>
      <c r="V347" s="875"/>
      <c r="W347" s="875"/>
      <c r="X347" s="875"/>
      <c r="Y347" s="875"/>
      <c r="Z347" s="875"/>
    </row>
    <row r="348" spans="1:26" ht="18.75">
      <c r="A348" s="995"/>
      <c r="B348" s="877"/>
      <c r="C348" s="996"/>
      <c r="D348" s="878" t="s">
        <v>20</v>
      </c>
      <c r="E348" s="877"/>
      <c r="F348" s="877"/>
      <c r="G348" s="879"/>
      <c r="H348" s="161" t="s">
        <v>12</v>
      </c>
      <c r="I348" s="997"/>
      <c r="J348" s="997"/>
      <c r="K348" s="998"/>
      <c r="L348" s="881">
        <f t="shared" ref="L348:N348" ca="1" si="158">L349+L350</f>
        <v>404960</v>
      </c>
      <c r="M348" s="881">
        <f t="shared" ca="1" si="158"/>
        <v>485054</v>
      </c>
      <c r="N348" s="881">
        <f t="shared" ca="1" si="158"/>
        <v>217904.41</v>
      </c>
      <c r="O348" s="881">
        <f t="shared" ca="1" si="155"/>
        <v>53.808872481232711</v>
      </c>
      <c r="P348" s="881">
        <f t="shared" ca="1" si="156"/>
        <v>44.923742511143089</v>
      </c>
      <c r="Q348" s="868"/>
      <c r="R348" s="868"/>
      <c r="S348" s="868"/>
      <c r="T348" s="868"/>
      <c r="U348" s="868"/>
      <c r="V348" s="868"/>
      <c r="W348" s="868"/>
      <c r="X348" s="868"/>
      <c r="Y348" s="868"/>
      <c r="Z348" s="868"/>
    </row>
    <row r="349" spans="1:26" ht="19.5" hidden="1">
      <c r="A349" s="993"/>
      <c r="B349" s="883"/>
      <c r="C349" s="999"/>
      <c r="D349" s="883"/>
      <c r="E349" s="884" t="s">
        <v>36</v>
      </c>
      <c r="F349" s="883"/>
      <c r="G349" s="994"/>
      <c r="H349" s="165" t="s">
        <v>12</v>
      </c>
      <c r="I349" s="1000"/>
      <c r="J349" s="1000"/>
      <c r="K349" s="1001"/>
      <c r="L349" s="887">
        <v>0</v>
      </c>
      <c r="M349" s="887">
        <v>0</v>
      </c>
      <c r="N349" s="887">
        <v>0</v>
      </c>
      <c r="O349" s="887">
        <f t="shared" si="155"/>
        <v>0</v>
      </c>
      <c r="P349" s="887">
        <f t="shared" si="156"/>
        <v>0</v>
      </c>
      <c r="Q349" s="875"/>
      <c r="R349" s="875"/>
      <c r="S349" s="875"/>
      <c r="T349" s="875"/>
      <c r="U349" s="875"/>
      <c r="V349" s="875"/>
      <c r="W349" s="875"/>
      <c r="X349" s="875"/>
      <c r="Y349" s="875"/>
      <c r="Z349" s="875"/>
    </row>
    <row r="350" spans="1:26" ht="19.5" hidden="1">
      <c r="A350" s="993"/>
      <c r="B350" s="883"/>
      <c r="C350" s="999"/>
      <c r="D350" s="883"/>
      <c r="E350" s="884" t="s">
        <v>37</v>
      </c>
      <c r="F350" s="883"/>
      <c r="G350" s="994"/>
      <c r="H350" s="165" t="s">
        <v>12</v>
      </c>
      <c r="I350" s="1000"/>
      <c r="J350" s="1000"/>
      <c r="K350" s="1001"/>
      <c r="L350" s="887">
        <f ca="1">IFERROR(__xludf.DUMMYFUNCTION("IMPORTRANGE(""https://docs.google.com/spreadsheets/d/1MeEWN-I1oV_STSDYn1IFDPWt_1FKiwhDph83XaGc0o0/edit?usp=sharing"",""งบพรบ!EW83"")"),404960)</f>
        <v>404960</v>
      </c>
      <c r="M350" s="887">
        <f ca="1">IFERROR(__xludf.DUMMYFUNCTION("IMPORTRANGE(""https://docs.google.com/spreadsheets/d/1MeEWN-I1oV_STSDYn1IFDPWt_1FKiwhDph83XaGc0o0/edit?usp=sharing"",""งบพรบ!FB83"")"),485054)</f>
        <v>485054</v>
      </c>
      <c r="N350" s="887">
        <f ca="1">IFERROR(__xludf.DUMMYFUNCTION("IMPORTRANGE(""https://docs.google.com/spreadsheets/d/1MeEWN-I1oV_STSDYn1IFDPWt_1FKiwhDph83XaGc0o0/edit?usp=sharing"",""งบพรบ!FD83"")"),217904.41)</f>
        <v>217904.41</v>
      </c>
      <c r="O350" s="887">
        <f t="shared" ca="1" si="155"/>
        <v>53.808872481232711</v>
      </c>
      <c r="P350" s="887">
        <f t="shared" ca="1" si="156"/>
        <v>44.923742511143089</v>
      </c>
      <c r="Q350" s="875"/>
      <c r="R350" s="875"/>
      <c r="S350" s="875"/>
      <c r="T350" s="875"/>
      <c r="U350" s="875"/>
      <c r="V350" s="875"/>
      <c r="W350" s="875"/>
      <c r="X350" s="875"/>
      <c r="Y350" s="875"/>
      <c r="Z350" s="875"/>
    </row>
    <row r="351" spans="1:26" ht="18.75">
      <c r="A351" s="995"/>
      <c r="B351" s="877"/>
      <c r="C351" s="996"/>
      <c r="D351" s="878" t="s">
        <v>21</v>
      </c>
      <c r="E351" s="877"/>
      <c r="F351" s="877"/>
      <c r="G351" s="879"/>
      <c r="H351" s="168" t="s">
        <v>12</v>
      </c>
      <c r="I351" s="997"/>
      <c r="J351" s="997"/>
      <c r="K351" s="998"/>
      <c r="L351" s="881">
        <f t="shared" ref="L351:N351" ca="1" si="159">L352+L353</f>
        <v>113800</v>
      </c>
      <c r="M351" s="881">
        <f t="shared" ca="1" si="159"/>
        <v>113600</v>
      </c>
      <c r="N351" s="881">
        <f t="shared" ca="1" si="159"/>
        <v>113600</v>
      </c>
      <c r="O351" s="881">
        <f t="shared" ca="1" si="155"/>
        <v>99.824253075571178</v>
      </c>
      <c r="P351" s="881">
        <f t="shared" ca="1" si="156"/>
        <v>100</v>
      </c>
      <c r="Q351" s="868"/>
      <c r="R351" s="868"/>
      <c r="S351" s="868"/>
      <c r="T351" s="868"/>
      <c r="U351" s="868"/>
      <c r="V351" s="868"/>
      <c r="W351" s="868"/>
      <c r="X351" s="868"/>
      <c r="Y351" s="868"/>
      <c r="Z351" s="868"/>
    </row>
    <row r="352" spans="1:26" ht="19.5" hidden="1">
      <c r="A352" s="993"/>
      <c r="B352" s="883"/>
      <c r="C352" s="999"/>
      <c r="D352" s="883"/>
      <c r="E352" s="884" t="s">
        <v>18</v>
      </c>
      <c r="F352" s="883"/>
      <c r="G352" s="994"/>
      <c r="H352" s="165" t="s">
        <v>12</v>
      </c>
      <c r="I352" s="1000"/>
      <c r="J352" s="1000"/>
      <c r="K352" s="1001"/>
      <c r="L352" s="887">
        <v>0</v>
      </c>
      <c r="M352" s="887">
        <v>0</v>
      </c>
      <c r="N352" s="887">
        <v>0</v>
      </c>
      <c r="O352" s="887">
        <f t="shared" si="155"/>
        <v>0</v>
      </c>
      <c r="P352" s="887">
        <f t="shared" si="156"/>
        <v>0</v>
      </c>
      <c r="Q352" s="875"/>
      <c r="R352" s="875"/>
      <c r="S352" s="875"/>
      <c r="T352" s="875"/>
      <c r="U352" s="875"/>
      <c r="V352" s="875"/>
      <c r="W352" s="875"/>
      <c r="X352" s="875"/>
      <c r="Y352" s="875"/>
      <c r="Z352" s="875"/>
    </row>
    <row r="353" spans="1:26" ht="19.5" hidden="1">
      <c r="A353" s="993"/>
      <c r="B353" s="883"/>
      <c r="C353" s="999"/>
      <c r="D353" s="883"/>
      <c r="E353" s="884" t="s">
        <v>19</v>
      </c>
      <c r="F353" s="883"/>
      <c r="G353" s="994"/>
      <c r="H353" s="169" t="s">
        <v>12</v>
      </c>
      <c r="I353" s="1000"/>
      <c r="J353" s="1000"/>
      <c r="K353" s="1001"/>
      <c r="L353" s="887">
        <f ca="1">IFERROR(__xludf.DUMMYFUNCTION("IMPORTRANGE(""https://docs.google.com/spreadsheets/d/1MeEWN-I1oV_STSDYn1IFDPWt_1FKiwhDph83XaGc0o0/edit?usp=sharing"",""งบพรบ!EZ83"")"),113800)</f>
        <v>113800</v>
      </c>
      <c r="M353" s="887">
        <f ca="1">IFERROR(__xludf.DUMMYFUNCTION("IMPORTRANGE(""https://docs.google.com/spreadsheets/d/1MeEWN-I1oV_STSDYn1IFDPWt_1FKiwhDph83XaGc0o0/edit?usp=sharing"",""งบพรบ!FC83"")"),113600)</f>
        <v>113600</v>
      </c>
      <c r="N353" s="887">
        <f ca="1">IFERROR(__xludf.DUMMYFUNCTION("IMPORTRANGE(""https://docs.google.com/spreadsheets/d/1MeEWN-I1oV_STSDYn1IFDPWt_1FKiwhDph83XaGc0o0/edit?usp=sharing"",""งบพรบ!FE83"")"),113600)</f>
        <v>113600</v>
      </c>
      <c r="O353" s="887">
        <f t="shared" ca="1" si="155"/>
        <v>99.824253075571178</v>
      </c>
      <c r="P353" s="887">
        <f t="shared" ca="1" si="156"/>
        <v>100</v>
      </c>
      <c r="Q353" s="875"/>
      <c r="R353" s="875"/>
      <c r="S353" s="875"/>
      <c r="T353" s="875"/>
      <c r="U353" s="875"/>
      <c r="V353" s="875"/>
      <c r="W353" s="875"/>
      <c r="X353" s="875"/>
      <c r="Y353" s="875"/>
      <c r="Z353" s="875"/>
    </row>
    <row r="354" spans="1:26" ht="19.5">
      <c r="A354" s="1063"/>
      <c r="B354" s="1070"/>
      <c r="C354" s="1064"/>
      <c r="D354" s="1198" t="s">
        <v>158</v>
      </c>
      <c r="E354" s="1064"/>
      <c r="F354" s="1064"/>
      <c r="G354" s="1066"/>
      <c r="H354" s="1199"/>
      <c r="I354" s="1067"/>
      <c r="J354" s="1067"/>
      <c r="K354" s="1068"/>
      <c r="L354" s="1068"/>
      <c r="M354" s="1068"/>
      <c r="N354" s="1068"/>
      <c r="O354" s="1068"/>
      <c r="P354" s="1068"/>
    </row>
    <row r="355" spans="1:26" ht="19.5">
      <c r="A355" s="1200"/>
      <c r="B355" s="1201"/>
      <c r="C355" s="1202"/>
      <c r="D355" s="1203" t="s">
        <v>159</v>
      </c>
      <c r="E355" s="1204"/>
      <c r="F355" s="1204"/>
      <c r="G355" s="1205"/>
      <c r="H355" s="463" t="s">
        <v>35</v>
      </c>
      <c r="I355" s="1206">
        <f ca="1">IFERROR(__xludf.DUMMYFUNCTION("IMPORTRANGE(""https://docs.google.com/spreadsheets/d/1QqKyyYR6Q21VydFLVH3TRQUabQu_ym0Zz7PgGX0-kHA/edit?usp=sharing"",""แผน!EP83"")"),10)</f>
        <v>10</v>
      </c>
      <c r="J355" s="1206">
        <f ca="1">J362</f>
        <v>14</v>
      </c>
      <c r="K355" s="1207">
        <f ca="1">IF(I355&gt;0,J355*100/I355,0)</f>
        <v>140</v>
      </c>
      <c r="L355" s="1208"/>
      <c r="M355" s="1208"/>
      <c r="N355" s="1208"/>
      <c r="O355" s="1208"/>
      <c r="P355" s="1208"/>
    </row>
    <row r="356" spans="1:26" ht="19.5">
      <c r="A356" s="1200"/>
      <c r="B356" s="1201"/>
      <c r="C356" s="1202"/>
      <c r="D356" s="1209" t="s">
        <v>160</v>
      </c>
      <c r="E356" s="1204"/>
      <c r="F356" s="1204"/>
      <c r="G356" s="1205"/>
      <c r="H356" s="1210"/>
      <c r="I356" s="1211"/>
      <c r="J356" s="1211"/>
      <c r="K356" s="1208"/>
      <c r="L356" s="1208"/>
      <c r="M356" s="1208"/>
      <c r="N356" s="1208"/>
      <c r="O356" s="1208"/>
      <c r="P356" s="1208"/>
    </row>
    <row r="357" spans="1:26" ht="19.5">
      <c r="A357" s="1002"/>
      <c r="B357" s="1003"/>
      <c r="C357" s="999" t="s">
        <v>16</v>
      </c>
      <c r="D357" s="1004" t="s">
        <v>38</v>
      </c>
      <c r="E357" s="1005"/>
      <c r="F357" s="1005"/>
      <c r="G357" s="1006"/>
      <c r="H357" s="1007"/>
      <c r="I357" s="880"/>
      <c r="J357" s="880"/>
      <c r="K357" s="881"/>
      <c r="L357" s="998"/>
      <c r="M357" s="998"/>
      <c r="N357" s="998"/>
      <c r="O357" s="998"/>
      <c r="P357" s="998"/>
    </row>
    <row r="358" spans="1:26" ht="18.75">
      <c r="A358" s="1002"/>
      <c r="B358" s="1010"/>
      <c r="C358" s="1003"/>
      <c r="D358" s="1010"/>
      <c r="E358" s="1008" t="s">
        <v>161</v>
      </c>
      <c r="F358" s="1010"/>
      <c r="G358" s="1011"/>
      <c r="H358" s="185" t="s">
        <v>35</v>
      </c>
      <c r="I358" s="880">
        <v>0</v>
      </c>
      <c r="J358" s="880">
        <f ca="1">IFERROR(__xludf.DUMMYFUNCTION("IMPORTRANGE(""https://docs.google.com/spreadsheets/d/1XWAQStnk-4SwqDmLtmXYiTMKHgktTP8We1SCoS47DrQ/edit?usp=sharing"",""จัดที่ดิน!W83"")"),14)</f>
        <v>14</v>
      </c>
      <c r="K358" s="881">
        <f t="shared" ref="K358:K365" si="160">IF(I358&gt;0,J358*100/I358,0)</f>
        <v>0</v>
      </c>
      <c r="L358" s="998"/>
      <c r="M358" s="998"/>
      <c r="N358" s="998"/>
      <c r="O358" s="998"/>
      <c r="P358" s="998"/>
    </row>
    <row r="359" spans="1:26" ht="18.75">
      <c r="A359" s="1002"/>
      <c r="B359" s="1010"/>
      <c r="C359" s="1003"/>
      <c r="D359" s="1010"/>
      <c r="E359" s="1010"/>
      <c r="F359" s="1010"/>
      <c r="G359" s="1011"/>
      <c r="H359" s="185" t="s">
        <v>46</v>
      </c>
      <c r="I359" s="880">
        <f ca="1">IFERROR(__xludf.DUMMYFUNCTION("IMPORTRANGE(""https://docs.google.com/spreadsheets/d/1QqKyyYR6Q21VydFLVH3TRQUabQu_ym0Zz7PgGX0-kHA/edit?usp=sharing"",""แผน!EO83"")"),35)</f>
        <v>35</v>
      </c>
      <c r="J359" s="880">
        <f ca="1">IFERROR(__xludf.DUMMYFUNCTION("IMPORTRANGE(""https://docs.google.com/spreadsheets/d/1XWAQStnk-4SwqDmLtmXYiTMKHgktTP8We1SCoS47DrQ/edit?usp=sharing"",""จัดที่ดิน!X83"")"),58.8)</f>
        <v>58.8</v>
      </c>
      <c r="K359" s="881">
        <f t="shared" ca="1" si="160"/>
        <v>168</v>
      </c>
      <c r="L359" s="998"/>
      <c r="M359" s="998"/>
      <c r="N359" s="998"/>
      <c r="O359" s="998"/>
      <c r="P359" s="998"/>
    </row>
    <row r="360" spans="1:26" ht="18.75">
      <c r="A360" s="1002"/>
      <c r="B360" s="1010"/>
      <c r="C360" s="1003"/>
      <c r="D360" s="1010"/>
      <c r="E360" s="1008" t="s">
        <v>162</v>
      </c>
      <c r="F360" s="1010"/>
      <c r="G360" s="1011"/>
      <c r="H360" s="762" t="s">
        <v>35</v>
      </c>
      <c r="I360" s="880">
        <f ca="1">IFERROR(__xludf.DUMMYFUNCTION("IMPORTRANGE(""https://docs.google.com/spreadsheets/d/1QqKyyYR6Q21VydFLVH3TRQUabQu_ym0Zz7PgGX0-kHA/edit?usp=sharing"",""แผน!EP83"")"),10)</f>
        <v>10</v>
      </c>
      <c r="J360" s="880">
        <f ca="1">IFERROR(__xludf.DUMMYFUNCTION("IMPORTRANGE(""https://docs.google.com/spreadsheets/d/1XWAQStnk-4SwqDmLtmXYiTMKHgktTP8We1SCoS47DrQ/edit?usp=sharing"",""จัดที่ดิน!Y83"")"),14)</f>
        <v>14</v>
      </c>
      <c r="K360" s="881">
        <f t="shared" ca="1" si="160"/>
        <v>140</v>
      </c>
      <c r="L360" s="998"/>
      <c r="M360" s="998"/>
      <c r="N360" s="998"/>
      <c r="O360" s="998"/>
      <c r="P360" s="998"/>
    </row>
    <row r="361" spans="1:26" ht="18.75">
      <c r="A361" s="1002"/>
      <c r="B361" s="1010"/>
      <c r="C361" s="1003"/>
      <c r="D361" s="1010"/>
      <c r="E361" s="1010"/>
      <c r="F361" s="1010"/>
      <c r="G361" s="1011"/>
      <c r="H361" s="762" t="s">
        <v>46</v>
      </c>
      <c r="I361" s="880">
        <v>0</v>
      </c>
      <c r="J361" s="880">
        <f ca="1">IFERROR(__xludf.DUMMYFUNCTION("IMPORTRANGE(""https://docs.google.com/spreadsheets/d/1XWAQStnk-4SwqDmLtmXYiTMKHgktTP8We1SCoS47DrQ/edit?usp=sharing"",""จัดที่ดิน!Z83"")"),58.8)</f>
        <v>58.8</v>
      </c>
      <c r="K361" s="881">
        <f t="shared" si="160"/>
        <v>0</v>
      </c>
      <c r="L361" s="998"/>
      <c r="M361" s="998"/>
      <c r="N361" s="998"/>
      <c r="O361" s="998"/>
      <c r="P361" s="998"/>
    </row>
    <row r="362" spans="1:26" ht="18.75">
      <c r="A362" s="1002"/>
      <c r="B362" s="1010"/>
      <c r="C362" s="1003"/>
      <c r="D362" s="1010"/>
      <c r="E362" s="1008" t="s">
        <v>163</v>
      </c>
      <c r="F362" s="1010"/>
      <c r="G362" s="1011"/>
      <c r="H362" s="762" t="s">
        <v>35</v>
      </c>
      <c r="I362" s="880">
        <f ca="1">IFERROR(__xludf.DUMMYFUNCTION("IMPORTRANGE(""https://docs.google.com/spreadsheets/d/1QqKyyYR6Q21VydFLVH3TRQUabQu_ym0Zz7PgGX0-kHA/edit?usp=sharing"",""แผน!EP83"")"),10)</f>
        <v>10</v>
      </c>
      <c r="J362" s="880">
        <f ca="1">IFERROR(__xludf.DUMMYFUNCTION("IMPORTRANGE(""https://docs.google.com/spreadsheets/d/1XWAQStnk-4SwqDmLtmXYiTMKHgktTP8We1SCoS47DrQ/edit?usp=sharing"",""จัดที่ดิน!AA83"")"),14)</f>
        <v>14</v>
      </c>
      <c r="K362" s="881">
        <f t="shared" ca="1" si="160"/>
        <v>140</v>
      </c>
      <c r="L362" s="998"/>
      <c r="M362" s="998"/>
      <c r="N362" s="998"/>
      <c r="O362" s="998"/>
      <c r="P362" s="998"/>
    </row>
    <row r="363" spans="1:26" ht="18.75">
      <c r="A363" s="1212" t="s">
        <v>164</v>
      </c>
      <c r="B363" s="1010"/>
      <c r="C363" s="1003"/>
      <c r="D363" s="1010"/>
      <c r="E363" s="1009"/>
      <c r="F363" s="1010"/>
      <c r="G363" s="1011"/>
      <c r="H363" s="762" t="s">
        <v>46</v>
      </c>
      <c r="I363" s="880">
        <v>0</v>
      </c>
      <c r="J363" s="880">
        <f ca="1">IFERROR(__xludf.DUMMYFUNCTION("IMPORTRANGE(""https://docs.google.com/spreadsheets/d/1XWAQStnk-4SwqDmLtmXYiTMKHgktTP8We1SCoS47DrQ/edit?usp=sharing"",""จัดที่ดิน!AB83"")"),58.8)</f>
        <v>58.8</v>
      </c>
      <c r="K363" s="881">
        <f t="shared" si="160"/>
        <v>0</v>
      </c>
      <c r="L363" s="998"/>
      <c r="M363" s="998"/>
      <c r="N363" s="998"/>
      <c r="O363" s="998"/>
      <c r="P363" s="998"/>
    </row>
    <row r="364" spans="1:26" ht="19.5">
      <c r="A364" s="1213"/>
      <c r="B364" s="1214"/>
      <c r="C364" s="1215"/>
      <c r="D364" s="1216" t="s">
        <v>165</v>
      </c>
      <c r="E364" s="1217"/>
      <c r="F364" s="1217"/>
      <c r="G364" s="1218"/>
      <c r="H364" s="478" t="s">
        <v>35</v>
      </c>
      <c r="I364" s="1219">
        <f t="shared" ref="I364:J364" ca="1" si="161">I365+I374</f>
        <v>20</v>
      </c>
      <c r="J364" s="1219">
        <f t="shared" ca="1" si="161"/>
        <v>18</v>
      </c>
      <c r="K364" s="1220">
        <f t="shared" ca="1" si="160"/>
        <v>90</v>
      </c>
      <c r="L364" s="1221"/>
      <c r="M364" s="1221"/>
      <c r="N364" s="1221"/>
      <c r="O364" s="1221"/>
      <c r="P364" s="122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222"/>
      <c r="B365" s="1223"/>
      <c r="C365" s="1224"/>
      <c r="D365" s="1224" t="s">
        <v>166</v>
      </c>
      <c r="E365" s="1225"/>
      <c r="F365" s="1225"/>
      <c r="G365" s="1226"/>
      <c r="H365" s="489" t="s">
        <v>35</v>
      </c>
      <c r="I365" s="1227">
        <f ca="1">IFERROR(__xludf.DUMMYFUNCTION("IMPORTRANGE(""https://docs.google.com/spreadsheets/d/1QqKyyYR6Q21VydFLVH3TRQUabQu_ym0Zz7PgGX0-kHA/edit?usp=sharing"",""แผน!EJ83"")"),1)</f>
        <v>1</v>
      </c>
      <c r="J365" s="1227">
        <f ca="1">J372</f>
        <v>0</v>
      </c>
      <c r="K365" s="1228">
        <f t="shared" ca="1" si="160"/>
        <v>0</v>
      </c>
      <c r="L365" s="1229"/>
      <c r="M365" s="1229"/>
      <c r="N365" s="1229"/>
      <c r="O365" s="1229"/>
      <c r="P365" s="1229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222"/>
      <c r="B366" s="1223"/>
      <c r="C366" s="1224"/>
      <c r="D366" s="1230" t="s">
        <v>167</v>
      </c>
      <c r="E366" s="1225"/>
      <c r="F366" s="1225"/>
      <c r="G366" s="1226"/>
      <c r="H366" s="1231"/>
      <c r="I366" s="1232"/>
      <c r="J366" s="1232"/>
      <c r="K366" s="1229"/>
      <c r="L366" s="1229"/>
      <c r="M366" s="1229"/>
      <c r="N366" s="1229"/>
      <c r="O366" s="1229"/>
      <c r="P366" s="1229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002"/>
      <c r="B367" s="1003"/>
      <c r="C367" s="999" t="s">
        <v>16</v>
      </c>
      <c r="D367" s="1004" t="s">
        <v>38</v>
      </c>
      <c r="E367" s="1005"/>
      <c r="F367" s="1005"/>
      <c r="G367" s="1006"/>
      <c r="H367" s="1007"/>
      <c r="I367" s="880"/>
      <c r="J367" s="880"/>
      <c r="K367" s="881"/>
      <c r="L367" s="998"/>
      <c r="M367" s="998"/>
      <c r="N367" s="998"/>
      <c r="O367" s="998"/>
      <c r="P367" s="998"/>
    </row>
    <row r="368" spans="1:26" ht="18.75">
      <c r="A368" s="1002"/>
      <c r="B368" s="1010"/>
      <c r="C368" s="1003"/>
      <c r="D368" s="1010"/>
      <c r="E368" s="1008" t="s">
        <v>161</v>
      </c>
      <c r="F368" s="1010"/>
      <c r="G368" s="1011"/>
      <c r="H368" s="185" t="s">
        <v>35</v>
      </c>
      <c r="I368" s="880">
        <v>0</v>
      </c>
      <c r="J368" s="880">
        <f ca="1">IFERROR(__xludf.DUMMYFUNCTION("IMPORTRANGE(""https://docs.google.com/spreadsheets/d/1XWAQStnk-4SwqDmLtmXYiTMKHgktTP8We1SCoS47DrQ/edit?usp=sharing"",""จัดที่ดิน!E83"")"),0)</f>
        <v>0</v>
      </c>
      <c r="K368" s="881">
        <f t="shared" ref="K368:K374" si="162">IF(I368&gt;0,J368*100/I368,0)</f>
        <v>0</v>
      </c>
      <c r="L368" s="998"/>
      <c r="M368" s="998"/>
      <c r="N368" s="998"/>
      <c r="O368" s="998"/>
      <c r="P368" s="998"/>
    </row>
    <row r="369" spans="1:26" ht="18.75">
      <c r="A369" s="1002"/>
      <c r="B369" s="1010"/>
      <c r="C369" s="1003"/>
      <c r="D369" s="1010"/>
      <c r="E369" s="1010"/>
      <c r="F369" s="1010"/>
      <c r="G369" s="1011"/>
      <c r="H369" s="185" t="s">
        <v>46</v>
      </c>
      <c r="I369" s="880">
        <f ca="1">IFERROR(__xludf.DUMMYFUNCTION("IMPORTRANGE(""https://docs.google.com/spreadsheets/d/1QqKyyYR6Q21VydFLVH3TRQUabQu_ym0Zz7PgGX0-kHA/edit?usp=sharing"",""แผน!EI83"")"),3)</f>
        <v>3</v>
      </c>
      <c r="J369" s="880">
        <f ca="1">IFERROR(__xludf.DUMMYFUNCTION("IMPORTRANGE(""https://docs.google.com/spreadsheets/d/1XWAQStnk-4SwqDmLtmXYiTMKHgktTP8We1SCoS47DrQ/edit?usp=sharing"",""จัดที่ดิน!F83"")"),0)</f>
        <v>0</v>
      </c>
      <c r="K369" s="881">
        <f t="shared" ca="1" si="162"/>
        <v>0</v>
      </c>
      <c r="L369" s="998"/>
      <c r="M369" s="998"/>
      <c r="N369" s="998"/>
      <c r="O369" s="998"/>
      <c r="P369" s="998"/>
    </row>
    <row r="370" spans="1:26" ht="18.75">
      <c r="A370" s="1002"/>
      <c r="B370" s="1010"/>
      <c r="C370" s="1003"/>
      <c r="D370" s="1010"/>
      <c r="E370" s="1008" t="s">
        <v>162</v>
      </c>
      <c r="F370" s="1010"/>
      <c r="G370" s="1011"/>
      <c r="H370" s="762" t="s">
        <v>35</v>
      </c>
      <c r="I370" s="880">
        <f ca="1">IFERROR(__xludf.DUMMYFUNCTION("IMPORTRANGE(""https://docs.google.com/spreadsheets/d/1QqKyyYR6Q21VydFLVH3TRQUabQu_ym0Zz7PgGX0-kHA/edit?usp=sharing"",""แผน!EJ83"")"),1)</f>
        <v>1</v>
      </c>
      <c r="J370" s="880">
        <f ca="1">IFERROR(__xludf.DUMMYFUNCTION("IMPORTRANGE(""https://docs.google.com/spreadsheets/d/1XWAQStnk-4SwqDmLtmXYiTMKHgktTP8We1SCoS47DrQ/edit?usp=sharing"",""จัดที่ดิน!G83"")"),0)</f>
        <v>0</v>
      </c>
      <c r="K370" s="881">
        <f t="shared" ca="1" si="162"/>
        <v>0</v>
      </c>
      <c r="L370" s="998"/>
      <c r="M370" s="998"/>
      <c r="N370" s="998"/>
      <c r="O370" s="998"/>
      <c r="P370" s="998"/>
    </row>
    <row r="371" spans="1:26" ht="18.75">
      <c r="A371" s="1002"/>
      <c r="B371" s="1010"/>
      <c r="C371" s="1003"/>
      <c r="D371" s="1010"/>
      <c r="E371" s="1010"/>
      <c r="F371" s="1010"/>
      <c r="G371" s="1011"/>
      <c r="H371" s="762" t="s">
        <v>46</v>
      </c>
      <c r="I371" s="880">
        <v>0</v>
      </c>
      <c r="J371" s="880">
        <f ca="1">IFERROR(__xludf.DUMMYFUNCTION("IMPORTRANGE(""https://docs.google.com/spreadsheets/d/1XWAQStnk-4SwqDmLtmXYiTMKHgktTP8We1SCoS47DrQ/edit?usp=sharing"",""จัดที่ดิน!H83"")"),0)</f>
        <v>0</v>
      </c>
      <c r="K371" s="881">
        <f t="shared" si="162"/>
        <v>0</v>
      </c>
      <c r="L371" s="998"/>
      <c r="M371" s="998"/>
      <c r="N371" s="998"/>
      <c r="O371" s="998"/>
      <c r="P371" s="998"/>
    </row>
    <row r="372" spans="1:26" ht="18.75">
      <c r="A372" s="1002"/>
      <c r="B372" s="1010"/>
      <c r="C372" s="1003"/>
      <c r="D372" s="1010"/>
      <c r="E372" s="1008" t="s">
        <v>163</v>
      </c>
      <c r="F372" s="1010"/>
      <c r="G372" s="1011"/>
      <c r="H372" s="762" t="s">
        <v>35</v>
      </c>
      <c r="I372" s="880">
        <f ca="1">IFERROR(__xludf.DUMMYFUNCTION("IMPORTRANGE(""https://docs.google.com/spreadsheets/d/1QqKyyYR6Q21VydFLVH3TRQUabQu_ym0Zz7PgGX0-kHA/edit?usp=sharing"",""แผน!EJ83"")"),1)</f>
        <v>1</v>
      </c>
      <c r="J372" s="880">
        <f ca="1">IFERROR(__xludf.DUMMYFUNCTION("IMPORTRANGE(""https://docs.google.com/spreadsheets/d/1XWAQStnk-4SwqDmLtmXYiTMKHgktTP8We1SCoS47DrQ/edit?usp=sharing"",""จัดที่ดิน!I83"")"),0)</f>
        <v>0</v>
      </c>
      <c r="K372" s="881">
        <f t="shared" ca="1" si="162"/>
        <v>0</v>
      </c>
      <c r="L372" s="998"/>
      <c r="M372" s="998"/>
      <c r="N372" s="998"/>
      <c r="O372" s="998"/>
      <c r="P372" s="998"/>
    </row>
    <row r="373" spans="1:26" ht="18.75">
      <c r="A373" s="1212" t="s">
        <v>164</v>
      </c>
      <c r="B373" s="1010"/>
      <c r="C373" s="1003"/>
      <c r="D373" s="1010"/>
      <c r="E373" s="1009"/>
      <c r="F373" s="1010"/>
      <c r="G373" s="1011"/>
      <c r="H373" s="762" t="s">
        <v>46</v>
      </c>
      <c r="I373" s="880">
        <v>0</v>
      </c>
      <c r="J373" s="880">
        <f ca="1">IFERROR(__xludf.DUMMYFUNCTION("IMPORTRANGE(""https://docs.google.com/spreadsheets/d/1XWAQStnk-4SwqDmLtmXYiTMKHgktTP8We1SCoS47DrQ/edit?usp=sharing"",""จัดที่ดิน!J83"")"),0)</f>
        <v>0</v>
      </c>
      <c r="K373" s="881">
        <f t="shared" si="162"/>
        <v>0</v>
      </c>
      <c r="L373" s="998"/>
      <c r="M373" s="998"/>
      <c r="N373" s="998"/>
      <c r="O373" s="998"/>
      <c r="P373" s="998"/>
    </row>
    <row r="374" spans="1:26" ht="19.5">
      <c r="A374" s="1222"/>
      <c r="B374" s="1223"/>
      <c r="C374" s="1224"/>
      <c r="D374" s="1224" t="s">
        <v>168</v>
      </c>
      <c r="E374" s="1225"/>
      <c r="F374" s="1225"/>
      <c r="G374" s="1226"/>
      <c r="H374" s="489" t="s">
        <v>35</v>
      </c>
      <c r="I374" s="1233">
        <f ca="1">IFERROR(__xludf.DUMMYFUNCTION("IMPORTRANGE(""https://docs.google.com/spreadsheets/d/1QqKyyYR6Q21VydFLVH3TRQUabQu_ym0Zz7PgGX0-kHA/edit?usp=sharing"",""แผน!EU83"")"),19)</f>
        <v>19</v>
      </c>
      <c r="J374" s="1227">
        <f ca="1">J381</f>
        <v>18</v>
      </c>
      <c r="K374" s="1228">
        <f t="shared" ca="1" si="162"/>
        <v>94.736842105263165</v>
      </c>
      <c r="L374" s="1229"/>
      <c r="M374" s="1229"/>
      <c r="N374" s="1229"/>
      <c r="O374" s="1229"/>
      <c r="P374" s="1229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222"/>
      <c r="B375" s="1223"/>
      <c r="C375" s="1224"/>
      <c r="D375" s="1230" t="s">
        <v>169</v>
      </c>
      <c r="E375" s="1225"/>
      <c r="F375" s="1225"/>
      <c r="G375" s="1226"/>
      <c r="H375" s="1231"/>
      <c r="I375" s="1232"/>
      <c r="J375" s="1232"/>
      <c r="K375" s="1229"/>
      <c r="L375" s="1229"/>
      <c r="M375" s="1229"/>
      <c r="N375" s="1229"/>
      <c r="O375" s="1229"/>
      <c r="P375" s="1229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002"/>
      <c r="B376" s="1003"/>
      <c r="C376" s="999" t="s">
        <v>16</v>
      </c>
      <c r="D376" s="1004" t="s">
        <v>38</v>
      </c>
      <c r="E376" s="1005"/>
      <c r="F376" s="1005"/>
      <c r="G376" s="1006"/>
      <c r="H376" s="1007"/>
      <c r="I376" s="880"/>
      <c r="J376" s="880"/>
      <c r="K376" s="881"/>
      <c r="L376" s="998"/>
      <c r="M376" s="998"/>
      <c r="N376" s="998"/>
      <c r="O376" s="998"/>
      <c r="P376" s="998"/>
    </row>
    <row r="377" spans="1:26" ht="18.75">
      <c r="A377" s="1002"/>
      <c r="B377" s="1010"/>
      <c r="C377" s="1003"/>
      <c r="D377" s="1010"/>
      <c r="E377" s="1008" t="s">
        <v>161</v>
      </c>
      <c r="F377" s="1010"/>
      <c r="G377" s="1011"/>
      <c r="H377" s="185" t="s">
        <v>35</v>
      </c>
      <c r="I377" s="880">
        <v>0</v>
      </c>
      <c r="J377" s="880">
        <f ca="1">IFERROR(__xludf.DUMMYFUNCTION("IMPORTRANGE(""https://docs.google.com/spreadsheets/d/1XWAQStnk-4SwqDmLtmXYiTMKHgktTP8We1SCoS47DrQ/edit?usp=sharing"",""จัดที่ดิน!AH83"")"),14)</f>
        <v>14</v>
      </c>
      <c r="K377" s="881">
        <f t="shared" ref="K377:K382" si="163">IF(I377&gt;0,J377*100/I377,0)</f>
        <v>0</v>
      </c>
      <c r="L377" s="998"/>
      <c r="M377" s="998"/>
      <c r="N377" s="998"/>
      <c r="O377" s="998"/>
      <c r="P377" s="998"/>
    </row>
    <row r="378" spans="1:26" ht="18.75">
      <c r="A378" s="1002"/>
      <c r="B378" s="1010"/>
      <c r="C378" s="1003"/>
      <c r="D378" s="1010"/>
      <c r="E378" s="1010"/>
      <c r="F378" s="1010"/>
      <c r="G378" s="1011"/>
      <c r="H378" s="185" t="s">
        <v>46</v>
      </c>
      <c r="I378" s="880">
        <f ca="1">IFERROR(__xludf.DUMMYFUNCTION("IMPORTRANGE(""https://docs.google.com/spreadsheets/d/1QqKyyYR6Q21VydFLVH3TRQUabQu_ym0Zz7PgGX0-kHA/edit?usp=sharing"",""แผน!ET83"")"),32)</f>
        <v>32</v>
      </c>
      <c r="J378" s="880">
        <f ca="1">IFERROR(__xludf.DUMMYFUNCTION("IMPORTRANGE(""https://docs.google.com/spreadsheets/d/1XWAQStnk-4SwqDmLtmXYiTMKHgktTP8We1SCoS47DrQ/edit?usp=sharing"",""จัดที่ดิน!AI83"")"),58.8)</f>
        <v>58.8</v>
      </c>
      <c r="K378" s="881">
        <f t="shared" ca="1" si="163"/>
        <v>183.75</v>
      </c>
      <c r="L378" s="998"/>
      <c r="M378" s="998"/>
      <c r="N378" s="998"/>
      <c r="O378" s="998"/>
      <c r="P378" s="998"/>
    </row>
    <row r="379" spans="1:26" ht="18.75">
      <c r="A379" s="1002"/>
      <c r="B379" s="1010"/>
      <c r="C379" s="1003"/>
      <c r="D379" s="1010"/>
      <c r="E379" s="1008" t="s">
        <v>162</v>
      </c>
      <c r="F379" s="1010"/>
      <c r="G379" s="1011"/>
      <c r="H379" s="762" t="s">
        <v>35</v>
      </c>
      <c r="I379" s="880">
        <f ca="1">IFERROR(__xludf.DUMMYFUNCTION("IMPORTRANGE(""https://docs.google.com/spreadsheets/d/1QqKyyYR6Q21VydFLVH3TRQUabQu_ym0Zz7PgGX0-kHA/edit?usp=sharing"",""แผน!EU83"")"),19)</f>
        <v>19</v>
      </c>
      <c r="J379" s="880">
        <f ca="1">IFERROR(__xludf.DUMMYFUNCTION("IMPORTRANGE(""https://docs.google.com/spreadsheets/d/1XWAQStnk-4SwqDmLtmXYiTMKHgktTP8We1SCoS47DrQ/edit?usp=sharing"",""จัดที่ดิน!AJ83"")"),18)</f>
        <v>18</v>
      </c>
      <c r="K379" s="881">
        <f t="shared" ca="1" si="163"/>
        <v>94.736842105263165</v>
      </c>
      <c r="L379" s="998"/>
      <c r="M379" s="998"/>
      <c r="N379" s="998"/>
      <c r="O379" s="998"/>
      <c r="P379" s="998"/>
    </row>
    <row r="380" spans="1:26" ht="18.75">
      <c r="A380" s="1002"/>
      <c r="B380" s="1010"/>
      <c r="C380" s="1003"/>
      <c r="D380" s="1010"/>
      <c r="E380" s="1010"/>
      <c r="F380" s="1010"/>
      <c r="G380" s="1011"/>
      <c r="H380" s="762" t="s">
        <v>46</v>
      </c>
      <c r="I380" s="880">
        <v>0</v>
      </c>
      <c r="J380" s="880">
        <f ca="1">IFERROR(__xludf.DUMMYFUNCTION("IMPORTRANGE(""https://docs.google.com/spreadsheets/d/1XWAQStnk-4SwqDmLtmXYiTMKHgktTP8We1SCoS47DrQ/edit?usp=sharing"",""จัดที่ดิน!AK83"")"),112.66)</f>
        <v>112.66</v>
      </c>
      <c r="K380" s="881">
        <f t="shared" si="163"/>
        <v>0</v>
      </c>
      <c r="L380" s="998"/>
      <c r="M380" s="998"/>
      <c r="N380" s="998"/>
      <c r="O380" s="998"/>
      <c r="P380" s="998"/>
    </row>
    <row r="381" spans="1:26" ht="18.75">
      <c r="A381" s="1002"/>
      <c r="B381" s="1010"/>
      <c r="C381" s="1003"/>
      <c r="D381" s="1010"/>
      <c r="E381" s="1008" t="s">
        <v>163</v>
      </c>
      <c r="F381" s="1010"/>
      <c r="G381" s="1011"/>
      <c r="H381" s="762" t="s">
        <v>35</v>
      </c>
      <c r="I381" s="880">
        <f ca="1">IFERROR(__xludf.DUMMYFUNCTION("IMPORTRANGE(""https://docs.google.com/spreadsheets/d/1QqKyyYR6Q21VydFLVH3TRQUabQu_ym0Zz7PgGX0-kHA/edit?usp=sharing"",""แผน!EU83"")"),19)</f>
        <v>19</v>
      </c>
      <c r="J381" s="880">
        <f ca="1">IFERROR(__xludf.DUMMYFUNCTION("IMPORTRANGE(""https://docs.google.com/spreadsheets/d/1XWAQStnk-4SwqDmLtmXYiTMKHgktTP8We1SCoS47DrQ/edit?usp=sharing"",""จัดที่ดิน!AL83"")"),18)</f>
        <v>18</v>
      </c>
      <c r="K381" s="881">
        <f t="shared" ca="1" si="163"/>
        <v>94.736842105263165</v>
      </c>
      <c r="L381" s="998"/>
      <c r="M381" s="998"/>
      <c r="N381" s="998"/>
      <c r="O381" s="998"/>
      <c r="P381" s="998"/>
    </row>
    <row r="382" spans="1:26" ht="18.75">
      <c r="A382" s="1212" t="s">
        <v>164</v>
      </c>
      <c r="B382" s="1010"/>
      <c r="C382" s="1003"/>
      <c r="D382" s="1010"/>
      <c r="E382" s="1009"/>
      <c r="F382" s="1010"/>
      <c r="G382" s="1011"/>
      <c r="H382" s="762" t="s">
        <v>46</v>
      </c>
      <c r="I382" s="880">
        <v>0</v>
      </c>
      <c r="J382" s="880">
        <f ca="1">IFERROR(__xludf.DUMMYFUNCTION("IMPORTRANGE(""https://docs.google.com/spreadsheets/d/1XWAQStnk-4SwqDmLtmXYiTMKHgktTP8We1SCoS47DrQ/edit?usp=sharing"",""จัดที่ดิน!AM83"")"),112.66)</f>
        <v>112.66</v>
      </c>
      <c r="K382" s="881">
        <f t="shared" si="163"/>
        <v>0</v>
      </c>
      <c r="L382" s="998"/>
      <c r="M382" s="998"/>
      <c r="N382" s="998"/>
      <c r="O382" s="998"/>
      <c r="P382" s="998"/>
    </row>
    <row r="383" spans="1:26" ht="19.5">
      <c r="A383" s="1234"/>
      <c r="B383" s="1235"/>
      <c r="C383" s="1091"/>
      <c r="D383" s="1236" t="s">
        <v>170</v>
      </c>
      <c r="E383" s="1091"/>
      <c r="F383" s="1091"/>
      <c r="G383" s="1237"/>
      <c r="H383" s="1199"/>
      <c r="I383" s="1067"/>
      <c r="J383" s="1067"/>
      <c r="K383" s="1068"/>
      <c r="L383" s="1068"/>
      <c r="M383" s="1068"/>
      <c r="N383" s="1068"/>
      <c r="O383" s="1068"/>
      <c r="P383" s="1068"/>
    </row>
    <row r="384" spans="1:26" ht="19.5">
      <c r="A384" s="1002"/>
      <c r="B384" s="1003"/>
      <c r="C384" s="877" t="s">
        <v>16</v>
      </c>
      <c r="D384" s="1004" t="s">
        <v>38</v>
      </c>
      <c r="E384" s="1005"/>
      <c r="F384" s="1005"/>
      <c r="G384" s="1006"/>
      <c r="H384" s="1007"/>
      <c r="I384" s="880"/>
      <c r="J384" s="880"/>
      <c r="K384" s="881"/>
      <c r="L384" s="998"/>
      <c r="M384" s="998"/>
      <c r="N384" s="998"/>
      <c r="O384" s="998"/>
      <c r="P384" s="998"/>
    </row>
    <row r="385" spans="1:26" ht="18.75">
      <c r="A385" s="1133"/>
      <c r="B385" s="1136"/>
      <c r="C385" s="1134"/>
      <c r="D385" s="1136"/>
      <c r="E385" s="1238" t="s">
        <v>171</v>
      </c>
      <c r="F385" s="1136"/>
      <c r="G385" s="1137"/>
      <c r="H385" s="504" t="s">
        <v>35</v>
      </c>
      <c r="I385" s="1138">
        <f ca="1">IFERROR(__xludf.DUMMYFUNCTION("IMPORTRANGE(""https://docs.google.com/spreadsheets/d/1QqKyyYR6Q21VydFLVH3TRQUabQu_ym0Zz7PgGX0-kHA/edit?usp=sharing"",""แผน!EW83"")"),2)</f>
        <v>2</v>
      </c>
      <c r="J385" s="1138">
        <f ca="1">IFERROR(__xludf.DUMMYFUNCTION("IMPORTRANGE(""https://docs.google.com/spreadsheets/d/1XWAQStnk-4SwqDmLtmXYiTMKHgktTP8We1SCoS47DrQ/edit?usp=sharing"",""จัดที่ดิน!AP83"")"),2)</f>
        <v>2</v>
      </c>
      <c r="K385" s="1239">
        <f ca="1">IF(I385&gt;0,J385*100/I385,0)</f>
        <v>100</v>
      </c>
      <c r="L385" s="1139"/>
      <c r="M385" s="1139"/>
      <c r="N385" s="1139"/>
      <c r="O385" s="1139"/>
      <c r="P385" s="1139"/>
    </row>
    <row r="386" spans="1:26" ht="19.5" hidden="1">
      <c r="A386" s="1240" t="s">
        <v>172</v>
      </c>
      <c r="B386" s="1241"/>
      <c r="C386" s="1241"/>
      <c r="D386" s="1241"/>
      <c r="E386" s="1242"/>
      <c r="F386" s="1242"/>
      <c r="G386" s="1243"/>
      <c r="H386" s="1244"/>
      <c r="I386" s="1245"/>
      <c r="J386" s="1245"/>
      <c r="K386" s="1246"/>
      <c r="L386" s="1246"/>
      <c r="M386" s="1246"/>
      <c r="N386" s="1246"/>
      <c r="O386" s="1246"/>
      <c r="P386" s="1246"/>
    </row>
    <row r="387" spans="1:26" ht="19.5" hidden="1">
      <c r="A387" s="1247" t="s">
        <v>173</v>
      </c>
      <c r="B387" s="1248"/>
      <c r="C387" s="1248"/>
      <c r="D387" s="1249"/>
      <c r="E387" s="1248"/>
      <c r="F387" s="1248"/>
      <c r="G387" s="1248"/>
      <c r="H387" s="1250"/>
      <c r="I387" s="1251"/>
      <c r="J387" s="1251"/>
      <c r="K387" s="1252"/>
      <c r="L387" s="1252"/>
      <c r="M387" s="1252"/>
      <c r="N387" s="1252"/>
      <c r="O387" s="1252"/>
      <c r="P387" s="1252"/>
    </row>
    <row r="388" spans="1:26" ht="19.5" hidden="1">
      <c r="A388" s="1253"/>
      <c r="B388" s="1254" t="s">
        <v>174</v>
      </c>
      <c r="C388" s="1255"/>
      <c r="D388" s="1256"/>
      <c r="E388" s="1256"/>
      <c r="F388" s="1256"/>
      <c r="G388" s="1257"/>
      <c r="H388" s="525" t="s">
        <v>66</v>
      </c>
      <c r="I388" s="1258">
        <f t="shared" ref="I388:J388" si="164">I400</f>
        <v>0</v>
      </c>
      <c r="J388" s="1258">
        <f t="shared" si="164"/>
        <v>0</v>
      </c>
      <c r="K388" s="1259">
        <f>IF(I388&gt;0,J388*100/I388,0)</f>
        <v>0</v>
      </c>
      <c r="L388" s="1260"/>
      <c r="M388" s="1260"/>
      <c r="N388" s="1260"/>
      <c r="O388" s="1260"/>
      <c r="P388" s="1260"/>
    </row>
    <row r="389" spans="1:26" ht="19.5" hidden="1">
      <c r="A389" s="985"/>
      <c r="B389" s="986"/>
      <c r="C389" s="987" t="s">
        <v>16</v>
      </c>
      <c r="D389" s="988" t="s">
        <v>17</v>
      </c>
      <c r="E389" s="986"/>
      <c r="F389" s="986"/>
      <c r="G389" s="989"/>
      <c r="H389" s="152" t="s">
        <v>12</v>
      </c>
      <c r="I389" s="990"/>
      <c r="J389" s="990"/>
      <c r="K389" s="991"/>
      <c r="L389" s="992">
        <f t="shared" ref="L389:N389" ca="1" si="165">L390+L391</f>
        <v>0</v>
      </c>
      <c r="M389" s="992">
        <f t="shared" ca="1" si="165"/>
        <v>0</v>
      </c>
      <c r="N389" s="992">
        <f t="shared" ca="1" si="165"/>
        <v>0</v>
      </c>
      <c r="O389" s="992">
        <f t="shared" ref="O389:O397" ca="1" si="166">IF(L389&gt;0,N389*100/L389,0)</f>
        <v>0</v>
      </c>
      <c r="P389" s="992">
        <f t="shared" ref="P389:P397" ca="1" si="167">IF(M389&gt;0,N389*100/M389,0)</f>
        <v>0</v>
      </c>
      <c r="Q389" s="868"/>
      <c r="R389" s="868"/>
      <c r="S389" s="868"/>
      <c r="T389" s="868"/>
      <c r="U389" s="868"/>
      <c r="V389" s="868"/>
      <c r="W389" s="868"/>
      <c r="X389" s="868"/>
      <c r="Y389" s="868"/>
      <c r="Z389" s="868"/>
    </row>
    <row r="390" spans="1:26" ht="18.75" hidden="1">
      <c r="A390" s="993"/>
      <c r="B390" s="883"/>
      <c r="C390" s="883"/>
      <c r="D390" s="883"/>
      <c r="E390" s="884" t="s">
        <v>18</v>
      </c>
      <c r="F390" s="883"/>
      <c r="G390" s="994"/>
      <c r="H390" s="158" t="s">
        <v>12</v>
      </c>
      <c r="I390" s="886"/>
      <c r="J390" s="886"/>
      <c r="K390" s="887"/>
      <c r="L390" s="887">
        <f t="shared" ref="L390:N391" si="168">L393+L396</f>
        <v>0</v>
      </c>
      <c r="M390" s="887">
        <f t="shared" si="168"/>
        <v>0</v>
      </c>
      <c r="N390" s="887">
        <f t="shared" si="168"/>
        <v>0</v>
      </c>
      <c r="O390" s="887">
        <f t="shared" si="166"/>
        <v>0</v>
      </c>
      <c r="P390" s="887">
        <f t="shared" si="167"/>
        <v>0</v>
      </c>
      <c r="Q390" s="875"/>
      <c r="R390" s="875"/>
      <c r="S390" s="875"/>
      <c r="T390" s="875"/>
      <c r="U390" s="875"/>
      <c r="V390" s="875"/>
      <c r="W390" s="875"/>
      <c r="X390" s="875"/>
      <c r="Y390" s="875"/>
      <c r="Z390" s="875"/>
    </row>
    <row r="391" spans="1:26" ht="18.75" hidden="1">
      <c r="A391" s="993"/>
      <c r="B391" s="883"/>
      <c r="C391" s="883"/>
      <c r="D391" s="883"/>
      <c r="E391" s="884" t="s">
        <v>19</v>
      </c>
      <c r="F391" s="883"/>
      <c r="G391" s="994"/>
      <c r="H391" s="158" t="s">
        <v>12</v>
      </c>
      <c r="I391" s="886"/>
      <c r="J391" s="886"/>
      <c r="K391" s="887"/>
      <c r="L391" s="887">
        <f t="shared" ca="1" si="168"/>
        <v>0</v>
      </c>
      <c r="M391" s="887">
        <f t="shared" ca="1" si="168"/>
        <v>0</v>
      </c>
      <c r="N391" s="887">
        <f t="shared" ca="1" si="168"/>
        <v>0</v>
      </c>
      <c r="O391" s="887">
        <f t="shared" ca="1" si="166"/>
        <v>0</v>
      </c>
      <c r="P391" s="887">
        <f t="shared" ca="1" si="167"/>
        <v>0</v>
      </c>
      <c r="Q391" s="875"/>
      <c r="R391" s="875"/>
      <c r="S391" s="875"/>
      <c r="T391" s="875"/>
      <c r="U391" s="875"/>
      <c r="V391" s="875"/>
      <c r="W391" s="875"/>
      <c r="X391" s="875"/>
      <c r="Y391" s="875"/>
      <c r="Z391" s="875"/>
    </row>
    <row r="392" spans="1:26" ht="18.75" hidden="1">
      <c r="A392" s="995"/>
      <c r="B392" s="877"/>
      <c r="C392" s="996"/>
      <c r="D392" s="878" t="s">
        <v>20</v>
      </c>
      <c r="E392" s="877"/>
      <c r="F392" s="877"/>
      <c r="G392" s="879"/>
      <c r="H392" s="161" t="s">
        <v>12</v>
      </c>
      <c r="I392" s="997"/>
      <c r="J392" s="997"/>
      <c r="K392" s="998"/>
      <c r="L392" s="881">
        <f t="shared" ref="L392:N392" ca="1" si="169">L393+L394</f>
        <v>0</v>
      </c>
      <c r="M392" s="881">
        <f t="shared" ca="1" si="169"/>
        <v>0</v>
      </c>
      <c r="N392" s="881">
        <f t="shared" ca="1" si="169"/>
        <v>0</v>
      </c>
      <c r="O392" s="881">
        <f t="shared" ca="1" si="166"/>
        <v>0</v>
      </c>
      <c r="P392" s="881">
        <f t="shared" ca="1" si="167"/>
        <v>0</v>
      </c>
      <c r="Q392" s="868"/>
      <c r="R392" s="868"/>
      <c r="S392" s="868"/>
      <c r="T392" s="868"/>
      <c r="U392" s="868"/>
      <c r="V392" s="868"/>
      <c r="W392" s="868"/>
      <c r="X392" s="868"/>
      <c r="Y392" s="868"/>
      <c r="Z392" s="868"/>
    </row>
    <row r="393" spans="1:26" ht="19.5" hidden="1">
      <c r="A393" s="993"/>
      <c r="B393" s="883"/>
      <c r="C393" s="999"/>
      <c r="D393" s="883"/>
      <c r="E393" s="884" t="s">
        <v>36</v>
      </c>
      <c r="F393" s="883"/>
      <c r="G393" s="994"/>
      <c r="H393" s="165" t="s">
        <v>12</v>
      </c>
      <c r="I393" s="1000"/>
      <c r="J393" s="1000"/>
      <c r="K393" s="1001"/>
      <c r="L393" s="887">
        <v>0</v>
      </c>
      <c r="M393" s="887">
        <v>0</v>
      </c>
      <c r="N393" s="887">
        <v>0</v>
      </c>
      <c r="O393" s="887">
        <f t="shared" si="166"/>
        <v>0</v>
      </c>
      <c r="P393" s="887">
        <f t="shared" si="167"/>
        <v>0</v>
      </c>
      <c r="Q393" s="875"/>
      <c r="R393" s="875"/>
      <c r="S393" s="875"/>
      <c r="T393" s="875"/>
      <c r="U393" s="875"/>
      <c r="V393" s="875"/>
      <c r="W393" s="875"/>
      <c r="X393" s="875"/>
      <c r="Y393" s="875"/>
      <c r="Z393" s="875"/>
    </row>
    <row r="394" spans="1:26" ht="19.5" hidden="1">
      <c r="A394" s="993"/>
      <c r="B394" s="883"/>
      <c r="C394" s="999"/>
      <c r="D394" s="883"/>
      <c r="E394" s="884" t="s">
        <v>37</v>
      </c>
      <c r="F394" s="883"/>
      <c r="G394" s="994"/>
      <c r="H394" s="165" t="s">
        <v>12</v>
      </c>
      <c r="I394" s="1000"/>
      <c r="J394" s="1000"/>
      <c r="K394" s="1001"/>
      <c r="L394" s="887">
        <f ca="1">IFERROR(__xludf.DUMMYFUNCTION("IMPORTRANGE(""https://docs.google.com/spreadsheets/d/1MeEWN-I1oV_STSDYn1IFDPWt_1FKiwhDph83XaGc0o0/edit?usp=sharing"",""งบพรบ!FG83"")"),0)</f>
        <v>0</v>
      </c>
      <c r="M394" s="887">
        <f ca="1">IFERROR(__xludf.DUMMYFUNCTION("IMPORTRANGE(""https://docs.google.com/spreadsheets/d/1MeEWN-I1oV_STSDYn1IFDPWt_1FKiwhDph83XaGc0o0/edit?usp=sharing"",""งบพรบ!FL83"")"),0)</f>
        <v>0</v>
      </c>
      <c r="N394" s="887">
        <f ca="1">IFERROR(__xludf.DUMMYFUNCTION("IMPORTRANGE(""https://docs.google.com/spreadsheets/d/1MeEWN-I1oV_STSDYn1IFDPWt_1FKiwhDph83XaGc0o0/edit?usp=sharing"",""งบพรบ!FN83"")"),0)</f>
        <v>0</v>
      </c>
      <c r="O394" s="887">
        <f t="shared" ca="1" si="166"/>
        <v>0</v>
      </c>
      <c r="P394" s="887">
        <f t="shared" ca="1" si="167"/>
        <v>0</v>
      </c>
      <c r="Q394" s="875"/>
      <c r="R394" s="875"/>
      <c r="S394" s="875"/>
      <c r="T394" s="875"/>
      <c r="U394" s="875"/>
      <c r="V394" s="875"/>
      <c r="W394" s="875"/>
      <c r="X394" s="875"/>
      <c r="Y394" s="875"/>
      <c r="Z394" s="875"/>
    </row>
    <row r="395" spans="1:26" ht="18.75" hidden="1">
      <c r="A395" s="995"/>
      <c r="B395" s="877"/>
      <c r="C395" s="996"/>
      <c r="D395" s="878" t="s">
        <v>21</v>
      </c>
      <c r="E395" s="877"/>
      <c r="F395" s="877"/>
      <c r="G395" s="879"/>
      <c r="H395" s="168" t="s">
        <v>12</v>
      </c>
      <c r="I395" s="997"/>
      <c r="J395" s="997"/>
      <c r="K395" s="998"/>
      <c r="L395" s="881">
        <f t="shared" ref="L395:N395" ca="1" si="170">L396+L397</f>
        <v>0</v>
      </c>
      <c r="M395" s="881">
        <f t="shared" ca="1" si="170"/>
        <v>0</v>
      </c>
      <c r="N395" s="881">
        <f t="shared" ca="1" si="170"/>
        <v>0</v>
      </c>
      <c r="O395" s="881">
        <f t="shared" ca="1" si="166"/>
        <v>0</v>
      </c>
      <c r="P395" s="881">
        <f t="shared" ca="1" si="167"/>
        <v>0</v>
      </c>
      <c r="Q395" s="868"/>
      <c r="R395" s="868"/>
      <c r="S395" s="868"/>
      <c r="T395" s="868"/>
      <c r="U395" s="868"/>
      <c r="V395" s="868"/>
      <c r="W395" s="868"/>
      <c r="X395" s="868"/>
      <c r="Y395" s="868"/>
      <c r="Z395" s="868"/>
    </row>
    <row r="396" spans="1:26" ht="19.5" hidden="1">
      <c r="A396" s="993"/>
      <c r="B396" s="883"/>
      <c r="C396" s="999"/>
      <c r="D396" s="883"/>
      <c r="E396" s="884" t="s">
        <v>18</v>
      </c>
      <c r="F396" s="883"/>
      <c r="G396" s="994"/>
      <c r="H396" s="165" t="s">
        <v>12</v>
      </c>
      <c r="I396" s="1000"/>
      <c r="J396" s="1000"/>
      <c r="K396" s="1001"/>
      <c r="L396" s="887">
        <v>0</v>
      </c>
      <c r="M396" s="887">
        <v>0</v>
      </c>
      <c r="N396" s="887">
        <v>0</v>
      </c>
      <c r="O396" s="887">
        <f t="shared" si="166"/>
        <v>0</v>
      </c>
      <c r="P396" s="887">
        <f t="shared" si="167"/>
        <v>0</v>
      </c>
      <c r="Q396" s="875"/>
      <c r="R396" s="875"/>
      <c r="S396" s="875"/>
      <c r="T396" s="875"/>
      <c r="U396" s="875"/>
      <c r="V396" s="875"/>
      <c r="W396" s="875"/>
      <c r="X396" s="875"/>
      <c r="Y396" s="875"/>
      <c r="Z396" s="875"/>
    </row>
    <row r="397" spans="1:26" ht="19.5" hidden="1">
      <c r="A397" s="993"/>
      <c r="B397" s="883"/>
      <c r="C397" s="999"/>
      <c r="D397" s="883"/>
      <c r="E397" s="884" t="s">
        <v>19</v>
      </c>
      <c r="F397" s="883"/>
      <c r="G397" s="994"/>
      <c r="H397" s="169" t="s">
        <v>12</v>
      </c>
      <c r="I397" s="1000"/>
      <c r="J397" s="1000"/>
      <c r="K397" s="1001"/>
      <c r="L397" s="887">
        <f ca="1">IFERROR(__xludf.DUMMYFUNCTION("IMPORTRANGE(""https://docs.google.com/spreadsheets/d/1MeEWN-I1oV_STSDYn1IFDPWt_1FKiwhDph83XaGc0o0/edit?usp=sharing"",""งบพรบ!FJ83"")"),0)</f>
        <v>0</v>
      </c>
      <c r="M397" s="887">
        <f ca="1">IFERROR(__xludf.DUMMYFUNCTION("IMPORTRANGE(""https://docs.google.com/spreadsheets/d/1MeEWN-I1oV_STSDYn1IFDPWt_1FKiwhDph83XaGc0o0/edit?usp=sharing"",""งบพรบ!FM83"")"),0)</f>
        <v>0</v>
      </c>
      <c r="N397" s="887">
        <f ca="1">IFERROR(__xludf.DUMMYFUNCTION("IMPORTRANGE(""https://docs.google.com/spreadsheets/d/1MeEWN-I1oV_STSDYn1IFDPWt_1FKiwhDph83XaGc0o0/edit?usp=sharing"",""งบพรบ!FO83"")"),0)</f>
        <v>0</v>
      </c>
      <c r="O397" s="887">
        <f t="shared" ca="1" si="166"/>
        <v>0</v>
      </c>
      <c r="P397" s="887">
        <f t="shared" ca="1" si="167"/>
        <v>0</v>
      </c>
      <c r="Q397" s="875"/>
      <c r="R397" s="875"/>
      <c r="S397" s="875"/>
      <c r="T397" s="875"/>
      <c r="U397" s="875"/>
      <c r="V397" s="875"/>
      <c r="W397" s="875"/>
      <c r="X397" s="875"/>
      <c r="Y397" s="875"/>
      <c r="Z397" s="875"/>
    </row>
    <row r="398" spans="1:26" ht="19.5" hidden="1">
      <c r="A398" s="1002"/>
      <c r="B398" s="1003"/>
      <c r="C398" s="999" t="s">
        <v>16</v>
      </c>
      <c r="D398" s="1004" t="s">
        <v>38</v>
      </c>
      <c r="E398" s="1005"/>
      <c r="F398" s="1005"/>
      <c r="G398" s="1006"/>
      <c r="H398" s="1007"/>
      <c r="I398" s="997"/>
      <c r="J398" s="880"/>
      <c r="K398" s="881"/>
      <c r="L398" s="881"/>
      <c r="M398" s="881"/>
      <c r="N398" s="881"/>
      <c r="O398" s="998"/>
      <c r="P398" s="998"/>
    </row>
    <row r="399" spans="1:26" ht="18.75" hidden="1">
      <c r="A399" s="1261"/>
      <c r="B399" s="986"/>
      <c r="C399" s="1262"/>
      <c r="D399" s="1021" t="s">
        <v>175</v>
      </c>
      <c r="E399" s="1166"/>
      <c r="F399" s="986"/>
      <c r="G399" s="989"/>
      <c r="H399" s="532" t="s">
        <v>9</v>
      </c>
      <c r="I399" s="880">
        <v>0</v>
      </c>
      <c r="J399" s="1012">
        <v>0</v>
      </c>
      <c r="K399" s="881">
        <f t="shared" ref="K399:K401" si="171">IF(I399&gt;0,J399*100/I399,0)</f>
        <v>0</v>
      </c>
      <c r="L399" s="1263"/>
      <c r="M399" s="1263"/>
      <c r="N399" s="1263"/>
      <c r="O399" s="1263"/>
      <c r="P399" s="1263"/>
      <c r="Q399" s="868"/>
      <c r="R399" s="868"/>
      <c r="S399" s="868"/>
      <c r="T399" s="868"/>
      <c r="U399" s="868"/>
      <c r="V399" s="868"/>
      <c r="W399" s="868"/>
      <c r="X399" s="868"/>
      <c r="Y399" s="868"/>
      <c r="Z399" s="868"/>
    </row>
    <row r="400" spans="1:26" ht="18.75" hidden="1">
      <c r="A400" s="1086"/>
      <c r="B400" s="877"/>
      <c r="C400" s="1084"/>
      <c r="D400" s="1009" t="s">
        <v>176</v>
      </c>
      <c r="E400" s="1003"/>
      <c r="F400" s="877"/>
      <c r="G400" s="879"/>
      <c r="H400" s="277" t="s">
        <v>66</v>
      </c>
      <c r="I400" s="880">
        <v>0</v>
      </c>
      <c r="J400" s="1012">
        <v>0</v>
      </c>
      <c r="K400" s="881">
        <f t="shared" si="171"/>
        <v>0</v>
      </c>
      <c r="L400" s="881"/>
      <c r="M400" s="881"/>
      <c r="N400" s="881"/>
      <c r="O400" s="881"/>
      <c r="P400" s="881"/>
    </row>
    <row r="401" spans="1:26" ht="19.5" hidden="1">
      <c r="A401" s="1253"/>
      <c r="B401" s="1254" t="s">
        <v>177</v>
      </c>
      <c r="C401" s="1255"/>
      <c r="D401" s="1256"/>
      <c r="E401" s="1256"/>
      <c r="F401" s="1256"/>
      <c r="G401" s="1257"/>
      <c r="H401" s="525" t="s">
        <v>66</v>
      </c>
      <c r="I401" s="1258">
        <f t="shared" ref="I401:J401" si="172">I412</f>
        <v>0</v>
      </c>
      <c r="J401" s="1258">
        <f t="shared" si="172"/>
        <v>0</v>
      </c>
      <c r="K401" s="1259">
        <f t="shared" si="171"/>
        <v>0</v>
      </c>
      <c r="L401" s="1260"/>
      <c r="M401" s="1260"/>
      <c r="N401" s="1260"/>
      <c r="O401" s="1260"/>
      <c r="P401" s="1260"/>
    </row>
    <row r="402" spans="1:26" ht="19.5" hidden="1">
      <c r="A402" s="985"/>
      <c r="B402" s="986"/>
      <c r="C402" s="987" t="s">
        <v>16</v>
      </c>
      <c r="D402" s="988" t="s">
        <v>17</v>
      </c>
      <c r="E402" s="986"/>
      <c r="F402" s="986"/>
      <c r="G402" s="989"/>
      <c r="H402" s="152" t="s">
        <v>12</v>
      </c>
      <c r="I402" s="990"/>
      <c r="J402" s="990"/>
      <c r="K402" s="991"/>
      <c r="L402" s="992">
        <f t="shared" ref="L402:N402" ca="1" si="173">L403+L404</f>
        <v>0</v>
      </c>
      <c r="M402" s="992">
        <f t="shared" ca="1" si="173"/>
        <v>0</v>
      </c>
      <c r="N402" s="992">
        <f t="shared" ca="1" si="173"/>
        <v>0</v>
      </c>
      <c r="O402" s="992">
        <f t="shared" ref="O402:O410" ca="1" si="174">IF(L402&gt;0,N402*100/L402,0)</f>
        <v>0</v>
      </c>
      <c r="P402" s="992">
        <f t="shared" ref="P402:P410" ca="1" si="175">IF(M402&gt;0,N402*100/M402,0)</f>
        <v>0</v>
      </c>
      <c r="Q402" s="868"/>
      <c r="R402" s="868"/>
      <c r="S402" s="868"/>
      <c r="T402" s="868"/>
      <c r="U402" s="868"/>
      <c r="V402" s="868"/>
      <c r="W402" s="868"/>
      <c r="X402" s="868"/>
      <c r="Y402" s="868"/>
      <c r="Z402" s="868"/>
    </row>
    <row r="403" spans="1:26" ht="18.75" hidden="1">
      <c r="A403" s="993"/>
      <c r="B403" s="883"/>
      <c r="C403" s="883"/>
      <c r="D403" s="883"/>
      <c r="E403" s="884" t="s">
        <v>18</v>
      </c>
      <c r="F403" s="883"/>
      <c r="G403" s="994"/>
      <c r="H403" s="158" t="s">
        <v>12</v>
      </c>
      <c r="I403" s="886"/>
      <c r="J403" s="886"/>
      <c r="K403" s="887"/>
      <c r="L403" s="887">
        <f t="shared" ref="L403:N404" si="176">L406+L409</f>
        <v>0</v>
      </c>
      <c r="M403" s="887">
        <f t="shared" si="176"/>
        <v>0</v>
      </c>
      <c r="N403" s="887">
        <f t="shared" si="176"/>
        <v>0</v>
      </c>
      <c r="O403" s="887">
        <f t="shared" si="174"/>
        <v>0</v>
      </c>
      <c r="P403" s="887">
        <f t="shared" si="175"/>
        <v>0</v>
      </c>
      <c r="Q403" s="875"/>
      <c r="R403" s="875"/>
      <c r="S403" s="875"/>
      <c r="T403" s="875"/>
      <c r="U403" s="875"/>
      <c r="V403" s="875"/>
      <c r="W403" s="875"/>
      <c r="X403" s="875"/>
      <c r="Y403" s="875"/>
      <c r="Z403" s="875"/>
    </row>
    <row r="404" spans="1:26" ht="18.75" hidden="1">
      <c r="A404" s="993"/>
      <c r="B404" s="883"/>
      <c r="C404" s="883"/>
      <c r="D404" s="883"/>
      <c r="E404" s="884" t="s">
        <v>19</v>
      </c>
      <c r="F404" s="883"/>
      <c r="G404" s="994"/>
      <c r="H404" s="158" t="s">
        <v>12</v>
      </c>
      <c r="I404" s="886"/>
      <c r="J404" s="886"/>
      <c r="K404" s="887"/>
      <c r="L404" s="887">
        <f t="shared" ca="1" si="176"/>
        <v>0</v>
      </c>
      <c r="M404" s="887">
        <f t="shared" ca="1" si="176"/>
        <v>0</v>
      </c>
      <c r="N404" s="887">
        <f t="shared" ca="1" si="176"/>
        <v>0</v>
      </c>
      <c r="O404" s="887">
        <f t="shared" ca="1" si="174"/>
        <v>0</v>
      </c>
      <c r="P404" s="887">
        <f t="shared" ca="1" si="175"/>
        <v>0</v>
      </c>
      <c r="Q404" s="875"/>
      <c r="R404" s="875"/>
      <c r="S404" s="875"/>
      <c r="T404" s="875"/>
      <c r="U404" s="875"/>
      <c r="V404" s="875"/>
      <c r="W404" s="875"/>
      <c r="X404" s="875"/>
      <c r="Y404" s="875"/>
      <c r="Z404" s="875"/>
    </row>
    <row r="405" spans="1:26" ht="18.75" hidden="1">
      <c r="A405" s="995"/>
      <c r="B405" s="877"/>
      <c r="C405" s="996"/>
      <c r="D405" s="878" t="s">
        <v>20</v>
      </c>
      <c r="E405" s="877"/>
      <c r="F405" s="877"/>
      <c r="G405" s="879"/>
      <c r="H405" s="161" t="s">
        <v>12</v>
      </c>
      <c r="I405" s="997"/>
      <c r="J405" s="997"/>
      <c r="K405" s="998"/>
      <c r="L405" s="881">
        <f t="shared" ref="L405:N405" ca="1" si="177">L406+L407</f>
        <v>0</v>
      </c>
      <c r="M405" s="881">
        <f t="shared" ca="1" si="177"/>
        <v>0</v>
      </c>
      <c r="N405" s="881">
        <f t="shared" ca="1" si="177"/>
        <v>0</v>
      </c>
      <c r="O405" s="881">
        <f t="shared" ca="1" si="174"/>
        <v>0</v>
      </c>
      <c r="P405" s="881">
        <f t="shared" ca="1" si="175"/>
        <v>0</v>
      </c>
      <c r="Q405" s="868"/>
      <c r="R405" s="868"/>
      <c r="S405" s="868"/>
      <c r="T405" s="868"/>
      <c r="U405" s="868"/>
      <c r="V405" s="868"/>
      <c r="W405" s="868"/>
      <c r="X405" s="868"/>
      <c r="Y405" s="868"/>
      <c r="Z405" s="868"/>
    </row>
    <row r="406" spans="1:26" ht="19.5" hidden="1">
      <c r="A406" s="993"/>
      <c r="B406" s="883"/>
      <c r="C406" s="999"/>
      <c r="D406" s="883"/>
      <c r="E406" s="884" t="s">
        <v>36</v>
      </c>
      <c r="F406" s="883"/>
      <c r="G406" s="994"/>
      <c r="H406" s="165" t="s">
        <v>12</v>
      </c>
      <c r="I406" s="1000"/>
      <c r="J406" s="1000"/>
      <c r="K406" s="1001"/>
      <c r="L406" s="887">
        <v>0</v>
      </c>
      <c r="M406" s="887">
        <v>0</v>
      </c>
      <c r="N406" s="887">
        <v>0</v>
      </c>
      <c r="O406" s="887">
        <f t="shared" si="174"/>
        <v>0</v>
      </c>
      <c r="P406" s="887">
        <f t="shared" si="175"/>
        <v>0</v>
      </c>
      <c r="Q406" s="875"/>
      <c r="R406" s="875"/>
      <c r="S406" s="875"/>
      <c r="T406" s="875"/>
      <c r="U406" s="875"/>
      <c r="V406" s="875"/>
      <c r="W406" s="875"/>
      <c r="X406" s="875"/>
      <c r="Y406" s="875"/>
      <c r="Z406" s="875"/>
    </row>
    <row r="407" spans="1:26" ht="19.5" hidden="1">
      <c r="A407" s="993"/>
      <c r="B407" s="883"/>
      <c r="C407" s="999"/>
      <c r="D407" s="883"/>
      <c r="E407" s="884" t="s">
        <v>37</v>
      </c>
      <c r="F407" s="883"/>
      <c r="G407" s="994"/>
      <c r="H407" s="165" t="s">
        <v>12</v>
      </c>
      <c r="I407" s="1000"/>
      <c r="J407" s="1000"/>
      <c r="K407" s="1001"/>
      <c r="L407" s="887">
        <f ca="1">IFERROR(__xludf.DUMMYFUNCTION("IMPORTRANGE(""https://docs.google.com/spreadsheets/d/1MeEWN-I1oV_STSDYn1IFDPWt_1FKiwhDph83XaGc0o0/edit?usp=sharing"",""งบพรบ!FQ83"")"),0)</f>
        <v>0</v>
      </c>
      <c r="M407" s="887">
        <f ca="1">IFERROR(__xludf.DUMMYFUNCTION("IMPORTRANGE(""https://docs.google.com/spreadsheets/d/1MeEWN-I1oV_STSDYn1IFDPWt_1FKiwhDph83XaGc0o0/edit?usp=sharing"",""งบพรบ!FV83"")"),0)</f>
        <v>0</v>
      </c>
      <c r="N407" s="887">
        <f ca="1">IFERROR(__xludf.DUMMYFUNCTION("IMPORTRANGE(""https://docs.google.com/spreadsheets/d/1MeEWN-I1oV_STSDYn1IFDPWt_1FKiwhDph83XaGc0o0/edit?usp=sharing"",""งบพรบ!FX83"")"),0)</f>
        <v>0</v>
      </c>
      <c r="O407" s="887">
        <f t="shared" ca="1" si="174"/>
        <v>0</v>
      </c>
      <c r="P407" s="887">
        <f t="shared" ca="1" si="175"/>
        <v>0</v>
      </c>
      <c r="Q407" s="875"/>
      <c r="R407" s="875"/>
      <c r="S407" s="875"/>
      <c r="T407" s="875"/>
      <c r="U407" s="875"/>
      <c r="V407" s="875"/>
      <c r="W407" s="875"/>
      <c r="X407" s="875"/>
      <c r="Y407" s="875"/>
      <c r="Z407" s="875"/>
    </row>
    <row r="408" spans="1:26" ht="18.75" hidden="1">
      <c r="A408" s="995"/>
      <c r="B408" s="877"/>
      <c r="C408" s="996"/>
      <c r="D408" s="878" t="s">
        <v>21</v>
      </c>
      <c r="E408" s="877"/>
      <c r="F408" s="877"/>
      <c r="G408" s="879"/>
      <c r="H408" s="168" t="s">
        <v>12</v>
      </c>
      <c r="I408" s="997"/>
      <c r="J408" s="997"/>
      <c r="K408" s="998"/>
      <c r="L408" s="881">
        <f t="shared" ref="L408:N408" ca="1" si="178">L409+L410</f>
        <v>0</v>
      </c>
      <c r="M408" s="881">
        <f t="shared" ca="1" si="178"/>
        <v>0</v>
      </c>
      <c r="N408" s="881">
        <f t="shared" ca="1" si="178"/>
        <v>0</v>
      </c>
      <c r="O408" s="881">
        <f t="shared" ca="1" si="174"/>
        <v>0</v>
      </c>
      <c r="P408" s="881">
        <f t="shared" ca="1" si="175"/>
        <v>0</v>
      </c>
      <c r="Q408" s="868"/>
      <c r="R408" s="868"/>
      <c r="S408" s="868"/>
      <c r="T408" s="868"/>
      <c r="U408" s="868"/>
      <c r="V408" s="868"/>
      <c r="W408" s="868"/>
      <c r="X408" s="868"/>
      <c r="Y408" s="868"/>
      <c r="Z408" s="868"/>
    </row>
    <row r="409" spans="1:26" ht="19.5" hidden="1">
      <c r="A409" s="993"/>
      <c r="B409" s="883"/>
      <c r="C409" s="999"/>
      <c r="D409" s="883"/>
      <c r="E409" s="884" t="s">
        <v>18</v>
      </c>
      <c r="F409" s="883"/>
      <c r="G409" s="994"/>
      <c r="H409" s="165" t="s">
        <v>12</v>
      </c>
      <c r="I409" s="1000"/>
      <c r="J409" s="1000"/>
      <c r="K409" s="1001"/>
      <c r="L409" s="887">
        <v>0</v>
      </c>
      <c r="M409" s="887">
        <v>0</v>
      </c>
      <c r="N409" s="887">
        <v>0</v>
      </c>
      <c r="O409" s="887">
        <f t="shared" si="174"/>
        <v>0</v>
      </c>
      <c r="P409" s="887">
        <f t="shared" si="175"/>
        <v>0</v>
      </c>
      <c r="Q409" s="875"/>
      <c r="R409" s="875"/>
      <c r="S409" s="875"/>
      <c r="T409" s="875"/>
      <c r="U409" s="875"/>
      <c r="V409" s="875"/>
      <c r="W409" s="875"/>
      <c r="X409" s="875"/>
      <c r="Y409" s="875"/>
      <c r="Z409" s="875"/>
    </row>
    <row r="410" spans="1:26" ht="19.5" hidden="1">
      <c r="A410" s="993"/>
      <c r="B410" s="883"/>
      <c r="C410" s="999"/>
      <c r="D410" s="883"/>
      <c r="E410" s="884" t="s">
        <v>19</v>
      </c>
      <c r="F410" s="883"/>
      <c r="G410" s="994"/>
      <c r="H410" s="169" t="s">
        <v>12</v>
      </c>
      <c r="I410" s="1000"/>
      <c r="J410" s="1000"/>
      <c r="K410" s="1001"/>
      <c r="L410" s="887">
        <f ca="1">IFERROR(__xludf.DUMMYFUNCTION("IMPORTRANGE(""https://docs.google.com/spreadsheets/d/1MeEWN-I1oV_STSDYn1IFDPWt_1FKiwhDph83XaGc0o0/edit?usp=sharing"",""งบพรบ!FT83"")"),0)</f>
        <v>0</v>
      </c>
      <c r="M410" s="887">
        <f ca="1">IFERROR(__xludf.DUMMYFUNCTION("IMPORTRANGE(""https://docs.google.com/spreadsheets/d/1MeEWN-I1oV_STSDYn1IFDPWt_1FKiwhDph83XaGc0o0/edit?usp=sharing"",""งบพรบ!FW83"")"),0)</f>
        <v>0</v>
      </c>
      <c r="N410" s="887">
        <f ca="1">IFERROR(__xludf.DUMMYFUNCTION("IMPORTRANGE(""https://docs.google.com/spreadsheets/d/1MeEWN-I1oV_STSDYn1IFDPWt_1FKiwhDph83XaGc0o0/edit?usp=sharing"",""งบพรบ!FY83"")"),0)</f>
        <v>0</v>
      </c>
      <c r="O410" s="887">
        <f t="shared" ca="1" si="174"/>
        <v>0</v>
      </c>
      <c r="P410" s="887">
        <f t="shared" ca="1" si="175"/>
        <v>0</v>
      </c>
      <c r="Q410" s="875"/>
      <c r="R410" s="875"/>
      <c r="S410" s="875"/>
      <c r="T410" s="875"/>
      <c r="U410" s="875"/>
      <c r="V410" s="875"/>
      <c r="W410" s="875"/>
      <c r="X410" s="875"/>
      <c r="Y410" s="875"/>
      <c r="Z410" s="875"/>
    </row>
    <row r="411" spans="1:26" ht="19.5" hidden="1">
      <c r="A411" s="1002"/>
      <c r="B411" s="1003"/>
      <c r="C411" s="999" t="s">
        <v>16</v>
      </c>
      <c r="D411" s="1264" t="s">
        <v>38</v>
      </c>
      <c r="E411" s="1265"/>
      <c r="F411" s="1265"/>
      <c r="G411" s="1266"/>
      <c r="H411" s="1007"/>
      <c r="I411" s="880"/>
      <c r="J411" s="880"/>
      <c r="K411" s="881"/>
      <c r="L411" s="998"/>
      <c r="M411" s="998"/>
      <c r="N411" s="998"/>
      <c r="O411" s="998"/>
      <c r="P411" s="998"/>
    </row>
    <row r="412" spans="1:26" ht="18.75" hidden="1">
      <c r="A412" s="1002"/>
      <c r="B412" s="1010"/>
      <c r="C412" s="1010"/>
      <c r="D412" s="1009" t="s">
        <v>178</v>
      </c>
      <c r="E412" s="1010"/>
      <c r="F412" s="1010"/>
      <c r="G412" s="1011"/>
      <c r="H412" s="537" t="s">
        <v>66</v>
      </c>
      <c r="I412" s="880">
        <v>0</v>
      </c>
      <c r="J412" s="1012">
        <v>0</v>
      </c>
      <c r="K412" s="881">
        <f t="shared" ref="K412:K413" si="179">IF(I412&gt;0,J412*100/I412,0)</f>
        <v>0</v>
      </c>
      <c r="L412" s="998"/>
      <c r="M412" s="998"/>
      <c r="N412" s="998"/>
      <c r="O412" s="998"/>
      <c r="P412" s="998"/>
    </row>
    <row r="413" spans="1:26" ht="19.5" hidden="1" thickBot="1">
      <c r="A413" s="1267"/>
      <c r="B413" s="1268"/>
      <c r="C413" s="1268"/>
      <c r="D413" s="1269" t="s">
        <v>179</v>
      </c>
      <c r="E413" s="1268"/>
      <c r="F413" s="1268"/>
      <c r="G413" s="1270"/>
      <c r="H413" s="542" t="s">
        <v>180</v>
      </c>
      <c r="I413" s="1271">
        <v>0</v>
      </c>
      <c r="J413" s="1272">
        <v>0</v>
      </c>
      <c r="K413" s="1273">
        <f t="shared" si="179"/>
        <v>0</v>
      </c>
      <c r="L413" s="1274"/>
      <c r="M413" s="1274"/>
      <c r="N413" s="1274"/>
      <c r="O413" s="1274"/>
      <c r="P413" s="1274"/>
    </row>
    <row r="414" spans="1:26" ht="19.5">
      <c r="A414" s="1275" t="s">
        <v>181</v>
      </c>
      <c r="B414" s="1276"/>
      <c r="C414" s="1276"/>
      <c r="D414" s="1276"/>
      <c r="E414" s="1276"/>
      <c r="F414" s="1276"/>
      <c r="G414" s="1277"/>
      <c r="H414" s="1278"/>
      <c r="I414" s="1279"/>
      <c r="J414" s="1279"/>
      <c r="K414" s="1280"/>
      <c r="L414" s="1281">
        <f t="shared" ref="L414:N414" ca="1" si="180">L419+L444+L467+L502+L523+L544+L629+L655+L685+L737+L754+L770+L786+L805</f>
        <v>350883</v>
      </c>
      <c r="M414" s="1281">
        <f t="shared" ca="1" si="180"/>
        <v>350883</v>
      </c>
      <c r="N414" s="1281">
        <f t="shared" si="180"/>
        <v>126091.5</v>
      </c>
      <c r="O414" s="1281">
        <f ca="1">IF(L414&gt;0,N414*100/L414,0)</f>
        <v>35.935482767760192</v>
      </c>
      <c r="P414" s="1281">
        <f ca="1">IF(M414&gt;0,N414*100/M414,0)</f>
        <v>35.935482767760192</v>
      </c>
    </row>
    <row r="415" spans="1:26" ht="19.5">
      <c r="A415" s="1282" t="s">
        <v>182</v>
      </c>
      <c r="B415" s="1283"/>
      <c r="C415" s="1283"/>
      <c r="D415" s="1283"/>
      <c r="E415" s="1283"/>
      <c r="F415" s="1283"/>
      <c r="G415" s="1283"/>
      <c r="H415" s="1284"/>
      <c r="I415" s="1285"/>
      <c r="J415" s="1285"/>
      <c r="K415" s="1286"/>
      <c r="L415" s="1287"/>
      <c r="M415" s="1287"/>
      <c r="N415" s="1287"/>
      <c r="O415" s="1287"/>
      <c r="P415" s="1287"/>
    </row>
    <row r="416" spans="1:26" ht="19.5">
      <c r="A416" s="1282" t="s">
        <v>183</v>
      </c>
      <c r="B416" s="1283"/>
      <c r="C416" s="1283"/>
      <c r="D416" s="1283"/>
      <c r="E416" s="1283"/>
      <c r="F416" s="1283"/>
      <c r="G416" s="1288"/>
      <c r="H416" s="1289"/>
      <c r="I416" s="1290"/>
      <c r="J416" s="1290"/>
      <c r="K416" s="1287"/>
      <c r="L416" s="1287"/>
      <c r="M416" s="1287"/>
      <c r="N416" s="1287"/>
      <c r="O416" s="1287"/>
      <c r="P416" s="1287"/>
    </row>
    <row r="417" spans="1:26" ht="39">
      <c r="A417" s="563">
        <v>1</v>
      </c>
      <c r="B417" s="1291" t="s">
        <v>184</v>
      </c>
      <c r="C417" s="1291"/>
      <c r="D417" s="1292"/>
      <c r="E417" s="1292"/>
      <c r="F417" s="1292"/>
      <c r="G417" s="1293"/>
      <c r="H417" s="568" t="s">
        <v>35</v>
      </c>
      <c r="I417" s="1294">
        <f t="shared" ref="I417:J418" ca="1" si="181">I433</f>
        <v>10</v>
      </c>
      <c r="J417" s="1294">
        <f t="shared" ca="1" si="181"/>
        <v>10</v>
      </c>
      <c r="K417" s="1295">
        <f t="shared" ref="K417:K418" ca="1" si="182">IF(I417&gt;0,J417*100/I417,0)</f>
        <v>100</v>
      </c>
      <c r="L417" s="1296"/>
      <c r="M417" s="1296"/>
      <c r="N417" s="1296"/>
      <c r="O417" s="1296"/>
      <c r="P417" s="1296"/>
    </row>
    <row r="418" spans="1:26" ht="19.5">
      <c r="A418" s="1297"/>
      <c r="B418" s="563"/>
      <c r="C418" s="1291"/>
      <c r="D418" s="1292"/>
      <c r="E418" s="1292"/>
      <c r="F418" s="1292"/>
      <c r="G418" s="1293"/>
      <c r="H418" s="568" t="s">
        <v>49</v>
      </c>
      <c r="I418" s="1294">
        <f t="shared" ca="1" si="181"/>
        <v>1</v>
      </c>
      <c r="J418" s="1294">
        <f t="shared" si="181"/>
        <v>1</v>
      </c>
      <c r="K418" s="1295">
        <f t="shared" ca="1" si="182"/>
        <v>100</v>
      </c>
      <c r="L418" s="1296"/>
      <c r="M418" s="1296"/>
      <c r="N418" s="1296"/>
      <c r="O418" s="1296"/>
      <c r="P418" s="1296"/>
    </row>
    <row r="419" spans="1:26" ht="19.5">
      <c r="A419" s="985"/>
      <c r="B419" s="986"/>
      <c r="C419" s="986" t="s">
        <v>16</v>
      </c>
      <c r="D419" s="1298" t="s">
        <v>17</v>
      </c>
      <c r="E419" s="846"/>
      <c r="F419" s="846"/>
      <c r="G419" s="989"/>
      <c r="H419" s="275" t="s">
        <v>12</v>
      </c>
      <c r="I419" s="990"/>
      <c r="J419" s="990"/>
      <c r="K419" s="991"/>
      <c r="L419" s="992">
        <f t="shared" ref="L419:N419" ca="1" si="183">L420+L421</f>
        <v>54560</v>
      </c>
      <c r="M419" s="992">
        <f t="shared" ca="1" si="183"/>
        <v>54560</v>
      </c>
      <c r="N419" s="992">
        <f t="shared" si="183"/>
        <v>39195</v>
      </c>
      <c r="O419" s="992">
        <f t="shared" ref="O419:O424" ca="1" si="184">IF(L419&gt;0,N419*100/L419,0)</f>
        <v>71.838343108504404</v>
      </c>
      <c r="P419" s="992">
        <f t="shared" ref="P419:P424" ca="1" si="185">IF(M419&gt;0,N419*100/M419,0)</f>
        <v>71.838343108504404</v>
      </c>
      <c r="Q419" s="868"/>
      <c r="R419" s="868"/>
      <c r="S419" s="868"/>
      <c r="T419" s="868"/>
      <c r="U419" s="868"/>
      <c r="V419" s="868"/>
      <c r="W419" s="868"/>
      <c r="X419" s="868"/>
      <c r="Y419" s="868"/>
      <c r="Z419" s="868"/>
    </row>
    <row r="420" spans="1:26" ht="18.75" hidden="1">
      <c r="A420" s="993"/>
      <c r="B420" s="883"/>
      <c r="C420" s="883"/>
      <c r="D420" s="1114"/>
      <c r="E420" s="884" t="s">
        <v>185</v>
      </c>
      <c r="F420" s="883"/>
      <c r="G420" s="994"/>
      <c r="H420" s="165" t="s">
        <v>12</v>
      </c>
      <c r="I420" s="886"/>
      <c r="J420" s="886"/>
      <c r="K420" s="887"/>
      <c r="L420" s="887">
        <f t="shared" ref="L420:N421" si="186">L423+L430</f>
        <v>0</v>
      </c>
      <c r="M420" s="887">
        <f t="shared" si="186"/>
        <v>0</v>
      </c>
      <c r="N420" s="887">
        <f t="shared" si="186"/>
        <v>0</v>
      </c>
      <c r="O420" s="887">
        <f t="shared" si="184"/>
        <v>0</v>
      </c>
      <c r="P420" s="887">
        <f t="shared" si="185"/>
        <v>0</v>
      </c>
      <c r="Q420" s="875"/>
      <c r="R420" s="875"/>
      <c r="S420" s="875"/>
      <c r="T420" s="875"/>
      <c r="U420" s="875"/>
      <c r="V420" s="875"/>
      <c r="W420" s="875"/>
      <c r="X420" s="875"/>
      <c r="Y420" s="875"/>
      <c r="Z420" s="875"/>
    </row>
    <row r="421" spans="1:26" ht="18.75" hidden="1">
      <c r="A421" s="993"/>
      <c r="B421" s="883"/>
      <c r="C421" s="883"/>
      <c r="D421" s="1114"/>
      <c r="E421" s="884" t="s">
        <v>186</v>
      </c>
      <c r="F421" s="883"/>
      <c r="G421" s="994"/>
      <c r="H421" s="165" t="s">
        <v>12</v>
      </c>
      <c r="I421" s="886"/>
      <c r="J421" s="886"/>
      <c r="K421" s="887"/>
      <c r="L421" s="887">
        <f t="shared" ca="1" si="186"/>
        <v>54560</v>
      </c>
      <c r="M421" s="887">
        <f t="shared" ca="1" si="186"/>
        <v>54560</v>
      </c>
      <c r="N421" s="887">
        <f t="shared" si="186"/>
        <v>39195</v>
      </c>
      <c r="O421" s="887">
        <f t="shared" ca="1" si="184"/>
        <v>71.838343108504404</v>
      </c>
      <c r="P421" s="887">
        <f t="shared" ca="1" si="185"/>
        <v>71.838343108504404</v>
      </c>
      <c r="Q421" s="875"/>
      <c r="R421" s="875"/>
      <c r="S421" s="875"/>
      <c r="T421" s="875"/>
      <c r="U421" s="875"/>
      <c r="V421" s="875"/>
      <c r="W421" s="875"/>
      <c r="X421" s="875"/>
      <c r="Y421" s="875"/>
      <c r="Z421" s="875"/>
    </row>
    <row r="422" spans="1:26" ht="18.75">
      <c r="A422" s="995"/>
      <c r="B422" s="1084"/>
      <c r="C422" s="877"/>
      <c r="D422" s="878" t="s">
        <v>20</v>
      </c>
      <c r="E422" s="877"/>
      <c r="F422" s="877"/>
      <c r="G422" s="879"/>
      <c r="H422" s="161" t="s">
        <v>12</v>
      </c>
      <c r="I422" s="997"/>
      <c r="J422" s="997"/>
      <c r="K422" s="998"/>
      <c r="L422" s="881">
        <f t="shared" ref="L422:N422" ca="1" si="187">L423+L424</f>
        <v>54560</v>
      </c>
      <c r="M422" s="881">
        <f t="shared" ca="1" si="187"/>
        <v>54560</v>
      </c>
      <c r="N422" s="881">
        <f t="shared" si="187"/>
        <v>39195</v>
      </c>
      <c r="O422" s="881">
        <f t="shared" ca="1" si="184"/>
        <v>71.838343108504404</v>
      </c>
      <c r="P422" s="881">
        <f t="shared" ca="1" si="185"/>
        <v>71.838343108504404</v>
      </c>
      <c r="Q422" s="868"/>
      <c r="R422" s="868"/>
      <c r="S422" s="868"/>
      <c r="T422" s="868"/>
      <c r="U422" s="868"/>
      <c r="V422" s="868"/>
      <c r="W422" s="868"/>
      <c r="X422" s="868"/>
      <c r="Y422" s="868"/>
      <c r="Z422" s="868"/>
    </row>
    <row r="423" spans="1:26" ht="18.75" hidden="1">
      <c r="A423" s="993"/>
      <c r="B423" s="883"/>
      <c r="C423" s="883"/>
      <c r="D423" s="1114"/>
      <c r="E423" s="884" t="s">
        <v>185</v>
      </c>
      <c r="F423" s="883"/>
      <c r="G423" s="994"/>
      <c r="H423" s="165" t="s">
        <v>12</v>
      </c>
      <c r="I423" s="886"/>
      <c r="J423" s="886"/>
      <c r="K423" s="887"/>
      <c r="L423" s="887">
        <v>0</v>
      </c>
      <c r="M423" s="887">
        <v>0</v>
      </c>
      <c r="N423" s="887">
        <v>0</v>
      </c>
      <c r="O423" s="887">
        <f t="shared" si="184"/>
        <v>0</v>
      </c>
      <c r="P423" s="887">
        <f t="shared" si="185"/>
        <v>0</v>
      </c>
      <c r="Q423" s="875"/>
      <c r="R423" s="875"/>
      <c r="S423" s="875"/>
      <c r="T423" s="875"/>
      <c r="U423" s="875"/>
      <c r="V423" s="875"/>
      <c r="W423" s="875"/>
      <c r="X423" s="875"/>
      <c r="Y423" s="875"/>
      <c r="Z423" s="875"/>
    </row>
    <row r="424" spans="1:26" ht="18.75" hidden="1">
      <c r="A424" s="993"/>
      <c r="B424" s="883"/>
      <c r="C424" s="883"/>
      <c r="D424" s="1114"/>
      <c r="E424" s="884" t="s">
        <v>186</v>
      </c>
      <c r="F424" s="883"/>
      <c r="G424" s="994"/>
      <c r="H424" s="165" t="s">
        <v>12</v>
      </c>
      <c r="I424" s="886"/>
      <c r="J424" s="886"/>
      <c r="K424" s="887"/>
      <c r="L424" s="887">
        <f ca="1">IFERROR(__xludf.DUMMYFUNCTION("IMPORTRANGE(""https://docs.google.com/spreadsheets/d/1QqKyyYR6Q21VydFLVH3TRQUabQu_ym0Zz7PgGX0-kHA/edit?usp=sharing"",""แผน!EY83"")"),54560)</f>
        <v>54560</v>
      </c>
      <c r="M424" s="887">
        <f ca="1">L424</f>
        <v>54560</v>
      </c>
      <c r="N424" s="887">
        <f>N425+N426+N427+N428</f>
        <v>39195</v>
      </c>
      <c r="O424" s="887">
        <f t="shared" ca="1" si="184"/>
        <v>71.838343108504404</v>
      </c>
      <c r="P424" s="887">
        <f t="shared" ca="1" si="185"/>
        <v>71.838343108504404</v>
      </c>
      <c r="Q424" s="875"/>
      <c r="R424" s="875"/>
      <c r="S424" s="875"/>
      <c r="T424" s="875"/>
      <c r="U424" s="875"/>
      <c r="V424" s="875"/>
      <c r="W424" s="875"/>
      <c r="X424" s="875"/>
      <c r="Y424" s="875"/>
      <c r="Z424" s="875"/>
    </row>
    <row r="425" spans="1:26" ht="18.75">
      <c r="A425" s="1299"/>
      <c r="B425" s="1300"/>
      <c r="C425" s="1301"/>
      <c r="D425" s="1301"/>
      <c r="E425" s="1301"/>
      <c r="F425" s="1301" t="s">
        <v>187</v>
      </c>
      <c r="G425" s="1016"/>
      <c r="H425" s="161" t="s">
        <v>12</v>
      </c>
      <c r="I425" s="880"/>
      <c r="J425" s="880"/>
      <c r="K425" s="881"/>
      <c r="L425" s="881"/>
      <c r="M425" s="881"/>
      <c r="N425" s="1085">
        <v>24300</v>
      </c>
      <c r="O425" s="881"/>
      <c r="P425" s="881"/>
      <c r="Q425" s="1302"/>
      <c r="R425" s="1302"/>
      <c r="S425" s="1302"/>
      <c r="T425" s="1302"/>
      <c r="U425" s="1302"/>
      <c r="V425" s="1302"/>
      <c r="W425" s="1302"/>
      <c r="X425" s="1302"/>
      <c r="Y425" s="1302"/>
      <c r="Z425" s="1302"/>
    </row>
    <row r="426" spans="1:26" ht="18.75">
      <c r="A426" s="1299"/>
      <c r="B426" s="1300"/>
      <c r="C426" s="1301"/>
      <c r="D426" s="1301"/>
      <c r="E426" s="1301"/>
      <c r="F426" s="1301" t="s">
        <v>188</v>
      </c>
      <c r="G426" s="1016"/>
      <c r="H426" s="161" t="s">
        <v>12</v>
      </c>
      <c r="I426" s="880"/>
      <c r="J426" s="880"/>
      <c r="K426" s="881"/>
      <c r="L426" s="881"/>
      <c r="M426" s="881"/>
      <c r="N426" s="1085">
        <v>0</v>
      </c>
      <c r="O426" s="881"/>
      <c r="P426" s="881"/>
      <c r="Q426" s="1302"/>
      <c r="R426" s="1302"/>
      <c r="S426" s="1302"/>
      <c r="T426" s="1302"/>
      <c r="U426" s="1302"/>
      <c r="V426" s="1302"/>
      <c r="W426" s="1302"/>
      <c r="X426" s="1302"/>
      <c r="Y426" s="1302"/>
      <c r="Z426" s="1302"/>
    </row>
    <row r="427" spans="1:26" ht="18.75">
      <c r="A427" s="1299"/>
      <c r="B427" s="1300"/>
      <c r="C427" s="1301"/>
      <c r="D427" s="1301"/>
      <c r="E427" s="1301"/>
      <c r="F427" s="1301" t="s">
        <v>189</v>
      </c>
      <c r="G427" s="1016"/>
      <c r="H427" s="161" t="s">
        <v>12</v>
      </c>
      <c r="I427" s="880"/>
      <c r="J427" s="880"/>
      <c r="K427" s="881"/>
      <c r="L427" s="881"/>
      <c r="M427" s="881"/>
      <c r="N427" s="1085">
        <v>0</v>
      </c>
      <c r="O427" s="881"/>
      <c r="P427" s="881"/>
      <c r="Q427" s="1302"/>
      <c r="R427" s="1302"/>
      <c r="S427" s="1302"/>
      <c r="T427" s="1302"/>
      <c r="U427" s="1302"/>
      <c r="V427" s="1302"/>
      <c r="W427" s="1302"/>
      <c r="X427" s="1302"/>
      <c r="Y427" s="1302"/>
      <c r="Z427" s="1302"/>
    </row>
    <row r="428" spans="1:26" ht="18.75">
      <c r="A428" s="1086"/>
      <c r="B428" s="1084"/>
      <c r="C428" s="877"/>
      <c r="D428" s="877"/>
      <c r="E428" s="877"/>
      <c r="F428" s="996" t="s">
        <v>190</v>
      </c>
      <c r="G428" s="1030"/>
      <c r="H428" s="161" t="s">
        <v>12</v>
      </c>
      <c r="I428" s="880"/>
      <c r="J428" s="880"/>
      <c r="K428" s="881"/>
      <c r="L428" s="881"/>
      <c r="M428" s="881"/>
      <c r="N428" s="1085">
        <v>14895</v>
      </c>
      <c r="O428" s="881"/>
      <c r="P428" s="881"/>
      <c r="Q428" s="868"/>
      <c r="R428" s="868"/>
      <c r="S428" s="868"/>
      <c r="T428" s="868"/>
      <c r="U428" s="868"/>
      <c r="V428" s="868"/>
      <c r="W428" s="868"/>
      <c r="X428" s="868"/>
      <c r="Y428" s="868"/>
      <c r="Z428" s="868"/>
    </row>
    <row r="429" spans="1:26" ht="18.75">
      <c r="A429" s="995"/>
      <c r="B429" s="1084"/>
      <c r="C429" s="877"/>
      <c r="D429" s="878" t="s">
        <v>21</v>
      </c>
      <c r="E429" s="877"/>
      <c r="F429" s="877"/>
      <c r="G429" s="879"/>
      <c r="H429" s="168" t="s">
        <v>12</v>
      </c>
      <c r="I429" s="997"/>
      <c r="J429" s="997"/>
      <c r="K429" s="998"/>
      <c r="L429" s="881">
        <f t="shared" ref="L429:N429" ca="1" si="188">L430+L431</f>
        <v>0</v>
      </c>
      <c r="M429" s="881">
        <f t="shared" si="188"/>
        <v>0</v>
      </c>
      <c r="N429" s="881">
        <f t="shared" si="188"/>
        <v>0</v>
      </c>
      <c r="O429" s="881">
        <f t="shared" ref="O429:O431" ca="1" si="189">IF(L429&gt;0,N429*100/L429,0)</f>
        <v>0</v>
      </c>
      <c r="P429" s="881">
        <f t="shared" ref="P429:P431" si="190">IF(M429&gt;0,N429*100/M429,0)</f>
        <v>0</v>
      </c>
      <c r="Q429" s="868"/>
      <c r="R429" s="868"/>
      <c r="S429" s="868"/>
      <c r="T429" s="868"/>
      <c r="U429" s="868"/>
      <c r="V429" s="868"/>
      <c r="W429" s="868"/>
      <c r="X429" s="868"/>
      <c r="Y429" s="868"/>
      <c r="Z429" s="868"/>
    </row>
    <row r="430" spans="1:26" ht="18.75" hidden="1">
      <c r="A430" s="993"/>
      <c r="B430" s="1105"/>
      <c r="C430" s="883"/>
      <c r="D430" s="883"/>
      <c r="E430" s="884" t="s">
        <v>18</v>
      </c>
      <c r="F430" s="883"/>
      <c r="G430" s="885"/>
      <c r="H430" s="165" t="s">
        <v>12</v>
      </c>
      <c r="I430" s="1000"/>
      <c r="J430" s="1000"/>
      <c r="K430" s="1001"/>
      <c r="L430" s="887">
        <v>0</v>
      </c>
      <c r="M430" s="887">
        <v>0</v>
      </c>
      <c r="N430" s="887">
        <v>0</v>
      </c>
      <c r="O430" s="887">
        <f t="shared" si="189"/>
        <v>0</v>
      </c>
      <c r="P430" s="887">
        <f t="shared" si="190"/>
        <v>0</v>
      </c>
      <c r="Q430" s="875"/>
      <c r="R430" s="875"/>
      <c r="S430" s="875"/>
      <c r="T430" s="875"/>
      <c r="U430" s="875"/>
      <c r="V430" s="875"/>
      <c r="W430" s="875"/>
      <c r="X430" s="875"/>
      <c r="Y430" s="875"/>
      <c r="Z430" s="875"/>
    </row>
    <row r="431" spans="1:26" ht="18.75" hidden="1">
      <c r="A431" s="993"/>
      <c r="B431" s="1105"/>
      <c r="C431" s="883"/>
      <c r="D431" s="883"/>
      <c r="E431" s="884" t="s">
        <v>19</v>
      </c>
      <c r="F431" s="883"/>
      <c r="G431" s="885"/>
      <c r="H431" s="169" t="s">
        <v>12</v>
      </c>
      <c r="I431" s="1000"/>
      <c r="J431" s="1000"/>
      <c r="K431" s="1001"/>
      <c r="L431" s="887">
        <f ca="1">IFERROR(__xludf.DUMMYFUNCTION("IMPORTRANGE(""https://docs.google.com/spreadsheets/d/1QqKyyYR6Q21VydFLVH3TRQUabQu_ym0Zz7PgGX0-kHA/edit?usp=sharing"",""แผน!FB83"")"),0)</f>
        <v>0</v>
      </c>
      <c r="M431" s="887">
        <v>0</v>
      </c>
      <c r="N431" s="887">
        <v>0</v>
      </c>
      <c r="O431" s="887">
        <f t="shared" ca="1" si="189"/>
        <v>0</v>
      </c>
      <c r="P431" s="887">
        <f t="shared" si="190"/>
        <v>0</v>
      </c>
      <c r="Q431" s="875"/>
      <c r="R431" s="875"/>
      <c r="S431" s="875"/>
      <c r="T431" s="875"/>
      <c r="U431" s="875"/>
      <c r="V431" s="875"/>
      <c r="W431" s="875"/>
      <c r="X431" s="875"/>
      <c r="Y431" s="875"/>
      <c r="Z431" s="875"/>
    </row>
    <row r="432" spans="1:26" ht="19.5">
      <c r="A432" s="1165"/>
      <c r="B432" s="1166"/>
      <c r="C432" s="986" t="s">
        <v>16</v>
      </c>
      <c r="D432" s="1303" t="s">
        <v>38</v>
      </c>
      <c r="E432" s="1304"/>
      <c r="F432" s="1304"/>
      <c r="G432" s="1305"/>
      <c r="H432" s="1306"/>
      <c r="I432" s="990"/>
      <c r="J432" s="990"/>
      <c r="K432" s="991"/>
      <c r="L432" s="991"/>
      <c r="M432" s="991"/>
      <c r="N432" s="991"/>
      <c r="O432" s="991"/>
      <c r="P432" s="991"/>
      <c r="Q432" s="868"/>
      <c r="R432" s="868"/>
      <c r="S432" s="868"/>
      <c r="T432" s="868"/>
      <c r="U432" s="868"/>
      <c r="V432" s="868"/>
      <c r="W432" s="868"/>
      <c r="X432" s="868"/>
      <c r="Y432" s="868"/>
      <c r="Z432" s="868"/>
    </row>
    <row r="433" spans="1:26" ht="19.5">
      <c r="A433" s="1002"/>
      <c r="B433" s="1003"/>
      <c r="C433" s="1003"/>
      <c r="D433" s="1013" t="s">
        <v>191</v>
      </c>
      <c r="E433" s="1010"/>
      <c r="F433" s="1010"/>
      <c r="G433" s="1011"/>
      <c r="H433" s="196" t="s">
        <v>35</v>
      </c>
      <c r="I433" s="1019">
        <f ca="1">I435</f>
        <v>10</v>
      </c>
      <c r="J433" s="1019">
        <f ca="1">IF(AND(J435=I435,J437=I437,J439=I439),I437+I439,IF(AND(J435=I437,J437=I437),I437,IF(AND(J435=I439,J439=I439),I439,0)))</f>
        <v>10</v>
      </c>
      <c r="K433" s="1020">
        <f t="shared" ref="K433:K435" ca="1" si="191">IF(I433&gt;0,J433*100/I433,0)</f>
        <v>100</v>
      </c>
      <c r="L433" s="881"/>
      <c r="M433" s="881"/>
      <c r="N433" s="881"/>
      <c r="O433" s="881"/>
      <c r="P433" s="881"/>
      <c r="Q433" s="868"/>
      <c r="R433" s="868"/>
      <c r="S433" s="868"/>
      <c r="T433" s="868"/>
      <c r="U433" s="868"/>
      <c r="V433" s="868"/>
      <c r="W433" s="868"/>
      <c r="X433" s="868"/>
      <c r="Y433" s="868"/>
      <c r="Z433" s="868"/>
    </row>
    <row r="434" spans="1:26" ht="19.5">
      <c r="A434" s="1002"/>
      <c r="B434" s="1003"/>
      <c r="C434" s="1003"/>
      <c r="D434" s="1013" t="s">
        <v>192</v>
      </c>
      <c r="E434" s="1010"/>
      <c r="F434" s="1010"/>
      <c r="G434" s="1011"/>
      <c r="H434" s="196" t="s">
        <v>49</v>
      </c>
      <c r="I434" s="1019">
        <f t="shared" ref="I434:J434" ca="1" si="192">I438+I440</f>
        <v>1</v>
      </c>
      <c r="J434" s="1019">
        <f t="shared" si="192"/>
        <v>1</v>
      </c>
      <c r="K434" s="1020">
        <f t="shared" ca="1" si="191"/>
        <v>100</v>
      </c>
      <c r="L434" s="881"/>
      <c r="M434" s="881"/>
      <c r="N434" s="881"/>
      <c r="O434" s="881"/>
      <c r="P434" s="881"/>
      <c r="Q434" s="868"/>
      <c r="R434" s="868"/>
      <c r="S434" s="868"/>
      <c r="T434" s="868"/>
      <c r="U434" s="868"/>
      <c r="V434" s="868"/>
      <c r="W434" s="868"/>
      <c r="X434" s="868"/>
      <c r="Y434" s="868"/>
      <c r="Z434" s="868"/>
    </row>
    <row r="435" spans="1:26" ht="18.75">
      <c r="A435" s="1002"/>
      <c r="B435" s="1003"/>
      <c r="C435" s="1003"/>
      <c r="D435" s="1009" t="s">
        <v>193</v>
      </c>
      <c r="E435" s="1010"/>
      <c r="F435" s="1010"/>
      <c r="G435" s="1011"/>
      <c r="H435" s="622" t="s">
        <v>35</v>
      </c>
      <c r="I435" s="582">
        <f ca="1">IFERROR(__xludf.DUMMYFUNCTION("IMPORTRANGE(""https://docs.google.com/spreadsheets/d/1QqKyyYR6Q21VydFLVH3TRQUabQu_ym0Zz7PgGX0-kHA/edit?usp=sharing"",""แผน!FC83"")"),10)</f>
        <v>10</v>
      </c>
      <c r="J435" s="583">
        <v>10</v>
      </c>
      <c r="K435" s="881">
        <f t="shared" ca="1" si="191"/>
        <v>100</v>
      </c>
      <c r="L435" s="881"/>
      <c r="M435" s="881"/>
      <c r="N435" s="881"/>
      <c r="O435" s="881"/>
      <c r="P435" s="881"/>
      <c r="Q435" s="868"/>
      <c r="R435" s="868"/>
      <c r="S435" s="868"/>
      <c r="T435" s="868"/>
      <c r="U435" s="868"/>
      <c r="V435" s="868"/>
      <c r="W435" s="868"/>
      <c r="X435" s="868"/>
      <c r="Y435" s="868"/>
      <c r="Z435" s="868"/>
    </row>
    <row r="436" spans="1:26" ht="18.75">
      <c r="A436" s="1002"/>
      <c r="B436" s="1003"/>
      <c r="C436" s="1003"/>
      <c r="D436" s="1009" t="s">
        <v>194</v>
      </c>
      <c r="E436" s="1010"/>
      <c r="F436" s="1010"/>
      <c r="G436" s="1011"/>
      <c r="H436" s="622"/>
      <c r="I436" s="880"/>
      <c r="J436" s="880"/>
      <c r="K436" s="881"/>
      <c r="L436" s="881"/>
      <c r="M436" s="881"/>
      <c r="N436" s="881"/>
      <c r="O436" s="881"/>
      <c r="P436" s="881"/>
      <c r="Q436" s="868"/>
      <c r="R436" s="868"/>
      <c r="S436" s="868"/>
      <c r="T436" s="868"/>
      <c r="U436" s="868"/>
      <c r="V436" s="868"/>
      <c r="W436" s="868"/>
      <c r="X436" s="868"/>
      <c r="Y436" s="868"/>
      <c r="Z436" s="868"/>
    </row>
    <row r="437" spans="1:26" ht="18.75">
      <c r="A437" s="1002"/>
      <c r="B437" s="1003"/>
      <c r="C437" s="1003"/>
      <c r="D437" s="1009" t="s">
        <v>195</v>
      </c>
      <c r="E437" s="1010"/>
      <c r="F437" s="1010"/>
      <c r="G437" s="1011"/>
      <c r="H437" s="622" t="s">
        <v>35</v>
      </c>
      <c r="I437" s="582">
        <f ca="1">IFERROR(__xludf.DUMMYFUNCTION("IMPORTRANGE(""https://docs.google.com/spreadsheets/d/1QqKyyYR6Q21VydFLVH3TRQUabQu_ym0Zz7PgGX0-kHA/edit?usp=sharing"",""แผน!FD83"")"),0)</f>
        <v>0</v>
      </c>
      <c r="J437" s="583">
        <v>0</v>
      </c>
      <c r="K437" s="881">
        <f t="shared" ref="K437:K443" ca="1" si="193">IF(I437&gt;0,J437*100/I437,0)</f>
        <v>0</v>
      </c>
      <c r="L437" s="881"/>
      <c r="M437" s="881"/>
      <c r="N437" s="881"/>
      <c r="O437" s="881"/>
      <c r="P437" s="881"/>
      <c r="Q437" s="868"/>
      <c r="R437" s="868"/>
      <c r="S437" s="868"/>
      <c r="T437" s="868"/>
      <c r="U437" s="868"/>
      <c r="V437" s="868"/>
      <c r="W437" s="868"/>
      <c r="X437" s="868"/>
      <c r="Y437" s="868"/>
      <c r="Z437" s="868"/>
    </row>
    <row r="438" spans="1:26" ht="18.75">
      <c r="A438" s="1002"/>
      <c r="B438" s="1003"/>
      <c r="C438" s="1003"/>
      <c r="D438" s="1009" t="s">
        <v>196</v>
      </c>
      <c r="E438" s="1010"/>
      <c r="F438" s="1010"/>
      <c r="G438" s="1011"/>
      <c r="H438" s="622" t="s">
        <v>49</v>
      </c>
      <c r="I438" s="880">
        <f ca="1">IFERROR(__xludf.DUMMYFUNCTION("IMPORTRANGE(""https://docs.google.com/spreadsheets/d/1QqKyyYR6Q21VydFLVH3TRQUabQu_ym0Zz7PgGX0-kHA/edit?usp=sharing"",""แผน!FE83"")"),0)</f>
        <v>0</v>
      </c>
      <c r="J438" s="1012">
        <v>0</v>
      </c>
      <c r="K438" s="881">
        <f t="shared" ca="1" si="193"/>
        <v>0</v>
      </c>
      <c r="L438" s="881"/>
      <c r="M438" s="881"/>
      <c r="N438" s="881"/>
      <c r="O438" s="881"/>
      <c r="P438" s="881"/>
      <c r="Q438" s="868"/>
      <c r="R438" s="868"/>
      <c r="S438" s="868"/>
      <c r="T438" s="868"/>
      <c r="U438" s="868"/>
      <c r="V438" s="868"/>
      <c r="W438" s="868"/>
      <c r="X438" s="868"/>
      <c r="Y438" s="868"/>
      <c r="Z438" s="868"/>
    </row>
    <row r="439" spans="1:26" ht="18.75">
      <c r="A439" s="1002"/>
      <c r="B439" s="1003"/>
      <c r="C439" s="1003"/>
      <c r="D439" s="1009" t="s">
        <v>197</v>
      </c>
      <c r="E439" s="1010"/>
      <c r="F439" s="1010"/>
      <c r="G439" s="1011"/>
      <c r="H439" s="622" t="s">
        <v>35</v>
      </c>
      <c r="I439" s="582">
        <f ca="1">IFERROR(__xludf.DUMMYFUNCTION("IMPORTRANGE(""https://docs.google.com/spreadsheets/d/1QqKyyYR6Q21VydFLVH3TRQUabQu_ym0Zz7PgGX0-kHA/edit?usp=sharing"",""แผน!FF83"")"),10)</f>
        <v>10</v>
      </c>
      <c r="J439" s="583">
        <v>10</v>
      </c>
      <c r="K439" s="881">
        <f t="shared" ca="1" si="193"/>
        <v>100</v>
      </c>
      <c r="L439" s="881"/>
      <c r="M439" s="881"/>
      <c r="N439" s="881"/>
      <c r="O439" s="881"/>
      <c r="P439" s="881"/>
      <c r="Q439" s="868"/>
      <c r="R439" s="868"/>
      <c r="S439" s="868"/>
      <c r="T439" s="868"/>
      <c r="U439" s="868"/>
      <c r="V439" s="868"/>
      <c r="W439" s="868"/>
      <c r="X439" s="868"/>
      <c r="Y439" s="868"/>
      <c r="Z439" s="868"/>
    </row>
    <row r="440" spans="1:26" ht="18.75">
      <c r="A440" s="1002"/>
      <c r="B440" s="1003"/>
      <c r="C440" s="1003"/>
      <c r="D440" s="1009" t="s">
        <v>198</v>
      </c>
      <c r="E440" s="1010"/>
      <c r="F440" s="1010"/>
      <c r="G440" s="1011"/>
      <c r="H440" s="622" t="s">
        <v>49</v>
      </c>
      <c r="I440" s="880">
        <f ca="1">IFERROR(__xludf.DUMMYFUNCTION("IMPORTRANGE(""https://docs.google.com/spreadsheets/d/1QqKyyYR6Q21VydFLVH3TRQUabQu_ym0Zz7PgGX0-kHA/edit?usp=sharing"",""แผน!FG83"")"),1)</f>
        <v>1</v>
      </c>
      <c r="J440" s="1012">
        <v>1</v>
      </c>
      <c r="K440" s="881">
        <f t="shared" ca="1" si="193"/>
        <v>100</v>
      </c>
      <c r="L440" s="881"/>
      <c r="M440" s="881"/>
      <c r="N440" s="881"/>
      <c r="O440" s="881"/>
      <c r="P440" s="881"/>
      <c r="Q440" s="868"/>
      <c r="R440" s="868"/>
      <c r="S440" s="868"/>
      <c r="T440" s="868"/>
      <c r="U440" s="868"/>
      <c r="V440" s="868"/>
      <c r="W440" s="868"/>
      <c r="X440" s="868"/>
      <c r="Y440" s="868"/>
      <c r="Z440" s="868"/>
    </row>
    <row r="441" spans="1:26" ht="18.75">
      <c r="A441" s="1002"/>
      <c r="B441" s="1003"/>
      <c r="C441" s="1003"/>
      <c r="D441" s="1009" t="s">
        <v>199</v>
      </c>
      <c r="E441" s="1010"/>
      <c r="F441" s="1010"/>
      <c r="G441" s="1011"/>
      <c r="H441" s="622" t="s">
        <v>35</v>
      </c>
      <c r="I441" s="880">
        <f ca="1">IFERROR(__xludf.DUMMYFUNCTION("IMPORTRANGE(""https://docs.google.com/spreadsheets/d/1QqKyyYR6Q21VydFLVH3TRQUabQu_ym0Zz7PgGX0-kHA/edit?usp=sharing"",""แผน!FH83"")"),0)</f>
        <v>0</v>
      </c>
      <c r="J441" s="880">
        <v>0</v>
      </c>
      <c r="K441" s="881">
        <f t="shared" ca="1" si="193"/>
        <v>0</v>
      </c>
      <c r="L441" s="881"/>
      <c r="M441" s="881"/>
      <c r="N441" s="881"/>
      <c r="O441" s="881"/>
      <c r="P441" s="881"/>
      <c r="Q441" s="868"/>
      <c r="R441" s="868"/>
      <c r="S441" s="868"/>
      <c r="T441" s="868"/>
      <c r="U441" s="868"/>
      <c r="V441" s="868"/>
      <c r="W441" s="868"/>
      <c r="X441" s="868"/>
      <c r="Y441" s="868"/>
      <c r="Z441" s="868"/>
    </row>
    <row r="442" spans="1:26" ht="19.5">
      <c r="A442" s="584">
        <v>2</v>
      </c>
      <c r="B442" s="1307" t="s">
        <v>200</v>
      </c>
      <c r="C442" s="1308"/>
      <c r="D442" s="1308"/>
      <c r="E442" s="1308"/>
      <c r="F442" s="1308"/>
      <c r="G442" s="1309"/>
      <c r="H442" s="588" t="s">
        <v>35</v>
      </c>
      <c r="I442" s="1310">
        <f t="shared" ref="I442:J442" ca="1" si="194">I460</f>
        <v>20</v>
      </c>
      <c r="J442" s="1310">
        <f t="shared" si="194"/>
        <v>20</v>
      </c>
      <c r="K442" s="1311">
        <f t="shared" ca="1" si="193"/>
        <v>100</v>
      </c>
      <c r="L442" s="1312"/>
      <c r="M442" s="1312"/>
      <c r="N442" s="1312"/>
      <c r="O442" s="1312"/>
      <c r="P442" s="1312"/>
      <c r="Q442" s="1302"/>
      <c r="R442" s="1302"/>
      <c r="S442" s="1302"/>
      <c r="T442" s="1302"/>
      <c r="U442" s="1302"/>
      <c r="V442" s="1302"/>
      <c r="W442" s="1302"/>
      <c r="X442" s="1302"/>
      <c r="Y442" s="1302"/>
      <c r="Z442" s="1302"/>
    </row>
    <row r="443" spans="1:26" ht="19.5">
      <c r="A443" s="1313"/>
      <c r="B443" s="1314"/>
      <c r="C443" s="1315"/>
      <c r="D443" s="1315"/>
      <c r="E443" s="1315"/>
      <c r="F443" s="1315"/>
      <c r="G443" s="1316"/>
      <c r="H443" s="568" t="s">
        <v>46</v>
      </c>
      <c r="I443" s="1294">
        <f t="shared" ref="I443:J443" ca="1" si="195">I462</f>
        <v>40</v>
      </c>
      <c r="J443" s="1294">
        <f t="shared" si="195"/>
        <v>40</v>
      </c>
      <c r="K443" s="1295">
        <f t="shared" ca="1" si="193"/>
        <v>100</v>
      </c>
      <c r="L443" s="1296"/>
      <c r="M443" s="1296"/>
      <c r="N443" s="1296"/>
      <c r="O443" s="1296"/>
      <c r="P443" s="1296"/>
      <c r="Q443" s="1302"/>
      <c r="R443" s="1302"/>
      <c r="S443" s="1302"/>
      <c r="T443" s="1302"/>
      <c r="U443" s="1302"/>
      <c r="V443" s="1302"/>
      <c r="W443" s="1302"/>
      <c r="X443" s="1302"/>
      <c r="Y443" s="1302"/>
      <c r="Z443" s="1302"/>
    </row>
    <row r="444" spans="1:26" ht="19.5">
      <c r="A444" s="1317"/>
      <c r="B444" s="1301"/>
      <c r="C444" s="1301" t="s">
        <v>16</v>
      </c>
      <c r="D444" s="1318" t="s">
        <v>17</v>
      </c>
      <c r="E444" s="841"/>
      <c r="F444" s="841"/>
      <c r="G444" s="1016"/>
      <c r="H444" s="597" t="s">
        <v>12</v>
      </c>
      <c r="I444" s="880"/>
      <c r="J444" s="880"/>
      <c r="K444" s="881"/>
      <c r="L444" s="1020">
        <f t="shared" ref="L444:N444" ca="1" si="196">L445+L446</f>
        <v>109560</v>
      </c>
      <c r="M444" s="1020">
        <f t="shared" ca="1" si="196"/>
        <v>109560</v>
      </c>
      <c r="N444" s="1020">
        <f t="shared" si="196"/>
        <v>29970</v>
      </c>
      <c r="O444" s="1020">
        <f t="shared" ref="O444:O449" ca="1" si="197">IF(L444&gt;0,N444*100/L444,0)</f>
        <v>27.354874041621031</v>
      </c>
      <c r="P444" s="1020">
        <f t="shared" ref="P444:P449" ca="1" si="198">IF(M444&gt;0,N444*100/M444,0)</f>
        <v>27.354874041621031</v>
      </c>
      <c r="Q444" s="1302"/>
      <c r="R444" s="1302"/>
      <c r="S444" s="1302"/>
      <c r="T444" s="1302"/>
      <c r="U444" s="1302"/>
      <c r="V444" s="1302"/>
      <c r="W444" s="1302"/>
      <c r="X444" s="1302"/>
      <c r="Y444" s="1302"/>
      <c r="Z444" s="1302"/>
    </row>
    <row r="445" spans="1:26" ht="18.75" hidden="1">
      <c r="A445" s="1319"/>
      <c r="B445" s="1320"/>
      <c r="C445" s="1320"/>
      <c r="D445" s="1321"/>
      <c r="E445" s="1320" t="s">
        <v>185</v>
      </c>
      <c r="F445" s="1320"/>
      <c r="G445" s="1322"/>
      <c r="H445" s="165" t="s">
        <v>12</v>
      </c>
      <c r="I445" s="886"/>
      <c r="J445" s="886"/>
      <c r="K445" s="887"/>
      <c r="L445" s="887">
        <f t="shared" ref="L445:N446" si="199">L448+L455</f>
        <v>0</v>
      </c>
      <c r="M445" s="887">
        <f t="shared" si="199"/>
        <v>0</v>
      </c>
      <c r="N445" s="887">
        <f t="shared" si="199"/>
        <v>0</v>
      </c>
      <c r="O445" s="887">
        <f t="shared" si="197"/>
        <v>0</v>
      </c>
      <c r="P445" s="887">
        <f t="shared" si="198"/>
        <v>0</v>
      </c>
      <c r="Q445" s="1323"/>
      <c r="R445" s="1323"/>
      <c r="S445" s="1323"/>
      <c r="T445" s="1323"/>
      <c r="U445" s="1323"/>
      <c r="V445" s="1323"/>
      <c r="W445" s="1323"/>
      <c r="X445" s="1323"/>
      <c r="Y445" s="1323"/>
      <c r="Z445" s="1323"/>
    </row>
    <row r="446" spans="1:26" ht="18.75" hidden="1">
      <c r="A446" s="1319"/>
      <c r="B446" s="1324"/>
      <c r="C446" s="1320"/>
      <c r="D446" s="1321"/>
      <c r="E446" s="1320" t="s">
        <v>186</v>
      </c>
      <c r="F446" s="1320"/>
      <c r="G446" s="1322"/>
      <c r="H446" s="165" t="s">
        <v>12</v>
      </c>
      <c r="I446" s="886"/>
      <c r="J446" s="886"/>
      <c r="K446" s="887"/>
      <c r="L446" s="887">
        <f t="shared" ca="1" si="199"/>
        <v>109560</v>
      </c>
      <c r="M446" s="887">
        <f t="shared" ca="1" si="199"/>
        <v>109560</v>
      </c>
      <c r="N446" s="887">
        <f t="shared" si="199"/>
        <v>29970</v>
      </c>
      <c r="O446" s="887">
        <f t="shared" ca="1" si="197"/>
        <v>27.354874041621031</v>
      </c>
      <c r="P446" s="887">
        <f t="shared" ca="1" si="198"/>
        <v>27.354874041621031</v>
      </c>
      <c r="Q446" s="1323"/>
      <c r="R446" s="1323"/>
      <c r="S446" s="1323"/>
      <c r="T446" s="1323"/>
      <c r="U446" s="1323"/>
      <c r="V446" s="1323"/>
      <c r="W446" s="1323"/>
      <c r="X446" s="1323"/>
      <c r="Y446" s="1323"/>
      <c r="Z446" s="1323"/>
    </row>
    <row r="447" spans="1:26" ht="18.75">
      <c r="A447" s="1317"/>
      <c r="B447" s="1300"/>
      <c r="C447" s="1301"/>
      <c r="D447" s="1325" t="s">
        <v>20</v>
      </c>
      <c r="E447" s="1301"/>
      <c r="F447" s="1301"/>
      <c r="G447" s="1016"/>
      <c r="H447" s="161" t="s">
        <v>12</v>
      </c>
      <c r="I447" s="997"/>
      <c r="J447" s="997"/>
      <c r="K447" s="998"/>
      <c r="L447" s="881">
        <f t="shared" ref="L447:N447" ca="1" si="200">L448+L449</f>
        <v>109560</v>
      </c>
      <c r="M447" s="881">
        <f t="shared" ca="1" si="200"/>
        <v>109560</v>
      </c>
      <c r="N447" s="881">
        <f t="shared" si="200"/>
        <v>29970</v>
      </c>
      <c r="O447" s="881">
        <f t="shared" ca="1" si="197"/>
        <v>27.354874041621031</v>
      </c>
      <c r="P447" s="881">
        <f t="shared" ca="1" si="198"/>
        <v>27.354874041621031</v>
      </c>
      <c r="Q447" s="1302"/>
      <c r="R447" s="1302"/>
      <c r="S447" s="1302"/>
      <c r="T447" s="1302"/>
      <c r="U447" s="1302"/>
      <c r="V447" s="1302"/>
      <c r="W447" s="1302"/>
      <c r="X447" s="1302"/>
      <c r="Y447" s="1302"/>
      <c r="Z447" s="1302"/>
    </row>
    <row r="448" spans="1:26" ht="18.75" hidden="1">
      <c r="A448" s="1319"/>
      <c r="B448" s="1324"/>
      <c r="C448" s="1320"/>
      <c r="D448" s="1321"/>
      <c r="E448" s="1320" t="s">
        <v>185</v>
      </c>
      <c r="F448" s="1320"/>
      <c r="G448" s="1322"/>
      <c r="H448" s="165" t="s">
        <v>12</v>
      </c>
      <c r="I448" s="886"/>
      <c r="J448" s="886"/>
      <c r="K448" s="887"/>
      <c r="L448" s="887">
        <v>0</v>
      </c>
      <c r="M448" s="887">
        <v>0</v>
      </c>
      <c r="N448" s="887">
        <v>0</v>
      </c>
      <c r="O448" s="887">
        <f t="shared" si="197"/>
        <v>0</v>
      </c>
      <c r="P448" s="887">
        <f t="shared" si="198"/>
        <v>0</v>
      </c>
      <c r="Q448" s="1323"/>
      <c r="R448" s="1323"/>
      <c r="S448" s="1323"/>
      <c r="T448" s="1323"/>
      <c r="U448" s="1323"/>
      <c r="V448" s="1323"/>
      <c r="W448" s="1323"/>
      <c r="X448" s="1323"/>
      <c r="Y448" s="1323"/>
      <c r="Z448" s="1323"/>
    </row>
    <row r="449" spans="1:26" ht="18.75" hidden="1">
      <c r="A449" s="1319"/>
      <c r="B449" s="1324"/>
      <c r="C449" s="1320"/>
      <c r="D449" s="1321"/>
      <c r="E449" s="1320" t="s">
        <v>186</v>
      </c>
      <c r="F449" s="1320"/>
      <c r="G449" s="1322"/>
      <c r="H449" s="165" t="s">
        <v>12</v>
      </c>
      <c r="I449" s="886"/>
      <c r="J449" s="886"/>
      <c r="K449" s="887"/>
      <c r="L449" s="887">
        <f ca="1">IFERROR(__xludf.DUMMYFUNCTION("IMPORTRANGE(""https://docs.google.com/spreadsheets/d/1QqKyyYR6Q21VydFLVH3TRQUabQu_ym0Zz7PgGX0-kHA/edit?usp=sharing"",""แผน!FJ83"")"),109560)</f>
        <v>109560</v>
      </c>
      <c r="M449" s="887">
        <f ca="1">L449</f>
        <v>109560</v>
      </c>
      <c r="N449" s="887">
        <f>N450+N451+N452+N453</f>
        <v>29970</v>
      </c>
      <c r="O449" s="887">
        <f t="shared" ca="1" si="197"/>
        <v>27.354874041621031</v>
      </c>
      <c r="P449" s="887">
        <f t="shared" ca="1" si="198"/>
        <v>27.354874041621031</v>
      </c>
      <c r="Q449" s="1323"/>
      <c r="R449" s="1323"/>
      <c r="S449" s="1323"/>
      <c r="T449" s="1323"/>
      <c r="U449" s="1323"/>
      <c r="V449" s="1323"/>
      <c r="W449" s="1323"/>
      <c r="X449" s="1323"/>
      <c r="Y449" s="1323"/>
      <c r="Z449" s="1323"/>
    </row>
    <row r="450" spans="1:26" ht="18.75">
      <c r="A450" s="1299"/>
      <c r="B450" s="1300"/>
      <c r="C450" s="1301"/>
      <c r="D450" s="1301"/>
      <c r="E450" s="1301"/>
      <c r="F450" s="1301" t="s">
        <v>187</v>
      </c>
      <c r="G450" s="1016"/>
      <c r="H450" s="161" t="s">
        <v>12</v>
      </c>
      <c r="I450" s="880"/>
      <c r="J450" s="880"/>
      <c r="K450" s="881"/>
      <c r="L450" s="881"/>
      <c r="M450" s="881"/>
      <c r="N450" s="1085">
        <v>14800</v>
      </c>
      <c r="O450" s="881"/>
      <c r="P450" s="881"/>
      <c r="Q450" s="1302"/>
      <c r="R450" s="1302"/>
      <c r="S450" s="1302"/>
      <c r="T450" s="1302"/>
      <c r="U450" s="1302"/>
      <c r="V450" s="1302"/>
      <c r="W450" s="1302"/>
      <c r="X450" s="1302"/>
      <c r="Y450" s="1302"/>
      <c r="Z450" s="1302"/>
    </row>
    <row r="451" spans="1:26" ht="18.75">
      <c r="A451" s="1299"/>
      <c r="B451" s="1300"/>
      <c r="C451" s="1301"/>
      <c r="D451" s="1301"/>
      <c r="E451" s="1301"/>
      <c r="F451" s="1301" t="s">
        <v>188</v>
      </c>
      <c r="G451" s="1016"/>
      <c r="H451" s="161" t="s">
        <v>12</v>
      </c>
      <c r="I451" s="880"/>
      <c r="J451" s="880"/>
      <c r="K451" s="881"/>
      <c r="L451" s="881"/>
      <c r="M451" s="881"/>
      <c r="N451" s="1085">
        <v>0</v>
      </c>
      <c r="O451" s="881"/>
      <c r="P451" s="881"/>
      <c r="Q451" s="1302"/>
      <c r="R451" s="1302"/>
      <c r="S451" s="1302"/>
      <c r="T451" s="1302"/>
      <c r="U451" s="1302"/>
      <c r="V451" s="1302"/>
      <c r="W451" s="1302"/>
      <c r="X451" s="1302"/>
      <c r="Y451" s="1302"/>
      <c r="Z451" s="1302"/>
    </row>
    <row r="452" spans="1:26" ht="18.75">
      <c r="A452" s="1299"/>
      <c r="B452" s="1300"/>
      <c r="C452" s="1300"/>
      <c r="D452" s="1300"/>
      <c r="E452" s="1300"/>
      <c r="F452" s="1301" t="s">
        <v>189</v>
      </c>
      <c r="G452" s="1016"/>
      <c r="H452" s="161" t="s">
        <v>12</v>
      </c>
      <c r="I452" s="880"/>
      <c r="J452" s="880"/>
      <c r="K452" s="881"/>
      <c r="L452" s="881"/>
      <c r="M452" s="881"/>
      <c r="N452" s="1085">
        <v>0</v>
      </c>
      <c r="O452" s="881"/>
      <c r="P452" s="881"/>
      <c r="Q452" s="1302"/>
      <c r="R452" s="1302"/>
      <c r="S452" s="1302"/>
      <c r="T452" s="1302"/>
      <c r="U452" s="1302"/>
      <c r="V452" s="1302"/>
      <c r="W452" s="1302"/>
      <c r="X452" s="1302"/>
      <c r="Y452" s="1302"/>
      <c r="Z452" s="1302"/>
    </row>
    <row r="453" spans="1:26" ht="18.75">
      <c r="A453" s="1299"/>
      <c r="B453" s="1300"/>
      <c r="C453" s="1300"/>
      <c r="D453" s="1300"/>
      <c r="E453" s="1300"/>
      <c r="F453" s="1301" t="s">
        <v>190</v>
      </c>
      <c r="G453" s="1016"/>
      <c r="H453" s="161" t="s">
        <v>12</v>
      </c>
      <c r="I453" s="880"/>
      <c r="J453" s="880"/>
      <c r="K453" s="881"/>
      <c r="L453" s="881"/>
      <c r="M453" s="881"/>
      <c r="N453" s="1085">
        <v>15170</v>
      </c>
      <c r="O453" s="881"/>
      <c r="P453" s="881"/>
      <c r="Q453" s="1302"/>
      <c r="R453" s="1302"/>
      <c r="S453" s="1302"/>
      <c r="T453" s="1302"/>
      <c r="U453" s="1302"/>
      <c r="V453" s="1302"/>
      <c r="W453" s="1302"/>
      <c r="X453" s="1302"/>
      <c r="Y453" s="1302"/>
      <c r="Z453" s="1302"/>
    </row>
    <row r="454" spans="1:26" ht="18.75">
      <c r="A454" s="1317"/>
      <c r="B454" s="1300"/>
      <c r="C454" s="1300"/>
      <c r="D454" s="1325" t="s">
        <v>21</v>
      </c>
      <c r="E454" s="1300"/>
      <c r="F454" s="1301"/>
      <c r="G454" s="1016"/>
      <c r="H454" s="168" t="s">
        <v>12</v>
      </c>
      <c r="I454" s="997"/>
      <c r="J454" s="997"/>
      <c r="K454" s="998"/>
      <c r="L454" s="881">
        <f t="shared" ref="L454:N454" ca="1" si="201">L455+L456</f>
        <v>0</v>
      </c>
      <c r="M454" s="881">
        <f t="shared" si="201"/>
        <v>0</v>
      </c>
      <c r="N454" s="881">
        <f t="shared" si="201"/>
        <v>0</v>
      </c>
      <c r="O454" s="881">
        <f t="shared" ref="O454:O456" ca="1" si="202">IF(L454&gt;0,N454*100/L454,0)</f>
        <v>0</v>
      </c>
      <c r="P454" s="881">
        <f t="shared" ref="P454:P456" si="203">IF(M454&gt;0,N454*100/M454,0)</f>
        <v>0</v>
      </c>
      <c r="Q454" s="1302"/>
      <c r="R454" s="1302"/>
      <c r="S454" s="1302"/>
      <c r="T454" s="1302"/>
      <c r="U454" s="1302"/>
      <c r="V454" s="1302"/>
      <c r="W454" s="1302"/>
      <c r="X454" s="1302"/>
      <c r="Y454" s="1302"/>
      <c r="Z454" s="1302"/>
    </row>
    <row r="455" spans="1:26" ht="18.75" hidden="1">
      <c r="A455" s="1319"/>
      <c r="B455" s="1324"/>
      <c r="C455" s="1324"/>
      <c r="D455" s="1324"/>
      <c r="E455" s="1324" t="s">
        <v>18</v>
      </c>
      <c r="F455" s="1320"/>
      <c r="G455" s="1322"/>
      <c r="H455" s="165" t="s">
        <v>12</v>
      </c>
      <c r="I455" s="1000"/>
      <c r="J455" s="1000"/>
      <c r="K455" s="1001"/>
      <c r="L455" s="887">
        <v>0</v>
      </c>
      <c r="M455" s="887">
        <v>0</v>
      </c>
      <c r="N455" s="887">
        <v>0</v>
      </c>
      <c r="O455" s="887">
        <f t="shared" si="202"/>
        <v>0</v>
      </c>
      <c r="P455" s="887">
        <f t="shared" si="203"/>
        <v>0</v>
      </c>
      <c r="Q455" s="1323"/>
      <c r="R455" s="1323"/>
      <c r="S455" s="1323"/>
      <c r="T455" s="1323"/>
      <c r="U455" s="1323"/>
      <c r="V455" s="1323"/>
      <c r="W455" s="1323"/>
      <c r="X455" s="1323"/>
      <c r="Y455" s="1323"/>
      <c r="Z455" s="1323"/>
    </row>
    <row r="456" spans="1:26" ht="18.75" hidden="1">
      <c r="A456" s="1319"/>
      <c r="B456" s="1324"/>
      <c r="C456" s="1324"/>
      <c r="D456" s="1324"/>
      <c r="E456" s="1324" t="s">
        <v>19</v>
      </c>
      <c r="F456" s="1320"/>
      <c r="G456" s="1322"/>
      <c r="H456" s="169" t="s">
        <v>12</v>
      </c>
      <c r="I456" s="1000"/>
      <c r="J456" s="1000"/>
      <c r="K456" s="1001"/>
      <c r="L456" s="887">
        <f ca="1">IFERROR(__xludf.DUMMYFUNCTION("IMPORTRANGE(""https://docs.google.com/spreadsheets/d/1QqKyyYR6Q21VydFLVH3TRQUabQu_ym0Zz7PgGX0-kHA/edit?usp=sharing"",""แผน!FM83"")"),0)</f>
        <v>0</v>
      </c>
      <c r="M456" s="887">
        <v>0</v>
      </c>
      <c r="N456" s="887">
        <v>0</v>
      </c>
      <c r="O456" s="887">
        <f t="shared" ca="1" si="202"/>
        <v>0</v>
      </c>
      <c r="P456" s="887">
        <f t="shared" si="203"/>
        <v>0</v>
      </c>
      <c r="Q456" s="1323"/>
      <c r="R456" s="1323"/>
      <c r="S456" s="1323"/>
      <c r="T456" s="1323"/>
      <c r="U456" s="1323"/>
      <c r="V456" s="1323"/>
      <c r="W456" s="1323"/>
      <c r="X456" s="1323"/>
      <c r="Y456" s="1323"/>
      <c r="Z456" s="1323"/>
    </row>
    <row r="457" spans="1:26" ht="19.5">
      <c r="A457" s="1326"/>
      <c r="B457" s="1327"/>
      <c r="C457" s="1300" t="s">
        <v>16</v>
      </c>
      <c r="D457" s="1328" t="s">
        <v>38</v>
      </c>
      <c r="E457" s="1329"/>
      <c r="F457" s="1330"/>
      <c r="G457" s="1331"/>
      <c r="H457" s="1007"/>
      <c r="I457" s="880"/>
      <c r="J457" s="880"/>
      <c r="K457" s="881"/>
      <c r="L457" s="881"/>
      <c r="M457" s="881"/>
      <c r="N457" s="881"/>
      <c r="O457" s="881"/>
      <c r="P457" s="881"/>
      <c r="Q457" s="1302"/>
      <c r="R457" s="1302"/>
      <c r="S457" s="1302"/>
      <c r="T457" s="1302"/>
      <c r="U457" s="1302"/>
      <c r="V457" s="1302"/>
      <c r="W457" s="1302"/>
      <c r="X457" s="1302"/>
      <c r="Y457" s="1302"/>
      <c r="Z457" s="1302"/>
    </row>
    <row r="458" spans="1:26" ht="18.75" hidden="1">
      <c r="A458" s="1332"/>
      <c r="B458" s="1333"/>
      <c r="C458" s="1333"/>
      <c r="D458" s="1333" t="s">
        <v>201</v>
      </c>
      <c r="E458" s="1333"/>
      <c r="F458" s="1321"/>
      <c r="G458" s="1113"/>
      <c r="H458" s="370" t="s">
        <v>35</v>
      </c>
      <c r="I458" s="886">
        <v>0</v>
      </c>
      <c r="J458" s="886">
        <v>0</v>
      </c>
      <c r="K458" s="887">
        <f>IF(I458&gt;0,J458*100/I458,0)</f>
        <v>0</v>
      </c>
      <c r="L458" s="887"/>
      <c r="M458" s="887"/>
      <c r="N458" s="887"/>
      <c r="O458" s="887"/>
      <c r="P458" s="887"/>
      <c r="Q458" s="1323"/>
      <c r="R458" s="1323"/>
      <c r="S458" s="1323"/>
      <c r="T458" s="1323"/>
      <c r="U458" s="1323"/>
      <c r="V458" s="1323"/>
      <c r="W458" s="1323"/>
      <c r="X458" s="1323"/>
      <c r="Y458" s="1323"/>
      <c r="Z458" s="1323"/>
    </row>
    <row r="459" spans="1:26" ht="18.75" hidden="1">
      <c r="A459" s="1332"/>
      <c r="B459" s="1333"/>
      <c r="C459" s="1333"/>
      <c r="D459" s="1333" t="s">
        <v>202</v>
      </c>
      <c r="E459" s="1333"/>
      <c r="F459" s="1321"/>
      <c r="G459" s="1113"/>
      <c r="H459" s="370"/>
      <c r="I459" s="886"/>
      <c r="J459" s="886"/>
      <c r="K459" s="887"/>
      <c r="L459" s="887"/>
      <c r="M459" s="887"/>
      <c r="N459" s="887"/>
      <c r="O459" s="887"/>
      <c r="P459" s="887"/>
      <c r="Q459" s="1323"/>
      <c r="R459" s="1323"/>
      <c r="S459" s="1323"/>
      <c r="T459" s="1323"/>
      <c r="U459" s="1323"/>
      <c r="V459" s="1323"/>
      <c r="W459" s="1323"/>
      <c r="X459" s="1323"/>
      <c r="Y459" s="1323"/>
      <c r="Z459" s="1323"/>
    </row>
    <row r="460" spans="1:26" ht="18.75">
      <c r="A460" s="1326"/>
      <c r="B460" s="1327"/>
      <c r="C460" s="1327"/>
      <c r="D460" s="1327" t="s">
        <v>203</v>
      </c>
      <c r="E460" s="1327"/>
      <c r="F460" s="1014"/>
      <c r="G460" s="1007"/>
      <c r="H460" s="762" t="s">
        <v>35</v>
      </c>
      <c r="I460" s="880">
        <f ca="1">IFERROR(__xludf.DUMMYFUNCTION("IMPORTRANGE(""https://docs.google.com/spreadsheets/d/1QqKyyYR6Q21VydFLVH3TRQUabQu_ym0Zz7PgGX0-kHA/edit?usp=sharing"",""แผน!FN83"")"),20)</f>
        <v>20</v>
      </c>
      <c r="J460" s="1012">
        <v>20</v>
      </c>
      <c r="K460" s="881">
        <f ca="1">IF(I460&gt;0,J460*100/I460,0)</f>
        <v>100</v>
      </c>
      <c r="L460" s="881"/>
      <c r="M460" s="881"/>
      <c r="N460" s="881"/>
      <c r="O460" s="881"/>
      <c r="P460" s="881"/>
      <c r="Q460" s="1302"/>
      <c r="R460" s="1302"/>
      <c r="S460" s="1302"/>
      <c r="T460" s="1302"/>
      <c r="U460" s="1302"/>
      <c r="V460" s="1302"/>
      <c r="W460" s="1302"/>
      <c r="X460" s="1302"/>
      <c r="Y460" s="1302"/>
      <c r="Z460" s="1302"/>
    </row>
    <row r="461" spans="1:26" ht="18.75">
      <c r="A461" s="1326"/>
      <c r="B461" s="1327"/>
      <c r="C461" s="1327"/>
      <c r="D461" s="1327" t="s">
        <v>204</v>
      </c>
      <c r="E461" s="1014"/>
      <c r="F461" s="1014"/>
      <c r="G461" s="1007"/>
      <c r="H461" s="762"/>
      <c r="I461" s="880"/>
      <c r="J461" s="880"/>
      <c r="K461" s="881"/>
      <c r="L461" s="881"/>
      <c r="M461" s="881"/>
      <c r="N461" s="881"/>
      <c r="O461" s="881"/>
      <c r="P461" s="881"/>
      <c r="Q461" s="1302"/>
      <c r="R461" s="1302"/>
      <c r="S461" s="1302"/>
      <c r="T461" s="1302"/>
      <c r="U461" s="1302"/>
      <c r="V461" s="1302"/>
      <c r="W461" s="1302"/>
      <c r="X461" s="1302"/>
      <c r="Y461" s="1302"/>
      <c r="Z461" s="1302"/>
    </row>
    <row r="462" spans="1:26" ht="18.75">
      <c r="A462" s="1326"/>
      <c r="B462" s="1327"/>
      <c r="C462" s="1327"/>
      <c r="D462" s="1327" t="s">
        <v>205</v>
      </c>
      <c r="E462" s="1014"/>
      <c r="F462" s="1014"/>
      <c r="G462" s="1007"/>
      <c r="H462" s="762" t="s">
        <v>46</v>
      </c>
      <c r="I462" s="880">
        <f ca="1">IFERROR(__xludf.DUMMYFUNCTION("IMPORTRANGE(""https://docs.google.com/spreadsheets/d/1QqKyyYR6Q21VydFLVH3TRQUabQu_ym0Zz7PgGX0-kHA/edit?usp=sharing"",""แผน!FO83"")"),40)</f>
        <v>40</v>
      </c>
      <c r="J462" s="1012">
        <v>40</v>
      </c>
      <c r="K462" s="881">
        <f ca="1">IF(I462&gt;0,J462*100/I462,0)</f>
        <v>100</v>
      </c>
      <c r="L462" s="881"/>
      <c r="M462" s="881"/>
      <c r="N462" s="881"/>
      <c r="O462" s="881"/>
      <c r="P462" s="881"/>
      <c r="Q462" s="1302"/>
      <c r="R462" s="1302"/>
      <c r="S462" s="1302"/>
      <c r="T462" s="1302"/>
      <c r="U462" s="1302"/>
      <c r="V462" s="1302"/>
      <c r="W462" s="1302"/>
      <c r="X462" s="1302"/>
      <c r="Y462" s="1302"/>
      <c r="Z462" s="1302"/>
    </row>
    <row r="463" spans="1:26" ht="18.75">
      <c r="A463" s="1326"/>
      <c r="B463" s="1327"/>
      <c r="C463" s="1327"/>
      <c r="D463" s="1327" t="s">
        <v>59</v>
      </c>
      <c r="E463" s="1014"/>
      <c r="F463" s="1301"/>
      <c r="G463" s="1016"/>
      <c r="H463" s="762" t="s">
        <v>46</v>
      </c>
      <c r="I463" s="880">
        <f ca="1">IFERROR(__xludf.DUMMYFUNCTION("IMPORTRANGE(""https://docs.google.com/spreadsheets/d/1QqKyyYR6Q21VydFLVH3TRQUabQu_ym0Zz7PgGX0-kHA/edit?usp=sharing"",""แผน!FO83"")"),40)</f>
        <v>40</v>
      </c>
      <c r="J463" s="1012">
        <v>0</v>
      </c>
      <c r="K463" s="881"/>
      <c r="L463" s="881"/>
      <c r="M463" s="881"/>
      <c r="N463" s="881"/>
      <c r="O463" s="881"/>
      <c r="P463" s="881"/>
      <c r="Q463" s="1302"/>
      <c r="R463" s="1302"/>
      <c r="S463" s="1302"/>
      <c r="T463" s="1302"/>
      <c r="U463" s="1302"/>
      <c r="V463" s="1302"/>
      <c r="W463" s="1302"/>
      <c r="X463" s="1302"/>
      <c r="Y463" s="1302"/>
      <c r="Z463" s="1302"/>
    </row>
    <row r="464" spans="1:26" ht="19.5">
      <c r="A464" s="1326"/>
      <c r="B464" s="1327"/>
      <c r="C464" s="1327"/>
      <c r="D464" s="1327"/>
      <c r="E464" s="1014"/>
      <c r="F464" s="1014"/>
      <c r="G464" s="1334"/>
      <c r="H464" s="762" t="s">
        <v>35</v>
      </c>
      <c r="I464" s="880">
        <f ca="1">IFERROR(__xludf.DUMMYFUNCTION("IMPORTRANGE(""https://docs.google.com/spreadsheets/d/1QqKyyYR6Q21VydFLVH3TRQUabQu_ym0Zz7PgGX0-kHA/edit?usp=sharing"",""แผน!FN83"")"),20)</f>
        <v>20</v>
      </c>
      <c r="J464" s="1012">
        <v>0</v>
      </c>
      <c r="K464" s="881"/>
      <c r="L464" s="881"/>
      <c r="M464" s="881"/>
      <c r="N464" s="881"/>
      <c r="O464" s="881"/>
      <c r="P464" s="881"/>
      <c r="Q464" s="1302"/>
      <c r="R464" s="1302"/>
      <c r="S464" s="1302"/>
      <c r="T464" s="1302"/>
      <c r="U464" s="1302"/>
      <c r="V464" s="1302"/>
      <c r="W464" s="1302"/>
      <c r="X464" s="1302"/>
      <c r="Y464" s="1302"/>
      <c r="Z464" s="1302"/>
    </row>
    <row r="465" spans="1:26" ht="19.5">
      <c r="A465" s="584">
        <v>3</v>
      </c>
      <c r="B465" s="1307" t="s">
        <v>206</v>
      </c>
      <c r="C465" s="1308"/>
      <c r="D465" s="1308"/>
      <c r="E465" s="1308"/>
      <c r="F465" s="1308"/>
      <c r="G465" s="1309"/>
      <c r="H465" s="588" t="s">
        <v>35</v>
      </c>
      <c r="I465" s="1310">
        <f ca="1">IFERROR(__xludf.DUMMYFUNCTION("IMPORTRANGE(""https://docs.google.com/spreadsheets/d/1QqKyyYR6Q21VydFLVH3TRQUabQu_ym0Zz7PgGX0-kHA/edit?usp=sharing"",""แผน!FX83"")"),11)</f>
        <v>11</v>
      </c>
      <c r="J465" s="1310">
        <f>J485+J489+J492</f>
        <v>11</v>
      </c>
      <c r="K465" s="1311">
        <f t="shared" ref="K465:K466" ca="1" si="204">IF(I465&gt;0,J465*100/I465,0)</f>
        <v>100</v>
      </c>
      <c r="L465" s="1312"/>
      <c r="M465" s="1312"/>
      <c r="N465" s="1312"/>
      <c r="O465" s="1312"/>
      <c r="P465" s="1312"/>
      <c r="Q465" s="1302"/>
      <c r="R465" s="1302"/>
      <c r="S465" s="1302"/>
      <c r="T465" s="1302"/>
      <c r="U465" s="1302"/>
      <c r="V465" s="1302"/>
      <c r="W465" s="1302"/>
      <c r="X465" s="1302"/>
      <c r="Y465" s="1302"/>
      <c r="Z465" s="1302"/>
    </row>
    <row r="466" spans="1:26" ht="19.5">
      <c r="A466" s="1313"/>
      <c r="B466" s="1314"/>
      <c r="C466" s="1315"/>
      <c r="D466" s="1315"/>
      <c r="E466" s="1315"/>
      <c r="F466" s="1315"/>
      <c r="G466" s="1316"/>
      <c r="H466" s="568" t="s">
        <v>46</v>
      </c>
      <c r="I466" s="1294">
        <f ca="1">IFERROR(__xludf.DUMMYFUNCTION("IMPORTRANGE(""https://docs.google.com/spreadsheets/d/1QqKyyYR6Q21VydFLVH3TRQUabQu_ym0Zz7PgGX0-kHA/edit?usp=sharing"",""แผน!FW83"")"),100)</f>
        <v>100</v>
      </c>
      <c r="J466" s="1294">
        <f>J495+J498</f>
        <v>0</v>
      </c>
      <c r="K466" s="1295">
        <f t="shared" ca="1" si="204"/>
        <v>0</v>
      </c>
      <c r="L466" s="1296"/>
      <c r="M466" s="1296"/>
      <c r="N466" s="1296"/>
      <c r="O466" s="1296"/>
      <c r="P466" s="1296"/>
      <c r="Q466" s="1302"/>
      <c r="R466" s="1302"/>
      <c r="S466" s="1302"/>
      <c r="T466" s="1302"/>
      <c r="U466" s="1302"/>
      <c r="V466" s="1302"/>
      <c r="W466" s="1302"/>
      <c r="X466" s="1302"/>
      <c r="Y466" s="1302"/>
      <c r="Z466" s="1302"/>
    </row>
    <row r="467" spans="1:26" ht="19.5">
      <c r="A467" s="1317"/>
      <c r="B467" s="1301"/>
      <c r="C467" s="1301" t="s">
        <v>16</v>
      </c>
      <c r="D467" s="1318" t="s">
        <v>17</v>
      </c>
      <c r="E467" s="841"/>
      <c r="F467" s="841"/>
      <c r="G467" s="1016"/>
      <c r="H467" s="597" t="s">
        <v>12</v>
      </c>
      <c r="I467" s="880"/>
      <c r="J467" s="880"/>
      <c r="K467" s="881"/>
      <c r="L467" s="1020">
        <f t="shared" ref="L467:N467" ca="1" si="205">L468+L469</f>
        <v>111463</v>
      </c>
      <c r="M467" s="1020">
        <f t="shared" ca="1" si="205"/>
        <v>111463</v>
      </c>
      <c r="N467" s="1020">
        <f t="shared" si="205"/>
        <v>49070</v>
      </c>
      <c r="O467" s="1020">
        <f t="shared" ref="O467:O472" ca="1" si="206">IF(L467&gt;0,N467*100/L467,0)</f>
        <v>44.023577330594009</v>
      </c>
      <c r="P467" s="1020">
        <f t="shared" ref="P467:P472" ca="1" si="207">IF(M467&gt;0,N467*100/M467,0)</f>
        <v>44.023577330594009</v>
      </c>
      <c r="Q467" s="1302"/>
      <c r="R467" s="1302"/>
      <c r="S467" s="1302"/>
      <c r="T467" s="1302"/>
      <c r="U467" s="1302"/>
      <c r="V467" s="1302"/>
      <c r="W467" s="1302"/>
      <c r="X467" s="1302"/>
      <c r="Y467" s="1302"/>
      <c r="Z467" s="1302"/>
    </row>
    <row r="468" spans="1:26" ht="18.75" hidden="1">
      <c r="A468" s="1319"/>
      <c r="B468" s="1320"/>
      <c r="C468" s="1320"/>
      <c r="D468" s="1321"/>
      <c r="E468" s="1320" t="s">
        <v>185</v>
      </c>
      <c r="F468" s="1320"/>
      <c r="G468" s="1322"/>
      <c r="H468" s="165" t="s">
        <v>12</v>
      </c>
      <c r="I468" s="886"/>
      <c r="J468" s="886"/>
      <c r="K468" s="887"/>
      <c r="L468" s="887">
        <f t="shared" ref="L468:N469" si="208">L471+L478</f>
        <v>0</v>
      </c>
      <c r="M468" s="887">
        <f t="shared" si="208"/>
        <v>0</v>
      </c>
      <c r="N468" s="887">
        <f t="shared" si="208"/>
        <v>0</v>
      </c>
      <c r="O468" s="887">
        <f t="shared" si="206"/>
        <v>0</v>
      </c>
      <c r="P468" s="887">
        <f t="shared" si="207"/>
        <v>0</v>
      </c>
      <c r="Q468" s="1323"/>
      <c r="R468" s="1323"/>
      <c r="S468" s="1323"/>
      <c r="T468" s="1323"/>
      <c r="U468" s="1323"/>
      <c r="V468" s="1323"/>
      <c r="W468" s="1323"/>
      <c r="X468" s="1323"/>
      <c r="Y468" s="1323"/>
      <c r="Z468" s="1323"/>
    </row>
    <row r="469" spans="1:26" ht="18.75" hidden="1">
      <c r="A469" s="1319"/>
      <c r="B469" s="1324"/>
      <c r="C469" s="1320"/>
      <c r="D469" s="1321"/>
      <c r="E469" s="1320" t="s">
        <v>186</v>
      </c>
      <c r="F469" s="1320"/>
      <c r="G469" s="1322"/>
      <c r="H469" s="165" t="s">
        <v>12</v>
      </c>
      <c r="I469" s="886"/>
      <c r="J469" s="886"/>
      <c r="K469" s="887"/>
      <c r="L469" s="887">
        <f t="shared" ca="1" si="208"/>
        <v>111463</v>
      </c>
      <c r="M469" s="887">
        <f t="shared" ca="1" si="208"/>
        <v>111463</v>
      </c>
      <c r="N469" s="887">
        <f t="shared" si="208"/>
        <v>49070</v>
      </c>
      <c r="O469" s="887">
        <f t="shared" ca="1" si="206"/>
        <v>44.023577330594009</v>
      </c>
      <c r="P469" s="887">
        <f t="shared" ca="1" si="207"/>
        <v>44.023577330594009</v>
      </c>
      <c r="Q469" s="1323"/>
      <c r="R469" s="1323"/>
      <c r="S469" s="1323"/>
      <c r="T469" s="1323"/>
      <c r="U469" s="1323"/>
      <c r="V469" s="1323"/>
      <c r="W469" s="1323"/>
      <c r="X469" s="1323"/>
      <c r="Y469" s="1323"/>
      <c r="Z469" s="1323"/>
    </row>
    <row r="470" spans="1:26" ht="18.75">
      <c r="A470" s="1317"/>
      <c r="B470" s="1300"/>
      <c r="C470" s="1301"/>
      <c r="D470" s="1325" t="s">
        <v>20</v>
      </c>
      <c r="E470" s="1301"/>
      <c r="F470" s="1301"/>
      <c r="G470" s="1016"/>
      <c r="H470" s="161" t="s">
        <v>12</v>
      </c>
      <c r="I470" s="997"/>
      <c r="J470" s="997"/>
      <c r="K470" s="998"/>
      <c r="L470" s="881">
        <f t="shared" ref="L470:N470" ca="1" si="209">L471+L472</f>
        <v>111463</v>
      </c>
      <c r="M470" s="881">
        <f t="shared" ca="1" si="209"/>
        <v>111463</v>
      </c>
      <c r="N470" s="881">
        <f t="shared" si="209"/>
        <v>49070</v>
      </c>
      <c r="O470" s="881">
        <f t="shared" ca="1" si="206"/>
        <v>44.023577330594009</v>
      </c>
      <c r="P470" s="881">
        <f t="shared" ca="1" si="207"/>
        <v>44.023577330594009</v>
      </c>
      <c r="Q470" s="1302"/>
      <c r="R470" s="1302"/>
      <c r="S470" s="1302"/>
      <c r="T470" s="1302"/>
      <c r="U470" s="1302"/>
      <c r="V470" s="1302"/>
      <c r="W470" s="1302"/>
      <c r="X470" s="1302"/>
      <c r="Y470" s="1302"/>
      <c r="Z470" s="1302"/>
    </row>
    <row r="471" spans="1:26" ht="18.75" hidden="1">
      <c r="A471" s="1319"/>
      <c r="B471" s="1324"/>
      <c r="C471" s="1320"/>
      <c r="D471" s="1321"/>
      <c r="E471" s="1320" t="s">
        <v>185</v>
      </c>
      <c r="F471" s="1320"/>
      <c r="G471" s="1322"/>
      <c r="H471" s="165" t="s">
        <v>12</v>
      </c>
      <c r="I471" s="886"/>
      <c r="J471" s="886"/>
      <c r="K471" s="887"/>
      <c r="L471" s="887">
        <v>0</v>
      </c>
      <c r="M471" s="887">
        <v>0</v>
      </c>
      <c r="N471" s="887">
        <v>0</v>
      </c>
      <c r="O471" s="887">
        <f t="shared" si="206"/>
        <v>0</v>
      </c>
      <c r="P471" s="887">
        <f t="shared" si="207"/>
        <v>0</v>
      </c>
      <c r="Q471" s="1323"/>
      <c r="R471" s="1323"/>
      <c r="S471" s="1323"/>
      <c r="T471" s="1323"/>
      <c r="U471" s="1323"/>
      <c r="V471" s="1323"/>
      <c r="W471" s="1323"/>
      <c r="X471" s="1323"/>
      <c r="Y471" s="1323"/>
      <c r="Z471" s="1323"/>
    </row>
    <row r="472" spans="1:26" ht="18.75" hidden="1">
      <c r="A472" s="1319"/>
      <c r="B472" s="1324"/>
      <c r="C472" s="1320"/>
      <c r="D472" s="1321"/>
      <c r="E472" s="1320" t="s">
        <v>186</v>
      </c>
      <c r="F472" s="1320"/>
      <c r="G472" s="1322"/>
      <c r="H472" s="165" t="s">
        <v>12</v>
      </c>
      <c r="I472" s="886"/>
      <c r="J472" s="886"/>
      <c r="K472" s="887"/>
      <c r="L472" s="887">
        <f ca="1">IFERROR(__xludf.DUMMYFUNCTION("IMPORTRANGE(""https://docs.google.com/spreadsheets/d/1QqKyyYR6Q21VydFLVH3TRQUabQu_ym0Zz7PgGX0-kHA/edit?usp=sharing"",""แผน!FS83"")"),111463)</f>
        <v>111463</v>
      </c>
      <c r="M472" s="887">
        <f ca="1">L472</f>
        <v>111463</v>
      </c>
      <c r="N472" s="887">
        <f>N473+N474+N475+N476</f>
        <v>49070</v>
      </c>
      <c r="O472" s="887">
        <f t="shared" ca="1" si="206"/>
        <v>44.023577330594009</v>
      </c>
      <c r="P472" s="887">
        <f t="shared" ca="1" si="207"/>
        <v>44.023577330594009</v>
      </c>
      <c r="Q472" s="1323"/>
      <c r="R472" s="1323"/>
      <c r="S472" s="1323"/>
      <c r="T472" s="1323"/>
      <c r="U472" s="1323"/>
      <c r="V472" s="1323"/>
      <c r="W472" s="1323"/>
      <c r="X472" s="1323"/>
      <c r="Y472" s="1323"/>
      <c r="Z472" s="1323"/>
    </row>
    <row r="473" spans="1:26" ht="18.75">
      <c r="A473" s="1299"/>
      <c r="B473" s="1300"/>
      <c r="C473" s="1301"/>
      <c r="D473" s="1301"/>
      <c r="E473" s="1301"/>
      <c r="F473" s="1301" t="s">
        <v>187</v>
      </c>
      <c r="G473" s="1016"/>
      <c r="H473" s="161" t="s">
        <v>12</v>
      </c>
      <c r="I473" s="880"/>
      <c r="J473" s="880"/>
      <c r="K473" s="881"/>
      <c r="L473" s="881"/>
      <c r="M473" s="881"/>
      <c r="N473" s="1085">
        <v>29600</v>
      </c>
      <c r="O473" s="881"/>
      <c r="P473" s="881"/>
      <c r="Q473" s="1302"/>
      <c r="R473" s="1302"/>
      <c r="S473" s="1302"/>
      <c r="T473" s="1302"/>
      <c r="U473" s="1302"/>
      <c r="V473" s="1302"/>
      <c r="W473" s="1302"/>
      <c r="X473" s="1302"/>
      <c r="Y473" s="1302"/>
      <c r="Z473" s="1302"/>
    </row>
    <row r="474" spans="1:26" ht="18.75">
      <c r="A474" s="1299"/>
      <c r="B474" s="1300"/>
      <c r="C474" s="1301"/>
      <c r="D474" s="1301"/>
      <c r="E474" s="1301"/>
      <c r="F474" s="1301" t="s">
        <v>188</v>
      </c>
      <c r="G474" s="1016"/>
      <c r="H474" s="161" t="s">
        <v>12</v>
      </c>
      <c r="I474" s="880"/>
      <c r="J474" s="880"/>
      <c r="K474" s="881"/>
      <c r="L474" s="881"/>
      <c r="M474" s="881"/>
      <c r="N474" s="1085">
        <v>0</v>
      </c>
      <c r="O474" s="881"/>
      <c r="P474" s="881"/>
      <c r="Q474" s="1302"/>
      <c r="R474" s="1302"/>
      <c r="S474" s="1302"/>
      <c r="T474" s="1302"/>
      <c r="U474" s="1302"/>
      <c r="V474" s="1302"/>
      <c r="W474" s="1302"/>
      <c r="X474" s="1302"/>
      <c r="Y474" s="1302"/>
      <c r="Z474" s="1302"/>
    </row>
    <row r="475" spans="1:26" ht="18.75">
      <c r="A475" s="1299"/>
      <c r="B475" s="1300"/>
      <c r="C475" s="1300"/>
      <c r="D475" s="1300"/>
      <c r="E475" s="1300"/>
      <c r="F475" s="1301" t="s">
        <v>189</v>
      </c>
      <c r="G475" s="1016"/>
      <c r="H475" s="161" t="s">
        <v>12</v>
      </c>
      <c r="I475" s="880"/>
      <c r="J475" s="880"/>
      <c r="K475" s="881"/>
      <c r="L475" s="881"/>
      <c r="M475" s="881"/>
      <c r="N475" s="1085">
        <v>0</v>
      </c>
      <c r="O475" s="881"/>
      <c r="P475" s="881"/>
      <c r="Q475" s="1302"/>
      <c r="R475" s="1302"/>
      <c r="S475" s="1302"/>
      <c r="T475" s="1302"/>
      <c r="U475" s="1302"/>
      <c r="V475" s="1302"/>
      <c r="W475" s="1302"/>
      <c r="X475" s="1302"/>
      <c r="Y475" s="1302"/>
      <c r="Z475" s="1302"/>
    </row>
    <row r="476" spans="1:26" ht="18.75">
      <c r="A476" s="1299"/>
      <c r="B476" s="1300"/>
      <c r="C476" s="1300"/>
      <c r="D476" s="1300"/>
      <c r="E476" s="1300"/>
      <c r="F476" s="1301" t="s">
        <v>190</v>
      </c>
      <c r="G476" s="1016"/>
      <c r="H476" s="161" t="s">
        <v>12</v>
      </c>
      <c r="I476" s="880"/>
      <c r="J476" s="880"/>
      <c r="K476" s="881"/>
      <c r="L476" s="881"/>
      <c r="M476" s="881"/>
      <c r="N476" s="1085">
        <v>19470</v>
      </c>
      <c r="O476" s="881"/>
      <c r="P476" s="881"/>
      <c r="Q476" s="1302"/>
      <c r="R476" s="1302"/>
      <c r="S476" s="1302"/>
      <c r="T476" s="1302"/>
      <c r="U476" s="1302"/>
      <c r="V476" s="1302"/>
      <c r="W476" s="1302"/>
      <c r="X476" s="1302"/>
      <c r="Y476" s="1302"/>
      <c r="Z476" s="1302"/>
    </row>
    <row r="477" spans="1:26" ht="18.75">
      <c r="A477" s="1317"/>
      <c r="B477" s="1300"/>
      <c r="C477" s="1300"/>
      <c r="D477" s="1325" t="s">
        <v>21</v>
      </c>
      <c r="E477" s="1300"/>
      <c r="F477" s="1300"/>
      <c r="G477" s="1016"/>
      <c r="H477" s="168" t="s">
        <v>12</v>
      </c>
      <c r="I477" s="997"/>
      <c r="J477" s="997"/>
      <c r="K477" s="998"/>
      <c r="L477" s="881">
        <f t="shared" ref="L477:N477" ca="1" si="210">L478+L479</f>
        <v>0</v>
      </c>
      <c r="M477" s="881">
        <f t="shared" si="210"/>
        <v>0</v>
      </c>
      <c r="N477" s="881">
        <f t="shared" si="210"/>
        <v>0</v>
      </c>
      <c r="O477" s="881">
        <f t="shared" ref="O477:O479" ca="1" si="211">IF(L477&gt;0,N477*100/L477,0)</f>
        <v>0</v>
      </c>
      <c r="P477" s="881">
        <f t="shared" ref="P477:P479" si="212">IF(M477&gt;0,N477*100/M477,0)</f>
        <v>0</v>
      </c>
      <c r="Q477" s="1302"/>
      <c r="R477" s="1302"/>
      <c r="S477" s="1302"/>
      <c r="T477" s="1302"/>
      <c r="U477" s="1302"/>
      <c r="V477" s="1302"/>
      <c r="W477" s="1302"/>
      <c r="X477" s="1302"/>
      <c r="Y477" s="1302"/>
      <c r="Z477" s="1302"/>
    </row>
    <row r="478" spans="1:26" ht="18.75" hidden="1">
      <c r="A478" s="1319"/>
      <c r="B478" s="1324"/>
      <c r="C478" s="1324"/>
      <c r="D478" s="1324"/>
      <c r="E478" s="1324" t="s">
        <v>18</v>
      </c>
      <c r="F478" s="1324"/>
      <c r="G478" s="1322"/>
      <c r="H478" s="165" t="s">
        <v>12</v>
      </c>
      <c r="I478" s="1000"/>
      <c r="J478" s="1000"/>
      <c r="K478" s="1001"/>
      <c r="L478" s="887">
        <v>0</v>
      </c>
      <c r="M478" s="887">
        <v>0</v>
      </c>
      <c r="N478" s="887">
        <v>0</v>
      </c>
      <c r="O478" s="887">
        <f t="shared" si="211"/>
        <v>0</v>
      </c>
      <c r="P478" s="887">
        <f t="shared" si="212"/>
        <v>0</v>
      </c>
      <c r="Q478" s="1323"/>
      <c r="R478" s="1323"/>
      <c r="S478" s="1323"/>
      <c r="T478" s="1323"/>
      <c r="U478" s="1323"/>
      <c r="V478" s="1323"/>
      <c r="W478" s="1323"/>
      <c r="X478" s="1323"/>
      <c r="Y478" s="1323"/>
      <c r="Z478" s="1323"/>
    </row>
    <row r="479" spans="1:26" ht="18.75" hidden="1">
      <c r="A479" s="1319"/>
      <c r="B479" s="1324"/>
      <c r="C479" s="1324"/>
      <c r="D479" s="1324"/>
      <c r="E479" s="1324" t="s">
        <v>19</v>
      </c>
      <c r="F479" s="1324"/>
      <c r="G479" s="1322"/>
      <c r="H479" s="169" t="s">
        <v>12</v>
      </c>
      <c r="I479" s="1000"/>
      <c r="J479" s="1000"/>
      <c r="K479" s="1001"/>
      <c r="L479" s="887">
        <f ca="1">IFERROR(__xludf.DUMMYFUNCTION("IMPORTRANGE(""https://docs.google.com/spreadsheets/d/1QqKyyYR6Q21VydFLVH3TRQUabQu_ym0Zz7PgGX0-kHA/edit?usp=sharing"",""แผน!FV83"")"),0)</f>
        <v>0</v>
      </c>
      <c r="M479" s="887">
        <v>0</v>
      </c>
      <c r="N479" s="887">
        <v>0</v>
      </c>
      <c r="O479" s="887">
        <f t="shared" ca="1" si="211"/>
        <v>0</v>
      </c>
      <c r="P479" s="887">
        <f t="shared" si="212"/>
        <v>0</v>
      </c>
      <c r="Q479" s="1323"/>
      <c r="R479" s="1323"/>
      <c r="S479" s="1323"/>
      <c r="T479" s="1323"/>
      <c r="U479" s="1323"/>
      <c r="V479" s="1323"/>
      <c r="W479" s="1323"/>
      <c r="X479" s="1323"/>
      <c r="Y479" s="1323"/>
      <c r="Z479" s="1323"/>
    </row>
    <row r="480" spans="1:26" ht="19.5">
      <c r="A480" s="1326"/>
      <c r="B480" s="1327"/>
      <c r="C480" s="1300" t="s">
        <v>16</v>
      </c>
      <c r="D480" s="1335" t="s">
        <v>38</v>
      </c>
      <c r="E480" s="1329"/>
      <c r="F480" s="1330"/>
      <c r="G480" s="1331"/>
      <c r="H480" s="1007"/>
      <c r="I480" s="880"/>
      <c r="J480" s="880"/>
      <c r="K480" s="881"/>
      <c r="L480" s="881"/>
      <c r="M480" s="881"/>
      <c r="N480" s="881"/>
      <c r="O480" s="881"/>
      <c r="P480" s="881"/>
      <c r="Q480" s="1302"/>
      <c r="R480" s="1302"/>
      <c r="S480" s="1302"/>
      <c r="T480" s="1302"/>
      <c r="U480" s="1302"/>
      <c r="V480" s="1302"/>
      <c r="W480" s="1302"/>
      <c r="X480" s="1302"/>
      <c r="Y480" s="1302"/>
      <c r="Z480" s="1302"/>
    </row>
    <row r="481" spans="1:26" ht="19.5">
      <c r="A481" s="1326"/>
      <c r="B481" s="1327"/>
      <c r="C481" s="1327"/>
      <c r="D481" s="1336" t="s">
        <v>207</v>
      </c>
      <c r="E481" s="1327"/>
      <c r="F481" s="1327"/>
      <c r="G481" s="1007"/>
      <c r="H481" s="1016"/>
      <c r="I481" s="880"/>
      <c r="J481" s="880"/>
      <c r="K481" s="881"/>
      <c r="L481" s="881"/>
      <c r="M481" s="881"/>
      <c r="N481" s="881"/>
      <c r="O481" s="881"/>
      <c r="P481" s="881"/>
      <c r="Q481" s="1302"/>
      <c r="R481" s="1302"/>
      <c r="S481" s="1302"/>
      <c r="T481" s="1302"/>
      <c r="U481" s="1302"/>
      <c r="V481" s="1302"/>
      <c r="W481" s="1302"/>
      <c r="X481" s="1302"/>
      <c r="Y481" s="1302"/>
      <c r="Z481" s="1302"/>
    </row>
    <row r="482" spans="1:26" ht="18.75">
      <c r="A482" s="1326"/>
      <c r="B482" s="1327"/>
      <c r="C482" s="1327"/>
      <c r="D482" s="1327"/>
      <c r="E482" s="1327" t="s">
        <v>208</v>
      </c>
      <c r="F482" s="1327"/>
      <c r="G482" s="1007"/>
      <c r="H482" s="1016"/>
      <c r="I482" s="880"/>
      <c r="J482" s="880"/>
      <c r="K482" s="881"/>
      <c r="L482" s="881"/>
      <c r="M482" s="881"/>
      <c r="N482" s="881"/>
      <c r="O482" s="881"/>
      <c r="P482" s="881"/>
      <c r="Q482" s="1302"/>
      <c r="R482" s="1302"/>
      <c r="S482" s="1302"/>
      <c r="T482" s="1302"/>
      <c r="U482" s="1302"/>
      <c r="V482" s="1302"/>
      <c r="W482" s="1302"/>
      <c r="X482" s="1302"/>
      <c r="Y482" s="1302"/>
      <c r="Z482" s="1302"/>
    </row>
    <row r="483" spans="1:26" ht="18.75">
      <c r="A483" s="1326"/>
      <c r="B483" s="1327"/>
      <c r="C483" s="1327"/>
      <c r="D483" s="1327"/>
      <c r="E483" s="1327"/>
      <c r="F483" s="1327" t="s">
        <v>209</v>
      </c>
      <c r="G483" s="1007"/>
      <c r="H483" s="622" t="s">
        <v>46</v>
      </c>
      <c r="I483" s="880">
        <f ca="1">IFERROR(__xludf.DUMMYFUNCTION("IMPORTRANGE(""https://docs.google.com/spreadsheets/d/1QqKyyYR6Q21VydFLVH3TRQUabQu_ym0Zz7PgGX0-kHA/edit?usp=sharing"",""แผน!FY83"")"),90)</f>
        <v>90</v>
      </c>
      <c r="J483" s="1012">
        <v>90</v>
      </c>
      <c r="K483" s="881">
        <f ca="1">IF(I483&gt;0,J483*100/I483,0)</f>
        <v>100</v>
      </c>
      <c r="L483" s="881"/>
      <c r="M483" s="881"/>
      <c r="N483" s="881"/>
      <c r="O483" s="881"/>
      <c r="P483" s="881"/>
      <c r="Q483" s="1302"/>
      <c r="R483" s="1302"/>
      <c r="S483" s="1302"/>
      <c r="T483" s="1302"/>
      <c r="U483" s="1302"/>
      <c r="V483" s="1302"/>
      <c r="W483" s="1302"/>
      <c r="X483" s="1302"/>
      <c r="Y483" s="1302"/>
      <c r="Z483" s="1302"/>
    </row>
    <row r="484" spans="1:26" ht="18.75">
      <c r="A484" s="1326"/>
      <c r="B484" s="1327"/>
      <c r="C484" s="1327"/>
      <c r="D484" s="1327"/>
      <c r="E484" s="1327"/>
      <c r="F484" s="1327" t="s">
        <v>210</v>
      </c>
      <c r="G484" s="1007"/>
      <c r="H484" s="622" t="s">
        <v>35</v>
      </c>
      <c r="I484" s="880"/>
      <c r="J484" s="1012">
        <v>9</v>
      </c>
      <c r="K484" s="881"/>
      <c r="L484" s="881"/>
      <c r="M484" s="881"/>
      <c r="N484" s="881"/>
      <c r="O484" s="881"/>
      <c r="P484" s="881"/>
      <c r="Q484" s="1302"/>
      <c r="R484" s="1302"/>
      <c r="S484" s="1302"/>
      <c r="T484" s="1302"/>
      <c r="U484" s="1302"/>
      <c r="V484" s="1302"/>
      <c r="W484" s="1302"/>
      <c r="X484" s="1302"/>
      <c r="Y484" s="1302"/>
      <c r="Z484" s="1302"/>
    </row>
    <row r="485" spans="1:26" ht="18.75">
      <c r="A485" s="1326"/>
      <c r="B485" s="1327"/>
      <c r="C485" s="1327"/>
      <c r="D485" s="1327"/>
      <c r="E485" s="1327"/>
      <c r="F485" s="1327" t="s">
        <v>211</v>
      </c>
      <c r="G485" s="1007"/>
      <c r="H485" s="622" t="s">
        <v>35</v>
      </c>
      <c r="I485" s="880">
        <f ca="1">IFERROR(__xludf.DUMMYFUNCTION("IMPORTRANGE(""https://docs.google.com/spreadsheets/d/1QqKyyYR6Q21VydFLVH3TRQUabQu_ym0Zz7PgGX0-kHA/edit?usp=sharing"",""แผน!FZ83"")"),9)</f>
        <v>9</v>
      </c>
      <c r="J485" s="1012">
        <v>9</v>
      </c>
      <c r="K485" s="881">
        <f ca="1">IF(I485&gt;0,J485*100/I485,0)</f>
        <v>100</v>
      </c>
      <c r="L485" s="881"/>
      <c r="M485" s="881"/>
      <c r="N485" s="881"/>
      <c r="O485" s="881"/>
      <c r="P485" s="881"/>
      <c r="Q485" s="1302"/>
      <c r="R485" s="1302"/>
      <c r="S485" s="1302"/>
      <c r="T485" s="1302"/>
      <c r="U485" s="1302"/>
      <c r="V485" s="1302"/>
      <c r="W485" s="1302"/>
      <c r="X485" s="1302"/>
      <c r="Y485" s="1302"/>
      <c r="Z485" s="1302"/>
    </row>
    <row r="486" spans="1:26" ht="18.75">
      <c r="A486" s="1326"/>
      <c r="B486" s="1327"/>
      <c r="C486" s="1327"/>
      <c r="D486" s="1327"/>
      <c r="E486" s="1327" t="s">
        <v>62</v>
      </c>
      <c r="F486" s="1327"/>
      <c r="G486" s="1007"/>
      <c r="H486" s="622"/>
      <c r="I486" s="880"/>
      <c r="J486" s="880"/>
      <c r="K486" s="881"/>
      <c r="L486" s="881"/>
      <c r="M486" s="881"/>
      <c r="N486" s="881"/>
      <c r="O486" s="881"/>
      <c r="P486" s="881"/>
      <c r="Q486" s="1302"/>
      <c r="R486" s="1302"/>
      <c r="S486" s="1302"/>
      <c r="T486" s="1302"/>
      <c r="U486" s="1302"/>
      <c r="V486" s="1302"/>
      <c r="W486" s="1302"/>
      <c r="X486" s="1302"/>
      <c r="Y486" s="1302"/>
      <c r="Z486" s="1302"/>
    </row>
    <row r="487" spans="1:26" ht="18.75">
      <c r="A487" s="1326"/>
      <c r="B487" s="1327"/>
      <c r="C487" s="1327"/>
      <c r="D487" s="1327"/>
      <c r="E487" s="1327"/>
      <c r="F487" s="1327" t="s">
        <v>209</v>
      </c>
      <c r="G487" s="1007"/>
      <c r="H487" s="622" t="s">
        <v>46</v>
      </c>
      <c r="I487" s="880">
        <f ca="1">IFERROR(__xludf.DUMMYFUNCTION("IMPORTRANGE(""https://docs.google.com/spreadsheets/d/1QqKyyYR6Q21VydFLVH3TRQUabQu_ym0Zz7PgGX0-kHA/edit?usp=sharing"",""แผน!GA83"")"),10)</f>
        <v>10</v>
      </c>
      <c r="J487" s="1012">
        <v>10</v>
      </c>
      <c r="K487" s="881">
        <f ca="1">IF(I487&gt;0,J487*100/I487,0)</f>
        <v>100</v>
      </c>
      <c r="L487" s="881"/>
      <c r="M487" s="881"/>
      <c r="N487" s="881"/>
      <c r="O487" s="881"/>
      <c r="P487" s="881"/>
      <c r="Q487" s="1302"/>
      <c r="R487" s="1302"/>
      <c r="S487" s="1302"/>
      <c r="T487" s="1302"/>
      <c r="U487" s="1302"/>
      <c r="V487" s="1302"/>
      <c r="W487" s="1302"/>
      <c r="X487" s="1302"/>
      <c r="Y487" s="1302"/>
      <c r="Z487" s="1302"/>
    </row>
    <row r="488" spans="1:26" ht="18.75">
      <c r="A488" s="1326"/>
      <c r="B488" s="1327"/>
      <c r="C488" s="1327"/>
      <c r="D488" s="1327"/>
      <c r="E488" s="1327"/>
      <c r="F488" s="1327" t="s">
        <v>212</v>
      </c>
      <c r="G488" s="1007"/>
      <c r="H488" s="622" t="s">
        <v>35</v>
      </c>
      <c r="I488" s="880"/>
      <c r="J488" s="1012">
        <v>1</v>
      </c>
      <c r="K488" s="881"/>
      <c r="L488" s="881"/>
      <c r="M488" s="881"/>
      <c r="N488" s="881"/>
      <c r="O488" s="881"/>
      <c r="P488" s="881"/>
      <c r="Q488" s="1302"/>
      <c r="R488" s="1302"/>
      <c r="S488" s="1302"/>
      <c r="T488" s="1302"/>
      <c r="U488" s="1302"/>
      <c r="V488" s="1302"/>
      <c r="W488" s="1302"/>
      <c r="X488" s="1302"/>
      <c r="Y488" s="1302"/>
      <c r="Z488" s="1302"/>
    </row>
    <row r="489" spans="1:26" ht="18.75">
      <c r="A489" s="1326"/>
      <c r="B489" s="1327"/>
      <c r="C489" s="1327"/>
      <c r="D489" s="1327"/>
      <c r="E489" s="1327"/>
      <c r="F489" s="1327" t="s">
        <v>213</v>
      </c>
      <c r="G489" s="1007"/>
      <c r="H489" s="622" t="s">
        <v>35</v>
      </c>
      <c r="I489" s="880">
        <f ca="1">IFERROR(__xludf.DUMMYFUNCTION("IMPORTRANGE(""https://docs.google.com/spreadsheets/d/1QqKyyYR6Q21VydFLVH3TRQUabQu_ym0Zz7PgGX0-kHA/edit?usp=sharing"",""แผน!GB83"")"),1)</f>
        <v>1</v>
      </c>
      <c r="J489" s="1012">
        <v>1</v>
      </c>
      <c r="K489" s="881">
        <f ca="1">IF(I489&gt;0,J489*100/I489,0)</f>
        <v>100</v>
      </c>
      <c r="L489" s="881"/>
      <c r="M489" s="881"/>
      <c r="N489" s="881"/>
      <c r="O489" s="881"/>
      <c r="P489" s="881"/>
      <c r="Q489" s="1302"/>
      <c r="R489" s="1302"/>
      <c r="S489" s="1302"/>
      <c r="T489" s="1302"/>
      <c r="U489" s="1302"/>
      <c r="V489" s="1302"/>
      <c r="W489" s="1302"/>
      <c r="X489" s="1302"/>
      <c r="Y489" s="1302"/>
      <c r="Z489" s="1302"/>
    </row>
    <row r="490" spans="1:26" ht="18.75">
      <c r="A490" s="1326"/>
      <c r="B490" s="1327"/>
      <c r="C490" s="1327"/>
      <c r="D490" s="1327"/>
      <c r="E490" s="1327" t="s">
        <v>63</v>
      </c>
      <c r="F490" s="1014"/>
      <c r="G490" s="1007"/>
      <c r="H490" s="622"/>
      <c r="I490" s="880"/>
      <c r="J490" s="880"/>
      <c r="K490" s="881"/>
      <c r="L490" s="881"/>
      <c r="M490" s="881"/>
      <c r="N490" s="881"/>
      <c r="O490" s="881"/>
      <c r="P490" s="881"/>
      <c r="Q490" s="1302"/>
      <c r="R490" s="1302"/>
      <c r="S490" s="1302"/>
      <c r="T490" s="1302"/>
      <c r="U490" s="1302"/>
      <c r="V490" s="1302"/>
      <c r="W490" s="1302"/>
      <c r="X490" s="1302"/>
      <c r="Y490" s="1302"/>
      <c r="Z490" s="1302"/>
    </row>
    <row r="491" spans="1:26" ht="18.75">
      <c r="A491" s="1326"/>
      <c r="B491" s="1327"/>
      <c r="C491" s="1327"/>
      <c r="D491" s="1327"/>
      <c r="E491" s="1327"/>
      <c r="F491" s="1327" t="s">
        <v>214</v>
      </c>
      <c r="G491" s="1007"/>
      <c r="H491" s="622" t="s">
        <v>35</v>
      </c>
      <c r="I491" s="880"/>
      <c r="J491" s="1012">
        <v>1</v>
      </c>
      <c r="K491" s="881"/>
      <c r="L491" s="881"/>
      <c r="M491" s="881"/>
      <c r="N491" s="881"/>
      <c r="O491" s="881"/>
      <c r="P491" s="881"/>
      <c r="Q491" s="1302"/>
      <c r="R491" s="1302"/>
      <c r="S491" s="1302"/>
      <c r="T491" s="1302"/>
      <c r="U491" s="1302"/>
      <c r="V491" s="1302"/>
      <c r="W491" s="1302"/>
      <c r="X491" s="1302"/>
      <c r="Y491" s="1302"/>
      <c r="Z491" s="1302"/>
    </row>
    <row r="492" spans="1:26" ht="18.75">
      <c r="A492" s="1326"/>
      <c r="B492" s="1327"/>
      <c r="C492" s="1327"/>
      <c r="D492" s="1327"/>
      <c r="E492" s="1327"/>
      <c r="F492" s="1327" t="s">
        <v>215</v>
      </c>
      <c r="G492" s="1007"/>
      <c r="H492" s="622" t="s">
        <v>35</v>
      </c>
      <c r="I492" s="880">
        <f ca="1">IFERROR(__xludf.DUMMYFUNCTION("IMPORTRANGE(""https://docs.google.com/spreadsheets/d/1QqKyyYR6Q21VydFLVH3TRQUabQu_ym0Zz7PgGX0-kHA/edit?usp=sharing"",""แผน!GC83"")"),1)</f>
        <v>1</v>
      </c>
      <c r="J492" s="1012">
        <v>1</v>
      </c>
      <c r="K492" s="881">
        <f ca="1">IF(I492&gt;0,J492*100/I492,0)</f>
        <v>100</v>
      </c>
      <c r="L492" s="881"/>
      <c r="M492" s="881"/>
      <c r="N492" s="881"/>
      <c r="O492" s="881"/>
      <c r="P492" s="881"/>
      <c r="Q492" s="1302"/>
      <c r="R492" s="1302"/>
      <c r="S492" s="1302"/>
      <c r="T492" s="1302"/>
      <c r="U492" s="1302"/>
      <c r="V492" s="1302"/>
      <c r="W492" s="1302"/>
      <c r="X492" s="1302"/>
      <c r="Y492" s="1302"/>
      <c r="Z492" s="1302"/>
    </row>
    <row r="493" spans="1:26" ht="19.5">
      <c r="A493" s="1326"/>
      <c r="B493" s="1327"/>
      <c r="C493" s="1327"/>
      <c r="D493" s="1336" t="s">
        <v>59</v>
      </c>
      <c r="E493" s="1327"/>
      <c r="F493" s="1014"/>
      <c r="G493" s="1007"/>
      <c r="H493" s="1016"/>
      <c r="I493" s="880"/>
      <c r="J493" s="880"/>
      <c r="K493" s="881"/>
      <c r="L493" s="881"/>
      <c r="M493" s="881"/>
      <c r="N493" s="881"/>
      <c r="O493" s="881"/>
      <c r="P493" s="881"/>
      <c r="Q493" s="1302"/>
      <c r="R493" s="1302"/>
      <c r="S493" s="1302"/>
      <c r="T493" s="1302"/>
      <c r="U493" s="1302"/>
      <c r="V493" s="1302"/>
      <c r="W493" s="1302"/>
      <c r="X493" s="1302"/>
      <c r="Y493" s="1302"/>
      <c r="Z493" s="1302"/>
    </row>
    <row r="494" spans="1:26" ht="18.75">
      <c r="A494" s="1326"/>
      <c r="B494" s="1327"/>
      <c r="C494" s="1327"/>
      <c r="D494" s="1327"/>
      <c r="E494" s="1327" t="s">
        <v>208</v>
      </c>
      <c r="F494" s="1014"/>
      <c r="G494" s="1007"/>
      <c r="H494" s="1016"/>
      <c r="I494" s="880"/>
      <c r="J494" s="880"/>
      <c r="K494" s="881"/>
      <c r="L494" s="881"/>
      <c r="M494" s="881"/>
      <c r="N494" s="881"/>
      <c r="O494" s="881"/>
      <c r="P494" s="881"/>
      <c r="Q494" s="1302"/>
      <c r="R494" s="1302"/>
      <c r="S494" s="1302"/>
      <c r="T494" s="1302"/>
      <c r="U494" s="1302"/>
      <c r="V494" s="1302"/>
      <c r="W494" s="1302"/>
      <c r="X494" s="1302"/>
      <c r="Y494" s="1302"/>
      <c r="Z494" s="1302"/>
    </row>
    <row r="495" spans="1:26" ht="18.75">
      <c r="A495" s="1326"/>
      <c r="B495" s="1327"/>
      <c r="C495" s="1327"/>
      <c r="D495" s="1327"/>
      <c r="E495" s="1327"/>
      <c r="F495" s="1014" t="s">
        <v>216</v>
      </c>
      <c r="G495" s="1007"/>
      <c r="H495" s="622" t="s">
        <v>46</v>
      </c>
      <c r="I495" s="880">
        <f ca="1">IFERROR(__xludf.DUMMYFUNCTION("IMPORTRANGE(""https://docs.google.com/spreadsheets/d/1QqKyyYR6Q21VydFLVH3TRQUabQu_ym0Zz7PgGX0-kHA/edit?usp=sharing"",""แผน!FY83"")"),90)</f>
        <v>90</v>
      </c>
      <c r="J495" s="1012">
        <v>0</v>
      </c>
      <c r="K495" s="881">
        <f ca="1">IF(I495&gt;0,J495*100/I495,0)</f>
        <v>0</v>
      </c>
      <c r="L495" s="881"/>
      <c r="M495" s="881"/>
      <c r="N495" s="881"/>
      <c r="O495" s="881"/>
      <c r="P495" s="881"/>
      <c r="Q495" s="1302"/>
      <c r="R495" s="1302"/>
      <c r="S495" s="1302"/>
      <c r="T495" s="1302"/>
      <c r="U495" s="1302"/>
      <c r="V495" s="1302"/>
      <c r="W495" s="1302"/>
      <c r="X495" s="1302"/>
      <c r="Y495" s="1302"/>
      <c r="Z495" s="1302"/>
    </row>
    <row r="496" spans="1:26" ht="18.75">
      <c r="A496" s="1326"/>
      <c r="B496" s="1327"/>
      <c r="C496" s="1327"/>
      <c r="D496" s="1327"/>
      <c r="E496" s="1327"/>
      <c r="F496" s="1014" t="s">
        <v>217</v>
      </c>
      <c r="G496" s="1007"/>
      <c r="H496" s="622" t="s">
        <v>46</v>
      </c>
      <c r="I496" s="880"/>
      <c r="J496" s="1012">
        <v>0</v>
      </c>
      <c r="K496" s="881"/>
      <c r="L496" s="881"/>
      <c r="M496" s="881"/>
      <c r="N496" s="881"/>
      <c r="O496" s="881"/>
      <c r="P496" s="881"/>
      <c r="Q496" s="1302"/>
      <c r="R496" s="1302"/>
      <c r="S496" s="1302"/>
      <c r="T496" s="1302"/>
      <c r="U496" s="1302"/>
      <c r="V496" s="1302"/>
      <c r="W496" s="1302"/>
      <c r="X496" s="1302"/>
      <c r="Y496" s="1302"/>
      <c r="Z496" s="1302"/>
    </row>
    <row r="497" spans="1:26" ht="18.75">
      <c r="A497" s="1326"/>
      <c r="B497" s="1327"/>
      <c r="C497" s="1327"/>
      <c r="D497" s="1327"/>
      <c r="E497" s="1327" t="s">
        <v>62</v>
      </c>
      <c r="F497" s="1014"/>
      <c r="G497" s="1007"/>
      <c r="H497" s="1016"/>
      <c r="I497" s="880"/>
      <c r="J497" s="880"/>
      <c r="K497" s="881"/>
      <c r="L497" s="881"/>
      <c r="M497" s="881"/>
      <c r="N497" s="881"/>
      <c r="O497" s="881"/>
      <c r="P497" s="881"/>
      <c r="Q497" s="1302"/>
      <c r="R497" s="1302"/>
      <c r="S497" s="1302"/>
      <c r="T497" s="1302"/>
      <c r="U497" s="1302"/>
      <c r="V497" s="1302"/>
      <c r="W497" s="1302"/>
      <c r="X497" s="1302"/>
      <c r="Y497" s="1302"/>
      <c r="Z497" s="1302"/>
    </row>
    <row r="498" spans="1:26" ht="18.75">
      <c r="A498" s="1326"/>
      <c r="B498" s="1327"/>
      <c r="C498" s="1327"/>
      <c r="D498" s="1327"/>
      <c r="E498" s="1014"/>
      <c r="F498" s="1014" t="s">
        <v>218</v>
      </c>
      <c r="G498" s="1007"/>
      <c r="H498" s="622" t="s">
        <v>46</v>
      </c>
      <c r="I498" s="880">
        <f ca="1">IFERROR(__xludf.DUMMYFUNCTION("IMPORTRANGE(""https://docs.google.com/spreadsheets/d/1QqKyyYR6Q21VydFLVH3TRQUabQu_ym0Zz7PgGX0-kHA/edit?usp=sharing"",""แผน!GA83"")"),10)</f>
        <v>10</v>
      </c>
      <c r="J498" s="1012">
        <v>0</v>
      </c>
      <c r="K498" s="881">
        <f ca="1">IF(I498&gt;0,J498*100/I498,0)</f>
        <v>0</v>
      </c>
      <c r="L498" s="881"/>
      <c r="M498" s="881"/>
      <c r="N498" s="881"/>
      <c r="O498" s="881"/>
      <c r="P498" s="881"/>
      <c r="Q498" s="1302"/>
      <c r="R498" s="1302"/>
      <c r="S498" s="1302"/>
      <c r="T498" s="1302"/>
      <c r="U498" s="1302"/>
      <c r="V498" s="1302"/>
      <c r="W498" s="1302"/>
      <c r="X498" s="1302"/>
      <c r="Y498" s="1302"/>
      <c r="Z498" s="1302"/>
    </row>
    <row r="499" spans="1:26" ht="18.75">
      <c r="A499" s="1326"/>
      <c r="B499" s="1327"/>
      <c r="C499" s="1327"/>
      <c r="D499" s="1327"/>
      <c r="E499" s="1014"/>
      <c r="F499" s="1014" t="s">
        <v>219</v>
      </c>
      <c r="G499" s="1007"/>
      <c r="H499" s="622" t="s">
        <v>46</v>
      </c>
      <c r="I499" s="880"/>
      <c r="J499" s="1012">
        <v>0</v>
      </c>
      <c r="K499" s="881"/>
      <c r="L499" s="881"/>
      <c r="M499" s="881"/>
      <c r="N499" s="881"/>
      <c r="O499" s="881"/>
      <c r="P499" s="881"/>
      <c r="Q499" s="1302"/>
      <c r="R499" s="1302"/>
      <c r="S499" s="1302"/>
      <c r="T499" s="1302"/>
      <c r="U499" s="1302"/>
      <c r="V499" s="1302"/>
      <c r="W499" s="1302"/>
      <c r="X499" s="1302"/>
      <c r="Y499" s="1302"/>
      <c r="Z499" s="1302"/>
    </row>
    <row r="500" spans="1:26" ht="19.5" hidden="1">
      <c r="A500" s="626">
        <v>4</v>
      </c>
      <c r="B500" s="1337" t="s">
        <v>220</v>
      </c>
      <c r="C500" s="1338"/>
      <c r="D500" s="1339"/>
      <c r="E500" s="1339"/>
      <c r="F500" s="1339"/>
      <c r="G500" s="1340"/>
      <c r="H500" s="631" t="s">
        <v>109</v>
      </c>
      <c r="I500" s="1341"/>
      <c r="J500" s="1341">
        <f t="shared" ref="J500:J501" si="213">J516</f>
        <v>0</v>
      </c>
      <c r="K500" s="1342">
        <f t="shared" ref="K500:K501" si="214">IF(I500&gt;0,J500*100/I500,0)</f>
        <v>0</v>
      </c>
      <c r="L500" s="1343"/>
      <c r="M500" s="1343"/>
      <c r="N500" s="1343"/>
      <c r="O500" s="1343"/>
      <c r="P500" s="1343"/>
      <c r="Q500" s="1323"/>
      <c r="R500" s="1323"/>
      <c r="S500" s="1323"/>
      <c r="T500" s="1323"/>
      <c r="U500" s="1323"/>
      <c r="V500" s="1323"/>
      <c r="W500" s="1323"/>
      <c r="X500" s="1323"/>
      <c r="Y500" s="1323"/>
      <c r="Z500" s="1323"/>
    </row>
    <row r="501" spans="1:26" ht="19.5" hidden="1">
      <c r="A501" s="1344"/>
      <c r="B501" s="1345" t="s">
        <v>221</v>
      </c>
      <c r="C501" s="1345"/>
      <c r="D501" s="1346"/>
      <c r="E501" s="1346"/>
      <c r="F501" s="1346"/>
      <c r="G501" s="1347"/>
      <c r="H501" s="640" t="s">
        <v>35</v>
      </c>
      <c r="I501" s="1348"/>
      <c r="J501" s="1348">
        <f t="shared" si="213"/>
        <v>0</v>
      </c>
      <c r="K501" s="1349">
        <f t="shared" si="214"/>
        <v>0</v>
      </c>
      <c r="L501" s="1350"/>
      <c r="M501" s="1350"/>
      <c r="N501" s="1350"/>
      <c r="O501" s="1350"/>
      <c r="P501" s="1350"/>
      <c r="Q501" s="1323"/>
      <c r="R501" s="1323"/>
      <c r="S501" s="1323"/>
      <c r="T501" s="1323"/>
      <c r="U501" s="1323"/>
      <c r="V501" s="1323"/>
      <c r="W501" s="1323"/>
      <c r="X501" s="1323"/>
      <c r="Y501" s="1323"/>
      <c r="Z501" s="1323"/>
    </row>
    <row r="502" spans="1:26" ht="19.5" hidden="1">
      <c r="A502" s="1319"/>
      <c r="B502" s="1320"/>
      <c r="C502" s="1320" t="s">
        <v>16</v>
      </c>
      <c r="D502" s="1351" t="s">
        <v>17</v>
      </c>
      <c r="E502" s="841"/>
      <c r="F502" s="841"/>
      <c r="G502" s="1322"/>
      <c r="H502" s="644" t="s">
        <v>12</v>
      </c>
      <c r="I502" s="886"/>
      <c r="J502" s="886"/>
      <c r="K502" s="887"/>
      <c r="L502" s="1352">
        <f t="shared" ref="L502:N502" si="215">L503+L504</f>
        <v>0</v>
      </c>
      <c r="M502" s="1352">
        <f t="shared" si="215"/>
        <v>0</v>
      </c>
      <c r="N502" s="1352">
        <f t="shared" si="215"/>
        <v>0</v>
      </c>
      <c r="O502" s="1352">
        <f t="shared" ref="O502:O507" si="216">IF(L502&gt;0,N502*100/L502,0)</f>
        <v>0</v>
      </c>
      <c r="P502" s="1352">
        <f t="shared" ref="P502:P507" si="217">IF(M502&gt;0,N502*100/M502,0)</f>
        <v>0</v>
      </c>
      <c r="Q502" s="1323"/>
      <c r="R502" s="1323"/>
      <c r="S502" s="1323"/>
      <c r="T502" s="1323"/>
      <c r="U502" s="1323"/>
      <c r="V502" s="1323"/>
      <c r="W502" s="1323"/>
      <c r="X502" s="1323"/>
      <c r="Y502" s="1323"/>
      <c r="Z502" s="1323"/>
    </row>
    <row r="503" spans="1:26" ht="18.75" hidden="1">
      <c r="A503" s="1319"/>
      <c r="B503" s="1320"/>
      <c r="C503" s="1320"/>
      <c r="D503" s="1321"/>
      <c r="E503" s="1320" t="s">
        <v>185</v>
      </c>
      <c r="F503" s="1320"/>
      <c r="G503" s="1322"/>
      <c r="H503" s="165" t="s">
        <v>12</v>
      </c>
      <c r="I503" s="886"/>
      <c r="J503" s="886"/>
      <c r="K503" s="887"/>
      <c r="L503" s="887">
        <f t="shared" ref="L503:N504" si="218">L506+L513</f>
        <v>0</v>
      </c>
      <c r="M503" s="887">
        <f t="shared" si="218"/>
        <v>0</v>
      </c>
      <c r="N503" s="887">
        <f t="shared" si="218"/>
        <v>0</v>
      </c>
      <c r="O503" s="887">
        <f t="shared" si="216"/>
        <v>0</v>
      </c>
      <c r="P503" s="887">
        <f t="shared" si="217"/>
        <v>0</v>
      </c>
      <c r="Q503" s="1323"/>
      <c r="R503" s="1323"/>
      <c r="S503" s="1323"/>
      <c r="T503" s="1323"/>
      <c r="U503" s="1323"/>
      <c r="V503" s="1323"/>
      <c r="W503" s="1323"/>
      <c r="X503" s="1323"/>
      <c r="Y503" s="1323"/>
      <c r="Z503" s="1323"/>
    </row>
    <row r="504" spans="1:26" ht="18.75" hidden="1">
      <c r="A504" s="1319"/>
      <c r="B504" s="1324"/>
      <c r="C504" s="1320"/>
      <c r="D504" s="1321"/>
      <c r="E504" s="1320" t="s">
        <v>186</v>
      </c>
      <c r="F504" s="1320"/>
      <c r="G504" s="1322"/>
      <c r="H504" s="165" t="s">
        <v>12</v>
      </c>
      <c r="I504" s="886"/>
      <c r="J504" s="886"/>
      <c r="K504" s="887"/>
      <c r="L504" s="887">
        <f t="shared" si="218"/>
        <v>0</v>
      </c>
      <c r="M504" s="887">
        <f t="shared" si="218"/>
        <v>0</v>
      </c>
      <c r="N504" s="887">
        <f t="shared" si="218"/>
        <v>0</v>
      </c>
      <c r="O504" s="887">
        <f t="shared" si="216"/>
        <v>0</v>
      </c>
      <c r="P504" s="887">
        <f t="shared" si="217"/>
        <v>0</v>
      </c>
      <c r="Q504" s="1323"/>
      <c r="R504" s="1323"/>
      <c r="S504" s="1323"/>
      <c r="T504" s="1323"/>
      <c r="U504" s="1323"/>
      <c r="V504" s="1323"/>
      <c r="W504" s="1323"/>
      <c r="X504" s="1323"/>
      <c r="Y504" s="1323"/>
      <c r="Z504" s="1323"/>
    </row>
    <row r="505" spans="1:26" ht="18.75" hidden="1">
      <c r="A505" s="1319"/>
      <c r="B505" s="1324"/>
      <c r="C505" s="1320"/>
      <c r="D505" s="1353" t="s">
        <v>20</v>
      </c>
      <c r="E505" s="1320"/>
      <c r="F505" s="1320"/>
      <c r="G505" s="1322"/>
      <c r="H505" s="165" t="s">
        <v>12</v>
      </c>
      <c r="I505" s="1000"/>
      <c r="J505" s="1000"/>
      <c r="K505" s="1001"/>
      <c r="L505" s="887">
        <f t="shared" ref="L505:N505" si="219">L506+L507</f>
        <v>0</v>
      </c>
      <c r="M505" s="887">
        <f t="shared" si="219"/>
        <v>0</v>
      </c>
      <c r="N505" s="887">
        <f t="shared" si="219"/>
        <v>0</v>
      </c>
      <c r="O505" s="887">
        <f t="shared" si="216"/>
        <v>0</v>
      </c>
      <c r="P505" s="887">
        <f t="shared" si="217"/>
        <v>0</v>
      </c>
      <c r="Q505" s="1323"/>
      <c r="R505" s="1323"/>
      <c r="S505" s="1323"/>
      <c r="T505" s="1323"/>
      <c r="U505" s="1323"/>
      <c r="V505" s="1323"/>
      <c r="W505" s="1323"/>
      <c r="X505" s="1323"/>
      <c r="Y505" s="1323"/>
      <c r="Z505" s="1323"/>
    </row>
    <row r="506" spans="1:26" ht="18.75" hidden="1">
      <c r="A506" s="1319"/>
      <c r="B506" s="1324"/>
      <c r="C506" s="1320"/>
      <c r="D506" s="1321"/>
      <c r="E506" s="1320" t="s">
        <v>185</v>
      </c>
      <c r="F506" s="1320"/>
      <c r="G506" s="1322"/>
      <c r="H506" s="165" t="s">
        <v>12</v>
      </c>
      <c r="I506" s="886"/>
      <c r="J506" s="886"/>
      <c r="K506" s="887"/>
      <c r="L506" s="887">
        <v>0</v>
      </c>
      <c r="M506" s="887">
        <v>0</v>
      </c>
      <c r="N506" s="887">
        <v>0</v>
      </c>
      <c r="O506" s="887">
        <f t="shared" si="216"/>
        <v>0</v>
      </c>
      <c r="P506" s="887">
        <f t="shared" si="217"/>
        <v>0</v>
      </c>
      <c r="Q506" s="1323"/>
      <c r="R506" s="1323"/>
      <c r="S506" s="1323"/>
      <c r="T506" s="1323"/>
      <c r="U506" s="1323"/>
      <c r="V506" s="1323"/>
      <c r="W506" s="1323"/>
      <c r="X506" s="1323"/>
      <c r="Y506" s="1323"/>
      <c r="Z506" s="1323"/>
    </row>
    <row r="507" spans="1:26" ht="18.75" hidden="1">
      <c r="A507" s="1319"/>
      <c r="B507" s="1324"/>
      <c r="C507" s="1320"/>
      <c r="D507" s="1321"/>
      <c r="E507" s="1320" t="s">
        <v>186</v>
      </c>
      <c r="F507" s="1320"/>
      <c r="G507" s="1322"/>
      <c r="H507" s="165" t="s">
        <v>12</v>
      </c>
      <c r="I507" s="886"/>
      <c r="J507" s="886"/>
      <c r="K507" s="887"/>
      <c r="L507" s="887">
        <v>0</v>
      </c>
      <c r="M507" s="887">
        <v>0</v>
      </c>
      <c r="N507" s="887">
        <f>N508+N509+N510+N511</f>
        <v>0</v>
      </c>
      <c r="O507" s="887">
        <f t="shared" si="216"/>
        <v>0</v>
      </c>
      <c r="P507" s="887">
        <f t="shared" si="217"/>
        <v>0</v>
      </c>
      <c r="Q507" s="1323"/>
      <c r="R507" s="1323"/>
      <c r="S507" s="1323"/>
      <c r="T507" s="1323"/>
      <c r="U507" s="1323"/>
      <c r="V507" s="1323"/>
      <c r="W507" s="1323"/>
      <c r="X507" s="1323"/>
      <c r="Y507" s="1323"/>
      <c r="Z507" s="1323"/>
    </row>
    <row r="508" spans="1:26" ht="18.75" hidden="1">
      <c r="A508" s="1354"/>
      <c r="B508" s="1324"/>
      <c r="C508" s="1320"/>
      <c r="D508" s="1320"/>
      <c r="E508" s="1320"/>
      <c r="F508" s="1320" t="s">
        <v>187</v>
      </c>
      <c r="G508" s="1322"/>
      <c r="H508" s="165" t="s">
        <v>12</v>
      </c>
      <c r="I508" s="886"/>
      <c r="J508" s="886"/>
      <c r="K508" s="887"/>
      <c r="L508" s="887"/>
      <c r="M508" s="887"/>
      <c r="N508" s="887">
        <v>0</v>
      </c>
      <c r="O508" s="887"/>
      <c r="P508" s="887"/>
      <c r="Q508" s="1323"/>
      <c r="R508" s="1323"/>
      <c r="S508" s="1323"/>
      <c r="T508" s="1323"/>
      <c r="U508" s="1323"/>
      <c r="V508" s="1323"/>
      <c r="W508" s="1323"/>
      <c r="X508" s="1323"/>
      <c r="Y508" s="1323"/>
      <c r="Z508" s="1323"/>
    </row>
    <row r="509" spans="1:26" ht="18.75" hidden="1">
      <c r="A509" s="1354"/>
      <c r="B509" s="1324"/>
      <c r="C509" s="1320"/>
      <c r="D509" s="1320"/>
      <c r="E509" s="1320"/>
      <c r="F509" s="1320" t="s">
        <v>188</v>
      </c>
      <c r="G509" s="1322"/>
      <c r="H509" s="165" t="s">
        <v>12</v>
      </c>
      <c r="I509" s="886"/>
      <c r="J509" s="886"/>
      <c r="K509" s="887"/>
      <c r="L509" s="887"/>
      <c r="M509" s="887"/>
      <c r="N509" s="887">
        <v>0</v>
      </c>
      <c r="O509" s="887"/>
      <c r="P509" s="887"/>
      <c r="Q509" s="1323"/>
      <c r="R509" s="1323"/>
      <c r="S509" s="1323"/>
      <c r="T509" s="1323"/>
      <c r="U509" s="1323"/>
      <c r="V509" s="1323"/>
      <c r="W509" s="1323"/>
      <c r="X509" s="1323"/>
      <c r="Y509" s="1323"/>
      <c r="Z509" s="1323"/>
    </row>
    <row r="510" spans="1:26" ht="18.75" hidden="1">
      <c r="A510" s="1354"/>
      <c r="B510" s="1324"/>
      <c r="C510" s="1324"/>
      <c r="D510" s="1324"/>
      <c r="E510" s="1320"/>
      <c r="F510" s="1320" t="s">
        <v>189</v>
      </c>
      <c r="G510" s="1322"/>
      <c r="H510" s="165" t="s">
        <v>12</v>
      </c>
      <c r="I510" s="886"/>
      <c r="J510" s="886"/>
      <c r="K510" s="887"/>
      <c r="L510" s="887"/>
      <c r="M510" s="887"/>
      <c r="N510" s="887">
        <v>0</v>
      </c>
      <c r="O510" s="887"/>
      <c r="P510" s="887"/>
      <c r="Q510" s="1323"/>
      <c r="R510" s="1323"/>
      <c r="S510" s="1323"/>
      <c r="T510" s="1323"/>
      <c r="U510" s="1323"/>
      <c r="V510" s="1323"/>
      <c r="W510" s="1323"/>
      <c r="X510" s="1323"/>
      <c r="Y510" s="1323"/>
      <c r="Z510" s="1323"/>
    </row>
    <row r="511" spans="1:26" ht="18.75" hidden="1">
      <c r="A511" s="1354"/>
      <c r="B511" s="1324"/>
      <c r="C511" s="1324"/>
      <c r="D511" s="1324"/>
      <c r="E511" s="1320"/>
      <c r="F511" s="1320" t="s">
        <v>190</v>
      </c>
      <c r="G511" s="1322"/>
      <c r="H511" s="165" t="s">
        <v>12</v>
      </c>
      <c r="I511" s="886"/>
      <c r="J511" s="886"/>
      <c r="K511" s="887"/>
      <c r="L511" s="887"/>
      <c r="M511" s="887"/>
      <c r="N511" s="887">
        <v>0</v>
      </c>
      <c r="O511" s="887"/>
      <c r="P511" s="887"/>
      <c r="Q511" s="1323"/>
      <c r="R511" s="1323"/>
      <c r="S511" s="1323"/>
      <c r="T511" s="1323"/>
      <c r="U511" s="1323"/>
      <c r="V511" s="1323"/>
      <c r="W511" s="1323"/>
      <c r="X511" s="1323"/>
      <c r="Y511" s="1323"/>
      <c r="Z511" s="1323"/>
    </row>
    <row r="512" spans="1:26" ht="18.75" hidden="1">
      <c r="A512" s="1319"/>
      <c r="B512" s="1324"/>
      <c r="C512" s="1324"/>
      <c r="D512" s="1353" t="s">
        <v>21</v>
      </c>
      <c r="E512" s="1324"/>
      <c r="F512" s="1320"/>
      <c r="G512" s="1322"/>
      <c r="H512" s="169" t="s">
        <v>12</v>
      </c>
      <c r="I512" s="1000"/>
      <c r="J512" s="1000"/>
      <c r="K512" s="1001"/>
      <c r="L512" s="887">
        <f t="shared" ref="L512:N512" si="220">L513+L514</f>
        <v>0</v>
      </c>
      <c r="M512" s="887">
        <f t="shared" si="220"/>
        <v>0</v>
      </c>
      <c r="N512" s="887">
        <f t="shared" si="220"/>
        <v>0</v>
      </c>
      <c r="O512" s="887">
        <f t="shared" ref="O512:O514" si="221">IF(L512&gt;0,N512*100/L512,0)</f>
        <v>0</v>
      </c>
      <c r="P512" s="887">
        <f t="shared" ref="P512:P514" si="222">IF(M512&gt;0,N512*100/M512,0)</f>
        <v>0</v>
      </c>
      <c r="Q512" s="1323"/>
      <c r="R512" s="1323"/>
      <c r="S512" s="1323"/>
      <c r="T512" s="1323"/>
      <c r="U512" s="1323"/>
      <c r="V512" s="1323"/>
      <c r="W512" s="1323"/>
      <c r="X512" s="1323"/>
      <c r="Y512" s="1323"/>
      <c r="Z512" s="1323"/>
    </row>
    <row r="513" spans="1:26" ht="18.75" hidden="1">
      <c r="A513" s="1319"/>
      <c r="B513" s="1324"/>
      <c r="C513" s="1324"/>
      <c r="D513" s="1324"/>
      <c r="E513" s="1324" t="s">
        <v>18</v>
      </c>
      <c r="F513" s="1320"/>
      <c r="G513" s="1322"/>
      <c r="H513" s="165" t="s">
        <v>12</v>
      </c>
      <c r="I513" s="1000"/>
      <c r="J513" s="1000"/>
      <c r="K513" s="1001"/>
      <c r="L513" s="887">
        <v>0</v>
      </c>
      <c r="M513" s="887">
        <v>0</v>
      </c>
      <c r="N513" s="887">
        <v>0</v>
      </c>
      <c r="O513" s="887">
        <f t="shared" si="221"/>
        <v>0</v>
      </c>
      <c r="P513" s="887">
        <f t="shared" si="222"/>
        <v>0</v>
      </c>
      <c r="Q513" s="1323"/>
      <c r="R513" s="1323"/>
      <c r="S513" s="1323"/>
      <c r="T513" s="1323"/>
      <c r="U513" s="1323"/>
      <c r="V513" s="1323"/>
      <c r="W513" s="1323"/>
      <c r="X513" s="1323"/>
      <c r="Y513" s="1323"/>
      <c r="Z513" s="1323"/>
    </row>
    <row r="514" spans="1:26" ht="18.75" hidden="1">
      <c r="A514" s="1319"/>
      <c r="B514" s="1324"/>
      <c r="C514" s="1324"/>
      <c r="D514" s="1320"/>
      <c r="E514" s="1324" t="s">
        <v>19</v>
      </c>
      <c r="F514" s="1320"/>
      <c r="G514" s="1322"/>
      <c r="H514" s="169" t="s">
        <v>12</v>
      </c>
      <c r="I514" s="1000"/>
      <c r="J514" s="1000"/>
      <c r="K514" s="1001"/>
      <c r="L514" s="887">
        <v>0</v>
      </c>
      <c r="M514" s="887">
        <v>0</v>
      </c>
      <c r="N514" s="887">
        <v>0</v>
      </c>
      <c r="O514" s="887">
        <f t="shared" si="221"/>
        <v>0</v>
      </c>
      <c r="P514" s="887">
        <f t="shared" si="222"/>
        <v>0</v>
      </c>
      <c r="Q514" s="1323"/>
      <c r="R514" s="1323"/>
      <c r="S514" s="1323"/>
      <c r="T514" s="1323"/>
      <c r="U514" s="1323"/>
      <c r="V514" s="1323"/>
      <c r="W514" s="1323"/>
      <c r="X514" s="1323"/>
      <c r="Y514" s="1323"/>
      <c r="Z514" s="1323"/>
    </row>
    <row r="515" spans="1:26" ht="19.5" hidden="1">
      <c r="A515" s="1332"/>
      <c r="B515" s="1333"/>
      <c r="C515" s="1324" t="s">
        <v>16</v>
      </c>
      <c r="D515" s="1355" t="s">
        <v>38</v>
      </c>
      <c r="E515" s="1356"/>
      <c r="F515" s="1356"/>
      <c r="G515" s="1357"/>
      <c r="H515" s="1113"/>
      <c r="I515" s="1000"/>
      <c r="J515" s="1000"/>
      <c r="K515" s="1001"/>
      <c r="L515" s="1001"/>
      <c r="M515" s="1001"/>
      <c r="N515" s="1001"/>
      <c r="O515" s="1001"/>
      <c r="P515" s="1001"/>
      <c r="Q515" s="1323"/>
      <c r="R515" s="1323"/>
      <c r="S515" s="1323"/>
      <c r="T515" s="1323"/>
      <c r="U515" s="1323"/>
      <c r="V515" s="1323"/>
      <c r="W515" s="1323"/>
      <c r="X515" s="1323"/>
      <c r="Y515" s="1323"/>
      <c r="Z515" s="1323"/>
    </row>
    <row r="516" spans="1:26" ht="18.75" hidden="1">
      <c r="A516" s="1332"/>
      <c r="B516" s="1333"/>
      <c r="C516" s="1333"/>
      <c r="D516" s="1333" t="s">
        <v>222</v>
      </c>
      <c r="E516" s="1321"/>
      <c r="F516" s="1321"/>
      <c r="G516" s="1113"/>
      <c r="H516" s="651" t="s">
        <v>109</v>
      </c>
      <c r="I516" s="886"/>
      <c r="J516" s="886">
        <v>0</v>
      </c>
      <c r="K516" s="1001">
        <f t="shared" ref="K516:K517" si="223">IF(I516&gt;0,J516*100/I516,0)</f>
        <v>0</v>
      </c>
      <c r="L516" s="1001"/>
      <c r="M516" s="1001"/>
      <c r="N516" s="1001"/>
      <c r="O516" s="1001"/>
      <c r="P516" s="1001"/>
      <c r="Q516" s="1323"/>
      <c r="R516" s="1323"/>
      <c r="S516" s="1323"/>
      <c r="T516" s="1323"/>
      <c r="U516" s="1323"/>
      <c r="V516" s="1323"/>
      <c r="W516" s="1323"/>
      <c r="X516" s="1323"/>
      <c r="Y516" s="1323"/>
      <c r="Z516" s="1323"/>
    </row>
    <row r="517" spans="1:26" ht="19.5" hidden="1">
      <c r="A517" s="1332"/>
      <c r="B517" s="1333"/>
      <c r="C517" s="1333"/>
      <c r="D517" s="1333" t="s">
        <v>223</v>
      </c>
      <c r="E517" s="1321"/>
      <c r="F517" s="1321"/>
      <c r="G517" s="1113"/>
      <c r="H517" s="652" t="s">
        <v>35</v>
      </c>
      <c r="I517" s="1358"/>
      <c r="J517" s="1358">
        <f>J518+J519</f>
        <v>0</v>
      </c>
      <c r="K517" s="1359">
        <f t="shared" si="223"/>
        <v>0</v>
      </c>
      <c r="L517" s="1001"/>
      <c r="M517" s="1001"/>
      <c r="N517" s="1001"/>
      <c r="O517" s="1001"/>
      <c r="P517" s="1001"/>
      <c r="Q517" s="1323"/>
      <c r="R517" s="1323"/>
      <c r="S517" s="1323"/>
      <c r="T517" s="1323"/>
      <c r="U517" s="1323"/>
      <c r="V517" s="1323"/>
      <c r="W517" s="1323"/>
      <c r="X517" s="1323"/>
      <c r="Y517" s="1323"/>
      <c r="Z517" s="1323"/>
    </row>
    <row r="518" spans="1:26" ht="18.75" hidden="1">
      <c r="A518" s="1332"/>
      <c r="B518" s="1333"/>
      <c r="C518" s="1333"/>
      <c r="D518" s="1333"/>
      <c r="E518" s="1333" t="s">
        <v>224</v>
      </c>
      <c r="F518" s="1321"/>
      <c r="G518" s="1113"/>
      <c r="H518" s="370" t="s">
        <v>35</v>
      </c>
      <c r="I518" s="886"/>
      <c r="J518" s="886"/>
      <c r="K518" s="1001"/>
      <c r="L518" s="1001"/>
      <c r="M518" s="1001"/>
      <c r="N518" s="1001"/>
      <c r="O518" s="1001"/>
      <c r="P518" s="1001"/>
      <c r="Q518" s="1323"/>
      <c r="R518" s="1323"/>
      <c r="S518" s="1323"/>
      <c r="T518" s="1323"/>
      <c r="U518" s="1323"/>
      <c r="V518" s="1323"/>
      <c r="W518" s="1323"/>
      <c r="X518" s="1323"/>
      <c r="Y518" s="1323"/>
      <c r="Z518" s="1323"/>
    </row>
    <row r="519" spans="1:26" ht="18.75" hidden="1">
      <c r="A519" s="1332"/>
      <c r="B519" s="1333"/>
      <c r="C519" s="1333"/>
      <c r="D519" s="1333"/>
      <c r="E519" s="1333" t="s">
        <v>225</v>
      </c>
      <c r="F519" s="1321"/>
      <c r="G519" s="1113"/>
      <c r="H519" s="651" t="s">
        <v>35</v>
      </c>
      <c r="I519" s="886"/>
      <c r="J519" s="886"/>
      <c r="K519" s="1001"/>
      <c r="L519" s="1001"/>
      <c r="M519" s="1001"/>
      <c r="N519" s="1001"/>
      <c r="O519" s="1001"/>
      <c r="P519" s="1001"/>
      <c r="Q519" s="1323"/>
      <c r="R519" s="1323"/>
      <c r="S519" s="1323"/>
      <c r="T519" s="1323"/>
      <c r="U519" s="1323"/>
      <c r="V519" s="1323"/>
      <c r="W519" s="1323"/>
      <c r="X519" s="1323"/>
      <c r="Y519" s="1323"/>
      <c r="Z519" s="1323"/>
    </row>
    <row r="520" spans="1:26" ht="19.5">
      <c r="A520" s="1360" t="s">
        <v>137</v>
      </c>
      <c r="B520" s="1361"/>
      <c r="C520" s="1361"/>
      <c r="D520" s="1362"/>
      <c r="E520" s="1362"/>
      <c r="F520" s="1362"/>
      <c r="G520" s="1363"/>
      <c r="H520" s="1364"/>
      <c r="I520" s="1365"/>
      <c r="J520" s="1365"/>
      <c r="K520" s="1366"/>
      <c r="L520" s="1366"/>
      <c r="M520" s="1366"/>
      <c r="N520" s="1366"/>
      <c r="O520" s="1366"/>
      <c r="P520" s="1366"/>
    </row>
    <row r="521" spans="1:26" ht="19.5" hidden="1">
      <c r="A521" s="662">
        <v>5</v>
      </c>
      <c r="B521" s="1367" t="s">
        <v>226</v>
      </c>
      <c r="C521" s="1368"/>
      <c r="D521" s="1369"/>
      <c r="E521" s="1369"/>
      <c r="F521" s="1369"/>
      <c r="G521" s="1369"/>
      <c r="H521" s="1370"/>
      <c r="I521" s="1371"/>
      <c r="J521" s="1371"/>
      <c r="K521" s="1372"/>
      <c r="L521" s="1372"/>
      <c r="M521" s="1372"/>
      <c r="N521" s="1372"/>
      <c r="O521" s="1372"/>
      <c r="P521" s="1372"/>
      <c r="Q521" s="1302"/>
      <c r="R521" s="1302"/>
      <c r="S521" s="1302"/>
      <c r="T521" s="1302"/>
      <c r="U521" s="1302"/>
      <c r="V521" s="1302"/>
      <c r="W521" s="1302"/>
      <c r="X521" s="1302"/>
      <c r="Y521" s="1302"/>
      <c r="Z521" s="1302"/>
    </row>
    <row r="522" spans="1:26" ht="19.5" hidden="1">
      <c r="A522" s="1373"/>
      <c r="B522" s="1374" t="s">
        <v>227</v>
      </c>
      <c r="C522" s="1375"/>
      <c r="D522" s="1375"/>
      <c r="E522" s="1375"/>
      <c r="F522" s="1375"/>
      <c r="G522" s="1376"/>
      <c r="H522" s="673" t="s">
        <v>35</v>
      </c>
      <c r="I522" s="1377">
        <f t="shared" ref="I522:J522" ca="1" si="224">I537</f>
        <v>0</v>
      </c>
      <c r="J522" s="1377">
        <f t="shared" ca="1" si="224"/>
        <v>0</v>
      </c>
      <c r="K522" s="1378">
        <f ca="1">IF(I522&gt;0,J522*100/I522,0)</f>
        <v>0</v>
      </c>
      <c r="L522" s="1379"/>
      <c r="M522" s="1379"/>
      <c r="N522" s="1379"/>
      <c r="O522" s="1379"/>
      <c r="P522" s="1379"/>
      <c r="Q522" s="1302"/>
      <c r="R522" s="1302"/>
      <c r="S522" s="1302"/>
      <c r="T522" s="1302"/>
      <c r="U522" s="1302"/>
      <c r="V522" s="1302"/>
      <c r="W522" s="1302"/>
      <c r="X522" s="1302"/>
      <c r="Y522" s="1302"/>
      <c r="Z522" s="1302"/>
    </row>
    <row r="523" spans="1:26" ht="19.5" hidden="1">
      <c r="A523" s="1317"/>
      <c r="B523" s="1301"/>
      <c r="C523" s="1301" t="s">
        <v>16</v>
      </c>
      <c r="D523" s="1318" t="s">
        <v>17</v>
      </c>
      <c r="E523" s="841"/>
      <c r="F523" s="841"/>
      <c r="G523" s="1016"/>
      <c r="H523" s="597" t="s">
        <v>12</v>
      </c>
      <c r="I523" s="880"/>
      <c r="J523" s="880"/>
      <c r="K523" s="881"/>
      <c r="L523" s="1020">
        <f t="shared" ref="L523:N523" ca="1" si="225">L524+L525</f>
        <v>0</v>
      </c>
      <c r="M523" s="1020">
        <f t="shared" si="225"/>
        <v>0</v>
      </c>
      <c r="N523" s="1020">
        <f t="shared" si="225"/>
        <v>0</v>
      </c>
      <c r="O523" s="1020">
        <f t="shared" ref="O523:O528" ca="1" si="226">IF(L523&gt;0,N523*100/L523,0)</f>
        <v>0</v>
      </c>
      <c r="P523" s="1020">
        <f t="shared" ref="P523:P528" si="227">IF(M523&gt;0,N523*100/M523,0)</f>
        <v>0</v>
      </c>
      <c r="Q523" s="1302"/>
      <c r="R523" s="1302"/>
      <c r="S523" s="1302"/>
      <c r="T523" s="1302"/>
      <c r="U523" s="1302"/>
      <c r="V523" s="1302"/>
      <c r="W523" s="1302"/>
      <c r="X523" s="1302"/>
      <c r="Y523" s="1302"/>
      <c r="Z523" s="1302"/>
    </row>
    <row r="524" spans="1:26" ht="18.75" hidden="1">
      <c r="A524" s="1319"/>
      <c r="B524" s="1320"/>
      <c r="C524" s="1320"/>
      <c r="D524" s="1321"/>
      <c r="E524" s="1320" t="s">
        <v>185</v>
      </c>
      <c r="F524" s="1320"/>
      <c r="G524" s="1322"/>
      <c r="H524" s="165" t="s">
        <v>12</v>
      </c>
      <c r="I524" s="886"/>
      <c r="J524" s="886"/>
      <c r="K524" s="887"/>
      <c r="L524" s="887">
        <f t="shared" ref="L524:N525" si="228">L527+L534</f>
        <v>0</v>
      </c>
      <c r="M524" s="887">
        <f t="shared" si="228"/>
        <v>0</v>
      </c>
      <c r="N524" s="887">
        <f t="shared" si="228"/>
        <v>0</v>
      </c>
      <c r="O524" s="887">
        <f t="shared" si="226"/>
        <v>0</v>
      </c>
      <c r="P524" s="887">
        <f t="shared" si="227"/>
        <v>0</v>
      </c>
      <c r="Q524" s="1323"/>
      <c r="R524" s="1323"/>
      <c r="S524" s="1323"/>
      <c r="T524" s="1323"/>
      <c r="U524" s="1323"/>
      <c r="V524" s="1323"/>
      <c r="W524" s="1323"/>
      <c r="X524" s="1323"/>
      <c r="Y524" s="1323"/>
      <c r="Z524" s="1323"/>
    </row>
    <row r="525" spans="1:26" ht="18.75" hidden="1">
      <c r="A525" s="1319"/>
      <c r="B525" s="1324"/>
      <c r="C525" s="1320"/>
      <c r="D525" s="1321"/>
      <c r="E525" s="1320" t="s">
        <v>186</v>
      </c>
      <c r="F525" s="1320"/>
      <c r="G525" s="1322"/>
      <c r="H525" s="165" t="s">
        <v>12</v>
      </c>
      <c r="I525" s="886"/>
      <c r="J525" s="886"/>
      <c r="K525" s="887"/>
      <c r="L525" s="887">
        <f t="shared" ca="1" si="228"/>
        <v>0</v>
      </c>
      <c r="M525" s="887">
        <f t="shared" si="228"/>
        <v>0</v>
      </c>
      <c r="N525" s="887">
        <f t="shared" si="228"/>
        <v>0</v>
      </c>
      <c r="O525" s="887">
        <f t="shared" ca="1" si="226"/>
        <v>0</v>
      </c>
      <c r="P525" s="887">
        <f t="shared" si="227"/>
        <v>0</v>
      </c>
      <c r="Q525" s="1323"/>
      <c r="R525" s="1323"/>
      <c r="S525" s="1323"/>
      <c r="T525" s="1323"/>
      <c r="U525" s="1323"/>
      <c r="V525" s="1323"/>
      <c r="W525" s="1323"/>
      <c r="X525" s="1323"/>
      <c r="Y525" s="1323"/>
      <c r="Z525" s="1323"/>
    </row>
    <row r="526" spans="1:26" ht="18.75" hidden="1">
      <c r="A526" s="1317"/>
      <c r="B526" s="1300"/>
      <c r="C526" s="1301"/>
      <c r="D526" s="1325" t="s">
        <v>20</v>
      </c>
      <c r="E526" s="1301"/>
      <c r="F526" s="1301"/>
      <c r="G526" s="1016"/>
      <c r="H526" s="161" t="s">
        <v>12</v>
      </c>
      <c r="I526" s="997"/>
      <c r="J526" s="997"/>
      <c r="K526" s="998"/>
      <c r="L526" s="881">
        <f t="shared" ref="L526:N526" ca="1" si="229">L527+L528</f>
        <v>0</v>
      </c>
      <c r="M526" s="881">
        <f t="shared" si="229"/>
        <v>0</v>
      </c>
      <c r="N526" s="881">
        <f t="shared" si="229"/>
        <v>0</v>
      </c>
      <c r="O526" s="881">
        <f t="shared" ca="1" si="226"/>
        <v>0</v>
      </c>
      <c r="P526" s="881">
        <f t="shared" si="227"/>
        <v>0</v>
      </c>
      <c r="Q526" s="1302"/>
      <c r="R526" s="1302"/>
      <c r="S526" s="1302"/>
      <c r="T526" s="1302"/>
      <c r="U526" s="1302"/>
      <c r="V526" s="1302"/>
      <c r="W526" s="1302"/>
      <c r="X526" s="1302"/>
      <c r="Y526" s="1302"/>
      <c r="Z526" s="1302"/>
    </row>
    <row r="527" spans="1:26" ht="18.75" hidden="1">
      <c r="A527" s="1319"/>
      <c r="B527" s="1324"/>
      <c r="C527" s="1320"/>
      <c r="D527" s="1321"/>
      <c r="E527" s="1320" t="s">
        <v>185</v>
      </c>
      <c r="F527" s="1320"/>
      <c r="G527" s="1322"/>
      <c r="H527" s="165" t="s">
        <v>12</v>
      </c>
      <c r="I527" s="886"/>
      <c r="J527" s="886"/>
      <c r="K527" s="887"/>
      <c r="L527" s="887">
        <v>0</v>
      </c>
      <c r="M527" s="887">
        <v>0</v>
      </c>
      <c r="N527" s="887">
        <v>0</v>
      </c>
      <c r="O527" s="887">
        <f t="shared" si="226"/>
        <v>0</v>
      </c>
      <c r="P527" s="887">
        <f t="shared" si="227"/>
        <v>0</v>
      </c>
      <c r="Q527" s="1323"/>
      <c r="R527" s="1323"/>
      <c r="S527" s="1323"/>
      <c r="T527" s="1323"/>
      <c r="U527" s="1323"/>
      <c r="V527" s="1323"/>
      <c r="W527" s="1323"/>
      <c r="X527" s="1323"/>
      <c r="Y527" s="1323"/>
      <c r="Z527" s="1323"/>
    </row>
    <row r="528" spans="1:26" ht="18.75" hidden="1">
      <c r="A528" s="1319"/>
      <c r="B528" s="1324"/>
      <c r="C528" s="1320"/>
      <c r="D528" s="1321"/>
      <c r="E528" s="1320" t="s">
        <v>186</v>
      </c>
      <c r="F528" s="1320"/>
      <c r="G528" s="1322"/>
      <c r="H528" s="165" t="s">
        <v>12</v>
      </c>
      <c r="I528" s="886"/>
      <c r="J528" s="886"/>
      <c r="K528" s="887"/>
      <c r="L528" s="887">
        <f ca="1">IFERROR(__xludf.DUMMYFUNCTION("IMPORTRANGE(""https://docs.google.com/spreadsheets/d/1QqKyyYR6Q21VydFLVH3TRQUabQu_ym0Zz7PgGX0-kHA/edit?usp=sharing"",""แผน!GQ83"")"),0)</f>
        <v>0</v>
      </c>
      <c r="M528" s="887">
        <v>0</v>
      </c>
      <c r="N528" s="887">
        <f>N529+N530+N531+N532</f>
        <v>0</v>
      </c>
      <c r="O528" s="887">
        <f t="shared" ca="1" si="226"/>
        <v>0</v>
      </c>
      <c r="P528" s="887">
        <f t="shared" si="227"/>
        <v>0</v>
      </c>
      <c r="Q528" s="1323"/>
      <c r="R528" s="1323"/>
      <c r="S528" s="1323"/>
      <c r="T528" s="1323"/>
      <c r="U528" s="1323"/>
      <c r="V528" s="1323"/>
      <c r="W528" s="1323"/>
      <c r="X528" s="1323"/>
      <c r="Y528" s="1323"/>
      <c r="Z528" s="1323"/>
    </row>
    <row r="529" spans="1:26" ht="18.75" hidden="1">
      <c r="A529" s="1299"/>
      <c r="B529" s="1300"/>
      <c r="C529" s="1301"/>
      <c r="D529" s="1301"/>
      <c r="E529" s="1301"/>
      <c r="F529" s="1301" t="s">
        <v>187</v>
      </c>
      <c r="G529" s="1016"/>
      <c r="H529" s="161" t="s">
        <v>12</v>
      </c>
      <c r="I529" s="880"/>
      <c r="J529" s="880"/>
      <c r="K529" s="881"/>
      <c r="L529" s="881"/>
      <c r="M529" s="881"/>
      <c r="N529" s="1085">
        <v>0</v>
      </c>
      <c r="O529" s="881"/>
      <c r="P529" s="881"/>
      <c r="Q529" s="1302"/>
      <c r="R529" s="1302"/>
      <c r="S529" s="1302"/>
      <c r="T529" s="1302"/>
      <c r="U529" s="1302"/>
      <c r="V529" s="1302"/>
      <c r="W529" s="1302"/>
      <c r="X529" s="1302"/>
      <c r="Y529" s="1302"/>
      <c r="Z529" s="1302"/>
    </row>
    <row r="530" spans="1:26" ht="18.75" hidden="1">
      <c r="A530" s="1299"/>
      <c r="B530" s="1300"/>
      <c r="C530" s="1301"/>
      <c r="D530" s="1301"/>
      <c r="E530" s="1301"/>
      <c r="F530" s="1301" t="s">
        <v>188</v>
      </c>
      <c r="G530" s="1016"/>
      <c r="H530" s="161" t="s">
        <v>12</v>
      </c>
      <c r="I530" s="880"/>
      <c r="J530" s="880"/>
      <c r="K530" s="881"/>
      <c r="L530" s="881"/>
      <c r="M530" s="881"/>
      <c r="N530" s="1085">
        <v>0</v>
      </c>
      <c r="O530" s="881"/>
      <c r="P530" s="881"/>
      <c r="Q530" s="1302"/>
      <c r="R530" s="1302"/>
      <c r="S530" s="1302"/>
      <c r="T530" s="1302"/>
      <c r="U530" s="1302"/>
      <c r="V530" s="1302"/>
      <c r="W530" s="1302"/>
      <c r="X530" s="1302"/>
      <c r="Y530" s="1302"/>
      <c r="Z530" s="1302"/>
    </row>
    <row r="531" spans="1:26" ht="18.75" hidden="1">
      <c r="A531" s="1299"/>
      <c r="B531" s="1300"/>
      <c r="C531" s="1301"/>
      <c r="D531" s="1301"/>
      <c r="E531" s="1301"/>
      <c r="F531" s="1301" t="s">
        <v>189</v>
      </c>
      <c r="G531" s="1016"/>
      <c r="H531" s="161" t="s">
        <v>12</v>
      </c>
      <c r="I531" s="880"/>
      <c r="J531" s="880"/>
      <c r="K531" s="881"/>
      <c r="L531" s="881"/>
      <c r="M531" s="881"/>
      <c r="N531" s="1085">
        <v>0</v>
      </c>
      <c r="O531" s="881"/>
      <c r="P531" s="881"/>
      <c r="Q531" s="1302"/>
      <c r="R531" s="1302"/>
      <c r="S531" s="1302"/>
      <c r="T531" s="1302"/>
      <c r="U531" s="1302"/>
      <c r="V531" s="1302"/>
      <c r="W531" s="1302"/>
      <c r="X531" s="1302"/>
      <c r="Y531" s="1302"/>
      <c r="Z531" s="1302"/>
    </row>
    <row r="532" spans="1:26" ht="18.75" hidden="1">
      <c r="A532" s="1299"/>
      <c r="B532" s="1300"/>
      <c r="C532" s="1301"/>
      <c r="D532" s="1301"/>
      <c r="E532" s="1301"/>
      <c r="F532" s="1301" t="s">
        <v>190</v>
      </c>
      <c r="G532" s="1016"/>
      <c r="H532" s="161" t="s">
        <v>12</v>
      </c>
      <c r="I532" s="880"/>
      <c r="J532" s="880"/>
      <c r="K532" s="881"/>
      <c r="L532" s="881"/>
      <c r="M532" s="881"/>
      <c r="N532" s="1085">
        <v>0</v>
      </c>
      <c r="O532" s="881"/>
      <c r="P532" s="881"/>
      <c r="Q532" s="1302"/>
      <c r="R532" s="1302"/>
      <c r="S532" s="1302"/>
      <c r="T532" s="1302"/>
      <c r="U532" s="1302"/>
      <c r="V532" s="1302"/>
      <c r="W532" s="1302"/>
      <c r="X532" s="1302"/>
      <c r="Y532" s="1302"/>
      <c r="Z532" s="1302"/>
    </row>
    <row r="533" spans="1:26" ht="18.75" hidden="1">
      <c r="A533" s="1317"/>
      <c r="B533" s="1300"/>
      <c r="C533" s="1301"/>
      <c r="D533" s="1325" t="s">
        <v>21</v>
      </c>
      <c r="E533" s="1301"/>
      <c r="F533" s="1301"/>
      <c r="G533" s="1016"/>
      <c r="H533" s="168" t="s">
        <v>12</v>
      </c>
      <c r="I533" s="997"/>
      <c r="J533" s="997"/>
      <c r="K533" s="998"/>
      <c r="L533" s="881">
        <f t="shared" ref="L533:N533" ca="1" si="230">L534+L535</f>
        <v>0</v>
      </c>
      <c r="M533" s="881">
        <f t="shared" si="230"/>
        <v>0</v>
      </c>
      <c r="N533" s="881">
        <f t="shared" si="230"/>
        <v>0</v>
      </c>
      <c r="O533" s="881">
        <f t="shared" ref="O533:O535" ca="1" si="231">IF(L533&gt;0,N533*100/L533,0)</f>
        <v>0</v>
      </c>
      <c r="P533" s="881">
        <f t="shared" ref="P533:P535" si="232">IF(M533&gt;0,N533*100/M533,0)</f>
        <v>0</v>
      </c>
      <c r="Q533" s="1302"/>
      <c r="R533" s="1302"/>
      <c r="S533" s="1302"/>
      <c r="T533" s="1302"/>
      <c r="U533" s="1302"/>
      <c r="V533" s="1302"/>
      <c r="W533" s="1302"/>
      <c r="X533" s="1302"/>
      <c r="Y533" s="1302"/>
      <c r="Z533" s="1302"/>
    </row>
    <row r="534" spans="1:26" ht="18.75" hidden="1">
      <c r="A534" s="1319"/>
      <c r="B534" s="1324"/>
      <c r="C534" s="1320"/>
      <c r="D534" s="1320"/>
      <c r="E534" s="1320" t="s">
        <v>18</v>
      </c>
      <c r="F534" s="1320"/>
      <c r="G534" s="1322"/>
      <c r="H534" s="165" t="s">
        <v>12</v>
      </c>
      <c r="I534" s="1000"/>
      <c r="J534" s="1000"/>
      <c r="K534" s="1001"/>
      <c r="L534" s="887">
        <v>0</v>
      </c>
      <c r="M534" s="887">
        <v>0</v>
      </c>
      <c r="N534" s="887">
        <v>0</v>
      </c>
      <c r="O534" s="887">
        <f t="shared" si="231"/>
        <v>0</v>
      </c>
      <c r="P534" s="887">
        <f t="shared" si="232"/>
        <v>0</v>
      </c>
      <c r="Q534" s="1323"/>
      <c r="R534" s="1323"/>
      <c r="S534" s="1323"/>
      <c r="T534" s="1323"/>
      <c r="U534" s="1323"/>
      <c r="V534" s="1323"/>
      <c r="W534" s="1323"/>
      <c r="X534" s="1323"/>
      <c r="Y534" s="1323"/>
      <c r="Z534" s="1323"/>
    </row>
    <row r="535" spans="1:26" ht="18.75" hidden="1">
      <c r="A535" s="1319"/>
      <c r="B535" s="1324"/>
      <c r="C535" s="1320"/>
      <c r="D535" s="1320"/>
      <c r="E535" s="1320" t="s">
        <v>19</v>
      </c>
      <c r="F535" s="1320"/>
      <c r="G535" s="1322"/>
      <c r="H535" s="169" t="s">
        <v>12</v>
      </c>
      <c r="I535" s="1000"/>
      <c r="J535" s="1000"/>
      <c r="K535" s="1001"/>
      <c r="L535" s="887">
        <f ca="1">IFERROR(__xludf.DUMMYFUNCTION("IMPORTRANGE(""https://docs.google.com/spreadsheets/d/1QqKyyYR6Q21VydFLVH3TRQUabQu_ym0Zz7PgGX0-kHA/edit?usp=sharing"",""แผน!GT83"")"),0)</f>
        <v>0</v>
      </c>
      <c r="M535" s="887">
        <v>0</v>
      </c>
      <c r="N535" s="887">
        <v>0</v>
      </c>
      <c r="O535" s="887">
        <f t="shared" ca="1" si="231"/>
        <v>0</v>
      </c>
      <c r="P535" s="887">
        <f t="shared" si="232"/>
        <v>0</v>
      </c>
      <c r="Q535" s="1323"/>
      <c r="R535" s="1323"/>
      <c r="S535" s="1323"/>
      <c r="T535" s="1323"/>
      <c r="U535" s="1323"/>
      <c r="V535" s="1323"/>
      <c r="W535" s="1323"/>
      <c r="X535" s="1323"/>
      <c r="Y535" s="1323"/>
      <c r="Z535" s="1323"/>
    </row>
    <row r="536" spans="1:26" ht="19.5" hidden="1">
      <c r="A536" s="1326"/>
      <c r="B536" s="1327"/>
      <c r="C536" s="1301" t="s">
        <v>16</v>
      </c>
      <c r="D536" s="1380" t="s">
        <v>38</v>
      </c>
      <c r="E536" s="1330"/>
      <c r="F536" s="1330"/>
      <c r="G536" s="1331"/>
      <c r="H536" s="1007"/>
      <c r="I536" s="997"/>
      <c r="J536" s="997"/>
      <c r="K536" s="998"/>
      <c r="L536" s="998"/>
      <c r="M536" s="998"/>
      <c r="N536" s="998"/>
      <c r="O536" s="998"/>
      <c r="P536" s="998"/>
      <c r="Q536" s="1302"/>
      <c r="R536" s="1302"/>
      <c r="S536" s="1302"/>
      <c r="T536" s="1302"/>
      <c r="U536" s="1302"/>
      <c r="V536" s="1302"/>
      <c r="W536" s="1302"/>
      <c r="X536" s="1302"/>
      <c r="Y536" s="1302"/>
      <c r="Z536" s="1302"/>
    </row>
    <row r="537" spans="1:26" ht="19.5" hidden="1">
      <c r="A537" s="1299"/>
      <c r="B537" s="1300"/>
      <c r="C537" s="1301"/>
      <c r="D537" s="1301" t="s">
        <v>228</v>
      </c>
      <c r="E537" s="1301"/>
      <c r="F537" s="1301"/>
      <c r="G537" s="1016"/>
      <c r="H537" s="622" t="s">
        <v>35</v>
      </c>
      <c r="I537" s="1019">
        <f ca="1">IFERROR(__xludf.DUMMYFUNCTION("IMPORTRANGE(""https://docs.google.com/spreadsheets/d/1QqKyyYR6Q21VydFLVH3TRQUabQu_ym0Zz7PgGX0-kHA/edit?usp=sharing"",""แผน!GU83"")"),0)</f>
        <v>0</v>
      </c>
      <c r="J537" s="1019">
        <f ca="1">IF(AND(J538=I538,J539=I539,J540=I540,J541=I541),I537,0)</f>
        <v>0</v>
      </c>
      <c r="K537" s="881">
        <f t="shared" ref="K537:K543" ca="1" si="233">IF(I537&gt;0,J537*100/I537,0)</f>
        <v>0</v>
      </c>
      <c r="L537" s="881"/>
      <c r="M537" s="881"/>
      <c r="N537" s="881"/>
      <c r="O537" s="881"/>
      <c r="P537" s="881"/>
      <c r="Q537" s="1381"/>
      <c r="R537" s="1381"/>
      <c r="S537" s="1381"/>
      <c r="T537" s="1381"/>
      <c r="U537" s="1381"/>
      <c r="V537" s="1381"/>
      <c r="W537" s="1381"/>
      <c r="X537" s="1381"/>
      <c r="Y537" s="1381"/>
      <c r="Z537" s="1381"/>
    </row>
    <row r="538" spans="1:26" ht="18.75" hidden="1">
      <c r="A538" s="1299"/>
      <c r="B538" s="1300"/>
      <c r="C538" s="1301"/>
      <c r="D538" s="1301"/>
      <c r="E538" s="1301" t="s">
        <v>229</v>
      </c>
      <c r="F538" s="1301"/>
      <c r="G538" s="1016"/>
      <c r="H538" s="622" t="s">
        <v>35</v>
      </c>
      <c r="I538" s="880">
        <f ca="1">IFERROR(__xludf.DUMMYFUNCTION("IMPORTRANGE(""https://docs.google.com/spreadsheets/d/1QqKyyYR6Q21VydFLVH3TRQUabQu_ym0Zz7PgGX0-kHA/edit?usp=sharing"",""แผน!GV83"")"),0)</f>
        <v>0</v>
      </c>
      <c r="J538" s="1012">
        <v>0</v>
      </c>
      <c r="K538" s="881">
        <f t="shared" ca="1" si="233"/>
        <v>0</v>
      </c>
      <c r="L538" s="881"/>
      <c r="M538" s="881"/>
      <c r="N538" s="881"/>
      <c r="O538" s="881"/>
      <c r="P538" s="881"/>
      <c r="Q538" s="1381"/>
      <c r="R538" s="1381"/>
      <c r="S538" s="1381"/>
      <c r="T538" s="1381"/>
      <c r="U538" s="1381"/>
      <c r="V538" s="1381"/>
      <c r="W538" s="1381"/>
      <c r="X538" s="1381"/>
      <c r="Y538" s="1381"/>
      <c r="Z538" s="1381"/>
    </row>
    <row r="539" spans="1:26" ht="18.75" hidden="1">
      <c r="A539" s="1299"/>
      <c r="B539" s="1300"/>
      <c r="C539" s="1301"/>
      <c r="D539" s="1301"/>
      <c r="E539" s="1301" t="s">
        <v>230</v>
      </c>
      <c r="F539" s="1301"/>
      <c r="G539" s="1016"/>
      <c r="H539" s="622" t="s">
        <v>35</v>
      </c>
      <c r="I539" s="880">
        <f ca="1">IFERROR(__xludf.DUMMYFUNCTION("IMPORTRANGE(""https://docs.google.com/spreadsheets/d/1QqKyyYR6Q21VydFLVH3TRQUabQu_ym0Zz7PgGX0-kHA/edit?usp=sharing"",""แผน!GW83"")"),0)</f>
        <v>0</v>
      </c>
      <c r="J539" s="1012">
        <v>0</v>
      </c>
      <c r="K539" s="881">
        <f t="shared" ca="1" si="233"/>
        <v>0</v>
      </c>
      <c r="L539" s="881"/>
      <c r="M539" s="881"/>
      <c r="N539" s="881"/>
      <c r="O539" s="881"/>
      <c r="P539" s="881"/>
      <c r="Q539" s="1381"/>
      <c r="R539" s="1381"/>
      <c r="S539" s="1381"/>
      <c r="T539" s="1381"/>
      <c r="U539" s="1381"/>
      <c r="V539" s="1381"/>
      <c r="W539" s="1381"/>
      <c r="X539" s="1381"/>
      <c r="Y539" s="1381"/>
      <c r="Z539" s="1381"/>
    </row>
    <row r="540" spans="1:26" ht="18.75" hidden="1">
      <c r="A540" s="1299"/>
      <c r="B540" s="1300"/>
      <c r="C540" s="1301"/>
      <c r="D540" s="1301"/>
      <c r="E540" s="1301" t="s">
        <v>231</v>
      </c>
      <c r="F540" s="1301"/>
      <c r="G540" s="1016"/>
      <c r="H540" s="622" t="s">
        <v>35</v>
      </c>
      <c r="I540" s="880">
        <f ca="1">IFERROR(__xludf.DUMMYFUNCTION("IMPORTRANGE(""https://docs.google.com/spreadsheets/d/1QqKyyYR6Q21VydFLVH3TRQUabQu_ym0Zz7PgGX0-kHA/edit?usp=sharing"",""แผน!GX83"")"),0)</f>
        <v>0</v>
      </c>
      <c r="J540" s="1012">
        <v>0</v>
      </c>
      <c r="K540" s="881">
        <f t="shared" ca="1" si="233"/>
        <v>0</v>
      </c>
      <c r="L540" s="881"/>
      <c r="M540" s="881"/>
      <c r="N540" s="881"/>
      <c r="O540" s="881"/>
      <c r="P540" s="881"/>
      <c r="Q540" s="1381"/>
      <c r="R540" s="1381"/>
      <c r="S540" s="1381"/>
      <c r="T540" s="1381"/>
      <c r="U540" s="1381"/>
      <c r="V540" s="1381"/>
      <c r="W540" s="1381"/>
      <c r="X540" s="1381"/>
      <c r="Y540" s="1381"/>
      <c r="Z540" s="1381"/>
    </row>
    <row r="541" spans="1:26" ht="18.75" hidden="1">
      <c r="A541" s="1299"/>
      <c r="B541" s="1300"/>
      <c r="C541" s="1301"/>
      <c r="D541" s="1301"/>
      <c r="E541" s="1382" t="s">
        <v>232</v>
      </c>
      <c r="F541" s="1301"/>
      <c r="G541" s="1016"/>
      <c r="H541" s="622" t="s">
        <v>35</v>
      </c>
      <c r="I541" s="880">
        <f ca="1">IFERROR(__xludf.DUMMYFUNCTION("IMPORTRANGE(""https://docs.google.com/spreadsheets/d/1QqKyyYR6Q21VydFLVH3TRQUabQu_ym0Zz7PgGX0-kHA/edit?usp=sharing"",""แผน!GY83"")"),0)</f>
        <v>0</v>
      </c>
      <c r="J541" s="1012">
        <v>0</v>
      </c>
      <c r="K541" s="881">
        <f t="shared" ca="1" si="233"/>
        <v>0</v>
      </c>
      <c r="L541" s="881"/>
      <c r="M541" s="881"/>
      <c r="N541" s="881"/>
      <c r="O541" s="881"/>
      <c r="P541" s="881"/>
      <c r="Q541" s="1381"/>
      <c r="R541" s="1381"/>
      <c r="S541" s="1381"/>
      <c r="T541" s="1381"/>
      <c r="U541" s="1381"/>
      <c r="V541" s="1381"/>
      <c r="W541" s="1381"/>
      <c r="X541" s="1381"/>
      <c r="Y541" s="1381"/>
      <c r="Z541" s="1381"/>
    </row>
    <row r="542" spans="1:26" ht="18.75" hidden="1">
      <c r="A542" s="1299"/>
      <c r="B542" s="1300"/>
      <c r="C542" s="1301"/>
      <c r="D542" s="1301" t="s">
        <v>59</v>
      </c>
      <c r="E542" s="1301"/>
      <c r="F542" s="1301"/>
      <c r="G542" s="1016"/>
      <c r="H542" s="622" t="s">
        <v>35</v>
      </c>
      <c r="I542" s="880">
        <f ca="1">IFERROR(__xludf.DUMMYFUNCTION("IMPORTRANGE(""https://docs.google.com/spreadsheets/d/1QqKyyYR6Q21VydFLVH3TRQUabQu_ym0Zz7PgGX0-kHA/edit?usp=sharing"",""แผน!GZ83"")"),0)</f>
        <v>0</v>
      </c>
      <c r="J542" s="1012">
        <v>0</v>
      </c>
      <c r="K542" s="881">
        <f t="shared" ca="1" si="233"/>
        <v>0</v>
      </c>
      <c r="L542" s="881"/>
      <c r="M542" s="881"/>
      <c r="N542" s="881"/>
      <c r="O542" s="881"/>
      <c r="P542" s="881"/>
      <c r="Q542" s="1381"/>
      <c r="R542" s="1381"/>
      <c r="S542" s="1381"/>
      <c r="T542" s="1381"/>
      <c r="U542" s="1381"/>
      <c r="V542" s="1381"/>
      <c r="W542" s="1381"/>
      <c r="X542" s="1381"/>
      <c r="Y542" s="1381"/>
      <c r="Z542" s="1381"/>
    </row>
    <row r="543" spans="1:26" ht="19.5">
      <c r="A543" s="662">
        <v>6</v>
      </c>
      <c r="B543" s="1383" t="s">
        <v>233</v>
      </c>
      <c r="C543" s="1369"/>
      <c r="D543" s="1369"/>
      <c r="E543" s="1369"/>
      <c r="F543" s="1369"/>
      <c r="G543" s="1370"/>
      <c r="H543" s="684" t="s">
        <v>46</v>
      </c>
      <c r="I543" s="1384">
        <f t="shared" ref="I543:J543" ca="1" si="234">I559</f>
        <v>0</v>
      </c>
      <c r="J543" s="1384">
        <f t="shared" si="234"/>
        <v>0</v>
      </c>
      <c r="K543" s="1385">
        <f t="shared" ca="1" si="233"/>
        <v>0</v>
      </c>
      <c r="L543" s="1372"/>
      <c r="M543" s="1372"/>
      <c r="N543" s="1372"/>
      <c r="O543" s="1372"/>
      <c r="P543" s="1372"/>
      <c r="Q543" s="1302"/>
      <c r="R543" s="1302"/>
      <c r="S543" s="1302"/>
      <c r="T543" s="1302"/>
      <c r="U543" s="1302"/>
      <c r="V543" s="1302"/>
      <c r="W543" s="1302"/>
      <c r="X543" s="1302"/>
      <c r="Y543" s="1302"/>
      <c r="Z543" s="1302"/>
    </row>
    <row r="544" spans="1:26" ht="19.5">
      <c r="A544" s="1386"/>
      <c r="B544" s="1387"/>
      <c r="C544" s="1387" t="s">
        <v>16</v>
      </c>
      <c r="D544" s="1388" t="s">
        <v>17</v>
      </c>
      <c r="E544" s="846"/>
      <c r="F544" s="846"/>
      <c r="G544" s="1389"/>
      <c r="H544" s="275" t="s">
        <v>12</v>
      </c>
      <c r="I544" s="990"/>
      <c r="J544" s="990"/>
      <c r="K544" s="991"/>
      <c r="L544" s="992">
        <f t="shared" ref="L544:N544" ca="1" si="235">L545+L546</f>
        <v>75300</v>
      </c>
      <c r="M544" s="992">
        <f t="shared" ca="1" si="235"/>
        <v>75300</v>
      </c>
      <c r="N544" s="992">
        <f t="shared" si="235"/>
        <v>7856.5</v>
      </c>
      <c r="O544" s="992">
        <f t="shared" ref="O544:O549" ca="1" si="236">IF(L544&gt;0,N544*100/L544,0)</f>
        <v>10.433598937583001</v>
      </c>
      <c r="P544" s="992">
        <f t="shared" ref="P544:P549" ca="1" si="237">IF(M544&gt;0,N544*100/M544,0)</f>
        <v>10.433598937583001</v>
      </c>
      <c r="Q544" s="1302"/>
      <c r="R544" s="1302"/>
      <c r="S544" s="1302"/>
      <c r="T544" s="1302"/>
      <c r="U544" s="1302"/>
      <c r="V544" s="1302"/>
      <c r="W544" s="1302"/>
      <c r="X544" s="1302"/>
      <c r="Y544" s="1302"/>
      <c r="Z544" s="1302"/>
    </row>
    <row r="545" spans="1:26" ht="18.75" hidden="1">
      <c r="A545" s="1319"/>
      <c r="B545" s="1320"/>
      <c r="C545" s="1320"/>
      <c r="D545" s="1320"/>
      <c r="E545" s="1320" t="s">
        <v>185</v>
      </c>
      <c r="F545" s="1320"/>
      <c r="G545" s="1322"/>
      <c r="H545" s="165" t="s">
        <v>12</v>
      </c>
      <c r="I545" s="886"/>
      <c r="J545" s="886"/>
      <c r="K545" s="887"/>
      <c r="L545" s="887">
        <f t="shared" ref="L545:L546" si="238">L548+L556</f>
        <v>0</v>
      </c>
      <c r="M545" s="887">
        <f t="shared" ref="M545:N546" si="239">M548+M555</f>
        <v>0</v>
      </c>
      <c r="N545" s="887">
        <f t="shared" si="239"/>
        <v>0</v>
      </c>
      <c r="O545" s="887">
        <f t="shared" si="236"/>
        <v>0</v>
      </c>
      <c r="P545" s="887">
        <f t="shared" si="237"/>
        <v>0</v>
      </c>
      <c r="Q545" s="1323"/>
      <c r="R545" s="1323"/>
      <c r="S545" s="1323"/>
      <c r="T545" s="1323"/>
      <c r="U545" s="1323"/>
      <c r="V545" s="1323"/>
      <c r="W545" s="1323"/>
      <c r="X545" s="1323"/>
      <c r="Y545" s="1323"/>
      <c r="Z545" s="1323"/>
    </row>
    <row r="546" spans="1:26" ht="18.75" hidden="1">
      <c r="A546" s="1319"/>
      <c r="B546" s="1324"/>
      <c r="C546" s="1320"/>
      <c r="D546" s="1320"/>
      <c r="E546" s="1320" t="s">
        <v>186</v>
      </c>
      <c r="F546" s="1320"/>
      <c r="G546" s="1322"/>
      <c r="H546" s="165" t="s">
        <v>12</v>
      </c>
      <c r="I546" s="886"/>
      <c r="J546" s="886"/>
      <c r="K546" s="887"/>
      <c r="L546" s="887">
        <f t="shared" ca="1" si="238"/>
        <v>75300</v>
      </c>
      <c r="M546" s="887">
        <f t="shared" ca="1" si="239"/>
        <v>75300</v>
      </c>
      <c r="N546" s="887">
        <f t="shared" si="239"/>
        <v>7856.5</v>
      </c>
      <c r="O546" s="887">
        <f t="shared" ca="1" si="236"/>
        <v>10.433598937583001</v>
      </c>
      <c r="P546" s="887">
        <f t="shared" ca="1" si="237"/>
        <v>10.433598937583001</v>
      </c>
      <c r="Q546" s="1323"/>
      <c r="R546" s="1323"/>
      <c r="S546" s="1323"/>
      <c r="T546" s="1323"/>
      <c r="U546" s="1323"/>
      <c r="V546" s="1323"/>
      <c r="W546" s="1323"/>
      <c r="X546" s="1323"/>
      <c r="Y546" s="1323"/>
      <c r="Z546" s="1323"/>
    </row>
    <row r="547" spans="1:26" ht="18.75">
      <c r="A547" s="1317"/>
      <c r="B547" s="1300"/>
      <c r="C547" s="1301"/>
      <c r="D547" s="1325" t="s">
        <v>20</v>
      </c>
      <c r="E547" s="1301"/>
      <c r="F547" s="1301"/>
      <c r="G547" s="1016"/>
      <c r="H547" s="161" t="s">
        <v>12</v>
      </c>
      <c r="I547" s="997"/>
      <c r="J547" s="997"/>
      <c r="K547" s="998"/>
      <c r="L547" s="881">
        <f t="shared" ref="L547:N547" ca="1" si="240">L548+L549</f>
        <v>75300</v>
      </c>
      <c r="M547" s="881">
        <f t="shared" ca="1" si="240"/>
        <v>75300</v>
      </c>
      <c r="N547" s="881">
        <f t="shared" si="240"/>
        <v>7856.5</v>
      </c>
      <c r="O547" s="881">
        <f t="shared" ca="1" si="236"/>
        <v>10.433598937583001</v>
      </c>
      <c r="P547" s="881">
        <f t="shared" ca="1" si="237"/>
        <v>10.433598937583001</v>
      </c>
      <c r="Q547" s="1302"/>
      <c r="R547" s="1302"/>
      <c r="S547" s="1302"/>
      <c r="T547" s="1302"/>
      <c r="U547" s="1302"/>
      <c r="V547" s="1302"/>
      <c r="W547" s="1302"/>
      <c r="X547" s="1302"/>
      <c r="Y547" s="1302"/>
      <c r="Z547" s="1302"/>
    </row>
    <row r="548" spans="1:26" ht="18.75" hidden="1">
      <c r="A548" s="1319"/>
      <c r="B548" s="1324"/>
      <c r="C548" s="1320"/>
      <c r="D548" s="1321"/>
      <c r="E548" s="1320" t="s">
        <v>185</v>
      </c>
      <c r="F548" s="1320"/>
      <c r="G548" s="1322"/>
      <c r="H548" s="165" t="s">
        <v>12</v>
      </c>
      <c r="I548" s="886"/>
      <c r="J548" s="886"/>
      <c r="K548" s="887"/>
      <c r="L548" s="887">
        <v>0</v>
      </c>
      <c r="M548" s="887">
        <v>0</v>
      </c>
      <c r="N548" s="887">
        <v>0</v>
      </c>
      <c r="O548" s="887">
        <f t="shared" si="236"/>
        <v>0</v>
      </c>
      <c r="P548" s="887">
        <f t="shared" si="237"/>
        <v>0</v>
      </c>
      <c r="Q548" s="1323"/>
      <c r="R548" s="1323"/>
      <c r="S548" s="1323"/>
      <c r="T548" s="1323"/>
      <c r="U548" s="1323"/>
      <c r="V548" s="1323"/>
      <c r="W548" s="1323"/>
      <c r="X548" s="1323"/>
      <c r="Y548" s="1323"/>
      <c r="Z548" s="1323"/>
    </row>
    <row r="549" spans="1:26" ht="18.75" hidden="1">
      <c r="A549" s="1319"/>
      <c r="B549" s="1324"/>
      <c r="C549" s="1320"/>
      <c r="D549" s="1321"/>
      <c r="E549" s="1320" t="s">
        <v>186</v>
      </c>
      <c r="F549" s="1320"/>
      <c r="G549" s="1322"/>
      <c r="H549" s="165" t="s">
        <v>12</v>
      </c>
      <c r="I549" s="886"/>
      <c r="J549" s="886"/>
      <c r="K549" s="887"/>
      <c r="L549" s="887">
        <f ca="1">IFERROR(__xludf.DUMMYFUNCTION("IMPORTRANGE(""https://docs.google.com/spreadsheets/d/1QqKyyYR6Q21VydFLVH3TRQUabQu_ym0Zz7PgGX0-kHA/edit?usp=sharing"",""แผน!HB83"")"),75300)</f>
        <v>75300</v>
      </c>
      <c r="M549" s="887">
        <f ca="1">L549</f>
        <v>75300</v>
      </c>
      <c r="N549" s="887">
        <f>N550+N551+N552+N553+N554</f>
        <v>7856.5</v>
      </c>
      <c r="O549" s="887">
        <f t="shared" ca="1" si="236"/>
        <v>10.433598937583001</v>
      </c>
      <c r="P549" s="887">
        <f t="shared" ca="1" si="237"/>
        <v>10.433598937583001</v>
      </c>
      <c r="Q549" s="1323"/>
      <c r="R549" s="1323"/>
      <c r="S549" s="1323"/>
      <c r="T549" s="1323"/>
      <c r="U549" s="1323"/>
      <c r="V549" s="1323"/>
      <c r="W549" s="1323"/>
      <c r="X549" s="1323"/>
      <c r="Y549" s="1323"/>
      <c r="Z549" s="1323"/>
    </row>
    <row r="550" spans="1:26" ht="18.75">
      <c r="A550" s="1299"/>
      <c r="B550" s="1300"/>
      <c r="C550" s="1301"/>
      <c r="D550" s="1301"/>
      <c r="E550" s="1301"/>
      <c r="F550" s="1301" t="s">
        <v>187</v>
      </c>
      <c r="G550" s="1016"/>
      <c r="H550" s="161" t="s">
        <v>12</v>
      </c>
      <c r="I550" s="880"/>
      <c r="J550" s="880"/>
      <c r="K550" s="881"/>
      <c r="L550" s="881"/>
      <c r="M550" s="881"/>
      <c r="N550" s="1085">
        <v>0</v>
      </c>
      <c r="O550" s="881"/>
      <c r="P550" s="881"/>
      <c r="Q550" s="1302"/>
      <c r="R550" s="1302"/>
      <c r="S550" s="1302"/>
      <c r="T550" s="1302"/>
      <c r="U550" s="1302"/>
      <c r="V550" s="1302"/>
      <c r="W550" s="1302"/>
      <c r="X550" s="1302"/>
      <c r="Y550" s="1302"/>
      <c r="Z550" s="1302"/>
    </row>
    <row r="551" spans="1:26" ht="18.75">
      <c r="A551" s="1299"/>
      <c r="B551" s="1300"/>
      <c r="C551" s="1300"/>
      <c r="D551" s="1300"/>
      <c r="E551" s="1301"/>
      <c r="F551" s="1301" t="s">
        <v>188</v>
      </c>
      <c r="G551" s="1016"/>
      <c r="H551" s="161" t="s">
        <v>12</v>
      </c>
      <c r="I551" s="880"/>
      <c r="J551" s="880"/>
      <c r="K551" s="881"/>
      <c r="L551" s="881"/>
      <c r="M551" s="881"/>
      <c r="N551" s="1085">
        <v>0</v>
      </c>
      <c r="O551" s="881"/>
      <c r="P551" s="881"/>
      <c r="Q551" s="1302"/>
      <c r="R551" s="1302"/>
      <c r="S551" s="1302"/>
      <c r="T551" s="1302"/>
      <c r="U551" s="1302"/>
      <c r="V551" s="1302"/>
      <c r="W551" s="1302"/>
      <c r="X551" s="1302"/>
      <c r="Y551" s="1302"/>
      <c r="Z551" s="1302"/>
    </row>
    <row r="552" spans="1:26" ht="18.75">
      <c r="A552" s="1299"/>
      <c r="B552" s="1300"/>
      <c r="C552" s="1301"/>
      <c r="D552" s="1301"/>
      <c r="E552" s="1301"/>
      <c r="F552" s="1301" t="s">
        <v>189</v>
      </c>
      <c r="G552" s="1016"/>
      <c r="H552" s="161" t="s">
        <v>12</v>
      </c>
      <c r="I552" s="880"/>
      <c r="J552" s="880"/>
      <c r="K552" s="881"/>
      <c r="L552" s="881"/>
      <c r="M552" s="881"/>
      <c r="N552" s="1085">
        <v>0</v>
      </c>
      <c r="O552" s="881"/>
      <c r="P552" s="881"/>
      <c r="Q552" s="1302"/>
      <c r="R552" s="1302"/>
      <c r="S552" s="1302"/>
      <c r="T552" s="1302"/>
      <c r="U552" s="1302"/>
      <c r="V552" s="1302"/>
      <c r="W552" s="1302"/>
      <c r="X552" s="1302"/>
      <c r="Y552" s="1302"/>
      <c r="Z552" s="1302"/>
    </row>
    <row r="553" spans="1:26" ht="18.75">
      <c r="A553" s="1299"/>
      <c r="B553" s="1300"/>
      <c r="C553" s="1300"/>
      <c r="D553" s="1300"/>
      <c r="E553" s="1301"/>
      <c r="F553" s="1301" t="s">
        <v>190</v>
      </c>
      <c r="G553" s="1016"/>
      <c r="H553" s="161" t="s">
        <v>12</v>
      </c>
      <c r="I553" s="880"/>
      <c r="J553" s="880"/>
      <c r="K553" s="881"/>
      <c r="L553" s="881"/>
      <c r="M553" s="881"/>
      <c r="N553" s="1085">
        <v>7856.5</v>
      </c>
      <c r="O553" s="881"/>
      <c r="P553" s="881"/>
      <c r="Q553" s="1302"/>
      <c r="R553" s="1302"/>
      <c r="S553" s="1302"/>
      <c r="T553" s="1302"/>
      <c r="U553" s="1302"/>
      <c r="V553" s="1302"/>
      <c r="W553" s="1302"/>
      <c r="X553" s="1302"/>
      <c r="Y553" s="1302"/>
      <c r="Z553" s="1302"/>
    </row>
    <row r="554" spans="1:26" ht="18.75">
      <c r="A554" s="1299"/>
      <c r="B554" s="1300"/>
      <c r="C554" s="1300"/>
      <c r="D554" s="1300"/>
      <c r="E554" s="1301"/>
      <c r="F554" s="1301" t="s">
        <v>234</v>
      </c>
      <c r="G554" s="1016"/>
      <c r="H554" s="161" t="s">
        <v>12</v>
      </c>
      <c r="I554" s="880"/>
      <c r="J554" s="880"/>
      <c r="K554" s="881"/>
      <c r="L554" s="881"/>
      <c r="M554" s="881"/>
      <c r="N554" s="1085">
        <v>0</v>
      </c>
      <c r="O554" s="881"/>
      <c r="P554" s="881"/>
      <c r="Q554" s="1302"/>
      <c r="R554" s="1302"/>
      <c r="S554" s="1302"/>
      <c r="T554" s="1302"/>
      <c r="U554" s="1302"/>
      <c r="V554" s="1302"/>
      <c r="W554" s="1302"/>
      <c r="X554" s="1302"/>
      <c r="Y554" s="1302"/>
      <c r="Z554" s="1302"/>
    </row>
    <row r="555" spans="1:26" ht="18.75">
      <c r="A555" s="1317"/>
      <c r="B555" s="1300"/>
      <c r="C555" s="1300"/>
      <c r="D555" s="1325" t="s">
        <v>21</v>
      </c>
      <c r="E555" s="1301"/>
      <c r="F555" s="1301"/>
      <c r="G555" s="1016"/>
      <c r="H555" s="168" t="s">
        <v>12</v>
      </c>
      <c r="I555" s="997"/>
      <c r="J555" s="997"/>
      <c r="K555" s="998"/>
      <c r="L555" s="881">
        <f t="shared" ref="L555:N555" ca="1" si="241">L556+L557</f>
        <v>0</v>
      </c>
      <c r="M555" s="881">
        <f t="shared" si="241"/>
        <v>0</v>
      </c>
      <c r="N555" s="881">
        <f t="shared" si="241"/>
        <v>0</v>
      </c>
      <c r="O555" s="881">
        <f t="shared" ref="O555:O557" ca="1" si="242">IF(L555&gt;0,N555*100/L555,0)</f>
        <v>0</v>
      </c>
      <c r="P555" s="881">
        <f t="shared" ref="P555:P557" si="243">IF(M555&gt;0,N555*100/M555,0)</f>
        <v>0</v>
      </c>
      <c r="Q555" s="1302"/>
      <c r="R555" s="1302"/>
      <c r="S555" s="1302"/>
      <c r="T555" s="1302"/>
      <c r="U555" s="1302"/>
      <c r="V555" s="1302"/>
      <c r="W555" s="1302"/>
      <c r="X555" s="1302"/>
      <c r="Y555" s="1302"/>
      <c r="Z555" s="1302"/>
    </row>
    <row r="556" spans="1:26" ht="18.75" hidden="1">
      <c r="A556" s="1319"/>
      <c r="B556" s="1324"/>
      <c r="C556" s="1324"/>
      <c r="D556" s="1320"/>
      <c r="E556" s="1320" t="s">
        <v>18</v>
      </c>
      <c r="F556" s="1320"/>
      <c r="G556" s="1322"/>
      <c r="H556" s="165" t="s">
        <v>12</v>
      </c>
      <c r="I556" s="1000"/>
      <c r="J556" s="1000"/>
      <c r="K556" s="1001"/>
      <c r="L556" s="887">
        <v>0</v>
      </c>
      <c r="M556" s="887">
        <v>0</v>
      </c>
      <c r="N556" s="887">
        <v>0</v>
      </c>
      <c r="O556" s="887">
        <f t="shared" si="242"/>
        <v>0</v>
      </c>
      <c r="P556" s="887">
        <f t="shared" si="243"/>
        <v>0</v>
      </c>
      <c r="Q556" s="1323"/>
      <c r="R556" s="1323"/>
      <c r="S556" s="1323"/>
      <c r="T556" s="1323"/>
      <c r="U556" s="1323"/>
      <c r="V556" s="1323"/>
      <c r="W556" s="1323"/>
      <c r="X556" s="1323"/>
      <c r="Y556" s="1323"/>
      <c r="Z556" s="1323"/>
    </row>
    <row r="557" spans="1:26" ht="18.75" hidden="1">
      <c r="A557" s="1319"/>
      <c r="B557" s="1324"/>
      <c r="C557" s="1324"/>
      <c r="D557" s="1320"/>
      <c r="E557" s="1320" t="s">
        <v>19</v>
      </c>
      <c r="F557" s="1320"/>
      <c r="G557" s="1322"/>
      <c r="H557" s="169" t="s">
        <v>12</v>
      </c>
      <c r="I557" s="1000"/>
      <c r="J557" s="1000"/>
      <c r="K557" s="1001"/>
      <c r="L557" s="887">
        <f ca="1">IFERROR(__xludf.DUMMYFUNCTION("IMPORTRANGE(""https://docs.google.com/spreadsheets/d/1QqKyyYR6Q21VydFLVH3TRQUabQu_ym0Zz7PgGX0-kHA/edit?usp=sharing"",""แผน!HF83"")"),0)</f>
        <v>0</v>
      </c>
      <c r="M557" s="887">
        <v>0</v>
      </c>
      <c r="N557" s="887">
        <v>0</v>
      </c>
      <c r="O557" s="887">
        <f t="shared" ca="1" si="242"/>
        <v>0</v>
      </c>
      <c r="P557" s="887">
        <f t="shared" si="243"/>
        <v>0</v>
      </c>
      <c r="Q557" s="1323"/>
      <c r="R557" s="1323"/>
      <c r="S557" s="1323"/>
      <c r="T557" s="1323"/>
      <c r="U557" s="1323"/>
      <c r="V557" s="1323"/>
      <c r="W557" s="1323"/>
      <c r="X557" s="1323"/>
      <c r="Y557" s="1323"/>
      <c r="Z557" s="1323"/>
    </row>
    <row r="558" spans="1:26" ht="19.5" hidden="1">
      <c r="A558" s="1326"/>
      <c r="B558" s="1327"/>
      <c r="C558" s="1300" t="s">
        <v>16</v>
      </c>
      <c r="D558" s="1380" t="s">
        <v>38</v>
      </c>
      <c r="E558" s="1330"/>
      <c r="F558" s="1330"/>
      <c r="G558" s="1331"/>
      <c r="H558" s="1007"/>
      <c r="I558" s="997"/>
      <c r="J558" s="997"/>
      <c r="K558" s="998"/>
      <c r="L558" s="998"/>
      <c r="M558" s="998"/>
      <c r="N558" s="998"/>
      <c r="O558" s="998"/>
      <c r="P558" s="998"/>
      <c r="Q558" s="1302"/>
      <c r="R558" s="1302"/>
      <c r="S558" s="1302"/>
      <c r="T558" s="1302"/>
      <c r="U558" s="1302"/>
      <c r="V558" s="1302"/>
      <c r="W558" s="1302"/>
      <c r="X558" s="1302"/>
      <c r="Y558" s="1302"/>
      <c r="Z558" s="1302"/>
    </row>
    <row r="559" spans="1:26" ht="19.5" hidden="1">
      <c r="A559" s="1390"/>
      <c r="B559" s="1391" t="s">
        <v>235</v>
      </c>
      <c r="C559" s="1392"/>
      <c r="D559" s="1392"/>
      <c r="E559" s="1375"/>
      <c r="F559" s="1375"/>
      <c r="G559" s="1376"/>
      <c r="H559" s="693" t="s">
        <v>46</v>
      </c>
      <c r="I559" s="1377">
        <f t="shared" ref="I559:J559" ca="1" si="244">I576</f>
        <v>0</v>
      </c>
      <c r="J559" s="1377">
        <f t="shared" si="244"/>
        <v>0</v>
      </c>
      <c r="K559" s="1378">
        <f t="shared" ref="K559:K561" ca="1" si="245">IF(I559&gt;0,J559*100/I559,0)</f>
        <v>0</v>
      </c>
      <c r="L559" s="1379"/>
      <c r="M559" s="1379"/>
      <c r="N559" s="1379"/>
      <c r="O559" s="1379"/>
      <c r="P559" s="1379"/>
      <c r="Q559" s="1302"/>
      <c r="R559" s="1302"/>
      <c r="S559" s="1302"/>
      <c r="T559" s="1302"/>
      <c r="U559" s="1302"/>
      <c r="V559" s="1302"/>
      <c r="W559" s="1302"/>
      <c r="X559" s="1302"/>
      <c r="Y559" s="1302"/>
      <c r="Z559" s="1302"/>
    </row>
    <row r="560" spans="1:26" ht="19.5" hidden="1">
      <c r="A560" s="1326"/>
      <c r="B560" s="1327"/>
      <c r="C560" s="1336" t="s">
        <v>236</v>
      </c>
      <c r="D560" s="1327"/>
      <c r="E560" s="1014"/>
      <c r="F560" s="1014"/>
      <c r="G560" s="1007"/>
      <c r="H560" s="765" t="s">
        <v>46</v>
      </c>
      <c r="I560" s="1018">
        <f ca="1">IFERROR(__xludf.DUMMYFUNCTION("IMPORTRANGE(""https://docs.google.com/spreadsheets/d/1QqKyyYR6Q21VydFLVH3TRQUabQu_ym0Zz7PgGX0-kHA/edit?usp=sharing"",""แผน!HH83"")"),0)</f>
        <v>0</v>
      </c>
      <c r="J560" s="1018">
        <f t="shared" ref="J560:J561" si="246">J562+J564+J566</f>
        <v>0</v>
      </c>
      <c r="K560" s="1162">
        <f t="shared" ca="1" si="245"/>
        <v>0</v>
      </c>
      <c r="L560" s="998"/>
      <c r="M560" s="998"/>
      <c r="N560" s="998"/>
      <c r="O560" s="998"/>
      <c r="P560" s="998"/>
      <c r="Q560" s="1302"/>
      <c r="R560" s="1302"/>
      <c r="S560" s="1302"/>
      <c r="T560" s="1302"/>
      <c r="U560" s="1302"/>
      <c r="V560" s="1302"/>
      <c r="W560" s="1302"/>
      <c r="X560" s="1302"/>
      <c r="Y560" s="1302"/>
      <c r="Z560" s="1302"/>
    </row>
    <row r="561" spans="1:26" ht="19.5" hidden="1">
      <c r="A561" s="1326"/>
      <c r="B561" s="1327"/>
      <c r="C561" s="1327"/>
      <c r="D561" s="1014"/>
      <c r="E561" s="1014"/>
      <c r="F561" s="1014"/>
      <c r="G561" s="1007"/>
      <c r="H561" s="765" t="s">
        <v>34</v>
      </c>
      <c r="I561" s="1018">
        <f ca="1">IFERROR(__xludf.DUMMYFUNCTION("IMPORTRANGE(""https://docs.google.com/spreadsheets/d/1QqKyyYR6Q21VydFLVH3TRQUabQu_ym0Zz7PgGX0-kHA/edit?usp=sharing"",""แผน!HG83"")"),0)</f>
        <v>0</v>
      </c>
      <c r="J561" s="1018">
        <f t="shared" si="246"/>
        <v>0</v>
      </c>
      <c r="K561" s="1162">
        <f t="shared" ca="1" si="245"/>
        <v>0</v>
      </c>
      <c r="L561" s="998"/>
      <c r="M561" s="998"/>
      <c r="N561" s="998"/>
      <c r="O561" s="998"/>
      <c r="P561" s="998"/>
      <c r="Q561" s="1302"/>
      <c r="R561" s="1302"/>
      <c r="S561" s="1302"/>
      <c r="T561" s="1302"/>
      <c r="U561" s="1302"/>
      <c r="V561" s="1302"/>
      <c r="W561" s="1302"/>
      <c r="X561" s="1302"/>
      <c r="Y561" s="1302"/>
      <c r="Z561" s="1302"/>
    </row>
    <row r="562" spans="1:26" ht="18.75" hidden="1">
      <c r="A562" s="1326"/>
      <c r="B562" s="1327"/>
      <c r="C562" s="1327"/>
      <c r="D562" s="1014" t="s">
        <v>237</v>
      </c>
      <c r="E562" s="1014"/>
      <c r="F562" s="1014"/>
      <c r="G562" s="1007"/>
      <c r="H562" s="762" t="s">
        <v>46</v>
      </c>
      <c r="I562" s="997"/>
      <c r="J562" s="1012">
        <v>0</v>
      </c>
      <c r="K562" s="998"/>
      <c r="L562" s="998"/>
      <c r="M562" s="998"/>
      <c r="N562" s="998"/>
      <c r="O562" s="998"/>
      <c r="P562" s="998"/>
      <c r="Q562" s="1302"/>
      <c r="R562" s="1302"/>
      <c r="S562" s="1302"/>
      <c r="T562" s="1302"/>
      <c r="U562" s="1302"/>
      <c r="V562" s="1302"/>
      <c r="W562" s="1302"/>
      <c r="X562" s="1302"/>
      <c r="Y562" s="1302"/>
      <c r="Z562" s="1302"/>
    </row>
    <row r="563" spans="1:26" ht="18.75" hidden="1">
      <c r="A563" s="1326"/>
      <c r="B563" s="1327"/>
      <c r="C563" s="1327"/>
      <c r="D563" s="1327"/>
      <c r="E563" s="1014"/>
      <c r="F563" s="1014"/>
      <c r="G563" s="1007"/>
      <c r="H563" s="762" t="s">
        <v>34</v>
      </c>
      <c r="I563" s="997"/>
      <c r="J563" s="1012">
        <v>0</v>
      </c>
      <c r="K563" s="998"/>
      <c r="L563" s="998"/>
      <c r="M563" s="998"/>
      <c r="N563" s="998"/>
      <c r="O563" s="998"/>
      <c r="P563" s="998"/>
      <c r="Q563" s="1302"/>
      <c r="R563" s="1302"/>
      <c r="S563" s="1302"/>
      <c r="T563" s="1302"/>
      <c r="U563" s="1302"/>
      <c r="V563" s="1302"/>
      <c r="W563" s="1302"/>
      <c r="X563" s="1302"/>
      <c r="Y563" s="1302"/>
      <c r="Z563" s="1302"/>
    </row>
    <row r="564" spans="1:26" ht="18.75" hidden="1">
      <c r="A564" s="1326"/>
      <c r="B564" s="1327"/>
      <c r="C564" s="1327"/>
      <c r="D564" s="1014" t="s">
        <v>238</v>
      </c>
      <c r="E564" s="1014"/>
      <c r="F564" s="1014"/>
      <c r="G564" s="1007"/>
      <c r="H564" s="762" t="s">
        <v>46</v>
      </c>
      <c r="I564" s="997"/>
      <c r="J564" s="1012">
        <v>0</v>
      </c>
      <c r="K564" s="998"/>
      <c r="L564" s="998"/>
      <c r="M564" s="998"/>
      <c r="N564" s="998"/>
      <c r="O564" s="998"/>
      <c r="P564" s="998"/>
      <c r="Q564" s="1302"/>
      <c r="R564" s="1302"/>
      <c r="S564" s="1302"/>
      <c r="T564" s="1302"/>
      <c r="U564" s="1302"/>
      <c r="V564" s="1302"/>
      <c r="W564" s="1302"/>
      <c r="X564" s="1302"/>
      <c r="Y564" s="1302"/>
      <c r="Z564" s="1302"/>
    </row>
    <row r="565" spans="1:26" ht="18.75" hidden="1">
      <c r="A565" s="1326"/>
      <c r="B565" s="1327"/>
      <c r="C565" s="1327"/>
      <c r="D565" s="1014"/>
      <c r="E565" s="1014"/>
      <c r="F565" s="1014"/>
      <c r="G565" s="1007"/>
      <c r="H565" s="762" t="s">
        <v>34</v>
      </c>
      <c r="I565" s="997"/>
      <c r="J565" s="1012">
        <v>0</v>
      </c>
      <c r="K565" s="998"/>
      <c r="L565" s="998"/>
      <c r="M565" s="998"/>
      <c r="N565" s="998"/>
      <c r="O565" s="998"/>
      <c r="P565" s="998"/>
      <c r="Q565" s="1302"/>
      <c r="R565" s="1302"/>
      <c r="S565" s="1302"/>
      <c r="T565" s="1302"/>
      <c r="U565" s="1302"/>
      <c r="V565" s="1302"/>
      <c r="W565" s="1302"/>
      <c r="X565" s="1302"/>
      <c r="Y565" s="1302"/>
      <c r="Z565" s="1302"/>
    </row>
    <row r="566" spans="1:26" ht="18.75" hidden="1">
      <c r="A566" s="1326"/>
      <c r="B566" s="1327"/>
      <c r="C566" s="1327"/>
      <c r="D566" s="1014" t="s">
        <v>239</v>
      </c>
      <c r="E566" s="1014"/>
      <c r="F566" s="1014"/>
      <c r="G566" s="1007"/>
      <c r="H566" s="762" t="s">
        <v>46</v>
      </c>
      <c r="I566" s="997"/>
      <c r="J566" s="1012">
        <v>0</v>
      </c>
      <c r="K566" s="998"/>
      <c r="L566" s="998"/>
      <c r="M566" s="998"/>
      <c r="N566" s="998"/>
      <c r="O566" s="998"/>
      <c r="P566" s="998"/>
      <c r="Q566" s="1302"/>
      <c r="R566" s="1302"/>
      <c r="S566" s="1302"/>
      <c r="T566" s="1302"/>
      <c r="U566" s="1302"/>
      <c r="V566" s="1302"/>
      <c r="W566" s="1302"/>
      <c r="X566" s="1302"/>
      <c r="Y566" s="1302"/>
      <c r="Z566" s="1302"/>
    </row>
    <row r="567" spans="1:26" ht="18.75" hidden="1">
      <c r="A567" s="1326"/>
      <c r="B567" s="1327"/>
      <c r="C567" s="1327"/>
      <c r="D567" s="1014"/>
      <c r="E567" s="1014"/>
      <c r="F567" s="1014"/>
      <c r="G567" s="1007"/>
      <c r="H567" s="762" t="s">
        <v>34</v>
      </c>
      <c r="I567" s="997"/>
      <c r="J567" s="1012">
        <v>0</v>
      </c>
      <c r="K567" s="998"/>
      <c r="L567" s="998"/>
      <c r="M567" s="998"/>
      <c r="N567" s="998"/>
      <c r="O567" s="998"/>
      <c r="P567" s="998"/>
      <c r="Q567" s="1302"/>
      <c r="R567" s="1302"/>
      <c r="S567" s="1302"/>
      <c r="T567" s="1302"/>
      <c r="U567" s="1302"/>
      <c r="V567" s="1302"/>
      <c r="W567" s="1302"/>
      <c r="X567" s="1302"/>
      <c r="Y567" s="1302"/>
      <c r="Z567" s="1302"/>
    </row>
    <row r="568" spans="1:26" ht="19.5" hidden="1">
      <c r="A568" s="1326"/>
      <c r="B568" s="1327"/>
      <c r="C568" s="1336" t="s">
        <v>240</v>
      </c>
      <c r="D568" s="1014"/>
      <c r="E568" s="1014"/>
      <c r="F568" s="1014"/>
      <c r="G568" s="1007"/>
      <c r="H568" s="765" t="s">
        <v>46</v>
      </c>
      <c r="I568" s="1018">
        <f ca="1">IFERROR(__xludf.DUMMYFUNCTION("IMPORTRANGE(""https://docs.google.com/spreadsheets/d/1QqKyyYR6Q21VydFLVH3TRQUabQu_ym0Zz7PgGX0-kHA/edit?usp=sharing"",""แผน!HH83"")"),0)</f>
        <v>0</v>
      </c>
      <c r="J568" s="1019">
        <f t="shared" ref="J568:J569" si="247">J570+J572+J574</f>
        <v>0</v>
      </c>
      <c r="K568" s="1162">
        <f t="shared" ref="K568:K569" ca="1" si="248">IF(I568&gt;0,J568*100/I568,0)</f>
        <v>0</v>
      </c>
      <c r="L568" s="998"/>
      <c r="M568" s="998"/>
      <c r="N568" s="998"/>
      <c r="O568" s="998"/>
      <c r="P568" s="998"/>
      <c r="Q568" s="1302"/>
      <c r="R568" s="1302"/>
      <c r="S568" s="1302"/>
      <c r="T568" s="1302"/>
      <c r="U568" s="1302"/>
      <c r="V568" s="1302"/>
      <c r="W568" s="1302"/>
      <c r="X568" s="1302"/>
      <c r="Y568" s="1302"/>
      <c r="Z568" s="1302"/>
    </row>
    <row r="569" spans="1:26" ht="19.5" hidden="1">
      <c r="A569" s="1326"/>
      <c r="B569" s="1327"/>
      <c r="C569" s="1327"/>
      <c r="D569" s="1327"/>
      <c r="E569" s="1014"/>
      <c r="F569" s="1014"/>
      <c r="G569" s="1007"/>
      <c r="H569" s="765" t="s">
        <v>34</v>
      </c>
      <c r="I569" s="1018">
        <f ca="1">IFERROR(__xludf.DUMMYFUNCTION("IMPORTRANGE(""https://docs.google.com/spreadsheets/d/1QqKyyYR6Q21VydFLVH3TRQUabQu_ym0Zz7PgGX0-kHA/edit?usp=sharing"",""แผน!HG83"")"),0)</f>
        <v>0</v>
      </c>
      <c r="J569" s="1019">
        <f t="shared" si="247"/>
        <v>0</v>
      </c>
      <c r="K569" s="1162">
        <f t="shared" ca="1" si="248"/>
        <v>0</v>
      </c>
      <c r="L569" s="998"/>
      <c r="M569" s="998"/>
      <c r="N569" s="998"/>
      <c r="O569" s="998"/>
      <c r="P569" s="998"/>
      <c r="Q569" s="1302"/>
      <c r="R569" s="1302"/>
      <c r="S569" s="1302"/>
      <c r="T569" s="1302"/>
      <c r="U569" s="1302"/>
      <c r="V569" s="1302"/>
      <c r="W569" s="1302"/>
      <c r="X569" s="1302"/>
      <c r="Y569" s="1302"/>
      <c r="Z569" s="1302"/>
    </row>
    <row r="570" spans="1:26" ht="18.75" hidden="1">
      <c r="A570" s="1326"/>
      <c r="B570" s="1327"/>
      <c r="C570" s="1327"/>
      <c r="D570" s="1014" t="s">
        <v>241</v>
      </c>
      <c r="E570" s="1327"/>
      <c r="F570" s="1014"/>
      <c r="G570" s="1007"/>
      <c r="H570" s="762" t="s">
        <v>46</v>
      </c>
      <c r="I570" s="997"/>
      <c r="J570" s="1012">
        <v>0</v>
      </c>
      <c r="K570" s="998"/>
      <c r="L570" s="998"/>
      <c r="M570" s="998"/>
      <c r="N570" s="998"/>
      <c r="O570" s="998"/>
      <c r="P570" s="998"/>
      <c r="Q570" s="1302"/>
      <c r="R570" s="1302"/>
      <c r="S570" s="1302"/>
      <c r="T570" s="1302"/>
      <c r="U570" s="1302"/>
      <c r="V570" s="1302"/>
      <c r="W570" s="1302"/>
      <c r="X570" s="1302"/>
      <c r="Y570" s="1302"/>
      <c r="Z570" s="1302"/>
    </row>
    <row r="571" spans="1:26" ht="18.75" hidden="1">
      <c r="A571" s="1326"/>
      <c r="B571" s="1327"/>
      <c r="C571" s="1327"/>
      <c r="D571" s="1327"/>
      <c r="E571" s="1014"/>
      <c r="F571" s="1014"/>
      <c r="G571" s="1007"/>
      <c r="H571" s="762" t="s">
        <v>34</v>
      </c>
      <c r="I571" s="997"/>
      <c r="J571" s="1012">
        <v>0</v>
      </c>
      <c r="K571" s="998"/>
      <c r="L571" s="998"/>
      <c r="M571" s="998"/>
      <c r="N571" s="998"/>
      <c r="O571" s="998"/>
      <c r="P571" s="998"/>
      <c r="Q571" s="1302"/>
      <c r="R571" s="1302"/>
      <c r="S571" s="1302"/>
      <c r="T571" s="1302"/>
      <c r="U571" s="1302"/>
      <c r="V571" s="1302"/>
      <c r="W571" s="1302"/>
      <c r="X571" s="1302"/>
      <c r="Y571" s="1302"/>
      <c r="Z571" s="1302"/>
    </row>
    <row r="572" spans="1:26" ht="18.75" hidden="1">
      <c r="A572" s="1326"/>
      <c r="B572" s="1327"/>
      <c r="C572" s="1327"/>
      <c r="D572" s="1014" t="s">
        <v>242</v>
      </c>
      <c r="E572" s="1014"/>
      <c r="F572" s="1014"/>
      <c r="G572" s="1007"/>
      <c r="H572" s="762" t="s">
        <v>46</v>
      </c>
      <c r="I572" s="997"/>
      <c r="J572" s="1012">
        <v>0</v>
      </c>
      <c r="K572" s="998"/>
      <c r="L572" s="998"/>
      <c r="M572" s="998"/>
      <c r="N572" s="998"/>
      <c r="O572" s="998"/>
      <c r="P572" s="998"/>
      <c r="Q572" s="1302"/>
      <c r="R572" s="1302"/>
      <c r="S572" s="1302"/>
      <c r="T572" s="1302"/>
      <c r="U572" s="1302"/>
      <c r="V572" s="1302"/>
      <c r="W572" s="1302"/>
      <c r="X572" s="1302"/>
      <c r="Y572" s="1302"/>
      <c r="Z572" s="1302"/>
    </row>
    <row r="573" spans="1:26" ht="18.75" hidden="1">
      <c r="A573" s="1326"/>
      <c r="B573" s="1327"/>
      <c r="C573" s="1327"/>
      <c r="D573" s="1014"/>
      <c r="E573" s="1014"/>
      <c r="F573" s="1014"/>
      <c r="G573" s="1007"/>
      <c r="H573" s="762" t="s">
        <v>34</v>
      </c>
      <c r="I573" s="997"/>
      <c r="J573" s="1012">
        <v>0</v>
      </c>
      <c r="K573" s="998"/>
      <c r="L573" s="998"/>
      <c r="M573" s="998"/>
      <c r="N573" s="998"/>
      <c r="O573" s="998"/>
      <c r="P573" s="998"/>
      <c r="Q573" s="1302"/>
      <c r="R573" s="1302"/>
      <c r="S573" s="1302"/>
      <c r="T573" s="1302"/>
      <c r="U573" s="1302"/>
      <c r="V573" s="1302"/>
      <c r="W573" s="1302"/>
      <c r="X573" s="1302"/>
      <c r="Y573" s="1302"/>
      <c r="Z573" s="1302"/>
    </row>
    <row r="574" spans="1:26" ht="18.75" hidden="1">
      <c r="A574" s="1326"/>
      <c r="B574" s="1327"/>
      <c r="C574" s="1327"/>
      <c r="D574" s="1014" t="s">
        <v>243</v>
      </c>
      <c r="E574" s="1014"/>
      <c r="F574" s="1014"/>
      <c r="G574" s="1007"/>
      <c r="H574" s="762" t="s">
        <v>46</v>
      </c>
      <c r="I574" s="997"/>
      <c r="J574" s="1012">
        <v>0</v>
      </c>
      <c r="K574" s="998"/>
      <c r="L574" s="998"/>
      <c r="M574" s="998"/>
      <c r="N574" s="998"/>
      <c r="O574" s="998"/>
      <c r="P574" s="998"/>
      <c r="Q574" s="1302"/>
      <c r="R574" s="1302"/>
      <c r="S574" s="1302"/>
      <c r="T574" s="1302"/>
      <c r="U574" s="1302"/>
      <c r="V574" s="1302"/>
      <c r="W574" s="1302"/>
      <c r="X574" s="1302"/>
      <c r="Y574" s="1302"/>
      <c r="Z574" s="1302"/>
    </row>
    <row r="575" spans="1:26" ht="18.75" hidden="1">
      <c r="A575" s="1326"/>
      <c r="B575" s="1327"/>
      <c r="C575" s="1327"/>
      <c r="D575" s="1327"/>
      <c r="E575" s="1014"/>
      <c r="F575" s="1014"/>
      <c r="G575" s="1007"/>
      <c r="H575" s="762" t="s">
        <v>34</v>
      </c>
      <c r="I575" s="997"/>
      <c r="J575" s="1012">
        <v>0</v>
      </c>
      <c r="K575" s="998"/>
      <c r="L575" s="998"/>
      <c r="M575" s="998"/>
      <c r="N575" s="998"/>
      <c r="O575" s="998"/>
      <c r="P575" s="998"/>
      <c r="Q575" s="1302"/>
      <c r="R575" s="1302"/>
      <c r="S575" s="1302"/>
      <c r="T575" s="1302"/>
      <c r="U575" s="1302"/>
      <c r="V575" s="1302"/>
      <c r="W575" s="1302"/>
      <c r="X575" s="1302"/>
      <c r="Y575" s="1302"/>
      <c r="Z575" s="1302"/>
    </row>
    <row r="576" spans="1:26" ht="19.5" hidden="1">
      <c r="A576" s="1326"/>
      <c r="B576" s="1327"/>
      <c r="C576" s="1336" t="s">
        <v>244</v>
      </c>
      <c r="D576" s="1327"/>
      <c r="E576" s="1327"/>
      <c r="F576" s="1014"/>
      <c r="G576" s="1007"/>
      <c r="H576" s="765" t="s">
        <v>46</v>
      </c>
      <c r="I576" s="1018">
        <f ca="1">IFERROR(__xludf.DUMMYFUNCTION("IMPORTRANGE(""https://docs.google.com/spreadsheets/d/1QqKyyYR6Q21VydFLVH3TRQUabQu_ym0Zz7PgGX0-kHA/edit?usp=sharing"",""แผน!HH83"")"),0)</f>
        <v>0</v>
      </c>
      <c r="J576" s="1019">
        <f t="shared" ref="J576:J577" si="249">J578+J580+J582+J588+J590</f>
        <v>0</v>
      </c>
      <c r="K576" s="1162">
        <f t="shared" ref="K576:K577" ca="1" si="250">IF(I576&gt;0,J576*100/I576,0)</f>
        <v>0</v>
      </c>
      <c r="L576" s="998"/>
      <c r="M576" s="998"/>
      <c r="N576" s="998"/>
      <c r="O576" s="998"/>
      <c r="P576" s="998"/>
      <c r="Q576" s="1302"/>
      <c r="R576" s="1302"/>
      <c r="S576" s="1302"/>
      <c r="T576" s="1302"/>
      <c r="U576" s="1302"/>
      <c r="V576" s="1302"/>
      <c r="W576" s="1302"/>
      <c r="X576" s="1302"/>
      <c r="Y576" s="1302"/>
      <c r="Z576" s="1302"/>
    </row>
    <row r="577" spans="1:26" ht="19.5" hidden="1">
      <c r="A577" s="1326"/>
      <c r="B577" s="1327"/>
      <c r="C577" s="1327"/>
      <c r="D577" s="1327"/>
      <c r="E577" s="1014"/>
      <c r="F577" s="1014"/>
      <c r="G577" s="1007"/>
      <c r="H577" s="765" t="s">
        <v>34</v>
      </c>
      <c r="I577" s="1018">
        <f ca="1">IFERROR(__xludf.DUMMYFUNCTION("IMPORTRANGE(""https://docs.google.com/spreadsheets/d/1QqKyyYR6Q21VydFLVH3TRQUabQu_ym0Zz7PgGX0-kHA/edit?usp=sharing"",""แผน!HG83"")"),0)</f>
        <v>0</v>
      </c>
      <c r="J577" s="1019">
        <f t="shared" si="249"/>
        <v>0</v>
      </c>
      <c r="K577" s="1162">
        <f t="shared" ca="1" si="250"/>
        <v>0</v>
      </c>
      <c r="L577" s="998"/>
      <c r="M577" s="998"/>
      <c r="N577" s="998"/>
      <c r="O577" s="998"/>
      <c r="P577" s="998"/>
      <c r="Q577" s="1302"/>
      <c r="R577" s="1302"/>
      <c r="S577" s="1302"/>
      <c r="T577" s="1302"/>
      <c r="U577" s="1302"/>
      <c r="V577" s="1302"/>
      <c r="W577" s="1302"/>
      <c r="X577" s="1302"/>
      <c r="Y577" s="1302"/>
      <c r="Z577" s="1302"/>
    </row>
    <row r="578" spans="1:26" ht="18.75" hidden="1">
      <c r="A578" s="1326"/>
      <c r="B578" s="1327"/>
      <c r="C578" s="1327"/>
      <c r="D578" s="1014" t="s">
        <v>245</v>
      </c>
      <c r="E578" s="1014"/>
      <c r="F578" s="1014"/>
      <c r="G578" s="1007"/>
      <c r="H578" s="762" t="s">
        <v>46</v>
      </c>
      <c r="I578" s="997"/>
      <c r="J578" s="1012">
        <v>0</v>
      </c>
      <c r="K578" s="998"/>
      <c r="L578" s="998"/>
      <c r="M578" s="998"/>
      <c r="N578" s="998"/>
      <c r="O578" s="998"/>
      <c r="P578" s="998"/>
      <c r="Q578" s="1302"/>
      <c r="R578" s="1302"/>
      <c r="S578" s="1302"/>
      <c r="T578" s="1302"/>
      <c r="U578" s="1302"/>
      <c r="V578" s="1302"/>
      <c r="W578" s="1302"/>
      <c r="X578" s="1302"/>
      <c r="Y578" s="1302"/>
      <c r="Z578" s="1302"/>
    </row>
    <row r="579" spans="1:26" ht="18.75" hidden="1">
      <c r="A579" s="1326"/>
      <c r="B579" s="1327"/>
      <c r="C579" s="1327"/>
      <c r="D579" s="1327"/>
      <c r="E579" s="1014"/>
      <c r="F579" s="1014"/>
      <c r="G579" s="1007"/>
      <c r="H579" s="762" t="s">
        <v>34</v>
      </c>
      <c r="I579" s="997"/>
      <c r="J579" s="1012">
        <v>0</v>
      </c>
      <c r="K579" s="998"/>
      <c r="L579" s="998"/>
      <c r="M579" s="998"/>
      <c r="N579" s="998"/>
      <c r="O579" s="998"/>
      <c r="P579" s="998"/>
      <c r="Q579" s="1302"/>
      <c r="R579" s="1302"/>
      <c r="S579" s="1302"/>
      <c r="T579" s="1302"/>
      <c r="U579" s="1302"/>
      <c r="V579" s="1302"/>
      <c r="W579" s="1302"/>
      <c r="X579" s="1302"/>
      <c r="Y579" s="1302"/>
      <c r="Z579" s="1302"/>
    </row>
    <row r="580" spans="1:26" ht="18.75" hidden="1">
      <c r="A580" s="1326"/>
      <c r="B580" s="1327"/>
      <c r="C580" s="1327"/>
      <c r="D580" s="1014" t="s">
        <v>246</v>
      </c>
      <c r="E580" s="1014"/>
      <c r="F580" s="1014"/>
      <c r="G580" s="1007"/>
      <c r="H580" s="762" t="s">
        <v>46</v>
      </c>
      <c r="I580" s="997"/>
      <c r="J580" s="1012">
        <v>0</v>
      </c>
      <c r="K580" s="998"/>
      <c r="L580" s="998"/>
      <c r="M580" s="998"/>
      <c r="N580" s="998"/>
      <c r="O580" s="998"/>
      <c r="P580" s="998"/>
      <c r="Q580" s="1302"/>
      <c r="R580" s="1302"/>
      <c r="S580" s="1302"/>
      <c r="T580" s="1302"/>
      <c r="U580" s="1302"/>
      <c r="V580" s="1302"/>
      <c r="W580" s="1302"/>
      <c r="X580" s="1302"/>
      <c r="Y580" s="1302"/>
      <c r="Z580" s="1302"/>
    </row>
    <row r="581" spans="1:26" ht="18.75" hidden="1">
      <c r="A581" s="1326"/>
      <c r="B581" s="1327"/>
      <c r="C581" s="1327"/>
      <c r="D581" s="1327"/>
      <c r="E581" s="1014"/>
      <c r="F581" s="1014"/>
      <c r="G581" s="1007"/>
      <c r="H581" s="762" t="s">
        <v>34</v>
      </c>
      <c r="I581" s="997"/>
      <c r="J581" s="1012">
        <v>0</v>
      </c>
      <c r="K581" s="998"/>
      <c r="L581" s="998"/>
      <c r="M581" s="998"/>
      <c r="N581" s="998"/>
      <c r="O581" s="998"/>
      <c r="P581" s="998"/>
      <c r="Q581" s="1302"/>
      <c r="R581" s="1302"/>
      <c r="S581" s="1302"/>
      <c r="T581" s="1302"/>
      <c r="U581" s="1302"/>
      <c r="V581" s="1302"/>
      <c r="W581" s="1302"/>
      <c r="X581" s="1302"/>
      <c r="Y581" s="1302"/>
      <c r="Z581" s="1302"/>
    </row>
    <row r="582" spans="1:26" ht="19.5" hidden="1">
      <c r="A582" s="1326"/>
      <c r="B582" s="1327"/>
      <c r="C582" s="1327"/>
      <c r="D582" s="1014" t="s">
        <v>247</v>
      </c>
      <c r="E582" s="1014"/>
      <c r="F582" s="1014"/>
      <c r="G582" s="1007"/>
      <c r="H582" s="762" t="s">
        <v>46</v>
      </c>
      <c r="I582" s="997"/>
      <c r="J582" s="1019">
        <f t="shared" ref="J582:J583" si="251">J584+J586</f>
        <v>0</v>
      </c>
      <c r="K582" s="1162"/>
      <c r="L582" s="998"/>
      <c r="M582" s="998"/>
      <c r="N582" s="998"/>
      <c r="O582" s="998"/>
      <c r="P582" s="998"/>
      <c r="Q582" s="1302"/>
      <c r="R582" s="1302"/>
      <c r="S582" s="1302"/>
      <c r="T582" s="1302"/>
      <c r="U582" s="1302"/>
      <c r="V582" s="1302"/>
      <c r="W582" s="1302"/>
      <c r="X582" s="1302"/>
      <c r="Y582" s="1302"/>
      <c r="Z582" s="1302"/>
    </row>
    <row r="583" spans="1:26" ht="19.5" hidden="1">
      <c r="A583" s="1326"/>
      <c r="B583" s="1327"/>
      <c r="C583" s="1327"/>
      <c r="D583" s="1327"/>
      <c r="E583" s="1014"/>
      <c r="F583" s="1014"/>
      <c r="G583" s="1007"/>
      <c r="H583" s="762" t="s">
        <v>34</v>
      </c>
      <c r="I583" s="997"/>
      <c r="J583" s="1019">
        <f t="shared" si="251"/>
        <v>0</v>
      </c>
      <c r="K583" s="1162"/>
      <c r="L583" s="998"/>
      <c r="M583" s="998"/>
      <c r="N583" s="998"/>
      <c r="O583" s="998"/>
      <c r="P583" s="998"/>
      <c r="Q583" s="1302"/>
      <c r="R583" s="1302"/>
      <c r="S583" s="1302"/>
      <c r="T583" s="1302"/>
      <c r="U583" s="1302"/>
      <c r="V583" s="1302"/>
      <c r="W583" s="1302"/>
      <c r="X583" s="1302"/>
      <c r="Y583" s="1302"/>
      <c r="Z583" s="1302"/>
    </row>
    <row r="584" spans="1:26" ht="18.75" hidden="1">
      <c r="A584" s="1326"/>
      <c r="B584" s="1327"/>
      <c r="C584" s="1327"/>
      <c r="D584" s="1327"/>
      <c r="E584" s="1014" t="s">
        <v>248</v>
      </c>
      <c r="F584" s="1014"/>
      <c r="G584" s="1007"/>
      <c r="H584" s="762" t="s">
        <v>46</v>
      </c>
      <c r="I584" s="997"/>
      <c r="J584" s="1012">
        <v>0</v>
      </c>
      <c r="K584" s="998"/>
      <c r="L584" s="998"/>
      <c r="M584" s="998"/>
      <c r="N584" s="998"/>
      <c r="O584" s="998"/>
      <c r="P584" s="998"/>
      <c r="Q584" s="1302"/>
      <c r="R584" s="1302"/>
      <c r="S584" s="1302"/>
      <c r="T584" s="1302"/>
      <c r="U584" s="1302"/>
      <c r="V584" s="1302"/>
      <c r="W584" s="1302"/>
      <c r="X584" s="1302"/>
      <c r="Y584" s="1302"/>
      <c r="Z584" s="1302"/>
    </row>
    <row r="585" spans="1:26" ht="18.75" hidden="1">
      <c r="A585" s="1326"/>
      <c r="B585" s="1327"/>
      <c r="C585" s="1327"/>
      <c r="D585" s="1327"/>
      <c r="E585" s="1014"/>
      <c r="F585" s="1014"/>
      <c r="G585" s="1007"/>
      <c r="H585" s="762" t="s">
        <v>34</v>
      </c>
      <c r="I585" s="997"/>
      <c r="J585" s="1012">
        <v>0</v>
      </c>
      <c r="K585" s="998"/>
      <c r="L585" s="998"/>
      <c r="M585" s="998"/>
      <c r="N585" s="998"/>
      <c r="O585" s="998"/>
      <c r="P585" s="998"/>
      <c r="Q585" s="1302"/>
      <c r="R585" s="1302"/>
      <c r="S585" s="1302"/>
      <c r="T585" s="1302"/>
      <c r="U585" s="1302"/>
      <c r="V585" s="1302"/>
      <c r="W585" s="1302"/>
      <c r="X585" s="1302"/>
      <c r="Y585" s="1302"/>
      <c r="Z585" s="1302"/>
    </row>
    <row r="586" spans="1:26" ht="18.75" hidden="1">
      <c r="A586" s="1326"/>
      <c r="B586" s="1327"/>
      <c r="C586" s="1327"/>
      <c r="D586" s="1327"/>
      <c r="E586" s="1014" t="s">
        <v>249</v>
      </c>
      <c r="F586" s="1014"/>
      <c r="G586" s="1007"/>
      <c r="H586" s="762" t="s">
        <v>46</v>
      </c>
      <c r="I586" s="997"/>
      <c r="J586" s="1012">
        <v>0</v>
      </c>
      <c r="K586" s="998"/>
      <c r="L586" s="998"/>
      <c r="M586" s="998"/>
      <c r="N586" s="998"/>
      <c r="O586" s="998"/>
      <c r="P586" s="998"/>
      <c r="Q586" s="1302"/>
      <c r="R586" s="1302"/>
      <c r="S586" s="1302"/>
      <c r="T586" s="1302"/>
      <c r="U586" s="1302"/>
      <c r="V586" s="1302"/>
      <c r="W586" s="1302"/>
      <c r="X586" s="1302"/>
      <c r="Y586" s="1302"/>
      <c r="Z586" s="1302"/>
    </row>
    <row r="587" spans="1:26" ht="18.75" hidden="1">
      <c r="A587" s="1326"/>
      <c r="B587" s="1327"/>
      <c r="C587" s="1327"/>
      <c r="D587" s="1327"/>
      <c r="E587" s="1327"/>
      <c r="F587" s="1014"/>
      <c r="G587" s="1007"/>
      <c r="H587" s="762" t="s">
        <v>34</v>
      </c>
      <c r="I587" s="997"/>
      <c r="J587" s="1012">
        <v>0</v>
      </c>
      <c r="K587" s="998"/>
      <c r="L587" s="998"/>
      <c r="M587" s="998"/>
      <c r="N587" s="998"/>
      <c r="O587" s="998"/>
      <c r="P587" s="998"/>
      <c r="Q587" s="1302"/>
      <c r="R587" s="1302"/>
      <c r="S587" s="1302"/>
      <c r="T587" s="1302"/>
      <c r="U587" s="1302"/>
      <c r="V587" s="1302"/>
      <c r="W587" s="1302"/>
      <c r="X587" s="1302"/>
      <c r="Y587" s="1302"/>
      <c r="Z587" s="1302"/>
    </row>
    <row r="588" spans="1:26" ht="18.75" hidden="1">
      <c r="A588" s="1326"/>
      <c r="B588" s="1327"/>
      <c r="C588" s="1327"/>
      <c r="D588" s="1014" t="s">
        <v>250</v>
      </c>
      <c r="E588" s="1014"/>
      <c r="F588" s="1014"/>
      <c r="G588" s="1007"/>
      <c r="H588" s="762" t="s">
        <v>46</v>
      </c>
      <c r="I588" s="997"/>
      <c r="J588" s="1012">
        <v>0</v>
      </c>
      <c r="K588" s="998"/>
      <c r="L588" s="998"/>
      <c r="M588" s="998"/>
      <c r="N588" s="998"/>
      <c r="O588" s="998"/>
      <c r="P588" s="998"/>
      <c r="Q588" s="1302"/>
      <c r="R588" s="1302"/>
      <c r="S588" s="1302"/>
      <c r="T588" s="1302"/>
      <c r="U588" s="1302"/>
      <c r="V588" s="1302"/>
      <c r="W588" s="1302"/>
      <c r="X588" s="1302"/>
      <c r="Y588" s="1302"/>
      <c r="Z588" s="1302"/>
    </row>
    <row r="589" spans="1:26" ht="18.75" hidden="1">
      <c r="A589" s="1326"/>
      <c r="B589" s="1327"/>
      <c r="C589" s="1327"/>
      <c r="D589" s="1327"/>
      <c r="E589" s="1327"/>
      <c r="F589" s="1014"/>
      <c r="G589" s="1007"/>
      <c r="H589" s="762" t="s">
        <v>34</v>
      </c>
      <c r="I589" s="997"/>
      <c r="J589" s="1012">
        <v>0</v>
      </c>
      <c r="K589" s="998"/>
      <c r="L589" s="998"/>
      <c r="M589" s="998"/>
      <c r="N589" s="998"/>
      <c r="O589" s="998"/>
      <c r="P589" s="998"/>
      <c r="Q589" s="1302"/>
      <c r="R589" s="1302"/>
      <c r="S589" s="1302"/>
      <c r="T589" s="1302"/>
      <c r="U589" s="1302"/>
      <c r="V589" s="1302"/>
      <c r="W589" s="1302"/>
      <c r="X589" s="1302"/>
      <c r="Y589" s="1302"/>
      <c r="Z589" s="1302"/>
    </row>
    <row r="590" spans="1:26" ht="18.75" hidden="1">
      <c r="A590" s="1326"/>
      <c r="B590" s="1327"/>
      <c r="C590" s="1327"/>
      <c r="D590" s="1014" t="s">
        <v>251</v>
      </c>
      <c r="E590" s="1014"/>
      <c r="F590" s="1014"/>
      <c r="G590" s="1007"/>
      <c r="H590" s="762" t="s">
        <v>46</v>
      </c>
      <c r="I590" s="997"/>
      <c r="J590" s="1012">
        <v>0</v>
      </c>
      <c r="K590" s="998"/>
      <c r="L590" s="998"/>
      <c r="M590" s="998"/>
      <c r="N590" s="998"/>
      <c r="O590" s="998"/>
      <c r="P590" s="998"/>
      <c r="Q590" s="1302"/>
      <c r="R590" s="1302"/>
      <c r="S590" s="1302"/>
      <c r="T590" s="1302"/>
      <c r="U590" s="1302"/>
      <c r="V590" s="1302"/>
      <c r="W590" s="1302"/>
      <c r="X590" s="1302"/>
      <c r="Y590" s="1302"/>
      <c r="Z590" s="1302"/>
    </row>
    <row r="591" spans="1:26" ht="18.75" hidden="1">
      <c r="A591" s="1393"/>
      <c r="B591" s="1394"/>
      <c r="C591" s="1394"/>
      <c r="D591" s="1394"/>
      <c r="E591" s="1302"/>
      <c r="F591" s="1302"/>
      <c r="G591" s="1395"/>
      <c r="H591" s="697" t="s">
        <v>34</v>
      </c>
      <c r="I591" s="1396"/>
      <c r="J591" s="1397">
        <v>0</v>
      </c>
      <c r="K591" s="1398"/>
      <c r="L591" s="1398"/>
      <c r="M591" s="1398"/>
      <c r="N591" s="1398"/>
      <c r="O591" s="1398"/>
      <c r="P591" s="1398"/>
      <c r="Q591" s="1302"/>
      <c r="R591" s="1302"/>
      <c r="S591" s="1302"/>
      <c r="T591" s="1302"/>
      <c r="U591" s="1302"/>
      <c r="V591" s="1302"/>
      <c r="W591" s="1302"/>
      <c r="X591" s="1302"/>
      <c r="Y591" s="1302"/>
      <c r="Z591" s="1302"/>
    </row>
    <row r="592" spans="1:26" ht="19.5">
      <c r="A592" s="1390"/>
      <c r="B592" s="1391" t="s">
        <v>252</v>
      </c>
      <c r="C592" s="1392"/>
      <c r="D592" s="1392"/>
      <c r="E592" s="1375"/>
      <c r="F592" s="1375"/>
      <c r="G592" s="1376"/>
      <c r="H592" s="693" t="s">
        <v>46</v>
      </c>
      <c r="I592" s="1399">
        <f t="shared" ref="I592:J592" ca="1" si="252">I593</f>
        <v>428.41</v>
      </c>
      <c r="J592" s="1377">
        <f t="shared" si="252"/>
        <v>0</v>
      </c>
      <c r="K592" s="1378">
        <f t="shared" ref="K592:K594" ca="1" si="253">IF(I592&gt;0,J592*100/I592,0)</f>
        <v>0</v>
      </c>
      <c r="L592" s="1379"/>
      <c r="M592" s="1379"/>
      <c r="N592" s="1379"/>
      <c r="O592" s="1379"/>
      <c r="P592" s="1379"/>
      <c r="Q592" s="1302"/>
      <c r="R592" s="1302"/>
      <c r="S592" s="1302"/>
      <c r="T592" s="1302"/>
      <c r="U592" s="1302"/>
      <c r="V592" s="1302"/>
      <c r="W592" s="1302"/>
      <c r="X592" s="1302"/>
      <c r="Y592" s="1302"/>
      <c r="Z592" s="1302"/>
    </row>
    <row r="593" spans="1:26" ht="19.5">
      <c r="A593" s="1326"/>
      <c r="B593" s="1327"/>
      <c r="C593" s="1336" t="s">
        <v>253</v>
      </c>
      <c r="D593" s="1327"/>
      <c r="E593" s="1327"/>
      <c r="F593" s="1014"/>
      <c r="G593" s="1007"/>
      <c r="H593" s="765" t="s">
        <v>46</v>
      </c>
      <c r="I593" s="1400">
        <f ca="1">IFERROR(__xludf.DUMMYFUNCTION("IMPORTRANGE(""https://docs.google.com/spreadsheets/d/1QqKyyYR6Q21VydFLVH3TRQUabQu_ym0Zz7PgGX0-kHA/edit?usp=sharing"",""แผน!HJ83"")"),428.41)</f>
        <v>428.41</v>
      </c>
      <c r="J593" s="1018">
        <f t="shared" ref="J593:J594" si="254">J595+J603+J609</f>
        <v>0</v>
      </c>
      <c r="K593" s="1162">
        <f t="shared" ca="1" si="253"/>
        <v>0</v>
      </c>
      <c r="L593" s="998"/>
      <c r="M593" s="998"/>
      <c r="N593" s="998"/>
      <c r="O593" s="998"/>
      <c r="P593" s="998"/>
      <c r="Q593" s="1302"/>
      <c r="R593" s="1302"/>
      <c r="S593" s="1302"/>
      <c r="T593" s="1302"/>
      <c r="U593" s="1302"/>
      <c r="V593" s="1302"/>
      <c r="W593" s="1302"/>
      <c r="X593" s="1302"/>
      <c r="Y593" s="1302"/>
      <c r="Z593" s="1302"/>
    </row>
    <row r="594" spans="1:26" ht="19.5">
      <c r="A594" s="1326"/>
      <c r="B594" s="1327"/>
      <c r="C594" s="1327"/>
      <c r="D594" s="1327"/>
      <c r="E594" s="1014"/>
      <c r="F594" s="1014"/>
      <c r="G594" s="1007"/>
      <c r="H594" s="765" t="s">
        <v>34</v>
      </c>
      <c r="I594" s="1018">
        <f ca="1">IFERROR(__xludf.DUMMYFUNCTION("IMPORTRANGE(""https://docs.google.com/spreadsheets/d/1QqKyyYR6Q21VydFLVH3TRQUabQu_ym0Zz7PgGX0-kHA/edit?usp=sharing"",""แผน!HI83"")"),31)</f>
        <v>31</v>
      </c>
      <c r="J594" s="1018">
        <f t="shared" si="254"/>
        <v>0</v>
      </c>
      <c r="K594" s="1162">
        <f t="shared" ca="1" si="253"/>
        <v>0</v>
      </c>
      <c r="L594" s="998"/>
      <c r="M594" s="998"/>
      <c r="N594" s="998"/>
      <c r="O594" s="998"/>
      <c r="P594" s="998"/>
      <c r="Q594" s="1302"/>
      <c r="R594" s="1302"/>
      <c r="S594" s="1302"/>
      <c r="T594" s="1302"/>
      <c r="U594" s="1302"/>
      <c r="V594" s="1302"/>
      <c r="W594" s="1302"/>
      <c r="X594" s="1302"/>
      <c r="Y594" s="1302"/>
      <c r="Z594" s="1302"/>
    </row>
    <row r="595" spans="1:26" ht="18.75">
      <c r="A595" s="1326"/>
      <c r="B595" s="1327"/>
      <c r="C595" s="1327" t="s">
        <v>254</v>
      </c>
      <c r="D595" s="1327"/>
      <c r="E595" s="1327"/>
      <c r="F595" s="1014"/>
      <c r="G595" s="1007"/>
      <c r="H595" s="762" t="s">
        <v>46</v>
      </c>
      <c r="I595" s="997"/>
      <c r="J595" s="997">
        <f t="shared" ref="J595:J596" si="255">J597+J599</f>
        <v>0</v>
      </c>
      <c r="K595" s="998"/>
      <c r="L595" s="998"/>
      <c r="M595" s="998"/>
      <c r="N595" s="998"/>
      <c r="O595" s="998"/>
      <c r="P595" s="998"/>
      <c r="Q595" s="1302"/>
      <c r="R595" s="1302"/>
      <c r="S595" s="1302"/>
      <c r="T595" s="1302"/>
      <c r="U595" s="1302"/>
      <c r="V595" s="1302"/>
      <c r="W595" s="1302"/>
      <c r="X595" s="1302"/>
      <c r="Y595" s="1302"/>
      <c r="Z595" s="1302"/>
    </row>
    <row r="596" spans="1:26" ht="18.75">
      <c r="A596" s="1326"/>
      <c r="B596" s="1327"/>
      <c r="C596" s="1327"/>
      <c r="D596" s="1327"/>
      <c r="E596" s="1014"/>
      <c r="F596" s="1014"/>
      <c r="G596" s="1007"/>
      <c r="H596" s="762" t="s">
        <v>34</v>
      </c>
      <c r="I596" s="997"/>
      <c r="J596" s="997">
        <f t="shared" si="255"/>
        <v>0</v>
      </c>
      <c r="K596" s="998"/>
      <c r="L596" s="998"/>
      <c r="M596" s="998"/>
      <c r="N596" s="998"/>
      <c r="O596" s="998"/>
      <c r="P596" s="998"/>
      <c r="Q596" s="1302"/>
      <c r="R596" s="1302"/>
      <c r="S596" s="1302"/>
      <c r="T596" s="1302"/>
      <c r="U596" s="1302"/>
      <c r="V596" s="1302"/>
      <c r="W596" s="1302"/>
      <c r="X596" s="1302"/>
      <c r="Y596" s="1302"/>
      <c r="Z596" s="1302"/>
    </row>
    <row r="597" spans="1:26" ht="18.75">
      <c r="A597" s="1326"/>
      <c r="B597" s="1327"/>
      <c r="C597" s="1327"/>
      <c r="D597" s="1069" t="s">
        <v>255</v>
      </c>
      <c r="E597" s="1014"/>
      <c r="F597" s="1014"/>
      <c r="G597" s="1007"/>
      <c r="H597" s="762" t="s">
        <v>46</v>
      </c>
      <c r="I597" s="997"/>
      <c r="J597" s="1012">
        <v>0</v>
      </c>
      <c r="K597" s="998"/>
      <c r="L597" s="998"/>
      <c r="M597" s="998"/>
      <c r="N597" s="998"/>
      <c r="O597" s="998"/>
      <c r="P597" s="998"/>
      <c r="Q597" s="1302"/>
      <c r="R597" s="1302"/>
      <c r="S597" s="1302"/>
      <c r="T597" s="1302"/>
      <c r="U597" s="1302"/>
      <c r="V597" s="1302"/>
      <c r="W597" s="1302"/>
      <c r="X597" s="1302"/>
      <c r="Y597" s="1302"/>
      <c r="Z597" s="1302"/>
    </row>
    <row r="598" spans="1:26" ht="18.75">
      <c r="A598" s="1326"/>
      <c r="B598" s="1327"/>
      <c r="C598" s="1327"/>
      <c r="D598" s="1327"/>
      <c r="E598" s="1014"/>
      <c r="F598" s="1014"/>
      <c r="G598" s="1007"/>
      <c r="H598" s="762" t="s">
        <v>34</v>
      </c>
      <c r="I598" s="880"/>
      <c r="J598" s="1012">
        <v>0</v>
      </c>
      <c r="K598" s="998"/>
      <c r="L598" s="998"/>
      <c r="M598" s="998"/>
      <c r="N598" s="998"/>
      <c r="O598" s="998"/>
      <c r="P598" s="998"/>
      <c r="Q598" s="1302"/>
      <c r="R598" s="1302"/>
      <c r="S598" s="1302"/>
      <c r="T598" s="1302"/>
      <c r="U598" s="1302"/>
      <c r="V598" s="1302"/>
      <c r="W598" s="1302"/>
      <c r="X598" s="1302"/>
      <c r="Y598" s="1302"/>
      <c r="Z598" s="1302"/>
    </row>
    <row r="599" spans="1:26" ht="18.75">
      <c r="A599" s="1326"/>
      <c r="B599" s="1327"/>
      <c r="C599" s="1327"/>
      <c r="D599" s="1069" t="s">
        <v>256</v>
      </c>
      <c r="E599" s="1014"/>
      <c r="F599" s="1014"/>
      <c r="G599" s="1007"/>
      <c r="H599" s="762" t="s">
        <v>46</v>
      </c>
      <c r="I599" s="880"/>
      <c r="J599" s="1012">
        <v>0</v>
      </c>
      <c r="K599" s="998"/>
      <c r="L599" s="998"/>
      <c r="M599" s="998"/>
      <c r="N599" s="998"/>
      <c r="O599" s="998"/>
      <c r="P599" s="998"/>
      <c r="Q599" s="1302"/>
      <c r="R599" s="1302"/>
      <c r="S599" s="1302"/>
      <c r="T599" s="1302"/>
      <c r="U599" s="1302"/>
      <c r="V599" s="1302"/>
      <c r="W599" s="1302"/>
      <c r="X599" s="1302"/>
      <c r="Y599" s="1302"/>
      <c r="Z599" s="1302"/>
    </row>
    <row r="600" spans="1:26" ht="18.75">
      <c r="A600" s="1326"/>
      <c r="B600" s="1327"/>
      <c r="C600" s="1327"/>
      <c r="D600" s="1327"/>
      <c r="E600" s="1014"/>
      <c r="F600" s="1014"/>
      <c r="G600" s="1007"/>
      <c r="H600" s="762" t="s">
        <v>34</v>
      </c>
      <c r="I600" s="880"/>
      <c r="J600" s="1012">
        <v>0</v>
      </c>
      <c r="K600" s="998"/>
      <c r="L600" s="998"/>
      <c r="M600" s="998"/>
      <c r="N600" s="998"/>
      <c r="O600" s="998"/>
      <c r="P600" s="998"/>
      <c r="Q600" s="1302"/>
      <c r="R600" s="1302"/>
      <c r="S600" s="1302"/>
      <c r="T600" s="1302"/>
      <c r="U600" s="1302"/>
      <c r="V600" s="1302"/>
      <c r="W600" s="1302"/>
      <c r="X600" s="1302"/>
      <c r="Y600" s="1302"/>
      <c r="Z600" s="1302"/>
    </row>
    <row r="601" spans="1:26" ht="18.75">
      <c r="A601" s="1326"/>
      <c r="B601" s="1327"/>
      <c r="C601" s="1327"/>
      <c r="D601" s="1069" t="s">
        <v>257</v>
      </c>
      <c r="E601" s="1014"/>
      <c r="F601" s="1014"/>
      <c r="G601" s="1007"/>
      <c r="H601" s="762" t="s">
        <v>46</v>
      </c>
      <c r="I601" s="880"/>
      <c r="J601" s="1012">
        <v>0</v>
      </c>
      <c r="K601" s="998"/>
      <c r="L601" s="998"/>
      <c r="M601" s="998"/>
      <c r="N601" s="998"/>
      <c r="O601" s="998"/>
      <c r="P601" s="998"/>
      <c r="Q601" s="1302"/>
      <c r="R601" s="1302"/>
      <c r="S601" s="1302"/>
      <c r="T601" s="1302"/>
      <c r="U601" s="1302"/>
      <c r="V601" s="1302"/>
      <c r="W601" s="1302"/>
      <c r="X601" s="1302"/>
      <c r="Y601" s="1302"/>
      <c r="Z601" s="1302"/>
    </row>
    <row r="602" spans="1:26" ht="18.75">
      <c r="A602" s="1326"/>
      <c r="B602" s="1327"/>
      <c r="C602" s="1327"/>
      <c r="D602" s="1327"/>
      <c r="E602" s="1014"/>
      <c r="F602" s="1014"/>
      <c r="G602" s="1007"/>
      <c r="H602" s="762" t="s">
        <v>34</v>
      </c>
      <c r="I602" s="880"/>
      <c r="J602" s="1012">
        <v>0</v>
      </c>
      <c r="K602" s="998"/>
      <c r="L602" s="998"/>
      <c r="M602" s="998"/>
      <c r="N602" s="998"/>
      <c r="O602" s="998"/>
      <c r="P602" s="998"/>
      <c r="Q602" s="1302"/>
      <c r="R602" s="1302"/>
      <c r="S602" s="1302"/>
      <c r="T602" s="1302"/>
      <c r="U602" s="1302"/>
      <c r="V602" s="1302"/>
      <c r="W602" s="1302"/>
      <c r="X602" s="1302"/>
      <c r="Y602" s="1302"/>
      <c r="Z602" s="1302"/>
    </row>
    <row r="603" spans="1:26" ht="18.75">
      <c r="A603" s="1326"/>
      <c r="B603" s="1327"/>
      <c r="C603" s="1401" t="s">
        <v>258</v>
      </c>
      <c r="D603" s="1327"/>
      <c r="E603" s="1327"/>
      <c r="F603" s="1014"/>
      <c r="G603" s="1007"/>
      <c r="H603" s="762" t="s">
        <v>46</v>
      </c>
      <c r="I603" s="880"/>
      <c r="J603" s="880">
        <f t="shared" ref="J603:J604" si="256">J605+J607</f>
        <v>0</v>
      </c>
      <c r="K603" s="998"/>
      <c r="L603" s="998"/>
      <c r="M603" s="998"/>
      <c r="N603" s="998"/>
      <c r="O603" s="998"/>
      <c r="P603" s="998"/>
      <c r="Q603" s="1302"/>
      <c r="R603" s="1302"/>
      <c r="S603" s="1302"/>
      <c r="T603" s="1302"/>
      <c r="U603" s="1302"/>
      <c r="V603" s="1302"/>
      <c r="W603" s="1302"/>
      <c r="X603" s="1302"/>
      <c r="Y603" s="1302"/>
      <c r="Z603" s="1302"/>
    </row>
    <row r="604" spans="1:26" ht="18.75">
      <c r="A604" s="1326"/>
      <c r="B604" s="1327"/>
      <c r="C604" s="1327"/>
      <c r="D604" s="1327"/>
      <c r="E604" s="1014"/>
      <c r="F604" s="1014"/>
      <c r="G604" s="1007"/>
      <c r="H604" s="762" t="s">
        <v>34</v>
      </c>
      <c r="I604" s="880"/>
      <c r="J604" s="880">
        <f t="shared" si="256"/>
        <v>0</v>
      </c>
      <c r="K604" s="998"/>
      <c r="L604" s="998"/>
      <c r="M604" s="998"/>
      <c r="N604" s="998"/>
      <c r="O604" s="998"/>
      <c r="P604" s="998"/>
      <c r="Q604" s="1302"/>
      <c r="R604" s="1302"/>
      <c r="S604" s="1302"/>
      <c r="T604" s="1302"/>
      <c r="U604" s="1302"/>
      <c r="V604" s="1302"/>
      <c r="W604" s="1302"/>
      <c r="X604" s="1302"/>
      <c r="Y604" s="1302"/>
      <c r="Z604" s="1302"/>
    </row>
    <row r="605" spans="1:26" ht="18.75">
      <c r="A605" s="1326"/>
      <c r="B605" s="1327"/>
      <c r="C605" s="1327"/>
      <c r="D605" s="1401" t="s">
        <v>259</v>
      </c>
      <c r="E605" s="1014"/>
      <c r="F605" s="1014"/>
      <c r="G605" s="1007"/>
      <c r="H605" s="762" t="s">
        <v>46</v>
      </c>
      <c r="I605" s="880"/>
      <c r="J605" s="1012">
        <v>0</v>
      </c>
      <c r="K605" s="998"/>
      <c r="L605" s="998"/>
      <c r="M605" s="998"/>
      <c r="N605" s="998"/>
      <c r="O605" s="998"/>
      <c r="P605" s="998"/>
      <c r="Q605" s="1302"/>
      <c r="R605" s="1302"/>
      <c r="S605" s="1302"/>
      <c r="T605" s="1302"/>
      <c r="U605" s="1302"/>
      <c r="V605" s="1302"/>
      <c r="W605" s="1302"/>
      <c r="X605" s="1302"/>
      <c r="Y605" s="1302"/>
      <c r="Z605" s="1302"/>
    </row>
    <row r="606" spans="1:26" ht="18.75">
      <c r="A606" s="1326"/>
      <c r="B606" s="1327"/>
      <c r="C606" s="1327"/>
      <c r="D606" s="1327"/>
      <c r="E606" s="1327"/>
      <c r="F606" s="1014"/>
      <c r="G606" s="1007"/>
      <c r="H606" s="762" t="s">
        <v>34</v>
      </c>
      <c r="I606" s="880"/>
      <c r="J606" s="1012">
        <v>0</v>
      </c>
      <c r="K606" s="998"/>
      <c r="L606" s="998"/>
      <c r="M606" s="998"/>
      <c r="N606" s="998"/>
      <c r="O606" s="998"/>
      <c r="P606" s="998"/>
      <c r="Q606" s="1302"/>
      <c r="R606" s="1302"/>
      <c r="S606" s="1302"/>
      <c r="T606" s="1302"/>
      <c r="U606" s="1302"/>
      <c r="V606" s="1302"/>
      <c r="W606" s="1302"/>
      <c r="X606" s="1302"/>
      <c r="Y606" s="1302"/>
      <c r="Z606" s="1302"/>
    </row>
    <row r="607" spans="1:26" ht="18.75">
      <c r="A607" s="1326"/>
      <c r="B607" s="1327"/>
      <c r="C607" s="1327"/>
      <c r="D607" s="1401" t="s">
        <v>260</v>
      </c>
      <c r="E607" s="1327"/>
      <c r="F607" s="1014"/>
      <c r="G607" s="1007"/>
      <c r="H607" s="762" t="s">
        <v>46</v>
      </c>
      <c r="I607" s="880"/>
      <c r="J607" s="1012">
        <v>0</v>
      </c>
      <c r="K607" s="998"/>
      <c r="L607" s="998"/>
      <c r="M607" s="998"/>
      <c r="N607" s="998"/>
      <c r="O607" s="998"/>
      <c r="P607" s="998"/>
      <c r="Q607" s="1302"/>
      <c r="R607" s="1302"/>
      <c r="S607" s="1302"/>
      <c r="T607" s="1302"/>
      <c r="U607" s="1302"/>
      <c r="V607" s="1302"/>
      <c r="W607" s="1302"/>
      <c r="X607" s="1302"/>
      <c r="Y607" s="1302"/>
      <c r="Z607" s="1302"/>
    </row>
    <row r="608" spans="1:26" ht="18.75">
      <c r="A608" s="1326"/>
      <c r="B608" s="1327"/>
      <c r="C608" s="1327"/>
      <c r="D608" s="1327"/>
      <c r="E608" s="1014"/>
      <c r="F608" s="1014"/>
      <c r="G608" s="1007"/>
      <c r="H608" s="762" t="s">
        <v>34</v>
      </c>
      <c r="I608" s="880"/>
      <c r="J608" s="1012">
        <v>0</v>
      </c>
      <c r="K608" s="998"/>
      <c r="L608" s="998"/>
      <c r="M608" s="998"/>
      <c r="N608" s="998"/>
      <c r="O608" s="998"/>
      <c r="P608" s="998"/>
      <c r="Q608" s="1302"/>
      <c r="R608" s="1302"/>
      <c r="S608" s="1302"/>
      <c r="T608" s="1302"/>
      <c r="U608" s="1302"/>
      <c r="V608" s="1302"/>
      <c r="W608" s="1302"/>
      <c r="X608" s="1302"/>
      <c r="Y608" s="1302"/>
      <c r="Z608" s="1302"/>
    </row>
    <row r="609" spans="1:26" ht="18.75">
      <c r="A609" s="1326"/>
      <c r="B609" s="1327"/>
      <c r="C609" s="1327" t="s">
        <v>261</v>
      </c>
      <c r="D609" s="1327"/>
      <c r="E609" s="1327"/>
      <c r="F609" s="1014"/>
      <c r="G609" s="1007"/>
      <c r="H609" s="762" t="s">
        <v>46</v>
      </c>
      <c r="I609" s="880"/>
      <c r="J609" s="1012">
        <v>0</v>
      </c>
      <c r="K609" s="998"/>
      <c r="L609" s="998"/>
      <c r="M609" s="998"/>
      <c r="N609" s="998"/>
      <c r="O609" s="998"/>
      <c r="P609" s="998"/>
      <c r="Q609" s="1302"/>
      <c r="R609" s="1302"/>
      <c r="S609" s="1302"/>
      <c r="T609" s="1302"/>
      <c r="U609" s="1302"/>
      <c r="V609" s="1302"/>
      <c r="W609" s="1302"/>
      <c r="X609" s="1302"/>
      <c r="Y609" s="1302"/>
      <c r="Z609" s="1302"/>
    </row>
    <row r="610" spans="1:26" ht="18.75">
      <c r="A610" s="1326"/>
      <c r="B610" s="1327"/>
      <c r="C610" s="1327"/>
      <c r="D610" s="1327"/>
      <c r="E610" s="1014"/>
      <c r="F610" s="1014"/>
      <c r="G610" s="1007"/>
      <c r="H610" s="762" t="s">
        <v>34</v>
      </c>
      <c r="I610" s="880"/>
      <c r="J610" s="1012">
        <v>0</v>
      </c>
      <c r="K610" s="998"/>
      <c r="L610" s="998"/>
      <c r="M610" s="998"/>
      <c r="N610" s="998"/>
      <c r="O610" s="998"/>
      <c r="P610" s="998"/>
      <c r="Q610" s="1302"/>
      <c r="R610" s="1302"/>
      <c r="S610" s="1302"/>
      <c r="T610" s="1302"/>
      <c r="U610" s="1302"/>
      <c r="V610" s="1302"/>
      <c r="W610" s="1302"/>
      <c r="X610" s="1302"/>
      <c r="Y610" s="1302"/>
      <c r="Z610" s="1302"/>
    </row>
    <row r="611" spans="1:26" ht="19.5" hidden="1">
      <c r="A611" s="1390"/>
      <c r="B611" s="1402" t="s">
        <v>262</v>
      </c>
      <c r="C611" s="1392"/>
      <c r="D611" s="1392"/>
      <c r="E611" s="1375"/>
      <c r="F611" s="1375"/>
      <c r="G611" s="1376"/>
      <c r="H611" s="705" t="s">
        <v>46</v>
      </c>
      <c r="I611" s="1377">
        <v>0</v>
      </c>
      <c r="J611" s="1377">
        <f>J614+J616</f>
        <v>0</v>
      </c>
      <c r="K611" s="1378">
        <f t="shared" ref="K611:K613" si="257">IF(I611&gt;0,J611*100/I611,0)</f>
        <v>0</v>
      </c>
      <c r="L611" s="1379"/>
      <c r="M611" s="1379"/>
      <c r="N611" s="1379"/>
      <c r="O611" s="1379"/>
      <c r="P611" s="1379"/>
      <c r="Q611" s="1302"/>
      <c r="R611" s="1302"/>
      <c r="S611" s="1302"/>
      <c r="T611" s="1302"/>
      <c r="U611" s="1302"/>
      <c r="V611" s="1302"/>
      <c r="W611" s="1302"/>
      <c r="X611" s="1302"/>
      <c r="Y611" s="1302"/>
      <c r="Z611" s="1302"/>
    </row>
    <row r="612" spans="1:26" ht="19.5" hidden="1">
      <c r="A612" s="1403"/>
      <c r="B612" s="1404"/>
      <c r="C612" s="1405" t="s">
        <v>263</v>
      </c>
      <c r="D612" s="1404"/>
      <c r="E612" s="1404"/>
      <c r="F612" s="1406"/>
      <c r="G612" s="1407"/>
      <c r="H612" s="712" t="s">
        <v>46</v>
      </c>
      <c r="I612" s="1408">
        <v>0</v>
      </c>
      <c r="J612" s="1408">
        <f t="shared" ref="J612:J613" si="258">J614+J616</f>
        <v>0</v>
      </c>
      <c r="K612" s="1409">
        <f t="shared" si="257"/>
        <v>0</v>
      </c>
      <c r="L612" s="1410"/>
      <c r="M612" s="1410"/>
      <c r="N612" s="1410"/>
      <c r="O612" s="1410"/>
      <c r="P612" s="1410"/>
      <c r="Q612" s="1323"/>
      <c r="R612" s="1323"/>
      <c r="S612" s="1323"/>
      <c r="T612" s="1323"/>
      <c r="U612" s="1323"/>
      <c r="V612" s="1323"/>
      <c r="W612" s="1323"/>
      <c r="X612" s="1323"/>
      <c r="Y612" s="1323"/>
      <c r="Z612" s="1323"/>
    </row>
    <row r="613" spans="1:26" ht="19.5" hidden="1">
      <c r="A613" s="1403"/>
      <c r="B613" s="1404"/>
      <c r="C613" s="1404" t="s">
        <v>264</v>
      </c>
      <c r="D613" s="1404"/>
      <c r="E613" s="1404"/>
      <c r="F613" s="1406"/>
      <c r="G613" s="1407"/>
      <c r="H613" s="712" t="s">
        <v>34</v>
      </c>
      <c r="I613" s="1408">
        <v>0</v>
      </c>
      <c r="J613" s="1408">
        <f t="shared" si="258"/>
        <v>0</v>
      </c>
      <c r="K613" s="1409">
        <f t="shared" si="257"/>
        <v>0</v>
      </c>
      <c r="L613" s="1410"/>
      <c r="M613" s="1410"/>
      <c r="N613" s="1410"/>
      <c r="O613" s="1410"/>
      <c r="P613" s="1410"/>
      <c r="Q613" s="1323"/>
      <c r="R613" s="1323"/>
      <c r="S613" s="1323"/>
      <c r="T613" s="1323"/>
      <c r="U613" s="1323"/>
      <c r="V613" s="1323"/>
      <c r="W613" s="1323"/>
      <c r="X613" s="1323"/>
      <c r="Y613" s="1323"/>
      <c r="Z613" s="1323"/>
    </row>
    <row r="614" spans="1:26" ht="18.75" hidden="1">
      <c r="A614" s="1332"/>
      <c r="B614" s="1333"/>
      <c r="C614" s="1333"/>
      <c r="D614" s="1321" t="s">
        <v>265</v>
      </c>
      <c r="E614" s="1333"/>
      <c r="F614" s="1321"/>
      <c r="G614" s="1113"/>
      <c r="H614" s="370" t="s">
        <v>46</v>
      </c>
      <c r="I614" s="886"/>
      <c r="J614" s="886">
        <v>0</v>
      </c>
      <c r="K614" s="1001"/>
      <c r="L614" s="1001"/>
      <c r="M614" s="1001"/>
      <c r="N614" s="1001"/>
      <c r="O614" s="1001"/>
      <c r="P614" s="1001"/>
      <c r="Q614" s="1323"/>
      <c r="R614" s="1323"/>
      <c r="S614" s="1323"/>
      <c r="T614" s="1323"/>
      <c r="U614" s="1323"/>
      <c r="V614" s="1323"/>
      <c r="W614" s="1323"/>
      <c r="X614" s="1323"/>
      <c r="Y614" s="1323"/>
      <c r="Z614" s="1323"/>
    </row>
    <row r="615" spans="1:26" ht="18.75" hidden="1">
      <c r="A615" s="1332"/>
      <c r="B615" s="1333"/>
      <c r="C615" s="1333"/>
      <c r="D615" s="1333"/>
      <c r="E615" s="1333"/>
      <c r="F615" s="1321"/>
      <c r="G615" s="1113"/>
      <c r="H615" s="370" t="s">
        <v>34</v>
      </c>
      <c r="I615" s="886"/>
      <c r="J615" s="886">
        <v>0</v>
      </c>
      <c r="K615" s="1001"/>
      <c r="L615" s="1001"/>
      <c r="M615" s="1001"/>
      <c r="N615" s="1001"/>
      <c r="O615" s="1001"/>
      <c r="P615" s="1001"/>
      <c r="Q615" s="1323"/>
      <c r="R615" s="1323"/>
      <c r="S615" s="1323"/>
      <c r="T615" s="1323"/>
      <c r="U615" s="1323"/>
      <c r="V615" s="1323"/>
      <c r="W615" s="1323"/>
      <c r="X615" s="1323"/>
      <c r="Y615" s="1323"/>
      <c r="Z615" s="1323"/>
    </row>
    <row r="616" spans="1:26" ht="18.75" hidden="1">
      <c r="A616" s="1332"/>
      <c r="B616" s="1333"/>
      <c r="C616" s="1333"/>
      <c r="D616" s="1411" t="s">
        <v>265</v>
      </c>
      <c r="E616" s="1321"/>
      <c r="F616" s="1321"/>
      <c r="G616" s="1113"/>
      <c r="H616" s="370" t="s">
        <v>46</v>
      </c>
      <c r="I616" s="886"/>
      <c r="J616" s="886">
        <v>0</v>
      </c>
      <c r="K616" s="1001"/>
      <c r="L616" s="1001"/>
      <c r="M616" s="1001"/>
      <c r="N616" s="1001"/>
      <c r="O616" s="1001"/>
      <c r="P616" s="1001"/>
      <c r="Q616" s="1323"/>
      <c r="R616" s="1323"/>
      <c r="S616" s="1323"/>
      <c r="T616" s="1323"/>
      <c r="U616" s="1323"/>
      <c r="V616" s="1323"/>
      <c r="W616" s="1323"/>
      <c r="X616" s="1323"/>
      <c r="Y616" s="1323"/>
      <c r="Z616" s="1323"/>
    </row>
    <row r="617" spans="1:26" ht="18.75" hidden="1">
      <c r="A617" s="1332"/>
      <c r="B617" s="1333"/>
      <c r="C617" s="1333"/>
      <c r="D617" s="1333"/>
      <c r="E617" s="1321"/>
      <c r="F617" s="1321"/>
      <c r="G617" s="1113"/>
      <c r="H617" s="370" t="s">
        <v>34</v>
      </c>
      <c r="I617" s="886"/>
      <c r="J617" s="886">
        <v>0</v>
      </c>
      <c r="K617" s="1001"/>
      <c r="L617" s="1001"/>
      <c r="M617" s="1001"/>
      <c r="N617" s="1001"/>
      <c r="O617" s="1001"/>
      <c r="P617" s="1001"/>
      <c r="Q617" s="1323"/>
      <c r="R617" s="1323"/>
      <c r="S617" s="1323"/>
      <c r="T617" s="1323"/>
      <c r="U617" s="1323"/>
      <c r="V617" s="1323"/>
      <c r="W617" s="1323"/>
      <c r="X617" s="1323"/>
      <c r="Y617" s="1323"/>
      <c r="Z617" s="1323"/>
    </row>
    <row r="618" spans="1:26" ht="18.75" hidden="1">
      <c r="A618" s="1332"/>
      <c r="B618" s="1333"/>
      <c r="C618" s="1333"/>
      <c r="D618" s="1411" t="s">
        <v>266</v>
      </c>
      <c r="E618" s="1321"/>
      <c r="F618" s="1321"/>
      <c r="G618" s="1113"/>
      <c r="H618" s="370" t="s">
        <v>46</v>
      </c>
      <c r="I618" s="886"/>
      <c r="J618" s="886">
        <v>0</v>
      </c>
      <c r="K618" s="1001"/>
      <c r="L618" s="1001"/>
      <c r="M618" s="1001"/>
      <c r="N618" s="1001"/>
      <c r="O618" s="1001"/>
      <c r="P618" s="1001"/>
      <c r="Q618" s="1323"/>
      <c r="R618" s="1323"/>
      <c r="S618" s="1323"/>
      <c r="T618" s="1323"/>
      <c r="U618" s="1323"/>
      <c r="V618" s="1323"/>
      <c r="W618" s="1323"/>
      <c r="X618" s="1323"/>
      <c r="Y618" s="1323"/>
      <c r="Z618" s="1323"/>
    </row>
    <row r="619" spans="1:26" ht="18.75" hidden="1">
      <c r="A619" s="1332"/>
      <c r="B619" s="1333"/>
      <c r="C619" s="1333"/>
      <c r="D619" s="1333"/>
      <c r="E619" s="1321"/>
      <c r="F619" s="1321"/>
      <c r="G619" s="1113"/>
      <c r="H619" s="370" t="s">
        <v>34</v>
      </c>
      <c r="I619" s="886"/>
      <c r="J619" s="886">
        <v>0</v>
      </c>
      <c r="K619" s="1001"/>
      <c r="L619" s="1001"/>
      <c r="M619" s="1001"/>
      <c r="N619" s="1001"/>
      <c r="O619" s="1001"/>
      <c r="P619" s="1001"/>
      <c r="Q619" s="1323"/>
      <c r="R619" s="1323"/>
      <c r="S619" s="1323"/>
      <c r="T619" s="1323"/>
      <c r="U619" s="1323"/>
      <c r="V619" s="1323"/>
      <c r="W619" s="1323"/>
      <c r="X619" s="1323"/>
      <c r="Y619" s="1323"/>
      <c r="Z619" s="1323"/>
    </row>
    <row r="620" spans="1:26" ht="19.5" hidden="1">
      <c r="A620" s="1412"/>
      <c r="B620" s="1413"/>
      <c r="C620" s="1414" t="s">
        <v>267</v>
      </c>
      <c r="D620" s="1413"/>
      <c r="E620" s="1413"/>
      <c r="F620" s="1415"/>
      <c r="G620" s="1416"/>
      <c r="H620" s="725" t="s">
        <v>46</v>
      </c>
      <c r="I620" s="1417">
        <f ca="1">IFERROR(__xludf.DUMMYFUNCTION("IMPORTRANGE(""https://docs.google.com/spreadsheets/d/1QqKyyYR6Q21VydFLVH3TRQUabQu_ym0Zz7PgGX0-kHA/edit?usp=sharing"",""แผน!HL83"")"),0)</f>
        <v>0</v>
      </c>
      <c r="J620" s="1417">
        <f t="shared" ref="J620:J621" si="259">J622+J624+J626</f>
        <v>0</v>
      </c>
      <c r="K620" s="1418">
        <f t="shared" ref="K620:K621" ca="1" si="260">IF(I620&gt;0,J620*100/I620,0)</f>
        <v>0</v>
      </c>
      <c r="L620" s="1419"/>
      <c r="M620" s="1419"/>
      <c r="N620" s="1419"/>
      <c r="O620" s="1419"/>
      <c r="P620" s="1419"/>
      <c r="Q620" s="1302"/>
      <c r="R620" s="1302"/>
      <c r="S620" s="1302"/>
      <c r="T620" s="1302"/>
      <c r="U620" s="1302"/>
      <c r="V620" s="1302"/>
      <c r="W620" s="1302"/>
      <c r="X620" s="1302"/>
      <c r="Y620" s="1302"/>
      <c r="Z620" s="1302"/>
    </row>
    <row r="621" spans="1:26" ht="19.5" hidden="1">
      <c r="A621" s="1412"/>
      <c r="B621" s="1413"/>
      <c r="C621" s="1413" t="s">
        <v>268</v>
      </c>
      <c r="D621" s="1413"/>
      <c r="E621" s="1413"/>
      <c r="F621" s="1415"/>
      <c r="G621" s="1416"/>
      <c r="H621" s="725" t="s">
        <v>34</v>
      </c>
      <c r="I621" s="1417">
        <f ca="1">IFERROR(__xludf.DUMMYFUNCTION("IMPORTRANGE(""https://docs.google.com/spreadsheets/d/1QqKyyYR6Q21VydFLVH3TRQUabQu_ym0Zz7PgGX0-kHA/edit?usp=sharing"",""แผน!HK83"")"),0)</f>
        <v>0</v>
      </c>
      <c r="J621" s="1417">
        <f t="shared" si="259"/>
        <v>0</v>
      </c>
      <c r="K621" s="1418">
        <f t="shared" ca="1" si="260"/>
        <v>0</v>
      </c>
      <c r="L621" s="1419"/>
      <c r="M621" s="1419"/>
      <c r="N621" s="1419"/>
      <c r="O621" s="1419"/>
      <c r="P621" s="1419"/>
      <c r="Q621" s="1302"/>
      <c r="R621" s="1302"/>
      <c r="S621" s="1302"/>
      <c r="T621" s="1302"/>
      <c r="U621" s="1302"/>
      <c r="V621" s="1302"/>
      <c r="W621" s="1302"/>
      <c r="X621" s="1302"/>
      <c r="Y621" s="1302"/>
      <c r="Z621" s="1302"/>
    </row>
    <row r="622" spans="1:26" ht="18.75" hidden="1">
      <c r="A622" s="1326"/>
      <c r="B622" s="1327"/>
      <c r="C622" s="1327"/>
      <c r="D622" s="1069" t="s">
        <v>269</v>
      </c>
      <c r="E622" s="1014"/>
      <c r="F622" s="1014"/>
      <c r="G622" s="1007"/>
      <c r="H622" s="762" t="s">
        <v>46</v>
      </c>
      <c r="I622" s="880"/>
      <c r="J622" s="1012">
        <v>0</v>
      </c>
      <c r="K622" s="998"/>
      <c r="L622" s="998"/>
      <c r="M622" s="998"/>
      <c r="N622" s="998"/>
      <c r="O622" s="998"/>
      <c r="P622" s="998"/>
      <c r="Q622" s="1302"/>
      <c r="R622" s="1302"/>
      <c r="S622" s="1302"/>
      <c r="T622" s="1302"/>
      <c r="U622" s="1302"/>
      <c r="V622" s="1302"/>
      <c r="W622" s="1302"/>
      <c r="X622" s="1302"/>
      <c r="Y622" s="1302"/>
      <c r="Z622" s="1302"/>
    </row>
    <row r="623" spans="1:26" ht="18.75" hidden="1">
      <c r="A623" s="1326"/>
      <c r="B623" s="1327"/>
      <c r="C623" s="1327"/>
      <c r="D623" s="1327"/>
      <c r="E623" s="1014"/>
      <c r="F623" s="1014"/>
      <c r="G623" s="1007"/>
      <c r="H623" s="762" t="s">
        <v>34</v>
      </c>
      <c r="I623" s="880"/>
      <c r="J623" s="1012">
        <v>0</v>
      </c>
      <c r="K623" s="998"/>
      <c r="L623" s="998"/>
      <c r="M623" s="998"/>
      <c r="N623" s="998"/>
      <c r="O623" s="998"/>
      <c r="P623" s="998"/>
      <c r="Q623" s="1302"/>
      <c r="R623" s="1302"/>
      <c r="S623" s="1302"/>
      <c r="T623" s="1302"/>
      <c r="U623" s="1302"/>
      <c r="V623" s="1302"/>
      <c r="W623" s="1302"/>
      <c r="X623" s="1302"/>
      <c r="Y623" s="1302"/>
      <c r="Z623" s="1302"/>
    </row>
    <row r="624" spans="1:26" ht="18.75" hidden="1">
      <c r="A624" s="1326"/>
      <c r="B624" s="1327"/>
      <c r="C624" s="1327"/>
      <c r="D624" s="1069" t="s">
        <v>265</v>
      </c>
      <c r="E624" s="1014"/>
      <c r="F624" s="1014"/>
      <c r="G624" s="1007"/>
      <c r="H624" s="762" t="s">
        <v>46</v>
      </c>
      <c r="I624" s="880"/>
      <c r="J624" s="1012">
        <v>0</v>
      </c>
      <c r="K624" s="998"/>
      <c r="L624" s="998"/>
      <c r="M624" s="998"/>
      <c r="N624" s="998"/>
      <c r="O624" s="998"/>
      <c r="P624" s="998"/>
      <c r="Q624" s="1302"/>
      <c r="R624" s="1302"/>
      <c r="S624" s="1302"/>
      <c r="T624" s="1302"/>
      <c r="U624" s="1302"/>
      <c r="V624" s="1302"/>
      <c r="W624" s="1302"/>
      <c r="X624" s="1302"/>
      <c r="Y624" s="1302"/>
      <c r="Z624" s="1302"/>
    </row>
    <row r="625" spans="1:26" ht="18.75" hidden="1">
      <c r="A625" s="1326"/>
      <c r="B625" s="1327"/>
      <c r="C625" s="1327"/>
      <c r="D625" s="1327"/>
      <c r="E625" s="1014"/>
      <c r="F625" s="1014"/>
      <c r="G625" s="1007"/>
      <c r="H625" s="762" t="s">
        <v>34</v>
      </c>
      <c r="I625" s="880"/>
      <c r="J625" s="1012">
        <v>0</v>
      </c>
      <c r="K625" s="998"/>
      <c r="L625" s="998"/>
      <c r="M625" s="998"/>
      <c r="N625" s="998"/>
      <c r="O625" s="998"/>
      <c r="P625" s="998"/>
      <c r="Q625" s="1302"/>
      <c r="R625" s="1302"/>
      <c r="S625" s="1302"/>
      <c r="T625" s="1302"/>
      <c r="U625" s="1302"/>
      <c r="V625" s="1302"/>
      <c r="W625" s="1302"/>
      <c r="X625" s="1302"/>
      <c r="Y625" s="1302"/>
      <c r="Z625" s="1302"/>
    </row>
    <row r="626" spans="1:26" ht="18.75" hidden="1">
      <c r="A626" s="1326"/>
      <c r="B626" s="1327"/>
      <c r="C626" s="1327"/>
      <c r="D626" s="1069" t="s">
        <v>270</v>
      </c>
      <c r="E626" s="1014"/>
      <c r="F626" s="1014"/>
      <c r="G626" s="1007"/>
      <c r="H626" s="762" t="s">
        <v>46</v>
      </c>
      <c r="I626" s="880"/>
      <c r="J626" s="1012">
        <v>0</v>
      </c>
      <c r="K626" s="998"/>
      <c r="L626" s="998"/>
      <c r="M626" s="998"/>
      <c r="N626" s="998"/>
      <c r="O626" s="998"/>
      <c r="P626" s="998"/>
      <c r="Q626" s="1302"/>
      <c r="R626" s="1302"/>
      <c r="S626" s="1302"/>
      <c r="T626" s="1302"/>
      <c r="U626" s="1302"/>
      <c r="V626" s="1302"/>
      <c r="W626" s="1302"/>
      <c r="X626" s="1302"/>
      <c r="Y626" s="1302"/>
      <c r="Z626" s="1302"/>
    </row>
    <row r="627" spans="1:26" ht="18.75" hidden="1">
      <c r="A627" s="1420"/>
      <c r="B627" s="1421"/>
      <c r="C627" s="1421"/>
      <c r="D627" s="1421"/>
      <c r="E627" s="1169"/>
      <c r="F627" s="1169"/>
      <c r="G627" s="1422"/>
      <c r="H627" s="423" t="s">
        <v>34</v>
      </c>
      <c r="I627" s="1138"/>
      <c r="J627" s="1171">
        <v>0</v>
      </c>
      <c r="K627" s="1139"/>
      <c r="L627" s="1139"/>
      <c r="M627" s="1139"/>
      <c r="N627" s="1139"/>
      <c r="O627" s="1139"/>
      <c r="P627" s="1139"/>
      <c r="Q627" s="1302"/>
      <c r="R627" s="1302"/>
      <c r="S627" s="1302"/>
      <c r="T627" s="1302"/>
      <c r="U627" s="1302"/>
      <c r="V627" s="1302"/>
      <c r="W627" s="1302"/>
      <c r="X627" s="1302"/>
      <c r="Y627" s="1302"/>
      <c r="Z627" s="1302"/>
    </row>
    <row r="628" spans="1:26" ht="19.5" hidden="1">
      <c r="A628" s="734">
        <v>7</v>
      </c>
      <c r="B628" s="1423" t="s">
        <v>271</v>
      </c>
      <c r="C628" s="1424"/>
      <c r="D628" s="1424"/>
      <c r="E628" s="1424"/>
      <c r="F628" s="1424"/>
      <c r="G628" s="1425"/>
      <c r="H628" s="738" t="s">
        <v>35</v>
      </c>
      <c r="I628" s="1426">
        <f t="shared" ref="I628:J628" ca="1" si="261">I651</f>
        <v>0</v>
      </c>
      <c r="J628" s="1426">
        <f t="shared" ca="1" si="261"/>
        <v>0</v>
      </c>
      <c r="K628" s="1427">
        <f ca="1">IF(I628&gt;0,J628*100/I628,0)</f>
        <v>0</v>
      </c>
      <c r="L628" s="1428"/>
      <c r="M628" s="1428"/>
      <c r="N628" s="1428"/>
      <c r="O628" s="1428"/>
      <c r="P628" s="1428"/>
      <c r="Q628" s="1302"/>
      <c r="R628" s="1302"/>
      <c r="S628" s="1302"/>
      <c r="T628" s="1302"/>
      <c r="U628" s="1302"/>
      <c r="V628" s="1302"/>
      <c r="W628" s="1302"/>
      <c r="X628" s="1302"/>
      <c r="Y628" s="1302"/>
      <c r="Z628" s="1302"/>
    </row>
    <row r="629" spans="1:26" ht="19.5" hidden="1">
      <c r="A629" s="1317"/>
      <c r="B629" s="1301"/>
      <c r="C629" s="1301" t="s">
        <v>16</v>
      </c>
      <c r="D629" s="1318" t="s">
        <v>17</v>
      </c>
      <c r="E629" s="841"/>
      <c r="F629" s="841"/>
      <c r="G629" s="1016"/>
      <c r="H629" s="597" t="s">
        <v>12</v>
      </c>
      <c r="I629" s="880"/>
      <c r="J629" s="880"/>
      <c r="K629" s="881"/>
      <c r="L629" s="1020">
        <f t="shared" ref="L629:N629" ca="1" si="262">L630+L631</f>
        <v>0</v>
      </c>
      <c r="M629" s="1020">
        <f t="shared" si="262"/>
        <v>0</v>
      </c>
      <c r="N629" s="1020">
        <f t="shared" si="262"/>
        <v>0</v>
      </c>
      <c r="O629" s="1020">
        <f t="shared" ref="O629:O634" ca="1" si="263">IF(L629&gt;0,N629*100/L629,0)</f>
        <v>0</v>
      </c>
      <c r="P629" s="1020">
        <f t="shared" ref="P629:P634" si="264">IF(M629&gt;0,N629*100/M629,0)</f>
        <v>0</v>
      </c>
      <c r="Q629" s="1302"/>
      <c r="R629" s="1302"/>
      <c r="S629" s="1302"/>
      <c r="T629" s="1302"/>
      <c r="U629" s="1302"/>
      <c r="V629" s="1302"/>
      <c r="W629" s="1302"/>
      <c r="X629" s="1302"/>
      <c r="Y629" s="1302"/>
      <c r="Z629" s="1302"/>
    </row>
    <row r="630" spans="1:26" ht="18.75" hidden="1">
      <c r="A630" s="1319"/>
      <c r="B630" s="1320"/>
      <c r="C630" s="1320"/>
      <c r="D630" s="1321"/>
      <c r="E630" s="1320" t="s">
        <v>185</v>
      </c>
      <c r="F630" s="1320"/>
      <c r="G630" s="1322"/>
      <c r="H630" s="165" t="s">
        <v>12</v>
      </c>
      <c r="I630" s="886"/>
      <c r="J630" s="886"/>
      <c r="K630" s="887"/>
      <c r="L630" s="887">
        <f t="shared" ref="L630:N631" si="265">L633+L640</f>
        <v>0</v>
      </c>
      <c r="M630" s="887">
        <f t="shared" si="265"/>
        <v>0</v>
      </c>
      <c r="N630" s="887">
        <f t="shared" si="265"/>
        <v>0</v>
      </c>
      <c r="O630" s="887">
        <f t="shared" si="263"/>
        <v>0</v>
      </c>
      <c r="P630" s="887">
        <f t="shared" si="264"/>
        <v>0</v>
      </c>
      <c r="Q630" s="1323"/>
      <c r="R630" s="1323"/>
      <c r="S630" s="1323"/>
      <c r="T630" s="1323"/>
      <c r="U630" s="1323"/>
      <c r="V630" s="1323"/>
      <c r="W630" s="1323"/>
      <c r="X630" s="1323"/>
      <c r="Y630" s="1323"/>
      <c r="Z630" s="1323"/>
    </row>
    <row r="631" spans="1:26" ht="18.75" hidden="1">
      <c r="A631" s="1319"/>
      <c r="B631" s="1324"/>
      <c r="C631" s="1320"/>
      <c r="D631" s="1321"/>
      <c r="E631" s="1320" t="s">
        <v>186</v>
      </c>
      <c r="F631" s="1320"/>
      <c r="G631" s="1322"/>
      <c r="H631" s="165" t="s">
        <v>12</v>
      </c>
      <c r="I631" s="886"/>
      <c r="J631" s="886"/>
      <c r="K631" s="887"/>
      <c r="L631" s="887">
        <f t="shared" ca="1" si="265"/>
        <v>0</v>
      </c>
      <c r="M631" s="887">
        <f t="shared" si="265"/>
        <v>0</v>
      </c>
      <c r="N631" s="887">
        <f t="shared" si="265"/>
        <v>0</v>
      </c>
      <c r="O631" s="887">
        <f t="shared" ca="1" si="263"/>
        <v>0</v>
      </c>
      <c r="P631" s="887">
        <f t="shared" si="264"/>
        <v>0</v>
      </c>
      <c r="Q631" s="1323"/>
      <c r="R631" s="1323"/>
      <c r="S631" s="1323"/>
      <c r="T631" s="1323"/>
      <c r="U631" s="1323"/>
      <c r="V631" s="1323"/>
      <c r="W631" s="1323"/>
      <c r="X631" s="1323"/>
      <c r="Y631" s="1323"/>
      <c r="Z631" s="1323"/>
    </row>
    <row r="632" spans="1:26" ht="18.75" hidden="1">
      <c r="A632" s="1317"/>
      <c r="B632" s="1300"/>
      <c r="C632" s="1301"/>
      <c r="D632" s="1325" t="s">
        <v>20</v>
      </c>
      <c r="E632" s="1301"/>
      <c r="F632" s="1301"/>
      <c r="G632" s="1016"/>
      <c r="H632" s="161" t="s">
        <v>12</v>
      </c>
      <c r="I632" s="997"/>
      <c r="J632" s="997"/>
      <c r="K632" s="998"/>
      <c r="L632" s="881">
        <f t="shared" ref="L632:N632" ca="1" si="266">L633+L634</f>
        <v>0</v>
      </c>
      <c r="M632" s="881">
        <f t="shared" si="266"/>
        <v>0</v>
      </c>
      <c r="N632" s="881">
        <f t="shared" si="266"/>
        <v>0</v>
      </c>
      <c r="O632" s="881">
        <f t="shared" ca="1" si="263"/>
        <v>0</v>
      </c>
      <c r="P632" s="881">
        <f t="shared" si="264"/>
        <v>0</v>
      </c>
      <c r="Q632" s="1302"/>
      <c r="R632" s="1302"/>
      <c r="S632" s="1302"/>
      <c r="T632" s="1302"/>
      <c r="U632" s="1302"/>
      <c r="V632" s="1302"/>
      <c r="W632" s="1302"/>
      <c r="X632" s="1302"/>
      <c r="Y632" s="1302"/>
      <c r="Z632" s="1302"/>
    </row>
    <row r="633" spans="1:26" ht="18.75" hidden="1">
      <c r="A633" s="1319"/>
      <c r="B633" s="1324"/>
      <c r="C633" s="1320"/>
      <c r="D633" s="1321"/>
      <c r="E633" s="1320" t="s">
        <v>185</v>
      </c>
      <c r="F633" s="1320"/>
      <c r="G633" s="1322"/>
      <c r="H633" s="165" t="s">
        <v>12</v>
      </c>
      <c r="I633" s="886"/>
      <c r="J633" s="886"/>
      <c r="K633" s="887"/>
      <c r="L633" s="887">
        <v>0</v>
      </c>
      <c r="M633" s="887">
        <v>0</v>
      </c>
      <c r="N633" s="887">
        <v>0</v>
      </c>
      <c r="O633" s="887">
        <f t="shared" si="263"/>
        <v>0</v>
      </c>
      <c r="P633" s="887">
        <f t="shared" si="264"/>
        <v>0</v>
      </c>
      <c r="Q633" s="1323"/>
      <c r="R633" s="1323"/>
      <c r="S633" s="1323"/>
      <c r="T633" s="1323"/>
      <c r="U633" s="1323"/>
      <c r="V633" s="1323"/>
      <c r="W633" s="1323"/>
      <c r="X633" s="1323"/>
      <c r="Y633" s="1323"/>
      <c r="Z633" s="1323"/>
    </row>
    <row r="634" spans="1:26" ht="18.75" hidden="1">
      <c r="A634" s="1319"/>
      <c r="B634" s="1324"/>
      <c r="C634" s="1320"/>
      <c r="D634" s="1321"/>
      <c r="E634" s="1320" t="s">
        <v>186</v>
      </c>
      <c r="F634" s="1320"/>
      <c r="G634" s="1322"/>
      <c r="H634" s="165" t="s">
        <v>12</v>
      </c>
      <c r="I634" s="886"/>
      <c r="J634" s="886"/>
      <c r="K634" s="887"/>
      <c r="L634" s="887">
        <f ca="1">IFERROR(__xludf.DUMMYFUNCTION("IMPORTRANGE(""https://docs.google.com/spreadsheets/d/1QqKyyYR6Q21VydFLVH3TRQUabQu_ym0Zz7PgGX0-kHA/edit?usp=sharing"",""แผน!HN83"")"),0)</f>
        <v>0</v>
      </c>
      <c r="M634" s="887">
        <v>0</v>
      </c>
      <c r="N634" s="887">
        <f>N635+N636+N637+N638</f>
        <v>0</v>
      </c>
      <c r="O634" s="887">
        <f t="shared" ca="1" si="263"/>
        <v>0</v>
      </c>
      <c r="P634" s="887">
        <f t="shared" si="264"/>
        <v>0</v>
      </c>
      <c r="Q634" s="1323"/>
      <c r="R634" s="1323"/>
      <c r="S634" s="1323"/>
      <c r="T634" s="1323"/>
      <c r="U634" s="1323"/>
      <c r="V634" s="1323"/>
      <c r="W634" s="1323"/>
      <c r="X634" s="1323"/>
      <c r="Y634" s="1323"/>
      <c r="Z634" s="1323"/>
    </row>
    <row r="635" spans="1:26" ht="18.75" hidden="1">
      <c r="A635" s="1299"/>
      <c r="B635" s="1300"/>
      <c r="C635" s="1301"/>
      <c r="D635" s="1301"/>
      <c r="E635" s="1301"/>
      <c r="F635" s="1301" t="s">
        <v>187</v>
      </c>
      <c r="G635" s="1016"/>
      <c r="H635" s="161" t="s">
        <v>12</v>
      </c>
      <c r="I635" s="880"/>
      <c r="J635" s="880"/>
      <c r="K635" s="881"/>
      <c r="L635" s="881"/>
      <c r="M635" s="881"/>
      <c r="N635" s="1085">
        <v>0</v>
      </c>
      <c r="O635" s="881"/>
      <c r="P635" s="881"/>
      <c r="Q635" s="1302"/>
      <c r="R635" s="1302"/>
      <c r="S635" s="1302"/>
      <c r="T635" s="1302"/>
      <c r="U635" s="1302"/>
      <c r="V635" s="1302"/>
      <c r="W635" s="1302"/>
      <c r="X635" s="1302"/>
      <c r="Y635" s="1302"/>
      <c r="Z635" s="1302"/>
    </row>
    <row r="636" spans="1:26" ht="18.75" hidden="1">
      <c r="A636" s="1299"/>
      <c r="B636" s="1300"/>
      <c r="C636" s="1301"/>
      <c r="D636" s="1301"/>
      <c r="E636" s="1301"/>
      <c r="F636" s="1301" t="s">
        <v>188</v>
      </c>
      <c r="G636" s="1016"/>
      <c r="H636" s="161" t="s">
        <v>12</v>
      </c>
      <c r="I636" s="880"/>
      <c r="J636" s="880"/>
      <c r="K636" s="881"/>
      <c r="L636" s="881"/>
      <c r="M636" s="881"/>
      <c r="N636" s="1085">
        <v>0</v>
      </c>
      <c r="O636" s="881"/>
      <c r="P636" s="881"/>
      <c r="Q636" s="1302"/>
      <c r="R636" s="1302"/>
      <c r="S636" s="1302"/>
      <c r="T636" s="1302"/>
      <c r="U636" s="1302"/>
      <c r="V636" s="1302"/>
      <c r="W636" s="1302"/>
      <c r="X636" s="1302"/>
      <c r="Y636" s="1302"/>
      <c r="Z636" s="1302"/>
    </row>
    <row r="637" spans="1:26" ht="18.75" hidden="1">
      <c r="A637" s="1299"/>
      <c r="B637" s="1300"/>
      <c r="C637" s="1301"/>
      <c r="D637" s="1301"/>
      <c r="E637" s="1301"/>
      <c r="F637" s="1301" t="s">
        <v>189</v>
      </c>
      <c r="G637" s="1016"/>
      <c r="H637" s="161" t="s">
        <v>12</v>
      </c>
      <c r="I637" s="880"/>
      <c r="J637" s="880"/>
      <c r="K637" s="881"/>
      <c r="L637" s="881"/>
      <c r="M637" s="881"/>
      <c r="N637" s="1085">
        <v>0</v>
      </c>
      <c r="O637" s="881"/>
      <c r="P637" s="881"/>
      <c r="Q637" s="1302"/>
      <c r="R637" s="1302"/>
      <c r="S637" s="1302"/>
      <c r="T637" s="1302"/>
      <c r="U637" s="1302"/>
      <c r="V637" s="1302"/>
      <c r="W637" s="1302"/>
      <c r="X637" s="1302"/>
      <c r="Y637" s="1302"/>
      <c r="Z637" s="1302"/>
    </row>
    <row r="638" spans="1:26" ht="18.75" hidden="1">
      <c r="A638" s="1299"/>
      <c r="B638" s="1300"/>
      <c r="C638" s="1301"/>
      <c r="D638" s="1301"/>
      <c r="E638" s="1301"/>
      <c r="F638" s="1301" t="s">
        <v>190</v>
      </c>
      <c r="G638" s="1016"/>
      <c r="H638" s="161" t="s">
        <v>12</v>
      </c>
      <c r="I638" s="880"/>
      <c r="J638" s="880"/>
      <c r="K638" s="881"/>
      <c r="L638" s="881"/>
      <c r="M638" s="881"/>
      <c r="N638" s="1085">
        <v>0</v>
      </c>
      <c r="O638" s="881"/>
      <c r="P638" s="881"/>
      <c r="Q638" s="1302"/>
      <c r="R638" s="1302"/>
      <c r="S638" s="1302"/>
      <c r="T638" s="1302"/>
      <c r="U638" s="1302"/>
      <c r="V638" s="1302"/>
      <c r="W638" s="1302"/>
      <c r="X638" s="1302"/>
      <c r="Y638" s="1302"/>
      <c r="Z638" s="1302"/>
    </row>
    <row r="639" spans="1:26" ht="18.75" hidden="1">
      <c r="A639" s="1317"/>
      <c r="B639" s="1300"/>
      <c r="C639" s="1301"/>
      <c r="D639" s="1325" t="s">
        <v>21</v>
      </c>
      <c r="E639" s="1301"/>
      <c r="F639" s="1301"/>
      <c r="G639" s="1016"/>
      <c r="H639" s="168" t="s">
        <v>12</v>
      </c>
      <c r="I639" s="997"/>
      <c r="J639" s="997"/>
      <c r="K639" s="998"/>
      <c r="L639" s="881">
        <f t="shared" ref="L639:N639" ca="1" si="267">L640+L641</f>
        <v>0</v>
      </c>
      <c r="M639" s="881">
        <f t="shared" si="267"/>
        <v>0</v>
      </c>
      <c r="N639" s="881">
        <f t="shared" si="267"/>
        <v>0</v>
      </c>
      <c r="O639" s="881">
        <f t="shared" ref="O639:O641" ca="1" si="268">IF(L639&gt;0,N639*100/L639,0)</f>
        <v>0</v>
      </c>
      <c r="P639" s="881">
        <f t="shared" ref="P639:P641" si="269">IF(M639&gt;0,N639*100/M639,0)</f>
        <v>0</v>
      </c>
      <c r="Q639" s="1302"/>
      <c r="R639" s="1302"/>
      <c r="S639" s="1302"/>
      <c r="T639" s="1302"/>
      <c r="U639" s="1302"/>
      <c r="V639" s="1302"/>
      <c r="W639" s="1302"/>
      <c r="X639" s="1302"/>
      <c r="Y639" s="1302"/>
      <c r="Z639" s="1302"/>
    </row>
    <row r="640" spans="1:26" ht="18.75" hidden="1">
      <c r="A640" s="1319"/>
      <c r="B640" s="1324"/>
      <c r="C640" s="1320"/>
      <c r="D640" s="1320"/>
      <c r="E640" s="1320" t="s">
        <v>18</v>
      </c>
      <c r="F640" s="1320"/>
      <c r="G640" s="1322"/>
      <c r="H640" s="165" t="s">
        <v>12</v>
      </c>
      <c r="I640" s="1000"/>
      <c r="J640" s="1000"/>
      <c r="K640" s="1001"/>
      <c r="L640" s="887">
        <v>0</v>
      </c>
      <c r="M640" s="887">
        <v>0</v>
      </c>
      <c r="N640" s="887">
        <v>0</v>
      </c>
      <c r="O640" s="887">
        <f t="shared" si="268"/>
        <v>0</v>
      </c>
      <c r="P640" s="887">
        <f t="shared" si="269"/>
        <v>0</v>
      </c>
      <c r="Q640" s="1323"/>
      <c r="R640" s="1323"/>
      <c r="S640" s="1323"/>
      <c r="T640" s="1323"/>
      <c r="U640" s="1323"/>
      <c r="V640" s="1323"/>
      <c r="W640" s="1323"/>
      <c r="X640" s="1323"/>
      <c r="Y640" s="1323"/>
      <c r="Z640" s="1323"/>
    </row>
    <row r="641" spans="1:26" ht="18.75" hidden="1">
      <c r="A641" s="1319"/>
      <c r="B641" s="1324"/>
      <c r="C641" s="1320"/>
      <c r="D641" s="1320"/>
      <c r="E641" s="1320" t="s">
        <v>19</v>
      </c>
      <c r="F641" s="1320"/>
      <c r="G641" s="1322"/>
      <c r="H641" s="169" t="s">
        <v>12</v>
      </c>
      <c r="I641" s="1000"/>
      <c r="J641" s="1000"/>
      <c r="K641" s="1001"/>
      <c r="L641" s="887">
        <f ca="1">IFERROR(__xludf.DUMMYFUNCTION("IMPORTRANGE(""https://docs.google.com/spreadsheets/d/1QqKyyYR6Q21VydFLVH3TRQUabQu_ym0Zz7PgGX0-kHA/edit?usp=sharing"",""แผน!HQ83"")"),0)</f>
        <v>0</v>
      </c>
      <c r="M641" s="887">
        <v>0</v>
      </c>
      <c r="N641" s="887">
        <v>0</v>
      </c>
      <c r="O641" s="887">
        <f t="shared" ca="1" si="268"/>
        <v>0</v>
      </c>
      <c r="P641" s="887">
        <f t="shared" si="269"/>
        <v>0</v>
      </c>
      <c r="Q641" s="1323"/>
      <c r="R641" s="1323"/>
      <c r="S641" s="1323"/>
      <c r="T641" s="1323"/>
      <c r="U641" s="1323"/>
      <c r="V641" s="1323"/>
      <c r="W641" s="1323"/>
      <c r="X641" s="1323"/>
      <c r="Y641" s="1323"/>
      <c r="Z641" s="1323"/>
    </row>
    <row r="642" spans="1:26" ht="19.5" hidden="1">
      <c r="A642" s="1326"/>
      <c r="B642" s="1327"/>
      <c r="C642" s="1301" t="s">
        <v>16</v>
      </c>
      <c r="D642" s="1380" t="s">
        <v>38</v>
      </c>
      <c r="E642" s="1330"/>
      <c r="F642" s="1330"/>
      <c r="G642" s="1331"/>
      <c r="H642" s="1007"/>
      <c r="I642" s="997"/>
      <c r="J642" s="997"/>
      <c r="K642" s="998"/>
      <c r="L642" s="998"/>
      <c r="M642" s="998"/>
      <c r="N642" s="998"/>
      <c r="O642" s="998"/>
      <c r="P642" s="998"/>
      <c r="Q642" s="1302"/>
      <c r="R642" s="1302"/>
      <c r="S642" s="1302"/>
      <c r="T642" s="1302"/>
      <c r="U642" s="1302"/>
      <c r="V642" s="1302"/>
      <c r="W642" s="1302"/>
      <c r="X642" s="1302"/>
      <c r="Y642" s="1302"/>
      <c r="Z642" s="1302"/>
    </row>
    <row r="643" spans="1:26" ht="18.75" hidden="1">
      <c r="A643" s="1429"/>
      <c r="B643" s="1300"/>
      <c r="C643" s="1301"/>
      <c r="D643" s="1014"/>
      <c r="E643" s="1069" t="s">
        <v>272</v>
      </c>
      <c r="F643" s="1014"/>
      <c r="G643" s="1007"/>
      <c r="H643" s="762" t="s">
        <v>273</v>
      </c>
      <c r="I643" s="880">
        <f ca="1">IFERROR(__xludf.DUMMYFUNCTION("IMPORTRANGE(""https://docs.google.com/spreadsheets/d/1QqKyyYR6Q21VydFLVH3TRQUabQu_ym0Zz7PgGX0-kHA/edit?usp=sharing"",""แผน!HR83"")"),0)</f>
        <v>0</v>
      </c>
      <c r="J643" s="1012">
        <v>0</v>
      </c>
      <c r="K643" s="998">
        <f t="shared" ref="K643:K652" ca="1" si="270">IF(I643&gt;0,J643*100/I643,0)</f>
        <v>0</v>
      </c>
      <c r="L643" s="998"/>
      <c r="M643" s="998"/>
      <c r="N643" s="881"/>
      <c r="O643" s="998"/>
      <c r="P643" s="998"/>
      <c r="Q643" s="1302"/>
      <c r="R643" s="1302"/>
      <c r="S643" s="1302"/>
      <c r="T643" s="1302"/>
      <c r="U643" s="1302"/>
      <c r="V643" s="1302"/>
      <c r="W643" s="1302"/>
      <c r="X643" s="1302"/>
      <c r="Y643" s="1302"/>
      <c r="Z643" s="1302"/>
    </row>
    <row r="644" spans="1:26" ht="18.75" hidden="1">
      <c r="A644" s="1429"/>
      <c r="B644" s="1300"/>
      <c r="C644" s="1301"/>
      <c r="D644" s="1014"/>
      <c r="E644" s="1069" t="s">
        <v>274</v>
      </c>
      <c r="F644" s="1014"/>
      <c r="G644" s="1007"/>
      <c r="H644" s="762" t="s">
        <v>275</v>
      </c>
      <c r="I644" s="880">
        <f ca="1">IFERROR(__xludf.DUMMYFUNCTION("IMPORTRANGE(""https://docs.google.com/spreadsheets/d/1QqKyyYR6Q21VydFLVH3TRQUabQu_ym0Zz7PgGX0-kHA/edit?usp=sharing"",""แผน!HR83"")"),0)</f>
        <v>0</v>
      </c>
      <c r="J644" s="1012">
        <v>0</v>
      </c>
      <c r="K644" s="998">
        <f t="shared" ca="1" si="270"/>
        <v>0</v>
      </c>
      <c r="L644" s="998"/>
      <c r="M644" s="998"/>
      <c r="N644" s="881"/>
      <c r="O644" s="998"/>
      <c r="P644" s="998"/>
      <c r="Q644" s="1302"/>
      <c r="R644" s="1302"/>
      <c r="S644" s="1302"/>
      <c r="T644" s="1302"/>
      <c r="U644" s="1302"/>
      <c r="V644" s="1302"/>
      <c r="W644" s="1302"/>
      <c r="X644" s="1302"/>
      <c r="Y644" s="1302"/>
      <c r="Z644" s="1302"/>
    </row>
    <row r="645" spans="1:26" ht="18.75" hidden="1">
      <c r="A645" s="1429"/>
      <c r="B645" s="1300"/>
      <c r="C645" s="1301"/>
      <c r="D645" s="1014"/>
      <c r="E645" s="1069" t="s">
        <v>276</v>
      </c>
      <c r="F645" s="1014"/>
      <c r="G645" s="1007"/>
      <c r="H645" s="762" t="s">
        <v>34</v>
      </c>
      <c r="I645" s="880">
        <v>0</v>
      </c>
      <c r="J645" s="880">
        <f ca="1">IFERROR(__xludf.DUMMYFUNCTION("IMPORTRANGE(""https://docs.google.com/spreadsheets/d/1XWAQStnk-4SwqDmLtmXYiTMKHgktTP8We1SCoS47DrQ/edit?usp=sharing"",""จัดที่ดิน!AS83"")"),0)</f>
        <v>0</v>
      </c>
      <c r="K645" s="998">
        <f t="shared" si="270"/>
        <v>0</v>
      </c>
      <c r="L645" s="998"/>
      <c r="M645" s="998"/>
      <c r="N645" s="881"/>
      <c r="O645" s="998"/>
      <c r="P645" s="998"/>
      <c r="Q645" s="1302"/>
      <c r="R645" s="1302"/>
      <c r="S645" s="1302"/>
      <c r="T645" s="1302"/>
      <c r="U645" s="1302"/>
      <c r="V645" s="1302"/>
      <c r="W645" s="1302"/>
      <c r="X645" s="1302"/>
      <c r="Y645" s="1302"/>
      <c r="Z645" s="1302"/>
    </row>
    <row r="646" spans="1:26" ht="18.75" hidden="1">
      <c r="A646" s="1429"/>
      <c r="B646" s="1300"/>
      <c r="C646" s="1301"/>
      <c r="D646" s="1014"/>
      <c r="E646" s="1014"/>
      <c r="F646" s="1014"/>
      <c r="G646" s="1007"/>
      <c r="H646" s="762" t="s">
        <v>46</v>
      </c>
      <c r="I646" s="880">
        <v>0</v>
      </c>
      <c r="J646" s="880">
        <f ca="1">IFERROR(__xludf.DUMMYFUNCTION("IMPORTRANGE(""https://docs.google.com/spreadsheets/d/1XWAQStnk-4SwqDmLtmXYiTMKHgktTP8We1SCoS47DrQ/edit?usp=sharing"",""จัดที่ดิน!AT83"")"),0)</f>
        <v>0</v>
      </c>
      <c r="K646" s="881">
        <f t="shared" si="270"/>
        <v>0</v>
      </c>
      <c r="L646" s="998"/>
      <c r="M646" s="998"/>
      <c r="N646" s="881"/>
      <c r="O646" s="998"/>
      <c r="P646" s="998"/>
      <c r="Q646" s="1302"/>
      <c r="R646" s="1302"/>
      <c r="S646" s="1302"/>
      <c r="T646" s="1302"/>
      <c r="U646" s="1302"/>
      <c r="V646" s="1302"/>
      <c r="W646" s="1302"/>
      <c r="X646" s="1302"/>
      <c r="Y646" s="1302"/>
      <c r="Z646" s="1302"/>
    </row>
    <row r="647" spans="1:26" ht="18.75" hidden="1">
      <c r="A647" s="1429"/>
      <c r="B647" s="1300"/>
      <c r="C647" s="1301"/>
      <c r="D647" s="1014"/>
      <c r="E647" s="1069" t="s">
        <v>162</v>
      </c>
      <c r="F647" s="1014"/>
      <c r="G647" s="1007"/>
      <c r="H647" s="762" t="s">
        <v>35</v>
      </c>
      <c r="I647" s="880">
        <f ca="1">IFERROR(__xludf.DUMMYFUNCTION("IMPORTRANGE(""https://docs.google.com/spreadsheets/d/1QqKyyYR6Q21VydFLVH3TRQUabQu_ym0Zz7PgGX0-kHA/edit?usp=sharing"",""แผน!HS83"")"),0)</f>
        <v>0</v>
      </c>
      <c r="J647" s="880">
        <f ca="1">IFERROR(__xludf.DUMMYFUNCTION("IMPORTRANGE(""https://docs.google.com/spreadsheets/d/1XWAQStnk-4SwqDmLtmXYiTMKHgktTP8We1SCoS47DrQ/edit?usp=sharing"",""จัดที่ดิน!AU83"")"),0)</f>
        <v>0</v>
      </c>
      <c r="K647" s="998">
        <f t="shared" ca="1" si="270"/>
        <v>0</v>
      </c>
      <c r="L647" s="998"/>
      <c r="M647" s="998"/>
      <c r="N647" s="998"/>
      <c r="O647" s="998"/>
      <c r="P647" s="998"/>
      <c r="Q647" s="1302"/>
      <c r="R647" s="1302"/>
      <c r="S647" s="1302"/>
      <c r="T647" s="1302"/>
      <c r="U647" s="1302"/>
      <c r="V647" s="1302"/>
      <c r="W647" s="1302"/>
      <c r="X647" s="1302"/>
      <c r="Y647" s="1302"/>
      <c r="Z647" s="1302"/>
    </row>
    <row r="648" spans="1:26" ht="18.75" hidden="1">
      <c r="A648" s="1429"/>
      <c r="B648" s="1300"/>
      <c r="C648" s="1301"/>
      <c r="D648" s="1014"/>
      <c r="E648" s="1014"/>
      <c r="F648" s="1014"/>
      <c r="G648" s="1007"/>
      <c r="H648" s="762" t="s">
        <v>46</v>
      </c>
      <c r="I648" s="880">
        <v>0</v>
      </c>
      <c r="J648" s="880">
        <f ca="1">IFERROR(__xludf.DUMMYFUNCTION("IMPORTRANGE(""https://docs.google.com/spreadsheets/d/1XWAQStnk-4SwqDmLtmXYiTMKHgktTP8We1SCoS47DrQ/edit?usp=sharing"",""จัดที่ดิน!AV83"")"),0)</f>
        <v>0</v>
      </c>
      <c r="K648" s="881">
        <f t="shared" si="270"/>
        <v>0</v>
      </c>
      <c r="L648" s="998"/>
      <c r="M648" s="998"/>
      <c r="N648" s="998"/>
      <c r="O648" s="998"/>
      <c r="P648" s="998"/>
      <c r="Q648" s="1302"/>
      <c r="R648" s="1302"/>
      <c r="S648" s="1302"/>
      <c r="T648" s="1302"/>
      <c r="U648" s="1302"/>
      <c r="V648" s="1302"/>
      <c r="W648" s="1302"/>
      <c r="X648" s="1302"/>
      <c r="Y648" s="1302"/>
      <c r="Z648" s="1302"/>
    </row>
    <row r="649" spans="1:26" ht="18.75" hidden="1">
      <c r="A649" s="1429"/>
      <c r="B649" s="1300"/>
      <c r="C649" s="1301"/>
      <c r="D649" s="1014"/>
      <c r="E649" s="1069" t="s">
        <v>277</v>
      </c>
      <c r="F649" s="1014"/>
      <c r="G649" s="1007"/>
      <c r="H649" s="762" t="s">
        <v>35</v>
      </c>
      <c r="I649" s="880">
        <f ca="1">IFERROR(__xludf.DUMMYFUNCTION("IMPORTRANGE(""https://docs.google.com/spreadsheets/d/1QqKyyYR6Q21VydFLVH3TRQUabQu_ym0Zz7PgGX0-kHA/edit?usp=sharing"",""แผน!HS83"")"),0)</f>
        <v>0</v>
      </c>
      <c r="J649" s="880">
        <f ca="1">IFERROR(__xludf.DUMMYFUNCTION("IMPORTRANGE(""https://docs.google.com/spreadsheets/d/1XWAQStnk-4SwqDmLtmXYiTMKHgktTP8We1SCoS47DrQ/edit?usp=sharing"",""จัดที่ดิน!AW83"")"),0)</f>
        <v>0</v>
      </c>
      <c r="K649" s="998">
        <f t="shared" ca="1" si="270"/>
        <v>0</v>
      </c>
      <c r="L649" s="998"/>
      <c r="M649" s="998"/>
      <c r="N649" s="998"/>
      <c r="O649" s="998"/>
      <c r="P649" s="998"/>
      <c r="Q649" s="1302"/>
      <c r="R649" s="1302"/>
      <c r="S649" s="1302"/>
      <c r="T649" s="1302"/>
      <c r="U649" s="1302"/>
      <c r="V649" s="1302"/>
      <c r="W649" s="1302"/>
      <c r="X649" s="1302"/>
      <c r="Y649" s="1302"/>
      <c r="Z649" s="1302"/>
    </row>
    <row r="650" spans="1:26" ht="18.75" hidden="1">
      <c r="A650" s="1429"/>
      <c r="B650" s="1300"/>
      <c r="C650" s="1301"/>
      <c r="D650" s="1014"/>
      <c r="E650" s="1014"/>
      <c r="F650" s="1014"/>
      <c r="G650" s="1007"/>
      <c r="H650" s="762" t="s">
        <v>46</v>
      </c>
      <c r="I650" s="880">
        <v>0</v>
      </c>
      <c r="J650" s="880">
        <f ca="1">IFERROR(__xludf.DUMMYFUNCTION("IMPORTRANGE(""https://docs.google.com/spreadsheets/d/1XWAQStnk-4SwqDmLtmXYiTMKHgktTP8We1SCoS47DrQ/edit?usp=sharing"",""จัดที่ดิน!AX83"")"),0)</f>
        <v>0</v>
      </c>
      <c r="K650" s="881">
        <f t="shared" si="270"/>
        <v>0</v>
      </c>
      <c r="L650" s="998"/>
      <c r="M650" s="998"/>
      <c r="N650" s="998"/>
      <c r="O650" s="998"/>
      <c r="P650" s="998"/>
      <c r="Q650" s="1302"/>
      <c r="R650" s="1302"/>
      <c r="S650" s="1302"/>
      <c r="T650" s="1302"/>
      <c r="U650" s="1302"/>
      <c r="V650" s="1302"/>
      <c r="W650" s="1302"/>
      <c r="X650" s="1302"/>
      <c r="Y650" s="1302"/>
      <c r="Z650" s="1302"/>
    </row>
    <row r="651" spans="1:26" ht="18.75" hidden="1">
      <c r="A651" s="1429"/>
      <c r="B651" s="1300"/>
      <c r="C651" s="1301"/>
      <c r="D651" s="1014"/>
      <c r="E651" s="1069" t="s">
        <v>278</v>
      </c>
      <c r="F651" s="1014"/>
      <c r="G651" s="1007"/>
      <c r="H651" s="762" t="s">
        <v>35</v>
      </c>
      <c r="I651" s="880">
        <f ca="1">IFERROR(__xludf.DUMMYFUNCTION("IMPORTRANGE(""https://docs.google.com/spreadsheets/d/1QqKyyYR6Q21VydFLVH3TRQUabQu_ym0Zz7PgGX0-kHA/edit?usp=sharing"",""แผน!HS83"")"),0)</f>
        <v>0</v>
      </c>
      <c r="J651" s="880">
        <f ca="1">IFERROR(__xludf.DUMMYFUNCTION("IMPORTRANGE(""https://docs.google.com/spreadsheets/d/1XWAQStnk-4SwqDmLtmXYiTMKHgktTP8We1SCoS47DrQ/edit?usp=sharing"",""จัดที่ดิน!AY83"")"),0)</f>
        <v>0</v>
      </c>
      <c r="K651" s="998">
        <f t="shared" ca="1" si="270"/>
        <v>0</v>
      </c>
      <c r="L651" s="998"/>
      <c r="M651" s="998"/>
      <c r="N651" s="998"/>
      <c r="O651" s="998"/>
      <c r="P651" s="998"/>
      <c r="Q651" s="1302"/>
      <c r="R651" s="1302"/>
      <c r="S651" s="1302"/>
      <c r="T651" s="1302"/>
      <c r="U651" s="1302"/>
      <c r="V651" s="1302"/>
      <c r="W651" s="1302"/>
      <c r="X651" s="1302"/>
      <c r="Y651" s="1302"/>
      <c r="Z651" s="1302"/>
    </row>
    <row r="652" spans="1:26" ht="18.75" hidden="1">
      <c r="A652" s="1430"/>
      <c r="B652" s="1431"/>
      <c r="C652" s="1432"/>
      <c r="D652" s="1169"/>
      <c r="E652" s="1169"/>
      <c r="F652" s="1169"/>
      <c r="G652" s="1422"/>
      <c r="H652" s="504" t="s">
        <v>46</v>
      </c>
      <c r="I652" s="1138">
        <v>0</v>
      </c>
      <c r="J652" s="1138">
        <f ca="1">IFERROR(__xludf.DUMMYFUNCTION("IMPORTRANGE(""https://docs.google.com/spreadsheets/d/1XWAQStnk-4SwqDmLtmXYiTMKHgktTP8We1SCoS47DrQ/edit?usp=sharing"",""จัดที่ดิน!AZ83"")"),0)</f>
        <v>0</v>
      </c>
      <c r="K652" s="1239">
        <f t="shared" si="270"/>
        <v>0</v>
      </c>
      <c r="L652" s="1139"/>
      <c r="M652" s="1139"/>
      <c r="N652" s="1139"/>
      <c r="O652" s="1139"/>
      <c r="P652" s="1139"/>
      <c r="Q652" s="1302"/>
      <c r="R652" s="1302"/>
      <c r="S652" s="1302"/>
      <c r="T652" s="1302"/>
      <c r="U652" s="1302"/>
      <c r="V652" s="1302"/>
      <c r="W652" s="1302"/>
      <c r="X652" s="1302"/>
      <c r="Y652" s="1302"/>
      <c r="Z652" s="1302"/>
    </row>
    <row r="653" spans="1:26" ht="19.5" hidden="1">
      <c r="A653" s="748">
        <v>8</v>
      </c>
      <c r="B653" s="1423" t="s">
        <v>279</v>
      </c>
      <c r="C653" s="1424"/>
      <c r="D653" s="1424"/>
      <c r="E653" s="1424"/>
      <c r="F653" s="1424"/>
      <c r="G653" s="1425"/>
      <c r="H653" s="1425"/>
      <c r="I653" s="1433"/>
      <c r="J653" s="1433"/>
      <c r="K653" s="1428"/>
      <c r="L653" s="1428"/>
      <c r="M653" s="1428"/>
      <c r="N653" s="1428"/>
      <c r="O653" s="1428"/>
      <c r="P653" s="1428"/>
      <c r="Q653" s="1302"/>
      <c r="R653" s="1302"/>
      <c r="S653" s="1302"/>
      <c r="T653" s="1302"/>
      <c r="U653" s="1302"/>
      <c r="V653" s="1302"/>
      <c r="W653" s="1302"/>
      <c r="X653" s="1302"/>
      <c r="Y653" s="1302"/>
      <c r="Z653" s="1302"/>
    </row>
    <row r="654" spans="1:26" ht="19.5" hidden="1">
      <c r="A654" s="1375"/>
      <c r="B654" s="1374" t="s">
        <v>280</v>
      </c>
      <c r="C654" s="1375"/>
      <c r="D654" s="1375"/>
      <c r="E654" s="1375"/>
      <c r="F654" s="1375"/>
      <c r="G654" s="1376"/>
      <c r="H654" s="705" t="s">
        <v>46</v>
      </c>
      <c r="I654" s="1377">
        <f t="shared" ref="I654:J654" ca="1" si="271">I669</f>
        <v>0</v>
      </c>
      <c r="J654" s="1377">
        <f t="shared" si="271"/>
        <v>0</v>
      </c>
      <c r="K654" s="1378">
        <f ca="1">IF(I654&gt;0,J654*100/I654,0)</f>
        <v>0</v>
      </c>
      <c r="L654" s="1379"/>
      <c r="M654" s="1379"/>
      <c r="N654" s="1379"/>
      <c r="O654" s="1379"/>
      <c r="P654" s="1379"/>
      <c r="Q654" s="1302"/>
      <c r="R654" s="1302"/>
      <c r="S654" s="1302"/>
      <c r="T654" s="1302"/>
      <c r="U654" s="1302"/>
      <c r="V654" s="1302"/>
      <c r="W654" s="1302"/>
      <c r="X654" s="1302"/>
      <c r="Y654" s="1302"/>
      <c r="Z654" s="1302"/>
    </row>
    <row r="655" spans="1:26" ht="19.5" hidden="1">
      <c r="A655" s="1317"/>
      <c r="B655" s="1301"/>
      <c r="C655" s="1301" t="s">
        <v>16</v>
      </c>
      <c r="D655" s="1318" t="s">
        <v>17</v>
      </c>
      <c r="E655" s="841"/>
      <c r="F655" s="841"/>
      <c r="G655" s="1016"/>
      <c r="H655" s="597" t="s">
        <v>12</v>
      </c>
      <c r="I655" s="880"/>
      <c r="J655" s="880"/>
      <c r="K655" s="881"/>
      <c r="L655" s="1020">
        <f t="shared" ref="L655:N655" ca="1" si="272">L656+L657</f>
        <v>0</v>
      </c>
      <c r="M655" s="1020">
        <f t="shared" si="272"/>
        <v>0</v>
      </c>
      <c r="N655" s="1020">
        <f t="shared" si="272"/>
        <v>0</v>
      </c>
      <c r="O655" s="1020">
        <f t="shared" ref="O655:O660" ca="1" si="273">IF(L655&gt;0,N655*100/L655,0)</f>
        <v>0</v>
      </c>
      <c r="P655" s="1020">
        <f t="shared" ref="P655:P660" si="274">IF(M655&gt;0,N655*100/M655,0)</f>
        <v>0</v>
      </c>
      <c r="Q655" s="1302"/>
      <c r="R655" s="1302"/>
      <c r="S655" s="1302"/>
      <c r="T655" s="1302"/>
      <c r="U655" s="1302"/>
      <c r="V655" s="1302"/>
      <c r="W655" s="1302"/>
      <c r="X655" s="1302"/>
      <c r="Y655" s="1302"/>
      <c r="Z655" s="1302"/>
    </row>
    <row r="656" spans="1:26" ht="18.75" hidden="1">
      <c r="A656" s="1319"/>
      <c r="B656" s="1320"/>
      <c r="C656" s="1320"/>
      <c r="D656" s="1321"/>
      <c r="E656" s="1320" t="s">
        <v>185</v>
      </c>
      <c r="F656" s="1320"/>
      <c r="G656" s="1322"/>
      <c r="H656" s="165" t="s">
        <v>12</v>
      </c>
      <c r="I656" s="886"/>
      <c r="J656" s="886"/>
      <c r="K656" s="887"/>
      <c r="L656" s="887">
        <f t="shared" ref="L656:N657" si="275">L659+L666</f>
        <v>0</v>
      </c>
      <c r="M656" s="887">
        <f t="shared" si="275"/>
        <v>0</v>
      </c>
      <c r="N656" s="887">
        <f t="shared" si="275"/>
        <v>0</v>
      </c>
      <c r="O656" s="887">
        <f t="shared" si="273"/>
        <v>0</v>
      </c>
      <c r="P656" s="887">
        <f t="shared" si="274"/>
        <v>0</v>
      </c>
      <c r="Q656" s="1323"/>
      <c r="R656" s="1323"/>
      <c r="S656" s="1323"/>
      <c r="T656" s="1323"/>
      <c r="U656" s="1323"/>
      <c r="V656" s="1323"/>
      <c r="W656" s="1323"/>
      <c r="X656" s="1323"/>
      <c r="Y656" s="1323"/>
      <c r="Z656" s="1323"/>
    </row>
    <row r="657" spans="1:26" ht="18.75" hidden="1">
      <c r="A657" s="1319"/>
      <c r="B657" s="1324"/>
      <c r="C657" s="1320"/>
      <c r="D657" s="1321"/>
      <c r="E657" s="1320" t="s">
        <v>186</v>
      </c>
      <c r="F657" s="1320"/>
      <c r="G657" s="1322"/>
      <c r="H657" s="165" t="s">
        <v>12</v>
      </c>
      <c r="I657" s="886"/>
      <c r="J657" s="886"/>
      <c r="K657" s="887"/>
      <c r="L657" s="887">
        <f t="shared" ca="1" si="275"/>
        <v>0</v>
      </c>
      <c r="M657" s="887">
        <f t="shared" si="275"/>
        <v>0</v>
      </c>
      <c r="N657" s="887">
        <f t="shared" si="275"/>
        <v>0</v>
      </c>
      <c r="O657" s="887">
        <f t="shared" ca="1" si="273"/>
        <v>0</v>
      </c>
      <c r="P657" s="887">
        <f t="shared" si="274"/>
        <v>0</v>
      </c>
      <c r="Q657" s="1323"/>
      <c r="R657" s="1323"/>
      <c r="S657" s="1323"/>
      <c r="T657" s="1323"/>
      <c r="U657" s="1323"/>
      <c r="V657" s="1323"/>
      <c r="W657" s="1323"/>
      <c r="X657" s="1323"/>
      <c r="Y657" s="1323"/>
      <c r="Z657" s="1323"/>
    </row>
    <row r="658" spans="1:26" ht="18.75" hidden="1">
      <c r="A658" s="1317"/>
      <c r="B658" s="1300"/>
      <c r="C658" s="1301"/>
      <c r="D658" s="1325" t="s">
        <v>20</v>
      </c>
      <c r="E658" s="1301"/>
      <c r="F658" s="1301"/>
      <c r="G658" s="1016"/>
      <c r="H658" s="161" t="s">
        <v>12</v>
      </c>
      <c r="I658" s="997"/>
      <c r="J658" s="997"/>
      <c r="K658" s="998"/>
      <c r="L658" s="881">
        <f t="shared" ref="L658:N658" ca="1" si="276">L659+L660</f>
        <v>0</v>
      </c>
      <c r="M658" s="881">
        <f t="shared" si="276"/>
        <v>0</v>
      </c>
      <c r="N658" s="881">
        <f t="shared" si="276"/>
        <v>0</v>
      </c>
      <c r="O658" s="881">
        <f t="shared" ca="1" si="273"/>
        <v>0</v>
      </c>
      <c r="P658" s="881">
        <f t="shared" si="274"/>
        <v>0</v>
      </c>
      <c r="Q658" s="1302"/>
      <c r="R658" s="1302"/>
      <c r="S658" s="1302"/>
      <c r="T658" s="1302"/>
      <c r="U658" s="1302"/>
      <c r="V658" s="1302"/>
      <c r="W658" s="1302"/>
      <c r="X658" s="1302"/>
      <c r="Y658" s="1302"/>
      <c r="Z658" s="1302"/>
    </row>
    <row r="659" spans="1:26" ht="18.75" hidden="1">
      <c r="A659" s="1319"/>
      <c r="B659" s="1324"/>
      <c r="C659" s="1320"/>
      <c r="D659" s="1321"/>
      <c r="E659" s="1320" t="s">
        <v>185</v>
      </c>
      <c r="F659" s="1320"/>
      <c r="G659" s="1322"/>
      <c r="H659" s="165" t="s">
        <v>12</v>
      </c>
      <c r="I659" s="886"/>
      <c r="J659" s="886"/>
      <c r="K659" s="887"/>
      <c r="L659" s="887">
        <v>0</v>
      </c>
      <c r="M659" s="887">
        <v>0</v>
      </c>
      <c r="N659" s="887">
        <v>0</v>
      </c>
      <c r="O659" s="887">
        <f t="shared" si="273"/>
        <v>0</v>
      </c>
      <c r="P659" s="887">
        <f t="shared" si="274"/>
        <v>0</v>
      </c>
      <c r="Q659" s="1323"/>
      <c r="R659" s="1323"/>
      <c r="S659" s="1323"/>
      <c r="T659" s="1323"/>
      <c r="U659" s="1323"/>
      <c r="V659" s="1323"/>
      <c r="W659" s="1323"/>
      <c r="X659" s="1323"/>
      <c r="Y659" s="1323"/>
      <c r="Z659" s="1323"/>
    </row>
    <row r="660" spans="1:26" ht="18.75" hidden="1">
      <c r="A660" s="1319"/>
      <c r="B660" s="1324"/>
      <c r="C660" s="1320"/>
      <c r="D660" s="1321"/>
      <c r="E660" s="1320" t="s">
        <v>186</v>
      </c>
      <c r="F660" s="1320"/>
      <c r="G660" s="1322"/>
      <c r="H660" s="165" t="s">
        <v>12</v>
      </c>
      <c r="I660" s="886"/>
      <c r="J660" s="886"/>
      <c r="K660" s="887"/>
      <c r="L660" s="887">
        <f ca="1">IFERROR(__xludf.DUMMYFUNCTION("IMPORTRANGE(""https://docs.google.com/spreadsheets/d/1QqKyyYR6Q21VydFLVH3TRQUabQu_ym0Zz7PgGX0-kHA/edit?usp=sharing"",""แผน!HV83"")"),0)</f>
        <v>0</v>
      </c>
      <c r="M660" s="887">
        <v>0</v>
      </c>
      <c r="N660" s="887">
        <f>N661+N662+N663+N664</f>
        <v>0</v>
      </c>
      <c r="O660" s="887">
        <f t="shared" ca="1" si="273"/>
        <v>0</v>
      </c>
      <c r="P660" s="887">
        <f t="shared" si="274"/>
        <v>0</v>
      </c>
      <c r="Q660" s="1323"/>
      <c r="R660" s="1323"/>
      <c r="S660" s="1323"/>
      <c r="T660" s="1323"/>
      <c r="U660" s="1323"/>
      <c r="V660" s="1323"/>
      <c r="W660" s="1323"/>
      <c r="X660" s="1323"/>
      <c r="Y660" s="1323"/>
      <c r="Z660" s="1323"/>
    </row>
    <row r="661" spans="1:26" ht="18.75" hidden="1">
      <c r="A661" s="1299"/>
      <c r="B661" s="1300"/>
      <c r="C661" s="1301"/>
      <c r="D661" s="1301"/>
      <c r="E661" s="1301"/>
      <c r="F661" s="1301" t="s">
        <v>187</v>
      </c>
      <c r="G661" s="1016"/>
      <c r="H661" s="161" t="s">
        <v>12</v>
      </c>
      <c r="I661" s="880"/>
      <c r="J661" s="880"/>
      <c r="K661" s="881"/>
      <c r="L661" s="881"/>
      <c r="M661" s="881"/>
      <c r="N661" s="1085">
        <v>0</v>
      </c>
      <c r="O661" s="881"/>
      <c r="P661" s="881"/>
      <c r="Q661" s="1302"/>
      <c r="R661" s="1302"/>
      <c r="S661" s="1302"/>
      <c r="T661" s="1302"/>
      <c r="U661" s="1302"/>
      <c r="V661" s="1302"/>
      <c r="W661" s="1302"/>
      <c r="X661" s="1302"/>
      <c r="Y661" s="1302"/>
      <c r="Z661" s="1302"/>
    </row>
    <row r="662" spans="1:26" ht="18.75" hidden="1">
      <c r="A662" s="1299"/>
      <c r="B662" s="1300"/>
      <c r="C662" s="1301"/>
      <c r="D662" s="1301"/>
      <c r="E662" s="1301"/>
      <c r="F662" s="1301" t="s">
        <v>188</v>
      </c>
      <c r="G662" s="1016"/>
      <c r="H662" s="161" t="s">
        <v>12</v>
      </c>
      <c r="I662" s="880"/>
      <c r="J662" s="880"/>
      <c r="K662" s="881"/>
      <c r="L662" s="881"/>
      <c r="M662" s="881"/>
      <c r="N662" s="1085">
        <v>0</v>
      </c>
      <c r="O662" s="881"/>
      <c r="P662" s="881"/>
      <c r="Q662" s="1302"/>
      <c r="R662" s="1302"/>
      <c r="S662" s="1302"/>
      <c r="T662" s="1302"/>
      <c r="U662" s="1302"/>
      <c r="V662" s="1302"/>
      <c r="W662" s="1302"/>
      <c r="X662" s="1302"/>
      <c r="Y662" s="1302"/>
      <c r="Z662" s="1302"/>
    </row>
    <row r="663" spans="1:26" ht="18.75" hidden="1">
      <c r="A663" s="1299"/>
      <c r="B663" s="1300"/>
      <c r="C663" s="1300"/>
      <c r="D663" s="1301"/>
      <c r="E663" s="1301"/>
      <c r="F663" s="1301" t="s">
        <v>189</v>
      </c>
      <c r="G663" s="1016"/>
      <c r="H663" s="161" t="s">
        <v>12</v>
      </c>
      <c r="I663" s="880"/>
      <c r="J663" s="880"/>
      <c r="K663" s="881"/>
      <c r="L663" s="881"/>
      <c r="M663" s="881"/>
      <c r="N663" s="1085">
        <v>0</v>
      </c>
      <c r="O663" s="881"/>
      <c r="P663" s="881"/>
      <c r="Q663" s="1302"/>
      <c r="R663" s="1302"/>
      <c r="S663" s="1302"/>
      <c r="T663" s="1302"/>
      <c r="U663" s="1302"/>
      <c r="V663" s="1302"/>
      <c r="W663" s="1302"/>
      <c r="X663" s="1302"/>
      <c r="Y663" s="1302"/>
      <c r="Z663" s="1302"/>
    </row>
    <row r="664" spans="1:26" ht="18.75" hidden="1">
      <c r="A664" s="1299"/>
      <c r="B664" s="1300"/>
      <c r="C664" s="1300"/>
      <c r="D664" s="1300"/>
      <c r="E664" s="1301"/>
      <c r="F664" s="1301" t="s">
        <v>190</v>
      </c>
      <c r="G664" s="1016"/>
      <c r="H664" s="161" t="s">
        <v>12</v>
      </c>
      <c r="I664" s="880"/>
      <c r="J664" s="880"/>
      <c r="K664" s="881"/>
      <c r="L664" s="881"/>
      <c r="M664" s="881"/>
      <c r="N664" s="1085">
        <v>0</v>
      </c>
      <c r="O664" s="881"/>
      <c r="P664" s="881"/>
      <c r="Q664" s="1302"/>
      <c r="R664" s="1302"/>
      <c r="S664" s="1302"/>
      <c r="T664" s="1302"/>
      <c r="U664" s="1302"/>
      <c r="V664" s="1302"/>
      <c r="W664" s="1302"/>
      <c r="X664" s="1302"/>
      <c r="Y664" s="1302"/>
      <c r="Z664" s="1302"/>
    </row>
    <row r="665" spans="1:26" ht="18.75" hidden="1">
      <c r="A665" s="1317"/>
      <c r="B665" s="1300"/>
      <c r="C665" s="1300"/>
      <c r="D665" s="1325" t="s">
        <v>21</v>
      </c>
      <c r="E665" s="1301"/>
      <c r="F665" s="1301"/>
      <c r="G665" s="1016"/>
      <c r="H665" s="168" t="s">
        <v>12</v>
      </c>
      <c r="I665" s="997"/>
      <c r="J665" s="997"/>
      <c r="K665" s="998"/>
      <c r="L665" s="881">
        <f t="shared" ref="L665:N665" si="277">L666+L667</f>
        <v>0</v>
      </c>
      <c r="M665" s="881">
        <f t="shared" si="277"/>
        <v>0</v>
      </c>
      <c r="N665" s="881">
        <f t="shared" si="277"/>
        <v>0</v>
      </c>
      <c r="O665" s="881">
        <f t="shared" ref="O665:O667" si="278">IF(L665&gt;0,N665*100/L665,0)</f>
        <v>0</v>
      </c>
      <c r="P665" s="881">
        <f t="shared" ref="P665:P667" si="279">IF(M665&gt;0,N665*100/M665,0)</f>
        <v>0</v>
      </c>
      <c r="Q665" s="1302"/>
      <c r="R665" s="1302"/>
      <c r="S665" s="1302"/>
      <c r="T665" s="1302"/>
      <c r="U665" s="1302"/>
      <c r="V665" s="1302"/>
      <c r="W665" s="1302"/>
      <c r="X665" s="1302"/>
      <c r="Y665" s="1302"/>
      <c r="Z665" s="1302"/>
    </row>
    <row r="666" spans="1:26" ht="18.75" hidden="1">
      <c r="A666" s="1319"/>
      <c r="B666" s="1324"/>
      <c r="C666" s="1324"/>
      <c r="D666" s="1324"/>
      <c r="E666" s="1320" t="s">
        <v>18</v>
      </c>
      <c r="F666" s="1320"/>
      <c r="G666" s="1322"/>
      <c r="H666" s="165" t="s">
        <v>12</v>
      </c>
      <c r="I666" s="1000"/>
      <c r="J666" s="1000"/>
      <c r="K666" s="1001"/>
      <c r="L666" s="887">
        <v>0</v>
      </c>
      <c r="M666" s="887">
        <v>0</v>
      </c>
      <c r="N666" s="887">
        <v>0</v>
      </c>
      <c r="O666" s="887">
        <f t="shared" si="278"/>
        <v>0</v>
      </c>
      <c r="P666" s="887">
        <f t="shared" si="279"/>
        <v>0</v>
      </c>
      <c r="Q666" s="1323"/>
      <c r="R666" s="1323"/>
      <c r="S666" s="1323"/>
      <c r="T666" s="1323"/>
      <c r="U666" s="1323"/>
      <c r="V666" s="1323"/>
      <c r="W666" s="1323"/>
      <c r="X666" s="1323"/>
      <c r="Y666" s="1323"/>
      <c r="Z666" s="1323"/>
    </row>
    <row r="667" spans="1:26" ht="18.75" hidden="1">
      <c r="A667" s="1319"/>
      <c r="B667" s="1324"/>
      <c r="C667" s="1324"/>
      <c r="D667" s="1324"/>
      <c r="E667" s="1320" t="s">
        <v>19</v>
      </c>
      <c r="F667" s="1320"/>
      <c r="G667" s="1322"/>
      <c r="H667" s="169" t="s">
        <v>12</v>
      </c>
      <c r="I667" s="1000"/>
      <c r="J667" s="1000"/>
      <c r="K667" s="1001"/>
      <c r="L667" s="887">
        <v>0</v>
      </c>
      <c r="M667" s="887">
        <v>0</v>
      </c>
      <c r="N667" s="887">
        <v>0</v>
      </c>
      <c r="O667" s="887">
        <f t="shared" si="278"/>
        <v>0</v>
      </c>
      <c r="P667" s="887">
        <f t="shared" si="279"/>
        <v>0</v>
      </c>
      <c r="Q667" s="1323"/>
      <c r="R667" s="1323"/>
      <c r="S667" s="1323"/>
      <c r="T667" s="1323"/>
      <c r="U667" s="1323"/>
      <c r="V667" s="1323"/>
      <c r="W667" s="1323"/>
      <c r="X667" s="1323"/>
      <c r="Y667" s="1323"/>
      <c r="Z667" s="1323"/>
    </row>
    <row r="668" spans="1:26" ht="19.5" hidden="1">
      <c r="A668" s="1326"/>
      <c r="B668" s="1327"/>
      <c r="C668" s="1300" t="s">
        <v>16</v>
      </c>
      <c r="D668" s="1328" t="s">
        <v>38</v>
      </c>
      <c r="E668" s="1330"/>
      <c r="F668" s="1330"/>
      <c r="G668" s="1331"/>
      <c r="H668" s="1007"/>
      <c r="I668" s="997"/>
      <c r="J668" s="997"/>
      <c r="K668" s="998"/>
      <c r="L668" s="998"/>
      <c r="M668" s="998"/>
      <c r="N668" s="998"/>
      <c r="O668" s="998"/>
      <c r="P668" s="998"/>
      <c r="Q668" s="1302"/>
      <c r="R668" s="1302"/>
      <c r="S668" s="1302"/>
      <c r="T668" s="1302"/>
      <c r="U668" s="1302"/>
      <c r="V668" s="1302"/>
      <c r="W668" s="1302"/>
      <c r="X668" s="1302"/>
      <c r="Y668" s="1302"/>
      <c r="Z668" s="1302"/>
    </row>
    <row r="669" spans="1:26" ht="19.5" hidden="1">
      <c r="A669" s="1326"/>
      <c r="B669" s="1327"/>
      <c r="C669" s="1327"/>
      <c r="D669" s="1327" t="s">
        <v>281</v>
      </c>
      <c r="E669" s="1014"/>
      <c r="F669" s="1014"/>
      <c r="G669" s="1007"/>
      <c r="H669" s="765" t="s">
        <v>46</v>
      </c>
      <c r="I669" s="1019">
        <f ca="1">IFERROR(__xludf.DUMMYFUNCTION("IMPORTRANGE(""https://docs.google.com/spreadsheets/d/1QqKyyYR6Q21VydFLVH3TRQUabQu_ym0Zz7PgGX0-kHA/edit?usp=sharing"",""แผน!IA83"")"),0)</f>
        <v>0</v>
      </c>
      <c r="J669" s="1019">
        <f>J675</f>
        <v>0</v>
      </c>
      <c r="K669" s="1020">
        <f ca="1">IF(I669&gt;0,J669*100/I669,0)</f>
        <v>0</v>
      </c>
      <c r="L669" s="998"/>
      <c r="M669" s="998"/>
      <c r="N669" s="998"/>
      <c r="O669" s="998"/>
      <c r="P669" s="998"/>
      <c r="Q669" s="1302"/>
      <c r="R669" s="1302"/>
      <c r="S669" s="1302"/>
      <c r="T669" s="1302"/>
      <c r="U669" s="1302"/>
      <c r="V669" s="1302"/>
      <c r="W669" s="1302"/>
      <c r="X669" s="1302"/>
      <c r="Y669" s="1302"/>
      <c r="Z669" s="1302"/>
    </row>
    <row r="670" spans="1:26" ht="18.75" hidden="1">
      <c r="A670" s="1326"/>
      <c r="B670" s="1327"/>
      <c r="C670" s="1327"/>
      <c r="D670" s="1327"/>
      <c r="E670" s="1014" t="s">
        <v>282</v>
      </c>
      <c r="F670" s="1014"/>
      <c r="G670" s="1007"/>
      <c r="H670" s="762" t="s">
        <v>66</v>
      </c>
      <c r="I670" s="880">
        <f ca="1">IFERROR(__xludf.DUMMYFUNCTION("IMPORTRANGE(""https://docs.google.com/spreadsheets/d/1QqKyyYR6Q21VydFLVH3TRQUabQu_ym0Zz7PgGX0-kHA/edit?usp=sharing"",""แผน!HZ83"")"),0)</f>
        <v>0</v>
      </c>
      <c r="J670" s="1012">
        <v>0</v>
      </c>
      <c r="K670" s="881">
        <f ca="1">IF(I670&gt;0,(J670*100)/I670,0)</f>
        <v>0</v>
      </c>
      <c r="L670" s="998"/>
      <c r="M670" s="998"/>
      <c r="N670" s="998"/>
      <c r="O670" s="998"/>
      <c r="P670" s="998"/>
      <c r="Q670" s="1302"/>
      <c r="R670" s="1302"/>
      <c r="S670" s="1302"/>
      <c r="T670" s="1302"/>
      <c r="U670" s="1302"/>
      <c r="V670" s="1302"/>
      <c r="W670" s="1302"/>
      <c r="X670" s="1302"/>
      <c r="Y670" s="1302"/>
      <c r="Z670" s="1302"/>
    </row>
    <row r="671" spans="1:26" ht="18.75" hidden="1">
      <c r="A671" s="1326"/>
      <c r="B671" s="1327"/>
      <c r="C671" s="1327"/>
      <c r="D671" s="1327"/>
      <c r="E671" s="1014" t="s">
        <v>283</v>
      </c>
      <c r="F671" s="1014"/>
      <c r="G671" s="1007"/>
      <c r="H671" s="762" t="s">
        <v>66</v>
      </c>
      <c r="I671" s="880">
        <f ca="1">IFERROR(__xludf.DUMMYFUNCTION("IMPORTRANGE(""https://docs.google.com/spreadsheets/d/1QqKyyYR6Q21VydFLVH3TRQUabQu_ym0Zz7PgGX0-kHA/edit?usp=sharing"",""แผน!HZ83"")"),0)</f>
        <v>0</v>
      </c>
      <c r="J671" s="1012">
        <v>0</v>
      </c>
      <c r="K671" s="881">
        <f ca="1">IF(I$671&gt;0,J671*100/I$671,0)</f>
        <v>0</v>
      </c>
      <c r="L671" s="998"/>
      <c r="M671" s="998"/>
      <c r="N671" s="998"/>
      <c r="O671" s="998"/>
      <c r="P671" s="998"/>
      <c r="Q671" s="1302"/>
      <c r="R671" s="1302"/>
      <c r="S671" s="1302"/>
      <c r="T671" s="1302"/>
      <c r="U671" s="1302"/>
      <c r="V671" s="1302"/>
      <c r="W671" s="1302"/>
      <c r="X671" s="1302"/>
      <c r="Y671" s="1302"/>
      <c r="Z671" s="1302"/>
    </row>
    <row r="672" spans="1:26" ht="18.75" hidden="1">
      <c r="A672" s="1326"/>
      <c r="B672" s="1327"/>
      <c r="C672" s="1327"/>
      <c r="D672" s="1327"/>
      <c r="E672" s="1014" t="s">
        <v>284</v>
      </c>
      <c r="F672" s="1014"/>
      <c r="G672" s="1007"/>
      <c r="H672" s="762" t="s">
        <v>46</v>
      </c>
      <c r="I672" s="880"/>
      <c r="J672" s="1012">
        <v>0</v>
      </c>
      <c r="K672" s="881">
        <f t="shared" ref="K672:K675" ca="1" si="280">IF(I$669&gt;0,J672*100/I$669,0)</f>
        <v>0</v>
      </c>
      <c r="L672" s="998"/>
      <c r="M672" s="998"/>
      <c r="N672" s="998"/>
      <c r="O672" s="998"/>
      <c r="P672" s="998"/>
      <c r="Q672" s="1302"/>
      <c r="R672" s="1302"/>
      <c r="S672" s="1302"/>
      <c r="T672" s="1302"/>
      <c r="U672" s="1302"/>
      <c r="V672" s="1302"/>
      <c r="W672" s="1302"/>
      <c r="X672" s="1302"/>
      <c r="Y672" s="1302"/>
      <c r="Z672" s="1302"/>
    </row>
    <row r="673" spans="1:26" ht="18.75" hidden="1">
      <c r="A673" s="1326"/>
      <c r="B673" s="1327"/>
      <c r="C673" s="1327"/>
      <c r="D673" s="1327"/>
      <c r="E673" s="1014" t="s">
        <v>285</v>
      </c>
      <c r="F673" s="1014"/>
      <c r="G673" s="1007"/>
      <c r="H673" s="762" t="s">
        <v>46</v>
      </c>
      <c r="I673" s="880"/>
      <c r="J673" s="1012">
        <v>0</v>
      </c>
      <c r="K673" s="881">
        <f t="shared" ca="1" si="280"/>
        <v>0</v>
      </c>
      <c r="L673" s="998"/>
      <c r="M673" s="998"/>
      <c r="N673" s="998"/>
      <c r="O673" s="998"/>
      <c r="P673" s="998"/>
      <c r="Q673" s="1302"/>
      <c r="R673" s="1302"/>
      <c r="S673" s="1302"/>
      <c r="T673" s="1302"/>
      <c r="U673" s="1302"/>
      <c r="V673" s="1302"/>
      <c r="W673" s="1302"/>
      <c r="X673" s="1302"/>
      <c r="Y673" s="1302"/>
      <c r="Z673" s="1302"/>
    </row>
    <row r="674" spans="1:26" ht="18.75" hidden="1">
      <c r="A674" s="1326"/>
      <c r="B674" s="1327"/>
      <c r="C674" s="1327"/>
      <c r="D674" s="1327"/>
      <c r="E674" s="1014" t="s">
        <v>286</v>
      </c>
      <c r="F674" s="1014"/>
      <c r="G674" s="1007"/>
      <c r="H674" s="762" t="s">
        <v>46</v>
      </c>
      <c r="I674" s="880"/>
      <c r="J674" s="1012">
        <v>0</v>
      </c>
      <c r="K674" s="881">
        <f t="shared" ca="1" si="280"/>
        <v>0</v>
      </c>
      <c r="L674" s="998"/>
      <c r="M674" s="998"/>
      <c r="N674" s="998"/>
      <c r="O674" s="998"/>
      <c r="P674" s="998"/>
      <c r="Q674" s="1302"/>
      <c r="R674" s="1302"/>
      <c r="S674" s="1302"/>
      <c r="T674" s="1302"/>
      <c r="U674" s="1302"/>
      <c r="V674" s="1302"/>
      <c r="W674" s="1302"/>
      <c r="X674" s="1302"/>
      <c r="Y674" s="1302"/>
      <c r="Z674" s="1302"/>
    </row>
    <row r="675" spans="1:26" ht="19.5" hidden="1">
      <c r="A675" s="1326"/>
      <c r="B675" s="1327"/>
      <c r="C675" s="1327"/>
      <c r="D675" s="1327"/>
      <c r="E675" s="1014" t="s">
        <v>287</v>
      </c>
      <c r="F675" s="1014"/>
      <c r="G675" s="1007"/>
      <c r="H675" s="762" t="s">
        <v>46</v>
      </c>
      <c r="I675" s="880"/>
      <c r="J675" s="1019">
        <f>J676+J677</f>
        <v>0</v>
      </c>
      <c r="K675" s="1020">
        <f t="shared" ca="1" si="280"/>
        <v>0</v>
      </c>
      <c r="L675" s="998"/>
      <c r="M675" s="998"/>
      <c r="N675" s="998"/>
      <c r="O675" s="998"/>
      <c r="P675" s="998"/>
      <c r="Q675" s="1302"/>
      <c r="R675" s="1302"/>
      <c r="S675" s="1302"/>
      <c r="T675" s="1302"/>
      <c r="U675" s="1302"/>
      <c r="V675" s="1302"/>
      <c r="W675" s="1302"/>
      <c r="X675" s="1302"/>
      <c r="Y675" s="1302"/>
      <c r="Z675" s="1302"/>
    </row>
    <row r="676" spans="1:26" ht="18.75" hidden="1">
      <c r="A676" s="1326"/>
      <c r="B676" s="1327"/>
      <c r="C676" s="1327"/>
      <c r="D676" s="1327"/>
      <c r="E676" s="1014"/>
      <c r="F676" s="1014" t="s">
        <v>288</v>
      </c>
      <c r="G676" s="1007"/>
      <c r="H676" s="762" t="s">
        <v>46</v>
      </c>
      <c r="I676" s="880"/>
      <c r="J676" s="1012">
        <v>0</v>
      </c>
      <c r="K676" s="881"/>
      <c r="L676" s="998"/>
      <c r="M676" s="998"/>
      <c r="N676" s="998"/>
      <c r="O676" s="998"/>
      <c r="P676" s="998"/>
      <c r="Q676" s="1302"/>
      <c r="R676" s="1302"/>
      <c r="S676" s="1302"/>
      <c r="T676" s="1302"/>
      <c r="U676" s="1302"/>
      <c r="V676" s="1302"/>
      <c r="W676" s="1302"/>
      <c r="X676" s="1302"/>
      <c r="Y676" s="1302"/>
      <c r="Z676" s="1302"/>
    </row>
    <row r="677" spans="1:26" ht="18.75" hidden="1">
      <c r="A677" s="1326"/>
      <c r="B677" s="1327"/>
      <c r="C677" s="1327"/>
      <c r="D677" s="1327"/>
      <c r="E677" s="1014"/>
      <c r="F677" s="1014" t="s">
        <v>289</v>
      </c>
      <c r="G677" s="1007"/>
      <c r="H677" s="762" t="s">
        <v>46</v>
      </c>
      <c r="I677" s="880"/>
      <c r="J677" s="1012">
        <v>0</v>
      </c>
      <c r="K677" s="881"/>
      <c r="L677" s="998"/>
      <c r="M677" s="998"/>
      <c r="N677" s="998"/>
      <c r="O677" s="998"/>
      <c r="P677" s="998"/>
      <c r="Q677" s="1302"/>
      <c r="R677" s="1302"/>
      <c r="S677" s="1302"/>
      <c r="T677" s="1302"/>
      <c r="U677" s="1302"/>
      <c r="V677" s="1302"/>
      <c r="W677" s="1302"/>
      <c r="X677" s="1302"/>
      <c r="Y677" s="1302"/>
      <c r="Z677" s="1302"/>
    </row>
    <row r="678" spans="1:26" ht="19.5" hidden="1">
      <c r="A678" s="1326"/>
      <c r="B678" s="1327"/>
      <c r="C678" s="1327"/>
      <c r="D678" s="1327" t="s">
        <v>290</v>
      </c>
      <c r="E678" s="1014"/>
      <c r="F678" s="1014"/>
      <c r="G678" s="1007"/>
      <c r="H678" s="762" t="s">
        <v>46</v>
      </c>
      <c r="I678" s="1019">
        <f ca="1">IFERROR(__xludf.DUMMYFUNCTION("IMPORTRANGE(""https://docs.google.com/spreadsheets/d/1QqKyyYR6Q21VydFLVH3TRQUabQu_ym0Zz7PgGX0-kHA/edit?usp=sharing"",""แผน!IB83"")"),0)</f>
        <v>0</v>
      </c>
      <c r="J678" s="1019">
        <f>J679</f>
        <v>0</v>
      </c>
      <c r="K678" s="1020">
        <f ca="1">IF(I678&gt;0,J678*100/I678,0)</f>
        <v>0</v>
      </c>
      <c r="L678" s="998"/>
      <c r="M678" s="998"/>
      <c r="N678" s="998"/>
      <c r="O678" s="998"/>
      <c r="P678" s="998"/>
      <c r="Q678" s="1302"/>
      <c r="R678" s="1302"/>
      <c r="S678" s="1302"/>
      <c r="T678" s="1302"/>
      <c r="U678" s="1302"/>
      <c r="V678" s="1302"/>
      <c r="W678" s="1302"/>
      <c r="X678" s="1302"/>
      <c r="Y678" s="1302"/>
      <c r="Z678" s="1302"/>
    </row>
    <row r="679" spans="1:26" ht="18.75" hidden="1">
      <c r="A679" s="1326"/>
      <c r="B679" s="1327"/>
      <c r="C679" s="1327"/>
      <c r="D679" s="1327"/>
      <c r="E679" s="1014" t="s">
        <v>291</v>
      </c>
      <c r="F679" s="1014"/>
      <c r="G679" s="1007"/>
      <c r="H679" s="762" t="s">
        <v>46</v>
      </c>
      <c r="I679" s="880"/>
      <c r="J679" s="880">
        <f>J680+J681</f>
        <v>0</v>
      </c>
      <c r="K679" s="881"/>
      <c r="L679" s="998"/>
      <c r="M679" s="998"/>
      <c r="N679" s="998"/>
      <c r="O679" s="998"/>
      <c r="P679" s="998"/>
      <c r="Q679" s="1302"/>
      <c r="R679" s="1302"/>
      <c r="S679" s="1302"/>
      <c r="T679" s="1302"/>
      <c r="U679" s="1302"/>
      <c r="V679" s="1302"/>
      <c r="W679" s="1302"/>
      <c r="X679" s="1302"/>
      <c r="Y679" s="1302"/>
      <c r="Z679" s="1302"/>
    </row>
    <row r="680" spans="1:26" ht="18.75" hidden="1">
      <c r="A680" s="1326"/>
      <c r="B680" s="1327"/>
      <c r="C680" s="1327"/>
      <c r="D680" s="1327"/>
      <c r="E680" s="1014"/>
      <c r="F680" s="1014" t="s">
        <v>288</v>
      </c>
      <c r="G680" s="1007"/>
      <c r="H680" s="762" t="s">
        <v>46</v>
      </c>
      <c r="I680" s="880"/>
      <c r="J680" s="1012">
        <v>0</v>
      </c>
      <c r="K680" s="881"/>
      <c r="L680" s="998"/>
      <c r="M680" s="998"/>
      <c r="N680" s="998"/>
      <c r="O680" s="998"/>
      <c r="P680" s="998"/>
      <c r="Q680" s="1302"/>
      <c r="R680" s="1302"/>
      <c r="S680" s="1302"/>
      <c r="T680" s="1302"/>
      <c r="U680" s="1302"/>
      <c r="V680" s="1302"/>
      <c r="W680" s="1302"/>
      <c r="X680" s="1302"/>
      <c r="Y680" s="1302"/>
      <c r="Z680" s="1302"/>
    </row>
    <row r="681" spans="1:26" ht="18.75" hidden="1">
      <c r="A681" s="1326"/>
      <c r="B681" s="1327"/>
      <c r="C681" s="1327"/>
      <c r="D681" s="1327"/>
      <c r="E681" s="1014"/>
      <c r="F681" s="1014" t="s">
        <v>289</v>
      </c>
      <c r="G681" s="1007"/>
      <c r="H681" s="762" t="s">
        <v>46</v>
      </c>
      <c r="I681" s="880"/>
      <c r="J681" s="1012">
        <v>0</v>
      </c>
      <c r="K681" s="881"/>
      <c r="L681" s="998"/>
      <c r="M681" s="998"/>
      <c r="N681" s="998"/>
      <c r="O681" s="998"/>
      <c r="P681" s="998"/>
      <c r="Q681" s="1302"/>
      <c r="R681" s="1302"/>
      <c r="S681" s="1302"/>
      <c r="T681" s="1302"/>
      <c r="U681" s="1302"/>
      <c r="V681" s="1302"/>
      <c r="W681" s="1302"/>
      <c r="X681" s="1302"/>
      <c r="Y681" s="1302"/>
      <c r="Z681" s="1302"/>
    </row>
    <row r="682" spans="1:26" ht="18.75" hidden="1">
      <c r="A682" s="1326"/>
      <c r="B682" s="1327"/>
      <c r="C682" s="1327"/>
      <c r="D682" s="1327"/>
      <c r="E682" s="1014" t="s">
        <v>292</v>
      </c>
      <c r="F682" s="1014"/>
      <c r="G682" s="1007"/>
      <c r="H682" s="762" t="s">
        <v>46</v>
      </c>
      <c r="I682" s="880"/>
      <c r="J682" s="1012">
        <v>0</v>
      </c>
      <c r="K682" s="881"/>
      <c r="L682" s="998"/>
      <c r="M682" s="998"/>
      <c r="N682" s="998"/>
      <c r="O682" s="998"/>
      <c r="P682" s="998"/>
      <c r="Q682" s="1302"/>
      <c r="R682" s="1302"/>
      <c r="S682" s="1302"/>
      <c r="T682" s="1302"/>
      <c r="U682" s="1302"/>
      <c r="V682" s="1302"/>
      <c r="W682" s="1302"/>
      <c r="X682" s="1302"/>
      <c r="Y682" s="1302"/>
      <c r="Z682" s="1302"/>
    </row>
    <row r="683" spans="1:26" ht="18.75" hidden="1">
      <c r="A683" s="1326"/>
      <c r="B683" s="1327"/>
      <c r="C683" s="1327"/>
      <c r="D683" s="1327"/>
      <c r="E683" s="1014"/>
      <c r="F683" s="1014" t="s">
        <v>293</v>
      </c>
      <c r="G683" s="1007"/>
      <c r="H683" s="762" t="s">
        <v>46</v>
      </c>
      <c r="I683" s="880"/>
      <c r="J683" s="1012">
        <v>0</v>
      </c>
      <c r="K683" s="881"/>
      <c r="L683" s="998"/>
      <c r="M683" s="998"/>
      <c r="N683" s="998"/>
      <c r="O683" s="998"/>
      <c r="P683" s="998"/>
      <c r="Q683" s="1302"/>
      <c r="R683" s="1302"/>
      <c r="S683" s="1302"/>
      <c r="T683" s="1302"/>
      <c r="U683" s="1302"/>
      <c r="V683" s="1302"/>
      <c r="W683" s="1302"/>
      <c r="X683" s="1302"/>
      <c r="Y683" s="1302"/>
      <c r="Z683" s="1302"/>
    </row>
    <row r="684" spans="1:26" ht="19.5" hidden="1">
      <c r="A684" s="1434"/>
      <c r="B684" s="1435" t="s">
        <v>294</v>
      </c>
      <c r="C684" s="1434"/>
      <c r="D684" s="1434"/>
      <c r="E684" s="1434"/>
      <c r="F684" s="1434"/>
      <c r="G684" s="1436"/>
      <c r="H684" s="1436"/>
      <c r="I684" s="1437"/>
      <c r="J684" s="1437"/>
      <c r="K684" s="1438"/>
      <c r="L684" s="1438"/>
      <c r="M684" s="1438"/>
      <c r="N684" s="1438"/>
      <c r="O684" s="1438"/>
      <c r="P684" s="1438"/>
      <c r="Q684" s="1302"/>
      <c r="R684" s="1302"/>
      <c r="S684" s="1302"/>
      <c r="T684" s="1302"/>
      <c r="U684" s="1302"/>
      <c r="V684" s="1302"/>
      <c r="W684" s="1302"/>
      <c r="X684" s="1302"/>
      <c r="Y684" s="1302"/>
      <c r="Z684" s="1302"/>
    </row>
    <row r="685" spans="1:26" ht="19.5" hidden="1">
      <c r="A685" s="1317"/>
      <c r="B685" s="1301"/>
      <c r="C685" s="1301" t="s">
        <v>16</v>
      </c>
      <c r="D685" s="1318" t="s">
        <v>17</v>
      </c>
      <c r="E685" s="841"/>
      <c r="F685" s="841"/>
      <c r="G685" s="1016"/>
      <c r="H685" s="597" t="s">
        <v>12</v>
      </c>
      <c r="I685" s="880"/>
      <c r="J685" s="880"/>
      <c r="K685" s="881"/>
      <c r="L685" s="1020">
        <f t="shared" ref="L685:N685" ca="1" si="281">L686+L687</f>
        <v>0</v>
      </c>
      <c r="M685" s="1020">
        <f t="shared" si="281"/>
        <v>0</v>
      </c>
      <c r="N685" s="1020">
        <f t="shared" si="281"/>
        <v>0</v>
      </c>
      <c r="O685" s="1020">
        <f t="shared" ref="O685:O688" ca="1" si="282">IF(L685&gt;0,N685*100/L685,0)</f>
        <v>0</v>
      </c>
      <c r="P685" s="1020">
        <f t="shared" ref="P685:P688" si="283">IF(M685&gt;0,N685*100/M685,0)</f>
        <v>0</v>
      </c>
      <c r="Q685" s="1302"/>
      <c r="R685" s="1302"/>
      <c r="S685" s="1302"/>
      <c r="T685" s="1302"/>
      <c r="U685" s="1302"/>
      <c r="V685" s="1302"/>
      <c r="W685" s="1302"/>
      <c r="X685" s="1302"/>
      <c r="Y685" s="1302"/>
      <c r="Z685" s="1302"/>
    </row>
    <row r="686" spans="1:26" ht="18.75" hidden="1">
      <c r="A686" s="1319"/>
      <c r="B686" s="1320"/>
      <c r="C686" s="1320"/>
      <c r="D686" s="1321"/>
      <c r="E686" s="1320" t="s">
        <v>185</v>
      </c>
      <c r="F686" s="1320"/>
      <c r="G686" s="1322"/>
      <c r="H686" s="165" t="s">
        <v>12</v>
      </c>
      <c r="I686" s="886"/>
      <c r="J686" s="886"/>
      <c r="K686" s="887"/>
      <c r="L686" s="887">
        <f t="shared" ref="L686:N687" si="284">L689+L696</f>
        <v>0</v>
      </c>
      <c r="M686" s="887">
        <f t="shared" si="284"/>
        <v>0</v>
      </c>
      <c r="N686" s="887">
        <f t="shared" si="284"/>
        <v>0</v>
      </c>
      <c r="O686" s="887">
        <f t="shared" si="282"/>
        <v>0</v>
      </c>
      <c r="P686" s="887">
        <f t="shared" si="283"/>
        <v>0</v>
      </c>
      <c r="Q686" s="1323"/>
      <c r="R686" s="1323"/>
      <c r="S686" s="1323"/>
      <c r="T686" s="1323"/>
      <c r="U686" s="1323"/>
      <c r="V686" s="1323"/>
      <c r="W686" s="1323"/>
      <c r="X686" s="1323"/>
      <c r="Y686" s="1323"/>
      <c r="Z686" s="1323"/>
    </row>
    <row r="687" spans="1:26" ht="18.75" hidden="1">
      <c r="A687" s="1319"/>
      <c r="B687" s="1324"/>
      <c r="C687" s="1320"/>
      <c r="D687" s="1321"/>
      <c r="E687" s="1320" t="s">
        <v>186</v>
      </c>
      <c r="F687" s="1320"/>
      <c r="G687" s="1322"/>
      <c r="H687" s="165" t="s">
        <v>12</v>
      </c>
      <c r="I687" s="886"/>
      <c r="J687" s="886"/>
      <c r="K687" s="887"/>
      <c r="L687" s="887">
        <f t="shared" ca="1" si="284"/>
        <v>0</v>
      </c>
      <c r="M687" s="887">
        <f t="shared" si="284"/>
        <v>0</v>
      </c>
      <c r="N687" s="887">
        <f t="shared" si="284"/>
        <v>0</v>
      </c>
      <c r="O687" s="887">
        <f t="shared" ca="1" si="282"/>
        <v>0</v>
      </c>
      <c r="P687" s="887">
        <f t="shared" si="283"/>
        <v>0</v>
      </c>
      <c r="Q687" s="1323"/>
      <c r="R687" s="1323"/>
      <c r="S687" s="1323"/>
      <c r="T687" s="1323"/>
      <c r="U687" s="1323"/>
      <c r="V687" s="1323"/>
      <c r="W687" s="1323"/>
      <c r="X687" s="1323"/>
      <c r="Y687" s="1323"/>
      <c r="Z687" s="1323"/>
    </row>
    <row r="688" spans="1:26" ht="18.75" hidden="1">
      <c r="A688" s="1317"/>
      <c r="B688" s="1300"/>
      <c r="C688" s="1301"/>
      <c r="D688" s="1325" t="s">
        <v>20</v>
      </c>
      <c r="E688" s="1301"/>
      <c r="F688" s="1301"/>
      <c r="G688" s="1016"/>
      <c r="H688" s="161" t="s">
        <v>12</v>
      </c>
      <c r="I688" s="997"/>
      <c r="J688" s="997"/>
      <c r="K688" s="998"/>
      <c r="L688" s="881">
        <f t="shared" ref="L688:N688" ca="1" si="285">L689+L690</f>
        <v>0</v>
      </c>
      <c r="M688" s="881">
        <f t="shared" si="285"/>
        <v>0</v>
      </c>
      <c r="N688" s="881">
        <f t="shared" si="285"/>
        <v>0</v>
      </c>
      <c r="O688" s="881">
        <f t="shared" ca="1" si="282"/>
        <v>0</v>
      </c>
      <c r="P688" s="881">
        <f t="shared" si="283"/>
        <v>0</v>
      </c>
      <c r="Q688" s="1302"/>
      <c r="R688" s="1302"/>
      <c r="S688" s="1302"/>
      <c r="T688" s="1302"/>
      <c r="U688" s="1302"/>
      <c r="V688" s="1302"/>
      <c r="W688" s="1302"/>
      <c r="X688" s="1302"/>
      <c r="Y688" s="1302"/>
      <c r="Z688" s="1302"/>
    </row>
    <row r="689" spans="1:26" ht="18.75" hidden="1">
      <c r="A689" s="1319"/>
      <c r="B689" s="1324"/>
      <c r="C689" s="1320"/>
      <c r="D689" s="1321"/>
      <c r="E689" s="1320" t="s">
        <v>185</v>
      </c>
      <c r="F689" s="1320"/>
      <c r="G689" s="1322"/>
      <c r="H689" s="165" t="s">
        <v>12</v>
      </c>
      <c r="I689" s="886"/>
      <c r="J689" s="886"/>
      <c r="K689" s="887"/>
      <c r="L689" s="887">
        <v>0</v>
      </c>
      <c r="M689" s="887">
        <v>0</v>
      </c>
      <c r="N689" s="887">
        <v>0</v>
      </c>
      <c r="O689" s="887"/>
      <c r="P689" s="887"/>
      <c r="Q689" s="1323"/>
      <c r="R689" s="1323"/>
      <c r="S689" s="1323"/>
      <c r="T689" s="1323"/>
      <c r="U689" s="1323"/>
      <c r="V689" s="1323"/>
      <c r="W689" s="1323"/>
      <c r="X689" s="1323"/>
      <c r="Y689" s="1323"/>
      <c r="Z689" s="1323"/>
    </row>
    <row r="690" spans="1:26" ht="18.75" hidden="1">
      <c r="A690" s="1319"/>
      <c r="B690" s="1324"/>
      <c r="C690" s="1320"/>
      <c r="D690" s="1321"/>
      <c r="E690" s="1320" t="s">
        <v>186</v>
      </c>
      <c r="F690" s="1320"/>
      <c r="G690" s="1322"/>
      <c r="H690" s="165" t="s">
        <v>12</v>
      </c>
      <c r="I690" s="886"/>
      <c r="J690" s="886"/>
      <c r="K690" s="887"/>
      <c r="L690" s="887">
        <f ca="1">IFERROR(__xludf.DUMMYFUNCTION("IMPORTRANGE(""https://docs.google.com/spreadsheets/d/1QqKyyYR6Q21VydFLVH3TRQUabQu_ym0Zz7PgGX0-kHA/edit?usp=sharing"",""แผน!HW83"")"),0)</f>
        <v>0</v>
      </c>
      <c r="M690" s="887">
        <v>0</v>
      </c>
      <c r="N690" s="887">
        <f>N691+N692+N693+N694</f>
        <v>0</v>
      </c>
      <c r="O690" s="887">
        <f ca="1">IF(L690&gt;0,N690*100/L690,0)</f>
        <v>0</v>
      </c>
      <c r="P690" s="887">
        <f>IF(M690&gt;0,N690*100/M690,0)</f>
        <v>0</v>
      </c>
      <c r="Q690" s="1323"/>
      <c r="R690" s="1323"/>
      <c r="S690" s="1323"/>
      <c r="T690" s="1323"/>
      <c r="U690" s="1323"/>
      <c r="V690" s="1323"/>
      <c r="W690" s="1323"/>
      <c r="X690" s="1323"/>
      <c r="Y690" s="1323"/>
      <c r="Z690" s="1323"/>
    </row>
    <row r="691" spans="1:26" ht="18.75" hidden="1">
      <c r="A691" s="1299"/>
      <c r="B691" s="1300"/>
      <c r="C691" s="1301"/>
      <c r="D691" s="1301"/>
      <c r="E691" s="1301"/>
      <c r="F691" s="1301" t="s">
        <v>187</v>
      </c>
      <c r="G691" s="1016"/>
      <c r="H691" s="161" t="s">
        <v>12</v>
      </c>
      <c r="I691" s="880"/>
      <c r="J691" s="880"/>
      <c r="K691" s="881"/>
      <c r="L691" s="881"/>
      <c r="M691" s="881"/>
      <c r="N691" s="1085">
        <v>0</v>
      </c>
      <c r="O691" s="881"/>
      <c r="P691" s="881"/>
      <c r="Q691" s="1302"/>
      <c r="R691" s="1302"/>
      <c r="S691" s="1302"/>
      <c r="T691" s="1302"/>
      <c r="U691" s="1302"/>
      <c r="V691" s="1302"/>
      <c r="W691" s="1302"/>
      <c r="X691" s="1302"/>
      <c r="Y691" s="1302"/>
      <c r="Z691" s="1302"/>
    </row>
    <row r="692" spans="1:26" ht="18.75" hidden="1">
      <c r="A692" s="1299"/>
      <c r="B692" s="1300"/>
      <c r="C692" s="1301"/>
      <c r="D692" s="1301"/>
      <c r="E692" s="1301"/>
      <c r="F692" s="1301" t="s">
        <v>188</v>
      </c>
      <c r="G692" s="1016"/>
      <c r="H692" s="161" t="s">
        <v>12</v>
      </c>
      <c r="I692" s="880"/>
      <c r="J692" s="880"/>
      <c r="K692" s="881"/>
      <c r="L692" s="881"/>
      <c r="M692" s="881"/>
      <c r="N692" s="1085">
        <v>0</v>
      </c>
      <c r="O692" s="881"/>
      <c r="P692" s="881"/>
      <c r="Q692" s="1302"/>
      <c r="R692" s="1302"/>
      <c r="S692" s="1302"/>
      <c r="T692" s="1302"/>
      <c r="U692" s="1302"/>
      <c r="V692" s="1302"/>
      <c r="W692" s="1302"/>
      <c r="X692" s="1302"/>
      <c r="Y692" s="1302"/>
      <c r="Z692" s="1302"/>
    </row>
    <row r="693" spans="1:26" ht="18.75" hidden="1">
      <c r="A693" s="1299"/>
      <c r="B693" s="1300"/>
      <c r="C693" s="1301"/>
      <c r="D693" s="1301"/>
      <c r="E693" s="1301"/>
      <c r="F693" s="1301" t="s">
        <v>189</v>
      </c>
      <c r="G693" s="1016"/>
      <c r="H693" s="161" t="s">
        <v>12</v>
      </c>
      <c r="I693" s="880"/>
      <c r="J693" s="880"/>
      <c r="K693" s="881"/>
      <c r="L693" s="881"/>
      <c r="M693" s="881"/>
      <c r="N693" s="1085">
        <v>0</v>
      </c>
      <c r="O693" s="881"/>
      <c r="P693" s="881"/>
      <c r="Q693" s="1302"/>
      <c r="R693" s="1302"/>
      <c r="S693" s="1302"/>
      <c r="T693" s="1302"/>
      <c r="U693" s="1302"/>
      <c r="V693" s="1302"/>
      <c r="W693" s="1302"/>
      <c r="X693" s="1302"/>
      <c r="Y693" s="1302"/>
      <c r="Z693" s="1302"/>
    </row>
    <row r="694" spans="1:26" ht="18.75" hidden="1">
      <c r="A694" s="1299"/>
      <c r="B694" s="1300"/>
      <c r="C694" s="1301"/>
      <c r="D694" s="1301"/>
      <c r="E694" s="1301"/>
      <c r="F694" s="1301" t="s">
        <v>190</v>
      </c>
      <c r="G694" s="1016"/>
      <c r="H694" s="161" t="s">
        <v>12</v>
      </c>
      <c r="I694" s="880"/>
      <c r="J694" s="880"/>
      <c r="K694" s="881"/>
      <c r="L694" s="881"/>
      <c r="M694" s="881"/>
      <c r="N694" s="1085">
        <v>0</v>
      </c>
      <c r="O694" s="881"/>
      <c r="P694" s="881"/>
      <c r="Q694" s="1302"/>
      <c r="R694" s="1302"/>
      <c r="S694" s="1302"/>
      <c r="T694" s="1302"/>
      <c r="U694" s="1302"/>
      <c r="V694" s="1302"/>
      <c r="W694" s="1302"/>
      <c r="X694" s="1302"/>
      <c r="Y694" s="1302"/>
      <c r="Z694" s="1302"/>
    </row>
    <row r="695" spans="1:26" ht="18.75" hidden="1">
      <c r="A695" s="1317"/>
      <c r="B695" s="1300"/>
      <c r="C695" s="1301"/>
      <c r="D695" s="1325" t="s">
        <v>21</v>
      </c>
      <c r="E695" s="1301"/>
      <c r="F695" s="1301"/>
      <c r="G695" s="1016"/>
      <c r="H695" s="168" t="s">
        <v>12</v>
      </c>
      <c r="I695" s="997"/>
      <c r="J695" s="997"/>
      <c r="K695" s="998"/>
      <c r="L695" s="881">
        <f t="shared" ref="L695:N695" si="286">L696+L697</f>
        <v>0</v>
      </c>
      <c r="M695" s="881">
        <f t="shared" si="286"/>
        <v>0</v>
      </c>
      <c r="N695" s="881">
        <f t="shared" si="286"/>
        <v>0</v>
      </c>
      <c r="O695" s="881">
        <f t="shared" ref="O695:O697" si="287">IF(L695&gt;0,N695*100/L695,0)</f>
        <v>0</v>
      </c>
      <c r="P695" s="881">
        <f t="shared" ref="P695:P697" si="288">IF(M695&gt;0,N695*100/M695,0)</f>
        <v>0</v>
      </c>
      <c r="Q695" s="1302"/>
      <c r="R695" s="1302"/>
      <c r="S695" s="1302"/>
      <c r="T695" s="1302"/>
      <c r="U695" s="1302"/>
      <c r="V695" s="1302"/>
      <c r="W695" s="1302"/>
      <c r="X695" s="1302"/>
      <c r="Y695" s="1302"/>
      <c r="Z695" s="1302"/>
    </row>
    <row r="696" spans="1:26" ht="18.75" hidden="1">
      <c r="A696" s="1319"/>
      <c r="B696" s="1324"/>
      <c r="C696" s="1320"/>
      <c r="D696" s="1320"/>
      <c r="E696" s="1320" t="s">
        <v>18</v>
      </c>
      <c r="F696" s="1320"/>
      <c r="G696" s="1322"/>
      <c r="H696" s="165" t="s">
        <v>12</v>
      </c>
      <c r="I696" s="1000"/>
      <c r="J696" s="1000"/>
      <c r="K696" s="1001"/>
      <c r="L696" s="887">
        <v>0</v>
      </c>
      <c r="M696" s="887">
        <v>0</v>
      </c>
      <c r="N696" s="887">
        <v>0</v>
      </c>
      <c r="O696" s="887">
        <f t="shared" si="287"/>
        <v>0</v>
      </c>
      <c r="P696" s="887">
        <f t="shared" si="288"/>
        <v>0</v>
      </c>
      <c r="Q696" s="1323"/>
      <c r="R696" s="1323"/>
      <c r="S696" s="1323"/>
      <c r="T696" s="1323"/>
      <c r="U696" s="1323"/>
      <c r="V696" s="1323"/>
      <c r="W696" s="1323"/>
      <c r="X696" s="1323"/>
      <c r="Y696" s="1323"/>
      <c r="Z696" s="1323"/>
    </row>
    <row r="697" spans="1:26" ht="18.75" hidden="1">
      <c r="A697" s="1319"/>
      <c r="B697" s="1324"/>
      <c r="C697" s="1320"/>
      <c r="D697" s="1320"/>
      <c r="E697" s="1320" t="s">
        <v>19</v>
      </c>
      <c r="F697" s="1320"/>
      <c r="G697" s="1322"/>
      <c r="H697" s="169" t="s">
        <v>12</v>
      </c>
      <c r="I697" s="1000"/>
      <c r="J697" s="1000"/>
      <c r="K697" s="1001"/>
      <c r="L697" s="887">
        <v>0</v>
      </c>
      <c r="M697" s="887">
        <v>0</v>
      </c>
      <c r="N697" s="887">
        <v>0</v>
      </c>
      <c r="O697" s="887">
        <f t="shared" si="287"/>
        <v>0</v>
      </c>
      <c r="P697" s="887">
        <f t="shared" si="288"/>
        <v>0</v>
      </c>
      <c r="Q697" s="1323"/>
      <c r="R697" s="1323"/>
      <c r="S697" s="1323"/>
      <c r="T697" s="1323"/>
      <c r="U697" s="1323"/>
      <c r="V697" s="1323"/>
      <c r="W697" s="1323"/>
      <c r="X697" s="1323"/>
      <c r="Y697" s="1323"/>
      <c r="Z697" s="1323"/>
    </row>
    <row r="698" spans="1:26" ht="19.5" hidden="1">
      <c r="A698" s="1326"/>
      <c r="B698" s="1327"/>
      <c r="C698" s="1301" t="s">
        <v>16</v>
      </c>
      <c r="D698" s="1439" t="s">
        <v>38</v>
      </c>
      <c r="E698" s="1330"/>
      <c r="F698" s="1330"/>
      <c r="G698" s="1331"/>
      <c r="H698" s="1007"/>
      <c r="I698" s="997"/>
      <c r="J698" s="997"/>
      <c r="K698" s="998"/>
      <c r="L698" s="998"/>
      <c r="M698" s="998"/>
      <c r="N698" s="998"/>
      <c r="O698" s="998"/>
      <c r="P698" s="998"/>
      <c r="Q698" s="1302"/>
      <c r="R698" s="1302"/>
      <c r="S698" s="1302"/>
      <c r="T698" s="1302"/>
      <c r="U698" s="1302"/>
      <c r="V698" s="1302"/>
      <c r="W698" s="1302"/>
      <c r="X698" s="1302"/>
      <c r="Y698" s="1302"/>
      <c r="Z698" s="1302"/>
    </row>
    <row r="699" spans="1:26" ht="18.75" hidden="1">
      <c r="A699" s="1429"/>
      <c r="B699" s="1301"/>
      <c r="C699" s="1301"/>
      <c r="D699" s="1301" t="s">
        <v>295</v>
      </c>
      <c r="E699" s="1301"/>
      <c r="F699" s="1301"/>
      <c r="G699" s="1016"/>
      <c r="H699" s="762" t="s">
        <v>46</v>
      </c>
      <c r="I699" s="1440">
        <f ca="1">IFERROR(__xludf.DUMMYFUNCTION("IMPORTRANGE(""https://docs.google.com/spreadsheets/d/1QqKyyYR6Q21VydFLVH3TRQUabQu_ym0Zz7PgGX0-kHA/edit?usp=sharing"",""แผน!IC83"")"),0)</f>
        <v>0</v>
      </c>
      <c r="J699" s="880">
        <f ca="1">IFERROR(__xludf.DUMMYFUNCTION("IMPORTRANGE(""https://docs.google.com/spreadsheets/d/1XWAQStnk-4SwqDmLtmXYiTMKHgktTP8We1SCoS47DrQ/edit?usp=sharing"",""จัดที่ดิน!BB83"")"),0)</f>
        <v>0</v>
      </c>
      <c r="K699" s="881">
        <f t="shared" ref="K699:K701" ca="1" si="289">IF(I699&gt;0,J699*100/I699,0)</f>
        <v>0</v>
      </c>
      <c r="L699" s="881"/>
      <c r="M699" s="1016"/>
      <c r="N699" s="1441"/>
      <c r="O699" s="881"/>
      <c r="P699" s="881"/>
      <c r="Q699" s="1302"/>
      <c r="R699" s="1302"/>
      <c r="S699" s="1302"/>
      <c r="T699" s="1302"/>
      <c r="U699" s="1302"/>
      <c r="V699" s="1302"/>
      <c r="W699" s="1302"/>
      <c r="X699" s="1302"/>
      <c r="Y699" s="1302"/>
      <c r="Z699" s="1302"/>
    </row>
    <row r="700" spans="1:26" ht="18.75" hidden="1">
      <c r="A700" s="1429"/>
      <c r="B700" s="1301"/>
      <c r="C700" s="1301"/>
      <c r="D700" s="1301" t="s">
        <v>296</v>
      </c>
      <c r="E700" s="1301"/>
      <c r="F700" s="1301"/>
      <c r="G700" s="1016"/>
      <c r="H700" s="762" t="s">
        <v>35</v>
      </c>
      <c r="I700" s="1440">
        <f ca="1">IFERROR(__xludf.DUMMYFUNCTION("IMPORTRANGE(""https://docs.google.com/spreadsheets/d/1QqKyyYR6Q21VydFLVH3TRQUabQu_ym0Zz7PgGX0-kHA/edit?usp=sharing"",""แผน!ID83"")"),0)</f>
        <v>0</v>
      </c>
      <c r="J700" s="880">
        <f ca="1">IFERROR(__xludf.DUMMYFUNCTION("IMPORTRANGE(""https://docs.google.com/spreadsheets/d/1XWAQStnk-4SwqDmLtmXYiTMKHgktTP8We1SCoS47DrQ/edit?usp=sharing"",""จัดที่ดิน!BD83"")"),0)</f>
        <v>0</v>
      </c>
      <c r="K700" s="881">
        <f t="shared" ca="1" si="289"/>
        <v>0</v>
      </c>
      <c r="L700" s="881"/>
      <c r="M700" s="1016"/>
      <c r="N700" s="1441"/>
      <c r="O700" s="881"/>
      <c r="P700" s="881"/>
      <c r="Q700" s="1302"/>
      <c r="R700" s="1302"/>
      <c r="S700" s="1302"/>
      <c r="T700" s="1302"/>
      <c r="U700" s="1302"/>
      <c r="V700" s="1302"/>
      <c r="W700" s="1302"/>
      <c r="X700" s="1302"/>
      <c r="Y700" s="1302"/>
      <c r="Z700" s="1302"/>
    </row>
    <row r="701" spans="1:26" ht="19.5" hidden="1">
      <c r="A701" s="1429"/>
      <c r="B701" s="1301"/>
      <c r="C701" s="1301"/>
      <c r="D701" s="1301" t="s">
        <v>297</v>
      </c>
      <c r="E701" s="1301"/>
      <c r="F701" s="1301"/>
      <c r="G701" s="1016"/>
      <c r="H701" s="765" t="s">
        <v>46</v>
      </c>
      <c r="I701" s="1442">
        <f ca="1">IFERROR(__xludf.DUMMYFUNCTION("IMPORTRANGE(""https://docs.google.com/spreadsheets/d/1QqKyyYR6Q21VydFLVH3TRQUabQu_ym0Zz7PgGX0-kHA/edit?usp=sharing"",""แผน!IE83"")"),0)</f>
        <v>0</v>
      </c>
      <c r="J701" s="1019">
        <f>J704+J707</f>
        <v>0</v>
      </c>
      <c r="K701" s="1020">
        <f t="shared" ca="1" si="289"/>
        <v>0</v>
      </c>
      <c r="L701" s="881"/>
      <c r="M701" s="1016"/>
      <c r="N701" s="1441"/>
      <c r="O701" s="881"/>
      <c r="P701" s="881"/>
      <c r="Q701" s="1302"/>
      <c r="R701" s="1302"/>
      <c r="S701" s="1302"/>
      <c r="T701" s="1302"/>
      <c r="U701" s="1302"/>
      <c r="V701" s="1302"/>
      <c r="W701" s="1302"/>
      <c r="X701" s="1302"/>
      <c r="Y701" s="1302"/>
      <c r="Z701" s="1302"/>
    </row>
    <row r="702" spans="1:26" ht="18.75" hidden="1">
      <c r="A702" s="1429"/>
      <c r="B702" s="1301"/>
      <c r="C702" s="1301"/>
      <c r="D702" s="1301"/>
      <c r="E702" s="1301" t="s">
        <v>298</v>
      </c>
      <c r="F702" s="1301"/>
      <c r="G702" s="1016"/>
      <c r="H702" s="762" t="s">
        <v>35</v>
      </c>
      <c r="I702" s="1440"/>
      <c r="J702" s="1012">
        <v>0</v>
      </c>
      <c r="K702" s="881"/>
      <c r="L702" s="881"/>
      <c r="M702" s="1016"/>
      <c r="N702" s="1441"/>
      <c r="O702" s="881"/>
      <c r="P702" s="881"/>
      <c r="Q702" s="1302"/>
      <c r="R702" s="1302"/>
      <c r="S702" s="1302"/>
      <c r="T702" s="1302"/>
      <c r="U702" s="1302"/>
      <c r="V702" s="1302"/>
      <c r="W702" s="1302"/>
      <c r="X702" s="1302"/>
      <c r="Y702" s="1302"/>
      <c r="Z702" s="1302"/>
    </row>
    <row r="703" spans="1:26" ht="18.75" hidden="1">
      <c r="A703" s="1429"/>
      <c r="B703" s="1301"/>
      <c r="C703" s="1301"/>
      <c r="D703" s="1301"/>
      <c r="E703" s="1301"/>
      <c r="F703" s="1301"/>
      <c r="G703" s="1016"/>
      <c r="H703" s="762" t="s">
        <v>34</v>
      </c>
      <c r="I703" s="1440"/>
      <c r="J703" s="1012">
        <v>0</v>
      </c>
      <c r="K703" s="881"/>
      <c r="L703" s="881"/>
      <c r="M703" s="1016"/>
      <c r="N703" s="1441"/>
      <c r="O703" s="881"/>
      <c r="P703" s="881"/>
      <c r="Q703" s="1302"/>
      <c r="R703" s="1302"/>
      <c r="S703" s="1302"/>
      <c r="T703" s="1302"/>
      <c r="U703" s="1302"/>
      <c r="V703" s="1302"/>
      <c r="W703" s="1302"/>
      <c r="X703" s="1302"/>
      <c r="Y703" s="1302"/>
      <c r="Z703" s="1302"/>
    </row>
    <row r="704" spans="1:26" ht="18.75" hidden="1">
      <c r="A704" s="1429"/>
      <c r="B704" s="1301"/>
      <c r="C704" s="1301"/>
      <c r="D704" s="1301"/>
      <c r="E704" s="1301"/>
      <c r="F704" s="1301"/>
      <c r="G704" s="1016"/>
      <c r="H704" s="762" t="s">
        <v>46</v>
      </c>
      <c r="I704" s="1440">
        <f ca="1">IFERROR(__xludf.DUMMYFUNCTION("IMPORTRANGE(""https://docs.google.com/spreadsheets/d/1QqKyyYR6Q21VydFLVH3TRQUabQu_ym0Zz7PgGX0-kHA/edit?usp=sharing"",""แผน!IF83"")"),0)</f>
        <v>0</v>
      </c>
      <c r="J704" s="1012">
        <v>0</v>
      </c>
      <c r="K704" s="881"/>
      <c r="L704" s="881"/>
      <c r="M704" s="1016"/>
      <c r="N704" s="1441"/>
      <c r="O704" s="881"/>
      <c r="P704" s="881"/>
      <c r="Q704" s="1302"/>
      <c r="R704" s="1302"/>
      <c r="S704" s="1302"/>
      <c r="T704" s="1302"/>
      <c r="U704" s="1302"/>
      <c r="V704" s="1302"/>
      <c r="W704" s="1302"/>
      <c r="X704" s="1302"/>
      <c r="Y704" s="1302"/>
      <c r="Z704" s="1302"/>
    </row>
    <row r="705" spans="1:26" ht="18.75" hidden="1">
      <c r="A705" s="1429"/>
      <c r="B705" s="1301"/>
      <c r="C705" s="1301"/>
      <c r="D705" s="1301"/>
      <c r="E705" s="1301" t="s">
        <v>299</v>
      </c>
      <c r="F705" s="1301"/>
      <c r="G705" s="1016"/>
      <c r="H705" s="762" t="s">
        <v>35</v>
      </c>
      <c r="I705" s="1440"/>
      <c r="J705" s="1012">
        <v>0</v>
      </c>
      <c r="K705" s="881"/>
      <c r="L705" s="881"/>
      <c r="M705" s="1016"/>
      <c r="N705" s="1441"/>
      <c r="O705" s="881"/>
      <c r="P705" s="881"/>
      <c r="Q705" s="1302"/>
      <c r="R705" s="1302"/>
      <c r="S705" s="1302"/>
      <c r="T705" s="1302"/>
      <c r="U705" s="1302"/>
      <c r="V705" s="1302"/>
      <c r="W705" s="1302"/>
      <c r="X705" s="1302"/>
      <c r="Y705" s="1302"/>
      <c r="Z705" s="1302"/>
    </row>
    <row r="706" spans="1:26" ht="18.75" hidden="1">
      <c r="A706" s="1429"/>
      <c r="B706" s="1301"/>
      <c r="C706" s="1301"/>
      <c r="D706" s="1301"/>
      <c r="E706" s="1301"/>
      <c r="F706" s="1301"/>
      <c r="G706" s="1016"/>
      <c r="H706" s="762" t="s">
        <v>34</v>
      </c>
      <c r="I706" s="1440"/>
      <c r="J706" s="1012">
        <v>0</v>
      </c>
      <c r="K706" s="881"/>
      <c r="L706" s="881"/>
      <c r="M706" s="1016"/>
      <c r="N706" s="1441"/>
      <c r="O706" s="881"/>
      <c r="P706" s="881"/>
      <c r="Q706" s="1302"/>
      <c r="R706" s="1302"/>
      <c r="S706" s="1302"/>
      <c r="T706" s="1302"/>
      <c r="U706" s="1302"/>
      <c r="V706" s="1302"/>
      <c r="W706" s="1302"/>
      <c r="X706" s="1302"/>
      <c r="Y706" s="1302"/>
      <c r="Z706" s="1302"/>
    </row>
    <row r="707" spans="1:26" ht="18.75" hidden="1">
      <c r="A707" s="1429"/>
      <c r="B707" s="1301"/>
      <c r="C707" s="1301"/>
      <c r="D707" s="1301"/>
      <c r="E707" s="1301"/>
      <c r="F707" s="1301"/>
      <c r="G707" s="1016"/>
      <c r="H707" s="762" t="s">
        <v>46</v>
      </c>
      <c r="I707" s="1440">
        <f ca="1">IFERROR(__xludf.DUMMYFUNCTION("IMPORTRANGE(""https://docs.google.com/spreadsheets/d/1QqKyyYR6Q21VydFLVH3TRQUabQu_ym0Zz7PgGX0-kHA/edit?usp=sharing"",""แผน!IG83"")"),0)</f>
        <v>0</v>
      </c>
      <c r="J707" s="1012">
        <v>0</v>
      </c>
      <c r="K707" s="881"/>
      <c r="L707" s="881"/>
      <c r="M707" s="1016"/>
      <c r="N707" s="1441"/>
      <c r="O707" s="881"/>
      <c r="P707" s="881"/>
      <c r="Q707" s="1302"/>
      <c r="R707" s="1302"/>
      <c r="S707" s="1302"/>
      <c r="T707" s="1302"/>
      <c r="U707" s="1302"/>
      <c r="V707" s="1302"/>
      <c r="W707" s="1302"/>
      <c r="X707" s="1302"/>
      <c r="Y707" s="1302"/>
      <c r="Z707" s="1302"/>
    </row>
    <row r="708" spans="1:26" ht="19.5" hidden="1">
      <c r="A708" s="1429"/>
      <c r="B708" s="1301"/>
      <c r="C708" s="1301"/>
      <c r="D708" s="1382" t="s">
        <v>300</v>
      </c>
      <c r="E708" s="1301"/>
      <c r="F708" s="1301"/>
      <c r="G708" s="1016"/>
      <c r="H708" s="765" t="s">
        <v>46</v>
      </c>
      <c r="I708" s="1442">
        <f ca="1">IFERROR(__xludf.DUMMYFUNCTION("IMPORTRANGE(""https://docs.google.com/spreadsheets/d/1QqKyyYR6Q21VydFLVH3TRQUabQu_ym0Zz7PgGX0-kHA/edit?usp=sharing"",""แผน!IH83"")"),0)</f>
        <v>0</v>
      </c>
      <c r="J708" s="1019">
        <f>J714+J717</f>
        <v>0</v>
      </c>
      <c r="K708" s="1020">
        <f ca="1">IF(I708&gt;0,J708*100/I708,0)</f>
        <v>0</v>
      </c>
      <c r="L708" s="881"/>
      <c r="M708" s="1016"/>
      <c r="N708" s="1441"/>
      <c r="O708" s="881"/>
      <c r="P708" s="881"/>
      <c r="Q708" s="1302"/>
      <c r="R708" s="1302"/>
      <c r="S708" s="1302"/>
      <c r="T708" s="1302"/>
      <c r="U708" s="1302"/>
      <c r="V708" s="1302"/>
      <c r="W708" s="1302"/>
      <c r="X708" s="1302"/>
      <c r="Y708" s="1302"/>
      <c r="Z708" s="1302"/>
    </row>
    <row r="709" spans="1:26" ht="18.75" hidden="1">
      <c r="A709" s="1429"/>
      <c r="B709" s="1301"/>
      <c r="C709" s="1301"/>
      <c r="D709" s="1301"/>
      <c r="E709" s="1301" t="s">
        <v>301</v>
      </c>
      <c r="F709" s="1301"/>
      <c r="G709" s="1016"/>
      <c r="H709" s="762" t="s">
        <v>34</v>
      </c>
      <c r="I709" s="1440"/>
      <c r="J709" s="1012">
        <v>0</v>
      </c>
      <c r="K709" s="881"/>
      <c r="L709" s="1441"/>
      <c r="M709" s="1016"/>
      <c r="N709" s="1441"/>
      <c r="O709" s="881"/>
      <c r="P709" s="881"/>
      <c r="Q709" s="1302"/>
      <c r="R709" s="1302"/>
      <c r="S709" s="1302"/>
      <c r="T709" s="1302"/>
      <c r="U709" s="1302"/>
      <c r="V709" s="1302"/>
      <c r="W709" s="1302"/>
      <c r="X709" s="1302"/>
      <c r="Y709" s="1302"/>
      <c r="Z709" s="1302"/>
    </row>
    <row r="710" spans="1:26" ht="18.75" hidden="1">
      <c r="A710" s="1429"/>
      <c r="B710" s="1301"/>
      <c r="C710" s="1301"/>
      <c r="D710" s="1301"/>
      <c r="E710" s="1301"/>
      <c r="F710" s="1301"/>
      <c r="G710" s="1016"/>
      <c r="H710" s="762" t="s">
        <v>46</v>
      </c>
      <c r="I710" s="1440"/>
      <c r="J710" s="1012">
        <v>0</v>
      </c>
      <c r="K710" s="881"/>
      <c r="L710" s="1441"/>
      <c r="M710" s="1016"/>
      <c r="N710" s="1441"/>
      <c r="O710" s="881"/>
      <c r="P710" s="881"/>
      <c r="Q710" s="1302"/>
      <c r="R710" s="1302"/>
      <c r="S710" s="1302"/>
      <c r="T710" s="1302"/>
      <c r="U710" s="1302"/>
      <c r="V710" s="1302"/>
      <c r="W710" s="1302"/>
      <c r="X710" s="1302"/>
      <c r="Y710" s="1302"/>
      <c r="Z710" s="1302"/>
    </row>
    <row r="711" spans="1:26" ht="18.75" hidden="1">
      <c r="A711" s="1429"/>
      <c r="B711" s="1301"/>
      <c r="C711" s="1301"/>
      <c r="D711" s="1301"/>
      <c r="E711" s="1301" t="s">
        <v>302</v>
      </c>
      <c r="F711" s="1301"/>
      <c r="G711" s="1016"/>
      <c r="H711" s="1007"/>
      <c r="I711" s="1440"/>
      <c r="J711" s="880"/>
      <c r="K711" s="881"/>
      <c r="L711" s="1441"/>
      <c r="M711" s="1016"/>
      <c r="N711" s="1441"/>
      <c r="O711" s="881"/>
      <c r="P711" s="881"/>
      <c r="Q711" s="1302"/>
      <c r="R711" s="1302"/>
      <c r="S711" s="1302"/>
      <c r="T711" s="1302"/>
      <c r="U711" s="1302"/>
      <c r="V711" s="1302"/>
      <c r="W711" s="1302"/>
      <c r="X711" s="1302"/>
      <c r="Y711" s="1302"/>
      <c r="Z711" s="1302"/>
    </row>
    <row r="712" spans="1:26" ht="18.75" hidden="1">
      <c r="A712" s="1429"/>
      <c r="B712" s="1301"/>
      <c r="C712" s="1301"/>
      <c r="D712" s="1301"/>
      <c r="E712" s="1301"/>
      <c r="F712" s="1301" t="s">
        <v>303</v>
      </c>
      <c r="G712" s="1016"/>
      <c r="H712" s="762" t="s">
        <v>35</v>
      </c>
      <c r="I712" s="1440"/>
      <c r="J712" s="1012">
        <v>0</v>
      </c>
      <c r="K712" s="881"/>
      <c r="L712" s="1441"/>
      <c r="M712" s="1016"/>
      <c r="N712" s="1441"/>
      <c r="O712" s="881"/>
      <c r="P712" s="881"/>
      <c r="Q712" s="1302"/>
      <c r="R712" s="1302"/>
      <c r="S712" s="1302"/>
      <c r="T712" s="1302"/>
      <c r="U712" s="1302"/>
      <c r="V712" s="1302"/>
      <c r="W712" s="1302"/>
      <c r="X712" s="1302"/>
      <c r="Y712" s="1302"/>
      <c r="Z712" s="1302"/>
    </row>
    <row r="713" spans="1:26" ht="18.75" hidden="1">
      <c r="A713" s="1429"/>
      <c r="B713" s="1301"/>
      <c r="C713" s="1301"/>
      <c r="D713" s="1301"/>
      <c r="E713" s="1301"/>
      <c r="F713" s="1301"/>
      <c r="G713" s="1016"/>
      <c r="H713" s="762" t="s">
        <v>34</v>
      </c>
      <c r="I713" s="1440"/>
      <c r="J713" s="1012">
        <v>0</v>
      </c>
      <c r="K713" s="881"/>
      <c r="L713" s="1441"/>
      <c r="M713" s="1016"/>
      <c r="N713" s="1441"/>
      <c r="O713" s="881"/>
      <c r="P713" s="881"/>
      <c r="Q713" s="1302"/>
      <c r="R713" s="1302"/>
      <c r="S713" s="1302"/>
      <c r="T713" s="1302"/>
      <c r="U713" s="1302"/>
      <c r="V713" s="1302"/>
      <c r="W713" s="1302"/>
      <c r="X713" s="1302"/>
      <c r="Y713" s="1302"/>
      <c r="Z713" s="1302"/>
    </row>
    <row r="714" spans="1:26" ht="18.75" hidden="1">
      <c r="A714" s="1429"/>
      <c r="B714" s="1301"/>
      <c r="C714" s="1301"/>
      <c r="D714" s="1301"/>
      <c r="E714" s="1301"/>
      <c r="F714" s="1301"/>
      <c r="G714" s="1016"/>
      <c r="H714" s="762" t="s">
        <v>46</v>
      </c>
      <c r="I714" s="1440"/>
      <c r="J714" s="1012">
        <v>0</v>
      </c>
      <c r="K714" s="881"/>
      <c r="L714" s="1441"/>
      <c r="M714" s="1016"/>
      <c r="N714" s="1441"/>
      <c r="O714" s="881"/>
      <c r="P714" s="881"/>
      <c r="Q714" s="1302"/>
      <c r="R714" s="1302"/>
      <c r="S714" s="1302"/>
      <c r="T714" s="1302"/>
      <c r="U714" s="1302"/>
      <c r="V714" s="1302"/>
      <c r="W714" s="1302"/>
      <c r="X714" s="1302"/>
      <c r="Y714" s="1302"/>
      <c r="Z714" s="1302"/>
    </row>
    <row r="715" spans="1:26" ht="18.75" hidden="1">
      <c r="A715" s="1429"/>
      <c r="B715" s="1301"/>
      <c r="C715" s="1301"/>
      <c r="D715" s="1301"/>
      <c r="E715" s="1301"/>
      <c r="F715" s="1301" t="s">
        <v>304</v>
      </c>
      <c r="G715" s="1016"/>
      <c r="H715" s="762" t="s">
        <v>35</v>
      </c>
      <c r="I715" s="1440"/>
      <c r="J715" s="1012">
        <v>0</v>
      </c>
      <c r="K715" s="881"/>
      <c r="L715" s="1441"/>
      <c r="M715" s="1016"/>
      <c r="N715" s="1441"/>
      <c r="O715" s="881"/>
      <c r="P715" s="881"/>
      <c r="Q715" s="1302"/>
      <c r="R715" s="1302"/>
      <c r="S715" s="1302"/>
      <c r="T715" s="1302"/>
      <c r="U715" s="1302"/>
      <c r="V715" s="1302"/>
      <c r="W715" s="1302"/>
      <c r="X715" s="1302"/>
      <c r="Y715" s="1302"/>
      <c r="Z715" s="1302"/>
    </row>
    <row r="716" spans="1:26" ht="18.75" hidden="1">
      <c r="A716" s="1429"/>
      <c r="B716" s="1301"/>
      <c r="C716" s="1301"/>
      <c r="D716" s="1301"/>
      <c r="E716" s="1301"/>
      <c r="F716" s="1301"/>
      <c r="G716" s="1016"/>
      <c r="H716" s="762" t="s">
        <v>34</v>
      </c>
      <c r="I716" s="1440"/>
      <c r="J716" s="1012">
        <v>0</v>
      </c>
      <c r="K716" s="881"/>
      <c r="L716" s="1441"/>
      <c r="M716" s="1016"/>
      <c r="N716" s="1441"/>
      <c r="O716" s="881"/>
      <c r="P716" s="881"/>
      <c r="Q716" s="1302"/>
      <c r="R716" s="1302"/>
      <c r="S716" s="1302"/>
      <c r="T716" s="1302"/>
      <c r="U716" s="1302"/>
      <c r="V716" s="1302"/>
      <c r="W716" s="1302"/>
      <c r="X716" s="1302"/>
      <c r="Y716" s="1302"/>
      <c r="Z716" s="1302"/>
    </row>
    <row r="717" spans="1:26" ht="18.75" hidden="1">
      <c r="A717" s="1429"/>
      <c r="B717" s="1301"/>
      <c r="C717" s="1301"/>
      <c r="D717" s="1301"/>
      <c r="E717" s="1301"/>
      <c r="F717" s="1301"/>
      <c r="G717" s="1016"/>
      <c r="H717" s="762" t="s">
        <v>46</v>
      </c>
      <c r="I717" s="1440"/>
      <c r="J717" s="1012">
        <v>0</v>
      </c>
      <c r="K717" s="881"/>
      <c r="L717" s="1441"/>
      <c r="M717" s="1016"/>
      <c r="N717" s="1441"/>
      <c r="O717" s="881"/>
      <c r="P717" s="881"/>
      <c r="Q717" s="1302"/>
      <c r="R717" s="1302"/>
      <c r="S717" s="1302"/>
      <c r="T717" s="1302"/>
      <c r="U717" s="1302"/>
      <c r="V717" s="1302"/>
      <c r="W717" s="1302"/>
      <c r="X717" s="1302"/>
      <c r="Y717" s="1302"/>
      <c r="Z717" s="1302"/>
    </row>
    <row r="718" spans="1:26" ht="18.75" hidden="1">
      <c r="A718" s="1429"/>
      <c r="B718" s="1301"/>
      <c r="C718" s="1301"/>
      <c r="D718" s="1301" t="s">
        <v>305</v>
      </c>
      <c r="E718" s="1301"/>
      <c r="F718" s="1301"/>
      <c r="G718" s="1016"/>
      <c r="H718" s="762" t="s">
        <v>35</v>
      </c>
      <c r="I718" s="1440"/>
      <c r="J718" s="880">
        <f ca="1">IFERROR(__xludf.DUMMYFUNCTION("IMPORTRANGE(""https://docs.google.com/spreadsheets/d/1XWAQStnk-4SwqDmLtmXYiTMKHgktTP8We1SCoS47DrQ/edit?usp=sharing"",""จัดที่ดิน!BF83"")"),0)</f>
        <v>0</v>
      </c>
      <c r="K718" s="881"/>
      <c r="L718" s="881"/>
      <c r="M718" s="1016"/>
      <c r="N718" s="1441"/>
      <c r="O718" s="881"/>
      <c r="P718" s="881"/>
      <c r="Q718" s="1302"/>
      <c r="R718" s="1302"/>
      <c r="S718" s="1302"/>
      <c r="T718" s="1302"/>
      <c r="U718" s="1302"/>
      <c r="V718" s="1302"/>
      <c r="W718" s="1302"/>
      <c r="X718" s="1302"/>
      <c r="Y718" s="1302"/>
      <c r="Z718" s="1302"/>
    </row>
    <row r="719" spans="1:26" ht="18.75" hidden="1">
      <c r="A719" s="1429"/>
      <c r="B719" s="1301"/>
      <c r="C719" s="1301"/>
      <c r="D719" s="1301"/>
      <c r="E719" s="1301"/>
      <c r="F719" s="1301"/>
      <c r="G719" s="1016"/>
      <c r="H719" s="762" t="s">
        <v>34</v>
      </c>
      <c r="I719" s="1440"/>
      <c r="J719" s="880">
        <f ca="1">IFERROR(__xludf.DUMMYFUNCTION("IMPORTRANGE(""https://docs.google.com/spreadsheets/d/1XWAQStnk-4SwqDmLtmXYiTMKHgktTP8We1SCoS47DrQ/edit?usp=sharing"",""จัดที่ดิน!BG83"")"),0)</f>
        <v>0</v>
      </c>
      <c r="K719" s="881"/>
      <c r="L719" s="1441"/>
      <c r="M719" s="1016"/>
      <c r="N719" s="1441"/>
      <c r="O719" s="881"/>
      <c r="P719" s="881"/>
      <c r="Q719" s="1302"/>
      <c r="R719" s="1302"/>
      <c r="S719" s="1302"/>
      <c r="T719" s="1302"/>
      <c r="U719" s="1302"/>
      <c r="V719" s="1302"/>
      <c r="W719" s="1302"/>
      <c r="X719" s="1302"/>
      <c r="Y719" s="1302"/>
      <c r="Z719" s="1302"/>
    </row>
    <row r="720" spans="1:26" ht="18.75" hidden="1">
      <c r="A720" s="1429"/>
      <c r="B720" s="1301"/>
      <c r="C720" s="1301"/>
      <c r="D720" s="1301"/>
      <c r="E720" s="1301"/>
      <c r="F720" s="1301"/>
      <c r="G720" s="1016"/>
      <c r="H720" s="762" t="s">
        <v>46</v>
      </c>
      <c r="I720" s="1440">
        <f ca="1">IFERROR(__xludf.DUMMYFUNCTION("IMPORTRANGE(""https://docs.google.com/spreadsheets/d/1QqKyyYR6Q21VydFLVH3TRQUabQu_ym0Zz7PgGX0-kHA/edit?usp=sharing"",""แผน!II83"")"),0)</f>
        <v>0</v>
      </c>
      <c r="J720" s="880">
        <f ca="1">IFERROR(__xludf.DUMMYFUNCTION("IMPORTRANGE(""https://docs.google.com/spreadsheets/d/1XWAQStnk-4SwqDmLtmXYiTMKHgktTP8We1SCoS47DrQ/edit?usp=sharing"",""จัดที่ดิน!BH83"")"),0)</f>
        <v>0</v>
      </c>
      <c r="K720" s="881">
        <f t="shared" ref="K720:K723" ca="1" si="290">IF(I720&gt;0,J720*100/I720,0)</f>
        <v>0</v>
      </c>
      <c r="L720" s="1441"/>
      <c r="M720" s="1016"/>
      <c r="N720" s="1441"/>
      <c r="O720" s="881"/>
      <c r="P720" s="881"/>
      <c r="Q720" s="1302"/>
      <c r="R720" s="1302"/>
      <c r="S720" s="1302"/>
      <c r="T720" s="1302"/>
      <c r="U720" s="1302"/>
      <c r="V720" s="1302"/>
      <c r="W720" s="1302"/>
      <c r="X720" s="1302"/>
      <c r="Y720" s="1302"/>
      <c r="Z720" s="1302"/>
    </row>
    <row r="721" spans="1:26" ht="19.5" hidden="1">
      <c r="A721" s="1429"/>
      <c r="B721" s="1301"/>
      <c r="C721" s="1301"/>
      <c r="D721" s="1301" t="s">
        <v>306</v>
      </c>
      <c r="E721" s="1301"/>
      <c r="F721" s="1301"/>
      <c r="G721" s="1016"/>
      <c r="H721" s="765" t="s">
        <v>35</v>
      </c>
      <c r="I721" s="1442">
        <f ca="1">IFERROR(__xludf.DUMMYFUNCTION("IMPORTRANGE(""https://docs.google.com/spreadsheets/d/1QqKyyYR6Q21VydFLVH3TRQUabQu_ym0Zz7PgGX0-kHA/edit?usp=sharing"",""แผน!IJ83"")"),0)</f>
        <v>0</v>
      </c>
      <c r="J721" s="1019">
        <f ca="1">J723+J726</f>
        <v>0</v>
      </c>
      <c r="K721" s="1020">
        <f t="shared" ca="1" si="290"/>
        <v>0</v>
      </c>
      <c r="L721" s="1441"/>
      <c r="M721" s="1016"/>
      <c r="N721" s="1441"/>
      <c r="O721" s="881"/>
      <c r="P721" s="881"/>
      <c r="Q721" s="1302"/>
      <c r="R721" s="1302"/>
      <c r="S721" s="1302"/>
      <c r="T721" s="1302"/>
      <c r="U721" s="1302"/>
      <c r="V721" s="1302"/>
      <c r="W721" s="1302"/>
      <c r="X721" s="1302"/>
      <c r="Y721" s="1302"/>
      <c r="Z721" s="1302"/>
    </row>
    <row r="722" spans="1:26" ht="19.5" hidden="1">
      <c r="A722" s="1429"/>
      <c r="B722" s="1301"/>
      <c r="C722" s="1301"/>
      <c r="D722" s="1301"/>
      <c r="E722" s="1301"/>
      <c r="F722" s="1301"/>
      <c r="G722" s="1016"/>
      <c r="H722" s="765" t="s">
        <v>46</v>
      </c>
      <c r="I722" s="1442">
        <f ca="1">IFERROR(__xludf.DUMMYFUNCTION("IMPORTRANGE(""https://docs.google.com/spreadsheets/d/1QqKyyYR6Q21VydFLVH3TRQUabQu_ym0Zz7PgGX0-kHA/edit?usp=sharing"",""แผน!IK83"")"),0)</f>
        <v>0</v>
      </c>
      <c r="J722" s="1019">
        <f ca="1">J725+J728</f>
        <v>0</v>
      </c>
      <c r="K722" s="1020">
        <f t="shared" ca="1" si="290"/>
        <v>0</v>
      </c>
      <c r="L722" s="881"/>
      <c r="M722" s="1016"/>
      <c r="N722" s="1441"/>
      <c r="O722" s="881"/>
      <c r="P722" s="881"/>
      <c r="Q722" s="1302"/>
      <c r="R722" s="1302"/>
      <c r="S722" s="1302"/>
      <c r="T722" s="1302"/>
      <c r="U722" s="1302"/>
      <c r="V722" s="1302"/>
      <c r="W722" s="1302"/>
      <c r="X722" s="1302"/>
      <c r="Y722" s="1302"/>
      <c r="Z722" s="1302"/>
    </row>
    <row r="723" spans="1:26" ht="18.75" hidden="1">
      <c r="A723" s="1429"/>
      <c r="B723" s="1301"/>
      <c r="C723" s="1301"/>
      <c r="D723" s="1301"/>
      <c r="E723" s="1301" t="s">
        <v>307</v>
      </c>
      <c r="F723" s="1301"/>
      <c r="G723" s="1016"/>
      <c r="H723" s="762" t="s">
        <v>35</v>
      </c>
      <c r="I723" s="1440">
        <f ca="1">IFERROR(__xludf.DUMMYFUNCTION("IMPORTRANGE(""https://docs.google.com/spreadsheets/d/1QqKyyYR6Q21VydFLVH3TRQUabQu_ym0Zz7PgGX0-kHA/edit?usp=sharing"",""แผน!IL83"")"),0)</f>
        <v>0</v>
      </c>
      <c r="J723" s="880">
        <f ca="1">IFERROR(__xludf.DUMMYFUNCTION("IMPORTRANGE(""https://docs.google.com/spreadsheets/d/1XWAQStnk-4SwqDmLtmXYiTMKHgktTP8We1SCoS47DrQ/edit?usp=sharing"",""จัดที่ดิน!BM83"")"),0)</f>
        <v>0</v>
      </c>
      <c r="K723" s="881">
        <f t="shared" ca="1" si="290"/>
        <v>0</v>
      </c>
      <c r="L723" s="881"/>
      <c r="M723" s="1016"/>
      <c r="N723" s="1441"/>
      <c r="O723" s="881"/>
      <c r="P723" s="881"/>
      <c r="Q723" s="1302"/>
      <c r="R723" s="1302"/>
      <c r="S723" s="1302"/>
      <c r="T723" s="1302"/>
      <c r="U723" s="1302"/>
      <c r="V723" s="1302"/>
      <c r="W723" s="1302"/>
      <c r="X723" s="1302"/>
      <c r="Y723" s="1302"/>
      <c r="Z723" s="1302"/>
    </row>
    <row r="724" spans="1:26" ht="18.75" hidden="1">
      <c r="A724" s="1429"/>
      <c r="B724" s="1301"/>
      <c r="C724" s="1301"/>
      <c r="D724" s="1301"/>
      <c r="E724" s="1301"/>
      <c r="F724" s="1301"/>
      <c r="G724" s="1016"/>
      <c r="H724" s="762" t="s">
        <v>34</v>
      </c>
      <c r="I724" s="1440"/>
      <c r="J724" s="880">
        <f ca="1">IFERROR(__xludf.DUMMYFUNCTION("IMPORTRANGE(""https://docs.google.com/spreadsheets/d/1XWAQStnk-4SwqDmLtmXYiTMKHgktTP8We1SCoS47DrQ/edit?usp=sharing"",""จัดที่ดิน!BN83"")"),0)</f>
        <v>0</v>
      </c>
      <c r="K724" s="881"/>
      <c r="L724" s="1441"/>
      <c r="M724" s="1016"/>
      <c r="N724" s="1441"/>
      <c r="O724" s="881"/>
      <c r="P724" s="881"/>
      <c r="Q724" s="1302"/>
      <c r="R724" s="1302"/>
      <c r="S724" s="1302"/>
      <c r="T724" s="1302"/>
      <c r="U724" s="1302"/>
      <c r="V724" s="1302"/>
      <c r="W724" s="1302"/>
      <c r="X724" s="1302"/>
      <c r="Y724" s="1302"/>
      <c r="Z724" s="1302"/>
    </row>
    <row r="725" spans="1:26" ht="18.75" hidden="1">
      <c r="A725" s="1429"/>
      <c r="B725" s="1301"/>
      <c r="C725" s="1301"/>
      <c r="D725" s="1301"/>
      <c r="E725" s="1301"/>
      <c r="F725" s="1301"/>
      <c r="G725" s="1016"/>
      <c r="H725" s="762" t="s">
        <v>46</v>
      </c>
      <c r="I725" s="1440">
        <f ca="1">IFERROR(__xludf.DUMMYFUNCTION("IMPORTRANGE(""https://docs.google.com/spreadsheets/d/1QqKyyYR6Q21VydFLVH3TRQUabQu_ym0Zz7PgGX0-kHA/edit?usp=sharing"",""แผน!IM83"")"),0)</f>
        <v>0</v>
      </c>
      <c r="J725" s="880">
        <f ca="1">IFERROR(__xludf.DUMMYFUNCTION("IMPORTRANGE(""https://docs.google.com/spreadsheets/d/1XWAQStnk-4SwqDmLtmXYiTMKHgktTP8We1SCoS47DrQ/edit?usp=sharing"",""จัดที่ดิน!BO83"")"),0)</f>
        <v>0</v>
      </c>
      <c r="K725" s="881">
        <f t="shared" ref="K725:K726" ca="1" si="291">IF(I725&gt;0,J725*100/I725,0)</f>
        <v>0</v>
      </c>
      <c r="L725" s="1441"/>
      <c r="M725" s="1016"/>
      <c r="N725" s="1441"/>
      <c r="O725" s="881"/>
      <c r="P725" s="881"/>
      <c r="Q725" s="1302"/>
      <c r="R725" s="1302"/>
      <c r="S725" s="1302"/>
      <c r="T725" s="1302"/>
      <c r="U725" s="1302"/>
      <c r="V725" s="1302"/>
      <c r="W725" s="1302"/>
      <c r="X725" s="1302"/>
      <c r="Y725" s="1302"/>
      <c r="Z725" s="1302"/>
    </row>
    <row r="726" spans="1:26" ht="18.75" hidden="1">
      <c r="A726" s="1429"/>
      <c r="B726" s="1301"/>
      <c r="C726" s="1301"/>
      <c r="D726" s="1301"/>
      <c r="E726" s="1301" t="s">
        <v>308</v>
      </c>
      <c r="F726" s="1301"/>
      <c r="G726" s="1016"/>
      <c r="H726" s="762" t="s">
        <v>35</v>
      </c>
      <c r="I726" s="1440">
        <f ca="1">IFERROR(__xludf.DUMMYFUNCTION("IMPORTRANGE(""https://docs.google.com/spreadsheets/d/1QqKyyYR6Q21VydFLVH3TRQUabQu_ym0Zz7PgGX0-kHA/edit?usp=sharing"",""แผน!IN83"")"),0)</f>
        <v>0</v>
      </c>
      <c r="J726" s="880">
        <f ca="1">IFERROR(__xludf.DUMMYFUNCTION("IMPORTRANGE(""https://docs.google.com/spreadsheets/d/1XWAQStnk-4SwqDmLtmXYiTMKHgktTP8We1SCoS47DrQ/edit?usp=sharing"",""จัดที่ดิน!BR83"")"),0)</f>
        <v>0</v>
      </c>
      <c r="K726" s="881">
        <f t="shared" ca="1" si="291"/>
        <v>0</v>
      </c>
      <c r="L726" s="881"/>
      <c r="M726" s="1016"/>
      <c r="N726" s="1441"/>
      <c r="O726" s="881"/>
      <c r="P726" s="881"/>
      <c r="Q726" s="1302"/>
      <c r="R726" s="1302"/>
      <c r="S726" s="1302"/>
      <c r="T726" s="1302"/>
      <c r="U726" s="1302"/>
      <c r="V726" s="1302"/>
      <c r="W726" s="1302"/>
      <c r="X726" s="1302"/>
      <c r="Y726" s="1302"/>
      <c r="Z726" s="1302"/>
    </row>
    <row r="727" spans="1:26" ht="18.75" hidden="1">
      <c r="A727" s="1429"/>
      <c r="B727" s="1301"/>
      <c r="C727" s="1301"/>
      <c r="D727" s="1301"/>
      <c r="E727" s="1301"/>
      <c r="F727" s="1301"/>
      <c r="G727" s="1016"/>
      <c r="H727" s="762" t="s">
        <v>34</v>
      </c>
      <c r="I727" s="1440"/>
      <c r="J727" s="880">
        <f ca="1">IFERROR(__xludf.DUMMYFUNCTION("IMPORTRANGE(""https://docs.google.com/spreadsheets/d/1XWAQStnk-4SwqDmLtmXYiTMKHgktTP8We1SCoS47DrQ/edit?usp=sharing"",""จัดที่ดิน!BS83"")"),0)</f>
        <v>0</v>
      </c>
      <c r="K727" s="881"/>
      <c r="L727" s="1441"/>
      <c r="M727" s="1016"/>
      <c r="N727" s="1441"/>
      <c r="O727" s="881"/>
      <c r="P727" s="881"/>
      <c r="Q727" s="1302"/>
      <c r="R727" s="1302"/>
      <c r="S727" s="1302"/>
      <c r="T727" s="1302"/>
      <c r="U727" s="1302"/>
      <c r="V727" s="1302"/>
      <c r="W727" s="1302"/>
      <c r="X727" s="1302"/>
      <c r="Y727" s="1302"/>
      <c r="Z727" s="1302"/>
    </row>
    <row r="728" spans="1:26" ht="18.75" hidden="1">
      <c r="A728" s="1429"/>
      <c r="B728" s="1301"/>
      <c r="C728" s="1301"/>
      <c r="D728" s="1301"/>
      <c r="E728" s="1301"/>
      <c r="F728" s="1301"/>
      <c r="G728" s="1016"/>
      <c r="H728" s="762" t="s">
        <v>46</v>
      </c>
      <c r="I728" s="1440">
        <f ca="1">IFERROR(__xludf.DUMMYFUNCTION("IMPORTRANGE(""https://docs.google.com/spreadsheets/d/1QqKyyYR6Q21VydFLVH3TRQUabQu_ym0Zz7PgGX0-kHA/edit?usp=sharing"",""แผน!IO83"")"),0)</f>
        <v>0</v>
      </c>
      <c r="J728" s="880">
        <f ca="1">IFERROR(__xludf.DUMMYFUNCTION("IMPORTRANGE(""https://docs.google.com/spreadsheets/d/1XWAQStnk-4SwqDmLtmXYiTMKHgktTP8We1SCoS47DrQ/edit?usp=sharing"",""จัดที่ดิน!BT83"")"),0)</f>
        <v>0</v>
      </c>
      <c r="K728" s="881">
        <f t="shared" ref="K728:K729" ca="1" si="292">IF(I728&gt;0,J728*100/I728,0)</f>
        <v>0</v>
      </c>
      <c r="L728" s="1441"/>
      <c r="M728" s="1016"/>
      <c r="N728" s="1441"/>
      <c r="O728" s="881"/>
      <c r="P728" s="881"/>
      <c r="Q728" s="1302"/>
      <c r="R728" s="1302"/>
      <c r="S728" s="1302"/>
      <c r="T728" s="1302"/>
      <c r="U728" s="1302"/>
      <c r="V728" s="1302"/>
      <c r="W728" s="1302"/>
      <c r="X728" s="1302"/>
      <c r="Y728" s="1302"/>
      <c r="Z728" s="1302"/>
    </row>
    <row r="729" spans="1:26" ht="19.5" hidden="1">
      <c r="A729" s="1429"/>
      <c r="B729" s="1301"/>
      <c r="C729" s="1301"/>
      <c r="D729" s="1301" t="s">
        <v>309</v>
      </c>
      <c r="E729" s="1301"/>
      <c r="F729" s="1301"/>
      <c r="G729" s="1016"/>
      <c r="H729" s="765" t="s">
        <v>46</v>
      </c>
      <c r="I729" s="1442">
        <f ca="1">IFERROR(__xludf.DUMMYFUNCTION("IMPORTRANGE(""https://docs.google.com/spreadsheets/d/1QqKyyYR6Q21VydFLVH3TRQUabQu_ym0Zz7PgGX0-kHA/edit?usp=sharing"",""แผน!IP83"")"),0)</f>
        <v>0</v>
      </c>
      <c r="J729" s="1019">
        <f>J732+J735</f>
        <v>0</v>
      </c>
      <c r="K729" s="1020">
        <f t="shared" ca="1" si="292"/>
        <v>0</v>
      </c>
      <c r="L729" s="881"/>
      <c r="M729" s="1016"/>
      <c r="N729" s="1441"/>
      <c r="O729" s="881"/>
      <c r="P729" s="881"/>
      <c r="Q729" s="1302"/>
      <c r="R729" s="1302"/>
      <c r="S729" s="1302"/>
      <c r="T729" s="1302"/>
      <c r="U729" s="1302"/>
      <c r="V729" s="1302"/>
      <c r="W729" s="1302"/>
      <c r="X729" s="1302"/>
      <c r="Y729" s="1302"/>
      <c r="Z729" s="1302"/>
    </row>
    <row r="730" spans="1:26" ht="18.75" hidden="1">
      <c r="A730" s="1429"/>
      <c r="B730" s="1301"/>
      <c r="C730" s="1301"/>
      <c r="D730" s="1301"/>
      <c r="E730" s="1301" t="s">
        <v>310</v>
      </c>
      <c r="F730" s="1301"/>
      <c r="G730" s="1016"/>
      <c r="H730" s="762" t="s">
        <v>35</v>
      </c>
      <c r="I730" s="1440"/>
      <c r="J730" s="1012">
        <v>0</v>
      </c>
      <c r="K730" s="881"/>
      <c r="L730" s="1441"/>
      <c r="M730" s="881"/>
      <c r="N730" s="1441"/>
      <c r="O730" s="881"/>
      <c r="P730" s="881"/>
      <c r="Q730" s="1302"/>
      <c r="R730" s="1302"/>
      <c r="S730" s="1302"/>
      <c r="T730" s="1302"/>
      <c r="U730" s="1302"/>
      <c r="V730" s="1302"/>
      <c r="W730" s="1302"/>
      <c r="X730" s="1302"/>
      <c r="Y730" s="1302"/>
      <c r="Z730" s="1302"/>
    </row>
    <row r="731" spans="1:26" ht="18.75" hidden="1">
      <c r="A731" s="1429"/>
      <c r="B731" s="1301"/>
      <c r="C731" s="1301"/>
      <c r="D731" s="1301"/>
      <c r="E731" s="1301"/>
      <c r="F731" s="1301"/>
      <c r="G731" s="1016"/>
      <c r="H731" s="762" t="s">
        <v>34</v>
      </c>
      <c r="I731" s="1440"/>
      <c r="J731" s="1012">
        <v>0</v>
      </c>
      <c r="K731" s="881"/>
      <c r="L731" s="1441"/>
      <c r="M731" s="881"/>
      <c r="N731" s="1441"/>
      <c r="O731" s="881"/>
      <c r="P731" s="881"/>
      <c r="Q731" s="1302"/>
      <c r="R731" s="1302"/>
      <c r="S731" s="1302"/>
      <c r="T731" s="1302"/>
      <c r="U731" s="1302"/>
      <c r="V731" s="1302"/>
      <c r="W731" s="1302"/>
      <c r="X731" s="1302"/>
      <c r="Y731" s="1302"/>
      <c r="Z731" s="1302"/>
    </row>
    <row r="732" spans="1:26" ht="18.75" hidden="1">
      <c r="A732" s="1429"/>
      <c r="B732" s="1301"/>
      <c r="C732" s="1301"/>
      <c r="D732" s="1301"/>
      <c r="E732" s="1301"/>
      <c r="F732" s="1301"/>
      <c r="G732" s="1016"/>
      <c r="H732" s="762" t="s">
        <v>46</v>
      </c>
      <c r="I732" s="1440"/>
      <c r="J732" s="1012">
        <v>0</v>
      </c>
      <c r="K732" s="881"/>
      <c r="L732" s="1441"/>
      <c r="M732" s="881"/>
      <c r="N732" s="1441"/>
      <c r="O732" s="881"/>
      <c r="P732" s="881"/>
      <c r="Q732" s="1302"/>
      <c r="R732" s="1302"/>
      <c r="S732" s="1302"/>
      <c r="T732" s="1302"/>
      <c r="U732" s="1302"/>
      <c r="V732" s="1302"/>
      <c r="W732" s="1302"/>
      <c r="X732" s="1302"/>
      <c r="Y732" s="1302"/>
      <c r="Z732" s="1302"/>
    </row>
    <row r="733" spans="1:26" ht="18.75" hidden="1">
      <c r="A733" s="1429"/>
      <c r="B733" s="1301"/>
      <c r="C733" s="1301"/>
      <c r="D733" s="1301"/>
      <c r="E733" s="1301" t="s">
        <v>311</v>
      </c>
      <c r="F733" s="1301"/>
      <c r="G733" s="1016"/>
      <c r="H733" s="762" t="s">
        <v>35</v>
      </c>
      <c r="I733" s="1440"/>
      <c r="J733" s="1012">
        <v>0</v>
      </c>
      <c r="K733" s="881"/>
      <c r="L733" s="1441"/>
      <c r="M733" s="881"/>
      <c r="N733" s="1441"/>
      <c r="O733" s="881"/>
      <c r="P733" s="881"/>
      <c r="Q733" s="1302"/>
      <c r="R733" s="1302"/>
      <c r="S733" s="1302"/>
      <c r="T733" s="1302"/>
      <c r="U733" s="1302"/>
      <c r="V733" s="1302"/>
      <c r="W733" s="1302"/>
      <c r="X733" s="1302"/>
      <c r="Y733" s="1302"/>
      <c r="Z733" s="1302"/>
    </row>
    <row r="734" spans="1:26" ht="18.75" hidden="1">
      <c r="A734" s="1429"/>
      <c r="B734" s="1301"/>
      <c r="C734" s="1301"/>
      <c r="D734" s="1301"/>
      <c r="E734" s="1301"/>
      <c r="F734" s="1301"/>
      <c r="G734" s="1016"/>
      <c r="H734" s="762" t="s">
        <v>34</v>
      </c>
      <c r="I734" s="1440"/>
      <c r="J734" s="1012">
        <v>0</v>
      </c>
      <c r="K734" s="881"/>
      <c r="L734" s="1441"/>
      <c r="M734" s="881"/>
      <c r="N734" s="1441"/>
      <c r="O734" s="881"/>
      <c r="P734" s="881"/>
      <c r="Q734" s="1302"/>
      <c r="R734" s="1302"/>
      <c r="S734" s="1302"/>
      <c r="T734" s="1302"/>
      <c r="U734" s="1302"/>
      <c r="V734" s="1302"/>
      <c r="W734" s="1302"/>
      <c r="X734" s="1302"/>
      <c r="Y734" s="1302"/>
      <c r="Z734" s="1302"/>
    </row>
    <row r="735" spans="1:26" ht="19.5" hidden="1">
      <c r="A735" s="1443"/>
      <c r="B735" s="1444" t="s">
        <v>312</v>
      </c>
      <c r="C735" s="1169"/>
      <c r="D735" s="1169"/>
      <c r="E735" s="1169"/>
      <c r="F735" s="1169"/>
      <c r="G735" s="1422"/>
      <c r="H735" s="423" t="s">
        <v>46</v>
      </c>
      <c r="I735" s="1445"/>
      <c r="J735" s="1171">
        <v>0</v>
      </c>
      <c r="K735" s="1239"/>
      <c r="L735" s="1446"/>
      <c r="M735" s="1239"/>
      <c r="N735" s="1446"/>
      <c r="O735" s="1239"/>
      <c r="P735" s="1239"/>
      <c r="Q735" s="1302"/>
      <c r="R735" s="1302"/>
      <c r="S735" s="1302"/>
      <c r="T735" s="1302"/>
      <c r="U735" s="1302"/>
      <c r="V735" s="1302"/>
      <c r="W735" s="1302"/>
      <c r="X735" s="1302"/>
      <c r="Y735" s="1302"/>
      <c r="Z735" s="1302"/>
    </row>
    <row r="736" spans="1:26" ht="19.5" hidden="1">
      <c r="A736" s="772">
        <v>9</v>
      </c>
      <c r="B736" s="1447" t="s">
        <v>313</v>
      </c>
      <c r="C736" s="1448"/>
      <c r="D736" s="1448"/>
      <c r="E736" s="1448"/>
      <c r="F736" s="1448"/>
      <c r="G736" s="1449"/>
      <c r="H736" s="776" t="s">
        <v>46</v>
      </c>
      <c r="I736" s="1450"/>
      <c r="J736" s="1450">
        <f>J751</f>
        <v>0</v>
      </c>
      <c r="K736" s="1451">
        <f>IF(I736&gt;0,J736*100/I736,0)</f>
        <v>0</v>
      </c>
      <c r="L736" s="1452"/>
      <c r="M736" s="1452"/>
      <c r="N736" s="1452"/>
      <c r="O736" s="1452"/>
      <c r="P736" s="1452"/>
      <c r="Q736" s="1323"/>
      <c r="R736" s="1323"/>
      <c r="S736" s="1323"/>
      <c r="T736" s="1323"/>
      <c r="U736" s="1323"/>
      <c r="V736" s="1323"/>
      <c r="W736" s="1323"/>
      <c r="X736" s="1323"/>
      <c r="Y736" s="1323"/>
      <c r="Z736" s="1323"/>
    </row>
    <row r="737" spans="1:26" ht="19.5" hidden="1">
      <c r="A737" s="1319"/>
      <c r="B737" s="1320"/>
      <c r="C737" s="1320" t="s">
        <v>16</v>
      </c>
      <c r="D737" s="1351" t="s">
        <v>17</v>
      </c>
      <c r="E737" s="841"/>
      <c r="F737" s="841"/>
      <c r="G737" s="1322"/>
      <c r="H737" s="644" t="s">
        <v>12</v>
      </c>
      <c r="I737" s="886"/>
      <c r="J737" s="886"/>
      <c r="K737" s="887"/>
      <c r="L737" s="1352">
        <f t="shared" ref="L737:N737" si="293">L738+L739</f>
        <v>0</v>
      </c>
      <c r="M737" s="1352">
        <f t="shared" si="293"/>
        <v>0</v>
      </c>
      <c r="N737" s="1352">
        <f t="shared" si="293"/>
        <v>0</v>
      </c>
      <c r="O737" s="1352">
        <f t="shared" ref="O737:O742" si="294">IF(L737&gt;0,N737*100/L737,0)</f>
        <v>0</v>
      </c>
      <c r="P737" s="1352">
        <f t="shared" ref="P737:P742" si="295">IF(M737&gt;0,N737*100/M737,0)</f>
        <v>0</v>
      </c>
      <c r="Q737" s="1323"/>
      <c r="R737" s="1323"/>
      <c r="S737" s="1323"/>
      <c r="T737" s="1323"/>
      <c r="U737" s="1323"/>
      <c r="V737" s="1323"/>
      <c r="W737" s="1323"/>
      <c r="X737" s="1323"/>
      <c r="Y737" s="1323"/>
      <c r="Z737" s="1323"/>
    </row>
    <row r="738" spans="1:26" ht="18.75" hidden="1">
      <c r="A738" s="1319"/>
      <c r="B738" s="1320"/>
      <c r="C738" s="1320"/>
      <c r="D738" s="1321"/>
      <c r="E738" s="1320" t="s">
        <v>185</v>
      </c>
      <c r="F738" s="1320"/>
      <c r="G738" s="1322"/>
      <c r="H738" s="165" t="s">
        <v>12</v>
      </c>
      <c r="I738" s="886"/>
      <c r="J738" s="886"/>
      <c r="K738" s="887"/>
      <c r="L738" s="887">
        <f t="shared" ref="L738:N739" si="296">L741+L748</f>
        <v>0</v>
      </c>
      <c r="M738" s="887">
        <f t="shared" si="296"/>
        <v>0</v>
      </c>
      <c r="N738" s="887">
        <f t="shared" si="296"/>
        <v>0</v>
      </c>
      <c r="O738" s="887">
        <f t="shared" si="294"/>
        <v>0</v>
      </c>
      <c r="P738" s="887">
        <f t="shared" si="295"/>
        <v>0</v>
      </c>
      <c r="Q738" s="1323"/>
      <c r="R738" s="1323"/>
      <c r="S738" s="1323"/>
      <c r="T738" s="1323"/>
      <c r="U738" s="1323"/>
      <c r="V738" s="1323"/>
      <c r="W738" s="1323"/>
      <c r="X738" s="1323"/>
      <c r="Y738" s="1323"/>
      <c r="Z738" s="1323"/>
    </row>
    <row r="739" spans="1:26" ht="18.75" hidden="1">
      <c r="A739" s="1319"/>
      <c r="B739" s="1324"/>
      <c r="C739" s="1320"/>
      <c r="D739" s="1321"/>
      <c r="E739" s="1320" t="s">
        <v>186</v>
      </c>
      <c r="F739" s="1320"/>
      <c r="G739" s="1322"/>
      <c r="H739" s="165" t="s">
        <v>12</v>
      </c>
      <c r="I739" s="886"/>
      <c r="J739" s="886"/>
      <c r="K739" s="887"/>
      <c r="L739" s="887">
        <f t="shared" si="296"/>
        <v>0</v>
      </c>
      <c r="M739" s="887">
        <f t="shared" si="296"/>
        <v>0</v>
      </c>
      <c r="N739" s="887">
        <f t="shared" si="296"/>
        <v>0</v>
      </c>
      <c r="O739" s="887">
        <f t="shared" si="294"/>
        <v>0</v>
      </c>
      <c r="P739" s="887">
        <f t="shared" si="295"/>
        <v>0</v>
      </c>
      <c r="Q739" s="1323"/>
      <c r="R739" s="1323"/>
      <c r="S739" s="1323"/>
      <c r="T739" s="1323"/>
      <c r="U739" s="1323"/>
      <c r="V739" s="1323"/>
      <c r="W739" s="1323"/>
      <c r="X739" s="1323"/>
      <c r="Y739" s="1323"/>
      <c r="Z739" s="1323"/>
    </row>
    <row r="740" spans="1:26" ht="19.5" hidden="1">
      <c r="A740" s="1319"/>
      <c r="B740" s="1324"/>
      <c r="C740" s="1320"/>
      <c r="D740" s="1453" t="s">
        <v>20</v>
      </c>
      <c r="E740" s="1320"/>
      <c r="F740" s="1320"/>
      <c r="G740" s="1322"/>
      <c r="H740" s="644" t="s">
        <v>12</v>
      </c>
      <c r="I740" s="1000"/>
      <c r="J740" s="1000"/>
      <c r="K740" s="1001"/>
      <c r="L740" s="1352">
        <f t="shared" ref="L740:N740" si="297">L741+L742</f>
        <v>0</v>
      </c>
      <c r="M740" s="1352">
        <f t="shared" si="297"/>
        <v>0</v>
      </c>
      <c r="N740" s="1352">
        <f t="shared" si="297"/>
        <v>0</v>
      </c>
      <c r="O740" s="1352">
        <f t="shared" si="294"/>
        <v>0</v>
      </c>
      <c r="P740" s="1352">
        <f t="shared" si="295"/>
        <v>0</v>
      </c>
      <c r="Q740" s="1323"/>
      <c r="R740" s="1323"/>
      <c r="S740" s="1323"/>
      <c r="T740" s="1323"/>
      <c r="U740" s="1323"/>
      <c r="V740" s="1323"/>
      <c r="W740" s="1323"/>
      <c r="X740" s="1323"/>
      <c r="Y740" s="1323"/>
      <c r="Z740" s="1323"/>
    </row>
    <row r="741" spans="1:26" ht="18.75" hidden="1">
      <c r="A741" s="1319"/>
      <c r="B741" s="1324"/>
      <c r="C741" s="1320"/>
      <c r="D741" s="1321"/>
      <c r="E741" s="1320" t="s">
        <v>185</v>
      </c>
      <c r="F741" s="1320"/>
      <c r="G741" s="1322"/>
      <c r="H741" s="165" t="s">
        <v>12</v>
      </c>
      <c r="I741" s="886"/>
      <c r="J741" s="886"/>
      <c r="K741" s="887"/>
      <c r="L741" s="887">
        <v>0</v>
      </c>
      <c r="M741" s="887">
        <v>0</v>
      </c>
      <c r="N741" s="887">
        <v>0</v>
      </c>
      <c r="O741" s="887">
        <f t="shared" si="294"/>
        <v>0</v>
      </c>
      <c r="P741" s="887">
        <f t="shared" si="295"/>
        <v>0</v>
      </c>
      <c r="Q741" s="1323"/>
      <c r="R741" s="1323"/>
      <c r="S741" s="1323"/>
      <c r="T741" s="1323"/>
      <c r="U741" s="1323"/>
      <c r="V741" s="1323"/>
      <c r="W741" s="1323"/>
      <c r="X741" s="1323"/>
      <c r="Y741" s="1323"/>
      <c r="Z741" s="1323"/>
    </row>
    <row r="742" spans="1:26" ht="18.75" hidden="1">
      <c r="A742" s="1319"/>
      <c r="B742" s="1324"/>
      <c r="C742" s="1320"/>
      <c r="D742" s="1321"/>
      <c r="E742" s="1320" t="s">
        <v>186</v>
      </c>
      <c r="F742" s="1320"/>
      <c r="G742" s="1322"/>
      <c r="H742" s="165" t="s">
        <v>12</v>
      </c>
      <c r="I742" s="886"/>
      <c r="J742" s="886"/>
      <c r="K742" s="887"/>
      <c r="L742" s="887">
        <v>0</v>
      </c>
      <c r="M742" s="887">
        <v>0</v>
      </c>
      <c r="N742" s="887">
        <f>N743+N744+N745+N746</f>
        <v>0</v>
      </c>
      <c r="O742" s="887">
        <f t="shared" si="294"/>
        <v>0</v>
      </c>
      <c r="P742" s="887">
        <f t="shared" si="295"/>
        <v>0</v>
      </c>
      <c r="Q742" s="1323"/>
      <c r="R742" s="1323"/>
      <c r="S742" s="1323"/>
      <c r="T742" s="1323"/>
      <c r="U742" s="1323"/>
      <c r="V742" s="1323"/>
      <c r="W742" s="1323"/>
      <c r="X742" s="1323"/>
      <c r="Y742" s="1323"/>
      <c r="Z742" s="1323"/>
    </row>
    <row r="743" spans="1:26" ht="18.75" hidden="1">
      <c r="A743" s="1354"/>
      <c r="B743" s="1324"/>
      <c r="C743" s="1320"/>
      <c r="D743" s="1320"/>
      <c r="E743" s="1320"/>
      <c r="F743" s="1320" t="s">
        <v>187</v>
      </c>
      <c r="G743" s="1322"/>
      <c r="H743" s="165" t="s">
        <v>12</v>
      </c>
      <c r="I743" s="886"/>
      <c r="J743" s="886"/>
      <c r="K743" s="887"/>
      <c r="L743" s="887"/>
      <c r="M743" s="887"/>
      <c r="N743" s="887"/>
      <c r="O743" s="887"/>
      <c r="P743" s="887"/>
      <c r="Q743" s="1323"/>
      <c r="R743" s="1323"/>
      <c r="S743" s="1323"/>
      <c r="T743" s="1323"/>
      <c r="U743" s="1323"/>
      <c r="V743" s="1323"/>
      <c r="W743" s="1323"/>
      <c r="X743" s="1323"/>
      <c r="Y743" s="1323"/>
      <c r="Z743" s="1323"/>
    </row>
    <row r="744" spans="1:26" ht="18.75" hidden="1">
      <c r="A744" s="1354"/>
      <c r="B744" s="1324"/>
      <c r="C744" s="1320"/>
      <c r="D744" s="1320"/>
      <c r="E744" s="1320"/>
      <c r="F744" s="1320" t="s">
        <v>188</v>
      </c>
      <c r="G744" s="1322"/>
      <c r="H744" s="165" t="s">
        <v>12</v>
      </c>
      <c r="I744" s="886"/>
      <c r="J744" s="886"/>
      <c r="K744" s="887"/>
      <c r="L744" s="887"/>
      <c r="M744" s="887"/>
      <c r="N744" s="887"/>
      <c r="O744" s="887"/>
      <c r="P744" s="887"/>
      <c r="Q744" s="1323"/>
      <c r="R744" s="1323"/>
      <c r="S744" s="1323"/>
      <c r="T744" s="1323"/>
      <c r="U744" s="1323"/>
      <c r="V744" s="1323"/>
      <c r="W744" s="1323"/>
      <c r="X744" s="1323"/>
      <c r="Y744" s="1323"/>
      <c r="Z744" s="1323"/>
    </row>
    <row r="745" spans="1:26" ht="18.75" hidden="1">
      <c r="A745" s="1354"/>
      <c r="B745" s="1324"/>
      <c r="C745" s="1320"/>
      <c r="D745" s="1320"/>
      <c r="E745" s="1320"/>
      <c r="F745" s="1320" t="s">
        <v>189</v>
      </c>
      <c r="G745" s="1322"/>
      <c r="H745" s="165" t="s">
        <v>12</v>
      </c>
      <c r="I745" s="886"/>
      <c r="J745" s="886"/>
      <c r="K745" s="887"/>
      <c r="L745" s="887"/>
      <c r="M745" s="887"/>
      <c r="N745" s="887"/>
      <c r="O745" s="887"/>
      <c r="P745" s="887"/>
      <c r="Q745" s="1323"/>
      <c r="R745" s="1323"/>
      <c r="S745" s="1323"/>
      <c r="T745" s="1323"/>
      <c r="U745" s="1323"/>
      <c r="V745" s="1323"/>
      <c r="W745" s="1323"/>
      <c r="X745" s="1323"/>
      <c r="Y745" s="1323"/>
      <c r="Z745" s="1323"/>
    </row>
    <row r="746" spans="1:26" ht="18.75" hidden="1">
      <c r="A746" s="1354"/>
      <c r="B746" s="1324"/>
      <c r="C746" s="1320"/>
      <c r="D746" s="1320"/>
      <c r="E746" s="1320"/>
      <c r="F746" s="1320" t="s">
        <v>190</v>
      </c>
      <c r="G746" s="1322"/>
      <c r="H746" s="165" t="s">
        <v>12</v>
      </c>
      <c r="I746" s="886"/>
      <c r="J746" s="886"/>
      <c r="K746" s="887"/>
      <c r="L746" s="887"/>
      <c r="M746" s="887"/>
      <c r="N746" s="887"/>
      <c r="O746" s="887"/>
      <c r="P746" s="887"/>
      <c r="Q746" s="1323"/>
      <c r="R746" s="1323"/>
      <c r="S746" s="1323"/>
      <c r="T746" s="1323"/>
      <c r="U746" s="1323"/>
      <c r="V746" s="1323"/>
      <c r="W746" s="1323"/>
      <c r="X746" s="1323"/>
      <c r="Y746" s="1323"/>
      <c r="Z746" s="1323"/>
    </row>
    <row r="747" spans="1:26" ht="19.5" hidden="1">
      <c r="A747" s="1319"/>
      <c r="B747" s="1324"/>
      <c r="C747" s="1320"/>
      <c r="D747" s="1453" t="s">
        <v>21</v>
      </c>
      <c r="E747" s="1320"/>
      <c r="F747" s="1320"/>
      <c r="G747" s="1322"/>
      <c r="H747" s="781" t="s">
        <v>12</v>
      </c>
      <c r="I747" s="1000"/>
      <c r="J747" s="1000"/>
      <c r="K747" s="1001"/>
      <c r="L747" s="1352">
        <f t="shared" ref="L747:N747" si="298">L748+L749</f>
        <v>0</v>
      </c>
      <c r="M747" s="1352">
        <f t="shared" si="298"/>
        <v>0</v>
      </c>
      <c r="N747" s="1352">
        <f t="shared" si="298"/>
        <v>0</v>
      </c>
      <c r="O747" s="1352">
        <f t="shared" ref="O747:O749" si="299">IF(L747&gt;0,N747*100/L747,0)</f>
        <v>0</v>
      </c>
      <c r="P747" s="1352">
        <f t="shared" ref="P747:P749" si="300">IF(M747&gt;0,N747*100/M747,0)</f>
        <v>0</v>
      </c>
      <c r="Q747" s="1323"/>
      <c r="R747" s="1323"/>
      <c r="S747" s="1323"/>
      <c r="T747" s="1323"/>
      <c r="U747" s="1323"/>
      <c r="V747" s="1323"/>
      <c r="W747" s="1323"/>
      <c r="X747" s="1323"/>
      <c r="Y747" s="1323"/>
      <c r="Z747" s="1323"/>
    </row>
    <row r="748" spans="1:26" ht="18.75" hidden="1">
      <c r="A748" s="1319"/>
      <c r="B748" s="1324"/>
      <c r="C748" s="1320"/>
      <c r="D748" s="1320"/>
      <c r="E748" s="1320" t="s">
        <v>18</v>
      </c>
      <c r="F748" s="1320"/>
      <c r="G748" s="1322"/>
      <c r="H748" s="165" t="s">
        <v>12</v>
      </c>
      <c r="I748" s="1000"/>
      <c r="J748" s="1000"/>
      <c r="K748" s="1001"/>
      <c r="L748" s="887">
        <v>0</v>
      </c>
      <c r="M748" s="887">
        <v>0</v>
      </c>
      <c r="N748" s="887">
        <v>0</v>
      </c>
      <c r="O748" s="887">
        <f t="shared" si="299"/>
        <v>0</v>
      </c>
      <c r="P748" s="887">
        <f t="shared" si="300"/>
        <v>0</v>
      </c>
      <c r="Q748" s="1323"/>
      <c r="R748" s="1323"/>
      <c r="S748" s="1323"/>
      <c r="T748" s="1323"/>
      <c r="U748" s="1323"/>
      <c r="V748" s="1323"/>
      <c r="W748" s="1323"/>
      <c r="X748" s="1323"/>
      <c r="Y748" s="1323"/>
      <c r="Z748" s="1323"/>
    </row>
    <row r="749" spans="1:26" ht="18.75" hidden="1">
      <c r="A749" s="1319"/>
      <c r="B749" s="1324"/>
      <c r="C749" s="1320"/>
      <c r="D749" s="1320"/>
      <c r="E749" s="1320" t="s">
        <v>19</v>
      </c>
      <c r="F749" s="1320"/>
      <c r="G749" s="1322"/>
      <c r="H749" s="169" t="s">
        <v>12</v>
      </c>
      <c r="I749" s="1000"/>
      <c r="J749" s="1000"/>
      <c r="K749" s="1001"/>
      <c r="L749" s="887">
        <v>0</v>
      </c>
      <c r="M749" s="887">
        <v>0</v>
      </c>
      <c r="N749" s="887">
        <v>0</v>
      </c>
      <c r="O749" s="887">
        <f t="shared" si="299"/>
        <v>0</v>
      </c>
      <c r="P749" s="887">
        <f t="shared" si="300"/>
        <v>0</v>
      </c>
      <c r="Q749" s="1323"/>
      <c r="R749" s="1323"/>
      <c r="S749" s="1323"/>
      <c r="T749" s="1323"/>
      <c r="U749" s="1323"/>
      <c r="V749" s="1323"/>
      <c r="W749" s="1323"/>
      <c r="X749" s="1323"/>
      <c r="Y749" s="1323"/>
      <c r="Z749" s="1323"/>
    </row>
    <row r="750" spans="1:26" ht="19.5" hidden="1">
      <c r="A750" s="1332"/>
      <c r="B750" s="1333"/>
      <c r="C750" s="1320" t="s">
        <v>16</v>
      </c>
      <c r="D750" s="1454" t="s">
        <v>38</v>
      </c>
      <c r="E750" s="1356"/>
      <c r="F750" s="1356"/>
      <c r="G750" s="1357"/>
      <c r="H750" s="1113"/>
      <c r="I750" s="1000"/>
      <c r="J750" s="1000"/>
      <c r="K750" s="1001"/>
      <c r="L750" s="1001"/>
      <c r="M750" s="1001"/>
      <c r="N750" s="1001"/>
      <c r="O750" s="1001"/>
      <c r="P750" s="1001"/>
      <c r="Q750" s="1323"/>
      <c r="R750" s="1323"/>
      <c r="S750" s="1323"/>
      <c r="T750" s="1323"/>
      <c r="U750" s="1323"/>
      <c r="V750" s="1323"/>
      <c r="W750" s="1323"/>
      <c r="X750" s="1323"/>
      <c r="Y750" s="1323"/>
      <c r="Z750" s="1323"/>
    </row>
    <row r="751" spans="1:26" ht="18.75" hidden="1">
      <c r="A751" s="1354"/>
      <c r="B751" s="1324"/>
      <c r="C751" s="1320"/>
      <c r="D751" s="1320"/>
      <c r="E751" s="1320" t="s">
        <v>314</v>
      </c>
      <c r="F751" s="1320"/>
      <c r="G751" s="1322"/>
      <c r="H751" s="165" t="s">
        <v>46</v>
      </c>
      <c r="I751" s="886"/>
      <c r="J751" s="886"/>
      <c r="K751" s="887"/>
      <c r="L751" s="887"/>
      <c r="M751" s="887"/>
      <c r="N751" s="887"/>
      <c r="O751" s="887"/>
      <c r="P751" s="887"/>
      <c r="Q751" s="1323"/>
      <c r="R751" s="1323"/>
      <c r="S751" s="1323"/>
      <c r="T751" s="1323"/>
      <c r="U751" s="1323"/>
      <c r="V751" s="1323"/>
      <c r="W751" s="1323"/>
      <c r="X751" s="1323"/>
      <c r="Y751" s="1323"/>
      <c r="Z751" s="1323"/>
    </row>
    <row r="752" spans="1:26" ht="18.75" hidden="1">
      <c r="A752" s="1354"/>
      <c r="B752" s="1324"/>
      <c r="C752" s="1320"/>
      <c r="D752" s="1320"/>
      <c r="E752" s="1320"/>
      <c r="F752" s="1320"/>
      <c r="G752" s="1322"/>
      <c r="H752" s="165" t="s">
        <v>315</v>
      </c>
      <c r="I752" s="886"/>
      <c r="J752" s="886"/>
      <c r="K752" s="887"/>
      <c r="L752" s="887"/>
      <c r="M752" s="887"/>
      <c r="N752" s="887"/>
      <c r="O752" s="887"/>
      <c r="P752" s="887"/>
      <c r="Q752" s="1323"/>
      <c r="R752" s="1323"/>
      <c r="S752" s="1323"/>
      <c r="T752" s="1323"/>
      <c r="U752" s="1323"/>
      <c r="V752" s="1323"/>
      <c r="W752" s="1323"/>
      <c r="X752" s="1323"/>
      <c r="Y752" s="1323"/>
      <c r="Z752" s="1323"/>
    </row>
    <row r="753" spans="1:26" ht="19.5" hidden="1">
      <c r="A753" s="783">
        <v>10</v>
      </c>
      <c r="B753" s="1455" t="s">
        <v>316</v>
      </c>
      <c r="C753" s="1456"/>
      <c r="D753" s="1456"/>
      <c r="E753" s="1456"/>
      <c r="F753" s="1456"/>
      <c r="G753" s="1457"/>
      <c r="H753" s="787" t="s">
        <v>46</v>
      </c>
      <c r="I753" s="1458"/>
      <c r="J753" s="1458">
        <f>J768</f>
        <v>0</v>
      </c>
      <c r="K753" s="1459">
        <f>IF(I753&gt;0,J753*100/I753,0)</f>
        <v>0</v>
      </c>
      <c r="L753" s="1460"/>
      <c r="M753" s="1460"/>
      <c r="N753" s="1460"/>
      <c r="O753" s="1460"/>
      <c r="P753" s="1460"/>
      <c r="Q753" s="1323"/>
      <c r="R753" s="1323"/>
      <c r="S753" s="1323"/>
      <c r="T753" s="1323"/>
      <c r="U753" s="1323"/>
      <c r="V753" s="1323"/>
      <c r="W753" s="1323"/>
      <c r="X753" s="1323"/>
      <c r="Y753" s="1323"/>
      <c r="Z753" s="1323"/>
    </row>
    <row r="754" spans="1:26" ht="19.5" hidden="1">
      <c r="A754" s="1319"/>
      <c r="B754" s="1320"/>
      <c r="C754" s="1320" t="s">
        <v>16</v>
      </c>
      <c r="D754" s="1351" t="s">
        <v>17</v>
      </c>
      <c r="E754" s="841"/>
      <c r="F754" s="841"/>
      <c r="G754" s="1322"/>
      <c r="H754" s="644" t="s">
        <v>12</v>
      </c>
      <c r="I754" s="886"/>
      <c r="J754" s="886"/>
      <c r="K754" s="887"/>
      <c r="L754" s="1352">
        <f t="shared" ref="L754:N754" si="301">L755+L756</f>
        <v>0</v>
      </c>
      <c r="M754" s="1352">
        <f t="shared" si="301"/>
        <v>0</v>
      </c>
      <c r="N754" s="1352">
        <f t="shared" si="301"/>
        <v>0</v>
      </c>
      <c r="O754" s="1352">
        <f t="shared" ref="O754:O759" si="302">IF(L754&gt;0,N754*100/L754,0)</f>
        <v>0</v>
      </c>
      <c r="P754" s="1352">
        <f t="shared" ref="P754:P759" si="303">IF(M754&gt;0,N754*100/M754,0)</f>
        <v>0</v>
      </c>
      <c r="Q754" s="1323"/>
      <c r="R754" s="1323"/>
      <c r="S754" s="1323"/>
      <c r="T754" s="1323"/>
      <c r="U754" s="1323"/>
      <c r="V754" s="1323"/>
      <c r="W754" s="1323"/>
      <c r="X754" s="1323"/>
      <c r="Y754" s="1323"/>
      <c r="Z754" s="1323"/>
    </row>
    <row r="755" spans="1:26" ht="18.75" hidden="1">
      <c r="A755" s="1319"/>
      <c r="B755" s="1320"/>
      <c r="C755" s="1320"/>
      <c r="D755" s="1321"/>
      <c r="E755" s="1320" t="s">
        <v>185</v>
      </c>
      <c r="F755" s="1320"/>
      <c r="G755" s="1322"/>
      <c r="H755" s="165" t="s">
        <v>12</v>
      </c>
      <c r="I755" s="886"/>
      <c r="J755" s="886"/>
      <c r="K755" s="887"/>
      <c r="L755" s="887">
        <f t="shared" ref="L755:N756" si="304">L758+L765</f>
        <v>0</v>
      </c>
      <c r="M755" s="887">
        <f t="shared" si="304"/>
        <v>0</v>
      </c>
      <c r="N755" s="887">
        <f t="shared" si="304"/>
        <v>0</v>
      </c>
      <c r="O755" s="887">
        <f t="shared" si="302"/>
        <v>0</v>
      </c>
      <c r="P755" s="887">
        <f t="shared" si="303"/>
        <v>0</v>
      </c>
      <c r="Q755" s="1323"/>
      <c r="R755" s="1323"/>
      <c r="S755" s="1323"/>
      <c r="T755" s="1323"/>
      <c r="U755" s="1323"/>
      <c r="V755" s="1323"/>
      <c r="W755" s="1323"/>
      <c r="X755" s="1323"/>
      <c r="Y755" s="1323"/>
      <c r="Z755" s="1323"/>
    </row>
    <row r="756" spans="1:26" ht="18.75" hidden="1">
      <c r="A756" s="1319"/>
      <c r="B756" s="1324"/>
      <c r="C756" s="1320"/>
      <c r="D756" s="1321"/>
      <c r="E756" s="1320" t="s">
        <v>186</v>
      </c>
      <c r="F756" s="1320"/>
      <c r="G756" s="1322"/>
      <c r="H756" s="165" t="s">
        <v>12</v>
      </c>
      <c r="I756" s="886"/>
      <c r="J756" s="886"/>
      <c r="K756" s="887"/>
      <c r="L756" s="887">
        <f t="shared" si="304"/>
        <v>0</v>
      </c>
      <c r="M756" s="887">
        <f t="shared" si="304"/>
        <v>0</v>
      </c>
      <c r="N756" s="887">
        <f t="shared" si="304"/>
        <v>0</v>
      </c>
      <c r="O756" s="887">
        <f t="shared" si="302"/>
        <v>0</v>
      </c>
      <c r="P756" s="887">
        <f t="shared" si="303"/>
        <v>0</v>
      </c>
      <c r="Q756" s="1323"/>
      <c r="R756" s="1323"/>
      <c r="S756" s="1323"/>
      <c r="T756" s="1323"/>
      <c r="U756" s="1323"/>
      <c r="V756" s="1323"/>
      <c r="W756" s="1323"/>
      <c r="X756" s="1323"/>
      <c r="Y756" s="1323"/>
      <c r="Z756" s="1323"/>
    </row>
    <row r="757" spans="1:26" ht="19.5" hidden="1">
      <c r="A757" s="1319"/>
      <c r="B757" s="1324"/>
      <c r="C757" s="1320"/>
      <c r="D757" s="1453" t="s">
        <v>20</v>
      </c>
      <c r="E757" s="1320"/>
      <c r="F757" s="1320"/>
      <c r="G757" s="1322"/>
      <c r="H757" s="644" t="s">
        <v>12</v>
      </c>
      <c r="I757" s="1000"/>
      <c r="J757" s="1000"/>
      <c r="K757" s="1001"/>
      <c r="L757" s="1352">
        <f t="shared" ref="L757:N757" si="305">L758+L759</f>
        <v>0</v>
      </c>
      <c r="M757" s="1352">
        <f t="shared" si="305"/>
        <v>0</v>
      </c>
      <c r="N757" s="1352">
        <f t="shared" si="305"/>
        <v>0</v>
      </c>
      <c r="O757" s="1352">
        <f t="shared" si="302"/>
        <v>0</v>
      </c>
      <c r="P757" s="1352">
        <f t="shared" si="303"/>
        <v>0</v>
      </c>
      <c r="Q757" s="1323"/>
      <c r="R757" s="1323"/>
      <c r="S757" s="1323"/>
      <c r="T757" s="1323"/>
      <c r="U757" s="1323"/>
      <c r="V757" s="1323"/>
      <c r="W757" s="1323"/>
      <c r="X757" s="1323"/>
      <c r="Y757" s="1323"/>
      <c r="Z757" s="1323"/>
    </row>
    <row r="758" spans="1:26" ht="18.75" hidden="1">
      <c r="A758" s="1319"/>
      <c r="B758" s="1324"/>
      <c r="C758" s="1320"/>
      <c r="D758" s="1321"/>
      <c r="E758" s="1320" t="s">
        <v>185</v>
      </c>
      <c r="F758" s="1320"/>
      <c r="G758" s="1322"/>
      <c r="H758" s="165" t="s">
        <v>12</v>
      </c>
      <c r="I758" s="886"/>
      <c r="J758" s="886"/>
      <c r="K758" s="887"/>
      <c r="L758" s="887">
        <v>0</v>
      </c>
      <c r="M758" s="887">
        <v>0</v>
      </c>
      <c r="N758" s="887">
        <v>0</v>
      </c>
      <c r="O758" s="887">
        <f t="shared" si="302"/>
        <v>0</v>
      </c>
      <c r="P758" s="887">
        <f t="shared" si="303"/>
        <v>0</v>
      </c>
      <c r="Q758" s="1323"/>
      <c r="R758" s="1323"/>
      <c r="S758" s="1323"/>
      <c r="T758" s="1323"/>
      <c r="U758" s="1323"/>
      <c r="V758" s="1323"/>
      <c r="W758" s="1323"/>
      <c r="X758" s="1323"/>
      <c r="Y758" s="1323"/>
      <c r="Z758" s="1323"/>
    </row>
    <row r="759" spans="1:26" ht="18.75" hidden="1">
      <c r="A759" s="1319"/>
      <c r="B759" s="1324"/>
      <c r="C759" s="1320"/>
      <c r="D759" s="1321"/>
      <c r="E759" s="1320" t="s">
        <v>186</v>
      </c>
      <c r="F759" s="1320"/>
      <c r="G759" s="1322"/>
      <c r="H759" s="165" t="s">
        <v>12</v>
      </c>
      <c r="I759" s="886"/>
      <c r="J759" s="886"/>
      <c r="K759" s="887"/>
      <c r="L759" s="887">
        <v>0</v>
      </c>
      <c r="M759" s="887">
        <v>0</v>
      </c>
      <c r="N759" s="887">
        <f>N760+N761+N762+N763</f>
        <v>0</v>
      </c>
      <c r="O759" s="887">
        <f t="shared" si="302"/>
        <v>0</v>
      </c>
      <c r="P759" s="887">
        <f t="shared" si="303"/>
        <v>0</v>
      </c>
      <c r="Q759" s="1323"/>
      <c r="R759" s="1323"/>
      <c r="S759" s="1323"/>
      <c r="T759" s="1323"/>
      <c r="U759" s="1323"/>
      <c r="V759" s="1323"/>
      <c r="W759" s="1323"/>
      <c r="X759" s="1323"/>
      <c r="Y759" s="1323"/>
      <c r="Z759" s="1323"/>
    </row>
    <row r="760" spans="1:26" ht="18.75" hidden="1">
      <c r="A760" s="1354"/>
      <c r="B760" s="1324"/>
      <c r="C760" s="1320"/>
      <c r="D760" s="1320"/>
      <c r="E760" s="1320"/>
      <c r="F760" s="1320" t="s">
        <v>187</v>
      </c>
      <c r="G760" s="1322"/>
      <c r="H760" s="165" t="s">
        <v>12</v>
      </c>
      <c r="I760" s="886"/>
      <c r="J760" s="886"/>
      <c r="K760" s="887"/>
      <c r="L760" s="887"/>
      <c r="M760" s="887"/>
      <c r="N760" s="887"/>
      <c r="O760" s="887"/>
      <c r="P760" s="887"/>
      <c r="Q760" s="1323"/>
      <c r="R760" s="1323"/>
      <c r="S760" s="1323"/>
      <c r="T760" s="1323"/>
      <c r="U760" s="1323"/>
      <c r="V760" s="1323"/>
      <c r="W760" s="1323"/>
      <c r="X760" s="1323"/>
      <c r="Y760" s="1323"/>
      <c r="Z760" s="1323"/>
    </row>
    <row r="761" spans="1:26" ht="18.75" hidden="1">
      <c r="A761" s="1354"/>
      <c r="B761" s="1324"/>
      <c r="C761" s="1320"/>
      <c r="D761" s="1320"/>
      <c r="E761" s="1320"/>
      <c r="F761" s="1320" t="s">
        <v>188</v>
      </c>
      <c r="G761" s="1322"/>
      <c r="H761" s="165" t="s">
        <v>12</v>
      </c>
      <c r="I761" s="886"/>
      <c r="J761" s="886"/>
      <c r="K761" s="887"/>
      <c r="L761" s="887"/>
      <c r="M761" s="887"/>
      <c r="N761" s="887"/>
      <c r="O761" s="887"/>
      <c r="P761" s="887"/>
      <c r="Q761" s="1323"/>
      <c r="R761" s="1323"/>
      <c r="S761" s="1323"/>
      <c r="T761" s="1323"/>
      <c r="U761" s="1323"/>
      <c r="V761" s="1323"/>
      <c r="W761" s="1323"/>
      <c r="X761" s="1323"/>
      <c r="Y761" s="1323"/>
      <c r="Z761" s="1323"/>
    </row>
    <row r="762" spans="1:26" ht="18.75" hidden="1">
      <c r="A762" s="1354"/>
      <c r="B762" s="1324"/>
      <c r="C762" s="1320"/>
      <c r="D762" s="1320"/>
      <c r="E762" s="1320"/>
      <c r="F762" s="1320" t="s">
        <v>189</v>
      </c>
      <c r="G762" s="1322"/>
      <c r="H762" s="165" t="s">
        <v>12</v>
      </c>
      <c r="I762" s="886"/>
      <c r="J762" s="886"/>
      <c r="K762" s="887"/>
      <c r="L762" s="887"/>
      <c r="M762" s="887"/>
      <c r="N762" s="887"/>
      <c r="O762" s="887"/>
      <c r="P762" s="887"/>
      <c r="Q762" s="1323"/>
      <c r="R762" s="1323"/>
      <c r="S762" s="1323"/>
      <c r="T762" s="1323"/>
      <c r="U762" s="1323"/>
      <c r="V762" s="1323"/>
      <c r="W762" s="1323"/>
      <c r="X762" s="1323"/>
      <c r="Y762" s="1323"/>
      <c r="Z762" s="1323"/>
    </row>
    <row r="763" spans="1:26" ht="18.75" hidden="1">
      <c r="A763" s="1354"/>
      <c r="B763" s="1324"/>
      <c r="C763" s="1320"/>
      <c r="D763" s="1320"/>
      <c r="E763" s="1320"/>
      <c r="F763" s="1320" t="s">
        <v>190</v>
      </c>
      <c r="G763" s="1322"/>
      <c r="H763" s="165" t="s">
        <v>12</v>
      </c>
      <c r="I763" s="886"/>
      <c r="J763" s="886"/>
      <c r="K763" s="887"/>
      <c r="L763" s="887"/>
      <c r="M763" s="887"/>
      <c r="N763" s="887"/>
      <c r="O763" s="887"/>
      <c r="P763" s="887"/>
      <c r="Q763" s="1323"/>
      <c r="R763" s="1323"/>
      <c r="S763" s="1323"/>
      <c r="T763" s="1323"/>
      <c r="U763" s="1323"/>
      <c r="V763" s="1323"/>
      <c r="W763" s="1323"/>
      <c r="X763" s="1323"/>
      <c r="Y763" s="1323"/>
      <c r="Z763" s="1323"/>
    </row>
    <row r="764" spans="1:26" ht="19.5" hidden="1">
      <c r="A764" s="1319"/>
      <c r="B764" s="1324"/>
      <c r="C764" s="1320"/>
      <c r="D764" s="1453" t="s">
        <v>21</v>
      </c>
      <c r="E764" s="1320"/>
      <c r="F764" s="1320"/>
      <c r="G764" s="1322"/>
      <c r="H764" s="781" t="s">
        <v>12</v>
      </c>
      <c r="I764" s="1000"/>
      <c r="J764" s="1000"/>
      <c r="K764" s="1001"/>
      <c r="L764" s="1352">
        <f t="shared" ref="L764:N764" si="306">L765+L766</f>
        <v>0</v>
      </c>
      <c r="M764" s="1352">
        <f t="shared" si="306"/>
        <v>0</v>
      </c>
      <c r="N764" s="1352">
        <f t="shared" si="306"/>
        <v>0</v>
      </c>
      <c r="O764" s="1352">
        <f t="shared" ref="O764:O766" si="307">IF(L764&gt;0,N764*100/L764,0)</f>
        <v>0</v>
      </c>
      <c r="P764" s="1352">
        <f t="shared" ref="P764:P766" si="308">IF(M764&gt;0,N764*100/M764,0)</f>
        <v>0</v>
      </c>
      <c r="Q764" s="1323"/>
      <c r="R764" s="1323"/>
      <c r="S764" s="1323"/>
      <c r="T764" s="1323"/>
      <c r="U764" s="1323"/>
      <c r="V764" s="1323"/>
      <c r="W764" s="1323"/>
      <c r="X764" s="1323"/>
      <c r="Y764" s="1323"/>
      <c r="Z764" s="1323"/>
    </row>
    <row r="765" spans="1:26" ht="18.75" hidden="1">
      <c r="A765" s="1319"/>
      <c r="B765" s="1324"/>
      <c r="C765" s="1320"/>
      <c r="D765" s="1320"/>
      <c r="E765" s="1320" t="s">
        <v>18</v>
      </c>
      <c r="F765" s="1320"/>
      <c r="G765" s="1322"/>
      <c r="H765" s="165" t="s">
        <v>12</v>
      </c>
      <c r="I765" s="1000"/>
      <c r="J765" s="1000"/>
      <c r="K765" s="1001"/>
      <c r="L765" s="887">
        <v>0</v>
      </c>
      <c r="M765" s="887">
        <v>0</v>
      </c>
      <c r="N765" s="887">
        <v>0</v>
      </c>
      <c r="O765" s="887">
        <f t="shared" si="307"/>
        <v>0</v>
      </c>
      <c r="P765" s="887">
        <f t="shared" si="308"/>
        <v>0</v>
      </c>
      <c r="Q765" s="1323"/>
      <c r="R765" s="1323"/>
      <c r="S765" s="1323"/>
      <c r="T765" s="1323"/>
      <c r="U765" s="1323"/>
      <c r="V765" s="1323"/>
      <c r="W765" s="1323"/>
      <c r="X765" s="1323"/>
      <c r="Y765" s="1323"/>
      <c r="Z765" s="1323"/>
    </row>
    <row r="766" spans="1:26" ht="18.75" hidden="1">
      <c r="A766" s="1319"/>
      <c r="B766" s="1324"/>
      <c r="C766" s="1320"/>
      <c r="D766" s="1320"/>
      <c r="E766" s="1320" t="s">
        <v>19</v>
      </c>
      <c r="F766" s="1320"/>
      <c r="G766" s="1322"/>
      <c r="H766" s="169" t="s">
        <v>12</v>
      </c>
      <c r="I766" s="1000"/>
      <c r="J766" s="1000"/>
      <c r="K766" s="1001"/>
      <c r="L766" s="887">
        <v>0</v>
      </c>
      <c r="M766" s="887">
        <v>0</v>
      </c>
      <c r="N766" s="887">
        <v>0</v>
      </c>
      <c r="O766" s="887">
        <f t="shared" si="307"/>
        <v>0</v>
      </c>
      <c r="P766" s="887">
        <f t="shared" si="308"/>
        <v>0</v>
      </c>
      <c r="Q766" s="1323"/>
      <c r="R766" s="1323"/>
      <c r="S766" s="1323"/>
      <c r="T766" s="1323"/>
      <c r="U766" s="1323"/>
      <c r="V766" s="1323"/>
      <c r="W766" s="1323"/>
      <c r="X766" s="1323"/>
      <c r="Y766" s="1323"/>
      <c r="Z766" s="1323"/>
    </row>
    <row r="767" spans="1:26" ht="19.5" hidden="1">
      <c r="A767" s="1332"/>
      <c r="B767" s="1333"/>
      <c r="C767" s="1320" t="s">
        <v>16</v>
      </c>
      <c r="D767" s="1454" t="s">
        <v>38</v>
      </c>
      <c r="E767" s="1356"/>
      <c r="F767" s="1356"/>
      <c r="G767" s="1357"/>
      <c r="H767" s="1113"/>
      <c r="I767" s="1000"/>
      <c r="J767" s="1000"/>
      <c r="K767" s="1001"/>
      <c r="L767" s="1001"/>
      <c r="M767" s="1001"/>
      <c r="N767" s="1001"/>
      <c r="O767" s="1001"/>
      <c r="P767" s="1001"/>
      <c r="Q767" s="1323"/>
      <c r="R767" s="1323"/>
      <c r="S767" s="1323"/>
      <c r="T767" s="1323"/>
      <c r="U767" s="1323"/>
      <c r="V767" s="1323"/>
      <c r="W767" s="1323"/>
      <c r="X767" s="1323"/>
      <c r="Y767" s="1323"/>
      <c r="Z767" s="1323"/>
    </row>
    <row r="768" spans="1:26" ht="18.75" hidden="1">
      <c r="A768" s="1354"/>
      <c r="B768" s="1324"/>
      <c r="C768" s="1320"/>
      <c r="D768" s="1320"/>
      <c r="E768" s="1320" t="s">
        <v>317</v>
      </c>
      <c r="F768" s="1320"/>
      <c r="G768" s="1322"/>
      <c r="H768" s="165" t="s">
        <v>46</v>
      </c>
      <c r="I768" s="886"/>
      <c r="J768" s="886"/>
      <c r="K768" s="887"/>
      <c r="L768" s="887"/>
      <c r="M768" s="887"/>
      <c r="N768" s="887"/>
      <c r="O768" s="887"/>
      <c r="P768" s="887"/>
      <c r="Q768" s="1323"/>
      <c r="R768" s="1323"/>
      <c r="S768" s="1323"/>
      <c r="T768" s="1323"/>
      <c r="U768" s="1323"/>
      <c r="V768" s="1323"/>
      <c r="W768" s="1323"/>
      <c r="X768" s="1323"/>
      <c r="Y768" s="1323"/>
      <c r="Z768" s="1323"/>
    </row>
    <row r="769" spans="1:26" ht="19.5" hidden="1">
      <c r="A769" s="791">
        <v>11</v>
      </c>
      <c r="B769" s="1461" t="s">
        <v>318</v>
      </c>
      <c r="C769" s="1462"/>
      <c r="D769" s="1462"/>
      <c r="E769" s="1462"/>
      <c r="F769" s="1462"/>
      <c r="G769" s="1463"/>
      <c r="H769" s="795" t="s">
        <v>46</v>
      </c>
      <c r="I769" s="1464"/>
      <c r="J769" s="1464">
        <f>J784</f>
        <v>0</v>
      </c>
      <c r="K769" s="1465">
        <f>IF(I769&gt;0,J769*100/I769,0)</f>
        <v>0</v>
      </c>
      <c r="L769" s="1466"/>
      <c r="M769" s="1466"/>
      <c r="N769" s="1466"/>
      <c r="O769" s="1466"/>
      <c r="P769" s="1466"/>
      <c r="Q769" s="1323"/>
      <c r="R769" s="1323"/>
      <c r="S769" s="1323"/>
      <c r="T769" s="1323"/>
      <c r="U769" s="1323"/>
      <c r="V769" s="1323"/>
      <c r="W769" s="1323"/>
      <c r="X769" s="1323"/>
      <c r="Y769" s="1323"/>
      <c r="Z769" s="1323"/>
    </row>
    <row r="770" spans="1:26" ht="19.5" hidden="1">
      <c r="A770" s="1319"/>
      <c r="B770" s="1320"/>
      <c r="C770" s="1320" t="s">
        <v>16</v>
      </c>
      <c r="D770" s="1351" t="s">
        <v>17</v>
      </c>
      <c r="E770" s="841"/>
      <c r="F770" s="841"/>
      <c r="G770" s="1322"/>
      <c r="H770" s="644" t="s">
        <v>12</v>
      </c>
      <c r="I770" s="886"/>
      <c r="J770" s="886"/>
      <c r="K770" s="887"/>
      <c r="L770" s="1352">
        <f t="shared" ref="L770:N770" si="309">L771+L772</f>
        <v>0</v>
      </c>
      <c r="M770" s="1352">
        <f t="shared" si="309"/>
        <v>0</v>
      </c>
      <c r="N770" s="1352">
        <f t="shared" si="309"/>
        <v>0</v>
      </c>
      <c r="O770" s="1352">
        <f t="shared" ref="O770:O775" si="310">IF(L770&gt;0,N770*100/L770,0)</f>
        <v>0</v>
      </c>
      <c r="P770" s="1352">
        <f t="shared" ref="P770:P775" si="311">IF(M770&gt;0,N770*100/M770,0)</f>
        <v>0</v>
      </c>
      <c r="Q770" s="1323"/>
      <c r="R770" s="1323"/>
      <c r="S770" s="1323"/>
      <c r="T770" s="1323"/>
      <c r="U770" s="1323"/>
      <c r="V770" s="1323"/>
      <c r="W770" s="1323"/>
      <c r="X770" s="1323"/>
      <c r="Y770" s="1323"/>
      <c r="Z770" s="1323"/>
    </row>
    <row r="771" spans="1:26" ht="18.75" hidden="1">
      <c r="A771" s="1319"/>
      <c r="B771" s="1320"/>
      <c r="C771" s="1320"/>
      <c r="D771" s="1321"/>
      <c r="E771" s="1320" t="s">
        <v>185</v>
      </c>
      <c r="F771" s="1320"/>
      <c r="G771" s="1322"/>
      <c r="H771" s="165" t="s">
        <v>12</v>
      </c>
      <c r="I771" s="886"/>
      <c r="J771" s="886"/>
      <c r="K771" s="887"/>
      <c r="L771" s="887">
        <f t="shared" ref="L771:N772" si="312">L774+L781</f>
        <v>0</v>
      </c>
      <c r="M771" s="887">
        <f t="shared" si="312"/>
        <v>0</v>
      </c>
      <c r="N771" s="887">
        <f t="shared" si="312"/>
        <v>0</v>
      </c>
      <c r="O771" s="887">
        <f t="shared" si="310"/>
        <v>0</v>
      </c>
      <c r="P771" s="887">
        <f t="shared" si="311"/>
        <v>0</v>
      </c>
      <c r="Q771" s="1323"/>
      <c r="R771" s="1323"/>
      <c r="S771" s="1323"/>
      <c r="T771" s="1323"/>
      <c r="U771" s="1323"/>
      <c r="V771" s="1323"/>
      <c r="W771" s="1323"/>
      <c r="X771" s="1323"/>
      <c r="Y771" s="1323"/>
      <c r="Z771" s="1323"/>
    </row>
    <row r="772" spans="1:26" ht="18.75" hidden="1">
      <c r="A772" s="1319"/>
      <c r="B772" s="1324"/>
      <c r="C772" s="1320"/>
      <c r="D772" s="1321"/>
      <c r="E772" s="1320" t="s">
        <v>186</v>
      </c>
      <c r="F772" s="1320"/>
      <c r="G772" s="1322"/>
      <c r="H772" s="165" t="s">
        <v>12</v>
      </c>
      <c r="I772" s="886"/>
      <c r="J772" s="886"/>
      <c r="K772" s="887"/>
      <c r="L772" s="887">
        <f t="shared" si="312"/>
        <v>0</v>
      </c>
      <c r="M772" s="887">
        <f t="shared" si="312"/>
        <v>0</v>
      </c>
      <c r="N772" s="887">
        <f t="shared" si="312"/>
        <v>0</v>
      </c>
      <c r="O772" s="887">
        <f t="shared" si="310"/>
        <v>0</v>
      </c>
      <c r="P772" s="887">
        <f t="shared" si="311"/>
        <v>0</v>
      </c>
      <c r="Q772" s="1323"/>
      <c r="R772" s="1323"/>
      <c r="S772" s="1323"/>
      <c r="T772" s="1323"/>
      <c r="U772" s="1323"/>
      <c r="V772" s="1323"/>
      <c r="W772" s="1323"/>
      <c r="X772" s="1323"/>
      <c r="Y772" s="1323"/>
      <c r="Z772" s="1323"/>
    </row>
    <row r="773" spans="1:26" ht="19.5" hidden="1">
      <c r="A773" s="1319"/>
      <c r="B773" s="1324"/>
      <c r="C773" s="1320"/>
      <c r="D773" s="1453" t="s">
        <v>20</v>
      </c>
      <c r="E773" s="1320"/>
      <c r="F773" s="1320"/>
      <c r="G773" s="1322"/>
      <c r="H773" s="644" t="s">
        <v>12</v>
      </c>
      <c r="I773" s="1000"/>
      <c r="J773" s="1000"/>
      <c r="K773" s="1001"/>
      <c r="L773" s="1352">
        <f t="shared" ref="L773:N773" si="313">L774+L775</f>
        <v>0</v>
      </c>
      <c r="M773" s="1352">
        <f t="shared" si="313"/>
        <v>0</v>
      </c>
      <c r="N773" s="1352">
        <f t="shared" si="313"/>
        <v>0</v>
      </c>
      <c r="O773" s="1352">
        <f t="shared" si="310"/>
        <v>0</v>
      </c>
      <c r="P773" s="1352">
        <f t="shared" si="311"/>
        <v>0</v>
      </c>
      <c r="Q773" s="1323"/>
      <c r="R773" s="1323"/>
      <c r="S773" s="1323"/>
      <c r="T773" s="1323"/>
      <c r="U773" s="1323"/>
      <c r="V773" s="1323"/>
      <c r="W773" s="1323"/>
      <c r="X773" s="1323"/>
      <c r="Y773" s="1323"/>
      <c r="Z773" s="1323"/>
    </row>
    <row r="774" spans="1:26" ht="18.75" hidden="1">
      <c r="A774" s="1319"/>
      <c r="B774" s="1324"/>
      <c r="C774" s="1320"/>
      <c r="D774" s="1321"/>
      <c r="E774" s="1320" t="s">
        <v>185</v>
      </c>
      <c r="F774" s="1320"/>
      <c r="G774" s="1322"/>
      <c r="H774" s="165" t="s">
        <v>12</v>
      </c>
      <c r="I774" s="886"/>
      <c r="J774" s="886"/>
      <c r="K774" s="887"/>
      <c r="L774" s="887">
        <v>0</v>
      </c>
      <c r="M774" s="887">
        <v>0</v>
      </c>
      <c r="N774" s="887">
        <v>0</v>
      </c>
      <c r="O774" s="887">
        <f t="shared" si="310"/>
        <v>0</v>
      </c>
      <c r="P774" s="887">
        <f t="shared" si="311"/>
        <v>0</v>
      </c>
      <c r="Q774" s="1323"/>
      <c r="R774" s="1323"/>
      <c r="S774" s="1323"/>
      <c r="T774" s="1323"/>
      <c r="U774" s="1323"/>
      <c r="V774" s="1323"/>
      <c r="W774" s="1323"/>
      <c r="X774" s="1323"/>
      <c r="Y774" s="1323"/>
      <c r="Z774" s="1323"/>
    </row>
    <row r="775" spans="1:26" ht="18.75" hidden="1">
      <c r="A775" s="1319"/>
      <c r="B775" s="1324"/>
      <c r="C775" s="1320"/>
      <c r="D775" s="1321"/>
      <c r="E775" s="1320" t="s">
        <v>186</v>
      </c>
      <c r="F775" s="1320"/>
      <c r="G775" s="1322"/>
      <c r="H775" s="165" t="s">
        <v>12</v>
      </c>
      <c r="I775" s="886"/>
      <c r="J775" s="886"/>
      <c r="K775" s="887"/>
      <c r="L775" s="887">
        <v>0</v>
      </c>
      <c r="M775" s="887">
        <v>0</v>
      </c>
      <c r="N775" s="887">
        <f>N776+N777+N778+N779</f>
        <v>0</v>
      </c>
      <c r="O775" s="887">
        <f t="shared" si="310"/>
        <v>0</v>
      </c>
      <c r="P775" s="887">
        <f t="shared" si="311"/>
        <v>0</v>
      </c>
      <c r="Q775" s="1323"/>
      <c r="R775" s="1323"/>
      <c r="S775" s="1323"/>
      <c r="T775" s="1323"/>
      <c r="U775" s="1323"/>
      <c r="V775" s="1323"/>
      <c r="W775" s="1323"/>
      <c r="X775" s="1323"/>
      <c r="Y775" s="1323"/>
      <c r="Z775" s="1323"/>
    </row>
    <row r="776" spans="1:26" ht="18.75" hidden="1">
      <c r="A776" s="1354"/>
      <c r="B776" s="1324"/>
      <c r="C776" s="1320"/>
      <c r="D776" s="1320"/>
      <c r="E776" s="1320"/>
      <c r="F776" s="1320" t="s">
        <v>187</v>
      </c>
      <c r="G776" s="1322"/>
      <c r="H776" s="165" t="s">
        <v>12</v>
      </c>
      <c r="I776" s="886"/>
      <c r="J776" s="886"/>
      <c r="K776" s="887"/>
      <c r="L776" s="887"/>
      <c r="M776" s="887"/>
      <c r="N776" s="887"/>
      <c r="O776" s="887"/>
      <c r="P776" s="887"/>
      <c r="Q776" s="1323"/>
      <c r="R776" s="1323"/>
      <c r="S776" s="1323"/>
      <c r="T776" s="1323"/>
      <c r="U776" s="1323"/>
      <c r="V776" s="1323"/>
      <c r="W776" s="1323"/>
      <c r="X776" s="1323"/>
      <c r="Y776" s="1323"/>
      <c r="Z776" s="1323"/>
    </row>
    <row r="777" spans="1:26" ht="18.75" hidden="1">
      <c r="A777" s="1354"/>
      <c r="B777" s="1324"/>
      <c r="C777" s="1320"/>
      <c r="D777" s="1320"/>
      <c r="E777" s="1320"/>
      <c r="F777" s="1320" t="s">
        <v>188</v>
      </c>
      <c r="G777" s="1322"/>
      <c r="H777" s="165" t="s">
        <v>12</v>
      </c>
      <c r="I777" s="886"/>
      <c r="J777" s="886"/>
      <c r="K777" s="887"/>
      <c r="L777" s="887"/>
      <c r="M777" s="887"/>
      <c r="N777" s="887"/>
      <c r="O777" s="887"/>
      <c r="P777" s="887"/>
      <c r="Q777" s="1323"/>
      <c r="R777" s="1323"/>
      <c r="S777" s="1323"/>
      <c r="T777" s="1323"/>
      <c r="U777" s="1323"/>
      <c r="V777" s="1323"/>
      <c r="W777" s="1323"/>
      <c r="X777" s="1323"/>
      <c r="Y777" s="1323"/>
      <c r="Z777" s="1323"/>
    </row>
    <row r="778" spans="1:26" ht="18.75" hidden="1">
      <c r="A778" s="1354"/>
      <c r="B778" s="1324"/>
      <c r="C778" s="1320"/>
      <c r="D778" s="1320"/>
      <c r="E778" s="1320"/>
      <c r="F778" s="1320" t="s">
        <v>189</v>
      </c>
      <c r="G778" s="1322"/>
      <c r="H778" s="165" t="s">
        <v>12</v>
      </c>
      <c r="I778" s="886"/>
      <c r="J778" s="886"/>
      <c r="K778" s="887"/>
      <c r="L778" s="887"/>
      <c r="M778" s="887"/>
      <c r="N778" s="887"/>
      <c r="O778" s="887"/>
      <c r="P778" s="887"/>
      <c r="Q778" s="1323"/>
      <c r="R778" s="1323"/>
      <c r="S778" s="1323"/>
      <c r="T778" s="1323"/>
      <c r="U778" s="1323"/>
      <c r="V778" s="1323"/>
      <c r="W778" s="1323"/>
      <c r="X778" s="1323"/>
      <c r="Y778" s="1323"/>
      <c r="Z778" s="1323"/>
    </row>
    <row r="779" spans="1:26" ht="18.75" hidden="1">
      <c r="A779" s="1354"/>
      <c r="B779" s="1324"/>
      <c r="C779" s="1320"/>
      <c r="D779" s="1320"/>
      <c r="E779" s="1320"/>
      <c r="F779" s="1320" t="s">
        <v>190</v>
      </c>
      <c r="G779" s="1322"/>
      <c r="H779" s="165" t="s">
        <v>12</v>
      </c>
      <c r="I779" s="886"/>
      <c r="J779" s="886"/>
      <c r="K779" s="887"/>
      <c r="L779" s="887"/>
      <c r="M779" s="887"/>
      <c r="N779" s="887"/>
      <c r="O779" s="887"/>
      <c r="P779" s="887"/>
      <c r="Q779" s="1323"/>
      <c r="R779" s="1323"/>
      <c r="S779" s="1323"/>
      <c r="T779" s="1323"/>
      <c r="U779" s="1323"/>
      <c r="V779" s="1323"/>
      <c r="W779" s="1323"/>
      <c r="X779" s="1323"/>
      <c r="Y779" s="1323"/>
      <c r="Z779" s="1323"/>
    </row>
    <row r="780" spans="1:26" ht="19.5" hidden="1">
      <c r="A780" s="1319"/>
      <c r="B780" s="1324"/>
      <c r="C780" s="1320"/>
      <c r="D780" s="1453" t="s">
        <v>21</v>
      </c>
      <c r="E780" s="1320"/>
      <c r="F780" s="1320"/>
      <c r="G780" s="1322"/>
      <c r="H780" s="781" t="s">
        <v>12</v>
      </c>
      <c r="I780" s="1000"/>
      <c r="J780" s="1000"/>
      <c r="K780" s="1001"/>
      <c r="L780" s="1352">
        <f t="shared" ref="L780:N780" si="314">L781+L782</f>
        <v>0</v>
      </c>
      <c r="M780" s="1352">
        <f t="shared" si="314"/>
        <v>0</v>
      </c>
      <c r="N780" s="1352">
        <f t="shared" si="314"/>
        <v>0</v>
      </c>
      <c r="O780" s="1352">
        <f t="shared" ref="O780:O782" si="315">IF(L780&gt;0,N780*100/L780,0)</f>
        <v>0</v>
      </c>
      <c r="P780" s="1352">
        <f t="shared" ref="P780:P782" si="316">IF(M780&gt;0,N780*100/M780,0)</f>
        <v>0</v>
      </c>
      <c r="Q780" s="1323"/>
      <c r="R780" s="1323"/>
      <c r="S780" s="1323"/>
      <c r="T780" s="1323"/>
      <c r="U780" s="1323"/>
      <c r="V780" s="1323"/>
      <c r="W780" s="1323"/>
      <c r="X780" s="1323"/>
      <c r="Y780" s="1323"/>
      <c r="Z780" s="1323"/>
    </row>
    <row r="781" spans="1:26" ht="18.75" hidden="1">
      <c r="A781" s="1319"/>
      <c r="B781" s="1324"/>
      <c r="C781" s="1320"/>
      <c r="D781" s="1320"/>
      <c r="E781" s="1320" t="s">
        <v>18</v>
      </c>
      <c r="F781" s="1320"/>
      <c r="G781" s="1322"/>
      <c r="H781" s="165" t="s">
        <v>12</v>
      </c>
      <c r="I781" s="1000"/>
      <c r="J781" s="1000"/>
      <c r="K781" s="1001"/>
      <c r="L781" s="887">
        <v>0</v>
      </c>
      <c r="M781" s="887">
        <v>0</v>
      </c>
      <c r="N781" s="887">
        <v>0</v>
      </c>
      <c r="O781" s="887">
        <f t="shared" si="315"/>
        <v>0</v>
      </c>
      <c r="P781" s="887">
        <f t="shared" si="316"/>
        <v>0</v>
      </c>
      <c r="Q781" s="1323"/>
      <c r="R781" s="1323"/>
      <c r="S781" s="1323"/>
      <c r="T781" s="1323"/>
      <c r="U781" s="1323"/>
      <c r="V781" s="1323"/>
      <c r="W781" s="1323"/>
      <c r="X781" s="1323"/>
      <c r="Y781" s="1323"/>
      <c r="Z781" s="1323"/>
    </row>
    <row r="782" spans="1:26" ht="18.75" hidden="1">
      <c r="A782" s="1319"/>
      <c r="B782" s="1324"/>
      <c r="C782" s="1320"/>
      <c r="D782" s="1320"/>
      <c r="E782" s="1320" t="s">
        <v>19</v>
      </c>
      <c r="F782" s="1320"/>
      <c r="G782" s="1322"/>
      <c r="H782" s="169" t="s">
        <v>12</v>
      </c>
      <c r="I782" s="1000"/>
      <c r="J782" s="1000"/>
      <c r="K782" s="1001"/>
      <c r="L782" s="887">
        <v>0</v>
      </c>
      <c r="M782" s="887">
        <v>0</v>
      </c>
      <c r="N782" s="887">
        <v>0</v>
      </c>
      <c r="O782" s="887">
        <f t="shared" si="315"/>
        <v>0</v>
      </c>
      <c r="P782" s="887">
        <f t="shared" si="316"/>
        <v>0</v>
      </c>
      <c r="Q782" s="1323"/>
      <c r="R782" s="1323"/>
      <c r="S782" s="1323"/>
      <c r="T782" s="1323"/>
      <c r="U782" s="1323"/>
      <c r="V782" s="1323"/>
      <c r="W782" s="1323"/>
      <c r="X782" s="1323"/>
      <c r="Y782" s="1323"/>
      <c r="Z782" s="1323"/>
    </row>
    <row r="783" spans="1:26" ht="19.5" hidden="1">
      <c r="A783" s="1332"/>
      <c r="B783" s="1333"/>
      <c r="C783" s="1320" t="s">
        <v>16</v>
      </c>
      <c r="D783" s="1454" t="s">
        <v>38</v>
      </c>
      <c r="E783" s="1356"/>
      <c r="F783" s="1356"/>
      <c r="G783" s="1357"/>
      <c r="H783" s="1467"/>
      <c r="I783" s="1000"/>
      <c r="J783" s="1000"/>
      <c r="K783" s="1001"/>
      <c r="L783" s="1001"/>
      <c r="M783" s="1001"/>
      <c r="N783" s="1001"/>
      <c r="O783" s="1001"/>
      <c r="P783" s="1001"/>
      <c r="Q783" s="1323"/>
      <c r="R783" s="1323"/>
      <c r="S783" s="1323"/>
      <c r="T783" s="1323"/>
      <c r="U783" s="1323"/>
      <c r="V783" s="1323"/>
      <c r="W783" s="1323"/>
      <c r="X783" s="1323"/>
      <c r="Y783" s="1323"/>
      <c r="Z783" s="1323"/>
    </row>
    <row r="784" spans="1:26" ht="18.75" hidden="1">
      <c r="A784" s="1354"/>
      <c r="B784" s="1324"/>
      <c r="C784" s="1320"/>
      <c r="D784" s="1320"/>
      <c r="E784" s="1320" t="s">
        <v>319</v>
      </c>
      <c r="F784" s="1320"/>
      <c r="G784" s="1322"/>
      <c r="H784" s="165" t="s">
        <v>46</v>
      </c>
      <c r="I784" s="886"/>
      <c r="J784" s="886"/>
      <c r="K784" s="887"/>
      <c r="L784" s="887"/>
      <c r="M784" s="887"/>
      <c r="N784" s="887"/>
      <c r="O784" s="887"/>
      <c r="P784" s="887"/>
      <c r="Q784" s="1323"/>
      <c r="R784" s="1323"/>
      <c r="S784" s="1323"/>
      <c r="T784" s="1323"/>
      <c r="U784" s="1323"/>
      <c r="V784" s="1323"/>
      <c r="W784" s="1323"/>
      <c r="X784" s="1323"/>
      <c r="Y784" s="1323"/>
      <c r="Z784" s="1323"/>
    </row>
    <row r="785" spans="1:26" ht="19.5" hidden="1">
      <c r="A785" s="800">
        <v>12</v>
      </c>
      <c r="B785" s="1468" t="s">
        <v>320</v>
      </c>
      <c r="C785" s="1469"/>
      <c r="D785" s="1469"/>
      <c r="E785" s="1469"/>
      <c r="F785" s="1469"/>
      <c r="G785" s="1470"/>
      <c r="H785" s="804" t="s">
        <v>46</v>
      </c>
      <c r="I785" s="1471">
        <f t="shared" ref="I785:J785" ca="1" si="317">I800</f>
        <v>0</v>
      </c>
      <c r="J785" s="1472">
        <f t="shared" ca="1" si="317"/>
        <v>0</v>
      </c>
      <c r="K785" s="1473">
        <f ca="1">IF(I785&gt;0,J785*100/I785,0)</f>
        <v>0</v>
      </c>
      <c r="L785" s="1474"/>
      <c r="M785" s="1474"/>
      <c r="N785" s="1474"/>
      <c r="O785" s="1474"/>
      <c r="P785" s="1474"/>
      <c r="Q785" s="1302"/>
      <c r="R785" s="1302"/>
      <c r="S785" s="1302"/>
      <c r="T785" s="1302"/>
      <c r="U785" s="1302"/>
      <c r="V785" s="1302"/>
      <c r="W785" s="1302"/>
      <c r="X785" s="1302"/>
      <c r="Y785" s="1302"/>
      <c r="Z785" s="1302"/>
    </row>
    <row r="786" spans="1:26" ht="19.5" hidden="1">
      <c r="A786" s="1317"/>
      <c r="B786" s="1300"/>
      <c r="C786" s="1301" t="s">
        <v>16</v>
      </c>
      <c r="D786" s="1318" t="s">
        <v>17</v>
      </c>
      <c r="E786" s="841"/>
      <c r="F786" s="841"/>
      <c r="G786" s="1016"/>
      <c r="H786" s="597" t="s">
        <v>12</v>
      </c>
      <c r="I786" s="880"/>
      <c r="J786" s="880"/>
      <c r="K786" s="881"/>
      <c r="L786" s="1020">
        <f t="shared" ref="L786:N786" ca="1" si="318">L787+L788</f>
        <v>0</v>
      </c>
      <c r="M786" s="1020">
        <f t="shared" si="318"/>
        <v>0</v>
      </c>
      <c r="N786" s="1020">
        <f t="shared" si="318"/>
        <v>0</v>
      </c>
      <c r="O786" s="1020">
        <f t="shared" ref="O786:O791" ca="1" si="319">IF(L786&gt;0,N786*100/L786,0)</f>
        <v>0</v>
      </c>
      <c r="P786" s="1020">
        <f t="shared" ref="P786:P791" si="320">IF(M786&gt;0,N786*100/M786,0)</f>
        <v>0</v>
      </c>
      <c r="Q786" s="1302"/>
      <c r="R786" s="1302"/>
      <c r="S786" s="1302"/>
      <c r="T786" s="1302"/>
      <c r="U786" s="1302"/>
      <c r="V786" s="1302"/>
      <c r="W786" s="1302"/>
      <c r="X786" s="1302"/>
      <c r="Y786" s="1302"/>
      <c r="Z786" s="1302"/>
    </row>
    <row r="787" spans="1:26" ht="18.75" hidden="1">
      <c r="A787" s="1319"/>
      <c r="B787" s="1324"/>
      <c r="C787" s="1320"/>
      <c r="D787" s="1321"/>
      <c r="E787" s="1320" t="s">
        <v>185</v>
      </c>
      <c r="F787" s="1320"/>
      <c r="G787" s="1322"/>
      <c r="H787" s="165" t="s">
        <v>12</v>
      </c>
      <c r="I787" s="886"/>
      <c r="J787" s="886"/>
      <c r="K787" s="887"/>
      <c r="L787" s="887">
        <f t="shared" ref="L787:N788" si="321">L790+L797</f>
        <v>0</v>
      </c>
      <c r="M787" s="887">
        <f t="shared" si="321"/>
        <v>0</v>
      </c>
      <c r="N787" s="887">
        <f t="shared" si="321"/>
        <v>0</v>
      </c>
      <c r="O787" s="887">
        <f t="shared" si="319"/>
        <v>0</v>
      </c>
      <c r="P787" s="887">
        <f t="shared" si="320"/>
        <v>0</v>
      </c>
      <c r="Q787" s="1323"/>
      <c r="R787" s="1323"/>
      <c r="S787" s="1323"/>
      <c r="T787" s="1323"/>
      <c r="U787" s="1323"/>
      <c r="V787" s="1323"/>
      <c r="W787" s="1323"/>
      <c r="X787" s="1323"/>
      <c r="Y787" s="1323"/>
      <c r="Z787" s="1323"/>
    </row>
    <row r="788" spans="1:26" ht="18.75" hidden="1">
      <c r="A788" s="1319"/>
      <c r="B788" s="1324"/>
      <c r="C788" s="1324"/>
      <c r="D788" s="1333"/>
      <c r="E788" s="1320" t="s">
        <v>186</v>
      </c>
      <c r="F788" s="1320"/>
      <c r="G788" s="1322"/>
      <c r="H788" s="165" t="s">
        <v>12</v>
      </c>
      <c r="I788" s="886"/>
      <c r="J788" s="886"/>
      <c r="K788" s="887"/>
      <c r="L788" s="887">
        <f t="shared" ca="1" si="321"/>
        <v>0</v>
      </c>
      <c r="M788" s="887">
        <f t="shared" si="321"/>
        <v>0</v>
      </c>
      <c r="N788" s="887">
        <f t="shared" si="321"/>
        <v>0</v>
      </c>
      <c r="O788" s="887">
        <f t="shared" ca="1" si="319"/>
        <v>0</v>
      </c>
      <c r="P788" s="887">
        <f t="shared" si="320"/>
        <v>0</v>
      </c>
      <c r="Q788" s="1323"/>
      <c r="R788" s="1323"/>
      <c r="S788" s="1323"/>
      <c r="T788" s="1323"/>
      <c r="U788" s="1323"/>
      <c r="V788" s="1323"/>
      <c r="W788" s="1323"/>
      <c r="X788" s="1323"/>
      <c r="Y788" s="1323"/>
      <c r="Z788" s="1323"/>
    </row>
    <row r="789" spans="1:26" ht="18.75" hidden="1">
      <c r="A789" s="1317"/>
      <c r="B789" s="1300"/>
      <c r="C789" s="1300"/>
      <c r="D789" s="1325" t="s">
        <v>20</v>
      </c>
      <c r="E789" s="1301"/>
      <c r="F789" s="1301"/>
      <c r="G789" s="1016"/>
      <c r="H789" s="161" t="s">
        <v>12</v>
      </c>
      <c r="I789" s="997"/>
      <c r="J789" s="997"/>
      <c r="K789" s="998"/>
      <c r="L789" s="881">
        <f t="shared" ref="L789:N789" ca="1" si="322">L790+L791</f>
        <v>0</v>
      </c>
      <c r="M789" s="881">
        <f t="shared" si="322"/>
        <v>0</v>
      </c>
      <c r="N789" s="881">
        <f t="shared" si="322"/>
        <v>0</v>
      </c>
      <c r="O789" s="881">
        <f t="shared" ca="1" si="319"/>
        <v>0</v>
      </c>
      <c r="P789" s="881">
        <f t="shared" si="320"/>
        <v>0</v>
      </c>
      <c r="Q789" s="1302"/>
      <c r="R789" s="1302"/>
      <c r="S789" s="1302"/>
      <c r="T789" s="1302"/>
      <c r="U789" s="1302"/>
      <c r="V789" s="1302"/>
      <c r="W789" s="1302"/>
      <c r="X789" s="1302"/>
      <c r="Y789" s="1302"/>
      <c r="Z789" s="1302"/>
    </row>
    <row r="790" spans="1:26" ht="18.75" hidden="1">
      <c r="A790" s="1319"/>
      <c r="B790" s="1324"/>
      <c r="C790" s="1324"/>
      <c r="D790" s="1333"/>
      <c r="E790" s="1320" t="s">
        <v>185</v>
      </c>
      <c r="F790" s="1320"/>
      <c r="G790" s="1322"/>
      <c r="H790" s="165" t="s">
        <v>12</v>
      </c>
      <c r="I790" s="886"/>
      <c r="J790" s="886"/>
      <c r="K790" s="887"/>
      <c r="L790" s="887">
        <v>0</v>
      </c>
      <c r="M790" s="887">
        <v>0</v>
      </c>
      <c r="N790" s="887">
        <v>0</v>
      </c>
      <c r="O790" s="887">
        <f t="shared" si="319"/>
        <v>0</v>
      </c>
      <c r="P790" s="887">
        <f t="shared" si="320"/>
        <v>0</v>
      </c>
      <c r="Q790" s="1323"/>
      <c r="R790" s="1323"/>
      <c r="S790" s="1323"/>
      <c r="T790" s="1323"/>
      <c r="U790" s="1323"/>
      <c r="V790" s="1323"/>
      <c r="W790" s="1323"/>
      <c r="X790" s="1323"/>
      <c r="Y790" s="1323"/>
      <c r="Z790" s="1323"/>
    </row>
    <row r="791" spans="1:26" ht="18.75" hidden="1">
      <c r="A791" s="1319"/>
      <c r="B791" s="1324"/>
      <c r="C791" s="1324"/>
      <c r="D791" s="1333"/>
      <c r="E791" s="1320" t="s">
        <v>186</v>
      </c>
      <c r="F791" s="1320"/>
      <c r="G791" s="1322"/>
      <c r="H791" s="165" t="s">
        <v>12</v>
      </c>
      <c r="I791" s="886"/>
      <c r="J791" s="886"/>
      <c r="K791" s="887"/>
      <c r="L791" s="887">
        <f ca="1">IFERROR(__xludf.DUMMYFUNCTION("IMPORTRANGE(""https://docs.google.com/spreadsheets/d/1QqKyyYR6Q21VydFLVH3TRQUabQu_ym0Zz7PgGX0-kHA/edit?usp=sharing"",""แผน!JJ83"")"),0)</f>
        <v>0</v>
      </c>
      <c r="M791" s="887">
        <v>0</v>
      </c>
      <c r="N791" s="887">
        <f>N792+N793+N794+N795</f>
        <v>0</v>
      </c>
      <c r="O791" s="887">
        <f t="shared" ca="1" si="319"/>
        <v>0</v>
      </c>
      <c r="P791" s="887">
        <f t="shared" si="320"/>
        <v>0</v>
      </c>
      <c r="Q791" s="1323"/>
      <c r="R791" s="1323"/>
      <c r="S791" s="1323"/>
      <c r="T791" s="1323"/>
      <c r="U791" s="1323"/>
      <c r="V791" s="1323"/>
      <c r="W791" s="1323"/>
      <c r="X791" s="1323"/>
      <c r="Y791" s="1323"/>
      <c r="Z791" s="1323"/>
    </row>
    <row r="792" spans="1:26" ht="18.75" hidden="1">
      <c r="A792" s="1299"/>
      <c r="B792" s="1300"/>
      <c r="C792" s="1301"/>
      <c r="D792" s="1301"/>
      <c r="E792" s="1301"/>
      <c r="F792" s="1301" t="s">
        <v>187</v>
      </c>
      <c r="G792" s="1016"/>
      <c r="H792" s="161" t="s">
        <v>12</v>
      </c>
      <c r="I792" s="880"/>
      <c r="J792" s="880"/>
      <c r="K792" s="881"/>
      <c r="L792" s="881"/>
      <c r="M792" s="881"/>
      <c r="N792" s="1085">
        <v>0</v>
      </c>
      <c r="O792" s="881"/>
      <c r="P792" s="881"/>
      <c r="Q792" s="1302"/>
      <c r="R792" s="1302"/>
      <c r="S792" s="1302"/>
      <c r="T792" s="1302"/>
      <c r="U792" s="1302"/>
      <c r="V792" s="1302"/>
      <c r="W792" s="1302"/>
      <c r="X792" s="1302"/>
      <c r="Y792" s="1302"/>
      <c r="Z792" s="1302"/>
    </row>
    <row r="793" spans="1:26" ht="18.75" hidden="1">
      <c r="A793" s="1299"/>
      <c r="B793" s="1300"/>
      <c r="C793" s="1301"/>
      <c r="D793" s="1301"/>
      <c r="E793" s="1301"/>
      <c r="F793" s="1301" t="s">
        <v>188</v>
      </c>
      <c r="G793" s="1016"/>
      <c r="H793" s="161" t="s">
        <v>12</v>
      </c>
      <c r="I793" s="880"/>
      <c r="J793" s="880"/>
      <c r="K793" s="881"/>
      <c r="L793" s="881"/>
      <c r="M793" s="881"/>
      <c r="N793" s="1085">
        <v>0</v>
      </c>
      <c r="O793" s="881"/>
      <c r="P793" s="881"/>
      <c r="Q793" s="1302"/>
      <c r="R793" s="1302"/>
      <c r="S793" s="1302"/>
      <c r="T793" s="1302"/>
      <c r="U793" s="1302"/>
      <c r="V793" s="1302"/>
      <c r="W793" s="1302"/>
      <c r="X793" s="1302"/>
      <c r="Y793" s="1302"/>
      <c r="Z793" s="1302"/>
    </row>
    <row r="794" spans="1:26" ht="18.75" hidden="1">
      <c r="A794" s="1299"/>
      <c r="B794" s="1300"/>
      <c r="C794" s="1301"/>
      <c r="D794" s="1301"/>
      <c r="E794" s="1301"/>
      <c r="F794" s="1301" t="s">
        <v>189</v>
      </c>
      <c r="G794" s="1016"/>
      <c r="H794" s="161" t="s">
        <v>12</v>
      </c>
      <c r="I794" s="880"/>
      <c r="J794" s="880"/>
      <c r="K794" s="881"/>
      <c r="L794" s="881"/>
      <c r="M794" s="881"/>
      <c r="N794" s="1085">
        <v>0</v>
      </c>
      <c r="O794" s="881"/>
      <c r="P794" s="881"/>
      <c r="Q794" s="1302"/>
      <c r="R794" s="1302"/>
      <c r="S794" s="1302"/>
      <c r="T794" s="1302"/>
      <c r="U794" s="1302"/>
      <c r="V794" s="1302"/>
      <c r="W794" s="1302"/>
      <c r="X794" s="1302"/>
      <c r="Y794" s="1302"/>
      <c r="Z794" s="1302"/>
    </row>
    <row r="795" spans="1:26" ht="18.75" hidden="1">
      <c r="A795" s="1299"/>
      <c r="B795" s="1300"/>
      <c r="C795" s="1301"/>
      <c r="D795" s="1301"/>
      <c r="E795" s="1301"/>
      <c r="F795" s="1301" t="s">
        <v>190</v>
      </c>
      <c r="G795" s="1016"/>
      <c r="H795" s="161" t="s">
        <v>12</v>
      </c>
      <c r="I795" s="880"/>
      <c r="J795" s="880"/>
      <c r="K795" s="881"/>
      <c r="L795" s="881"/>
      <c r="M795" s="881"/>
      <c r="N795" s="1085">
        <v>0</v>
      </c>
      <c r="O795" s="881"/>
      <c r="P795" s="881"/>
      <c r="Q795" s="1302"/>
      <c r="R795" s="1302"/>
      <c r="S795" s="1302"/>
      <c r="T795" s="1302"/>
      <c r="U795" s="1302"/>
      <c r="V795" s="1302"/>
      <c r="W795" s="1302"/>
      <c r="X795" s="1302"/>
      <c r="Y795" s="1302"/>
      <c r="Z795" s="1302"/>
    </row>
    <row r="796" spans="1:26" ht="18.75" hidden="1">
      <c r="A796" s="1317"/>
      <c r="B796" s="1300"/>
      <c r="C796" s="1301"/>
      <c r="D796" s="1325" t="s">
        <v>21</v>
      </c>
      <c r="E796" s="1301"/>
      <c r="F796" s="1301"/>
      <c r="G796" s="1016"/>
      <c r="H796" s="168" t="s">
        <v>12</v>
      </c>
      <c r="I796" s="997"/>
      <c r="J796" s="997"/>
      <c r="K796" s="998"/>
      <c r="L796" s="881">
        <f t="shared" ref="L796:N796" si="323">L797+L798</f>
        <v>0</v>
      </c>
      <c r="M796" s="881">
        <f t="shared" si="323"/>
        <v>0</v>
      </c>
      <c r="N796" s="881">
        <f t="shared" si="323"/>
        <v>0</v>
      </c>
      <c r="O796" s="881">
        <f t="shared" ref="O796:O798" si="324">IF(L796&gt;0,N796*100/L796,0)</f>
        <v>0</v>
      </c>
      <c r="P796" s="881">
        <f t="shared" ref="P796:P798" si="325">IF(M796&gt;0,N796*100/M796,0)</f>
        <v>0</v>
      </c>
      <c r="Q796" s="1302"/>
      <c r="R796" s="1302"/>
      <c r="S796" s="1302"/>
      <c r="T796" s="1302"/>
      <c r="U796" s="1302"/>
      <c r="V796" s="1302"/>
      <c r="W796" s="1302"/>
      <c r="X796" s="1302"/>
      <c r="Y796" s="1302"/>
      <c r="Z796" s="1302"/>
    </row>
    <row r="797" spans="1:26" ht="18.75" hidden="1">
      <c r="A797" s="1319"/>
      <c r="B797" s="1324"/>
      <c r="C797" s="1320"/>
      <c r="D797" s="1320"/>
      <c r="E797" s="1320" t="s">
        <v>18</v>
      </c>
      <c r="F797" s="1320"/>
      <c r="G797" s="1322"/>
      <c r="H797" s="165" t="s">
        <v>12</v>
      </c>
      <c r="I797" s="1000"/>
      <c r="J797" s="1000"/>
      <c r="K797" s="1001"/>
      <c r="L797" s="887">
        <v>0</v>
      </c>
      <c r="M797" s="887">
        <v>0</v>
      </c>
      <c r="N797" s="887">
        <v>0</v>
      </c>
      <c r="O797" s="887">
        <f t="shared" si="324"/>
        <v>0</v>
      </c>
      <c r="P797" s="887">
        <f t="shared" si="325"/>
        <v>0</v>
      </c>
      <c r="Q797" s="1323"/>
      <c r="R797" s="1323"/>
      <c r="S797" s="1323"/>
      <c r="T797" s="1323"/>
      <c r="U797" s="1323"/>
      <c r="V797" s="1323"/>
      <c r="W797" s="1323"/>
      <c r="X797" s="1323"/>
      <c r="Y797" s="1323"/>
      <c r="Z797" s="1323"/>
    </row>
    <row r="798" spans="1:26" ht="18.75" hidden="1">
      <c r="A798" s="1319"/>
      <c r="B798" s="1324"/>
      <c r="C798" s="1320"/>
      <c r="D798" s="1320"/>
      <c r="E798" s="1320" t="s">
        <v>19</v>
      </c>
      <c r="F798" s="1320"/>
      <c r="G798" s="1322"/>
      <c r="H798" s="169" t="s">
        <v>12</v>
      </c>
      <c r="I798" s="1000"/>
      <c r="J798" s="1000"/>
      <c r="K798" s="1001"/>
      <c r="L798" s="887">
        <v>0</v>
      </c>
      <c r="M798" s="887">
        <v>0</v>
      </c>
      <c r="N798" s="887">
        <v>0</v>
      </c>
      <c r="O798" s="887">
        <f t="shared" si="324"/>
        <v>0</v>
      </c>
      <c r="P798" s="887">
        <f t="shared" si="325"/>
        <v>0</v>
      </c>
      <c r="Q798" s="1323"/>
      <c r="R798" s="1323"/>
      <c r="S798" s="1323"/>
      <c r="T798" s="1323"/>
      <c r="U798" s="1323"/>
      <c r="V798" s="1323"/>
      <c r="W798" s="1323"/>
      <c r="X798" s="1323"/>
      <c r="Y798" s="1323"/>
      <c r="Z798" s="1323"/>
    </row>
    <row r="799" spans="1:26" ht="19.5" hidden="1">
      <c r="A799" s="1326"/>
      <c r="B799" s="1327"/>
      <c r="C799" s="1301" t="s">
        <v>16</v>
      </c>
      <c r="D799" s="1439" t="s">
        <v>38</v>
      </c>
      <c r="E799" s="1330"/>
      <c r="F799" s="1330"/>
      <c r="G799" s="1331"/>
      <c r="H799" s="1475"/>
      <c r="I799" s="997"/>
      <c r="J799" s="997"/>
      <c r="K799" s="998"/>
      <c r="L799" s="998"/>
      <c r="M799" s="998"/>
      <c r="N799" s="998"/>
      <c r="O799" s="998"/>
      <c r="P799" s="998"/>
      <c r="Q799" s="1302"/>
      <c r="R799" s="1302"/>
      <c r="S799" s="1302"/>
      <c r="T799" s="1302"/>
      <c r="U799" s="1302"/>
      <c r="V799" s="1302"/>
      <c r="W799" s="1302"/>
      <c r="X799" s="1302"/>
      <c r="Y799" s="1302"/>
      <c r="Z799" s="1302"/>
    </row>
    <row r="800" spans="1:26" ht="18.75" hidden="1">
      <c r="A800" s="1326"/>
      <c r="B800" s="1327"/>
      <c r="C800" s="1327"/>
      <c r="D800" s="1327"/>
      <c r="E800" s="1014"/>
      <c r="F800" s="1014" t="s">
        <v>321</v>
      </c>
      <c r="G800" s="1007"/>
      <c r="H800" s="185" t="s">
        <v>46</v>
      </c>
      <c r="I800" s="997">
        <f ca="1">IFERROR(__xludf.DUMMYFUNCTION("IMPORTRANGE(""https://docs.google.com/spreadsheets/d/1QqKyyYR6Q21VydFLVH3TRQUabQu_ym0Zz7PgGX0-kHA/edit?usp=sharing"",""แผน!JN83"")"),0)</f>
        <v>0</v>
      </c>
      <c r="J800" s="997">
        <f ca="1">IFERROR(__xludf.DUMMYFUNCTION("IMPORTRANGE(""https://docs.google.com/spreadsheets/d/1MaWodYyGHDf7siQLGxnXhG4mBNTNIuy296niS2xXulU/edit?usp=sharing"",""RTK!H83"")"),0)</f>
        <v>0</v>
      </c>
      <c r="K800" s="881">
        <f ca="1">IF(I800&gt;0,J800*100/I800,0)</f>
        <v>0</v>
      </c>
      <c r="L800" s="881"/>
      <c r="M800" s="881"/>
      <c r="N800" s="881"/>
      <c r="O800" s="998"/>
      <c r="P800" s="998"/>
      <c r="Q800" s="1302"/>
      <c r="R800" s="1302"/>
      <c r="S800" s="1302"/>
      <c r="T800" s="1302"/>
      <c r="U800" s="1302"/>
      <c r="V800" s="1302"/>
      <c r="W800" s="1302"/>
      <c r="X800" s="1302"/>
      <c r="Y800" s="1302"/>
      <c r="Z800" s="1302"/>
    </row>
    <row r="801" spans="1:26" ht="18.75" hidden="1">
      <c r="A801" s="1326"/>
      <c r="B801" s="1327"/>
      <c r="C801" s="1327"/>
      <c r="D801" s="1327"/>
      <c r="E801" s="1014"/>
      <c r="F801" s="1014"/>
      <c r="G801" s="1007"/>
      <c r="H801" s="161" t="s">
        <v>34</v>
      </c>
      <c r="I801" s="997"/>
      <c r="J801" s="880">
        <f ca="1">IFERROR(__xludf.DUMMYFUNCTION("IMPORTRANGE(""https://docs.google.com/spreadsheets/d/1MaWodYyGHDf7siQLGxnXhG4mBNTNIuy296niS2xXulU/edit?usp=sharing"",""RTK!I83"")"),0)</f>
        <v>0</v>
      </c>
      <c r="K801" s="881"/>
      <c r="L801" s="881"/>
      <c r="M801" s="881"/>
      <c r="N801" s="881"/>
      <c r="O801" s="998"/>
      <c r="P801" s="998"/>
      <c r="Q801" s="1302"/>
      <c r="R801" s="1302"/>
      <c r="S801" s="1302"/>
      <c r="T801" s="1302"/>
      <c r="U801" s="1302"/>
      <c r="V801" s="1302"/>
      <c r="W801" s="1302"/>
      <c r="X801" s="1302"/>
      <c r="Y801" s="1302"/>
      <c r="Z801" s="1302"/>
    </row>
    <row r="802" spans="1:26" ht="18.75" hidden="1">
      <c r="A802" s="1332"/>
      <c r="B802" s="1333"/>
      <c r="C802" s="1333"/>
      <c r="D802" s="1333"/>
      <c r="E802" s="1321"/>
      <c r="F802" s="1321" t="s">
        <v>322</v>
      </c>
      <c r="G802" s="1113"/>
      <c r="H802" s="651" t="s">
        <v>46</v>
      </c>
      <c r="I802" s="1000"/>
      <c r="J802" s="886"/>
      <c r="K802" s="1001">
        <f>IF(I802&gt;0,J802*100/I802,0)</f>
        <v>0</v>
      </c>
      <c r="L802" s="1001"/>
      <c r="M802" s="1001"/>
      <c r="N802" s="1001"/>
      <c r="O802" s="1001"/>
      <c r="P802" s="1001"/>
      <c r="Q802" s="1323"/>
      <c r="R802" s="1323"/>
      <c r="S802" s="1323"/>
      <c r="T802" s="1323"/>
      <c r="U802" s="1323"/>
      <c r="V802" s="1323"/>
      <c r="W802" s="1323"/>
      <c r="X802" s="1323"/>
      <c r="Y802" s="1323"/>
      <c r="Z802" s="1323"/>
    </row>
    <row r="803" spans="1:26" ht="18.75" hidden="1">
      <c r="A803" s="1332"/>
      <c r="B803" s="1333"/>
      <c r="C803" s="1333"/>
      <c r="D803" s="1333"/>
      <c r="E803" s="1321"/>
      <c r="F803" s="1321"/>
      <c r="G803" s="1113"/>
      <c r="H803" s="651" t="s">
        <v>34</v>
      </c>
      <c r="I803" s="1000"/>
      <c r="J803" s="886"/>
      <c r="K803" s="1001"/>
      <c r="L803" s="1001"/>
      <c r="M803" s="1001"/>
      <c r="N803" s="1001"/>
      <c r="O803" s="1001"/>
      <c r="P803" s="1001"/>
      <c r="Q803" s="1323"/>
      <c r="R803" s="1323"/>
      <c r="S803" s="1323"/>
      <c r="T803" s="1323"/>
      <c r="U803" s="1323"/>
      <c r="V803" s="1323"/>
      <c r="W803" s="1323"/>
      <c r="X803" s="1323"/>
      <c r="Y803" s="1323"/>
      <c r="Z803" s="1323"/>
    </row>
    <row r="804" spans="1:26" ht="19.5" hidden="1">
      <c r="A804" s="791">
        <v>13</v>
      </c>
      <c r="B804" s="1461" t="s">
        <v>323</v>
      </c>
      <c r="C804" s="1462"/>
      <c r="D804" s="1476"/>
      <c r="E804" s="1462"/>
      <c r="F804" s="1462"/>
      <c r="G804" s="1463"/>
      <c r="H804" s="795" t="s">
        <v>46</v>
      </c>
      <c r="I804" s="1464"/>
      <c r="J804" s="1464">
        <f>J819</f>
        <v>0</v>
      </c>
      <c r="K804" s="1465">
        <f>IF(I804&gt;0,J804*100/I804,0)</f>
        <v>0</v>
      </c>
      <c r="L804" s="1466"/>
      <c r="M804" s="1466"/>
      <c r="N804" s="1466"/>
      <c r="O804" s="1466"/>
      <c r="P804" s="1466"/>
      <c r="Q804" s="1323"/>
      <c r="R804" s="1323"/>
      <c r="S804" s="1323"/>
      <c r="T804" s="1323"/>
      <c r="U804" s="1323"/>
      <c r="V804" s="1323"/>
      <c r="W804" s="1323"/>
      <c r="X804" s="1323"/>
      <c r="Y804" s="1323"/>
      <c r="Z804" s="1323"/>
    </row>
    <row r="805" spans="1:26" ht="19.5" hidden="1">
      <c r="A805" s="1319"/>
      <c r="B805" s="1320"/>
      <c r="C805" s="1320" t="s">
        <v>16</v>
      </c>
      <c r="D805" s="1351" t="s">
        <v>17</v>
      </c>
      <c r="E805" s="841"/>
      <c r="F805" s="841"/>
      <c r="G805" s="1322"/>
      <c r="H805" s="644" t="s">
        <v>12</v>
      </c>
      <c r="I805" s="886"/>
      <c r="J805" s="886"/>
      <c r="K805" s="887"/>
      <c r="L805" s="1352">
        <f t="shared" ref="L805:N805" si="326">L806+L807</f>
        <v>0</v>
      </c>
      <c r="M805" s="1352">
        <f t="shared" si="326"/>
        <v>0</v>
      </c>
      <c r="N805" s="1352">
        <f t="shared" si="326"/>
        <v>0</v>
      </c>
      <c r="O805" s="1352">
        <f t="shared" ref="O805:O810" si="327">IF(L805&gt;0,N805*100/L805,0)</f>
        <v>0</v>
      </c>
      <c r="P805" s="1352">
        <f t="shared" ref="P805:P810" si="328">IF(M805&gt;0,N805*100/M805,0)</f>
        <v>0</v>
      </c>
      <c r="Q805" s="1323"/>
      <c r="R805" s="1323"/>
      <c r="S805" s="1323"/>
      <c r="T805" s="1323"/>
      <c r="U805" s="1323"/>
      <c r="V805" s="1323"/>
      <c r="W805" s="1323"/>
      <c r="X805" s="1323"/>
      <c r="Y805" s="1323"/>
      <c r="Z805" s="1323"/>
    </row>
    <row r="806" spans="1:26" ht="18.75" hidden="1">
      <c r="A806" s="1319"/>
      <c r="B806" s="1320"/>
      <c r="C806" s="1320"/>
      <c r="D806" s="1333"/>
      <c r="E806" s="1320" t="s">
        <v>185</v>
      </c>
      <c r="F806" s="1320"/>
      <c r="G806" s="1322"/>
      <c r="H806" s="165" t="s">
        <v>12</v>
      </c>
      <c r="I806" s="886"/>
      <c r="J806" s="886"/>
      <c r="K806" s="887"/>
      <c r="L806" s="887">
        <f t="shared" ref="L806:N807" si="329">L809+L816</f>
        <v>0</v>
      </c>
      <c r="M806" s="887">
        <f t="shared" si="329"/>
        <v>0</v>
      </c>
      <c r="N806" s="887">
        <f t="shared" si="329"/>
        <v>0</v>
      </c>
      <c r="O806" s="887">
        <f t="shared" si="327"/>
        <v>0</v>
      </c>
      <c r="P806" s="887">
        <f t="shared" si="328"/>
        <v>0</v>
      </c>
      <c r="Q806" s="1323"/>
      <c r="R806" s="1323"/>
      <c r="S806" s="1323"/>
      <c r="T806" s="1323"/>
      <c r="U806" s="1323"/>
      <c r="V806" s="1323"/>
      <c r="W806" s="1323"/>
      <c r="X806" s="1323"/>
      <c r="Y806" s="1323"/>
      <c r="Z806" s="1323"/>
    </row>
    <row r="807" spans="1:26" ht="18.75" hidden="1">
      <c r="A807" s="1319"/>
      <c r="B807" s="1320"/>
      <c r="C807" s="1320"/>
      <c r="D807" s="1333"/>
      <c r="E807" s="1320" t="s">
        <v>186</v>
      </c>
      <c r="F807" s="1320"/>
      <c r="G807" s="1322"/>
      <c r="H807" s="165" t="s">
        <v>12</v>
      </c>
      <c r="I807" s="886"/>
      <c r="J807" s="886"/>
      <c r="K807" s="887"/>
      <c r="L807" s="887">
        <f t="shared" si="329"/>
        <v>0</v>
      </c>
      <c r="M807" s="887">
        <f t="shared" si="329"/>
        <v>0</v>
      </c>
      <c r="N807" s="887">
        <f t="shared" si="329"/>
        <v>0</v>
      </c>
      <c r="O807" s="887">
        <f t="shared" si="327"/>
        <v>0</v>
      </c>
      <c r="P807" s="887">
        <f t="shared" si="328"/>
        <v>0</v>
      </c>
      <c r="Q807" s="1323"/>
      <c r="R807" s="1323"/>
      <c r="S807" s="1323"/>
      <c r="T807" s="1323"/>
      <c r="U807" s="1323"/>
      <c r="V807" s="1323"/>
      <c r="W807" s="1323"/>
      <c r="X807" s="1323"/>
      <c r="Y807" s="1323"/>
      <c r="Z807" s="1323"/>
    </row>
    <row r="808" spans="1:26" ht="19.5" hidden="1">
      <c r="A808" s="1319"/>
      <c r="B808" s="1324"/>
      <c r="C808" s="1320"/>
      <c r="D808" s="1477" t="s">
        <v>20</v>
      </c>
      <c r="E808" s="841"/>
      <c r="F808" s="841"/>
      <c r="G808" s="1322"/>
      <c r="H808" s="644" t="s">
        <v>12</v>
      </c>
      <c r="I808" s="1000"/>
      <c r="J808" s="1000"/>
      <c r="K808" s="1001"/>
      <c r="L808" s="1352">
        <f t="shared" ref="L808:N808" si="330">L809+L810</f>
        <v>0</v>
      </c>
      <c r="M808" s="1352">
        <f t="shared" si="330"/>
        <v>0</v>
      </c>
      <c r="N808" s="1352">
        <f t="shared" si="330"/>
        <v>0</v>
      </c>
      <c r="O808" s="1352">
        <f t="shared" si="327"/>
        <v>0</v>
      </c>
      <c r="P808" s="1352">
        <f t="shared" si="328"/>
        <v>0</v>
      </c>
      <c r="Q808" s="1323"/>
      <c r="R808" s="1323"/>
      <c r="S808" s="1323"/>
      <c r="T808" s="1323"/>
      <c r="U808" s="1323"/>
      <c r="V808" s="1323"/>
      <c r="W808" s="1323"/>
      <c r="X808" s="1323"/>
      <c r="Y808" s="1323"/>
      <c r="Z808" s="1323"/>
    </row>
    <row r="809" spans="1:26" ht="18.75" hidden="1">
      <c r="A809" s="1319"/>
      <c r="B809" s="1320"/>
      <c r="C809" s="1320"/>
      <c r="D809" s="1333"/>
      <c r="E809" s="1320" t="s">
        <v>185</v>
      </c>
      <c r="F809" s="1320"/>
      <c r="G809" s="1322"/>
      <c r="H809" s="165" t="s">
        <v>12</v>
      </c>
      <c r="I809" s="886"/>
      <c r="J809" s="886"/>
      <c r="K809" s="887"/>
      <c r="L809" s="887">
        <v>0</v>
      </c>
      <c r="M809" s="887">
        <v>0</v>
      </c>
      <c r="N809" s="887">
        <v>0</v>
      </c>
      <c r="O809" s="887">
        <f t="shared" si="327"/>
        <v>0</v>
      </c>
      <c r="P809" s="887">
        <f t="shared" si="328"/>
        <v>0</v>
      </c>
      <c r="Q809" s="1323"/>
      <c r="R809" s="1323"/>
      <c r="S809" s="1323"/>
      <c r="T809" s="1323"/>
      <c r="U809" s="1323"/>
      <c r="V809" s="1323"/>
      <c r="W809" s="1323"/>
      <c r="X809" s="1323"/>
      <c r="Y809" s="1323"/>
      <c r="Z809" s="1323"/>
    </row>
    <row r="810" spans="1:26" ht="18.75" hidden="1">
      <c r="A810" s="1319"/>
      <c r="B810" s="1320"/>
      <c r="C810" s="1320"/>
      <c r="D810" s="1333"/>
      <c r="E810" s="1320" t="s">
        <v>186</v>
      </c>
      <c r="F810" s="1320"/>
      <c r="G810" s="1322"/>
      <c r="H810" s="165" t="s">
        <v>12</v>
      </c>
      <c r="I810" s="886"/>
      <c r="J810" s="886"/>
      <c r="K810" s="887"/>
      <c r="L810" s="887">
        <v>0</v>
      </c>
      <c r="M810" s="887">
        <v>0</v>
      </c>
      <c r="N810" s="887">
        <f>N811+N812+N813+N814</f>
        <v>0</v>
      </c>
      <c r="O810" s="887">
        <f t="shared" si="327"/>
        <v>0</v>
      </c>
      <c r="P810" s="887">
        <f t="shared" si="328"/>
        <v>0</v>
      </c>
      <c r="Q810" s="1323"/>
      <c r="R810" s="1323"/>
      <c r="S810" s="1323"/>
      <c r="T810" s="1323"/>
      <c r="U810" s="1323"/>
      <c r="V810" s="1323"/>
      <c r="W810" s="1323"/>
      <c r="X810" s="1323"/>
      <c r="Y810" s="1323"/>
      <c r="Z810" s="1323"/>
    </row>
    <row r="811" spans="1:26" ht="18.75" hidden="1">
      <c r="A811" s="1354"/>
      <c r="B811" s="1324"/>
      <c r="C811" s="1320"/>
      <c r="D811" s="1324"/>
      <c r="E811" s="1320"/>
      <c r="F811" s="1320" t="s">
        <v>187</v>
      </c>
      <c r="G811" s="1322"/>
      <c r="H811" s="165" t="s">
        <v>12</v>
      </c>
      <c r="I811" s="886"/>
      <c r="J811" s="886"/>
      <c r="K811" s="887"/>
      <c r="L811" s="887"/>
      <c r="M811" s="887"/>
      <c r="N811" s="887"/>
      <c r="O811" s="887"/>
      <c r="P811" s="887"/>
      <c r="Q811" s="1323"/>
      <c r="R811" s="1323"/>
      <c r="S811" s="1323"/>
      <c r="T811" s="1323"/>
      <c r="U811" s="1323"/>
      <c r="V811" s="1323"/>
      <c r="W811" s="1323"/>
      <c r="X811" s="1323"/>
      <c r="Y811" s="1323"/>
      <c r="Z811" s="1323"/>
    </row>
    <row r="812" spans="1:26" ht="18.75" hidden="1">
      <c r="A812" s="1354"/>
      <c r="B812" s="1324"/>
      <c r="C812" s="1320"/>
      <c r="D812" s="1324"/>
      <c r="E812" s="1320"/>
      <c r="F812" s="1320" t="s">
        <v>188</v>
      </c>
      <c r="G812" s="1322"/>
      <c r="H812" s="165" t="s">
        <v>12</v>
      </c>
      <c r="I812" s="886"/>
      <c r="J812" s="886"/>
      <c r="K812" s="887"/>
      <c r="L812" s="887"/>
      <c r="M812" s="887"/>
      <c r="N812" s="887"/>
      <c r="O812" s="887"/>
      <c r="P812" s="887"/>
      <c r="Q812" s="1323"/>
      <c r="R812" s="1323"/>
      <c r="S812" s="1323"/>
      <c r="T812" s="1323"/>
      <c r="U812" s="1323"/>
      <c r="V812" s="1323"/>
      <c r="W812" s="1323"/>
      <c r="X812" s="1323"/>
      <c r="Y812" s="1323"/>
      <c r="Z812" s="1323"/>
    </row>
    <row r="813" spans="1:26" ht="18.75" hidden="1">
      <c r="A813" s="1354"/>
      <c r="B813" s="1324"/>
      <c r="C813" s="1320"/>
      <c r="D813" s="1324"/>
      <c r="E813" s="1320"/>
      <c r="F813" s="1320" t="s">
        <v>189</v>
      </c>
      <c r="G813" s="1322"/>
      <c r="H813" s="165" t="s">
        <v>12</v>
      </c>
      <c r="I813" s="886"/>
      <c r="J813" s="886"/>
      <c r="K813" s="887"/>
      <c r="L813" s="887"/>
      <c r="M813" s="887"/>
      <c r="N813" s="887"/>
      <c r="O813" s="887"/>
      <c r="P813" s="887"/>
      <c r="Q813" s="1323"/>
      <c r="R813" s="1323"/>
      <c r="S813" s="1323"/>
      <c r="T813" s="1323"/>
      <c r="U813" s="1323"/>
      <c r="V813" s="1323"/>
      <c r="W813" s="1323"/>
      <c r="X813" s="1323"/>
      <c r="Y813" s="1323"/>
      <c r="Z813" s="1323"/>
    </row>
    <row r="814" spans="1:26" ht="18.75" hidden="1">
      <c r="A814" s="1354"/>
      <c r="B814" s="1324"/>
      <c r="C814" s="1320"/>
      <c r="D814" s="1324"/>
      <c r="E814" s="1320"/>
      <c r="F814" s="1320" t="s">
        <v>190</v>
      </c>
      <c r="G814" s="1322"/>
      <c r="H814" s="165" t="s">
        <v>12</v>
      </c>
      <c r="I814" s="886"/>
      <c r="J814" s="886"/>
      <c r="K814" s="887"/>
      <c r="L814" s="887"/>
      <c r="M814" s="887"/>
      <c r="N814" s="887"/>
      <c r="O814" s="887"/>
      <c r="P814" s="887"/>
      <c r="Q814" s="1323"/>
      <c r="R814" s="1323"/>
      <c r="S814" s="1323"/>
      <c r="T814" s="1323"/>
      <c r="U814" s="1323"/>
      <c r="V814" s="1323"/>
      <c r="W814" s="1323"/>
      <c r="X814" s="1323"/>
      <c r="Y814" s="1323"/>
      <c r="Z814" s="1323"/>
    </row>
    <row r="815" spans="1:26" ht="19.5" hidden="1">
      <c r="A815" s="1319"/>
      <c r="B815" s="1324"/>
      <c r="C815" s="1320"/>
      <c r="D815" s="1477" t="s">
        <v>21</v>
      </c>
      <c r="E815" s="841"/>
      <c r="F815" s="841"/>
      <c r="G815" s="1322"/>
      <c r="H815" s="781" t="s">
        <v>12</v>
      </c>
      <c r="I815" s="1000"/>
      <c r="J815" s="1000"/>
      <c r="K815" s="1001"/>
      <c r="L815" s="1352">
        <f t="shared" ref="L815:N815" si="331">L816+L817</f>
        <v>0</v>
      </c>
      <c r="M815" s="1352">
        <f t="shared" si="331"/>
        <v>0</v>
      </c>
      <c r="N815" s="1352">
        <f t="shared" si="331"/>
        <v>0</v>
      </c>
      <c r="O815" s="1352">
        <f t="shared" ref="O815:O817" si="332">IF(L815&gt;0,N815*100/L815,0)</f>
        <v>0</v>
      </c>
      <c r="P815" s="1352">
        <f t="shared" ref="P815:P817" si="333">IF(M815&gt;0,N815*100/M815,0)</f>
        <v>0</v>
      </c>
      <c r="Q815" s="1323"/>
      <c r="R815" s="1323"/>
      <c r="S815" s="1323"/>
      <c r="T815" s="1323"/>
      <c r="U815" s="1323"/>
      <c r="V815" s="1323"/>
      <c r="W815" s="1323"/>
      <c r="X815" s="1323"/>
      <c r="Y815" s="1323"/>
      <c r="Z815" s="1323"/>
    </row>
    <row r="816" spans="1:26" ht="18.75" hidden="1">
      <c r="A816" s="1319"/>
      <c r="B816" s="1324"/>
      <c r="C816" s="1320"/>
      <c r="D816" s="1324"/>
      <c r="E816" s="1320" t="s">
        <v>18</v>
      </c>
      <c r="F816" s="1320"/>
      <c r="G816" s="1322"/>
      <c r="H816" s="165" t="s">
        <v>12</v>
      </c>
      <c r="I816" s="1000"/>
      <c r="J816" s="1000"/>
      <c r="K816" s="1001"/>
      <c r="L816" s="887">
        <v>0</v>
      </c>
      <c r="M816" s="887">
        <v>0</v>
      </c>
      <c r="N816" s="887">
        <v>0</v>
      </c>
      <c r="O816" s="887">
        <f t="shared" si="332"/>
        <v>0</v>
      </c>
      <c r="P816" s="887">
        <f t="shared" si="333"/>
        <v>0</v>
      </c>
      <c r="Q816" s="1323"/>
      <c r="R816" s="1323"/>
      <c r="S816" s="1323"/>
      <c r="T816" s="1323"/>
      <c r="U816" s="1323"/>
      <c r="V816" s="1323"/>
      <c r="W816" s="1323"/>
      <c r="X816" s="1323"/>
      <c r="Y816" s="1323"/>
      <c r="Z816" s="1323"/>
    </row>
    <row r="817" spans="1:26" ht="18.75" hidden="1">
      <c r="A817" s="1319"/>
      <c r="B817" s="1324"/>
      <c r="C817" s="1320"/>
      <c r="D817" s="1324"/>
      <c r="E817" s="1320" t="s">
        <v>19</v>
      </c>
      <c r="F817" s="1320"/>
      <c r="G817" s="1322"/>
      <c r="H817" s="169" t="s">
        <v>12</v>
      </c>
      <c r="I817" s="1000"/>
      <c r="J817" s="1000"/>
      <c r="K817" s="1001"/>
      <c r="L817" s="887">
        <v>0</v>
      </c>
      <c r="M817" s="887">
        <v>0</v>
      </c>
      <c r="N817" s="887">
        <v>0</v>
      </c>
      <c r="O817" s="887">
        <f t="shared" si="332"/>
        <v>0</v>
      </c>
      <c r="P817" s="887">
        <f t="shared" si="333"/>
        <v>0</v>
      </c>
      <c r="Q817" s="1323"/>
      <c r="R817" s="1323"/>
      <c r="S817" s="1323"/>
      <c r="T817" s="1323"/>
      <c r="U817" s="1323"/>
      <c r="V817" s="1323"/>
      <c r="W817" s="1323"/>
      <c r="X817" s="1323"/>
      <c r="Y817" s="1323"/>
      <c r="Z817" s="1323"/>
    </row>
    <row r="818" spans="1:26" ht="19.5" hidden="1">
      <c r="A818" s="1332"/>
      <c r="B818" s="1333"/>
      <c r="C818" s="1320" t="s">
        <v>16</v>
      </c>
      <c r="D818" s="1478" t="s">
        <v>38</v>
      </c>
      <c r="E818" s="1356"/>
      <c r="F818" s="1356"/>
      <c r="G818" s="1357"/>
      <c r="H818" s="1113"/>
      <c r="I818" s="1000"/>
      <c r="J818" s="1000"/>
      <c r="K818" s="1001"/>
      <c r="L818" s="1001"/>
      <c r="M818" s="1001"/>
      <c r="N818" s="1001"/>
      <c r="O818" s="1001"/>
      <c r="P818" s="1001"/>
      <c r="Q818" s="1323"/>
      <c r="R818" s="1323"/>
      <c r="S818" s="1323"/>
      <c r="T818" s="1323"/>
      <c r="U818" s="1323"/>
      <c r="V818" s="1323"/>
      <c r="W818" s="1323"/>
      <c r="X818" s="1323"/>
      <c r="Y818" s="1323"/>
      <c r="Z818" s="1323"/>
    </row>
    <row r="819" spans="1:26" ht="19.5" hidden="1" thickBot="1">
      <c r="A819" s="1479"/>
      <c r="B819" s="1480"/>
      <c r="C819" s="1481"/>
      <c r="D819" s="1480"/>
      <c r="E819" s="1481" t="s">
        <v>324</v>
      </c>
      <c r="F819" s="1481"/>
      <c r="G819" s="1482"/>
      <c r="H819" s="817" t="s">
        <v>46</v>
      </c>
      <c r="I819" s="1483"/>
      <c r="J819" s="1483"/>
      <c r="K819" s="1484"/>
      <c r="L819" s="1484"/>
      <c r="M819" s="1484"/>
      <c r="N819" s="1484"/>
      <c r="O819" s="1484"/>
      <c r="P819" s="1484"/>
      <c r="Q819" s="1323"/>
      <c r="R819" s="1323"/>
      <c r="S819" s="1323"/>
      <c r="T819" s="1323"/>
      <c r="U819" s="1323"/>
      <c r="V819" s="1323"/>
      <c r="W819" s="1323"/>
      <c r="X819" s="1323"/>
      <c r="Y819" s="1323"/>
      <c r="Z819" s="1323"/>
    </row>
    <row r="820" spans="1:26" ht="19.5">
      <c r="A820" s="1485" t="s">
        <v>342</v>
      </c>
      <c r="B820" s="1486"/>
      <c r="C820" s="1486"/>
      <c r="D820" s="1487"/>
      <c r="E820" s="1486"/>
      <c r="F820" s="1486"/>
      <c r="G820" s="1488"/>
      <c r="H820" s="1489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0"/>
      <c r="J820" s="1490"/>
      <c r="K820" s="1491"/>
      <c r="L820" s="1491"/>
      <c r="M820" s="1491"/>
      <c r="N820" s="1491"/>
      <c r="O820" s="1491"/>
      <c r="P820" s="1491"/>
      <c r="Q820" s="1302"/>
      <c r="R820" s="1302"/>
      <c r="S820" s="1302"/>
      <c r="T820" s="1302"/>
      <c r="U820" s="1302"/>
      <c r="V820" s="1302"/>
      <c r="W820" s="1302"/>
      <c r="X820" s="1302"/>
      <c r="Y820" s="1302"/>
      <c r="Z820" s="1302"/>
    </row>
    <row r="821" spans="1:26" ht="18.75">
      <c r="A821" s="1429"/>
      <c r="B821" s="1301" t="s">
        <v>326</v>
      </c>
      <c r="C821" s="1301"/>
      <c r="D821" s="1300"/>
      <c r="E821" s="1301"/>
      <c r="F821" s="1301"/>
      <c r="G821" s="1016"/>
      <c r="H821" s="622" t="s">
        <v>12</v>
      </c>
      <c r="I821" s="880">
        <f ca="1">IFERROR(__xludf.DUMMYFUNCTION("IMPORTRANGE(""https://docs.google.com/spreadsheets/d/19vJNZY_5yjcGF2XGBMNZRCAIB0Kwfpjp8YEOfu-bneM/edit?usp=sharing"",""งานกองทุน!D83"")"),758442.89)</f>
        <v>758442.89</v>
      </c>
      <c r="J821" s="880">
        <f ca="1">IFERROR(__xludf.DUMMYFUNCTION("IMPORTRANGE(""https://docs.google.com/spreadsheets/d/19vJNZY_5yjcGF2XGBMNZRCAIB0Kwfpjp8YEOfu-bneM/edit?usp=sharing"",""งานกองทุน!F83"")"),134282.87)</f>
        <v>134282.87</v>
      </c>
      <c r="K821" s="881">
        <f t="shared" ref="K821:K828" ca="1" si="334">IF(I821&gt;0,J821*100/I821,0)</f>
        <v>17.70507335100735</v>
      </c>
      <c r="L821" s="881"/>
      <c r="M821" s="881"/>
      <c r="N821" s="881"/>
      <c r="O821" s="881"/>
      <c r="P821" s="881"/>
      <c r="Q821" s="1302"/>
      <c r="R821" s="1302"/>
      <c r="S821" s="1302"/>
      <c r="T821" s="1302"/>
      <c r="U821" s="1302"/>
      <c r="V821" s="1302"/>
      <c r="W821" s="1302"/>
      <c r="X821" s="1302"/>
      <c r="Y821" s="1302"/>
      <c r="Z821" s="1302"/>
    </row>
    <row r="822" spans="1:26" ht="18.75">
      <c r="A822" s="1429"/>
      <c r="B822" s="1301"/>
      <c r="C822" s="1301"/>
      <c r="D822" s="1300"/>
      <c r="E822" s="1301"/>
      <c r="F822" s="1301"/>
      <c r="G822" s="1016"/>
      <c r="H822" s="622" t="s">
        <v>35</v>
      </c>
      <c r="I822" s="880">
        <f ca="1">IFERROR(__xludf.DUMMYFUNCTION("IMPORTRANGE(""https://docs.google.com/spreadsheets/d/19vJNZY_5yjcGF2XGBMNZRCAIB0Kwfpjp8YEOfu-bneM/edit?usp=sharing"",""งานกองทุน!C83"")"),37)</f>
        <v>37</v>
      </c>
      <c r="J822" s="880">
        <f ca="1">IFERROR(__xludf.DUMMYFUNCTION("IMPORTRANGE(""https://docs.google.com/spreadsheets/d/19vJNZY_5yjcGF2XGBMNZRCAIB0Kwfpjp8YEOfu-bneM/edit?usp=sharing"",""งานกองทุน!E83"")"),11)</f>
        <v>11</v>
      </c>
      <c r="K822" s="881">
        <f t="shared" ca="1" si="334"/>
        <v>29.72972972972973</v>
      </c>
      <c r="L822" s="881"/>
      <c r="M822" s="881"/>
      <c r="N822" s="881"/>
      <c r="O822" s="881"/>
      <c r="P822" s="881"/>
      <c r="Q822" s="1302"/>
      <c r="R822" s="1302"/>
      <c r="S822" s="1302"/>
      <c r="T822" s="1302"/>
      <c r="U822" s="1302"/>
      <c r="V822" s="1302"/>
      <c r="W822" s="1302"/>
      <c r="X822" s="1302"/>
      <c r="Y822" s="1302"/>
      <c r="Z822" s="1302"/>
    </row>
    <row r="823" spans="1:26" ht="18.75">
      <c r="A823" s="1429"/>
      <c r="B823" s="1301" t="s">
        <v>327</v>
      </c>
      <c r="C823" s="1301"/>
      <c r="D823" s="1300"/>
      <c r="E823" s="1301"/>
      <c r="F823" s="1301"/>
      <c r="G823" s="1016"/>
      <c r="H823" s="622" t="s">
        <v>12</v>
      </c>
      <c r="I823" s="880" t="str">
        <f ca="1">IFERROR(__xludf.DUMMYFUNCTION("IMPORTRANGE(""https://docs.google.com/spreadsheets/d/19vJNZY_5yjcGF2XGBMNZRCAIB0Kwfpjp8YEOfu-bneM/edit?usp=sharing"",""งานกองทุน!I83"")"),"")</f>
        <v/>
      </c>
      <c r="J823" s="880">
        <f ca="1">IFERROR(__xludf.DUMMYFUNCTION("IMPORTRANGE(""https://docs.google.com/spreadsheets/d/19vJNZY_5yjcGF2XGBMNZRCAIB0Kwfpjp8YEOfu-bneM/edit?usp=sharing"",""งานกองทุน!K83"")"),0)</f>
        <v>0</v>
      </c>
      <c r="K823" s="881" t="e">
        <f t="shared" ca="1" si="334"/>
        <v>#VALUE!</v>
      </c>
      <c r="L823" s="881"/>
      <c r="M823" s="881"/>
      <c r="N823" s="881"/>
      <c r="O823" s="881"/>
      <c r="P823" s="881"/>
      <c r="Q823" s="1302"/>
      <c r="R823" s="1302"/>
      <c r="S823" s="1302"/>
      <c r="T823" s="1302"/>
      <c r="U823" s="1302"/>
      <c r="V823" s="1302"/>
      <c r="W823" s="1302"/>
      <c r="X823" s="1302"/>
      <c r="Y823" s="1302"/>
      <c r="Z823" s="1302"/>
    </row>
    <row r="824" spans="1:26" ht="18.75">
      <c r="A824" s="1429"/>
      <c r="B824" s="1301"/>
      <c r="C824" s="1301"/>
      <c r="D824" s="1300"/>
      <c r="E824" s="1301"/>
      <c r="F824" s="1301"/>
      <c r="G824" s="1016"/>
      <c r="H824" s="622" t="s">
        <v>35</v>
      </c>
      <c r="I824" s="880" t="str">
        <f ca="1">IFERROR(__xludf.DUMMYFUNCTION("IMPORTRANGE(""https://docs.google.com/spreadsheets/d/19vJNZY_5yjcGF2XGBMNZRCAIB0Kwfpjp8YEOfu-bneM/edit?usp=sharing"",""งานกองทุน!H83"")"),"")</f>
        <v/>
      </c>
      <c r="J824" s="880">
        <f ca="1">IFERROR(__xludf.DUMMYFUNCTION("IMPORTRANGE(""https://docs.google.com/spreadsheets/d/19vJNZY_5yjcGF2XGBMNZRCAIB0Kwfpjp8YEOfu-bneM/edit?usp=sharing"",""งานกองทุน!J83"")"),0)</f>
        <v>0</v>
      </c>
      <c r="K824" s="881" t="e">
        <f t="shared" ca="1" si="334"/>
        <v>#VALUE!</v>
      </c>
      <c r="L824" s="881"/>
      <c r="M824" s="881"/>
      <c r="N824" s="881"/>
      <c r="O824" s="881"/>
      <c r="P824" s="881"/>
      <c r="Q824" s="1302"/>
      <c r="R824" s="1302"/>
      <c r="S824" s="1302"/>
      <c r="T824" s="1302"/>
      <c r="U824" s="1302"/>
      <c r="V824" s="1302"/>
      <c r="W824" s="1302"/>
      <c r="X824" s="1302"/>
      <c r="Y824" s="1302"/>
      <c r="Z824" s="1302"/>
    </row>
    <row r="825" spans="1:26" ht="18.75">
      <c r="A825" s="1429"/>
      <c r="B825" s="1301" t="s">
        <v>328</v>
      </c>
      <c r="C825" s="1301"/>
      <c r="D825" s="1300"/>
      <c r="E825" s="1301"/>
      <c r="F825" s="1301"/>
      <c r="G825" s="1016"/>
      <c r="H825" s="622" t="s">
        <v>12</v>
      </c>
      <c r="I825" s="880">
        <f ca="1">IFERROR(__xludf.DUMMYFUNCTION("IMPORTRANGE(""https://docs.google.com/spreadsheets/d/19vJNZY_5yjcGF2XGBMNZRCAIB0Kwfpjp8YEOfu-bneM/edit?usp=sharing"",""งานกองทุน!N83"")"),0)</f>
        <v>0</v>
      </c>
      <c r="J825" s="880">
        <f ca="1">IFERROR(__xludf.DUMMYFUNCTION("IMPORTRANGE(""https://docs.google.com/spreadsheets/d/19vJNZY_5yjcGF2XGBMNZRCAIB0Kwfpjp8YEOfu-bneM/edit?usp=sharing"",""งานกองทุน!P83"")"),0)</f>
        <v>0</v>
      </c>
      <c r="K825" s="881">
        <f t="shared" ca="1" si="334"/>
        <v>0</v>
      </c>
      <c r="L825" s="881"/>
      <c r="M825" s="881"/>
      <c r="N825" s="881"/>
      <c r="O825" s="881"/>
      <c r="P825" s="881"/>
      <c r="Q825" s="1302"/>
      <c r="R825" s="1302"/>
      <c r="S825" s="1302"/>
      <c r="T825" s="1302"/>
      <c r="U825" s="1302"/>
      <c r="V825" s="1302"/>
      <c r="W825" s="1302"/>
      <c r="X825" s="1302"/>
      <c r="Y825" s="1302"/>
      <c r="Z825" s="1302"/>
    </row>
    <row r="826" spans="1:26" ht="18.75">
      <c r="A826" s="1429"/>
      <c r="B826" s="1301"/>
      <c r="C826" s="1301"/>
      <c r="D826" s="1300"/>
      <c r="E826" s="1301"/>
      <c r="F826" s="1301"/>
      <c r="G826" s="1016"/>
      <c r="H826" s="622" t="s">
        <v>35</v>
      </c>
      <c r="I826" s="880">
        <f ca="1">IFERROR(__xludf.DUMMYFUNCTION("IMPORTRANGE(""https://docs.google.com/spreadsheets/d/19vJNZY_5yjcGF2XGBMNZRCAIB0Kwfpjp8YEOfu-bneM/edit?usp=sharing"",""งานกองทุน!M83"")"),0)</f>
        <v>0</v>
      </c>
      <c r="J826" s="880">
        <f ca="1">IFERROR(__xludf.DUMMYFUNCTION("IMPORTRANGE(""https://docs.google.com/spreadsheets/d/19vJNZY_5yjcGF2XGBMNZRCAIB0Kwfpjp8YEOfu-bneM/edit?usp=sharing"",""งานกองทุน!O83"")"),0)</f>
        <v>0</v>
      </c>
      <c r="K826" s="881">
        <f t="shared" ca="1" si="334"/>
        <v>0</v>
      </c>
      <c r="L826" s="881"/>
      <c r="M826" s="881"/>
      <c r="N826" s="881"/>
      <c r="O826" s="881"/>
      <c r="P826" s="881"/>
      <c r="Q826" s="1302"/>
      <c r="R826" s="1302"/>
      <c r="S826" s="1302"/>
      <c r="T826" s="1302"/>
      <c r="U826" s="1302"/>
      <c r="V826" s="1302"/>
      <c r="W826" s="1302"/>
      <c r="X826" s="1302"/>
      <c r="Y826" s="1302"/>
      <c r="Z826" s="1302"/>
    </row>
    <row r="827" spans="1:26" ht="18.75">
      <c r="A827" s="1429"/>
      <c r="B827" s="1301" t="s">
        <v>329</v>
      </c>
      <c r="C827" s="1301"/>
      <c r="D827" s="1300"/>
      <c r="E827" s="1301"/>
      <c r="F827" s="1301"/>
      <c r="G827" s="1016"/>
      <c r="H827" s="622" t="s">
        <v>12</v>
      </c>
      <c r="I827" s="880">
        <f ca="1">IFERROR(__xludf.DUMMYFUNCTION("IMPORTRANGE(""https://docs.google.com/spreadsheets/d/19vJNZY_5yjcGF2XGBMNZRCAIB0Kwfpjp8YEOfu-bneM/edit?usp=sharing"",""งานกองทุน!S83"")"),200000)</f>
        <v>200000</v>
      </c>
      <c r="J827" s="880">
        <f ca="1">IFERROR(__xludf.DUMMYFUNCTION("IMPORTRANGE(""https://docs.google.com/spreadsheets/d/19vJNZY_5yjcGF2XGBMNZRCAIB0Kwfpjp8YEOfu-bneM/edit?usp=sharing"",""งานกองทุน!U83"")"),100000)</f>
        <v>100000</v>
      </c>
      <c r="K827" s="881">
        <f t="shared" ca="1" si="334"/>
        <v>50</v>
      </c>
      <c r="L827" s="881"/>
      <c r="M827" s="881"/>
      <c r="N827" s="881"/>
      <c r="O827" s="881"/>
      <c r="P827" s="881"/>
      <c r="Q827" s="1302"/>
      <c r="R827" s="1302"/>
      <c r="S827" s="1302"/>
      <c r="T827" s="1302"/>
      <c r="U827" s="1302"/>
      <c r="V827" s="1302"/>
      <c r="W827" s="1302"/>
      <c r="X827" s="1302"/>
      <c r="Y827" s="1302"/>
      <c r="Z827" s="1302"/>
    </row>
    <row r="828" spans="1:26" ht="18.75">
      <c r="A828" s="1430"/>
      <c r="B828" s="1432"/>
      <c r="C828" s="1432"/>
      <c r="D828" s="1431"/>
      <c r="E828" s="1432"/>
      <c r="F828" s="1432"/>
      <c r="G828" s="1492"/>
      <c r="H828" s="827" t="s">
        <v>35</v>
      </c>
      <c r="I828" s="1138">
        <f ca="1">IFERROR(__xludf.DUMMYFUNCTION("IMPORTRANGE(""https://docs.google.com/spreadsheets/d/19vJNZY_5yjcGF2XGBMNZRCAIB0Kwfpjp8YEOfu-bneM/edit?usp=sharing"",""งานกองทุน!R83"")"),8)</f>
        <v>8</v>
      </c>
      <c r="J828" s="1138">
        <f ca="1">IFERROR(__xludf.DUMMYFUNCTION("IMPORTRANGE(""https://docs.google.com/spreadsheets/d/19vJNZY_5yjcGF2XGBMNZRCAIB0Kwfpjp8YEOfu-bneM/edit?usp=sharing"",""งานกองทุน!T83"")"),2)</f>
        <v>2</v>
      </c>
      <c r="K828" s="1239">
        <f t="shared" ca="1" si="334"/>
        <v>25</v>
      </c>
      <c r="L828" s="1239"/>
      <c r="M828" s="1239"/>
      <c r="N828" s="1239"/>
      <c r="O828" s="1239"/>
      <c r="P828" s="1239"/>
      <c r="Q828" s="1302"/>
      <c r="R828" s="1302"/>
      <c r="S828" s="1302"/>
      <c r="T828" s="1302"/>
      <c r="U828" s="1302"/>
      <c r="V828" s="1302"/>
      <c r="W828" s="1302"/>
      <c r="X828" s="1302"/>
      <c r="Y828" s="1302"/>
      <c r="Z828" s="130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4B89C-89C3-4AB4-A467-B2B752861347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52" customWidth="1"/>
    <col min="4" max="6" width="5.85546875" style="852" customWidth="1"/>
    <col min="7" max="7" width="56.42578125" style="852" customWidth="1"/>
    <col min="8" max="8" width="9.42578125" style="852" customWidth="1"/>
    <col min="9" max="10" width="13.7109375" style="852" bestFit="1" customWidth="1"/>
    <col min="11" max="11" width="13.28515625" style="852" bestFit="1" customWidth="1"/>
    <col min="12" max="15" width="20.28515625" style="852" bestFit="1" customWidth="1"/>
    <col min="16" max="16" width="22.140625" style="852" bestFit="1" customWidth="1"/>
    <col min="17" max="16384" width="12.5703125" style="852"/>
  </cols>
  <sheetData>
    <row r="1" spans="1:26" ht="19.5">
      <c r="A1" s="828" t="s">
        <v>0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51"/>
    </row>
    <row r="2" spans="1:26" ht="19.5">
      <c r="A2" s="828" t="s">
        <v>350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</row>
    <row r="3" spans="1:26" ht="19.5">
      <c r="A3" s="828" t="s">
        <v>330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</row>
    <row r="4" spans="1:26" ht="12.75">
      <c r="A4" s="853"/>
      <c r="B4" s="853"/>
      <c r="C4" s="853"/>
      <c r="D4" s="853"/>
      <c r="E4" s="853"/>
      <c r="F4" s="853"/>
      <c r="G4" s="853"/>
      <c r="H4" s="853"/>
      <c r="I4" s="853"/>
      <c r="J4" s="854"/>
      <c r="K4" s="855"/>
      <c r="L4" s="854"/>
      <c r="M4" s="854"/>
      <c r="N4" s="854"/>
      <c r="O4" s="853"/>
      <c r="P4" s="853"/>
    </row>
    <row r="5" spans="1:26" ht="19.5">
      <c r="A5" s="836" t="s">
        <v>2</v>
      </c>
      <c r="B5" s="851"/>
      <c r="C5" s="851"/>
      <c r="D5" s="851"/>
      <c r="E5" s="851"/>
      <c r="F5" s="851"/>
      <c r="G5" s="837"/>
      <c r="H5" s="830" t="s">
        <v>3</v>
      </c>
      <c r="I5" s="832" t="s">
        <v>4</v>
      </c>
      <c r="J5" s="833"/>
      <c r="K5" s="831"/>
      <c r="L5" s="834" t="s">
        <v>5</v>
      </c>
      <c r="M5" s="831"/>
      <c r="N5" s="835" t="s">
        <v>6</v>
      </c>
      <c r="O5" s="833"/>
      <c r="P5" s="831"/>
    </row>
    <row r="6" spans="1:26" ht="19.5">
      <c r="A6" s="838"/>
      <c r="B6" s="833"/>
      <c r="C6" s="833"/>
      <c r="D6" s="833"/>
      <c r="E6" s="833"/>
      <c r="F6" s="833"/>
      <c r="G6" s="831"/>
      <c r="H6" s="83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6" t="s">
        <v>15</v>
      </c>
      <c r="B7" s="833"/>
      <c r="C7" s="833"/>
      <c r="D7" s="833"/>
      <c r="E7" s="833"/>
      <c r="F7" s="833"/>
      <c r="G7" s="831"/>
      <c r="H7" s="857"/>
      <c r="I7" s="858"/>
      <c r="J7" s="858"/>
      <c r="K7" s="859"/>
      <c r="L7" s="859"/>
      <c r="M7" s="859"/>
      <c r="N7" s="859"/>
      <c r="O7" s="859"/>
      <c r="P7" s="859"/>
    </row>
    <row r="8" spans="1:26" ht="19.5">
      <c r="A8" s="860"/>
      <c r="B8" s="861"/>
      <c r="C8" s="862" t="s">
        <v>16</v>
      </c>
      <c r="D8" s="863" t="s">
        <v>17</v>
      </c>
      <c r="E8" s="861"/>
      <c r="F8" s="861"/>
      <c r="G8" s="864"/>
      <c r="H8" s="19" t="s">
        <v>12</v>
      </c>
      <c r="I8" s="865"/>
      <c r="J8" s="865"/>
      <c r="K8" s="866"/>
      <c r="L8" s="867">
        <f t="shared" ref="L8:N8" ca="1" si="0">L9+L10</f>
        <v>2885815</v>
      </c>
      <c r="M8" s="867">
        <f t="shared" ca="1" si="0"/>
        <v>2509385</v>
      </c>
      <c r="N8" s="867">
        <f t="shared" ca="1" si="0"/>
        <v>1462375.48</v>
      </c>
      <c r="O8" s="867">
        <f t="shared" ref="O8:O16" ca="1" si="1">IF(L8&gt;0,N8*100/L8,0)</f>
        <v>50.674609425760138</v>
      </c>
      <c r="P8" s="867">
        <f t="shared" ref="P8:P16" ca="1" si="2">IF(M8&gt;0,N8*100/M8,0)</f>
        <v>58.276250156910955</v>
      </c>
      <c r="Q8" s="868"/>
      <c r="R8" s="868"/>
      <c r="S8" s="868"/>
      <c r="T8" s="868"/>
      <c r="U8" s="868"/>
      <c r="V8" s="868"/>
      <c r="W8" s="868"/>
      <c r="X8" s="868"/>
      <c r="Y8" s="868"/>
      <c r="Z8" s="868"/>
    </row>
    <row r="9" spans="1:26" ht="18.75" hidden="1">
      <c r="A9" s="869"/>
      <c r="B9" s="870"/>
      <c r="C9" s="870"/>
      <c r="D9" s="870"/>
      <c r="E9" s="871" t="s">
        <v>18</v>
      </c>
      <c r="F9" s="870"/>
      <c r="G9" s="872"/>
      <c r="H9" s="28" t="s">
        <v>12</v>
      </c>
      <c r="I9" s="873"/>
      <c r="J9" s="873"/>
      <c r="K9" s="874"/>
      <c r="L9" s="874">
        <f t="shared" ref="L9:N10" si="3">L12+L15</f>
        <v>0</v>
      </c>
      <c r="M9" s="874">
        <f t="shared" si="3"/>
        <v>0</v>
      </c>
      <c r="N9" s="874">
        <f t="shared" si="3"/>
        <v>0</v>
      </c>
      <c r="O9" s="874">
        <f t="shared" si="1"/>
        <v>0</v>
      </c>
      <c r="P9" s="874">
        <f t="shared" si="2"/>
        <v>0</v>
      </c>
      <c r="Q9" s="875"/>
      <c r="R9" s="875"/>
      <c r="S9" s="875"/>
      <c r="T9" s="875"/>
      <c r="U9" s="875"/>
      <c r="V9" s="875"/>
      <c r="W9" s="875"/>
      <c r="X9" s="875"/>
      <c r="Y9" s="875"/>
      <c r="Z9" s="875"/>
    </row>
    <row r="10" spans="1:26" ht="18.75" hidden="1">
      <c r="A10" s="869"/>
      <c r="B10" s="870"/>
      <c r="C10" s="870"/>
      <c r="D10" s="870"/>
      <c r="E10" s="871" t="s">
        <v>19</v>
      </c>
      <c r="F10" s="870"/>
      <c r="G10" s="872"/>
      <c r="H10" s="28" t="s">
        <v>12</v>
      </c>
      <c r="I10" s="873"/>
      <c r="J10" s="873"/>
      <c r="K10" s="874"/>
      <c r="L10" s="874">
        <f t="shared" ca="1" si="3"/>
        <v>2885815</v>
      </c>
      <c r="M10" s="874">
        <f t="shared" ca="1" si="3"/>
        <v>2509385</v>
      </c>
      <c r="N10" s="874">
        <f t="shared" ca="1" si="3"/>
        <v>1462375.48</v>
      </c>
      <c r="O10" s="874">
        <f t="shared" ca="1" si="1"/>
        <v>50.674609425760138</v>
      </c>
      <c r="P10" s="874">
        <f t="shared" ca="1" si="2"/>
        <v>58.276250156910955</v>
      </c>
      <c r="Q10" s="875"/>
      <c r="R10" s="875"/>
      <c r="S10" s="875"/>
      <c r="T10" s="875"/>
      <c r="U10" s="875"/>
      <c r="V10" s="875"/>
      <c r="W10" s="875"/>
      <c r="X10" s="875"/>
      <c r="Y10" s="875"/>
      <c r="Z10" s="875"/>
    </row>
    <row r="11" spans="1:26" ht="18.75">
      <c r="A11" s="876"/>
      <c r="B11" s="877"/>
      <c r="C11" s="877"/>
      <c r="D11" s="878" t="s">
        <v>20</v>
      </c>
      <c r="E11" s="877"/>
      <c r="F11" s="877"/>
      <c r="G11" s="879"/>
      <c r="H11" s="622" t="s">
        <v>12</v>
      </c>
      <c r="I11" s="880"/>
      <c r="J11" s="880"/>
      <c r="K11" s="881"/>
      <c r="L11" s="881">
        <f t="shared" ref="L11:N11" ca="1" si="4">L12+L13</f>
        <v>2724015</v>
      </c>
      <c r="M11" s="881">
        <f t="shared" ca="1" si="4"/>
        <v>2347585</v>
      </c>
      <c r="N11" s="881">
        <f t="shared" ca="1" si="4"/>
        <v>1300575.48</v>
      </c>
      <c r="O11" s="881">
        <f t="shared" ca="1" si="1"/>
        <v>47.744798762121356</v>
      </c>
      <c r="P11" s="881">
        <f t="shared" ca="1" si="2"/>
        <v>55.400570373383708</v>
      </c>
      <c r="Q11" s="868"/>
      <c r="R11" s="868"/>
      <c r="S11" s="868"/>
      <c r="T11" s="868"/>
      <c r="U11" s="868"/>
      <c r="V11" s="868"/>
      <c r="W11" s="868"/>
      <c r="X11" s="868"/>
      <c r="Y11" s="868"/>
      <c r="Z11" s="868"/>
    </row>
    <row r="12" spans="1:26" ht="18.75" hidden="1">
      <c r="A12" s="882"/>
      <c r="B12" s="883"/>
      <c r="C12" s="883"/>
      <c r="D12" s="883"/>
      <c r="E12" s="884" t="s">
        <v>18</v>
      </c>
      <c r="F12" s="883"/>
      <c r="G12" s="885"/>
      <c r="H12" s="43" t="s">
        <v>12</v>
      </c>
      <c r="I12" s="886"/>
      <c r="J12" s="886"/>
      <c r="K12" s="887"/>
      <c r="L12" s="887">
        <f t="shared" ref="L12:N13" si="5">L22+L32</f>
        <v>0</v>
      </c>
      <c r="M12" s="887">
        <f t="shared" si="5"/>
        <v>0</v>
      </c>
      <c r="N12" s="887">
        <f t="shared" si="5"/>
        <v>0</v>
      </c>
      <c r="O12" s="887">
        <f t="shared" si="1"/>
        <v>0</v>
      </c>
      <c r="P12" s="887">
        <f t="shared" si="2"/>
        <v>0</v>
      </c>
      <c r="Q12" s="875"/>
      <c r="R12" s="875"/>
      <c r="S12" s="875"/>
      <c r="T12" s="875"/>
      <c r="U12" s="875"/>
      <c r="V12" s="875"/>
      <c r="W12" s="875"/>
      <c r="X12" s="875"/>
      <c r="Y12" s="875"/>
      <c r="Z12" s="875"/>
    </row>
    <row r="13" spans="1:26" ht="18.75" hidden="1">
      <c r="A13" s="882"/>
      <c r="B13" s="883"/>
      <c r="C13" s="883"/>
      <c r="D13" s="883"/>
      <c r="E13" s="884" t="s">
        <v>19</v>
      </c>
      <c r="F13" s="883"/>
      <c r="G13" s="885"/>
      <c r="H13" s="43" t="s">
        <v>12</v>
      </c>
      <c r="I13" s="886"/>
      <c r="J13" s="886"/>
      <c r="K13" s="887"/>
      <c r="L13" s="887">
        <f t="shared" ca="1" si="5"/>
        <v>2724015</v>
      </c>
      <c r="M13" s="887">
        <f t="shared" ca="1" si="5"/>
        <v>2347585</v>
      </c>
      <c r="N13" s="887">
        <f t="shared" ca="1" si="5"/>
        <v>1300575.48</v>
      </c>
      <c r="O13" s="887">
        <f t="shared" ca="1" si="1"/>
        <v>47.744798762121356</v>
      </c>
      <c r="P13" s="887">
        <f t="shared" ca="1" si="2"/>
        <v>55.400570373383708</v>
      </c>
      <c r="Q13" s="875"/>
      <c r="R13" s="875"/>
      <c r="S13" s="875"/>
      <c r="T13" s="875"/>
      <c r="U13" s="875"/>
      <c r="V13" s="875"/>
      <c r="W13" s="875"/>
      <c r="X13" s="875"/>
      <c r="Y13" s="875"/>
      <c r="Z13" s="875"/>
    </row>
    <row r="14" spans="1:26" ht="18.75">
      <c r="A14" s="876"/>
      <c r="B14" s="877"/>
      <c r="C14" s="877"/>
      <c r="D14" s="878" t="s">
        <v>21</v>
      </c>
      <c r="E14" s="877"/>
      <c r="F14" s="877"/>
      <c r="G14" s="879"/>
      <c r="H14" s="622" t="s">
        <v>12</v>
      </c>
      <c r="I14" s="880"/>
      <c r="J14" s="880"/>
      <c r="K14" s="881"/>
      <c r="L14" s="881">
        <f t="shared" ref="L14:N14" ca="1" si="6">L15+L16</f>
        <v>161800</v>
      </c>
      <c r="M14" s="881">
        <f t="shared" ca="1" si="6"/>
        <v>161800</v>
      </c>
      <c r="N14" s="881">
        <f t="shared" ca="1" si="6"/>
        <v>161800</v>
      </c>
      <c r="O14" s="881">
        <f t="shared" ca="1" si="1"/>
        <v>100</v>
      </c>
      <c r="P14" s="881">
        <f t="shared" ca="1" si="2"/>
        <v>100</v>
      </c>
      <c r="Q14" s="868"/>
      <c r="R14" s="868"/>
      <c r="S14" s="868"/>
      <c r="T14" s="868"/>
      <c r="U14" s="868"/>
      <c r="V14" s="868"/>
      <c r="W14" s="868"/>
      <c r="X14" s="868"/>
      <c r="Y14" s="868"/>
      <c r="Z14" s="868"/>
    </row>
    <row r="15" spans="1:26" ht="18.75" hidden="1">
      <c r="A15" s="882"/>
      <c r="B15" s="883"/>
      <c r="C15" s="883"/>
      <c r="D15" s="883"/>
      <c r="E15" s="884" t="s">
        <v>18</v>
      </c>
      <c r="F15" s="883"/>
      <c r="G15" s="885"/>
      <c r="H15" s="43" t="s">
        <v>12</v>
      </c>
      <c r="I15" s="886"/>
      <c r="J15" s="886"/>
      <c r="K15" s="887"/>
      <c r="L15" s="887">
        <f t="shared" ref="L15:N16" si="7">L25+L35</f>
        <v>0</v>
      </c>
      <c r="M15" s="887">
        <f t="shared" si="7"/>
        <v>0</v>
      </c>
      <c r="N15" s="887">
        <f t="shared" si="7"/>
        <v>0</v>
      </c>
      <c r="O15" s="887">
        <f t="shared" si="1"/>
        <v>0</v>
      </c>
      <c r="P15" s="887">
        <f t="shared" si="2"/>
        <v>0</v>
      </c>
      <c r="Q15" s="875"/>
      <c r="R15" s="875"/>
      <c r="S15" s="875"/>
      <c r="T15" s="875"/>
      <c r="U15" s="875"/>
      <c r="V15" s="875"/>
      <c r="W15" s="875"/>
      <c r="X15" s="875"/>
      <c r="Y15" s="875"/>
      <c r="Z15" s="875"/>
    </row>
    <row r="16" spans="1:26" ht="18.75" hidden="1">
      <c r="A16" s="888"/>
      <c r="B16" s="889"/>
      <c r="C16" s="889"/>
      <c r="D16" s="889"/>
      <c r="E16" s="890" t="s">
        <v>19</v>
      </c>
      <c r="F16" s="889"/>
      <c r="G16" s="891"/>
      <c r="H16" s="50" t="s">
        <v>12</v>
      </c>
      <c r="I16" s="892"/>
      <c r="J16" s="892"/>
      <c r="K16" s="893"/>
      <c r="L16" s="893">
        <f t="shared" ca="1" si="7"/>
        <v>161800</v>
      </c>
      <c r="M16" s="893">
        <f t="shared" ca="1" si="7"/>
        <v>161800</v>
      </c>
      <c r="N16" s="893">
        <f t="shared" ca="1" si="7"/>
        <v>161800</v>
      </c>
      <c r="O16" s="893">
        <f t="shared" ca="1" si="1"/>
        <v>100</v>
      </c>
      <c r="P16" s="893">
        <f t="shared" ca="1" si="2"/>
        <v>100</v>
      </c>
      <c r="Q16" s="875"/>
      <c r="R16" s="875"/>
      <c r="S16" s="875"/>
      <c r="T16" s="875"/>
      <c r="U16" s="875"/>
      <c r="V16" s="875"/>
      <c r="W16" s="875"/>
      <c r="X16" s="875"/>
      <c r="Y16" s="875"/>
      <c r="Z16" s="875"/>
    </row>
    <row r="17" spans="1:26" ht="19.5">
      <c r="A17" s="856" t="s">
        <v>22</v>
      </c>
      <c r="B17" s="833"/>
      <c r="C17" s="833"/>
      <c r="D17" s="833"/>
      <c r="E17" s="833"/>
      <c r="F17" s="833"/>
      <c r="G17" s="831"/>
      <c r="H17" s="857"/>
      <c r="I17" s="858"/>
      <c r="J17" s="858"/>
      <c r="K17" s="859"/>
      <c r="L17" s="859"/>
      <c r="M17" s="859"/>
      <c r="N17" s="859"/>
      <c r="O17" s="859"/>
      <c r="P17" s="859"/>
    </row>
    <row r="18" spans="1:26" ht="19.5">
      <c r="A18" s="860"/>
      <c r="B18" s="861"/>
      <c r="C18" s="862" t="s">
        <v>16</v>
      </c>
      <c r="D18" s="863" t="s">
        <v>17</v>
      </c>
      <c r="E18" s="861"/>
      <c r="F18" s="861"/>
      <c r="G18" s="864"/>
      <c r="H18" s="19" t="s">
        <v>12</v>
      </c>
      <c r="I18" s="865"/>
      <c r="J18" s="865"/>
      <c r="K18" s="866"/>
      <c r="L18" s="867">
        <f t="shared" ref="L18:N18" ca="1" si="8">L19+L20</f>
        <v>2091540</v>
      </c>
      <c r="M18" s="867">
        <f t="shared" ca="1" si="8"/>
        <v>1715110</v>
      </c>
      <c r="N18" s="867">
        <f t="shared" ca="1" si="8"/>
        <v>1123805.48</v>
      </c>
      <c r="O18" s="867">
        <f t="shared" ref="O18:O26" ca="1" si="9">IF(L18&gt;0,N18*100/L18,0)</f>
        <v>53.731005861709555</v>
      </c>
      <c r="P18" s="867">
        <f t="shared" ref="P18:P26" ca="1" si="10">IF(M18&gt;0,N18*100/M18,0)</f>
        <v>65.523813632944822</v>
      </c>
      <c r="Q18" s="868"/>
      <c r="R18" s="868"/>
      <c r="S18" s="868"/>
      <c r="T18" s="868"/>
      <c r="U18" s="868"/>
      <c r="V18" s="868"/>
      <c r="W18" s="868"/>
      <c r="X18" s="868"/>
      <c r="Y18" s="868"/>
      <c r="Z18" s="868"/>
    </row>
    <row r="19" spans="1:26" ht="18.75" hidden="1">
      <c r="A19" s="869"/>
      <c r="B19" s="870"/>
      <c r="C19" s="870"/>
      <c r="D19" s="870"/>
      <c r="E19" s="871" t="s">
        <v>18</v>
      </c>
      <c r="F19" s="870"/>
      <c r="G19" s="872"/>
      <c r="H19" s="28" t="s">
        <v>12</v>
      </c>
      <c r="I19" s="873"/>
      <c r="J19" s="873"/>
      <c r="K19" s="874"/>
      <c r="L19" s="874">
        <f t="shared" ref="L19:N20" si="11">L22+L25</f>
        <v>0</v>
      </c>
      <c r="M19" s="874">
        <f t="shared" si="11"/>
        <v>0</v>
      </c>
      <c r="N19" s="874">
        <f t="shared" si="11"/>
        <v>0</v>
      </c>
      <c r="O19" s="874">
        <f t="shared" si="9"/>
        <v>0</v>
      </c>
      <c r="P19" s="874">
        <f t="shared" si="10"/>
        <v>0</v>
      </c>
      <c r="Q19" s="875"/>
      <c r="R19" s="875"/>
      <c r="S19" s="875"/>
      <c r="T19" s="875"/>
      <c r="U19" s="875"/>
      <c r="V19" s="875"/>
      <c r="W19" s="875"/>
      <c r="X19" s="875"/>
      <c r="Y19" s="875"/>
      <c r="Z19" s="875"/>
    </row>
    <row r="20" spans="1:26" ht="18.75" hidden="1">
      <c r="A20" s="869"/>
      <c r="B20" s="870"/>
      <c r="C20" s="870"/>
      <c r="D20" s="870"/>
      <c r="E20" s="871" t="s">
        <v>19</v>
      </c>
      <c r="F20" s="870"/>
      <c r="G20" s="872"/>
      <c r="H20" s="28" t="s">
        <v>12</v>
      </c>
      <c r="I20" s="873"/>
      <c r="J20" s="873"/>
      <c r="K20" s="874"/>
      <c r="L20" s="874">
        <f t="shared" ca="1" si="11"/>
        <v>2091540</v>
      </c>
      <c r="M20" s="874">
        <f t="shared" ca="1" si="11"/>
        <v>1715110</v>
      </c>
      <c r="N20" s="874">
        <f t="shared" ca="1" si="11"/>
        <v>1123805.48</v>
      </c>
      <c r="O20" s="874">
        <f t="shared" ca="1" si="9"/>
        <v>53.731005861709555</v>
      </c>
      <c r="P20" s="874">
        <f t="shared" ca="1" si="10"/>
        <v>65.523813632944822</v>
      </c>
      <c r="Q20" s="875"/>
      <c r="R20" s="875"/>
      <c r="S20" s="875"/>
      <c r="T20" s="875"/>
      <c r="U20" s="875"/>
      <c r="V20" s="875"/>
      <c r="W20" s="875"/>
      <c r="X20" s="875"/>
      <c r="Y20" s="875"/>
      <c r="Z20" s="875"/>
    </row>
    <row r="21" spans="1:26" ht="18.75">
      <c r="A21" s="876"/>
      <c r="B21" s="877"/>
      <c r="C21" s="877"/>
      <c r="D21" s="878" t="s">
        <v>20</v>
      </c>
      <c r="E21" s="877"/>
      <c r="F21" s="877"/>
      <c r="G21" s="879"/>
      <c r="H21" s="622" t="s">
        <v>12</v>
      </c>
      <c r="I21" s="880"/>
      <c r="J21" s="880"/>
      <c r="K21" s="881"/>
      <c r="L21" s="881">
        <f t="shared" ref="L21:N21" ca="1" si="12">L22+L23</f>
        <v>1929740</v>
      </c>
      <c r="M21" s="881">
        <f t="shared" ca="1" si="12"/>
        <v>1553310</v>
      </c>
      <c r="N21" s="881">
        <f t="shared" ca="1" si="12"/>
        <v>962005.48</v>
      </c>
      <c r="O21" s="881">
        <f t="shared" ca="1" si="9"/>
        <v>49.85155927741561</v>
      </c>
      <c r="P21" s="881">
        <f t="shared" ca="1" si="10"/>
        <v>61.932613580032317</v>
      </c>
      <c r="Q21" s="868"/>
      <c r="R21" s="868"/>
      <c r="S21" s="868"/>
      <c r="T21" s="868"/>
      <c r="U21" s="868"/>
      <c r="V21" s="868"/>
      <c r="W21" s="868"/>
      <c r="X21" s="868"/>
      <c r="Y21" s="868"/>
      <c r="Z21" s="868"/>
    </row>
    <row r="22" spans="1:26" ht="18.75" hidden="1">
      <c r="A22" s="882"/>
      <c r="B22" s="883"/>
      <c r="C22" s="883"/>
      <c r="D22" s="883"/>
      <c r="E22" s="884" t="s">
        <v>18</v>
      </c>
      <c r="F22" s="883"/>
      <c r="G22" s="885"/>
      <c r="H22" s="43" t="s">
        <v>12</v>
      </c>
      <c r="I22" s="886"/>
      <c r="J22" s="886"/>
      <c r="K22" s="887"/>
      <c r="L22" s="887">
        <f t="shared" ref="L22:N23" si="13">L45+L57+L70+L92+L123+L136+L153+L185+L169+L265+L281+L302+L319+L332+L349+L393+L406</f>
        <v>0</v>
      </c>
      <c r="M22" s="887">
        <f t="shared" si="13"/>
        <v>0</v>
      </c>
      <c r="N22" s="887">
        <f t="shared" si="13"/>
        <v>0</v>
      </c>
      <c r="O22" s="887">
        <f t="shared" si="9"/>
        <v>0</v>
      </c>
      <c r="P22" s="887">
        <f t="shared" si="10"/>
        <v>0</v>
      </c>
      <c r="Q22" s="875"/>
      <c r="R22" s="875"/>
      <c r="S22" s="875"/>
      <c r="T22" s="875"/>
      <c r="U22" s="875"/>
      <c r="V22" s="875"/>
      <c r="W22" s="875"/>
      <c r="X22" s="875"/>
      <c r="Y22" s="875"/>
      <c r="Z22" s="875"/>
    </row>
    <row r="23" spans="1:26" ht="18.75" hidden="1">
      <c r="A23" s="882"/>
      <c r="B23" s="883"/>
      <c r="C23" s="883"/>
      <c r="D23" s="883"/>
      <c r="E23" s="884" t="s">
        <v>19</v>
      </c>
      <c r="F23" s="883"/>
      <c r="G23" s="885"/>
      <c r="H23" s="43" t="s">
        <v>12</v>
      </c>
      <c r="I23" s="886"/>
      <c r="J23" s="886"/>
      <c r="K23" s="887"/>
      <c r="L23" s="887">
        <f t="shared" ca="1" si="13"/>
        <v>1929740</v>
      </c>
      <c r="M23" s="887">
        <f t="shared" ca="1" si="13"/>
        <v>1553310</v>
      </c>
      <c r="N23" s="887">
        <f t="shared" ca="1" si="13"/>
        <v>962005.48</v>
      </c>
      <c r="O23" s="887">
        <f t="shared" ca="1" si="9"/>
        <v>49.85155927741561</v>
      </c>
      <c r="P23" s="887">
        <f t="shared" ca="1" si="10"/>
        <v>61.932613580032317</v>
      </c>
      <c r="Q23" s="875"/>
      <c r="R23" s="875"/>
      <c r="S23" s="875"/>
      <c r="T23" s="875"/>
      <c r="U23" s="875"/>
      <c r="V23" s="875"/>
      <c r="W23" s="875"/>
      <c r="X23" s="875"/>
      <c r="Y23" s="875"/>
      <c r="Z23" s="875"/>
    </row>
    <row r="24" spans="1:26" ht="18.75">
      <c r="A24" s="876"/>
      <c r="B24" s="877"/>
      <c r="C24" s="877"/>
      <c r="D24" s="878" t="s">
        <v>21</v>
      </c>
      <c r="E24" s="877"/>
      <c r="F24" s="877"/>
      <c r="G24" s="879"/>
      <c r="H24" s="622" t="s">
        <v>12</v>
      </c>
      <c r="I24" s="880"/>
      <c r="J24" s="880"/>
      <c r="K24" s="881"/>
      <c r="L24" s="881">
        <f t="shared" ref="L24:N24" ca="1" si="14">L25+L26</f>
        <v>161800</v>
      </c>
      <c r="M24" s="881">
        <f t="shared" ca="1" si="14"/>
        <v>161800</v>
      </c>
      <c r="N24" s="881">
        <f t="shared" ca="1" si="14"/>
        <v>161800</v>
      </c>
      <c r="O24" s="881">
        <f t="shared" ca="1" si="9"/>
        <v>100</v>
      </c>
      <c r="P24" s="881">
        <f t="shared" ca="1" si="10"/>
        <v>100</v>
      </c>
      <c r="Q24" s="868"/>
      <c r="R24" s="868"/>
      <c r="S24" s="868"/>
      <c r="T24" s="868"/>
      <c r="U24" s="868"/>
      <c r="V24" s="868"/>
      <c r="W24" s="868"/>
      <c r="X24" s="868"/>
      <c r="Y24" s="868"/>
      <c r="Z24" s="868"/>
    </row>
    <row r="25" spans="1:26" ht="18.75" hidden="1">
      <c r="A25" s="882"/>
      <c r="B25" s="883"/>
      <c r="C25" s="883"/>
      <c r="D25" s="883"/>
      <c r="E25" s="884" t="s">
        <v>18</v>
      </c>
      <c r="F25" s="883"/>
      <c r="G25" s="885"/>
      <c r="H25" s="43" t="s">
        <v>12</v>
      </c>
      <c r="I25" s="886"/>
      <c r="J25" s="886"/>
      <c r="K25" s="887"/>
      <c r="L25" s="887">
        <f t="shared" ref="L25:N26" si="15">L48+L60+L73+L95+L126+L139+L156+L188+L172+L268+L284+L305+L322+L335+L352+L396+L409</f>
        <v>0</v>
      </c>
      <c r="M25" s="887">
        <f t="shared" si="15"/>
        <v>0</v>
      </c>
      <c r="N25" s="887">
        <f t="shared" si="15"/>
        <v>0</v>
      </c>
      <c r="O25" s="887">
        <f t="shared" si="9"/>
        <v>0</v>
      </c>
      <c r="P25" s="887">
        <f t="shared" si="10"/>
        <v>0</v>
      </c>
      <c r="Q25" s="875"/>
      <c r="R25" s="875"/>
      <c r="S25" s="875"/>
      <c r="T25" s="875"/>
      <c r="U25" s="875"/>
      <c r="V25" s="875"/>
      <c r="W25" s="875"/>
      <c r="X25" s="875"/>
      <c r="Y25" s="875"/>
      <c r="Z25" s="875"/>
    </row>
    <row r="26" spans="1:26" ht="18.75" hidden="1">
      <c r="A26" s="888"/>
      <c r="B26" s="889"/>
      <c r="C26" s="889"/>
      <c r="D26" s="889"/>
      <c r="E26" s="890" t="s">
        <v>19</v>
      </c>
      <c r="F26" s="889"/>
      <c r="G26" s="891"/>
      <c r="H26" s="50" t="s">
        <v>12</v>
      </c>
      <c r="I26" s="892"/>
      <c r="J26" s="892"/>
      <c r="K26" s="893"/>
      <c r="L26" s="893">
        <f t="shared" ca="1" si="15"/>
        <v>161800</v>
      </c>
      <c r="M26" s="893">
        <f t="shared" ca="1" si="15"/>
        <v>161800</v>
      </c>
      <c r="N26" s="893">
        <f t="shared" ca="1" si="15"/>
        <v>161800</v>
      </c>
      <c r="O26" s="893">
        <f t="shared" ca="1" si="9"/>
        <v>100</v>
      </c>
      <c r="P26" s="893">
        <f t="shared" ca="1" si="10"/>
        <v>100</v>
      </c>
      <c r="Q26" s="875"/>
      <c r="R26" s="875"/>
      <c r="S26" s="875"/>
      <c r="T26" s="875"/>
      <c r="U26" s="875"/>
      <c r="V26" s="875"/>
      <c r="W26" s="875"/>
      <c r="X26" s="875"/>
      <c r="Y26" s="875"/>
      <c r="Z26" s="875"/>
    </row>
    <row r="27" spans="1:26" ht="19.5">
      <c r="A27" s="856" t="s">
        <v>23</v>
      </c>
      <c r="B27" s="833"/>
      <c r="C27" s="833"/>
      <c r="D27" s="833"/>
      <c r="E27" s="833"/>
      <c r="F27" s="833"/>
      <c r="G27" s="831"/>
      <c r="H27" s="857"/>
      <c r="I27" s="858"/>
      <c r="J27" s="858"/>
      <c r="K27" s="859"/>
      <c r="L27" s="859"/>
      <c r="M27" s="859"/>
      <c r="N27" s="859"/>
      <c r="O27" s="859"/>
      <c r="P27" s="859"/>
    </row>
    <row r="28" spans="1:26" ht="19.5">
      <c r="A28" s="860"/>
      <c r="B28" s="861"/>
      <c r="C28" s="862" t="s">
        <v>16</v>
      </c>
      <c r="D28" s="863" t="s">
        <v>17</v>
      </c>
      <c r="E28" s="861"/>
      <c r="F28" s="861"/>
      <c r="G28" s="864"/>
      <c r="H28" s="19" t="s">
        <v>12</v>
      </c>
      <c r="I28" s="865"/>
      <c r="J28" s="865"/>
      <c r="K28" s="866"/>
      <c r="L28" s="867">
        <f t="shared" ref="L28:N28" ca="1" si="16">L29+L30</f>
        <v>794275</v>
      </c>
      <c r="M28" s="867">
        <f t="shared" ca="1" si="16"/>
        <v>794275</v>
      </c>
      <c r="N28" s="867">
        <f t="shared" si="16"/>
        <v>338570</v>
      </c>
      <c r="O28" s="867">
        <f t="shared" ref="O28:O37" ca="1" si="17">IF(L28&gt;0,N28*100/L28,0)</f>
        <v>42.626294419439112</v>
      </c>
      <c r="P28" s="867">
        <f t="shared" ref="P28:P37" ca="1" si="18">IF(M28&gt;0,N28*100/M28,0)</f>
        <v>42.626294419439112</v>
      </c>
      <c r="Q28" s="868"/>
      <c r="R28" s="868"/>
      <c r="S28" s="868"/>
      <c r="T28" s="868"/>
      <c r="U28" s="868"/>
      <c r="V28" s="868"/>
      <c r="W28" s="868"/>
      <c r="X28" s="868"/>
      <c r="Y28" s="868"/>
      <c r="Z28" s="868"/>
    </row>
    <row r="29" spans="1:26" ht="18.75" hidden="1">
      <c r="A29" s="869"/>
      <c r="B29" s="870"/>
      <c r="C29" s="870"/>
      <c r="D29" s="870"/>
      <c r="E29" s="871" t="s">
        <v>18</v>
      </c>
      <c r="F29" s="870"/>
      <c r="G29" s="872"/>
      <c r="H29" s="28" t="s">
        <v>12</v>
      </c>
      <c r="I29" s="873"/>
      <c r="J29" s="873"/>
      <c r="K29" s="874"/>
      <c r="L29" s="874">
        <f t="shared" ref="L29:N30" si="19">L32+L35</f>
        <v>0</v>
      </c>
      <c r="M29" s="874">
        <f t="shared" si="19"/>
        <v>0</v>
      </c>
      <c r="N29" s="874">
        <f t="shared" si="19"/>
        <v>0</v>
      </c>
      <c r="O29" s="874">
        <f t="shared" si="17"/>
        <v>0</v>
      </c>
      <c r="P29" s="874">
        <f t="shared" si="18"/>
        <v>0</v>
      </c>
      <c r="Q29" s="875"/>
      <c r="R29" s="875"/>
      <c r="S29" s="875"/>
      <c r="T29" s="875"/>
      <c r="U29" s="875"/>
      <c r="V29" s="875"/>
      <c r="W29" s="875"/>
      <c r="X29" s="875"/>
      <c r="Y29" s="875"/>
      <c r="Z29" s="875"/>
    </row>
    <row r="30" spans="1:26" ht="18.75" hidden="1">
      <c r="A30" s="869"/>
      <c r="B30" s="870"/>
      <c r="C30" s="870"/>
      <c r="D30" s="870"/>
      <c r="E30" s="871" t="s">
        <v>19</v>
      </c>
      <c r="F30" s="870"/>
      <c r="G30" s="872"/>
      <c r="H30" s="28" t="s">
        <v>12</v>
      </c>
      <c r="I30" s="873"/>
      <c r="J30" s="873"/>
      <c r="K30" s="874"/>
      <c r="L30" s="874">
        <f t="shared" ca="1" si="19"/>
        <v>794275</v>
      </c>
      <c r="M30" s="874">
        <f t="shared" ca="1" si="19"/>
        <v>794275</v>
      </c>
      <c r="N30" s="874">
        <f t="shared" si="19"/>
        <v>338570</v>
      </c>
      <c r="O30" s="874">
        <f t="shared" ca="1" si="17"/>
        <v>42.626294419439112</v>
      </c>
      <c r="P30" s="874">
        <f t="shared" ca="1" si="18"/>
        <v>42.626294419439112</v>
      </c>
      <c r="Q30" s="875"/>
      <c r="R30" s="875"/>
      <c r="S30" s="875"/>
      <c r="T30" s="875"/>
      <c r="U30" s="875"/>
      <c r="V30" s="875"/>
      <c r="W30" s="875"/>
      <c r="X30" s="875"/>
      <c r="Y30" s="875"/>
      <c r="Z30" s="875"/>
    </row>
    <row r="31" spans="1:26" ht="18.75">
      <c r="A31" s="876"/>
      <c r="B31" s="877"/>
      <c r="C31" s="877"/>
      <c r="D31" s="878" t="s">
        <v>20</v>
      </c>
      <c r="E31" s="877"/>
      <c r="F31" s="877"/>
      <c r="G31" s="879"/>
      <c r="H31" s="622" t="s">
        <v>12</v>
      </c>
      <c r="I31" s="880"/>
      <c r="J31" s="880"/>
      <c r="K31" s="881"/>
      <c r="L31" s="881">
        <f t="shared" ref="L31:N31" ca="1" si="20">L32+L33</f>
        <v>794275</v>
      </c>
      <c r="M31" s="881">
        <f t="shared" ca="1" si="20"/>
        <v>794275</v>
      </c>
      <c r="N31" s="881">
        <f t="shared" si="20"/>
        <v>338570</v>
      </c>
      <c r="O31" s="881">
        <f t="shared" ca="1" si="17"/>
        <v>42.626294419439112</v>
      </c>
      <c r="P31" s="881">
        <f t="shared" ca="1" si="18"/>
        <v>42.626294419439112</v>
      </c>
      <c r="Q31" s="868"/>
      <c r="R31" s="868"/>
      <c r="S31" s="868"/>
      <c r="T31" s="868"/>
      <c r="U31" s="868"/>
      <c r="V31" s="868"/>
      <c r="W31" s="868"/>
      <c r="X31" s="868"/>
      <c r="Y31" s="868"/>
      <c r="Z31" s="868"/>
    </row>
    <row r="32" spans="1:26" ht="18.75" hidden="1">
      <c r="A32" s="882"/>
      <c r="B32" s="883"/>
      <c r="C32" s="883"/>
      <c r="D32" s="883"/>
      <c r="E32" s="884" t="s">
        <v>18</v>
      </c>
      <c r="F32" s="883"/>
      <c r="G32" s="885"/>
      <c r="H32" s="43" t="s">
        <v>12</v>
      </c>
      <c r="I32" s="886"/>
      <c r="J32" s="886"/>
      <c r="K32" s="887"/>
      <c r="L32" s="887">
        <f t="shared" ref="L32:N33" si="21">L423+L448+L471+L506+L527+L548+L633+L659+L689+L741+L758+L774+L790+L809</f>
        <v>0</v>
      </c>
      <c r="M32" s="887">
        <f t="shared" si="21"/>
        <v>0</v>
      </c>
      <c r="N32" s="887">
        <f t="shared" si="21"/>
        <v>0</v>
      </c>
      <c r="O32" s="887">
        <f t="shared" si="17"/>
        <v>0</v>
      </c>
      <c r="P32" s="887">
        <f t="shared" si="18"/>
        <v>0</v>
      </c>
      <c r="Q32" s="875"/>
      <c r="R32" s="875"/>
      <c r="S32" s="875"/>
      <c r="T32" s="875"/>
      <c r="U32" s="875"/>
      <c r="V32" s="875"/>
      <c r="W32" s="875"/>
      <c r="X32" s="875"/>
      <c r="Y32" s="875"/>
      <c r="Z32" s="875"/>
    </row>
    <row r="33" spans="1:26" ht="18.75" hidden="1">
      <c r="A33" s="882"/>
      <c r="B33" s="883"/>
      <c r="C33" s="883"/>
      <c r="D33" s="883"/>
      <c r="E33" s="884" t="s">
        <v>19</v>
      </c>
      <c r="F33" s="883"/>
      <c r="G33" s="885"/>
      <c r="H33" s="43" t="s">
        <v>12</v>
      </c>
      <c r="I33" s="886"/>
      <c r="J33" s="886"/>
      <c r="K33" s="887"/>
      <c r="L33" s="887">
        <f t="shared" ca="1" si="21"/>
        <v>794275</v>
      </c>
      <c r="M33" s="887">
        <f t="shared" ca="1" si="21"/>
        <v>794275</v>
      </c>
      <c r="N33" s="887">
        <f t="shared" si="21"/>
        <v>338570</v>
      </c>
      <c r="O33" s="887">
        <f t="shared" ca="1" si="17"/>
        <v>42.626294419439112</v>
      </c>
      <c r="P33" s="887">
        <f t="shared" ca="1" si="18"/>
        <v>42.626294419439112</v>
      </c>
      <c r="Q33" s="875"/>
      <c r="R33" s="875"/>
      <c r="S33" s="875"/>
      <c r="T33" s="875"/>
      <c r="U33" s="875"/>
      <c r="V33" s="875"/>
      <c r="W33" s="875"/>
      <c r="X33" s="875"/>
      <c r="Y33" s="875"/>
      <c r="Z33" s="875"/>
    </row>
    <row r="34" spans="1:26" ht="18.75">
      <c r="A34" s="876"/>
      <c r="B34" s="877"/>
      <c r="C34" s="877"/>
      <c r="D34" s="878" t="s">
        <v>21</v>
      </c>
      <c r="E34" s="877"/>
      <c r="F34" s="877"/>
      <c r="G34" s="879"/>
      <c r="H34" s="622" t="s">
        <v>12</v>
      </c>
      <c r="I34" s="880"/>
      <c r="J34" s="880"/>
      <c r="K34" s="881"/>
      <c r="L34" s="881">
        <f t="shared" ref="L34:N34" ca="1" si="22">L35+L36</f>
        <v>0</v>
      </c>
      <c r="M34" s="881">
        <f t="shared" si="22"/>
        <v>0</v>
      </c>
      <c r="N34" s="881">
        <f t="shared" si="22"/>
        <v>0</v>
      </c>
      <c r="O34" s="881">
        <f t="shared" ca="1" si="17"/>
        <v>0</v>
      </c>
      <c r="P34" s="881">
        <f t="shared" si="18"/>
        <v>0</v>
      </c>
      <c r="Q34" s="868"/>
      <c r="R34" s="868"/>
      <c r="S34" s="868"/>
      <c r="T34" s="868"/>
      <c r="U34" s="868"/>
      <c r="V34" s="868"/>
      <c r="W34" s="868"/>
      <c r="X34" s="868"/>
      <c r="Y34" s="868"/>
      <c r="Z34" s="868"/>
    </row>
    <row r="35" spans="1:26" ht="18.75" hidden="1">
      <c r="A35" s="882"/>
      <c r="B35" s="883"/>
      <c r="C35" s="883"/>
      <c r="D35" s="883"/>
      <c r="E35" s="884" t="s">
        <v>18</v>
      </c>
      <c r="F35" s="883"/>
      <c r="G35" s="885"/>
      <c r="H35" s="43" t="s">
        <v>12</v>
      </c>
      <c r="I35" s="886"/>
      <c r="J35" s="886"/>
      <c r="K35" s="887"/>
      <c r="L35" s="887">
        <f t="shared" ref="L35:N36" si="23">L430+L455+L478+L513+L534+L556+L640+L666+L696+L748+L765+L781+L797+L816</f>
        <v>0</v>
      </c>
      <c r="M35" s="887">
        <f t="shared" si="23"/>
        <v>0</v>
      </c>
      <c r="N35" s="887">
        <f t="shared" si="23"/>
        <v>0</v>
      </c>
      <c r="O35" s="887">
        <f t="shared" si="17"/>
        <v>0</v>
      </c>
      <c r="P35" s="887">
        <f t="shared" si="18"/>
        <v>0</v>
      </c>
      <c r="Q35" s="875"/>
      <c r="R35" s="875"/>
      <c r="S35" s="875"/>
      <c r="T35" s="875"/>
      <c r="U35" s="875"/>
      <c r="V35" s="875"/>
      <c r="W35" s="875"/>
      <c r="X35" s="875"/>
      <c r="Y35" s="875"/>
      <c r="Z35" s="875"/>
    </row>
    <row r="36" spans="1:26" ht="18.75" hidden="1">
      <c r="A36" s="888"/>
      <c r="B36" s="889"/>
      <c r="C36" s="889"/>
      <c r="D36" s="889"/>
      <c r="E36" s="890" t="s">
        <v>19</v>
      </c>
      <c r="F36" s="889"/>
      <c r="G36" s="891"/>
      <c r="H36" s="50" t="s">
        <v>12</v>
      </c>
      <c r="I36" s="892"/>
      <c r="J36" s="892"/>
      <c r="K36" s="893"/>
      <c r="L36" s="893">
        <f t="shared" ca="1" si="23"/>
        <v>0</v>
      </c>
      <c r="M36" s="893">
        <f t="shared" si="23"/>
        <v>0</v>
      </c>
      <c r="N36" s="893">
        <f t="shared" si="23"/>
        <v>0</v>
      </c>
      <c r="O36" s="893">
        <f t="shared" ca="1" si="17"/>
        <v>0</v>
      </c>
      <c r="P36" s="893">
        <f t="shared" si="18"/>
        <v>0</v>
      </c>
      <c r="Q36" s="875"/>
      <c r="R36" s="875"/>
      <c r="S36" s="875"/>
      <c r="T36" s="875"/>
      <c r="U36" s="875"/>
      <c r="V36" s="875"/>
      <c r="W36" s="875"/>
      <c r="X36" s="875"/>
      <c r="Y36" s="875"/>
      <c r="Z36" s="875"/>
    </row>
    <row r="37" spans="1:26" ht="19.5">
      <c r="A37" s="894" t="s">
        <v>24</v>
      </c>
      <c r="B37" s="895"/>
      <c r="C37" s="895"/>
      <c r="D37" s="895"/>
      <c r="E37" s="895"/>
      <c r="F37" s="895"/>
      <c r="G37" s="896"/>
      <c r="H37" s="897"/>
      <c r="I37" s="898"/>
      <c r="J37" s="898"/>
      <c r="K37" s="899"/>
      <c r="L37" s="900">
        <f t="shared" ref="L37:N37" ca="1" si="24">L41+L53+L66+L88+L119+L132+L149+L165+L181+L261+L277+L298+L315+L328+L345+L389+L402</f>
        <v>2091540</v>
      </c>
      <c r="M37" s="900">
        <f t="shared" ca="1" si="24"/>
        <v>1715110</v>
      </c>
      <c r="N37" s="900">
        <f t="shared" ca="1" si="24"/>
        <v>1123805.48</v>
      </c>
      <c r="O37" s="900">
        <f t="shared" ca="1" si="17"/>
        <v>53.731005861709555</v>
      </c>
      <c r="P37" s="900">
        <f t="shared" ca="1" si="18"/>
        <v>65.523813632944822</v>
      </c>
    </row>
    <row r="38" spans="1:26" ht="19.5">
      <c r="A38" s="901" t="s">
        <v>25</v>
      </c>
      <c r="B38" s="902"/>
      <c r="C38" s="902"/>
      <c r="D38" s="902"/>
      <c r="E38" s="902"/>
      <c r="F38" s="902"/>
      <c r="G38" s="903"/>
      <c r="H38" s="904"/>
      <c r="I38" s="905"/>
      <c r="J38" s="905"/>
      <c r="K38" s="906"/>
      <c r="L38" s="906"/>
      <c r="M38" s="906"/>
      <c r="N38" s="906"/>
      <c r="O38" s="906"/>
      <c r="P38" s="906"/>
    </row>
    <row r="39" spans="1:26" ht="19.5">
      <c r="A39" s="907"/>
      <c r="B39" s="908" t="s">
        <v>26</v>
      </c>
      <c r="C39" s="909"/>
      <c r="D39" s="909"/>
      <c r="E39" s="909"/>
      <c r="F39" s="909"/>
      <c r="G39" s="910"/>
      <c r="H39" s="911"/>
      <c r="I39" s="912"/>
      <c r="J39" s="912"/>
      <c r="K39" s="913"/>
      <c r="L39" s="913"/>
      <c r="M39" s="913"/>
      <c r="N39" s="913"/>
      <c r="O39" s="913"/>
      <c r="P39" s="913"/>
    </row>
    <row r="40" spans="1:26" ht="19.5">
      <c r="A40" s="914"/>
      <c r="B40" s="915" t="s">
        <v>27</v>
      </c>
      <c r="C40" s="841"/>
      <c r="D40" s="841"/>
      <c r="E40" s="841"/>
      <c r="F40" s="841"/>
      <c r="G40" s="842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82" t="s">
        <v>12</v>
      </c>
      <c r="I41" s="924"/>
      <c r="J41" s="924"/>
      <c r="K41" s="925"/>
      <c r="L41" s="926">
        <f t="shared" ref="L41:N41" ca="1" si="25">L42+L43</f>
        <v>186700</v>
      </c>
      <c r="M41" s="926">
        <f t="shared" ca="1" si="25"/>
        <v>226620</v>
      </c>
      <c r="N41" s="926">
        <f t="shared" ca="1" si="25"/>
        <v>94393</v>
      </c>
      <c r="O41" s="926">
        <f t="shared" ref="O41:O49" ca="1" si="26">IF(L41&gt;0,N41*100/L41,0)</f>
        <v>50.558650241028388</v>
      </c>
      <c r="P41" s="926">
        <f t="shared" ref="P41:P49" ca="1" si="27">IF(M41&gt;0,N41*100/M41,0)</f>
        <v>41.652546112434912</v>
      </c>
      <c r="Q41" s="868"/>
      <c r="R41" s="868"/>
      <c r="S41" s="868"/>
      <c r="T41" s="868"/>
      <c r="U41" s="868"/>
      <c r="V41" s="868"/>
      <c r="W41" s="868"/>
      <c r="X41" s="868"/>
      <c r="Y41" s="868"/>
      <c r="Z41" s="868"/>
    </row>
    <row r="42" spans="1:26" ht="18.75" hidden="1">
      <c r="A42" s="927"/>
      <c r="B42" s="928"/>
      <c r="C42" s="928"/>
      <c r="D42" s="928"/>
      <c r="E42" s="929" t="s">
        <v>18</v>
      </c>
      <c r="F42" s="928"/>
      <c r="G42" s="930"/>
      <c r="H42" s="90" t="s">
        <v>12</v>
      </c>
      <c r="I42" s="931"/>
      <c r="J42" s="931"/>
      <c r="K42" s="932"/>
      <c r="L42" s="932">
        <f t="shared" ref="L42:N43" si="28">L45+L48</f>
        <v>0</v>
      </c>
      <c r="M42" s="932">
        <f t="shared" si="28"/>
        <v>0</v>
      </c>
      <c r="N42" s="932">
        <f t="shared" si="28"/>
        <v>0</v>
      </c>
      <c r="O42" s="932">
        <f t="shared" si="26"/>
        <v>0</v>
      </c>
      <c r="P42" s="932">
        <f t="shared" si="27"/>
        <v>0</v>
      </c>
      <c r="Q42" s="875"/>
      <c r="R42" s="875"/>
      <c r="S42" s="875"/>
      <c r="T42" s="875"/>
      <c r="U42" s="875"/>
      <c r="V42" s="875"/>
      <c r="W42" s="875"/>
      <c r="X42" s="875"/>
      <c r="Y42" s="875"/>
      <c r="Z42" s="875"/>
    </row>
    <row r="43" spans="1:26" ht="18.75" hidden="1">
      <c r="A43" s="927"/>
      <c r="B43" s="928"/>
      <c r="C43" s="928"/>
      <c r="D43" s="928"/>
      <c r="E43" s="929" t="s">
        <v>19</v>
      </c>
      <c r="F43" s="928"/>
      <c r="G43" s="930"/>
      <c r="H43" s="90" t="s">
        <v>12</v>
      </c>
      <c r="I43" s="931"/>
      <c r="J43" s="931"/>
      <c r="K43" s="932"/>
      <c r="L43" s="932">
        <f t="shared" ca="1" si="28"/>
        <v>186700</v>
      </c>
      <c r="M43" s="932">
        <f t="shared" ca="1" si="28"/>
        <v>226620</v>
      </c>
      <c r="N43" s="932">
        <f t="shared" ca="1" si="28"/>
        <v>94393</v>
      </c>
      <c r="O43" s="932">
        <f t="shared" ca="1" si="26"/>
        <v>50.558650241028388</v>
      </c>
      <c r="P43" s="932">
        <f t="shared" ca="1" si="27"/>
        <v>41.652546112434912</v>
      </c>
      <c r="Q43" s="875"/>
      <c r="R43" s="875"/>
      <c r="S43" s="875"/>
      <c r="T43" s="875"/>
      <c r="U43" s="875"/>
      <c r="V43" s="875"/>
      <c r="W43" s="875"/>
      <c r="X43" s="875"/>
      <c r="Y43" s="875"/>
      <c r="Z43" s="875"/>
    </row>
    <row r="44" spans="1:26" ht="18.75">
      <c r="A44" s="876"/>
      <c r="B44" s="877"/>
      <c r="C44" s="877"/>
      <c r="D44" s="878" t="s">
        <v>20</v>
      </c>
      <c r="E44" s="877"/>
      <c r="F44" s="877"/>
      <c r="G44" s="879"/>
      <c r="H44" s="622" t="s">
        <v>12</v>
      </c>
      <c r="I44" s="880"/>
      <c r="J44" s="880"/>
      <c r="K44" s="881"/>
      <c r="L44" s="881">
        <f t="shared" ref="L44:N44" ca="1" si="29">L45+L46</f>
        <v>186700</v>
      </c>
      <c r="M44" s="881">
        <f t="shared" ca="1" si="29"/>
        <v>226620</v>
      </c>
      <c r="N44" s="881">
        <f t="shared" ca="1" si="29"/>
        <v>94393</v>
      </c>
      <c r="O44" s="881">
        <f t="shared" ca="1" si="26"/>
        <v>50.558650241028388</v>
      </c>
      <c r="P44" s="881">
        <f t="shared" ca="1" si="27"/>
        <v>41.652546112434912</v>
      </c>
      <c r="Q44" s="868"/>
      <c r="R44" s="868"/>
      <c r="S44" s="868"/>
      <c r="T44" s="868"/>
      <c r="U44" s="868"/>
      <c r="V44" s="868"/>
      <c r="W44" s="868"/>
      <c r="X44" s="868"/>
      <c r="Y44" s="868"/>
      <c r="Z44" s="868"/>
    </row>
    <row r="45" spans="1:26" ht="18.75" hidden="1">
      <c r="A45" s="882"/>
      <c r="B45" s="883"/>
      <c r="C45" s="883"/>
      <c r="D45" s="883"/>
      <c r="E45" s="884" t="s">
        <v>18</v>
      </c>
      <c r="F45" s="883"/>
      <c r="G45" s="885"/>
      <c r="H45" s="43" t="s">
        <v>12</v>
      </c>
      <c r="I45" s="886"/>
      <c r="J45" s="886"/>
      <c r="K45" s="887"/>
      <c r="L45" s="887">
        <v>0</v>
      </c>
      <c r="M45" s="887">
        <v>0</v>
      </c>
      <c r="N45" s="887">
        <v>0</v>
      </c>
      <c r="O45" s="887">
        <f t="shared" si="26"/>
        <v>0</v>
      </c>
      <c r="P45" s="887">
        <f t="shared" si="27"/>
        <v>0</v>
      </c>
      <c r="Q45" s="875"/>
      <c r="R45" s="875"/>
      <c r="S45" s="875"/>
      <c r="T45" s="875"/>
      <c r="U45" s="875"/>
      <c r="V45" s="875"/>
      <c r="W45" s="875"/>
      <c r="X45" s="875"/>
      <c r="Y45" s="875"/>
      <c r="Z45" s="875"/>
    </row>
    <row r="46" spans="1:26" ht="18.75" hidden="1">
      <c r="A46" s="882"/>
      <c r="B46" s="883"/>
      <c r="C46" s="883"/>
      <c r="D46" s="883"/>
      <c r="E46" s="884" t="s">
        <v>19</v>
      </c>
      <c r="F46" s="883"/>
      <c r="G46" s="885"/>
      <c r="H46" s="43" t="s">
        <v>12</v>
      </c>
      <c r="I46" s="886"/>
      <c r="J46" s="886"/>
      <c r="K46" s="887"/>
      <c r="L46" s="887">
        <f ca="1">IFERROR(__xludf.DUMMYFUNCTION("IMPORTRANGE(""https://docs.google.com/spreadsheets/d/1MeEWN-I1oV_STSDYn1IFDPWt_1FKiwhDph83XaGc0o0/edit?usp=sharing"",""งบพรบ!M84"")"),186700)</f>
        <v>186700</v>
      </c>
      <c r="M46" s="887">
        <f ca="1">IFERROR(__xludf.DUMMYFUNCTION("IMPORTRANGE(""https://docs.google.com/spreadsheets/d/1MeEWN-I1oV_STSDYn1IFDPWt_1FKiwhDph83XaGc0o0/edit?usp=sharing"",""งบพรบ!R84"")"),226620)</f>
        <v>226620</v>
      </c>
      <c r="N46" s="887">
        <f ca="1">IFERROR(__xludf.DUMMYFUNCTION("IMPORTRANGE(""https://docs.google.com/spreadsheets/d/1MeEWN-I1oV_STSDYn1IFDPWt_1FKiwhDph83XaGc0o0/edit?usp=sharing"",""งบพรบ!T84"")"),94393)</f>
        <v>94393</v>
      </c>
      <c r="O46" s="887">
        <f t="shared" ca="1" si="26"/>
        <v>50.558650241028388</v>
      </c>
      <c r="P46" s="887">
        <f t="shared" ca="1" si="27"/>
        <v>41.652546112434912</v>
      </c>
      <c r="Q46" s="875"/>
      <c r="R46" s="875"/>
      <c r="S46" s="875"/>
      <c r="T46" s="875"/>
      <c r="U46" s="875"/>
      <c r="V46" s="875"/>
      <c r="W46" s="875"/>
      <c r="X46" s="875"/>
      <c r="Y46" s="875"/>
      <c r="Z46" s="875"/>
    </row>
    <row r="47" spans="1:26" ht="18.75">
      <c r="A47" s="876"/>
      <c r="B47" s="877"/>
      <c r="C47" s="877"/>
      <c r="D47" s="878" t="s">
        <v>21</v>
      </c>
      <c r="E47" s="877"/>
      <c r="F47" s="877"/>
      <c r="G47" s="879"/>
      <c r="H47" s="622" t="s">
        <v>12</v>
      </c>
      <c r="I47" s="880"/>
      <c r="J47" s="880"/>
      <c r="K47" s="881"/>
      <c r="L47" s="881">
        <f t="shared" ref="L47:N47" ca="1" si="30">L48+L49</f>
        <v>0</v>
      </c>
      <c r="M47" s="881">
        <f t="shared" ca="1" si="30"/>
        <v>0</v>
      </c>
      <c r="N47" s="881">
        <f t="shared" ca="1" si="30"/>
        <v>0</v>
      </c>
      <c r="O47" s="881">
        <f t="shared" ca="1" si="26"/>
        <v>0</v>
      </c>
      <c r="P47" s="881">
        <f t="shared" ca="1" si="27"/>
        <v>0</v>
      </c>
      <c r="Q47" s="868"/>
      <c r="R47" s="868"/>
      <c r="S47" s="868"/>
      <c r="T47" s="868"/>
      <c r="U47" s="868"/>
      <c r="V47" s="868"/>
      <c r="W47" s="868"/>
      <c r="X47" s="868"/>
      <c r="Y47" s="868"/>
      <c r="Z47" s="868"/>
    </row>
    <row r="48" spans="1:26" ht="18.75" hidden="1">
      <c r="A48" s="882"/>
      <c r="B48" s="883"/>
      <c r="C48" s="883"/>
      <c r="D48" s="883"/>
      <c r="E48" s="884" t="s">
        <v>18</v>
      </c>
      <c r="F48" s="883"/>
      <c r="G48" s="885"/>
      <c r="H48" s="43" t="s">
        <v>12</v>
      </c>
      <c r="I48" s="886"/>
      <c r="J48" s="886"/>
      <c r="K48" s="887"/>
      <c r="L48" s="887">
        <v>0</v>
      </c>
      <c r="M48" s="887">
        <v>0</v>
      </c>
      <c r="N48" s="887">
        <v>0</v>
      </c>
      <c r="O48" s="887">
        <f t="shared" si="26"/>
        <v>0</v>
      </c>
      <c r="P48" s="887">
        <f t="shared" si="27"/>
        <v>0</v>
      </c>
      <c r="Q48" s="875"/>
      <c r="R48" s="875"/>
      <c r="S48" s="875"/>
      <c r="T48" s="875"/>
      <c r="U48" s="875"/>
      <c r="V48" s="875"/>
      <c r="W48" s="875"/>
      <c r="X48" s="875"/>
      <c r="Y48" s="875"/>
      <c r="Z48" s="875"/>
    </row>
    <row r="49" spans="1:26" ht="18.75" hidden="1">
      <c r="A49" s="888"/>
      <c r="B49" s="889"/>
      <c r="C49" s="889"/>
      <c r="D49" s="889"/>
      <c r="E49" s="890" t="s">
        <v>19</v>
      </c>
      <c r="F49" s="889"/>
      <c r="G49" s="891"/>
      <c r="H49" s="50" t="s">
        <v>12</v>
      </c>
      <c r="I49" s="892"/>
      <c r="J49" s="892"/>
      <c r="K49" s="893"/>
      <c r="L49" s="893">
        <f ca="1">IFERROR(__xludf.DUMMYFUNCTION("IMPORTRANGE(""https://docs.google.com/spreadsheets/d/1MeEWN-I1oV_STSDYn1IFDPWt_1FKiwhDph83XaGc0o0/edit?usp=sharing"",""งบพรบ!P84"")"),0)</f>
        <v>0</v>
      </c>
      <c r="M49" s="893">
        <f ca="1">IFERROR(__xludf.DUMMYFUNCTION("IMPORTRANGE(""https://docs.google.com/spreadsheets/d/1MeEWN-I1oV_STSDYn1IFDPWt_1FKiwhDph83XaGc0o0/edit?usp=sharing"",""งบพรบ!S84"")"),0)</f>
        <v>0</v>
      </c>
      <c r="N49" s="893">
        <f ca="1">IFERROR(__xludf.DUMMYFUNCTION("IMPORTRANGE(""https://docs.google.com/spreadsheets/d/1MeEWN-I1oV_STSDYn1IFDPWt_1FKiwhDph83XaGc0o0/edit?usp=sharing"",""งบพรบ!U84"")"),0)</f>
        <v>0</v>
      </c>
      <c r="O49" s="893">
        <f t="shared" ca="1" si="26"/>
        <v>0</v>
      </c>
      <c r="P49" s="893">
        <f t="shared" ca="1" si="27"/>
        <v>0</v>
      </c>
      <c r="Q49" s="875"/>
      <c r="R49" s="875"/>
      <c r="S49" s="875"/>
      <c r="T49" s="875"/>
      <c r="U49" s="875"/>
      <c r="V49" s="875"/>
      <c r="W49" s="875"/>
      <c r="X49" s="875"/>
      <c r="Y49" s="875"/>
      <c r="Z49" s="875"/>
    </row>
    <row r="50" spans="1:26" ht="19.5">
      <c r="A50" s="933" t="s">
        <v>28</v>
      </c>
      <c r="B50" s="833"/>
      <c r="C50" s="833"/>
      <c r="D50" s="833"/>
      <c r="E50" s="833"/>
      <c r="F50" s="833"/>
      <c r="G50" s="831"/>
      <c r="H50" s="934"/>
      <c r="I50" s="935"/>
      <c r="J50" s="935"/>
      <c r="K50" s="936"/>
      <c r="L50" s="936"/>
      <c r="M50" s="936"/>
      <c r="N50" s="936"/>
      <c r="O50" s="936"/>
      <c r="P50" s="936"/>
    </row>
    <row r="51" spans="1:26" ht="19.5">
      <c r="A51" s="937"/>
      <c r="B51" s="938" t="s">
        <v>29</v>
      </c>
      <c r="C51" s="841"/>
      <c r="D51" s="841"/>
      <c r="E51" s="841"/>
      <c r="F51" s="841"/>
      <c r="G51" s="842"/>
      <c r="H51" s="939"/>
      <c r="I51" s="940"/>
      <c r="J51" s="940"/>
      <c r="K51" s="941"/>
      <c r="L51" s="941"/>
      <c r="M51" s="941"/>
      <c r="N51" s="941"/>
      <c r="O51" s="941"/>
      <c r="P51" s="941"/>
    </row>
    <row r="52" spans="1:26" ht="19.5">
      <c r="A52" s="942"/>
      <c r="B52" s="943" t="s">
        <v>30</v>
      </c>
      <c r="C52" s="944"/>
      <c r="D52" s="944"/>
      <c r="E52" s="944"/>
      <c r="F52" s="944"/>
      <c r="G52" s="945"/>
      <c r="H52" s="946"/>
      <c r="I52" s="947"/>
      <c r="J52" s="947"/>
      <c r="K52" s="948"/>
      <c r="L52" s="948"/>
      <c r="M52" s="948"/>
      <c r="N52" s="948"/>
      <c r="O52" s="948"/>
      <c r="P52" s="948"/>
    </row>
    <row r="53" spans="1:26" ht="19.5">
      <c r="A53" s="949"/>
      <c r="B53" s="950"/>
      <c r="C53" s="951" t="s">
        <v>16</v>
      </c>
      <c r="D53" s="952" t="s">
        <v>17</v>
      </c>
      <c r="E53" s="950"/>
      <c r="F53" s="950"/>
      <c r="G53" s="953"/>
      <c r="H53" s="113" t="s">
        <v>12</v>
      </c>
      <c r="I53" s="954"/>
      <c r="J53" s="954"/>
      <c r="K53" s="955"/>
      <c r="L53" s="956">
        <f t="shared" ref="L53:N53" ca="1" si="31">L54+L55</f>
        <v>618600</v>
      </c>
      <c r="M53" s="956">
        <f t="shared" ca="1" si="31"/>
        <v>475950</v>
      </c>
      <c r="N53" s="956">
        <f t="shared" ca="1" si="31"/>
        <v>357613.73</v>
      </c>
      <c r="O53" s="956">
        <f t="shared" ref="O53:O61" ca="1" si="32">IF(L53&gt;0,N53*100/L53,0)</f>
        <v>57.810172971225349</v>
      </c>
      <c r="P53" s="956">
        <f t="shared" ref="P53:P61" ca="1" si="33">IF(M53&gt;0,N53*100/M53,0)</f>
        <v>75.136827397835901</v>
      </c>
      <c r="Q53" s="868"/>
      <c r="R53" s="868"/>
      <c r="S53" s="868"/>
      <c r="T53" s="868"/>
      <c r="U53" s="868"/>
      <c r="V53" s="868"/>
      <c r="W53" s="868"/>
      <c r="X53" s="868"/>
      <c r="Y53" s="868"/>
      <c r="Z53" s="868"/>
    </row>
    <row r="54" spans="1:26" ht="18.75" hidden="1">
      <c r="A54" s="957"/>
      <c r="B54" s="958"/>
      <c r="C54" s="958"/>
      <c r="D54" s="958"/>
      <c r="E54" s="959" t="s">
        <v>18</v>
      </c>
      <c r="F54" s="958"/>
      <c r="G54" s="960"/>
      <c r="H54" s="121" t="s">
        <v>12</v>
      </c>
      <c r="I54" s="961"/>
      <c r="J54" s="961"/>
      <c r="K54" s="962"/>
      <c r="L54" s="962">
        <f t="shared" ref="L54:N55" si="34">L57+L60</f>
        <v>0</v>
      </c>
      <c r="M54" s="962">
        <f t="shared" si="34"/>
        <v>0</v>
      </c>
      <c r="N54" s="962">
        <f t="shared" si="34"/>
        <v>0</v>
      </c>
      <c r="O54" s="962">
        <f t="shared" si="32"/>
        <v>0</v>
      </c>
      <c r="P54" s="962">
        <f t="shared" si="33"/>
        <v>0</v>
      </c>
      <c r="Q54" s="875"/>
      <c r="R54" s="875"/>
      <c r="S54" s="875"/>
      <c r="T54" s="875"/>
      <c r="U54" s="875"/>
      <c r="V54" s="875"/>
      <c r="W54" s="875"/>
      <c r="X54" s="875"/>
      <c r="Y54" s="875"/>
      <c r="Z54" s="875"/>
    </row>
    <row r="55" spans="1:26" ht="18.75" hidden="1">
      <c r="A55" s="957"/>
      <c r="B55" s="958"/>
      <c r="C55" s="958"/>
      <c r="D55" s="958"/>
      <c r="E55" s="959" t="s">
        <v>19</v>
      </c>
      <c r="F55" s="958"/>
      <c r="G55" s="960"/>
      <c r="H55" s="121" t="s">
        <v>12</v>
      </c>
      <c r="I55" s="961"/>
      <c r="J55" s="961"/>
      <c r="K55" s="962"/>
      <c r="L55" s="962">
        <f t="shared" ca="1" si="34"/>
        <v>618600</v>
      </c>
      <c r="M55" s="962">
        <f t="shared" ca="1" si="34"/>
        <v>475950</v>
      </c>
      <c r="N55" s="962">
        <f t="shared" ca="1" si="34"/>
        <v>357613.73</v>
      </c>
      <c r="O55" s="962">
        <f t="shared" ca="1" si="32"/>
        <v>57.810172971225349</v>
      </c>
      <c r="P55" s="962">
        <f t="shared" ca="1" si="33"/>
        <v>75.136827397835901</v>
      </c>
      <c r="Q55" s="875"/>
      <c r="R55" s="875"/>
      <c r="S55" s="875"/>
      <c r="T55" s="875"/>
      <c r="U55" s="875"/>
      <c r="V55" s="875"/>
      <c r="W55" s="875"/>
      <c r="X55" s="875"/>
      <c r="Y55" s="875"/>
      <c r="Z55" s="875"/>
    </row>
    <row r="56" spans="1:26" ht="18.75">
      <c r="A56" s="876"/>
      <c r="B56" s="877"/>
      <c r="C56" s="877"/>
      <c r="D56" s="878" t="s">
        <v>20</v>
      </c>
      <c r="E56" s="877"/>
      <c r="F56" s="877"/>
      <c r="G56" s="879"/>
      <c r="H56" s="622" t="s">
        <v>12</v>
      </c>
      <c r="I56" s="880"/>
      <c r="J56" s="880"/>
      <c r="K56" s="881"/>
      <c r="L56" s="881">
        <f t="shared" ref="L56:N56" ca="1" si="35">L57+L58</f>
        <v>570600</v>
      </c>
      <c r="M56" s="881">
        <f t="shared" ca="1" si="35"/>
        <v>427950</v>
      </c>
      <c r="N56" s="881">
        <f t="shared" ca="1" si="35"/>
        <v>309613.73</v>
      </c>
      <c r="O56" s="881">
        <f t="shared" ca="1" si="32"/>
        <v>54.261081317910971</v>
      </c>
      <c r="P56" s="881">
        <f t="shared" ca="1" si="33"/>
        <v>72.3481084238813</v>
      </c>
      <c r="Q56" s="868"/>
      <c r="R56" s="868"/>
      <c r="S56" s="868"/>
      <c r="T56" s="868"/>
      <c r="U56" s="868"/>
      <c r="V56" s="868"/>
      <c r="W56" s="868"/>
      <c r="X56" s="868"/>
      <c r="Y56" s="868"/>
      <c r="Z56" s="868"/>
    </row>
    <row r="57" spans="1:26" ht="18.75" hidden="1">
      <c r="A57" s="882"/>
      <c r="B57" s="883"/>
      <c r="C57" s="883"/>
      <c r="D57" s="883"/>
      <c r="E57" s="884" t="s">
        <v>18</v>
      </c>
      <c r="F57" s="883"/>
      <c r="G57" s="885"/>
      <c r="H57" s="43" t="s">
        <v>12</v>
      </c>
      <c r="I57" s="886"/>
      <c r="J57" s="886"/>
      <c r="K57" s="887"/>
      <c r="L57" s="887">
        <v>0</v>
      </c>
      <c r="M57" s="887">
        <v>0</v>
      </c>
      <c r="N57" s="887">
        <v>0</v>
      </c>
      <c r="O57" s="887">
        <f t="shared" si="32"/>
        <v>0</v>
      </c>
      <c r="P57" s="887">
        <f t="shared" si="33"/>
        <v>0</v>
      </c>
      <c r="Q57" s="875"/>
      <c r="R57" s="875"/>
      <c r="S57" s="875"/>
      <c r="T57" s="875"/>
      <c r="U57" s="875"/>
      <c r="V57" s="875"/>
      <c r="W57" s="875"/>
      <c r="X57" s="875"/>
      <c r="Y57" s="875"/>
      <c r="Z57" s="875"/>
    </row>
    <row r="58" spans="1:26" ht="18.75" hidden="1">
      <c r="A58" s="882"/>
      <c r="B58" s="883"/>
      <c r="C58" s="883"/>
      <c r="D58" s="883"/>
      <c r="E58" s="884" t="s">
        <v>19</v>
      </c>
      <c r="F58" s="883"/>
      <c r="G58" s="885"/>
      <c r="H58" s="43" t="s">
        <v>12</v>
      </c>
      <c r="I58" s="886"/>
      <c r="J58" s="886"/>
      <c r="K58" s="887"/>
      <c r="L58" s="887">
        <f ca="1">IFERROR(__xludf.DUMMYFUNCTION("IMPORTRANGE(""https://docs.google.com/spreadsheets/d/1MeEWN-I1oV_STSDYn1IFDPWt_1FKiwhDph83XaGc0o0/edit?usp=sharing"",""งบพรบ!W84"")"),570600)</f>
        <v>570600</v>
      </c>
      <c r="M58" s="887">
        <f ca="1">IFERROR(__xludf.DUMMYFUNCTION("IMPORTRANGE(""https://docs.google.com/spreadsheets/d/1MeEWN-I1oV_STSDYn1IFDPWt_1FKiwhDph83XaGc0o0/edit?usp=sharing"",""งบพรบ!AB84"")"),427950)</f>
        <v>427950</v>
      </c>
      <c r="N58" s="887">
        <f ca="1">IFERROR(__xludf.DUMMYFUNCTION("IMPORTRANGE(""https://docs.google.com/spreadsheets/d/1MeEWN-I1oV_STSDYn1IFDPWt_1FKiwhDph83XaGc0o0/edit?usp=sharing"",""งบพรบ!AD84"")"),309613.73)</f>
        <v>309613.73</v>
      </c>
      <c r="O58" s="887">
        <f t="shared" ca="1" si="32"/>
        <v>54.261081317910971</v>
      </c>
      <c r="P58" s="887">
        <f t="shared" ca="1" si="33"/>
        <v>72.3481084238813</v>
      </c>
      <c r="Q58" s="875"/>
      <c r="R58" s="875"/>
      <c r="S58" s="875"/>
      <c r="T58" s="875"/>
      <c r="U58" s="875"/>
      <c r="V58" s="875"/>
      <c r="W58" s="875"/>
      <c r="X58" s="875"/>
      <c r="Y58" s="875"/>
      <c r="Z58" s="875"/>
    </row>
    <row r="59" spans="1:26" ht="18.75">
      <c r="A59" s="876"/>
      <c r="B59" s="877"/>
      <c r="C59" s="877"/>
      <c r="D59" s="878" t="s">
        <v>21</v>
      </c>
      <c r="E59" s="877"/>
      <c r="F59" s="877"/>
      <c r="G59" s="879"/>
      <c r="H59" s="622" t="s">
        <v>12</v>
      </c>
      <c r="I59" s="880"/>
      <c r="J59" s="880"/>
      <c r="K59" s="881"/>
      <c r="L59" s="881">
        <f t="shared" ref="L59:N59" ca="1" si="36">L60+L61</f>
        <v>48000</v>
      </c>
      <c r="M59" s="881">
        <f t="shared" ca="1" si="36"/>
        <v>48000</v>
      </c>
      <c r="N59" s="881">
        <f t="shared" ca="1" si="36"/>
        <v>48000</v>
      </c>
      <c r="O59" s="881">
        <f t="shared" ca="1" si="32"/>
        <v>100</v>
      </c>
      <c r="P59" s="881">
        <f t="shared" ca="1" si="33"/>
        <v>100</v>
      </c>
      <c r="Q59" s="868"/>
      <c r="R59" s="868"/>
      <c r="S59" s="868"/>
      <c r="T59" s="868"/>
      <c r="U59" s="868"/>
      <c r="V59" s="868"/>
      <c r="W59" s="868"/>
      <c r="X59" s="868"/>
      <c r="Y59" s="868"/>
      <c r="Z59" s="868"/>
    </row>
    <row r="60" spans="1:26" ht="18.75" hidden="1">
      <c r="A60" s="882"/>
      <c r="B60" s="883"/>
      <c r="C60" s="883"/>
      <c r="D60" s="883"/>
      <c r="E60" s="884" t="s">
        <v>18</v>
      </c>
      <c r="F60" s="883"/>
      <c r="G60" s="885"/>
      <c r="H60" s="43" t="s">
        <v>12</v>
      </c>
      <c r="I60" s="886"/>
      <c r="J60" s="886"/>
      <c r="K60" s="887"/>
      <c r="L60" s="887">
        <v>0</v>
      </c>
      <c r="M60" s="887">
        <v>0</v>
      </c>
      <c r="N60" s="887">
        <v>0</v>
      </c>
      <c r="O60" s="887">
        <f t="shared" si="32"/>
        <v>0</v>
      </c>
      <c r="P60" s="887">
        <f t="shared" si="33"/>
        <v>0</v>
      </c>
      <c r="Q60" s="875"/>
      <c r="R60" s="875"/>
      <c r="S60" s="875"/>
      <c r="T60" s="875"/>
      <c r="U60" s="875"/>
      <c r="V60" s="875"/>
      <c r="W60" s="875"/>
      <c r="X60" s="875"/>
      <c r="Y60" s="875"/>
      <c r="Z60" s="875"/>
    </row>
    <row r="61" spans="1:26" ht="18.75" hidden="1">
      <c r="A61" s="888"/>
      <c r="B61" s="889"/>
      <c r="C61" s="889"/>
      <c r="D61" s="889"/>
      <c r="E61" s="890" t="s">
        <v>19</v>
      </c>
      <c r="F61" s="889"/>
      <c r="G61" s="891"/>
      <c r="H61" s="50" t="s">
        <v>12</v>
      </c>
      <c r="I61" s="892"/>
      <c r="J61" s="892"/>
      <c r="K61" s="893"/>
      <c r="L61" s="893">
        <f ca="1">IFERROR(__xludf.DUMMYFUNCTION("IMPORTRANGE(""https://docs.google.com/spreadsheets/d/1MeEWN-I1oV_STSDYn1IFDPWt_1FKiwhDph83XaGc0o0/edit?usp=sharing"",""งบพรบ!Z84"")"),48000)</f>
        <v>48000</v>
      </c>
      <c r="M61" s="893">
        <f ca="1">IFERROR(__xludf.DUMMYFUNCTION("IMPORTRANGE(""https://docs.google.com/spreadsheets/d/1MeEWN-I1oV_STSDYn1IFDPWt_1FKiwhDph83XaGc0o0/edit?usp=sharing"",""งบพรบ!AC84"")"),48000)</f>
        <v>48000</v>
      </c>
      <c r="N61" s="893">
        <f ca="1">IFERROR(__xludf.DUMMYFUNCTION("IMPORTRANGE(""https://docs.google.com/spreadsheets/d/1MeEWN-I1oV_STSDYn1IFDPWt_1FKiwhDph83XaGc0o0/edit?usp=sharing"",""งบพรบ!AE84"")"),48000)</f>
        <v>48000</v>
      </c>
      <c r="O61" s="893">
        <f t="shared" ca="1" si="32"/>
        <v>100</v>
      </c>
      <c r="P61" s="893">
        <f t="shared" ca="1" si="33"/>
        <v>100</v>
      </c>
      <c r="Q61" s="875"/>
      <c r="R61" s="875"/>
      <c r="S61" s="875"/>
      <c r="T61" s="875"/>
      <c r="U61" s="875"/>
      <c r="V61" s="875"/>
      <c r="W61" s="875"/>
      <c r="X61" s="875"/>
      <c r="Y61" s="875"/>
      <c r="Z61" s="875"/>
    </row>
    <row r="62" spans="1:26" ht="19.5">
      <c r="A62" s="963" t="s">
        <v>31</v>
      </c>
      <c r="B62" s="964"/>
      <c r="C62" s="964"/>
      <c r="D62" s="964"/>
      <c r="E62" s="965"/>
      <c r="F62" s="965"/>
      <c r="G62" s="966"/>
      <c r="H62" s="967"/>
      <c r="I62" s="968"/>
      <c r="J62" s="968"/>
      <c r="K62" s="969"/>
      <c r="L62" s="969"/>
      <c r="M62" s="969"/>
      <c r="N62" s="969"/>
      <c r="O62" s="969"/>
      <c r="P62" s="969"/>
    </row>
    <row r="63" spans="1:26" ht="19.5" hidden="1">
      <c r="A63" s="970" t="s">
        <v>32</v>
      </c>
      <c r="B63" s="971"/>
      <c r="C63" s="972"/>
      <c r="D63" s="971"/>
      <c r="E63" s="971"/>
      <c r="F63" s="971"/>
      <c r="G63" s="973"/>
      <c r="H63" s="974"/>
      <c r="I63" s="975"/>
      <c r="J63" s="975"/>
      <c r="K63" s="976"/>
      <c r="L63" s="976"/>
      <c r="M63" s="976"/>
      <c r="N63" s="976"/>
      <c r="O63" s="976"/>
      <c r="P63" s="976"/>
    </row>
    <row r="64" spans="1:26" ht="19.5" hidden="1">
      <c r="A64" s="977"/>
      <c r="B64" s="978" t="s">
        <v>33</v>
      </c>
      <c r="C64" s="979"/>
      <c r="D64" s="980"/>
      <c r="E64" s="979"/>
      <c r="F64" s="979"/>
      <c r="G64" s="981"/>
      <c r="H64" s="205" t="s">
        <v>34</v>
      </c>
      <c r="I64" s="982">
        <f t="shared" ref="I64:J65" ca="1" si="37">I76</f>
        <v>0</v>
      </c>
      <c r="J64" s="982">
        <f t="shared" si="37"/>
        <v>0</v>
      </c>
      <c r="K64" s="983">
        <f t="shared" ref="K64:K65" ca="1" si="38">IF(I64&gt;0,J64*100/I64,0)</f>
        <v>0</v>
      </c>
      <c r="L64" s="984"/>
      <c r="M64" s="984"/>
      <c r="N64" s="984"/>
      <c r="O64" s="984"/>
      <c r="P64" s="984"/>
    </row>
    <row r="65" spans="1:26" ht="19.5" hidden="1">
      <c r="A65" s="977"/>
      <c r="B65" s="979"/>
      <c r="C65" s="979"/>
      <c r="D65" s="980"/>
      <c r="E65" s="979"/>
      <c r="F65" s="979"/>
      <c r="G65" s="981"/>
      <c r="H65" s="205" t="s">
        <v>35</v>
      </c>
      <c r="I65" s="982">
        <f t="shared" ca="1" si="37"/>
        <v>0</v>
      </c>
      <c r="J65" s="982">
        <f t="shared" si="37"/>
        <v>0</v>
      </c>
      <c r="K65" s="983">
        <f t="shared" ca="1" si="38"/>
        <v>0</v>
      </c>
      <c r="L65" s="984"/>
      <c r="M65" s="984"/>
      <c r="N65" s="984"/>
      <c r="O65" s="984"/>
      <c r="P65" s="984"/>
    </row>
    <row r="66" spans="1:26" ht="19.5" hidden="1">
      <c r="A66" s="985"/>
      <c r="B66" s="986"/>
      <c r="C66" s="987" t="s">
        <v>16</v>
      </c>
      <c r="D66" s="988" t="s">
        <v>17</v>
      </c>
      <c r="E66" s="986"/>
      <c r="F66" s="986"/>
      <c r="G66" s="989"/>
      <c r="H66" s="152" t="s">
        <v>12</v>
      </c>
      <c r="I66" s="990"/>
      <c r="J66" s="990"/>
      <c r="K66" s="991"/>
      <c r="L66" s="992">
        <f t="shared" ref="L66:N66" ca="1" si="39">L67+L68</f>
        <v>0</v>
      </c>
      <c r="M66" s="992">
        <f t="shared" ca="1" si="39"/>
        <v>0</v>
      </c>
      <c r="N66" s="992">
        <f t="shared" ca="1" si="39"/>
        <v>0</v>
      </c>
      <c r="O66" s="992">
        <f t="shared" ref="O66:O74" ca="1" si="40">IF(L66&gt;0,N66*100/L66,0)</f>
        <v>0</v>
      </c>
      <c r="P66" s="992">
        <f t="shared" ref="P66:P74" ca="1" si="41">IF(M66&gt;0,N66*100/M66,0)</f>
        <v>0</v>
      </c>
      <c r="Q66" s="868"/>
      <c r="R66" s="868"/>
      <c r="S66" s="868"/>
      <c r="T66" s="868"/>
      <c r="U66" s="868"/>
      <c r="V66" s="868"/>
      <c r="W66" s="868"/>
      <c r="X66" s="868"/>
      <c r="Y66" s="868"/>
      <c r="Z66" s="868"/>
    </row>
    <row r="67" spans="1:26" ht="18.75" hidden="1">
      <c r="A67" s="993"/>
      <c r="B67" s="883"/>
      <c r="C67" s="883"/>
      <c r="D67" s="883"/>
      <c r="E67" s="884" t="s">
        <v>18</v>
      </c>
      <c r="F67" s="883"/>
      <c r="G67" s="994"/>
      <c r="H67" s="158" t="s">
        <v>12</v>
      </c>
      <c r="I67" s="886"/>
      <c r="J67" s="886"/>
      <c r="K67" s="887"/>
      <c r="L67" s="887">
        <f t="shared" ref="L67:N68" si="42">L70+L73</f>
        <v>0</v>
      </c>
      <c r="M67" s="887">
        <f t="shared" si="42"/>
        <v>0</v>
      </c>
      <c r="N67" s="887">
        <f t="shared" si="42"/>
        <v>0</v>
      </c>
      <c r="O67" s="887">
        <f t="shared" si="40"/>
        <v>0</v>
      </c>
      <c r="P67" s="887">
        <f t="shared" si="41"/>
        <v>0</v>
      </c>
      <c r="Q67" s="875"/>
      <c r="R67" s="875"/>
      <c r="S67" s="875"/>
      <c r="T67" s="875"/>
      <c r="U67" s="875"/>
      <c r="V67" s="875"/>
      <c r="W67" s="875"/>
      <c r="X67" s="875"/>
      <c r="Y67" s="875"/>
      <c r="Z67" s="875"/>
    </row>
    <row r="68" spans="1:26" ht="18.75" hidden="1">
      <c r="A68" s="993"/>
      <c r="B68" s="883"/>
      <c r="C68" s="883"/>
      <c r="D68" s="883"/>
      <c r="E68" s="884" t="s">
        <v>19</v>
      </c>
      <c r="F68" s="883"/>
      <c r="G68" s="994"/>
      <c r="H68" s="158" t="s">
        <v>12</v>
      </c>
      <c r="I68" s="886"/>
      <c r="J68" s="886"/>
      <c r="K68" s="887"/>
      <c r="L68" s="887">
        <f t="shared" ca="1" si="42"/>
        <v>0</v>
      </c>
      <c r="M68" s="887">
        <f t="shared" ca="1" si="42"/>
        <v>0</v>
      </c>
      <c r="N68" s="887">
        <f t="shared" ca="1" si="42"/>
        <v>0</v>
      </c>
      <c r="O68" s="887">
        <f t="shared" ca="1" si="40"/>
        <v>0</v>
      </c>
      <c r="P68" s="887">
        <f t="shared" ca="1" si="41"/>
        <v>0</v>
      </c>
      <c r="Q68" s="875"/>
      <c r="R68" s="875"/>
      <c r="S68" s="875"/>
      <c r="T68" s="875"/>
      <c r="U68" s="875"/>
      <c r="V68" s="875"/>
      <c r="W68" s="875"/>
      <c r="X68" s="875"/>
      <c r="Y68" s="875"/>
      <c r="Z68" s="875"/>
    </row>
    <row r="69" spans="1:26" ht="18.75" hidden="1">
      <c r="A69" s="995"/>
      <c r="B69" s="877"/>
      <c r="C69" s="996"/>
      <c r="D69" s="878" t="s">
        <v>20</v>
      </c>
      <c r="E69" s="877"/>
      <c r="F69" s="877"/>
      <c r="G69" s="879"/>
      <c r="H69" s="161" t="s">
        <v>12</v>
      </c>
      <c r="I69" s="997"/>
      <c r="J69" s="997"/>
      <c r="K69" s="998"/>
      <c r="L69" s="881">
        <f t="shared" ref="L69:N69" ca="1" si="43">L70+L71</f>
        <v>0</v>
      </c>
      <c r="M69" s="881">
        <f t="shared" ca="1" si="43"/>
        <v>0</v>
      </c>
      <c r="N69" s="881">
        <f t="shared" ca="1" si="43"/>
        <v>0</v>
      </c>
      <c r="O69" s="881">
        <f t="shared" ca="1" si="40"/>
        <v>0</v>
      </c>
      <c r="P69" s="881">
        <f t="shared" ca="1" si="41"/>
        <v>0</v>
      </c>
      <c r="Q69" s="868"/>
      <c r="R69" s="868"/>
      <c r="S69" s="868"/>
      <c r="T69" s="868"/>
      <c r="U69" s="868"/>
      <c r="V69" s="868"/>
      <c r="W69" s="868"/>
      <c r="X69" s="868"/>
      <c r="Y69" s="868"/>
      <c r="Z69" s="868"/>
    </row>
    <row r="70" spans="1:26" ht="19.5" hidden="1">
      <c r="A70" s="993"/>
      <c r="B70" s="883"/>
      <c r="C70" s="999"/>
      <c r="D70" s="883"/>
      <c r="E70" s="884" t="s">
        <v>36</v>
      </c>
      <c r="F70" s="883"/>
      <c r="G70" s="994"/>
      <c r="H70" s="165" t="s">
        <v>12</v>
      </c>
      <c r="I70" s="1000"/>
      <c r="J70" s="1000"/>
      <c r="K70" s="1001"/>
      <c r="L70" s="887">
        <v>0</v>
      </c>
      <c r="M70" s="887">
        <v>0</v>
      </c>
      <c r="N70" s="887">
        <v>0</v>
      </c>
      <c r="O70" s="887">
        <f t="shared" si="40"/>
        <v>0</v>
      </c>
      <c r="P70" s="887">
        <f t="shared" si="41"/>
        <v>0</v>
      </c>
      <c r="Q70" s="875"/>
      <c r="R70" s="875"/>
      <c r="S70" s="875"/>
      <c r="T70" s="875"/>
      <c r="U70" s="875"/>
      <c r="V70" s="875"/>
      <c r="W70" s="875"/>
      <c r="X70" s="875"/>
      <c r="Y70" s="875"/>
      <c r="Z70" s="875"/>
    </row>
    <row r="71" spans="1:26" ht="19.5" hidden="1">
      <c r="A71" s="993"/>
      <c r="B71" s="883"/>
      <c r="C71" s="999"/>
      <c r="D71" s="883"/>
      <c r="E71" s="884" t="s">
        <v>37</v>
      </c>
      <c r="F71" s="883"/>
      <c r="G71" s="994"/>
      <c r="H71" s="165" t="s">
        <v>12</v>
      </c>
      <c r="I71" s="1000"/>
      <c r="J71" s="1000"/>
      <c r="K71" s="1001"/>
      <c r="L71" s="887">
        <f ca="1">IFERROR(__xludf.DUMMYFUNCTION("IMPORTRANGE(""https://docs.google.com/spreadsheets/d/1MeEWN-I1oV_STSDYn1IFDPWt_1FKiwhDph83XaGc0o0/edit?usp=sharing"",""งบพรบ!AG84"")"),0)</f>
        <v>0</v>
      </c>
      <c r="M71" s="887">
        <f ca="1">IFERROR(__xludf.DUMMYFUNCTION("IMPORTRANGE(""https://docs.google.com/spreadsheets/d/1MeEWN-I1oV_STSDYn1IFDPWt_1FKiwhDph83XaGc0o0/edit?usp=sharing"",""งบพรบ!AL84"")"),0)</f>
        <v>0</v>
      </c>
      <c r="N71" s="887">
        <f ca="1">IFERROR(__xludf.DUMMYFUNCTION("IMPORTRANGE(""https://docs.google.com/spreadsheets/d/1MeEWN-I1oV_STSDYn1IFDPWt_1FKiwhDph83XaGc0o0/edit?usp=sharing"",""งบพรบ!AN84"")"),0)</f>
        <v>0</v>
      </c>
      <c r="O71" s="887">
        <f t="shared" ca="1" si="40"/>
        <v>0</v>
      </c>
      <c r="P71" s="887">
        <f t="shared" ca="1" si="41"/>
        <v>0</v>
      </c>
      <c r="Q71" s="875"/>
      <c r="R71" s="875"/>
      <c r="S71" s="875"/>
      <c r="T71" s="875"/>
      <c r="U71" s="875"/>
      <c r="V71" s="875"/>
      <c r="W71" s="875"/>
      <c r="X71" s="875"/>
      <c r="Y71" s="875"/>
      <c r="Z71" s="875"/>
    </row>
    <row r="72" spans="1:26" ht="18.75" hidden="1">
      <c r="A72" s="995"/>
      <c r="B72" s="877"/>
      <c r="C72" s="996"/>
      <c r="D72" s="878" t="s">
        <v>21</v>
      </c>
      <c r="E72" s="877"/>
      <c r="F72" s="877"/>
      <c r="G72" s="879"/>
      <c r="H72" s="168" t="s">
        <v>12</v>
      </c>
      <c r="I72" s="997"/>
      <c r="J72" s="997"/>
      <c r="K72" s="998"/>
      <c r="L72" s="881">
        <f t="shared" ref="L72:N72" ca="1" si="44">L73+L74</f>
        <v>0</v>
      </c>
      <c r="M72" s="881">
        <f t="shared" ca="1" si="44"/>
        <v>0</v>
      </c>
      <c r="N72" s="881">
        <f t="shared" ca="1" si="44"/>
        <v>0</v>
      </c>
      <c r="O72" s="881">
        <f t="shared" ca="1" si="40"/>
        <v>0</v>
      </c>
      <c r="P72" s="881">
        <f t="shared" ca="1" si="41"/>
        <v>0</v>
      </c>
      <c r="Q72" s="868"/>
      <c r="R72" s="868"/>
      <c r="S72" s="868"/>
      <c r="T72" s="868"/>
      <c r="U72" s="868"/>
      <c r="V72" s="868"/>
      <c r="W72" s="868"/>
      <c r="X72" s="868"/>
      <c r="Y72" s="868"/>
      <c r="Z72" s="868"/>
    </row>
    <row r="73" spans="1:26" ht="19.5" hidden="1">
      <c r="A73" s="993"/>
      <c r="B73" s="883"/>
      <c r="C73" s="999"/>
      <c r="D73" s="883"/>
      <c r="E73" s="884" t="s">
        <v>18</v>
      </c>
      <c r="F73" s="883"/>
      <c r="G73" s="994"/>
      <c r="H73" s="165" t="s">
        <v>12</v>
      </c>
      <c r="I73" s="1000"/>
      <c r="J73" s="1000"/>
      <c r="K73" s="1001"/>
      <c r="L73" s="887">
        <v>0</v>
      </c>
      <c r="M73" s="887"/>
      <c r="N73" s="887"/>
      <c r="O73" s="887">
        <f t="shared" si="40"/>
        <v>0</v>
      </c>
      <c r="P73" s="887">
        <f t="shared" si="41"/>
        <v>0</v>
      </c>
      <c r="Q73" s="875"/>
      <c r="R73" s="875"/>
      <c r="S73" s="875"/>
      <c r="T73" s="875"/>
      <c r="U73" s="875"/>
      <c r="V73" s="875"/>
      <c r="W73" s="875"/>
      <c r="X73" s="875"/>
      <c r="Y73" s="875"/>
      <c r="Z73" s="875"/>
    </row>
    <row r="74" spans="1:26" ht="19.5" hidden="1">
      <c r="A74" s="993"/>
      <c r="B74" s="883"/>
      <c r="C74" s="999"/>
      <c r="D74" s="883"/>
      <c r="E74" s="884" t="s">
        <v>19</v>
      </c>
      <c r="F74" s="883"/>
      <c r="G74" s="994"/>
      <c r="H74" s="169" t="s">
        <v>12</v>
      </c>
      <c r="I74" s="1000"/>
      <c r="J74" s="1000"/>
      <c r="K74" s="1001"/>
      <c r="L74" s="887">
        <f ca="1">IFERROR(__xludf.DUMMYFUNCTION("IMPORTRANGE(""https://docs.google.com/spreadsheets/d/1MeEWN-I1oV_STSDYn1IFDPWt_1FKiwhDph83XaGc0o0/edit?usp=sharing"",""งบพรบ!AJ84"")"),0)</f>
        <v>0</v>
      </c>
      <c r="M74" s="887">
        <f ca="1">IFERROR(__xludf.DUMMYFUNCTION("IMPORTRANGE(""https://docs.google.com/spreadsheets/d/1MeEWN-I1oV_STSDYn1IFDPWt_1FKiwhDph83XaGc0o0/edit?usp=sharing"",""งบพรบ!AM84"")"),0)</f>
        <v>0</v>
      </c>
      <c r="N74" s="887">
        <f ca="1">IFERROR(__xludf.DUMMYFUNCTION("IMPORTRANGE(""https://docs.google.com/spreadsheets/d/1MeEWN-I1oV_STSDYn1IFDPWt_1FKiwhDph83XaGc0o0/edit?usp=sharing"",""งบพรบ!AO84"")"),0)</f>
        <v>0</v>
      </c>
      <c r="O74" s="887">
        <f t="shared" ca="1" si="40"/>
        <v>0</v>
      </c>
      <c r="P74" s="887">
        <f t="shared" ca="1" si="41"/>
        <v>0</v>
      </c>
      <c r="Q74" s="875"/>
      <c r="R74" s="875"/>
      <c r="S74" s="875"/>
      <c r="T74" s="875"/>
      <c r="U74" s="875"/>
      <c r="V74" s="875"/>
      <c r="W74" s="875"/>
      <c r="X74" s="875"/>
      <c r="Y74" s="875"/>
      <c r="Z74" s="875"/>
    </row>
    <row r="75" spans="1:26" ht="19.5" hidden="1">
      <c r="A75" s="1002"/>
      <c r="B75" s="1003"/>
      <c r="C75" s="999" t="s">
        <v>16</v>
      </c>
      <c r="D75" s="1004" t="s">
        <v>38</v>
      </c>
      <c r="E75" s="1005"/>
      <c r="F75" s="1005"/>
      <c r="G75" s="1006"/>
      <c r="H75" s="1007"/>
      <c r="I75" s="997"/>
      <c r="J75" s="997"/>
      <c r="K75" s="998"/>
      <c r="L75" s="998"/>
      <c r="M75" s="998"/>
      <c r="N75" s="998"/>
      <c r="O75" s="998"/>
      <c r="P75" s="998"/>
    </row>
    <row r="76" spans="1:26" ht="19.5" hidden="1">
      <c r="A76" s="1002"/>
      <c r="B76" s="1003"/>
      <c r="C76" s="1003"/>
      <c r="D76" s="1008" t="s">
        <v>39</v>
      </c>
      <c r="E76" s="1009"/>
      <c r="F76" s="1010"/>
      <c r="G76" s="1011"/>
      <c r="H76" s="180" t="s">
        <v>34</v>
      </c>
      <c r="I76" s="880">
        <f t="shared" ref="I76:J77" ca="1" si="45">I78+I80+I82</f>
        <v>0</v>
      </c>
      <c r="J76" s="880">
        <f t="shared" si="45"/>
        <v>0</v>
      </c>
      <c r="K76" s="998">
        <f t="shared" ref="K76:K84" ca="1" si="46">IF(I76&gt;0,J76*100/I76,0)</f>
        <v>0</v>
      </c>
      <c r="L76" s="998"/>
      <c r="M76" s="998"/>
      <c r="N76" s="998"/>
      <c r="O76" s="998"/>
      <c r="P76" s="998"/>
    </row>
    <row r="77" spans="1:26" ht="19.5" hidden="1">
      <c r="A77" s="1002"/>
      <c r="B77" s="1003"/>
      <c r="C77" s="1003"/>
      <c r="D77" s="1003"/>
      <c r="E77" s="1010"/>
      <c r="F77" s="1010"/>
      <c r="G77" s="1011"/>
      <c r="H77" s="180" t="s">
        <v>35</v>
      </c>
      <c r="I77" s="880">
        <f t="shared" ca="1" si="45"/>
        <v>0</v>
      </c>
      <c r="J77" s="880">
        <f t="shared" si="45"/>
        <v>0</v>
      </c>
      <c r="K77" s="998">
        <f t="shared" ca="1" si="46"/>
        <v>0</v>
      </c>
      <c r="L77" s="998"/>
      <c r="M77" s="998"/>
      <c r="N77" s="998"/>
      <c r="O77" s="998"/>
      <c r="P77" s="998"/>
    </row>
    <row r="78" spans="1:26" ht="18.75" hidden="1">
      <c r="A78" s="1002"/>
      <c r="B78" s="1003"/>
      <c r="C78" s="1003"/>
      <c r="D78" s="1003"/>
      <c r="E78" s="1009" t="s">
        <v>40</v>
      </c>
      <c r="F78" s="1009"/>
      <c r="G78" s="1011"/>
      <c r="H78" s="762" t="s">
        <v>34</v>
      </c>
      <c r="I78" s="997">
        <f ca="1">IFERROR(__xludf.DUMMYFUNCTION("IMPORTRANGE(""https://docs.google.com/spreadsheets/d/1QqKyyYR6Q21VydFLVH3TRQUabQu_ym0Zz7PgGX0-kHA/edit?usp=sharing"",""แผน!H84"")"),0)</f>
        <v>0</v>
      </c>
      <c r="J78" s="1012">
        <v>0</v>
      </c>
      <c r="K78" s="998">
        <f t="shared" ca="1" si="46"/>
        <v>0</v>
      </c>
      <c r="L78" s="998"/>
      <c r="M78" s="998"/>
      <c r="N78" s="998"/>
      <c r="O78" s="998"/>
      <c r="P78" s="998"/>
    </row>
    <row r="79" spans="1:26" ht="18.75" hidden="1">
      <c r="A79" s="1002"/>
      <c r="B79" s="1003"/>
      <c r="C79" s="1003"/>
      <c r="D79" s="1003"/>
      <c r="E79" s="1010"/>
      <c r="F79" s="1010"/>
      <c r="G79" s="1011"/>
      <c r="H79" s="762" t="s">
        <v>35</v>
      </c>
      <c r="I79" s="997">
        <f ca="1">IFERROR(__xludf.DUMMYFUNCTION("IMPORTRANGE(""https://docs.google.com/spreadsheets/d/1QqKyyYR6Q21VydFLVH3TRQUabQu_ym0Zz7PgGX0-kHA/edit?usp=sharing"",""แผน!I84"")"),0)</f>
        <v>0</v>
      </c>
      <c r="J79" s="1012">
        <v>0</v>
      </c>
      <c r="K79" s="998">
        <f t="shared" ca="1" si="46"/>
        <v>0</v>
      </c>
      <c r="L79" s="998"/>
      <c r="M79" s="998"/>
      <c r="N79" s="998"/>
      <c r="O79" s="998"/>
      <c r="P79" s="998"/>
    </row>
    <row r="80" spans="1:26" ht="18.75" hidden="1">
      <c r="A80" s="1002"/>
      <c r="B80" s="1003"/>
      <c r="C80" s="1003"/>
      <c r="D80" s="1003"/>
      <c r="E80" s="1009" t="s">
        <v>41</v>
      </c>
      <c r="F80" s="1009"/>
      <c r="G80" s="1011"/>
      <c r="H80" s="762" t="s">
        <v>34</v>
      </c>
      <c r="I80" s="997">
        <f ca="1">IFERROR(__xludf.DUMMYFUNCTION("IMPORTRANGE(""https://docs.google.com/spreadsheets/d/1QqKyyYR6Q21VydFLVH3TRQUabQu_ym0Zz7PgGX0-kHA/edit?usp=sharing"",""แผน!F84"")"),0)</f>
        <v>0</v>
      </c>
      <c r="J80" s="1012">
        <v>0</v>
      </c>
      <c r="K80" s="998">
        <f t="shared" ca="1" si="46"/>
        <v>0</v>
      </c>
      <c r="L80" s="998"/>
      <c r="M80" s="998"/>
      <c r="N80" s="998"/>
      <c r="O80" s="998"/>
      <c r="P80" s="998"/>
    </row>
    <row r="81" spans="1:26" ht="18.75" hidden="1">
      <c r="A81" s="1002"/>
      <c r="B81" s="1003"/>
      <c r="C81" s="1003"/>
      <c r="D81" s="1003"/>
      <c r="E81" s="1010"/>
      <c r="F81" s="1010"/>
      <c r="G81" s="1011"/>
      <c r="H81" s="762" t="s">
        <v>35</v>
      </c>
      <c r="I81" s="997">
        <f ca="1">IFERROR(__xludf.DUMMYFUNCTION("IMPORTRANGE(""https://docs.google.com/spreadsheets/d/1QqKyyYR6Q21VydFLVH3TRQUabQu_ym0Zz7PgGX0-kHA/edit?usp=sharing"",""แผน!G84"")"),0)</f>
        <v>0</v>
      </c>
      <c r="J81" s="1012">
        <v>0</v>
      </c>
      <c r="K81" s="998">
        <f t="shared" ca="1" si="46"/>
        <v>0</v>
      </c>
      <c r="L81" s="998"/>
      <c r="M81" s="998"/>
      <c r="N81" s="998"/>
      <c r="O81" s="998"/>
      <c r="P81" s="998"/>
    </row>
    <row r="82" spans="1:26" ht="18.75" hidden="1">
      <c r="A82" s="1002"/>
      <c r="B82" s="1003"/>
      <c r="C82" s="1003"/>
      <c r="D82" s="1003"/>
      <c r="E82" s="1009" t="s">
        <v>42</v>
      </c>
      <c r="F82" s="1009"/>
      <c r="G82" s="1011"/>
      <c r="H82" s="762" t="s">
        <v>34</v>
      </c>
      <c r="I82" s="997">
        <f ca="1">IFERROR(__xludf.DUMMYFUNCTION("IMPORTRANGE(""https://docs.google.com/spreadsheets/d/1QqKyyYR6Q21VydFLVH3TRQUabQu_ym0Zz7PgGX0-kHA/edit?usp=sharing"",""แผน!D84"")"),0)</f>
        <v>0</v>
      </c>
      <c r="J82" s="1012">
        <v>0</v>
      </c>
      <c r="K82" s="998">
        <f t="shared" ca="1" si="46"/>
        <v>0</v>
      </c>
      <c r="L82" s="998"/>
      <c r="M82" s="998"/>
      <c r="N82" s="998"/>
      <c r="O82" s="998"/>
      <c r="P82" s="998"/>
    </row>
    <row r="83" spans="1:26" ht="18.75" hidden="1">
      <c r="A83" s="1002"/>
      <c r="B83" s="1003"/>
      <c r="C83" s="1003"/>
      <c r="D83" s="1003"/>
      <c r="E83" s="1010"/>
      <c r="F83" s="1010"/>
      <c r="G83" s="1011"/>
      <c r="H83" s="762" t="s">
        <v>35</v>
      </c>
      <c r="I83" s="997">
        <f ca="1">IFERROR(__xludf.DUMMYFUNCTION("IMPORTRANGE(""https://docs.google.com/spreadsheets/d/1QqKyyYR6Q21VydFLVH3TRQUabQu_ym0Zz7PgGX0-kHA/edit?usp=sharing"",""แผน!E84"")"),0)</f>
        <v>0</v>
      </c>
      <c r="J83" s="1012">
        <v>0</v>
      </c>
      <c r="K83" s="998">
        <f t="shared" ca="1" si="46"/>
        <v>0</v>
      </c>
      <c r="L83" s="998"/>
      <c r="M83" s="998"/>
      <c r="N83" s="998"/>
      <c r="O83" s="998"/>
      <c r="P83" s="998"/>
    </row>
    <row r="84" spans="1:26" ht="18.75" hidden="1">
      <c r="A84" s="1002"/>
      <c r="B84" s="1003"/>
      <c r="C84" s="1003"/>
      <c r="D84" s="1008" t="s">
        <v>43</v>
      </c>
      <c r="E84" s="1009"/>
      <c r="F84" s="1010"/>
      <c r="G84" s="1011"/>
      <c r="H84" s="185" t="s">
        <v>34</v>
      </c>
      <c r="I84" s="997">
        <f ca="1">IFERROR(__xludf.DUMMYFUNCTION("IMPORTRANGE(""https://docs.google.com/spreadsheets/d/1QqKyyYR6Q21VydFLVH3TRQUabQu_ym0Zz7PgGX0-kHA/edit?usp=sharing"",""แผน!J84"")"),0)</f>
        <v>0</v>
      </c>
      <c r="J84" s="1012">
        <v>0</v>
      </c>
      <c r="K84" s="998">
        <f t="shared" ca="1" si="46"/>
        <v>0</v>
      </c>
      <c r="L84" s="998"/>
      <c r="M84" s="998"/>
      <c r="N84" s="998"/>
      <c r="O84" s="998"/>
      <c r="P84" s="998"/>
    </row>
    <row r="85" spans="1:26" ht="19.5">
      <c r="A85" s="970" t="s">
        <v>44</v>
      </c>
      <c r="B85" s="971"/>
      <c r="C85" s="972"/>
      <c r="D85" s="971"/>
      <c r="E85" s="971"/>
      <c r="F85" s="971"/>
      <c r="G85" s="973"/>
      <c r="H85" s="974"/>
      <c r="I85" s="975"/>
      <c r="J85" s="975"/>
      <c r="K85" s="976"/>
      <c r="L85" s="976"/>
      <c r="M85" s="976"/>
      <c r="N85" s="976"/>
      <c r="O85" s="976"/>
      <c r="P85" s="976"/>
    </row>
    <row r="86" spans="1:26" ht="19.5">
      <c r="A86" s="977"/>
      <c r="B86" s="978" t="s">
        <v>45</v>
      </c>
      <c r="C86" s="979"/>
      <c r="D86" s="980"/>
      <c r="E86" s="979"/>
      <c r="F86" s="979"/>
      <c r="G86" s="981"/>
      <c r="H86" s="205" t="s">
        <v>46</v>
      </c>
      <c r="I86" s="982">
        <f t="shared" ref="I86:J87" ca="1" si="47">I98</f>
        <v>30</v>
      </c>
      <c r="J86" s="982">
        <f t="shared" si="47"/>
        <v>30</v>
      </c>
      <c r="K86" s="983">
        <f t="shared" ref="K86:K87" ca="1" si="48">IF(I86&gt;0,J86*100/I86,0)</f>
        <v>100</v>
      </c>
      <c r="L86" s="984"/>
      <c r="M86" s="984"/>
      <c r="N86" s="984"/>
      <c r="O86" s="984"/>
      <c r="P86" s="984"/>
    </row>
    <row r="87" spans="1:26" ht="19.5">
      <c r="A87" s="977"/>
      <c r="B87" s="979"/>
      <c r="C87" s="979"/>
      <c r="D87" s="980"/>
      <c r="E87" s="979"/>
      <c r="F87" s="979"/>
      <c r="G87" s="981"/>
      <c r="H87" s="205" t="s">
        <v>35</v>
      </c>
      <c r="I87" s="982">
        <f t="shared" ca="1" si="47"/>
        <v>10</v>
      </c>
      <c r="J87" s="982">
        <f t="shared" si="47"/>
        <v>10</v>
      </c>
      <c r="K87" s="983">
        <f t="shared" ca="1" si="48"/>
        <v>100</v>
      </c>
      <c r="L87" s="984"/>
      <c r="M87" s="984"/>
      <c r="N87" s="984"/>
      <c r="O87" s="984"/>
      <c r="P87" s="984"/>
    </row>
    <row r="88" spans="1:26" ht="19.5">
      <c r="A88" s="985"/>
      <c r="B88" s="986"/>
      <c r="C88" s="987" t="s">
        <v>16</v>
      </c>
      <c r="D88" s="988" t="s">
        <v>17</v>
      </c>
      <c r="E88" s="986"/>
      <c r="F88" s="986"/>
      <c r="G88" s="989"/>
      <c r="H88" s="152" t="s">
        <v>12</v>
      </c>
      <c r="I88" s="990"/>
      <c r="J88" s="990"/>
      <c r="K88" s="991"/>
      <c r="L88" s="992">
        <f t="shared" ref="L88:N88" ca="1" si="49">L89+L90</f>
        <v>245340</v>
      </c>
      <c r="M88" s="992">
        <f t="shared" ca="1" si="49"/>
        <v>171040</v>
      </c>
      <c r="N88" s="992">
        <f t="shared" ca="1" si="49"/>
        <v>100659.59</v>
      </c>
      <c r="O88" s="992">
        <f t="shared" ref="O88:O96" ca="1" si="50">IF(L88&gt;0,N88*100/L88,0)</f>
        <v>41.02860927692182</v>
      </c>
      <c r="P88" s="992">
        <f t="shared" ref="P88:P96" ca="1" si="51">IF(M88&gt;0,N88*100/M88,0)</f>
        <v>58.851490879326477</v>
      </c>
      <c r="Q88" s="868"/>
      <c r="R88" s="868"/>
      <c r="S88" s="868"/>
      <c r="T88" s="868"/>
      <c r="U88" s="868"/>
      <c r="V88" s="868"/>
      <c r="W88" s="868"/>
      <c r="X88" s="868"/>
      <c r="Y88" s="868"/>
      <c r="Z88" s="868"/>
    </row>
    <row r="89" spans="1:26" ht="18.75" hidden="1">
      <c r="A89" s="993"/>
      <c r="B89" s="883"/>
      <c r="C89" s="883"/>
      <c r="D89" s="883"/>
      <c r="E89" s="884" t="s">
        <v>18</v>
      </c>
      <c r="F89" s="883"/>
      <c r="G89" s="994"/>
      <c r="H89" s="158" t="s">
        <v>12</v>
      </c>
      <c r="I89" s="886"/>
      <c r="J89" s="886"/>
      <c r="K89" s="887"/>
      <c r="L89" s="887">
        <f t="shared" ref="L89:N90" si="52">L92+L95</f>
        <v>0</v>
      </c>
      <c r="M89" s="887">
        <f t="shared" si="52"/>
        <v>0</v>
      </c>
      <c r="N89" s="887">
        <f t="shared" si="52"/>
        <v>0</v>
      </c>
      <c r="O89" s="887">
        <f t="shared" si="50"/>
        <v>0</v>
      </c>
      <c r="P89" s="887">
        <f t="shared" si="51"/>
        <v>0</v>
      </c>
      <c r="Q89" s="875"/>
      <c r="R89" s="875"/>
      <c r="S89" s="875"/>
      <c r="T89" s="875"/>
      <c r="U89" s="875"/>
      <c r="V89" s="875"/>
      <c r="W89" s="875"/>
      <c r="X89" s="875"/>
      <c r="Y89" s="875"/>
      <c r="Z89" s="875"/>
    </row>
    <row r="90" spans="1:26" ht="18.75" hidden="1">
      <c r="A90" s="993"/>
      <c r="B90" s="883"/>
      <c r="C90" s="883"/>
      <c r="D90" s="883"/>
      <c r="E90" s="884" t="s">
        <v>19</v>
      </c>
      <c r="F90" s="883"/>
      <c r="G90" s="994"/>
      <c r="H90" s="158" t="s">
        <v>12</v>
      </c>
      <c r="I90" s="886"/>
      <c r="J90" s="886"/>
      <c r="K90" s="887"/>
      <c r="L90" s="887">
        <f t="shared" ca="1" si="52"/>
        <v>245340</v>
      </c>
      <c r="M90" s="887">
        <f t="shared" ca="1" si="52"/>
        <v>171040</v>
      </c>
      <c r="N90" s="887">
        <f t="shared" ca="1" si="52"/>
        <v>100659.59</v>
      </c>
      <c r="O90" s="887">
        <f t="shared" ca="1" si="50"/>
        <v>41.02860927692182</v>
      </c>
      <c r="P90" s="887">
        <f t="shared" ca="1" si="51"/>
        <v>58.851490879326477</v>
      </c>
      <c r="Q90" s="875"/>
      <c r="R90" s="875"/>
      <c r="S90" s="875"/>
      <c r="T90" s="875"/>
      <c r="U90" s="875"/>
      <c r="V90" s="875"/>
      <c r="W90" s="875"/>
      <c r="X90" s="875"/>
      <c r="Y90" s="875"/>
      <c r="Z90" s="875"/>
    </row>
    <row r="91" spans="1:26" ht="18.75">
      <c r="A91" s="995"/>
      <c r="B91" s="877"/>
      <c r="C91" s="996"/>
      <c r="D91" s="878" t="s">
        <v>20</v>
      </c>
      <c r="E91" s="877"/>
      <c r="F91" s="877"/>
      <c r="G91" s="879"/>
      <c r="H91" s="161" t="s">
        <v>12</v>
      </c>
      <c r="I91" s="997"/>
      <c r="J91" s="997"/>
      <c r="K91" s="998"/>
      <c r="L91" s="881">
        <f t="shared" ref="L91:N91" ca="1" si="53">L92+L93</f>
        <v>245340</v>
      </c>
      <c r="M91" s="881">
        <f t="shared" ca="1" si="53"/>
        <v>171040</v>
      </c>
      <c r="N91" s="881">
        <f t="shared" ca="1" si="53"/>
        <v>100659.59</v>
      </c>
      <c r="O91" s="881">
        <f t="shared" ca="1" si="50"/>
        <v>41.02860927692182</v>
      </c>
      <c r="P91" s="881">
        <f t="shared" ca="1" si="51"/>
        <v>58.851490879326477</v>
      </c>
      <c r="Q91" s="868"/>
      <c r="R91" s="868"/>
      <c r="S91" s="868"/>
      <c r="T91" s="868"/>
      <c r="U91" s="868"/>
      <c r="V91" s="868"/>
      <c r="W91" s="868"/>
      <c r="X91" s="868"/>
      <c r="Y91" s="868"/>
      <c r="Z91" s="868"/>
    </row>
    <row r="92" spans="1:26" ht="19.5" hidden="1">
      <c r="A92" s="993"/>
      <c r="B92" s="883"/>
      <c r="C92" s="999"/>
      <c r="D92" s="883"/>
      <c r="E92" s="884" t="s">
        <v>36</v>
      </c>
      <c r="F92" s="883"/>
      <c r="G92" s="994"/>
      <c r="H92" s="165" t="s">
        <v>12</v>
      </c>
      <c r="I92" s="1000"/>
      <c r="J92" s="1000"/>
      <c r="K92" s="1001"/>
      <c r="L92" s="887">
        <v>0</v>
      </c>
      <c r="M92" s="887">
        <v>0</v>
      </c>
      <c r="N92" s="887">
        <v>0</v>
      </c>
      <c r="O92" s="887">
        <f t="shared" si="50"/>
        <v>0</v>
      </c>
      <c r="P92" s="887">
        <f t="shared" si="51"/>
        <v>0</v>
      </c>
      <c r="Q92" s="875"/>
      <c r="R92" s="875"/>
      <c r="S92" s="875"/>
      <c r="T92" s="875"/>
      <c r="U92" s="875"/>
      <c r="V92" s="875"/>
      <c r="W92" s="875"/>
      <c r="X92" s="875"/>
      <c r="Y92" s="875"/>
      <c r="Z92" s="875"/>
    </row>
    <row r="93" spans="1:26" ht="19.5" hidden="1">
      <c r="A93" s="993"/>
      <c r="B93" s="883"/>
      <c r="C93" s="999"/>
      <c r="D93" s="883"/>
      <c r="E93" s="884" t="s">
        <v>37</v>
      </c>
      <c r="F93" s="883"/>
      <c r="G93" s="994"/>
      <c r="H93" s="165" t="s">
        <v>12</v>
      </c>
      <c r="I93" s="1000"/>
      <c r="J93" s="1000"/>
      <c r="K93" s="1001"/>
      <c r="L93" s="887">
        <f ca="1">IFERROR(__xludf.DUMMYFUNCTION("IMPORTRANGE(""https://docs.google.com/spreadsheets/d/1MeEWN-I1oV_STSDYn1IFDPWt_1FKiwhDph83XaGc0o0/edit?usp=sharing"",""งบพรบ!AQ84"")"),245340)</f>
        <v>245340</v>
      </c>
      <c r="M93" s="887">
        <f ca="1">IFERROR(__xludf.DUMMYFUNCTION("IMPORTRANGE(""https://docs.google.com/spreadsheets/d/1MeEWN-I1oV_STSDYn1IFDPWt_1FKiwhDph83XaGc0o0/edit?usp=sharing"",""งบพรบ!AV84"")"),171040)</f>
        <v>171040</v>
      </c>
      <c r="N93" s="887">
        <f ca="1">IFERROR(__xludf.DUMMYFUNCTION("IMPORTRANGE(""https://docs.google.com/spreadsheets/d/1MeEWN-I1oV_STSDYn1IFDPWt_1FKiwhDph83XaGc0o0/edit?usp=sharing"",""งบพรบ!AX84"")"),100659.59)</f>
        <v>100659.59</v>
      </c>
      <c r="O93" s="887">
        <f t="shared" ca="1" si="50"/>
        <v>41.02860927692182</v>
      </c>
      <c r="P93" s="887">
        <f t="shared" ca="1" si="51"/>
        <v>58.851490879326477</v>
      </c>
      <c r="Q93" s="875"/>
      <c r="R93" s="875"/>
      <c r="S93" s="875"/>
      <c r="T93" s="875"/>
      <c r="U93" s="875"/>
      <c r="V93" s="875"/>
      <c r="W93" s="875"/>
      <c r="X93" s="875"/>
      <c r="Y93" s="875"/>
      <c r="Z93" s="875"/>
    </row>
    <row r="94" spans="1:26" ht="18.75">
      <c r="A94" s="995"/>
      <c r="B94" s="877"/>
      <c r="C94" s="996"/>
      <c r="D94" s="878" t="s">
        <v>21</v>
      </c>
      <c r="E94" s="877"/>
      <c r="F94" s="877"/>
      <c r="G94" s="879"/>
      <c r="H94" s="168" t="s">
        <v>12</v>
      </c>
      <c r="I94" s="997"/>
      <c r="J94" s="997"/>
      <c r="K94" s="998"/>
      <c r="L94" s="881">
        <f t="shared" ref="L94:N94" ca="1" si="54">L95+L96</f>
        <v>0</v>
      </c>
      <c r="M94" s="881">
        <f t="shared" ca="1" si="54"/>
        <v>0</v>
      </c>
      <c r="N94" s="881">
        <f t="shared" ca="1" si="54"/>
        <v>0</v>
      </c>
      <c r="O94" s="881">
        <f t="shared" ca="1" si="50"/>
        <v>0</v>
      </c>
      <c r="P94" s="881">
        <f t="shared" ca="1" si="51"/>
        <v>0</v>
      </c>
      <c r="Q94" s="868"/>
      <c r="R94" s="868"/>
      <c r="S94" s="868"/>
      <c r="T94" s="868"/>
      <c r="U94" s="868"/>
      <c r="V94" s="868"/>
      <c r="W94" s="868"/>
      <c r="X94" s="868"/>
      <c r="Y94" s="868"/>
      <c r="Z94" s="868"/>
    </row>
    <row r="95" spans="1:26" ht="19.5" hidden="1">
      <c r="A95" s="993"/>
      <c r="B95" s="883"/>
      <c r="C95" s="999"/>
      <c r="D95" s="883"/>
      <c r="E95" s="884" t="s">
        <v>18</v>
      </c>
      <c r="F95" s="883"/>
      <c r="G95" s="994"/>
      <c r="H95" s="165" t="s">
        <v>12</v>
      </c>
      <c r="I95" s="1000"/>
      <c r="J95" s="1000"/>
      <c r="K95" s="1001"/>
      <c r="L95" s="887">
        <v>0</v>
      </c>
      <c r="M95" s="887">
        <v>0</v>
      </c>
      <c r="N95" s="887">
        <v>0</v>
      </c>
      <c r="O95" s="887">
        <f t="shared" si="50"/>
        <v>0</v>
      </c>
      <c r="P95" s="887">
        <f t="shared" si="51"/>
        <v>0</v>
      </c>
      <c r="Q95" s="875"/>
      <c r="R95" s="875"/>
      <c r="S95" s="875"/>
      <c r="T95" s="875"/>
      <c r="U95" s="875"/>
      <c r="V95" s="875"/>
      <c r="W95" s="875"/>
      <c r="X95" s="875"/>
      <c r="Y95" s="875"/>
      <c r="Z95" s="875"/>
    </row>
    <row r="96" spans="1:26" ht="19.5" hidden="1">
      <c r="A96" s="993"/>
      <c r="B96" s="883"/>
      <c r="C96" s="999"/>
      <c r="D96" s="883"/>
      <c r="E96" s="884" t="s">
        <v>19</v>
      </c>
      <c r="F96" s="883"/>
      <c r="G96" s="994"/>
      <c r="H96" s="169" t="s">
        <v>12</v>
      </c>
      <c r="I96" s="1000"/>
      <c r="J96" s="1000"/>
      <c r="K96" s="1001"/>
      <c r="L96" s="887">
        <f ca="1">IFERROR(__xludf.DUMMYFUNCTION("IMPORTRANGE(""https://docs.google.com/spreadsheets/d/1MeEWN-I1oV_STSDYn1IFDPWt_1FKiwhDph83XaGc0o0/edit?usp=sharing"",""งบพรบ!AT84"")"),0)</f>
        <v>0</v>
      </c>
      <c r="M96" s="887">
        <f ca="1">IFERROR(__xludf.DUMMYFUNCTION("IMPORTRANGE(""https://docs.google.com/spreadsheets/d/1MeEWN-I1oV_STSDYn1IFDPWt_1FKiwhDph83XaGc0o0/edit?usp=sharing"",""งบพรบ!AW84"")"),0)</f>
        <v>0</v>
      </c>
      <c r="N96" s="887">
        <f ca="1">IFERROR(__xludf.DUMMYFUNCTION("IMPORTRANGE(""https://docs.google.com/spreadsheets/d/1MeEWN-I1oV_STSDYn1IFDPWt_1FKiwhDph83XaGc0o0/edit?usp=sharing"",""งบพรบ!AY84"")"),0)</f>
        <v>0</v>
      </c>
      <c r="O96" s="887">
        <f t="shared" ca="1" si="50"/>
        <v>0</v>
      </c>
      <c r="P96" s="887">
        <f t="shared" ca="1" si="51"/>
        <v>0</v>
      </c>
      <c r="Q96" s="875"/>
      <c r="R96" s="875"/>
      <c r="S96" s="875"/>
      <c r="T96" s="875"/>
      <c r="U96" s="875"/>
      <c r="V96" s="875"/>
      <c r="W96" s="875"/>
      <c r="X96" s="875"/>
      <c r="Y96" s="875"/>
      <c r="Z96" s="875"/>
    </row>
    <row r="97" spans="1:16" ht="19.5">
      <c r="A97" s="1002"/>
      <c r="B97" s="1003"/>
      <c r="C97" s="999" t="s">
        <v>16</v>
      </c>
      <c r="D97" s="1004" t="s">
        <v>38</v>
      </c>
      <c r="E97" s="1005"/>
      <c r="F97" s="1005"/>
      <c r="G97" s="1006"/>
      <c r="H97" s="1007"/>
      <c r="I97" s="997"/>
      <c r="J97" s="880"/>
      <c r="K97" s="881"/>
      <c r="L97" s="881"/>
      <c r="M97" s="881"/>
      <c r="N97" s="881"/>
      <c r="O97" s="998"/>
      <c r="P97" s="998"/>
    </row>
    <row r="98" spans="1:16" ht="18.75">
      <c r="A98" s="1002"/>
      <c r="B98" s="1003"/>
      <c r="C98" s="1003"/>
      <c r="D98" s="1009" t="s">
        <v>47</v>
      </c>
      <c r="E98" s="1009"/>
      <c r="F98" s="1010"/>
      <c r="G98" s="1011"/>
      <c r="H98" s="622" t="s">
        <v>46</v>
      </c>
      <c r="I98" s="880">
        <f ca="1">IFERROR(__xludf.DUMMYFUNCTION("IMPORTRANGE(""https://docs.google.com/spreadsheets/d/1QqKyyYR6Q21VydFLVH3TRQUabQu_ym0Zz7PgGX0-kHA/edit?usp=sharing"",""แผน!K84"")"),30)</f>
        <v>30</v>
      </c>
      <c r="J98" s="880">
        <f>J102</f>
        <v>30</v>
      </c>
      <c r="K98" s="881">
        <f t="shared" ref="K98:K100" ca="1" si="55">IF(I98&gt;0,J98*100/I98,0)</f>
        <v>100</v>
      </c>
      <c r="L98" s="881"/>
      <c r="M98" s="881"/>
      <c r="N98" s="881"/>
      <c r="O98" s="998"/>
      <c r="P98" s="998"/>
    </row>
    <row r="99" spans="1:16" ht="18.75">
      <c r="A99" s="1002"/>
      <c r="B99" s="1003"/>
      <c r="C99" s="1003"/>
      <c r="D99" s="1009" t="s">
        <v>48</v>
      </c>
      <c r="E99" s="1009"/>
      <c r="F99" s="1010"/>
      <c r="G99" s="1011"/>
      <c r="H99" s="622" t="s">
        <v>35</v>
      </c>
      <c r="I99" s="880">
        <f ca="1">IFERROR(__xludf.DUMMYFUNCTION("IMPORTRANGE(""https://docs.google.com/spreadsheets/d/1QqKyyYR6Q21VydFLVH3TRQUabQu_ym0Zz7PgGX0-kHA/edit?usp=sharing"",""แผน!L84"")"),10)</f>
        <v>10</v>
      </c>
      <c r="J99" s="880">
        <f>J104</f>
        <v>10</v>
      </c>
      <c r="K99" s="881">
        <f t="shared" ca="1" si="55"/>
        <v>100</v>
      </c>
      <c r="L99" s="881"/>
      <c r="M99" s="881"/>
      <c r="N99" s="881"/>
      <c r="O99" s="998"/>
      <c r="P99" s="998"/>
    </row>
    <row r="100" spans="1:16" ht="18.75">
      <c r="A100" s="1002"/>
      <c r="B100" s="1003"/>
      <c r="C100" s="1003"/>
      <c r="D100" s="1003"/>
      <c r="E100" s="1010"/>
      <c r="F100" s="1010"/>
      <c r="G100" s="1011"/>
      <c r="H100" s="622" t="s">
        <v>49</v>
      </c>
      <c r="I100" s="880">
        <f ca="1">IFERROR(__xludf.DUMMYFUNCTION("IMPORTRANGE(""https://docs.google.com/spreadsheets/d/1QqKyyYR6Q21VydFLVH3TRQUabQu_ym0Zz7PgGX0-kHA/edit?usp=sharing"",""แผน!M84"")"),2)</f>
        <v>2</v>
      </c>
      <c r="J100" s="880">
        <f>J107+J110</f>
        <v>0</v>
      </c>
      <c r="K100" s="881">
        <f t="shared" ca="1" si="55"/>
        <v>0</v>
      </c>
      <c r="L100" s="881"/>
      <c r="M100" s="881"/>
      <c r="N100" s="881"/>
      <c r="O100" s="998"/>
      <c r="P100" s="998"/>
    </row>
    <row r="101" spans="1:16" ht="19.5">
      <c r="A101" s="1002"/>
      <c r="B101" s="1003"/>
      <c r="C101" s="1003"/>
      <c r="D101" s="1010"/>
      <c r="E101" s="1013" t="s">
        <v>50</v>
      </c>
      <c r="F101" s="1010"/>
      <c r="G101" s="1011"/>
      <c r="H101" s="622"/>
      <c r="I101" s="880"/>
      <c r="J101" s="880"/>
      <c r="K101" s="881"/>
      <c r="L101" s="881"/>
      <c r="M101" s="881"/>
      <c r="N101" s="881"/>
      <c r="O101" s="998"/>
      <c r="P101" s="998"/>
    </row>
    <row r="102" spans="1:16" ht="18.75">
      <c r="A102" s="1002"/>
      <c r="B102" s="1003"/>
      <c r="C102" s="1003"/>
      <c r="D102" s="1010"/>
      <c r="E102" s="1014" t="s">
        <v>47</v>
      </c>
      <c r="F102" s="1010"/>
      <c r="G102" s="1011"/>
      <c r="H102" s="622" t="s">
        <v>46</v>
      </c>
      <c r="I102" s="880">
        <f ca="1">IFERROR(__xludf.DUMMYFUNCTION("IMPORTRANGE(""https://docs.google.com/spreadsheets/d/1QqKyyYR6Q21VydFLVH3TRQUabQu_ym0Zz7PgGX0-kHA/edit?usp=sharing"",""แผน!N84"")"),30)</f>
        <v>30</v>
      </c>
      <c r="J102" s="1012">
        <v>30</v>
      </c>
      <c r="K102" s="881">
        <f t="shared" ref="K102:K104" ca="1" si="56">IF(I102&gt;0,J102*100/I102,0)</f>
        <v>100</v>
      </c>
      <c r="L102" s="881"/>
      <c r="M102" s="881"/>
      <c r="N102" s="881"/>
      <c r="O102" s="998"/>
      <c r="P102" s="998"/>
    </row>
    <row r="103" spans="1:16" ht="19.5">
      <c r="A103" s="1002"/>
      <c r="B103" s="1003"/>
      <c r="C103" s="1003"/>
      <c r="D103" s="1010"/>
      <c r="E103" s="1009" t="s">
        <v>51</v>
      </c>
      <c r="F103" s="1010"/>
      <c r="G103" s="1011"/>
      <c r="H103" s="622" t="s">
        <v>35</v>
      </c>
      <c r="I103" s="880">
        <f ca="1">IFERROR(__xludf.DUMMYFUNCTION("IMPORTRANGE(""https://docs.google.com/spreadsheets/d/1QqKyyYR6Q21VydFLVH3TRQUabQu_ym0Zz7PgGX0-kHA/edit?usp=sharing"",""แผน!O84"")"),10)</f>
        <v>10</v>
      </c>
      <c r="J103" s="1012">
        <v>10</v>
      </c>
      <c r="K103" s="881">
        <f t="shared" ca="1" si="56"/>
        <v>100</v>
      </c>
      <c r="L103" s="881"/>
      <c r="M103" s="881"/>
      <c r="N103" s="881"/>
      <c r="O103" s="998"/>
      <c r="P103" s="998"/>
    </row>
    <row r="104" spans="1:16" ht="18.75">
      <c r="A104" s="1002"/>
      <c r="B104" s="1003"/>
      <c r="C104" s="1003"/>
      <c r="D104" s="1010"/>
      <c r="E104" s="1015" t="s">
        <v>52</v>
      </c>
      <c r="F104" s="1010"/>
      <c r="G104" s="1011"/>
      <c r="H104" s="622" t="s">
        <v>35</v>
      </c>
      <c r="I104" s="880">
        <f ca="1">IFERROR(__xludf.DUMMYFUNCTION("IMPORTRANGE(""https://docs.google.com/spreadsheets/d/1QqKyyYR6Q21VydFLVH3TRQUabQu_ym0Zz7PgGX0-kHA/edit?usp=sharing"",""แผน!O84"")"),10)</f>
        <v>10</v>
      </c>
      <c r="J104" s="1012">
        <v>10</v>
      </c>
      <c r="K104" s="881">
        <f t="shared" ca="1" si="56"/>
        <v>100</v>
      </c>
      <c r="L104" s="881"/>
      <c r="M104" s="881"/>
      <c r="N104" s="881"/>
      <c r="O104" s="998"/>
      <c r="P104" s="998"/>
    </row>
    <row r="105" spans="1:16" ht="19.5">
      <c r="A105" s="1002"/>
      <c r="B105" s="1003"/>
      <c r="C105" s="1003"/>
      <c r="D105" s="1010"/>
      <c r="E105" s="1013" t="s">
        <v>53</v>
      </c>
      <c r="F105" s="1010"/>
      <c r="G105" s="1011"/>
      <c r="H105" s="1016"/>
      <c r="I105" s="880"/>
      <c r="J105" s="880"/>
      <c r="K105" s="881"/>
      <c r="L105" s="881"/>
      <c r="M105" s="881"/>
      <c r="N105" s="881"/>
      <c r="O105" s="998"/>
      <c r="P105" s="998"/>
    </row>
    <row r="106" spans="1:16" ht="19.5">
      <c r="A106" s="1002"/>
      <c r="B106" s="1003"/>
      <c r="C106" s="1003"/>
      <c r="D106" s="1010"/>
      <c r="E106" s="1009" t="s">
        <v>54</v>
      </c>
      <c r="F106" s="1010"/>
      <c r="G106" s="1011"/>
      <c r="H106" s="622" t="s">
        <v>49</v>
      </c>
      <c r="I106" s="880">
        <f ca="1">IFERROR(__xludf.DUMMYFUNCTION("IMPORTRANGE(""https://docs.google.com/spreadsheets/d/1QqKyyYR6Q21VydFLVH3TRQUabQu_ym0Zz7PgGX0-kHA/edit?usp=sharing"",""แผน!P84"")"),1)</f>
        <v>1</v>
      </c>
      <c r="J106" s="1012">
        <v>0</v>
      </c>
      <c r="K106" s="881">
        <f t="shared" ref="K106:K107" ca="1" si="57">IF(I106&gt;0,J106*100/I106,0)</f>
        <v>0</v>
      </c>
      <c r="L106" s="881"/>
      <c r="M106" s="881"/>
      <c r="N106" s="881"/>
      <c r="O106" s="998"/>
      <c r="P106" s="998"/>
    </row>
    <row r="107" spans="1:16" ht="18.75">
      <c r="A107" s="1002"/>
      <c r="B107" s="1003"/>
      <c r="C107" s="1003"/>
      <c r="D107" s="1010"/>
      <c r="E107" s="1015" t="s">
        <v>55</v>
      </c>
      <c r="F107" s="1010"/>
      <c r="G107" s="1011"/>
      <c r="H107" s="622" t="s">
        <v>49</v>
      </c>
      <c r="I107" s="880">
        <f ca="1">IFERROR(__xludf.DUMMYFUNCTION("IMPORTRANGE(""https://docs.google.com/spreadsheets/d/1QqKyyYR6Q21VydFLVH3TRQUabQu_ym0Zz7PgGX0-kHA/edit?usp=sharing"",""แผน!P84"")"),1)</f>
        <v>1</v>
      </c>
      <c r="J107" s="1012">
        <v>0</v>
      </c>
      <c r="K107" s="881">
        <f t="shared" ca="1" si="57"/>
        <v>0</v>
      </c>
      <c r="L107" s="881"/>
      <c r="M107" s="881"/>
      <c r="N107" s="881"/>
      <c r="O107" s="998"/>
      <c r="P107" s="998"/>
    </row>
    <row r="108" spans="1:16" ht="19.5">
      <c r="A108" s="1002"/>
      <c r="B108" s="1003"/>
      <c r="C108" s="1003"/>
      <c r="D108" s="1010"/>
      <c r="E108" s="1013" t="s">
        <v>56</v>
      </c>
      <c r="F108" s="1010"/>
      <c r="G108" s="1011"/>
      <c r="H108" s="1016"/>
      <c r="I108" s="880"/>
      <c r="J108" s="880"/>
      <c r="K108" s="881"/>
      <c r="L108" s="881"/>
      <c r="M108" s="881"/>
      <c r="N108" s="881"/>
      <c r="O108" s="998"/>
      <c r="P108" s="998"/>
    </row>
    <row r="109" spans="1:16" ht="19.5">
      <c r="A109" s="1002"/>
      <c r="B109" s="1003"/>
      <c r="C109" s="1003"/>
      <c r="D109" s="1010"/>
      <c r="E109" s="1009" t="s">
        <v>57</v>
      </c>
      <c r="F109" s="1010"/>
      <c r="G109" s="1011"/>
      <c r="H109" s="622" t="s">
        <v>49</v>
      </c>
      <c r="I109" s="880">
        <f ca="1">IFERROR(__xludf.DUMMYFUNCTION("IMPORTRANGE(""https://docs.google.com/spreadsheets/d/1QqKyyYR6Q21VydFLVH3TRQUabQu_ym0Zz7PgGX0-kHA/edit?usp=sharing"",""แผน!Q84"")"),1)</f>
        <v>1</v>
      </c>
      <c r="J109" s="1012">
        <v>0</v>
      </c>
      <c r="K109" s="881">
        <f t="shared" ref="K109:K116" ca="1" si="58">IF(I109&gt;0,J109*100/I109,0)</f>
        <v>0</v>
      </c>
      <c r="L109" s="881"/>
      <c r="M109" s="881"/>
      <c r="N109" s="881"/>
      <c r="O109" s="998"/>
      <c r="P109" s="998"/>
    </row>
    <row r="110" spans="1:16" ht="18.75">
      <c r="A110" s="1002"/>
      <c r="B110" s="1003"/>
      <c r="C110" s="1003"/>
      <c r="D110" s="1010"/>
      <c r="E110" s="1017" t="s">
        <v>58</v>
      </c>
      <c r="F110" s="1010"/>
      <c r="G110" s="1011"/>
      <c r="H110" s="622" t="s">
        <v>49</v>
      </c>
      <c r="I110" s="880">
        <f ca="1">IFERROR(__xludf.DUMMYFUNCTION("IMPORTRANGE(""https://docs.google.com/spreadsheets/d/1QqKyyYR6Q21VydFLVH3TRQUabQu_ym0Zz7PgGX0-kHA/edit?usp=sharing"",""แผน!Q84"")"),1)</f>
        <v>1</v>
      </c>
      <c r="J110" s="1012">
        <v>0</v>
      </c>
      <c r="K110" s="881">
        <f t="shared" ca="1" si="58"/>
        <v>0</v>
      </c>
      <c r="L110" s="881"/>
      <c r="M110" s="881"/>
      <c r="N110" s="881"/>
      <c r="O110" s="998"/>
      <c r="P110" s="998"/>
    </row>
    <row r="111" spans="1:16" ht="19.5">
      <c r="A111" s="1002"/>
      <c r="B111" s="1003"/>
      <c r="C111" s="1003"/>
      <c r="D111" s="1013" t="s">
        <v>59</v>
      </c>
      <c r="E111" s="1013"/>
      <c r="F111" s="1010"/>
      <c r="G111" s="1011"/>
      <c r="H111" s="765" t="s">
        <v>35</v>
      </c>
      <c r="I111" s="1018">
        <f ca="1">IFERROR(__xludf.DUMMYFUNCTION("IMPORTRANGE(""https://docs.google.com/spreadsheets/d/1QqKyyYR6Q21VydFLVH3TRQUabQu_ym0Zz7PgGX0-kHA/edit?usp=sharing"",""แผน!R84"")"),10)</f>
        <v>10</v>
      </c>
      <c r="J111" s="1019">
        <f>J114</f>
        <v>0</v>
      </c>
      <c r="K111" s="1020">
        <f t="shared" ca="1" si="58"/>
        <v>0</v>
      </c>
      <c r="L111" s="881"/>
      <c r="M111" s="881"/>
      <c r="N111" s="881"/>
      <c r="O111" s="998"/>
      <c r="P111" s="998"/>
    </row>
    <row r="112" spans="1:16" ht="19.5">
      <c r="A112" s="1002"/>
      <c r="B112" s="1003"/>
      <c r="C112" s="1003"/>
      <c r="D112" s="1003"/>
      <c r="E112" s="1010"/>
      <c r="F112" s="1010"/>
      <c r="G112" s="1011"/>
      <c r="H112" s="196" t="s">
        <v>49</v>
      </c>
      <c r="I112" s="1018">
        <f t="shared" ref="I112:J112" ca="1" si="59">I115+I116</f>
        <v>2</v>
      </c>
      <c r="J112" s="1019">
        <f t="shared" si="59"/>
        <v>0</v>
      </c>
      <c r="K112" s="1020">
        <f t="shared" ca="1" si="58"/>
        <v>0</v>
      </c>
      <c r="L112" s="881"/>
      <c r="M112" s="881"/>
      <c r="N112" s="881"/>
      <c r="O112" s="998"/>
      <c r="P112" s="998"/>
    </row>
    <row r="113" spans="1:26" ht="19.5">
      <c r="A113" s="1002"/>
      <c r="B113" s="1003"/>
      <c r="C113" s="1003"/>
      <c r="D113" s="1003"/>
      <c r="E113" s="1021" t="s">
        <v>60</v>
      </c>
      <c r="F113" s="1010"/>
      <c r="G113" s="1011"/>
      <c r="H113" s="198" t="s">
        <v>35</v>
      </c>
      <c r="I113" s="997">
        <f ca="1">IFERROR(__xludf.DUMMYFUNCTION("IMPORTRANGE(""https://docs.google.com/spreadsheets/d/1QqKyyYR6Q21VydFLVH3TRQUabQu_ym0Zz7PgGX0-kHA/edit?usp=sharing"",""แผน!R84"")"),10)</f>
        <v>10</v>
      </c>
      <c r="J113" s="1012">
        <v>0</v>
      </c>
      <c r="K113" s="881">
        <f t="shared" ca="1" si="58"/>
        <v>0</v>
      </c>
      <c r="L113" s="881"/>
      <c r="M113" s="881"/>
      <c r="N113" s="881"/>
      <c r="O113" s="998"/>
      <c r="P113" s="998"/>
    </row>
    <row r="114" spans="1:26" ht="19.5">
      <c r="A114" s="1002"/>
      <c r="B114" s="1003"/>
      <c r="C114" s="1003"/>
      <c r="D114" s="1003"/>
      <c r="E114" s="1009" t="s">
        <v>61</v>
      </c>
      <c r="F114" s="1010"/>
      <c r="G114" s="1011"/>
      <c r="H114" s="199" t="s">
        <v>35</v>
      </c>
      <c r="I114" s="997">
        <f ca="1">IFERROR(__xludf.DUMMYFUNCTION("IMPORTRANGE(""https://docs.google.com/spreadsheets/d/1QqKyyYR6Q21VydFLVH3TRQUabQu_ym0Zz7PgGX0-kHA/edit?usp=sharing"",""แผน!R84"")"),10)</f>
        <v>10</v>
      </c>
      <c r="J114" s="1012">
        <v>0</v>
      </c>
      <c r="K114" s="881">
        <f t="shared" ca="1" si="58"/>
        <v>0</v>
      </c>
      <c r="L114" s="881"/>
      <c r="M114" s="881"/>
      <c r="N114" s="881"/>
      <c r="O114" s="998"/>
      <c r="P114" s="998"/>
    </row>
    <row r="115" spans="1:26" ht="18.75">
      <c r="A115" s="1002"/>
      <c r="B115" s="1003"/>
      <c r="C115" s="1003"/>
      <c r="D115" s="1003"/>
      <c r="E115" s="1009" t="s">
        <v>62</v>
      </c>
      <c r="F115" s="1010"/>
      <c r="G115" s="1011"/>
      <c r="H115" s="199" t="s">
        <v>49</v>
      </c>
      <c r="I115" s="997">
        <f ca="1">IFERROR(__xludf.DUMMYFUNCTION("IMPORTRANGE(""https://docs.google.com/spreadsheets/d/1QqKyyYR6Q21VydFLVH3TRQUabQu_ym0Zz7PgGX0-kHA/edit?usp=sharing"",""แผน!S84"")"),1)</f>
        <v>1</v>
      </c>
      <c r="J115" s="1012">
        <v>0</v>
      </c>
      <c r="K115" s="881">
        <f t="shared" ca="1" si="58"/>
        <v>0</v>
      </c>
      <c r="L115" s="881"/>
      <c r="M115" s="881"/>
      <c r="N115" s="881"/>
      <c r="O115" s="998"/>
      <c r="P115" s="998"/>
    </row>
    <row r="116" spans="1:26" ht="18.75">
      <c r="A116" s="1002"/>
      <c r="B116" s="1003"/>
      <c r="C116" s="1003"/>
      <c r="D116" s="1003"/>
      <c r="E116" s="1009" t="s">
        <v>63</v>
      </c>
      <c r="F116" s="1010"/>
      <c r="G116" s="1011"/>
      <c r="H116" s="199" t="s">
        <v>49</v>
      </c>
      <c r="I116" s="997">
        <f ca="1">IFERROR(__xludf.DUMMYFUNCTION("IMPORTRANGE(""https://docs.google.com/spreadsheets/d/1QqKyyYR6Q21VydFLVH3TRQUabQu_ym0Zz7PgGX0-kHA/edit?usp=sharing"",""แผน!T84"")"),1)</f>
        <v>1</v>
      </c>
      <c r="J116" s="1012">
        <v>0</v>
      </c>
      <c r="K116" s="881">
        <f t="shared" ca="1" si="58"/>
        <v>0</v>
      </c>
      <c r="L116" s="881"/>
      <c r="M116" s="881"/>
      <c r="N116" s="881"/>
      <c r="O116" s="998"/>
      <c r="P116" s="998"/>
    </row>
    <row r="117" spans="1:26" ht="19.5" hidden="1">
      <c r="A117" s="970" t="s">
        <v>64</v>
      </c>
      <c r="B117" s="971"/>
      <c r="C117" s="1022"/>
      <c r="D117" s="971"/>
      <c r="E117" s="971"/>
      <c r="F117" s="971"/>
      <c r="G117" s="971"/>
      <c r="H117" s="1023"/>
      <c r="I117" s="1024"/>
      <c r="J117" s="1024"/>
      <c r="K117" s="1025"/>
      <c r="L117" s="976"/>
      <c r="M117" s="976"/>
      <c r="N117" s="976"/>
      <c r="O117" s="976"/>
      <c r="P117" s="976"/>
    </row>
    <row r="118" spans="1:26" ht="19.5" hidden="1">
      <c r="A118" s="977"/>
      <c r="B118" s="978" t="s">
        <v>65</v>
      </c>
      <c r="C118" s="1026"/>
      <c r="D118" s="980"/>
      <c r="E118" s="979"/>
      <c r="F118" s="979"/>
      <c r="G118" s="981"/>
      <c r="H118" s="205"/>
      <c r="I118" s="1027"/>
      <c r="J118" s="1027"/>
      <c r="K118" s="984"/>
      <c r="L118" s="984"/>
      <c r="M118" s="984"/>
      <c r="N118" s="984"/>
      <c r="O118" s="984"/>
      <c r="P118" s="984"/>
    </row>
    <row r="119" spans="1:26" ht="19.5" hidden="1">
      <c r="A119" s="985"/>
      <c r="B119" s="986"/>
      <c r="C119" s="987" t="s">
        <v>16</v>
      </c>
      <c r="D119" s="988" t="s">
        <v>17</v>
      </c>
      <c r="E119" s="986"/>
      <c r="F119" s="986"/>
      <c r="G119" s="989"/>
      <c r="H119" s="152" t="s">
        <v>12</v>
      </c>
      <c r="I119" s="990"/>
      <c r="J119" s="990"/>
      <c r="K119" s="991"/>
      <c r="L119" s="992">
        <f t="shared" ref="L119:N119" ca="1" si="60">L120+L121</f>
        <v>0</v>
      </c>
      <c r="M119" s="992">
        <f t="shared" ca="1" si="60"/>
        <v>0</v>
      </c>
      <c r="N119" s="992">
        <f t="shared" ca="1" si="60"/>
        <v>0</v>
      </c>
      <c r="O119" s="992">
        <f t="shared" ref="O119:O127" ca="1" si="61">IF(L119&gt;0,N119*100/L119,0)</f>
        <v>0</v>
      </c>
      <c r="P119" s="992">
        <f t="shared" ref="P119:P127" ca="1" si="62">IF(M119&gt;0,N119*100/M119,0)</f>
        <v>0</v>
      </c>
      <c r="Q119" s="868"/>
      <c r="R119" s="868"/>
      <c r="S119" s="868"/>
      <c r="T119" s="868"/>
      <c r="U119" s="868"/>
      <c r="V119" s="868"/>
      <c r="W119" s="868"/>
      <c r="X119" s="868"/>
      <c r="Y119" s="868"/>
      <c r="Z119" s="868"/>
    </row>
    <row r="120" spans="1:26" ht="18.75" hidden="1">
      <c r="A120" s="993"/>
      <c r="B120" s="883"/>
      <c r="C120" s="883"/>
      <c r="D120" s="883"/>
      <c r="E120" s="884" t="s">
        <v>18</v>
      </c>
      <c r="F120" s="883"/>
      <c r="G120" s="994"/>
      <c r="H120" s="158" t="s">
        <v>12</v>
      </c>
      <c r="I120" s="886"/>
      <c r="J120" s="886"/>
      <c r="K120" s="887"/>
      <c r="L120" s="887">
        <f t="shared" ref="L120:N121" si="63">L123+L126</f>
        <v>0</v>
      </c>
      <c r="M120" s="887">
        <f t="shared" si="63"/>
        <v>0</v>
      </c>
      <c r="N120" s="887">
        <f t="shared" si="63"/>
        <v>0</v>
      </c>
      <c r="O120" s="887">
        <f t="shared" si="61"/>
        <v>0</v>
      </c>
      <c r="P120" s="887">
        <f t="shared" si="62"/>
        <v>0</v>
      </c>
      <c r="Q120" s="875"/>
      <c r="R120" s="875"/>
      <c r="S120" s="875"/>
      <c r="T120" s="875"/>
      <c r="U120" s="875"/>
      <c r="V120" s="875"/>
      <c r="W120" s="875"/>
      <c r="X120" s="875"/>
      <c r="Y120" s="875"/>
      <c r="Z120" s="875"/>
    </row>
    <row r="121" spans="1:26" ht="18.75" hidden="1">
      <c r="A121" s="993"/>
      <c r="B121" s="883"/>
      <c r="C121" s="883"/>
      <c r="D121" s="883"/>
      <c r="E121" s="884" t="s">
        <v>19</v>
      </c>
      <c r="F121" s="883"/>
      <c r="G121" s="994"/>
      <c r="H121" s="158" t="s">
        <v>12</v>
      </c>
      <c r="I121" s="886"/>
      <c r="J121" s="886"/>
      <c r="K121" s="887"/>
      <c r="L121" s="887">
        <f t="shared" ca="1" si="63"/>
        <v>0</v>
      </c>
      <c r="M121" s="887">
        <f t="shared" ca="1" si="63"/>
        <v>0</v>
      </c>
      <c r="N121" s="887">
        <f t="shared" ca="1" si="63"/>
        <v>0</v>
      </c>
      <c r="O121" s="887">
        <f t="shared" ca="1" si="61"/>
        <v>0</v>
      </c>
      <c r="P121" s="887">
        <f t="shared" ca="1" si="62"/>
        <v>0</v>
      </c>
      <c r="Q121" s="875"/>
      <c r="R121" s="875"/>
      <c r="S121" s="875"/>
      <c r="T121" s="875"/>
      <c r="U121" s="875"/>
      <c r="V121" s="875"/>
      <c r="W121" s="875"/>
      <c r="X121" s="875"/>
      <c r="Y121" s="875"/>
      <c r="Z121" s="875"/>
    </row>
    <row r="122" spans="1:26" ht="18.75" hidden="1">
      <c r="A122" s="995"/>
      <c r="B122" s="877"/>
      <c r="C122" s="996"/>
      <c r="D122" s="878" t="s">
        <v>20</v>
      </c>
      <c r="E122" s="877"/>
      <c r="F122" s="877"/>
      <c r="G122" s="879"/>
      <c r="H122" s="161" t="s">
        <v>12</v>
      </c>
      <c r="I122" s="997"/>
      <c r="J122" s="997"/>
      <c r="K122" s="998"/>
      <c r="L122" s="881">
        <f t="shared" ref="L122:N122" ca="1" si="64">L123+L124</f>
        <v>0</v>
      </c>
      <c r="M122" s="881">
        <f t="shared" ca="1" si="64"/>
        <v>0</v>
      </c>
      <c r="N122" s="881">
        <f t="shared" ca="1" si="64"/>
        <v>0</v>
      </c>
      <c r="O122" s="881">
        <f t="shared" ca="1" si="61"/>
        <v>0</v>
      </c>
      <c r="P122" s="881">
        <f t="shared" ca="1" si="62"/>
        <v>0</v>
      </c>
      <c r="Q122" s="868"/>
      <c r="R122" s="868"/>
      <c r="S122" s="868"/>
      <c r="T122" s="868"/>
      <c r="U122" s="868"/>
      <c r="V122" s="868"/>
      <c r="W122" s="868"/>
      <c r="X122" s="868"/>
      <c r="Y122" s="868"/>
      <c r="Z122" s="868"/>
    </row>
    <row r="123" spans="1:26" ht="18.75" hidden="1">
      <c r="A123" s="993"/>
      <c r="B123" s="883"/>
      <c r="C123" s="884"/>
      <c r="D123" s="883"/>
      <c r="E123" s="884" t="s">
        <v>36</v>
      </c>
      <c r="F123" s="883"/>
      <c r="G123" s="994"/>
      <c r="H123" s="165" t="s">
        <v>12</v>
      </c>
      <c r="I123" s="1000"/>
      <c r="J123" s="1000"/>
      <c r="K123" s="1001"/>
      <c r="L123" s="887">
        <v>0</v>
      </c>
      <c r="M123" s="887">
        <v>0</v>
      </c>
      <c r="N123" s="887">
        <v>0</v>
      </c>
      <c r="O123" s="887">
        <f t="shared" si="61"/>
        <v>0</v>
      </c>
      <c r="P123" s="887">
        <f t="shared" si="62"/>
        <v>0</v>
      </c>
      <c r="Q123" s="875"/>
      <c r="R123" s="875"/>
      <c r="S123" s="875"/>
      <c r="T123" s="875"/>
      <c r="U123" s="875"/>
      <c r="V123" s="875"/>
      <c r="W123" s="875"/>
      <c r="X123" s="875"/>
      <c r="Y123" s="875"/>
      <c r="Z123" s="875"/>
    </row>
    <row r="124" spans="1:26" ht="18.75" hidden="1">
      <c r="A124" s="993"/>
      <c r="B124" s="883"/>
      <c r="C124" s="884"/>
      <c r="D124" s="883"/>
      <c r="E124" s="884" t="s">
        <v>37</v>
      </c>
      <c r="F124" s="883"/>
      <c r="G124" s="994"/>
      <c r="H124" s="165" t="s">
        <v>12</v>
      </c>
      <c r="I124" s="1000"/>
      <c r="J124" s="1000"/>
      <c r="K124" s="1001"/>
      <c r="L124" s="887">
        <f ca="1">IFERROR(__xludf.DUMMYFUNCTION("IMPORTRANGE(""https://docs.google.com/spreadsheets/d/1MeEWN-I1oV_STSDYn1IFDPWt_1FKiwhDph83XaGc0o0/edit?usp=sharing"",""งบพรบ!BA84"")"),0)</f>
        <v>0</v>
      </c>
      <c r="M124" s="887">
        <f ca="1">IFERROR(__xludf.DUMMYFUNCTION("IMPORTRANGE(""https://docs.google.com/spreadsheets/d/1MeEWN-I1oV_STSDYn1IFDPWt_1FKiwhDph83XaGc0o0/edit?usp=sharing"",""งบพรบ!BF84"")"),0)</f>
        <v>0</v>
      </c>
      <c r="N124" s="887">
        <f ca="1">IFERROR(__xludf.DUMMYFUNCTION("IMPORTRANGE(""https://docs.google.com/spreadsheets/d/1MeEWN-I1oV_STSDYn1IFDPWt_1FKiwhDph83XaGc0o0/edit?usp=sharing"",""งบพรบ!BH84"")"),0)</f>
        <v>0</v>
      </c>
      <c r="O124" s="887">
        <f t="shared" ca="1" si="61"/>
        <v>0</v>
      </c>
      <c r="P124" s="887">
        <f t="shared" ca="1" si="62"/>
        <v>0</v>
      </c>
      <c r="Q124" s="875"/>
      <c r="R124" s="875"/>
      <c r="S124" s="875"/>
      <c r="T124" s="875"/>
      <c r="U124" s="875"/>
      <c r="V124" s="875"/>
      <c r="W124" s="875"/>
      <c r="X124" s="875"/>
      <c r="Y124" s="875"/>
      <c r="Z124" s="875"/>
    </row>
    <row r="125" spans="1:26" ht="18.75" hidden="1">
      <c r="A125" s="995"/>
      <c r="B125" s="877"/>
      <c r="C125" s="996"/>
      <c r="D125" s="878" t="s">
        <v>21</v>
      </c>
      <c r="E125" s="877"/>
      <c r="F125" s="877"/>
      <c r="G125" s="879"/>
      <c r="H125" s="168" t="s">
        <v>12</v>
      </c>
      <c r="I125" s="997"/>
      <c r="J125" s="997"/>
      <c r="K125" s="998"/>
      <c r="L125" s="881">
        <f t="shared" ref="L125:N125" ca="1" si="65">L126+L127</f>
        <v>0</v>
      </c>
      <c r="M125" s="881">
        <f t="shared" ca="1" si="65"/>
        <v>0</v>
      </c>
      <c r="N125" s="881">
        <f t="shared" ca="1" si="65"/>
        <v>0</v>
      </c>
      <c r="O125" s="881">
        <f t="shared" ca="1" si="61"/>
        <v>0</v>
      </c>
      <c r="P125" s="881">
        <f t="shared" ca="1" si="62"/>
        <v>0</v>
      </c>
      <c r="Q125" s="868"/>
      <c r="R125" s="868"/>
      <c r="S125" s="868"/>
      <c r="T125" s="868"/>
      <c r="U125" s="868"/>
      <c r="V125" s="868"/>
      <c r="W125" s="868"/>
      <c r="X125" s="868"/>
      <c r="Y125" s="868"/>
      <c r="Z125" s="868"/>
    </row>
    <row r="126" spans="1:26" ht="19.5" hidden="1">
      <c r="A126" s="993"/>
      <c r="B126" s="883"/>
      <c r="C126" s="999"/>
      <c r="D126" s="883"/>
      <c r="E126" s="884" t="s">
        <v>18</v>
      </c>
      <c r="F126" s="883"/>
      <c r="G126" s="994"/>
      <c r="H126" s="165" t="s">
        <v>12</v>
      </c>
      <c r="I126" s="1000"/>
      <c r="J126" s="1000"/>
      <c r="K126" s="1001"/>
      <c r="L126" s="887">
        <v>0</v>
      </c>
      <c r="M126" s="887">
        <v>0</v>
      </c>
      <c r="N126" s="887">
        <v>0</v>
      </c>
      <c r="O126" s="887">
        <f t="shared" si="61"/>
        <v>0</v>
      </c>
      <c r="P126" s="887">
        <f t="shared" si="62"/>
        <v>0</v>
      </c>
      <c r="Q126" s="875"/>
      <c r="R126" s="875"/>
      <c r="S126" s="875"/>
      <c r="T126" s="875"/>
      <c r="U126" s="875"/>
      <c r="V126" s="875"/>
      <c r="W126" s="875"/>
      <c r="X126" s="875"/>
      <c r="Y126" s="875"/>
      <c r="Z126" s="875"/>
    </row>
    <row r="127" spans="1:26" ht="19.5" hidden="1">
      <c r="A127" s="993"/>
      <c r="B127" s="883"/>
      <c r="C127" s="999"/>
      <c r="D127" s="883"/>
      <c r="E127" s="884" t="s">
        <v>19</v>
      </c>
      <c r="F127" s="883"/>
      <c r="G127" s="994"/>
      <c r="H127" s="169" t="s">
        <v>12</v>
      </c>
      <c r="I127" s="1000"/>
      <c r="J127" s="1000"/>
      <c r="K127" s="1001"/>
      <c r="L127" s="887">
        <f ca="1">IFERROR(__xludf.DUMMYFUNCTION("IMPORTRANGE(""https://docs.google.com/spreadsheets/d/1MeEWN-I1oV_STSDYn1IFDPWt_1FKiwhDph83XaGc0o0/edit?usp=sharing"",""งบพรบ!BD84"")"),0)</f>
        <v>0</v>
      </c>
      <c r="M127" s="887">
        <f ca="1">IFERROR(__xludf.DUMMYFUNCTION("IMPORTRANGE(""https://docs.google.com/spreadsheets/d/1MeEWN-I1oV_STSDYn1IFDPWt_1FKiwhDph83XaGc0o0/edit?usp=sharing"",""งบพรบ!BG84"")"),0)</f>
        <v>0</v>
      </c>
      <c r="N127" s="887">
        <f ca="1">IFERROR(__xludf.DUMMYFUNCTION("IMPORTRANGE(""https://docs.google.com/spreadsheets/d/1MeEWN-I1oV_STSDYn1IFDPWt_1FKiwhDph83XaGc0o0/edit?usp=sharing"",""งบพรบ!BI84"")"),0)</f>
        <v>0</v>
      </c>
      <c r="O127" s="887">
        <f t="shared" ca="1" si="61"/>
        <v>0</v>
      </c>
      <c r="P127" s="887">
        <f t="shared" ca="1" si="62"/>
        <v>0</v>
      </c>
      <c r="Q127" s="875"/>
      <c r="R127" s="875"/>
      <c r="S127" s="875"/>
      <c r="T127" s="875"/>
      <c r="U127" s="875"/>
      <c r="V127" s="875"/>
      <c r="W127" s="875"/>
      <c r="X127" s="875"/>
      <c r="Y127" s="875"/>
      <c r="Z127" s="875"/>
    </row>
    <row r="128" spans="1:26" ht="19.5" hidden="1">
      <c r="A128" s="970" t="s">
        <v>67</v>
      </c>
      <c r="B128" s="971"/>
      <c r="C128" s="1022"/>
      <c r="D128" s="971"/>
      <c r="E128" s="971"/>
      <c r="F128" s="971"/>
      <c r="G128" s="971"/>
      <c r="H128" s="1023"/>
      <c r="I128" s="1024"/>
      <c r="J128" s="1024"/>
      <c r="K128" s="1025"/>
      <c r="L128" s="976"/>
      <c r="M128" s="976"/>
      <c r="N128" s="976"/>
      <c r="O128" s="976"/>
      <c r="P128" s="976"/>
    </row>
    <row r="129" spans="1:26" ht="19.5" hidden="1">
      <c r="A129" s="977"/>
      <c r="B129" s="978" t="s">
        <v>68</v>
      </c>
      <c r="C129" s="1026"/>
      <c r="D129" s="980"/>
      <c r="E129" s="979"/>
      <c r="F129" s="979"/>
      <c r="G129" s="979"/>
      <c r="H129" s="207"/>
      <c r="I129" s="1027"/>
      <c r="J129" s="1027"/>
      <c r="K129" s="984"/>
      <c r="L129" s="984"/>
      <c r="M129" s="984"/>
      <c r="N129" s="984"/>
      <c r="O129" s="984"/>
      <c r="P129" s="984"/>
    </row>
    <row r="130" spans="1:26" ht="19.5" hidden="1">
      <c r="A130" s="977"/>
      <c r="B130" s="978"/>
      <c r="C130" s="1028" t="s">
        <v>69</v>
      </c>
      <c r="D130" s="980"/>
      <c r="E130" s="979"/>
      <c r="F130" s="979"/>
      <c r="G130" s="981"/>
      <c r="H130" s="205" t="s">
        <v>66</v>
      </c>
      <c r="I130" s="982">
        <f t="shared" ref="I130:J130" ca="1" si="66">I146</f>
        <v>0</v>
      </c>
      <c r="J130" s="982">
        <f t="shared" si="66"/>
        <v>0</v>
      </c>
      <c r="K130" s="983">
        <f t="shared" ref="K130:K131" ca="1" si="67">IF(I130&gt;0,J130*100/I130,0)</f>
        <v>0</v>
      </c>
      <c r="L130" s="984"/>
      <c r="M130" s="984"/>
      <c r="N130" s="984"/>
      <c r="O130" s="984"/>
      <c r="P130" s="984"/>
    </row>
    <row r="131" spans="1:26" ht="19.5" hidden="1">
      <c r="A131" s="977"/>
      <c r="B131" s="978"/>
      <c r="C131" s="1028" t="s">
        <v>70</v>
      </c>
      <c r="D131" s="980"/>
      <c r="E131" s="979"/>
      <c r="F131" s="979"/>
      <c r="G131" s="981"/>
      <c r="H131" s="205" t="s">
        <v>35</v>
      </c>
      <c r="I131" s="982">
        <f t="shared" ref="I131:J131" ca="1" si="68">I143</f>
        <v>0</v>
      </c>
      <c r="J131" s="982">
        <f t="shared" ca="1" si="68"/>
        <v>0</v>
      </c>
      <c r="K131" s="983">
        <f t="shared" ca="1" si="67"/>
        <v>0</v>
      </c>
      <c r="L131" s="984"/>
      <c r="M131" s="984"/>
      <c r="N131" s="984"/>
      <c r="O131" s="984"/>
      <c r="P131" s="984"/>
    </row>
    <row r="132" spans="1:26" ht="19.5" hidden="1">
      <c r="A132" s="985"/>
      <c r="B132" s="986"/>
      <c r="C132" s="987" t="s">
        <v>16</v>
      </c>
      <c r="D132" s="988" t="s">
        <v>17</v>
      </c>
      <c r="E132" s="986"/>
      <c r="F132" s="986"/>
      <c r="G132" s="989"/>
      <c r="H132" s="152" t="s">
        <v>12</v>
      </c>
      <c r="I132" s="990"/>
      <c r="J132" s="990"/>
      <c r="K132" s="991"/>
      <c r="L132" s="992">
        <f t="shared" ref="L132:N132" ca="1" si="69">L133+L134</f>
        <v>0</v>
      </c>
      <c r="M132" s="992">
        <f t="shared" ca="1" si="69"/>
        <v>0</v>
      </c>
      <c r="N132" s="992">
        <f t="shared" ca="1" si="69"/>
        <v>0</v>
      </c>
      <c r="O132" s="992">
        <f t="shared" ref="O132:O140" ca="1" si="70">IF(L132&gt;0,N132*100/L132,0)</f>
        <v>0</v>
      </c>
      <c r="P132" s="992">
        <f t="shared" ref="P132:P140" ca="1" si="71">IF(M132&gt;0,N132*100/M132,0)</f>
        <v>0</v>
      </c>
      <c r="Q132" s="868"/>
      <c r="R132" s="868"/>
      <c r="S132" s="868"/>
      <c r="T132" s="868"/>
      <c r="U132" s="868"/>
      <c r="V132" s="868"/>
      <c r="W132" s="868"/>
      <c r="X132" s="868"/>
      <c r="Y132" s="868"/>
      <c r="Z132" s="868"/>
    </row>
    <row r="133" spans="1:26" ht="18.75" hidden="1">
      <c r="A133" s="993"/>
      <c r="B133" s="883"/>
      <c r="C133" s="883"/>
      <c r="D133" s="883"/>
      <c r="E133" s="884" t="s">
        <v>18</v>
      </c>
      <c r="F133" s="883"/>
      <c r="G133" s="994"/>
      <c r="H133" s="158" t="s">
        <v>12</v>
      </c>
      <c r="I133" s="886"/>
      <c r="J133" s="886"/>
      <c r="K133" s="887"/>
      <c r="L133" s="887">
        <f t="shared" ref="L133:N134" si="72">L136+L139</f>
        <v>0</v>
      </c>
      <c r="M133" s="887">
        <f t="shared" si="72"/>
        <v>0</v>
      </c>
      <c r="N133" s="887">
        <f t="shared" si="72"/>
        <v>0</v>
      </c>
      <c r="O133" s="887">
        <f t="shared" si="70"/>
        <v>0</v>
      </c>
      <c r="P133" s="887">
        <f t="shared" si="71"/>
        <v>0</v>
      </c>
      <c r="Q133" s="875"/>
      <c r="R133" s="875"/>
      <c r="S133" s="875"/>
      <c r="T133" s="875"/>
      <c r="U133" s="875"/>
      <c r="V133" s="875"/>
      <c r="W133" s="875"/>
      <c r="X133" s="875"/>
      <c r="Y133" s="875"/>
      <c r="Z133" s="875"/>
    </row>
    <row r="134" spans="1:26" ht="18.75" hidden="1">
      <c r="A134" s="993"/>
      <c r="B134" s="883"/>
      <c r="C134" s="883"/>
      <c r="D134" s="883"/>
      <c r="E134" s="884" t="s">
        <v>19</v>
      </c>
      <c r="F134" s="883"/>
      <c r="G134" s="994"/>
      <c r="H134" s="158" t="s">
        <v>12</v>
      </c>
      <c r="I134" s="886"/>
      <c r="J134" s="886"/>
      <c r="K134" s="887"/>
      <c r="L134" s="887">
        <f t="shared" ca="1" si="72"/>
        <v>0</v>
      </c>
      <c r="M134" s="887">
        <f t="shared" ca="1" si="72"/>
        <v>0</v>
      </c>
      <c r="N134" s="887">
        <f t="shared" ca="1" si="72"/>
        <v>0</v>
      </c>
      <c r="O134" s="887">
        <f t="shared" ca="1" si="70"/>
        <v>0</v>
      </c>
      <c r="P134" s="887">
        <f t="shared" ca="1" si="71"/>
        <v>0</v>
      </c>
      <c r="Q134" s="875"/>
      <c r="R134" s="875"/>
      <c r="S134" s="875"/>
      <c r="T134" s="875"/>
      <c r="U134" s="875"/>
      <c r="V134" s="875"/>
      <c r="W134" s="875"/>
      <c r="X134" s="875"/>
      <c r="Y134" s="875"/>
      <c r="Z134" s="875"/>
    </row>
    <row r="135" spans="1:26" ht="18.75" hidden="1">
      <c r="A135" s="995"/>
      <c r="B135" s="877"/>
      <c r="C135" s="996"/>
      <c r="D135" s="878" t="s">
        <v>20</v>
      </c>
      <c r="E135" s="877"/>
      <c r="F135" s="877"/>
      <c r="G135" s="879"/>
      <c r="H135" s="161" t="s">
        <v>12</v>
      </c>
      <c r="I135" s="997"/>
      <c r="J135" s="997"/>
      <c r="K135" s="998"/>
      <c r="L135" s="881">
        <f t="shared" ref="L135:N135" ca="1" si="73">L136+L137</f>
        <v>0</v>
      </c>
      <c r="M135" s="881">
        <f t="shared" ca="1" si="73"/>
        <v>0</v>
      </c>
      <c r="N135" s="881">
        <f t="shared" ca="1" si="73"/>
        <v>0</v>
      </c>
      <c r="O135" s="881">
        <f t="shared" ca="1" si="70"/>
        <v>0</v>
      </c>
      <c r="P135" s="881">
        <f t="shared" ca="1" si="71"/>
        <v>0</v>
      </c>
      <c r="Q135" s="868"/>
      <c r="R135" s="868"/>
      <c r="S135" s="868"/>
      <c r="T135" s="868"/>
      <c r="U135" s="868"/>
      <c r="V135" s="868"/>
      <c r="W135" s="868"/>
      <c r="X135" s="868"/>
      <c r="Y135" s="868"/>
      <c r="Z135" s="868"/>
    </row>
    <row r="136" spans="1:26" ht="19.5" hidden="1">
      <c r="A136" s="993"/>
      <c r="B136" s="883"/>
      <c r="C136" s="999"/>
      <c r="D136" s="883"/>
      <c r="E136" s="884" t="s">
        <v>36</v>
      </c>
      <c r="F136" s="883"/>
      <c r="G136" s="994"/>
      <c r="H136" s="165" t="s">
        <v>12</v>
      </c>
      <c r="I136" s="1000"/>
      <c r="J136" s="1000"/>
      <c r="K136" s="1001"/>
      <c r="L136" s="887">
        <v>0</v>
      </c>
      <c r="M136" s="887">
        <v>0</v>
      </c>
      <c r="N136" s="887">
        <v>0</v>
      </c>
      <c r="O136" s="887">
        <f t="shared" si="70"/>
        <v>0</v>
      </c>
      <c r="P136" s="887">
        <f t="shared" si="71"/>
        <v>0</v>
      </c>
      <c r="Q136" s="875"/>
      <c r="R136" s="875"/>
      <c r="S136" s="875"/>
      <c r="T136" s="875"/>
      <c r="U136" s="875"/>
      <c r="V136" s="875"/>
      <c r="W136" s="875"/>
      <c r="X136" s="875"/>
      <c r="Y136" s="875"/>
      <c r="Z136" s="875"/>
    </row>
    <row r="137" spans="1:26" ht="19.5" hidden="1">
      <c r="A137" s="993"/>
      <c r="B137" s="883"/>
      <c r="C137" s="999"/>
      <c r="D137" s="883"/>
      <c r="E137" s="884" t="s">
        <v>37</v>
      </c>
      <c r="F137" s="883"/>
      <c r="G137" s="994"/>
      <c r="H137" s="165" t="s">
        <v>12</v>
      </c>
      <c r="I137" s="1000"/>
      <c r="J137" s="1000"/>
      <c r="K137" s="1001"/>
      <c r="L137" s="887">
        <f ca="1">IFERROR(__xludf.DUMMYFUNCTION("IMPORTRANGE(""https://docs.google.com/spreadsheets/d/1MeEWN-I1oV_STSDYn1IFDPWt_1FKiwhDph83XaGc0o0/edit?usp=sharing"",""งบพรบ!BK84"")"),0)</f>
        <v>0</v>
      </c>
      <c r="M137" s="887">
        <f ca="1">IFERROR(__xludf.DUMMYFUNCTION("IMPORTRANGE(""https://docs.google.com/spreadsheets/d/1MeEWN-I1oV_STSDYn1IFDPWt_1FKiwhDph83XaGc0o0/edit?usp=sharing"",""งบพรบ!BP84"")"),0)</f>
        <v>0</v>
      </c>
      <c r="N137" s="887">
        <f ca="1">IFERROR(__xludf.DUMMYFUNCTION("IMPORTRANGE(""https://docs.google.com/spreadsheets/d/1MeEWN-I1oV_STSDYn1IFDPWt_1FKiwhDph83XaGc0o0/edit?usp=sharing"",""งบพรบ!BR84"")"),0)</f>
        <v>0</v>
      </c>
      <c r="O137" s="887">
        <f t="shared" ca="1" si="70"/>
        <v>0</v>
      </c>
      <c r="P137" s="887">
        <f t="shared" ca="1" si="71"/>
        <v>0</v>
      </c>
      <c r="Q137" s="875"/>
      <c r="R137" s="875"/>
      <c r="S137" s="875"/>
      <c r="T137" s="875"/>
      <c r="U137" s="875"/>
      <c r="V137" s="875"/>
      <c r="W137" s="875"/>
      <c r="X137" s="875"/>
      <c r="Y137" s="875"/>
      <c r="Z137" s="875"/>
    </row>
    <row r="138" spans="1:26" ht="18.75" hidden="1">
      <c r="A138" s="995"/>
      <c r="B138" s="877"/>
      <c r="C138" s="996"/>
      <c r="D138" s="878" t="s">
        <v>21</v>
      </c>
      <c r="E138" s="877"/>
      <c r="F138" s="877"/>
      <c r="G138" s="879"/>
      <c r="H138" s="168" t="s">
        <v>12</v>
      </c>
      <c r="I138" s="997"/>
      <c r="J138" s="997"/>
      <c r="K138" s="998"/>
      <c r="L138" s="881">
        <f t="shared" ref="L138:N138" ca="1" si="74">L139+L140</f>
        <v>0</v>
      </c>
      <c r="M138" s="881">
        <f t="shared" ca="1" si="74"/>
        <v>0</v>
      </c>
      <c r="N138" s="881">
        <f t="shared" ca="1" si="74"/>
        <v>0</v>
      </c>
      <c r="O138" s="881">
        <f t="shared" ca="1" si="70"/>
        <v>0</v>
      </c>
      <c r="P138" s="881">
        <f t="shared" ca="1" si="71"/>
        <v>0</v>
      </c>
      <c r="Q138" s="868"/>
      <c r="R138" s="868"/>
      <c r="S138" s="868"/>
      <c r="T138" s="868"/>
      <c r="U138" s="868"/>
      <c r="V138" s="868"/>
      <c r="W138" s="868"/>
      <c r="X138" s="868"/>
      <c r="Y138" s="868"/>
      <c r="Z138" s="868"/>
    </row>
    <row r="139" spans="1:26" ht="19.5" hidden="1">
      <c r="A139" s="993"/>
      <c r="B139" s="883"/>
      <c r="C139" s="999"/>
      <c r="D139" s="883"/>
      <c r="E139" s="884" t="s">
        <v>18</v>
      </c>
      <c r="F139" s="883"/>
      <c r="G139" s="994"/>
      <c r="H139" s="165" t="s">
        <v>12</v>
      </c>
      <c r="I139" s="1000"/>
      <c r="J139" s="1000"/>
      <c r="K139" s="1001"/>
      <c r="L139" s="887">
        <v>0</v>
      </c>
      <c r="M139" s="887">
        <v>0</v>
      </c>
      <c r="N139" s="887">
        <v>0</v>
      </c>
      <c r="O139" s="887">
        <f t="shared" si="70"/>
        <v>0</v>
      </c>
      <c r="P139" s="887">
        <f t="shared" si="71"/>
        <v>0</v>
      </c>
      <c r="Q139" s="875"/>
      <c r="R139" s="875"/>
      <c r="S139" s="875"/>
      <c r="T139" s="875"/>
      <c r="U139" s="875"/>
      <c r="V139" s="875"/>
      <c r="W139" s="875"/>
      <c r="X139" s="875"/>
      <c r="Y139" s="875"/>
      <c r="Z139" s="875"/>
    </row>
    <row r="140" spans="1:26" ht="19.5" hidden="1">
      <c r="A140" s="993"/>
      <c r="B140" s="883"/>
      <c r="C140" s="999"/>
      <c r="D140" s="883"/>
      <c r="E140" s="884" t="s">
        <v>19</v>
      </c>
      <c r="F140" s="883"/>
      <c r="G140" s="994"/>
      <c r="H140" s="169" t="s">
        <v>12</v>
      </c>
      <c r="I140" s="1000"/>
      <c r="J140" s="1000"/>
      <c r="K140" s="1001"/>
      <c r="L140" s="887">
        <f ca="1">IFERROR(__xludf.DUMMYFUNCTION("IMPORTRANGE(""https://docs.google.com/spreadsheets/d/1MeEWN-I1oV_STSDYn1IFDPWt_1FKiwhDph83XaGc0o0/edit?usp=sharing"",""งบพรบ!BN84"")"),0)</f>
        <v>0</v>
      </c>
      <c r="M140" s="887">
        <f ca="1">IFERROR(__xludf.DUMMYFUNCTION("IMPORTRANGE(""https://docs.google.com/spreadsheets/d/1MeEWN-I1oV_STSDYn1IFDPWt_1FKiwhDph83XaGc0o0/edit?usp=sharing"",""งบพรบ!BQ84"")"),0)</f>
        <v>0</v>
      </c>
      <c r="N140" s="887">
        <f ca="1">IFERROR(__xludf.DUMMYFUNCTION("IMPORTRANGE(""https://docs.google.com/spreadsheets/d/1MeEWN-I1oV_STSDYn1IFDPWt_1FKiwhDph83XaGc0o0/edit?usp=sharing"",""งบพรบ!BS84"")"),0)</f>
        <v>0</v>
      </c>
      <c r="O140" s="887">
        <f t="shared" ca="1" si="70"/>
        <v>0</v>
      </c>
      <c r="P140" s="887">
        <f t="shared" ca="1" si="71"/>
        <v>0</v>
      </c>
      <c r="Q140" s="875"/>
      <c r="R140" s="875"/>
      <c r="S140" s="875"/>
      <c r="T140" s="875"/>
      <c r="U140" s="875"/>
      <c r="V140" s="875"/>
      <c r="W140" s="875"/>
      <c r="X140" s="875"/>
      <c r="Y140" s="875"/>
      <c r="Z140" s="875"/>
    </row>
    <row r="141" spans="1:26" ht="19.5" hidden="1">
      <c r="A141" s="1002"/>
      <c r="B141" s="1003"/>
      <c r="C141" s="987" t="s">
        <v>16</v>
      </c>
      <c r="D141" s="1004" t="s">
        <v>38</v>
      </c>
      <c r="E141" s="1005"/>
      <c r="F141" s="1005"/>
      <c r="G141" s="1006"/>
      <c r="H141" s="168"/>
      <c r="I141" s="880"/>
      <c r="J141" s="880"/>
      <c r="K141" s="881"/>
      <c r="L141" s="881"/>
      <c r="M141" s="881"/>
      <c r="N141" s="881"/>
      <c r="O141" s="881"/>
      <c r="P141" s="881"/>
    </row>
    <row r="142" spans="1:26" ht="19.5" hidden="1">
      <c r="A142" s="995"/>
      <c r="B142" s="877"/>
      <c r="C142" s="1029"/>
      <c r="D142" s="996" t="s">
        <v>71</v>
      </c>
      <c r="E142" s="878"/>
      <c r="F142" s="877"/>
      <c r="G142" s="1030"/>
      <c r="H142" s="168"/>
      <c r="I142" s="880"/>
      <c r="J142" s="1012">
        <v>0</v>
      </c>
      <c r="K142" s="881"/>
      <c r="L142" s="881"/>
      <c r="M142" s="881"/>
      <c r="N142" s="881"/>
      <c r="O142" s="881"/>
      <c r="P142" s="881"/>
    </row>
    <row r="143" spans="1:26" ht="19.5" hidden="1">
      <c r="A143" s="995"/>
      <c r="B143" s="877"/>
      <c r="C143" s="1029"/>
      <c r="D143" s="996" t="s">
        <v>72</v>
      </c>
      <c r="E143" s="878"/>
      <c r="F143" s="877"/>
      <c r="G143" s="1030"/>
      <c r="H143" s="168" t="s">
        <v>35</v>
      </c>
      <c r="I143" s="880">
        <f ca="1">I145</f>
        <v>0</v>
      </c>
      <c r="J143" s="880">
        <f ca="1">IF(AND(J144&gt;=I144,J145&gt;=I145),J145,0)</f>
        <v>0</v>
      </c>
      <c r="K143" s="881">
        <f t="shared" ref="K143:K146" ca="1" si="75">IF(I143&gt;0,J143*100/I143,0)</f>
        <v>0</v>
      </c>
      <c r="L143" s="881"/>
      <c r="M143" s="881"/>
      <c r="N143" s="881"/>
      <c r="O143" s="881"/>
      <c r="P143" s="881"/>
    </row>
    <row r="144" spans="1:26" ht="19.5" hidden="1">
      <c r="A144" s="995"/>
      <c r="B144" s="877"/>
      <c r="C144" s="1029"/>
      <c r="D144" s="1010"/>
      <c r="E144" s="996" t="s">
        <v>73</v>
      </c>
      <c r="F144" s="877"/>
      <c r="G144" s="1030"/>
      <c r="H144" s="168" t="s">
        <v>35</v>
      </c>
      <c r="I144" s="880">
        <f ca="1">IFERROR(__xludf.DUMMYFUNCTION("IMPORTRANGE(""https://docs.google.com/spreadsheets/d/1QqKyyYR6Q21VydFLVH3TRQUabQu_ym0Zz7PgGX0-kHA/edit?usp=sharing"",""แผน!U84"")"),0)</f>
        <v>0</v>
      </c>
      <c r="J144" s="1012">
        <v>0</v>
      </c>
      <c r="K144" s="881">
        <f t="shared" ca="1" si="75"/>
        <v>0</v>
      </c>
      <c r="L144" s="881"/>
      <c r="M144" s="881"/>
      <c r="N144" s="881"/>
      <c r="O144" s="881"/>
      <c r="P144" s="881"/>
    </row>
    <row r="145" spans="1:26" ht="19.5" hidden="1">
      <c r="A145" s="995"/>
      <c r="B145" s="877"/>
      <c r="C145" s="1029"/>
      <c r="D145" s="1010"/>
      <c r="E145" s="996" t="s">
        <v>74</v>
      </c>
      <c r="F145" s="877"/>
      <c r="G145" s="1030"/>
      <c r="H145" s="168" t="s">
        <v>35</v>
      </c>
      <c r="I145" s="880">
        <f ca="1">IFERROR(__xludf.DUMMYFUNCTION("IMPORTRANGE(""https://docs.google.com/spreadsheets/d/1QqKyyYR6Q21VydFLVH3TRQUabQu_ym0Zz7PgGX0-kHA/edit?usp=sharing"",""แผน!V84"")"),0)</f>
        <v>0</v>
      </c>
      <c r="J145" s="1012">
        <v>0</v>
      </c>
      <c r="K145" s="881">
        <f t="shared" ca="1" si="75"/>
        <v>0</v>
      </c>
      <c r="L145" s="881"/>
      <c r="M145" s="881"/>
      <c r="N145" s="881"/>
      <c r="O145" s="881"/>
      <c r="P145" s="881"/>
    </row>
    <row r="146" spans="1:26" ht="19.5" hidden="1">
      <c r="A146" s="995"/>
      <c r="B146" s="877"/>
      <c r="C146" s="1029"/>
      <c r="D146" s="996" t="s">
        <v>75</v>
      </c>
      <c r="E146" s="878"/>
      <c r="F146" s="877"/>
      <c r="G146" s="1030"/>
      <c r="H146" s="168" t="s">
        <v>66</v>
      </c>
      <c r="I146" s="880">
        <f ca="1">IFERROR(__xludf.DUMMYFUNCTION("IMPORTRANGE(""https://docs.google.com/spreadsheets/d/1QqKyyYR6Q21VydFLVH3TRQUabQu_ym0Zz7PgGX0-kHA/edit?usp=sharing"",""แผน!W84"")"),0)</f>
        <v>0</v>
      </c>
      <c r="J146" s="1012">
        <v>0</v>
      </c>
      <c r="K146" s="881">
        <f t="shared" ca="1" si="75"/>
        <v>0</v>
      </c>
      <c r="L146" s="881"/>
      <c r="M146" s="881"/>
      <c r="N146" s="881"/>
      <c r="O146" s="881"/>
      <c r="P146" s="881"/>
    </row>
    <row r="147" spans="1:26" ht="19.5" hidden="1">
      <c r="A147" s="970" t="s">
        <v>76</v>
      </c>
      <c r="B147" s="971"/>
      <c r="C147" s="1022"/>
      <c r="D147" s="971"/>
      <c r="E147" s="971"/>
      <c r="F147" s="971"/>
      <c r="G147" s="971"/>
      <c r="H147" s="1023"/>
      <c r="I147" s="1024"/>
      <c r="J147" s="1024"/>
      <c r="K147" s="1025"/>
      <c r="L147" s="976"/>
      <c r="M147" s="976"/>
      <c r="N147" s="976"/>
      <c r="O147" s="976"/>
      <c r="P147" s="976"/>
    </row>
    <row r="148" spans="1:26" ht="19.5" hidden="1">
      <c r="A148" s="1031"/>
      <c r="B148" s="978" t="s">
        <v>77</v>
      </c>
      <c r="C148" s="978"/>
      <c r="D148" s="978"/>
      <c r="E148" s="1032"/>
      <c r="F148" s="1033"/>
      <c r="G148" s="1034"/>
      <c r="H148" s="221" t="s">
        <v>35</v>
      </c>
      <c r="I148" s="982">
        <f t="shared" ref="I148:J148" ca="1" si="76">I159</f>
        <v>0</v>
      </c>
      <c r="J148" s="982">
        <f t="shared" si="76"/>
        <v>0</v>
      </c>
      <c r="K148" s="983">
        <f ca="1">IF(I148&gt;0,J148*100/I148,0)</f>
        <v>0</v>
      </c>
      <c r="L148" s="983"/>
      <c r="M148" s="983"/>
      <c r="N148" s="983"/>
      <c r="O148" s="983"/>
      <c r="P148" s="98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85"/>
      <c r="B149" s="986"/>
      <c r="C149" s="987" t="s">
        <v>16</v>
      </c>
      <c r="D149" s="988" t="s">
        <v>17</v>
      </c>
      <c r="E149" s="986"/>
      <c r="F149" s="986"/>
      <c r="G149" s="989"/>
      <c r="H149" s="152" t="s">
        <v>12</v>
      </c>
      <c r="I149" s="990"/>
      <c r="J149" s="990"/>
      <c r="K149" s="991"/>
      <c r="L149" s="992">
        <f t="shared" ref="L149:N149" ca="1" si="77">L150+L151</f>
        <v>0</v>
      </c>
      <c r="M149" s="992">
        <f t="shared" ca="1" si="77"/>
        <v>0</v>
      </c>
      <c r="N149" s="992">
        <f t="shared" ca="1" si="77"/>
        <v>0</v>
      </c>
      <c r="O149" s="992">
        <f t="shared" ref="O149:O157" ca="1" si="78">IF(L149&gt;0,N149*100/L149,0)</f>
        <v>0</v>
      </c>
      <c r="P149" s="992">
        <f t="shared" ref="P149:P157" ca="1" si="79">IF(M149&gt;0,N149*100/M149,0)</f>
        <v>0</v>
      </c>
      <c r="Q149" s="868"/>
      <c r="R149" s="868"/>
      <c r="S149" s="868"/>
      <c r="T149" s="868"/>
      <c r="U149" s="868"/>
      <c r="V149" s="868"/>
      <c r="W149" s="868"/>
      <c r="X149" s="868"/>
      <c r="Y149" s="868"/>
      <c r="Z149" s="868"/>
    </row>
    <row r="150" spans="1:26" ht="18.75" hidden="1">
      <c r="A150" s="993"/>
      <c r="B150" s="883"/>
      <c r="C150" s="883"/>
      <c r="D150" s="883"/>
      <c r="E150" s="884" t="s">
        <v>18</v>
      </c>
      <c r="F150" s="883"/>
      <c r="G150" s="994"/>
      <c r="H150" s="158" t="s">
        <v>12</v>
      </c>
      <c r="I150" s="886"/>
      <c r="J150" s="886"/>
      <c r="K150" s="887"/>
      <c r="L150" s="887">
        <f t="shared" ref="L150:N151" si="80">L153+L156</f>
        <v>0</v>
      </c>
      <c r="M150" s="887">
        <f t="shared" si="80"/>
        <v>0</v>
      </c>
      <c r="N150" s="887">
        <f t="shared" si="80"/>
        <v>0</v>
      </c>
      <c r="O150" s="887">
        <f t="shared" si="78"/>
        <v>0</v>
      </c>
      <c r="P150" s="887">
        <f t="shared" si="79"/>
        <v>0</v>
      </c>
      <c r="Q150" s="875"/>
      <c r="R150" s="875"/>
      <c r="S150" s="875"/>
      <c r="T150" s="875"/>
      <c r="U150" s="875"/>
      <c r="V150" s="875"/>
      <c r="W150" s="875"/>
      <c r="X150" s="875"/>
      <c r="Y150" s="875"/>
      <c r="Z150" s="875"/>
    </row>
    <row r="151" spans="1:26" ht="18.75" hidden="1">
      <c r="A151" s="993"/>
      <c r="B151" s="883"/>
      <c r="C151" s="883"/>
      <c r="D151" s="883"/>
      <c r="E151" s="884" t="s">
        <v>19</v>
      </c>
      <c r="F151" s="883"/>
      <c r="G151" s="994"/>
      <c r="H151" s="158" t="s">
        <v>12</v>
      </c>
      <c r="I151" s="886"/>
      <c r="J151" s="886"/>
      <c r="K151" s="887"/>
      <c r="L151" s="887">
        <f t="shared" ca="1" si="80"/>
        <v>0</v>
      </c>
      <c r="M151" s="887">
        <f t="shared" ca="1" si="80"/>
        <v>0</v>
      </c>
      <c r="N151" s="887">
        <f t="shared" ca="1" si="80"/>
        <v>0</v>
      </c>
      <c r="O151" s="887">
        <f t="shared" ca="1" si="78"/>
        <v>0</v>
      </c>
      <c r="P151" s="887">
        <f t="shared" ca="1" si="79"/>
        <v>0</v>
      </c>
      <c r="Q151" s="875"/>
      <c r="R151" s="875"/>
      <c r="S151" s="875"/>
      <c r="T151" s="875"/>
      <c r="U151" s="875"/>
      <c r="V151" s="875"/>
      <c r="W151" s="875"/>
      <c r="X151" s="875"/>
      <c r="Y151" s="875"/>
      <c r="Z151" s="875"/>
    </row>
    <row r="152" spans="1:26" ht="18.75" hidden="1">
      <c r="A152" s="995"/>
      <c r="B152" s="877"/>
      <c r="C152" s="996"/>
      <c r="D152" s="878" t="s">
        <v>20</v>
      </c>
      <c r="E152" s="877"/>
      <c r="F152" s="877"/>
      <c r="G152" s="879"/>
      <c r="H152" s="161" t="s">
        <v>12</v>
      </c>
      <c r="I152" s="997"/>
      <c r="J152" s="997"/>
      <c r="K152" s="998"/>
      <c r="L152" s="881">
        <f t="shared" ref="L152:N152" ca="1" si="81">L153+L154</f>
        <v>0</v>
      </c>
      <c r="M152" s="881">
        <f t="shared" ca="1" si="81"/>
        <v>0</v>
      </c>
      <c r="N152" s="881">
        <f t="shared" ca="1" si="81"/>
        <v>0</v>
      </c>
      <c r="O152" s="881">
        <f t="shared" ca="1" si="78"/>
        <v>0</v>
      </c>
      <c r="P152" s="881">
        <f t="shared" ca="1" si="79"/>
        <v>0</v>
      </c>
      <c r="Q152" s="868"/>
      <c r="R152" s="868"/>
      <c r="S152" s="868"/>
      <c r="T152" s="868"/>
      <c r="U152" s="868"/>
      <c r="V152" s="868"/>
      <c r="W152" s="868"/>
      <c r="X152" s="868"/>
      <c r="Y152" s="868"/>
      <c r="Z152" s="868"/>
    </row>
    <row r="153" spans="1:26" ht="19.5" hidden="1">
      <c r="A153" s="993"/>
      <c r="B153" s="883"/>
      <c r="C153" s="999"/>
      <c r="D153" s="883"/>
      <c r="E153" s="884" t="s">
        <v>36</v>
      </c>
      <c r="F153" s="883"/>
      <c r="G153" s="994"/>
      <c r="H153" s="165" t="s">
        <v>12</v>
      </c>
      <c r="I153" s="1000"/>
      <c r="J153" s="1000"/>
      <c r="K153" s="1001"/>
      <c r="L153" s="887">
        <v>0</v>
      </c>
      <c r="M153" s="887">
        <v>0</v>
      </c>
      <c r="N153" s="887">
        <v>0</v>
      </c>
      <c r="O153" s="887">
        <f t="shared" si="78"/>
        <v>0</v>
      </c>
      <c r="P153" s="887">
        <f t="shared" si="79"/>
        <v>0</v>
      </c>
      <c r="Q153" s="875"/>
      <c r="R153" s="875"/>
      <c r="S153" s="875"/>
      <c r="T153" s="875"/>
      <c r="U153" s="875"/>
      <c r="V153" s="875"/>
      <c r="W153" s="875"/>
      <c r="X153" s="875"/>
      <c r="Y153" s="875"/>
      <c r="Z153" s="875"/>
    </row>
    <row r="154" spans="1:26" ht="19.5" hidden="1">
      <c r="A154" s="993"/>
      <c r="B154" s="883"/>
      <c r="C154" s="999"/>
      <c r="D154" s="883"/>
      <c r="E154" s="884" t="s">
        <v>37</v>
      </c>
      <c r="F154" s="883"/>
      <c r="G154" s="994"/>
      <c r="H154" s="165" t="s">
        <v>12</v>
      </c>
      <c r="I154" s="1000"/>
      <c r="J154" s="1000"/>
      <c r="K154" s="1001"/>
      <c r="L154" s="887">
        <f ca="1">IFERROR(__xludf.DUMMYFUNCTION("IMPORTRANGE(""https://docs.google.com/spreadsheets/d/1MeEWN-I1oV_STSDYn1IFDPWt_1FKiwhDph83XaGc0o0/edit?usp=sharing"",""งบพรบ!BU84"")"),0)</f>
        <v>0</v>
      </c>
      <c r="M154" s="887">
        <f ca="1">IFERROR(__xludf.DUMMYFUNCTION("IMPORTRANGE(""https://docs.google.com/spreadsheets/d/1MeEWN-I1oV_STSDYn1IFDPWt_1FKiwhDph83XaGc0o0/edit?usp=sharing"",""งบพรบ!BZ84"")"),0)</f>
        <v>0</v>
      </c>
      <c r="N154" s="887">
        <f ca="1">IFERROR(__xludf.DUMMYFUNCTION("IMPORTRANGE(""https://docs.google.com/spreadsheets/d/1MeEWN-I1oV_STSDYn1IFDPWt_1FKiwhDph83XaGc0o0/edit?usp=sharing"",""งบพรบ!CB84"")"),0)</f>
        <v>0</v>
      </c>
      <c r="O154" s="887">
        <f t="shared" ca="1" si="78"/>
        <v>0</v>
      </c>
      <c r="P154" s="887">
        <f t="shared" ca="1" si="79"/>
        <v>0</v>
      </c>
      <c r="Q154" s="875"/>
      <c r="R154" s="875"/>
      <c r="S154" s="875"/>
      <c r="T154" s="875"/>
      <c r="U154" s="875"/>
      <c r="V154" s="875"/>
      <c r="W154" s="875"/>
      <c r="X154" s="875"/>
      <c r="Y154" s="875"/>
      <c r="Z154" s="875"/>
    </row>
    <row r="155" spans="1:26" ht="18.75" hidden="1">
      <c r="A155" s="995"/>
      <c r="B155" s="877"/>
      <c r="C155" s="996"/>
      <c r="D155" s="878" t="s">
        <v>21</v>
      </c>
      <c r="E155" s="877"/>
      <c r="F155" s="877"/>
      <c r="G155" s="879"/>
      <c r="H155" s="168" t="s">
        <v>12</v>
      </c>
      <c r="I155" s="997"/>
      <c r="J155" s="997"/>
      <c r="K155" s="998"/>
      <c r="L155" s="881">
        <f t="shared" ref="L155:N155" ca="1" si="82">L156+L157</f>
        <v>0</v>
      </c>
      <c r="M155" s="881">
        <f t="shared" ca="1" si="82"/>
        <v>0</v>
      </c>
      <c r="N155" s="881">
        <f t="shared" ca="1" si="82"/>
        <v>0</v>
      </c>
      <c r="O155" s="881">
        <f t="shared" ca="1" si="78"/>
        <v>0</v>
      </c>
      <c r="P155" s="881">
        <f t="shared" ca="1" si="79"/>
        <v>0</v>
      </c>
      <c r="Q155" s="868"/>
      <c r="R155" s="868"/>
      <c r="S155" s="868"/>
      <c r="T155" s="868"/>
      <c r="U155" s="868"/>
      <c r="V155" s="868"/>
      <c r="W155" s="868"/>
      <c r="X155" s="868"/>
      <c r="Y155" s="868"/>
      <c r="Z155" s="868"/>
    </row>
    <row r="156" spans="1:26" ht="19.5" hidden="1">
      <c r="A156" s="993"/>
      <c r="B156" s="883"/>
      <c r="C156" s="999"/>
      <c r="D156" s="883"/>
      <c r="E156" s="884" t="s">
        <v>18</v>
      </c>
      <c r="F156" s="883"/>
      <c r="G156" s="994"/>
      <c r="H156" s="165" t="s">
        <v>12</v>
      </c>
      <c r="I156" s="1000"/>
      <c r="J156" s="1000"/>
      <c r="K156" s="1001"/>
      <c r="L156" s="887">
        <v>0</v>
      </c>
      <c r="M156" s="887">
        <v>0</v>
      </c>
      <c r="N156" s="887">
        <v>0</v>
      </c>
      <c r="O156" s="887">
        <f t="shared" si="78"/>
        <v>0</v>
      </c>
      <c r="P156" s="887">
        <f t="shared" si="79"/>
        <v>0</v>
      </c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</row>
    <row r="157" spans="1:26" ht="19.5" hidden="1">
      <c r="A157" s="993"/>
      <c r="B157" s="883"/>
      <c r="C157" s="999"/>
      <c r="D157" s="883"/>
      <c r="E157" s="884" t="s">
        <v>19</v>
      </c>
      <c r="F157" s="883"/>
      <c r="G157" s="994"/>
      <c r="H157" s="169" t="s">
        <v>12</v>
      </c>
      <c r="I157" s="1000"/>
      <c r="J157" s="1000"/>
      <c r="K157" s="1001"/>
      <c r="L157" s="887">
        <f ca="1">IFERROR(__xludf.DUMMYFUNCTION("IMPORTRANGE(""https://docs.google.com/spreadsheets/d/1MeEWN-I1oV_STSDYn1IFDPWt_1FKiwhDph83XaGc0o0/edit?usp=sharing"",""งบพรบ!BX84"")"),0)</f>
        <v>0</v>
      </c>
      <c r="M157" s="887">
        <f ca="1">IFERROR(__xludf.DUMMYFUNCTION("IMPORTRANGE(""https://docs.google.com/spreadsheets/d/1MeEWN-I1oV_STSDYn1IFDPWt_1FKiwhDph83XaGc0o0/edit?usp=sharing"",""งบพรบ!CA84"")"),0)</f>
        <v>0</v>
      </c>
      <c r="N157" s="887">
        <f ca="1">IFERROR(__xludf.DUMMYFUNCTION("IMPORTRANGE(""https://docs.google.com/spreadsheets/d/1MeEWN-I1oV_STSDYn1IFDPWt_1FKiwhDph83XaGc0o0/edit?usp=sharing"",""งบพรบ!CC84"")"),0)</f>
        <v>0</v>
      </c>
      <c r="O157" s="887">
        <f t="shared" ca="1" si="78"/>
        <v>0</v>
      </c>
      <c r="P157" s="887">
        <f t="shared" ca="1" si="79"/>
        <v>0</v>
      </c>
      <c r="Q157" s="875"/>
      <c r="R157" s="875"/>
      <c r="S157" s="875"/>
      <c r="T157" s="875"/>
      <c r="U157" s="875"/>
      <c r="V157" s="875"/>
      <c r="W157" s="875"/>
      <c r="X157" s="875"/>
      <c r="Y157" s="875"/>
      <c r="Z157" s="875"/>
    </row>
    <row r="158" spans="1:26" ht="19.5" hidden="1">
      <c r="A158" s="1002"/>
      <c r="B158" s="1003"/>
      <c r="C158" s="999" t="s">
        <v>16</v>
      </c>
      <c r="D158" s="1004" t="s">
        <v>38</v>
      </c>
      <c r="E158" s="1005"/>
      <c r="F158" s="1005"/>
      <c r="G158" s="1006"/>
      <c r="H158" s="168"/>
      <c r="I158" s="880"/>
      <c r="J158" s="880"/>
      <c r="K158" s="881"/>
      <c r="L158" s="881"/>
      <c r="M158" s="881"/>
      <c r="N158" s="881"/>
      <c r="O158" s="881"/>
      <c r="P158" s="881"/>
    </row>
    <row r="159" spans="1:26" ht="19.5" hidden="1">
      <c r="A159" s="995"/>
      <c r="B159" s="877"/>
      <c r="C159" s="1029"/>
      <c r="D159" s="996" t="s">
        <v>78</v>
      </c>
      <c r="E159" s="878"/>
      <c r="F159" s="877"/>
      <c r="G159" s="1030"/>
      <c r="H159" s="168" t="s">
        <v>35</v>
      </c>
      <c r="I159" s="880">
        <f ca="1">IFERROR(__xludf.DUMMYFUNCTION("IMPORTRANGE(""https://docs.google.com/spreadsheets/d/1QqKyyYR6Q21VydFLVH3TRQUabQu_ym0Zz7PgGX0-kHA/edit?usp=sharing"",""แผน!X84"")"),0)</f>
        <v>0</v>
      </c>
      <c r="J159" s="1012">
        <v>0</v>
      </c>
      <c r="K159" s="881">
        <f ca="1">IF(I159&gt;0,J159*100/I159,0)</f>
        <v>0</v>
      </c>
      <c r="L159" s="881"/>
      <c r="M159" s="881"/>
      <c r="N159" s="881"/>
      <c r="O159" s="881"/>
      <c r="P159" s="881"/>
    </row>
    <row r="160" spans="1:26" ht="19.5" hidden="1">
      <c r="A160" s="993"/>
      <c r="B160" s="883"/>
      <c r="C160" s="999"/>
      <c r="D160" s="884" t="s">
        <v>79</v>
      </c>
      <c r="E160" s="1035"/>
      <c r="F160" s="883"/>
      <c r="G160" s="994"/>
      <c r="H160" s="169" t="s">
        <v>35</v>
      </c>
      <c r="I160" s="886"/>
      <c r="J160" s="886"/>
      <c r="K160" s="887"/>
      <c r="L160" s="887"/>
      <c r="M160" s="887"/>
      <c r="N160" s="887"/>
      <c r="O160" s="887"/>
      <c r="P160" s="88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232" t="s">
        <v>35</v>
      </c>
      <c r="I161" s="1042"/>
      <c r="J161" s="1042"/>
      <c r="K161" s="1043"/>
      <c r="L161" s="1043"/>
      <c r="M161" s="1043"/>
      <c r="N161" s="1043"/>
      <c r="O161" s="1043"/>
      <c r="P161" s="104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44" t="s">
        <v>81</v>
      </c>
      <c r="B162" s="1045"/>
      <c r="C162" s="1045"/>
      <c r="D162" s="1045"/>
      <c r="E162" s="1046"/>
      <c r="F162" s="1046"/>
      <c r="G162" s="1047"/>
      <c r="H162" s="1048"/>
      <c r="I162" s="1049"/>
      <c r="J162" s="1049"/>
      <c r="K162" s="1050"/>
      <c r="L162" s="1050"/>
      <c r="M162" s="1050"/>
      <c r="N162" s="1050"/>
      <c r="O162" s="1050"/>
      <c r="P162" s="1050"/>
    </row>
    <row r="163" spans="1:26" ht="19.5">
      <c r="A163" s="1051" t="s">
        <v>82</v>
      </c>
      <c r="B163" s="1052"/>
      <c r="C163" s="1052"/>
      <c r="D163" s="1053"/>
      <c r="E163" s="1053"/>
      <c r="F163" s="1053"/>
      <c r="G163" s="1054"/>
      <c r="H163" s="1055"/>
      <c r="I163" s="1056"/>
      <c r="J163" s="1056"/>
      <c r="K163" s="1057"/>
      <c r="L163" s="1057"/>
      <c r="M163" s="1057"/>
      <c r="N163" s="1057"/>
      <c r="O163" s="1057"/>
      <c r="P163" s="1057"/>
    </row>
    <row r="164" spans="1:26" ht="19.5">
      <c r="A164" s="1058"/>
      <c r="B164" s="1059" t="s">
        <v>83</v>
      </c>
      <c r="C164" s="1060"/>
      <c r="D164" s="1005"/>
      <c r="E164" s="1005"/>
      <c r="F164" s="1005"/>
      <c r="G164" s="1006"/>
      <c r="H164" s="252" t="s">
        <v>35</v>
      </c>
      <c r="I164" s="1075">
        <f t="shared" ref="I164:J164" ca="1" si="83">I174+I177</f>
        <v>10</v>
      </c>
      <c r="J164" s="1075">
        <f t="shared" si="83"/>
        <v>10</v>
      </c>
      <c r="K164" s="1076">
        <f ca="1">IF(I164&gt;0,J164*100/I164,0)</f>
        <v>100</v>
      </c>
      <c r="L164" s="1062"/>
      <c r="M164" s="1062"/>
      <c r="N164" s="1062"/>
      <c r="O164" s="1062"/>
      <c r="P164" s="1062"/>
    </row>
    <row r="165" spans="1:26" ht="19.5">
      <c r="A165" s="985"/>
      <c r="B165" s="986"/>
      <c r="C165" s="987" t="s">
        <v>16</v>
      </c>
      <c r="D165" s="988" t="s">
        <v>17</v>
      </c>
      <c r="E165" s="986"/>
      <c r="F165" s="986"/>
      <c r="G165" s="989"/>
      <c r="H165" s="152" t="s">
        <v>12</v>
      </c>
      <c r="I165" s="990"/>
      <c r="J165" s="990"/>
      <c r="K165" s="991"/>
      <c r="L165" s="992">
        <f t="shared" ref="L165:N165" ca="1" si="84">L166+L167</f>
        <v>21050</v>
      </c>
      <c r="M165" s="992">
        <f t="shared" ca="1" si="84"/>
        <v>42480</v>
      </c>
      <c r="N165" s="992">
        <f t="shared" ca="1" si="84"/>
        <v>42480</v>
      </c>
      <c r="O165" s="992">
        <f t="shared" ref="O165:O173" ca="1" si="85">IF(L165&gt;0,N165*100/L165,0)</f>
        <v>201.80522565320666</v>
      </c>
      <c r="P165" s="992">
        <f t="shared" ref="P165:P173" ca="1" si="86">IF(M165&gt;0,N165*100/M165,0)</f>
        <v>100</v>
      </c>
      <c r="Q165" s="868"/>
      <c r="R165" s="868"/>
      <c r="S165" s="868"/>
      <c r="T165" s="868"/>
      <c r="U165" s="868"/>
      <c r="V165" s="868"/>
      <c r="W165" s="868"/>
      <c r="X165" s="868"/>
      <c r="Y165" s="868"/>
      <c r="Z165" s="868"/>
    </row>
    <row r="166" spans="1:26" ht="18.75" hidden="1">
      <c r="A166" s="993"/>
      <c r="B166" s="883"/>
      <c r="C166" s="883"/>
      <c r="D166" s="883"/>
      <c r="E166" s="884" t="s">
        <v>18</v>
      </c>
      <c r="F166" s="883"/>
      <c r="G166" s="994"/>
      <c r="H166" s="158" t="s">
        <v>12</v>
      </c>
      <c r="I166" s="886"/>
      <c r="J166" s="886"/>
      <c r="K166" s="887"/>
      <c r="L166" s="887">
        <f t="shared" ref="L166:N167" si="87">L169+L172</f>
        <v>0</v>
      </c>
      <c r="M166" s="887">
        <f t="shared" si="87"/>
        <v>0</v>
      </c>
      <c r="N166" s="887">
        <f t="shared" si="87"/>
        <v>0</v>
      </c>
      <c r="O166" s="887">
        <f t="shared" si="85"/>
        <v>0</v>
      </c>
      <c r="P166" s="887">
        <f t="shared" si="86"/>
        <v>0</v>
      </c>
      <c r="Q166" s="875"/>
      <c r="R166" s="875"/>
      <c r="S166" s="875"/>
      <c r="T166" s="875"/>
      <c r="U166" s="875"/>
      <c r="V166" s="875"/>
      <c r="W166" s="875"/>
      <c r="X166" s="875"/>
      <c r="Y166" s="875"/>
      <c r="Z166" s="875"/>
    </row>
    <row r="167" spans="1:26" ht="18.75" hidden="1">
      <c r="A167" s="993"/>
      <c r="B167" s="883"/>
      <c r="C167" s="883"/>
      <c r="D167" s="883"/>
      <c r="E167" s="884" t="s">
        <v>19</v>
      </c>
      <c r="F167" s="883"/>
      <c r="G167" s="994"/>
      <c r="H167" s="158" t="s">
        <v>12</v>
      </c>
      <c r="I167" s="886"/>
      <c r="J167" s="886"/>
      <c r="K167" s="887"/>
      <c r="L167" s="887">
        <f t="shared" ca="1" si="87"/>
        <v>21050</v>
      </c>
      <c r="M167" s="887">
        <f t="shared" ca="1" si="87"/>
        <v>42480</v>
      </c>
      <c r="N167" s="887">
        <f t="shared" ca="1" si="87"/>
        <v>42480</v>
      </c>
      <c r="O167" s="887">
        <f t="shared" ca="1" si="85"/>
        <v>201.80522565320666</v>
      </c>
      <c r="P167" s="887">
        <f t="shared" ca="1" si="86"/>
        <v>100</v>
      </c>
      <c r="Q167" s="875"/>
      <c r="R167" s="875"/>
      <c r="S167" s="875"/>
      <c r="T167" s="875"/>
      <c r="U167" s="875"/>
      <c r="V167" s="875"/>
      <c r="W167" s="875"/>
      <c r="X167" s="875"/>
      <c r="Y167" s="875"/>
      <c r="Z167" s="875"/>
    </row>
    <row r="168" spans="1:26" ht="18.75">
      <c r="A168" s="995"/>
      <c r="B168" s="877"/>
      <c r="C168" s="996"/>
      <c r="D168" s="878" t="s">
        <v>20</v>
      </c>
      <c r="E168" s="877"/>
      <c r="F168" s="877"/>
      <c r="G168" s="879"/>
      <c r="H168" s="161" t="s">
        <v>12</v>
      </c>
      <c r="I168" s="997"/>
      <c r="J168" s="997"/>
      <c r="K168" s="998"/>
      <c r="L168" s="881">
        <f t="shared" ref="L168:N168" ca="1" si="88">L169+L170</f>
        <v>21050</v>
      </c>
      <c r="M168" s="881">
        <f t="shared" ca="1" si="88"/>
        <v>42480</v>
      </c>
      <c r="N168" s="881">
        <f t="shared" ca="1" si="88"/>
        <v>42480</v>
      </c>
      <c r="O168" s="881">
        <f t="shared" ca="1" si="85"/>
        <v>201.80522565320666</v>
      </c>
      <c r="P168" s="881">
        <f t="shared" ca="1" si="86"/>
        <v>100</v>
      </c>
      <c r="Q168" s="868"/>
      <c r="R168" s="868"/>
      <c r="S168" s="868"/>
      <c r="T168" s="868"/>
      <c r="U168" s="868"/>
      <c r="V168" s="868"/>
      <c r="W168" s="868"/>
      <c r="X168" s="868"/>
      <c r="Y168" s="868"/>
      <c r="Z168" s="868"/>
    </row>
    <row r="169" spans="1:26" ht="19.5" hidden="1">
      <c r="A169" s="993"/>
      <c r="B169" s="883"/>
      <c r="C169" s="999"/>
      <c r="D169" s="883"/>
      <c r="E169" s="884" t="s">
        <v>36</v>
      </c>
      <c r="F169" s="883"/>
      <c r="G169" s="994"/>
      <c r="H169" s="165" t="s">
        <v>12</v>
      </c>
      <c r="I169" s="1000"/>
      <c r="J169" s="1000"/>
      <c r="K169" s="1001"/>
      <c r="L169" s="887">
        <v>0</v>
      </c>
      <c r="M169" s="887">
        <v>0</v>
      </c>
      <c r="N169" s="887">
        <v>0</v>
      </c>
      <c r="O169" s="887">
        <f t="shared" si="85"/>
        <v>0</v>
      </c>
      <c r="P169" s="887">
        <f t="shared" si="86"/>
        <v>0</v>
      </c>
      <c r="Q169" s="875"/>
      <c r="R169" s="875"/>
      <c r="S169" s="875"/>
      <c r="T169" s="875"/>
      <c r="U169" s="875"/>
      <c r="V169" s="875"/>
      <c r="W169" s="875"/>
      <c r="X169" s="875"/>
      <c r="Y169" s="875"/>
      <c r="Z169" s="875"/>
    </row>
    <row r="170" spans="1:26" ht="19.5" hidden="1">
      <c r="A170" s="993"/>
      <c r="B170" s="883"/>
      <c r="C170" s="999"/>
      <c r="D170" s="883"/>
      <c r="E170" s="884" t="s">
        <v>37</v>
      </c>
      <c r="F170" s="883"/>
      <c r="G170" s="994"/>
      <c r="H170" s="165" t="s">
        <v>12</v>
      </c>
      <c r="I170" s="1000"/>
      <c r="J170" s="1000"/>
      <c r="K170" s="1001"/>
      <c r="L170" s="887">
        <f ca="1">IFERROR(__xludf.DUMMYFUNCTION("IMPORTRANGE(""https://docs.google.com/spreadsheets/d/1MeEWN-I1oV_STSDYn1IFDPWt_1FKiwhDph83XaGc0o0/edit?usp=sharing"",""งบพรบ!CE84"")"),21050)</f>
        <v>21050</v>
      </c>
      <c r="M170" s="887">
        <f ca="1">IFERROR(__xludf.DUMMYFUNCTION("IMPORTRANGE(""https://docs.google.com/spreadsheets/d/1MeEWN-I1oV_STSDYn1IFDPWt_1FKiwhDph83XaGc0o0/edit?usp=sharing"",""งบพรบ!CJ84"")"),42480)</f>
        <v>42480</v>
      </c>
      <c r="N170" s="887">
        <f ca="1">IFERROR(__xludf.DUMMYFUNCTION("IMPORTRANGE(""https://docs.google.com/spreadsheets/d/1MeEWN-I1oV_STSDYn1IFDPWt_1FKiwhDph83XaGc0o0/edit?usp=sharing"",""งบพรบ!CL84"")"),42480)</f>
        <v>42480</v>
      </c>
      <c r="O170" s="887">
        <f t="shared" ca="1" si="85"/>
        <v>201.80522565320666</v>
      </c>
      <c r="P170" s="887">
        <f t="shared" ca="1" si="86"/>
        <v>100</v>
      </c>
      <c r="Q170" s="875"/>
      <c r="R170" s="875"/>
      <c r="S170" s="875"/>
      <c r="T170" s="875"/>
      <c r="U170" s="875"/>
      <c r="V170" s="875"/>
      <c r="W170" s="875"/>
      <c r="X170" s="875"/>
      <c r="Y170" s="875"/>
      <c r="Z170" s="875"/>
    </row>
    <row r="171" spans="1:26" ht="18.75">
      <c r="A171" s="995"/>
      <c r="B171" s="877"/>
      <c r="C171" s="996"/>
      <c r="D171" s="878" t="s">
        <v>21</v>
      </c>
      <c r="E171" s="877"/>
      <c r="F171" s="877"/>
      <c r="G171" s="879"/>
      <c r="H171" s="168" t="s">
        <v>12</v>
      </c>
      <c r="I171" s="997"/>
      <c r="J171" s="997"/>
      <c r="K171" s="998"/>
      <c r="L171" s="881">
        <f t="shared" ref="L171:N171" ca="1" si="89">L172+L173</f>
        <v>0</v>
      </c>
      <c r="M171" s="881">
        <f t="shared" ca="1" si="89"/>
        <v>0</v>
      </c>
      <c r="N171" s="881">
        <f t="shared" ca="1" si="89"/>
        <v>0</v>
      </c>
      <c r="O171" s="881">
        <f t="shared" ca="1" si="85"/>
        <v>0</v>
      </c>
      <c r="P171" s="881">
        <f t="shared" ca="1" si="86"/>
        <v>0</v>
      </c>
      <c r="Q171" s="868"/>
      <c r="R171" s="868"/>
      <c r="S171" s="868"/>
      <c r="T171" s="868"/>
      <c r="U171" s="868"/>
      <c r="V171" s="868"/>
      <c r="W171" s="868"/>
      <c r="X171" s="868"/>
      <c r="Y171" s="868"/>
      <c r="Z171" s="868"/>
    </row>
    <row r="172" spans="1:26" ht="19.5" hidden="1">
      <c r="A172" s="993"/>
      <c r="B172" s="883"/>
      <c r="C172" s="999"/>
      <c r="D172" s="883"/>
      <c r="E172" s="884" t="s">
        <v>18</v>
      </c>
      <c r="F172" s="883"/>
      <c r="G172" s="994"/>
      <c r="H172" s="165" t="s">
        <v>12</v>
      </c>
      <c r="I172" s="1000"/>
      <c r="J172" s="1000"/>
      <c r="K172" s="1001"/>
      <c r="L172" s="887">
        <v>0</v>
      </c>
      <c r="M172" s="887">
        <v>0</v>
      </c>
      <c r="N172" s="887">
        <v>0</v>
      </c>
      <c r="O172" s="887">
        <f t="shared" si="85"/>
        <v>0</v>
      </c>
      <c r="P172" s="887">
        <f t="shared" si="86"/>
        <v>0</v>
      </c>
      <c r="Q172" s="875"/>
      <c r="R172" s="875"/>
      <c r="S172" s="875"/>
      <c r="T172" s="875"/>
      <c r="U172" s="875"/>
      <c r="V172" s="875"/>
      <c r="W172" s="875"/>
      <c r="X172" s="875"/>
      <c r="Y172" s="875"/>
      <c r="Z172" s="875"/>
    </row>
    <row r="173" spans="1:26" ht="19.5" hidden="1">
      <c r="A173" s="993"/>
      <c r="B173" s="883"/>
      <c r="C173" s="999"/>
      <c r="D173" s="883"/>
      <c r="E173" s="884" t="s">
        <v>19</v>
      </c>
      <c r="F173" s="883"/>
      <c r="G173" s="994"/>
      <c r="H173" s="169" t="s">
        <v>12</v>
      </c>
      <c r="I173" s="1000"/>
      <c r="J173" s="1000"/>
      <c r="K173" s="1001"/>
      <c r="L173" s="887">
        <f ca="1">IFERROR(__xludf.DUMMYFUNCTION("IMPORTRANGE(""https://docs.google.com/spreadsheets/d/1MeEWN-I1oV_STSDYn1IFDPWt_1FKiwhDph83XaGc0o0/edit?usp=sharing"",""งบพรบ!CH84"")"),0)</f>
        <v>0</v>
      </c>
      <c r="M173" s="887">
        <f ca="1">IFERROR(__xludf.DUMMYFUNCTION("IMPORTRANGE(""https://docs.google.com/spreadsheets/d/1MeEWN-I1oV_STSDYn1IFDPWt_1FKiwhDph83XaGc0o0/edit?usp=sharing"",""งบพรบ!CK84"")"),0)</f>
        <v>0</v>
      </c>
      <c r="N173" s="887">
        <f ca="1">IFERROR(__xludf.DUMMYFUNCTION("IMPORTRANGE(""https://docs.google.com/spreadsheets/d/1MeEWN-I1oV_STSDYn1IFDPWt_1FKiwhDph83XaGc0o0/edit?usp=sharing"",""งบพรบ!CM84"")"),0)</f>
        <v>0</v>
      </c>
      <c r="O173" s="887">
        <f t="shared" ca="1" si="85"/>
        <v>0</v>
      </c>
      <c r="P173" s="887">
        <f t="shared" ca="1" si="86"/>
        <v>0</v>
      </c>
      <c r="Q173" s="875"/>
      <c r="R173" s="875"/>
      <c r="S173" s="875"/>
      <c r="T173" s="875"/>
      <c r="U173" s="875"/>
      <c r="V173" s="875"/>
      <c r="W173" s="875"/>
      <c r="X173" s="875"/>
      <c r="Y173" s="875"/>
      <c r="Z173" s="875"/>
    </row>
    <row r="174" spans="1:26" ht="19.5">
      <c r="A174" s="1063"/>
      <c r="B174" s="1064"/>
      <c r="C174" s="1065" t="s">
        <v>84</v>
      </c>
      <c r="D174" s="1064"/>
      <c r="E174" s="1064"/>
      <c r="F174" s="1064"/>
      <c r="G174" s="1066"/>
      <c r="H174" s="260" t="s">
        <v>35</v>
      </c>
      <c r="I174" s="1067">
        <f t="shared" ref="I174:J174" ca="1" si="90">I176</f>
        <v>10</v>
      </c>
      <c r="J174" s="1067">
        <f t="shared" si="90"/>
        <v>10</v>
      </c>
      <c r="K174" s="1068">
        <f ca="1">IF(I174&gt;0,J174*100/I174,0)</f>
        <v>100</v>
      </c>
      <c r="L174" s="1068"/>
      <c r="M174" s="1068"/>
      <c r="N174" s="1068"/>
      <c r="O174" s="1068"/>
      <c r="P174" s="1068"/>
    </row>
    <row r="175" spans="1:26" ht="19.5">
      <c r="A175" s="1002"/>
      <c r="B175" s="1003"/>
      <c r="C175" s="999" t="s">
        <v>16</v>
      </c>
      <c r="D175" s="1004" t="s">
        <v>38</v>
      </c>
      <c r="E175" s="1005"/>
      <c r="F175" s="1005"/>
      <c r="G175" s="1006"/>
      <c r="H175" s="1007"/>
      <c r="I175" s="997"/>
      <c r="J175" s="997"/>
      <c r="K175" s="998"/>
      <c r="L175" s="998"/>
      <c r="M175" s="998"/>
      <c r="N175" s="998"/>
      <c r="O175" s="998"/>
      <c r="P175" s="998"/>
    </row>
    <row r="176" spans="1:26" ht="18.75">
      <c r="A176" s="1002"/>
      <c r="B176" s="1003"/>
      <c r="C176" s="1003"/>
      <c r="D176" s="1069" t="s">
        <v>85</v>
      </c>
      <c r="E176" s="1010"/>
      <c r="F176" s="1010"/>
      <c r="G176" s="1011"/>
      <c r="H176" s="622" t="s">
        <v>35</v>
      </c>
      <c r="I176" s="880">
        <f ca="1">IFERROR(__xludf.DUMMYFUNCTION("IMPORTRANGE(""https://docs.google.com/spreadsheets/d/1QqKyyYR6Q21VydFLVH3TRQUabQu_ym0Zz7PgGX0-kHA/edit?usp=sharing"",""แผน!Y84"")"),10)</f>
        <v>10</v>
      </c>
      <c r="J176" s="1012">
        <v>10</v>
      </c>
      <c r="K176" s="998">
        <f ca="1">IF(I176&gt;0,J176*100/I176,0)</f>
        <v>100</v>
      </c>
      <c r="L176" s="998"/>
      <c r="M176" s="998"/>
      <c r="N176" s="998"/>
      <c r="O176" s="998"/>
      <c r="P176" s="998"/>
    </row>
    <row r="177" spans="1:26" ht="19.5" hidden="1">
      <c r="A177" s="1063"/>
      <c r="B177" s="1070"/>
      <c r="C177" s="1071" t="s">
        <v>86</v>
      </c>
      <c r="D177" s="1070"/>
      <c r="E177" s="1064"/>
      <c r="F177" s="1064"/>
      <c r="G177" s="1066"/>
      <c r="H177" s="266" t="s">
        <v>35</v>
      </c>
      <c r="I177" s="1067"/>
      <c r="J177" s="1067">
        <f>J179</f>
        <v>0</v>
      </c>
      <c r="K177" s="1068"/>
      <c r="L177" s="1068"/>
      <c r="M177" s="1068"/>
      <c r="N177" s="1068"/>
      <c r="O177" s="1068"/>
      <c r="P177" s="1068"/>
    </row>
    <row r="178" spans="1:26" ht="19.5" hidden="1">
      <c r="A178" s="1002"/>
      <c r="B178" s="1003"/>
      <c r="C178" s="999" t="s">
        <v>16</v>
      </c>
      <c r="D178" s="1072" t="s">
        <v>38</v>
      </c>
      <c r="E178" s="1005"/>
      <c r="F178" s="1005"/>
      <c r="G178" s="1006"/>
      <c r="H178" s="1007"/>
      <c r="I178" s="997"/>
      <c r="J178" s="997"/>
      <c r="K178" s="998"/>
      <c r="L178" s="998"/>
      <c r="M178" s="998"/>
      <c r="N178" s="998"/>
      <c r="O178" s="998"/>
      <c r="P178" s="998"/>
    </row>
    <row r="179" spans="1:26" ht="18.75" hidden="1">
      <c r="A179" s="1002"/>
      <c r="B179" s="1003"/>
      <c r="C179" s="1003"/>
      <c r="D179" s="1073" t="s">
        <v>87</v>
      </c>
      <c r="E179" s="1010"/>
      <c r="F179" s="1074"/>
      <c r="G179" s="1011"/>
      <c r="H179" s="43" t="s">
        <v>35</v>
      </c>
      <c r="I179" s="880"/>
      <c r="J179" s="880"/>
      <c r="K179" s="998"/>
      <c r="L179" s="998"/>
      <c r="M179" s="998"/>
      <c r="N179" s="998"/>
      <c r="O179" s="998"/>
      <c r="P179" s="998"/>
    </row>
    <row r="180" spans="1:26" ht="19.5">
      <c r="A180" s="1058"/>
      <c r="B180" s="1059" t="s">
        <v>88</v>
      </c>
      <c r="C180" s="1060"/>
      <c r="D180" s="1005"/>
      <c r="E180" s="1005"/>
      <c r="F180" s="1005"/>
      <c r="G180" s="1006"/>
      <c r="H180" s="252" t="s">
        <v>35</v>
      </c>
      <c r="I180" s="1075" t="e">
        <f t="shared" ref="I180:J180" ca="1" si="91">I225+I226</f>
        <v>#VALUE!</v>
      </c>
      <c r="J180" s="1075">
        <f t="shared" si="91"/>
        <v>0</v>
      </c>
      <c r="K180" s="1076" t="e">
        <f ca="1">IF(I180&gt;0,J180*100/I180,0)</f>
        <v>#VALUE!</v>
      </c>
      <c r="L180" s="1062"/>
      <c r="M180" s="1062"/>
      <c r="N180" s="1062"/>
      <c r="O180" s="1062"/>
      <c r="P180" s="1062"/>
    </row>
    <row r="181" spans="1:26" ht="19.5">
      <c r="A181" s="985"/>
      <c r="B181" s="986"/>
      <c r="C181" s="987" t="s">
        <v>16</v>
      </c>
      <c r="D181" s="988" t="s">
        <v>17</v>
      </c>
      <c r="E181" s="986"/>
      <c r="F181" s="986"/>
      <c r="G181" s="989"/>
      <c r="H181" s="152" t="s">
        <v>12</v>
      </c>
      <c r="I181" s="990"/>
      <c r="J181" s="990"/>
      <c r="K181" s="991"/>
      <c r="L181" s="992">
        <f t="shared" ref="L181:N181" ca="1" si="92">L182+L183</f>
        <v>25800</v>
      </c>
      <c r="M181" s="992">
        <f t="shared" ca="1" si="92"/>
        <v>20500</v>
      </c>
      <c r="N181" s="992">
        <f t="shared" ca="1" si="92"/>
        <v>12000</v>
      </c>
      <c r="O181" s="992">
        <f t="shared" ref="O181:O189" ca="1" si="93">IF(L181&gt;0,N181*100/L181,0)</f>
        <v>46.511627906976742</v>
      </c>
      <c r="P181" s="992">
        <f t="shared" ref="P181:P189" ca="1" si="94">IF(M181&gt;0,N181*100/M181,0)</f>
        <v>58.536585365853661</v>
      </c>
      <c r="Q181" s="868"/>
      <c r="R181" s="868"/>
      <c r="S181" s="868"/>
      <c r="T181" s="868"/>
      <c r="U181" s="868"/>
      <c r="V181" s="868"/>
      <c r="W181" s="868"/>
      <c r="X181" s="868"/>
      <c r="Y181" s="868"/>
      <c r="Z181" s="868"/>
    </row>
    <row r="182" spans="1:26" ht="18.75" hidden="1">
      <c r="A182" s="993"/>
      <c r="B182" s="883"/>
      <c r="C182" s="883"/>
      <c r="D182" s="883"/>
      <c r="E182" s="884" t="s">
        <v>18</v>
      </c>
      <c r="F182" s="883"/>
      <c r="G182" s="994"/>
      <c r="H182" s="158" t="s">
        <v>12</v>
      </c>
      <c r="I182" s="886"/>
      <c r="J182" s="886"/>
      <c r="K182" s="887"/>
      <c r="L182" s="887">
        <f t="shared" ref="L182:N183" si="95">L185+L188</f>
        <v>0</v>
      </c>
      <c r="M182" s="887">
        <f t="shared" si="95"/>
        <v>0</v>
      </c>
      <c r="N182" s="887">
        <f t="shared" si="95"/>
        <v>0</v>
      </c>
      <c r="O182" s="887">
        <f t="shared" si="93"/>
        <v>0</v>
      </c>
      <c r="P182" s="887">
        <f t="shared" si="94"/>
        <v>0</v>
      </c>
      <c r="Q182" s="875"/>
      <c r="R182" s="875"/>
      <c r="S182" s="875"/>
      <c r="T182" s="875"/>
      <c r="U182" s="875"/>
      <c r="V182" s="875"/>
      <c r="W182" s="875"/>
      <c r="X182" s="875"/>
      <c r="Y182" s="875"/>
      <c r="Z182" s="875"/>
    </row>
    <row r="183" spans="1:26" ht="18.75" hidden="1">
      <c r="A183" s="993"/>
      <c r="B183" s="883"/>
      <c r="C183" s="883"/>
      <c r="D183" s="883"/>
      <c r="E183" s="884" t="s">
        <v>19</v>
      </c>
      <c r="F183" s="883"/>
      <c r="G183" s="994"/>
      <c r="H183" s="158" t="s">
        <v>12</v>
      </c>
      <c r="I183" s="886"/>
      <c r="J183" s="886"/>
      <c r="K183" s="887"/>
      <c r="L183" s="887">
        <f t="shared" ca="1" si="95"/>
        <v>25800</v>
      </c>
      <c r="M183" s="887">
        <f t="shared" ca="1" si="95"/>
        <v>20500</v>
      </c>
      <c r="N183" s="887">
        <f t="shared" ca="1" si="95"/>
        <v>12000</v>
      </c>
      <c r="O183" s="887">
        <f t="shared" ca="1" si="93"/>
        <v>46.511627906976742</v>
      </c>
      <c r="P183" s="887">
        <f t="shared" ca="1" si="94"/>
        <v>58.536585365853661</v>
      </c>
      <c r="Q183" s="875"/>
      <c r="R183" s="875"/>
      <c r="S183" s="875"/>
      <c r="T183" s="875"/>
      <c r="U183" s="875"/>
      <c r="V183" s="875"/>
      <c r="W183" s="875"/>
      <c r="X183" s="875"/>
      <c r="Y183" s="875"/>
      <c r="Z183" s="875"/>
    </row>
    <row r="184" spans="1:26" ht="18.75">
      <c r="A184" s="995"/>
      <c r="B184" s="877"/>
      <c r="C184" s="996"/>
      <c r="D184" s="878" t="s">
        <v>20</v>
      </c>
      <c r="E184" s="877"/>
      <c r="F184" s="877"/>
      <c r="G184" s="879"/>
      <c r="H184" s="161" t="s">
        <v>12</v>
      </c>
      <c r="I184" s="997"/>
      <c r="J184" s="997"/>
      <c r="K184" s="998"/>
      <c r="L184" s="881">
        <f t="shared" ref="L184:N184" ca="1" si="96">L185+L186</f>
        <v>25800</v>
      </c>
      <c r="M184" s="881">
        <f t="shared" ca="1" si="96"/>
        <v>20500</v>
      </c>
      <c r="N184" s="881">
        <f t="shared" ca="1" si="96"/>
        <v>12000</v>
      </c>
      <c r="O184" s="881">
        <f t="shared" ca="1" si="93"/>
        <v>46.511627906976742</v>
      </c>
      <c r="P184" s="881">
        <f t="shared" ca="1" si="94"/>
        <v>58.536585365853661</v>
      </c>
      <c r="Q184" s="868"/>
      <c r="R184" s="868"/>
      <c r="S184" s="868"/>
      <c r="T184" s="868"/>
      <c r="U184" s="868"/>
      <c r="V184" s="868"/>
      <c r="W184" s="868"/>
      <c r="X184" s="868"/>
      <c r="Y184" s="868"/>
      <c r="Z184" s="868"/>
    </row>
    <row r="185" spans="1:26" ht="19.5" hidden="1">
      <c r="A185" s="993"/>
      <c r="B185" s="883"/>
      <c r="C185" s="999"/>
      <c r="D185" s="883"/>
      <c r="E185" s="884" t="s">
        <v>36</v>
      </c>
      <c r="F185" s="883"/>
      <c r="G185" s="994"/>
      <c r="H185" s="165" t="s">
        <v>12</v>
      </c>
      <c r="I185" s="1000"/>
      <c r="J185" s="1000"/>
      <c r="K185" s="1001"/>
      <c r="L185" s="887">
        <v>0</v>
      </c>
      <c r="M185" s="887">
        <v>0</v>
      </c>
      <c r="N185" s="887">
        <v>0</v>
      </c>
      <c r="O185" s="887">
        <f t="shared" si="93"/>
        <v>0</v>
      </c>
      <c r="P185" s="887">
        <f t="shared" si="94"/>
        <v>0</v>
      </c>
      <c r="Q185" s="875"/>
      <c r="R185" s="875"/>
      <c r="S185" s="875"/>
      <c r="T185" s="875"/>
      <c r="U185" s="875"/>
      <c r="V185" s="875"/>
      <c r="W185" s="875"/>
      <c r="X185" s="875"/>
      <c r="Y185" s="875"/>
      <c r="Z185" s="875"/>
    </row>
    <row r="186" spans="1:26" ht="19.5" hidden="1">
      <c r="A186" s="993"/>
      <c r="B186" s="883"/>
      <c r="C186" s="999"/>
      <c r="D186" s="883"/>
      <c r="E186" s="884" t="s">
        <v>37</v>
      </c>
      <c r="F186" s="883"/>
      <c r="G186" s="994"/>
      <c r="H186" s="165" t="s">
        <v>12</v>
      </c>
      <c r="I186" s="1000"/>
      <c r="J186" s="1000"/>
      <c r="K186" s="1001"/>
      <c r="L186" s="887">
        <f ca="1">IFERROR(__xludf.DUMMYFUNCTION("IMPORTRANGE(""https://docs.google.com/spreadsheets/d/1MeEWN-I1oV_STSDYn1IFDPWt_1FKiwhDph83XaGc0o0/edit?usp=sharing"",""งบพรบ!CO84"")"),25800)</f>
        <v>25800</v>
      </c>
      <c r="M186" s="887">
        <f ca="1">IFERROR(__xludf.DUMMYFUNCTION("IMPORTRANGE(""https://docs.google.com/spreadsheets/d/1MeEWN-I1oV_STSDYn1IFDPWt_1FKiwhDph83XaGc0o0/edit?usp=sharing"",""งบพรบ!CT84"")"),20500)</f>
        <v>20500</v>
      </c>
      <c r="N186" s="887">
        <f ca="1">IFERROR(__xludf.DUMMYFUNCTION("IMPORTRANGE(""https://docs.google.com/spreadsheets/d/1MeEWN-I1oV_STSDYn1IFDPWt_1FKiwhDph83XaGc0o0/edit?usp=sharing"",""งบพรบ!CV84"")"),12000)</f>
        <v>12000</v>
      </c>
      <c r="O186" s="887">
        <f t="shared" ca="1" si="93"/>
        <v>46.511627906976742</v>
      </c>
      <c r="P186" s="887">
        <f t="shared" ca="1" si="94"/>
        <v>58.536585365853661</v>
      </c>
      <c r="Q186" s="875"/>
      <c r="R186" s="875"/>
      <c r="S186" s="875"/>
      <c r="T186" s="875"/>
      <c r="U186" s="875"/>
      <c r="V186" s="875"/>
      <c r="W186" s="875"/>
      <c r="X186" s="875"/>
      <c r="Y186" s="875"/>
      <c r="Z186" s="875"/>
    </row>
    <row r="187" spans="1:26" ht="18.75">
      <c r="A187" s="995"/>
      <c r="B187" s="877"/>
      <c r="C187" s="996"/>
      <c r="D187" s="878" t="s">
        <v>21</v>
      </c>
      <c r="E187" s="877"/>
      <c r="F187" s="877"/>
      <c r="G187" s="879"/>
      <c r="H187" s="168" t="s">
        <v>12</v>
      </c>
      <c r="I187" s="997"/>
      <c r="J187" s="997"/>
      <c r="K187" s="998"/>
      <c r="L187" s="881">
        <f t="shared" ref="L187:N187" ca="1" si="97">L188+L189</f>
        <v>0</v>
      </c>
      <c r="M187" s="881">
        <f t="shared" ca="1" si="97"/>
        <v>0</v>
      </c>
      <c r="N187" s="881">
        <f t="shared" ca="1" si="97"/>
        <v>0</v>
      </c>
      <c r="O187" s="881">
        <f t="shared" ca="1" si="93"/>
        <v>0</v>
      </c>
      <c r="P187" s="881">
        <f t="shared" ca="1" si="94"/>
        <v>0</v>
      </c>
      <c r="Q187" s="868"/>
      <c r="R187" s="868"/>
      <c r="S187" s="868"/>
      <c r="T187" s="868"/>
      <c r="U187" s="868"/>
      <c r="V187" s="868"/>
      <c r="W187" s="868"/>
      <c r="X187" s="868"/>
      <c r="Y187" s="868"/>
      <c r="Z187" s="868"/>
    </row>
    <row r="188" spans="1:26" ht="19.5" hidden="1">
      <c r="A188" s="993"/>
      <c r="B188" s="883"/>
      <c r="C188" s="999"/>
      <c r="D188" s="883"/>
      <c r="E188" s="884" t="s">
        <v>18</v>
      </c>
      <c r="F188" s="883"/>
      <c r="G188" s="994"/>
      <c r="H188" s="165" t="s">
        <v>12</v>
      </c>
      <c r="I188" s="1000"/>
      <c r="J188" s="1000"/>
      <c r="K188" s="1001"/>
      <c r="L188" s="887">
        <v>0</v>
      </c>
      <c r="M188" s="887">
        <v>0</v>
      </c>
      <c r="N188" s="887">
        <v>0</v>
      </c>
      <c r="O188" s="887">
        <f t="shared" si="93"/>
        <v>0</v>
      </c>
      <c r="P188" s="887">
        <f t="shared" si="94"/>
        <v>0</v>
      </c>
      <c r="Q188" s="875"/>
      <c r="R188" s="875"/>
      <c r="S188" s="875"/>
      <c r="T188" s="875"/>
      <c r="U188" s="875"/>
      <c r="V188" s="875"/>
      <c r="W188" s="875"/>
      <c r="X188" s="875"/>
      <c r="Y188" s="875"/>
      <c r="Z188" s="875"/>
    </row>
    <row r="189" spans="1:26" ht="19.5" hidden="1">
      <c r="A189" s="993"/>
      <c r="B189" s="883"/>
      <c r="C189" s="999"/>
      <c r="D189" s="883"/>
      <c r="E189" s="884" t="s">
        <v>19</v>
      </c>
      <c r="F189" s="883"/>
      <c r="G189" s="994"/>
      <c r="H189" s="169" t="s">
        <v>12</v>
      </c>
      <c r="I189" s="1000"/>
      <c r="J189" s="1000"/>
      <c r="K189" s="1001"/>
      <c r="L189" s="887">
        <f ca="1">IFERROR(__xludf.DUMMYFUNCTION("IMPORTRANGE(""https://docs.google.com/spreadsheets/d/1MeEWN-I1oV_STSDYn1IFDPWt_1FKiwhDph83XaGc0o0/edit?usp=sharing"",""งบพรบ!CR84"")"),0)</f>
        <v>0</v>
      </c>
      <c r="M189" s="887">
        <f ca="1">IFERROR(__xludf.DUMMYFUNCTION("IMPORTRANGE(""https://docs.google.com/spreadsheets/d/1MeEWN-I1oV_STSDYn1IFDPWt_1FKiwhDph83XaGc0o0/edit?usp=sharing"",""งบพรบ!CU84"")"),0)</f>
        <v>0</v>
      </c>
      <c r="N189" s="887">
        <f ca="1">IFERROR(__xludf.DUMMYFUNCTION("IMPORTRANGE(""https://docs.google.com/spreadsheets/d/1MeEWN-I1oV_STSDYn1IFDPWt_1FKiwhDph83XaGc0o0/edit?usp=sharing"",""งบพรบ!CW84"")"),0)</f>
        <v>0</v>
      </c>
      <c r="O189" s="887">
        <f t="shared" ca="1" si="93"/>
        <v>0</v>
      </c>
      <c r="P189" s="887">
        <f t="shared" ca="1" si="94"/>
        <v>0</v>
      </c>
      <c r="Q189" s="875"/>
      <c r="R189" s="875"/>
      <c r="S189" s="875"/>
      <c r="T189" s="875"/>
      <c r="U189" s="875"/>
      <c r="V189" s="875"/>
      <c r="W189" s="875"/>
      <c r="X189" s="875"/>
      <c r="Y189" s="875"/>
      <c r="Z189" s="875"/>
    </row>
    <row r="190" spans="1:26" ht="19.5">
      <c r="A190" s="1063"/>
      <c r="B190" s="1070"/>
      <c r="C190" s="1077" t="s">
        <v>89</v>
      </c>
      <c r="D190" s="1064"/>
      <c r="E190" s="1064"/>
      <c r="F190" s="1064"/>
      <c r="G190" s="1066"/>
      <c r="H190" s="260" t="s">
        <v>90</v>
      </c>
      <c r="I190" s="1078">
        <f t="shared" ref="I190:J190" ca="1" si="98">I193</f>
        <v>4</v>
      </c>
      <c r="J190" s="1078">
        <f t="shared" si="98"/>
        <v>2</v>
      </c>
      <c r="K190" s="1079">
        <f ca="1">IF(I190&gt;0,J190*100/I190,0)</f>
        <v>50</v>
      </c>
      <c r="L190" s="1068"/>
      <c r="M190" s="1068"/>
      <c r="N190" s="1068"/>
      <c r="O190" s="1068"/>
      <c r="P190" s="1068"/>
    </row>
    <row r="191" spans="1:26" ht="19.5">
      <c r="A191" s="985"/>
      <c r="B191" s="986"/>
      <c r="C191" s="987" t="s">
        <v>16</v>
      </c>
      <c r="D191" s="1080" t="s">
        <v>17</v>
      </c>
      <c r="E191" s="986"/>
      <c r="F191" s="986"/>
      <c r="G191" s="989"/>
      <c r="H191" s="275" t="s">
        <v>12</v>
      </c>
      <c r="I191" s="990"/>
      <c r="J191" s="990"/>
      <c r="K191" s="991"/>
      <c r="L191" s="992">
        <f ca="1">IFERROR(__xludf.DUMMYFUNCTION("IMPORTRANGE(""https://docs.google.com/spreadsheets/d/1QqKyyYR6Q21VydFLVH3TRQUabQu_ym0Zz7PgGX0-kHA/edit?usp=sharing"",""แผน!Z84"")"),6000)</f>
        <v>6000</v>
      </c>
      <c r="M191" s="992"/>
      <c r="N191" s="1081">
        <v>0</v>
      </c>
      <c r="O191" s="992">
        <f ca="1">IF(L191&gt;0,N191*100/L191,0)</f>
        <v>0</v>
      </c>
      <c r="P191" s="992">
        <f>IF(M191&gt;0,N191*100/M191,0)</f>
        <v>0</v>
      </c>
      <c r="Q191" s="868"/>
      <c r="R191" s="868"/>
      <c r="S191" s="868"/>
      <c r="T191" s="868"/>
      <c r="U191" s="868"/>
      <c r="V191" s="868"/>
      <c r="W191" s="868"/>
      <c r="X191" s="868"/>
      <c r="Y191" s="868"/>
      <c r="Z191" s="868"/>
    </row>
    <row r="192" spans="1:26" ht="19.5">
      <c r="A192" s="1002"/>
      <c r="B192" s="1003"/>
      <c r="C192" s="1029" t="s">
        <v>16</v>
      </c>
      <c r="D192" s="1004" t="s">
        <v>38</v>
      </c>
      <c r="E192" s="1005"/>
      <c r="F192" s="1005"/>
      <c r="G192" s="1006"/>
      <c r="H192" s="1007"/>
      <c r="I192" s="880"/>
      <c r="J192" s="880"/>
      <c r="K192" s="881"/>
      <c r="L192" s="881"/>
      <c r="M192" s="881"/>
      <c r="N192" s="881"/>
      <c r="O192" s="881"/>
      <c r="P192" s="881"/>
      <c r="Q192" s="868"/>
      <c r="R192" s="868"/>
      <c r="S192" s="868"/>
      <c r="T192" s="868"/>
      <c r="U192" s="868"/>
      <c r="V192" s="868"/>
      <c r="W192" s="868"/>
      <c r="X192" s="868"/>
      <c r="Y192" s="868"/>
      <c r="Z192" s="868"/>
    </row>
    <row r="193" spans="1:26" ht="18.75">
      <c r="A193" s="1002"/>
      <c r="B193" s="1003"/>
      <c r="C193" s="1003"/>
      <c r="D193" s="1009" t="s">
        <v>91</v>
      </c>
      <c r="E193" s="1010"/>
      <c r="F193" s="1010"/>
      <c r="G193" s="1011"/>
      <c r="H193" s="762" t="s">
        <v>90</v>
      </c>
      <c r="I193" s="880">
        <f ca="1">IFERROR(__xludf.DUMMYFUNCTION("IMPORTRANGE(""https://docs.google.com/spreadsheets/d/1QqKyyYR6Q21VydFLVH3TRQUabQu_ym0Zz7PgGX0-kHA/edit?usp=sharing"",""แผน!AC84"")"),4)</f>
        <v>4</v>
      </c>
      <c r="J193" s="1012">
        <v>2</v>
      </c>
      <c r="K193" s="881">
        <f ca="1">IF(I193&gt;0,J193*100/I193,0)</f>
        <v>50</v>
      </c>
      <c r="L193" s="881"/>
      <c r="M193" s="881"/>
      <c r="N193" s="881"/>
      <c r="O193" s="881"/>
      <c r="P193" s="881"/>
      <c r="Q193" s="868"/>
      <c r="R193" s="868"/>
      <c r="S193" s="868"/>
      <c r="T193" s="868"/>
      <c r="U193" s="868"/>
      <c r="V193" s="868"/>
      <c r="W193" s="868"/>
      <c r="X193" s="868"/>
      <c r="Y193" s="868"/>
      <c r="Z193" s="868"/>
    </row>
    <row r="194" spans="1:26" ht="18.75">
      <c r="A194" s="1002"/>
      <c r="B194" s="1003"/>
      <c r="C194" s="1003"/>
      <c r="D194" s="1009" t="s">
        <v>92</v>
      </c>
      <c r="E194" s="1010"/>
      <c r="F194" s="1010"/>
      <c r="G194" s="1011"/>
      <c r="H194" s="277" t="s">
        <v>35</v>
      </c>
      <c r="I194" s="880"/>
      <c r="J194" s="880">
        <f>J195+J196</f>
        <v>81</v>
      </c>
      <c r="K194" s="881"/>
      <c r="L194" s="881"/>
      <c r="M194" s="881"/>
      <c r="N194" s="881"/>
      <c r="O194" s="881"/>
      <c r="P194" s="881"/>
      <c r="Q194" s="868"/>
      <c r="R194" s="868"/>
      <c r="S194" s="868"/>
      <c r="T194" s="868"/>
      <c r="U194" s="868"/>
      <c r="V194" s="868"/>
      <c r="W194" s="868"/>
      <c r="X194" s="868"/>
      <c r="Y194" s="868"/>
      <c r="Z194" s="868"/>
    </row>
    <row r="195" spans="1:26" ht="18.75">
      <c r="A195" s="1002"/>
      <c r="B195" s="1003"/>
      <c r="C195" s="1003"/>
      <c r="D195" s="1003"/>
      <c r="E195" s="1009" t="s">
        <v>93</v>
      </c>
      <c r="F195" s="1010"/>
      <c r="G195" s="1011"/>
      <c r="H195" s="277" t="s">
        <v>35</v>
      </c>
      <c r="I195" s="880"/>
      <c r="J195" s="1012">
        <v>81</v>
      </c>
      <c r="K195" s="881"/>
      <c r="L195" s="881"/>
      <c r="M195" s="881"/>
      <c r="N195" s="881"/>
      <c r="O195" s="881"/>
      <c r="P195" s="881"/>
      <c r="Q195" s="868"/>
      <c r="R195" s="868"/>
      <c r="S195" s="868"/>
      <c r="T195" s="868"/>
      <c r="U195" s="868"/>
      <c r="V195" s="868"/>
      <c r="W195" s="868"/>
      <c r="X195" s="868"/>
      <c r="Y195" s="868"/>
      <c r="Z195" s="868"/>
    </row>
    <row r="196" spans="1:26" ht="18.75">
      <c r="A196" s="1002"/>
      <c r="B196" s="1003"/>
      <c r="C196" s="1003"/>
      <c r="D196" s="1003"/>
      <c r="E196" s="1009" t="s">
        <v>94</v>
      </c>
      <c r="F196" s="1010"/>
      <c r="G196" s="1011"/>
      <c r="H196" s="277" t="s">
        <v>35</v>
      </c>
      <c r="I196" s="880"/>
      <c r="J196" s="1012">
        <v>0</v>
      </c>
      <c r="K196" s="881"/>
      <c r="L196" s="881"/>
      <c r="M196" s="881"/>
      <c r="N196" s="881"/>
      <c r="O196" s="881"/>
      <c r="P196" s="881"/>
      <c r="Q196" s="868"/>
      <c r="R196" s="868"/>
      <c r="S196" s="868"/>
      <c r="T196" s="868"/>
      <c r="U196" s="868"/>
      <c r="V196" s="868"/>
      <c r="W196" s="868"/>
      <c r="X196" s="868"/>
      <c r="Y196" s="868"/>
      <c r="Z196" s="868"/>
    </row>
    <row r="197" spans="1:26" ht="19.5">
      <c r="A197" s="1063"/>
      <c r="B197" s="1070"/>
      <c r="C197" s="1077" t="s">
        <v>95</v>
      </c>
      <c r="D197" s="1064"/>
      <c r="E197" s="1064"/>
      <c r="F197" s="1064"/>
      <c r="G197" s="1066"/>
      <c r="H197" s="278" t="s">
        <v>96</v>
      </c>
      <c r="I197" s="1078">
        <f t="shared" ref="I197:J197" ca="1" si="99">I204</f>
        <v>1</v>
      </c>
      <c r="J197" s="1078">
        <f t="shared" si="99"/>
        <v>1</v>
      </c>
      <c r="K197" s="1079">
        <f ca="1">IF(I197&gt;0,J197*100/I197,0)</f>
        <v>100</v>
      </c>
      <c r="L197" s="1068"/>
      <c r="M197" s="1068"/>
      <c r="N197" s="1068"/>
      <c r="O197" s="1068"/>
      <c r="P197" s="1068"/>
    </row>
    <row r="198" spans="1:26" ht="19.5">
      <c r="A198" s="985"/>
      <c r="B198" s="986"/>
      <c r="C198" s="987" t="s">
        <v>16</v>
      </c>
      <c r="D198" s="1080" t="s">
        <v>17</v>
      </c>
      <c r="E198" s="986"/>
      <c r="F198" s="986"/>
      <c r="G198" s="989"/>
      <c r="H198" s="275" t="s">
        <v>12</v>
      </c>
      <c r="I198" s="1082"/>
      <c r="J198" s="1082"/>
      <c r="K198" s="1083"/>
      <c r="L198" s="992">
        <f ca="1">L199+L200+L201+L202</f>
        <v>13000</v>
      </c>
      <c r="M198" s="992"/>
      <c r="N198" s="992">
        <f>N199+N200+N201+N202</f>
        <v>12000</v>
      </c>
      <c r="O198" s="992">
        <f ca="1">IF(L198&gt;0,N198*100/L198,0)</f>
        <v>92.307692307692307</v>
      </c>
      <c r="P198" s="992">
        <f>IF(M198&gt;0,N198*100/M198,0)</f>
        <v>0</v>
      </c>
      <c r="Q198" s="868"/>
      <c r="R198" s="868"/>
      <c r="S198" s="868"/>
      <c r="T198" s="868"/>
      <c r="U198" s="868"/>
      <c r="V198" s="868"/>
      <c r="W198" s="868"/>
      <c r="X198" s="868"/>
      <c r="Y198" s="868"/>
      <c r="Z198" s="868"/>
    </row>
    <row r="199" spans="1:26" ht="18.75">
      <c r="A199" s="995"/>
      <c r="B199" s="1084"/>
      <c r="C199" s="877"/>
      <c r="D199" s="996" t="s">
        <v>97</v>
      </c>
      <c r="E199" s="877"/>
      <c r="F199" s="877"/>
      <c r="G199" s="879"/>
      <c r="H199" s="161" t="s">
        <v>12</v>
      </c>
      <c r="I199" s="997"/>
      <c r="J199" s="997"/>
      <c r="K199" s="998"/>
      <c r="L199" s="881">
        <f ca="1">IFERROR(__xludf.DUMMYFUNCTION("IMPORTRANGE(""https://docs.google.com/spreadsheets/d/1QqKyyYR6Q21VydFLVH3TRQUabQu_ym0Zz7PgGX0-kHA/edit?usp=sharing"",""แผน!AE84"")"),1000)</f>
        <v>1000</v>
      </c>
      <c r="M199" s="881"/>
      <c r="N199" s="1085">
        <v>0</v>
      </c>
      <c r="O199" s="881"/>
      <c r="P199" s="881"/>
      <c r="Q199" s="868"/>
      <c r="R199" s="868"/>
      <c r="S199" s="868"/>
      <c r="T199" s="868"/>
      <c r="U199" s="868"/>
      <c r="V199" s="868"/>
      <c r="W199" s="868"/>
      <c r="X199" s="868"/>
      <c r="Y199" s="868"/>
      <c r="Z199" s="868"/>
    </row>
    <row r="200" spans="1:26" ht="19.5">
      <c r="A200" s="1086"/>
      <c r="B200" s="1084"/>
      <c r="C200" s="1029"/>
      <c r="D200" s="996" t="s">
        <v>98</v>
      </c>
      <c r="E200" s="877"/>
      <c r="F200" s="877"/>
      <c r="G200" s="879"/>
      <c r="H200" s="622" t="s">
        <v>12</v>
      </c>
      <c r="I200" s="880"/>
      <c r="J200" s="880"/>
      <c r="K200" s="881"/>
      <c r="L200" s="881">
        <f ca="1">IFERROR(__xludf.DUMMYFUNCTION("IMPORTRANGE(""https://docs.google.com/spreadsheets/d/1QqKyyYR6Q21VydFLVH3TRQUabQu_ym0Zz7PgGX0-kHA/edit?usp=sharing"",""แผน!AF84"")"),8000)</f>
        <v>8000</v>
      </c>
      <c r="M200" s="881"/>
      <c r="N200" s="1085">
        <v>8000</v>
      </c>
      <c r="O200" s="881"/>
      <c r="P200" s="881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</row>
    <row r="201" spans="1:26" ht="19.5">
      <c r="A201" s="1086"/>
      <c r="B201" s="1084"/>
      <c r="C201" s="1029"/>
      <c r="D201" s="996" t="s">
        <v>99</v>
      </c>
      <c r="E201" s="877"/>
      <c r="F201" s="877"/>
      <c r="G201" s="879"/>
      <c r="H201" s="622" t="s">
        <v>12</v>
      </c>
      <c r="I201" s="880"/>
      <c r="J201" s="880"/>
      <c r="K201" s="881"/>
      <c r="L201" s="881">
        <f ca="1">IFERROR(__xludf.DUMMYFUNCTION("IMPORTRANGE(""https://docs.google.com/spreadsheets/d/1QqKyyYR6Q21VydFLVH3TRQUabQu_ym0Zz7PgGX0-kHA/edit?usp=sharing"",""แผน!AG84"")"),4000)</f>
        <v>4000</v>
      </c>
      <c r="M201" s="881"/>
      <c r="N201" s="1085">
        <v>4000</v>
      </c>
      <c r="O201" s="881"/>
      <c r="P201" s="881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</row>
    <row r="202" spans="1:26" ht="19.5">
      <c r="A202" s="1086"/>
      <c r="B202" s="1084"/>
      <c r="C202" s="1029"/>
      <c r="D202" s="996" t="s">
        <v>100</v>
      </c>
      <c r="E202" s="877"/>
      <c r="F202" s="877"/>
      <c r="G202" s="879"/>
      <c r="H202" s="622" t="s">
        <v>12</v>
      </c>
      <c r="I202" s="880"/>
      <c r="J202" s="880"/>
      <c r="K202" s="881"/>
      <c r="L202" s="881">
        <f ca="1">IFERROR(__xludf.DUMMYFUNCTION("IMPORTRANGE(""https://docs.google.com/spreadsheets/d/1QqKyyYR6Q21VydFLVH3TRQUabQu_ym0Zz7PgGX0-kHA/edit?usp=sharing"",""แผน!AH84"")"),0)</f>
        <v>0</v>
      </c>
      <c r="M202" s="881"/>
      <c r="N202" s="1085">
        <v>0</v>
      </c>
      <c r="O202" s="881"/>
      <c r="P202" s="881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</row>
    <row r="203" spans="1:26" ht="19.5">
      <c r="A203" s="1002"/>
      <c r="B203" s="1003"/>
      <c r="C203" s="1029" t="s">
        <v>16</v>
      </c>
      <c r="D203" s="1004" t="s">
        <v>38</v>
      </c>
      <c r="E203" s="1005"/>
      <c r="F203" s="1005"/>
      <c r="G203" s="1006"/>
      <c r="H203" s="1007"/>
      <c r="I203" s="997"/>
      <c r="J203" s="997"/>
      <c r="K203" s="998"/>
      <c r="L203" s="998"/>
      <c r="M203" s="998"/>
      <c r="N203" s="998"/>
      <c r="O203" s="998"/>
      <c r="P203" s="99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</row>
    <row r="204" spans="1:26" ht="18.75">
      <c r="A204" s="1002"/>
      <c r="B204" s="1003"/>
      <c r="C204" s="1003"/>
      <c r="D204" s="1008" t="s">
        <v>101</v>
      </c>
      <c r="E204" s="1010"/>
      <c r="F204" s="1010"/>
      <c r="G204" s="1011"/>
      <c r="H204" s="1007" t="s">
        <v>96</v>
      </c>
      <c r="I204" s="880">
        <f ca="1">IFERROR(__xludf.DUMMYFUNCTION("IMPORTRANGE(""https://docs.google.com/spreadsheets/d/1QqKyyYR6Q21VydFLVH3TRQUabQu_ym0Zz7PgGX0-kHA/edit?usp=sharing"",""แผน!AI84"")"),1)</f>
        <v>1</v>
      </c>
      <c r="J204" s="1012">
        <v>1</v>
      </c>
      <c r="K204" s="998">
        <f ca="1">IF(I204&gt;0,J204*100/I204,0)</f>
        <v>100</v>
      </c>
      <c r="L204" s="881"/>
      <c r="M204" s="881"/>
      <c r="N204" s="881"/>
      <c r="O204" s="881"/>
      <c r="P204" s="881"/>
      <c r="Q204" s="868"/>
      <c r="R204" s="868"/>
      <c r="S204" s="868"/>
      <c r="T204" s="868"/>
      <c r="U204" s="868"/>
      <c r="V204" s="868"/>
      <c r="W204" s="868"/>
      <c r="X204" s="868"/>
      <c r="Y204" s="868"/>
      <c r="Z204" s="868"/>
    </row>
    <row r="205" spans="1:26" ht="18.75">
      <c r="A205" s="1002"/>
      <c r="B205" s="1003"/>
      <c r="C205" s="1003"/>
      <c r="D205" s="1009" t="s">
        <v>59</v>
      </c>
      <c r="E205" s="1010"/>
      <c r="F205" s="1010"/>
      <c r="G205" s="1011"/>
      <c r="H205" s="1007"/>
      <c r="I205" s="880"/>
      <c r="J205" s="880"/>
      <c r="K205" s="998"/>
      <c r="L205" s="881"/>
      <c r="M205" s="881"/>
      <c r="N205" s="881"/>
      <c r="O205" s="881"/>
      <c r="P205" s="881"/>
      <c r="Q205" s="868"/>
      <c r="R205" s="868"/>
      <c r="S205" s="868"/>
      <c r="T205" s="868"/>
      <c r="U205" s="868"/>
      <c r="V205" s="868"/>
      <c r="W205" s="868"/>
      <c r="X205" s="868"/>
      <c r="Y205" s="868"/>
      <c r="Z205" s="868"/>
    </row>
    <row r="206" spans="1:26" ht="18.75">
      <c r="A206" s="1002"/>
      <c r="B206" s="1003"/>
      <c r="C206" s="1003"/>
      <c r="D206" s="1010"/>
      <c r="E206" s="1021" t="s">
        <v>102</v>
      </c>
      <c r="F206" s="1088"/>
      <c r="G206" s="1089"/>
      <c r="H206" s="1090" t="s">
        <v>96</v>
      </c>
      <c r="I206" s="880">
        <v>1</v>
      </c>
      <c r="J206" s="1012">
        <v>1</v>
      </c>
      <c r="K206" s="998">
        <f t="shared" ref="K206:K208" si="100">IF(I206&gt;0,J206*100/I206,0)</f>
        <v>100</v>
      </c>
      <c r="L206" s="881"/>
      <c r="M206" s="881"/>
      <c r="N206" s="881"/>
      <c r="O206" s="881"/>
      <c r="P206" s="881"/>
      <c r="Q206" s="868"/>
      <c r="R206" s="868"/>
      <c r="S206" s="868"/>
      <c r="T206" s="868"/>
      <c r="U206" s="868"/>
      <c r="V206" s="868"/>
      <c r="W206" s="868"/>
      <c r="X206" s="868"/>
      <c r="Y206" s="868"/>
      <c r="Z206" s="868"/>
    </row>
    <row r="207" spans="1:26" ht="18.75">
      <c r="A207" s="1002"/>
      <c r="B207" s="1003"/>
      <c r="C207" s="1003"/>
      <c r="D207" s="1009"/>
      <c r="E207" s="1009" t="s">
        <v>103</v>
      </c>
      <c r="F207" s="1010"/>
      <c r="G207" s="1010"/>
      <c r="H207" s="290" t="s">
        <v>104</v>
      </c>
      <c r="I207" s="880">
        <v>0</v>
      </c>
      <c r="J207" s="1012">
        <v>0</v>
      </c>
      <c r="K207" s="998">
        <f t="shared" si="100"/>
        <v>0</v>
      </c>
      <c r="L207" s="881"/>
      <c r="M207" s="881"/>
      <c r="N207" s="881"/>
      <c r="O207" s="881"/>
      <c r="P207" s="881"/>
      <c r="Q207" s="868"/>
      <c r="R207" s="868"/>
      <c r="S207" s="868"/>
      <c r="T207" s="868"/>
      <c r="U207" s="868"/>
      <c r="V207" s="868"/>
      <c r="W207" s="868"/>
      <c r="X207" s="868"/>
      <c r="Y207" s="868"/>
      <c r="Z207" s="868"/>
    </row>
    <row r="208" spans="1:26" ht="19.5" hidden="1">
      <c r="A208" s="1063"/>
      <c r="B208" s="1070"/>
      <c r="C208" s="1077" t="s">
        <v>105</v>
      </c>
      <c r="D208" s="1064"/>
      <c r="E208" s="1064"/>
      <c r="F208" s="1091"/>
      <c r="G208" s="1066"/>
      <c r="H208" s="278" t="s">
        <v>96</v>
      </c>
      <c r="I208" s="1078">
        <f t="shared" ref="I208:J208" ca="1" si="101">I215</f>
        <v>0</v>
      </c>
      <c r="J208" s="1078">
        <f t="shared" si="101"/>
        <v>0</v>
      </c>
      <c r="K208" s="1079">
        <f t="shared" ca="1" si="100"/>
        <v>0</v>
      </c>
      <c r="L208" s="1068"/>
      <c r="M208" s="1068"/>
      <c r="N208" s="1068"/>
      <c r="O208" s="1068"/>
      <c r="P208" s="1068"/>
    </row>
    <row r="209" spans="1:26" ht="19.5" hidden="1">
      <c r="A209" s="985"/>
      <c r="B209" s="986"/>
      <c r="C209" s="987" t="s">
        <v>16</v>
      </c>
      <c r="D209" s="1080" t="s">
        <v>17</v>
      </c>
      <c r="E209" s="986"/>
      <c r="F209" s="986"/>
      <c r="G209" s="989"/>
      <c r="H209" s="275" t="s">
        <v>12</v>
      </c>
      <c r="I209" s="1082"/>
      <c r="J209" s="1082"/>
      <c r="K209" s="1083"/>
      <c r="L209" s="992">
        <f ca="1">L210+L211+L212</f>
        <v>0</v>
      </c>
      <c r="M209" s="992"/>
      <c r="N209" s="992">
        <f>N210+N211+N212</f>
        <v>0</v>
      </c>
      <c r="O209" s="992">
        <f ca="1">IF(L209&gt;0,N209*100/L209,0)</f>
        <v>0</v>
      </c>
      <c r="P209" s="992">
        <f>IF(M209&gt;0,N209*100/M209,0)</f>
        <v>0</v>
      </c>
      <c r="Q209" s="868"/>
      <c r="R209" s="868"/>
      <c r="S209" s="868"/>
      <c r="T209" s="868"/>
      <c r="U209" s="868"/>
      <c r="V209" s="868"/>
      <c r="W209" s="868"/>
      <c r="X209" s="868"/>
      <c r="Y209" s="868"/>
      <c r="Z209" s="868"/>
    </row>
    <row r="210" spans="1:26" ht="18.75" hidden="1">
      <c r="A210" s="995"/>
      <c r="B210" s="1084"/>
      <c r="C210" s="877"/>
      <c r="D210" s="996" t="s">
        <v>97</v>
      </c>
      <c r="E210" s="877"/>
      <c r="F210" s="877"/>
      <c r="G210" s="879"/>
      <c r="H210" s="161" t="s">
        <v>12</v>
      </c>
      <c r="I210" s="997"/>
      <c r="J210" s="997"/>
      <c r="K210" s="998"/>
      <c r="L210" s="881">
        <f ca="1">IFERROR(__xludf.DUMMYFUNCTION("IMPORTRANGE(""https://docs.google.com/spreadsheets/d/1QqKyyYR6Q21VydFLVH3TRQUabQu_ym0Zz7PgGX0-kHA/edit?usp=sharing"",""แผน!AK84"")"),0)</f>
        <v>0</v>
      </c>
      <c r="M210" s="881"/>
      <c r="N210" s="1085">
        <v>0</v>
      </c>
      <c r="O210" s="881"/>
      <c r="P210" s="881"/>
      <c r="Q210" s="868"/>
      <c r="R210" s="868"/>
      <c r="S210" s="868"/>
      <c r="T210" s="868"/>
      <c r="U210" s="868"/>
      <c r="V210" s="868"/>
      <c r="W210" s="868"/>
      <c r="X210" s="868"/>
      <c r="Y210" s="868"/>
      <c r="Z210" s="868"/>
    </row>
    <row r="211" spans="1:26" ht="19.5" hidden="1">
      <c r="A211" s="1086"/>
      <c r="B211" s="1084"/>
      <c r="C211" s="1092"/>
      <c r="D211" s="996" t="s">
        <v>99</v>
      </c>
      <c r="E211" s="877"/>
      <c r="F211" s="877"/>
      <c r="G211" s="879"/>
      <c r="H211" s="161" t="s">
        <v>12</v>
      </c>
      <c r="I211" s="880"/>
      <c r="J211" s="880"/>
      <c r="K211" s="881"/>
      <c r="L211" s="881">
        <f ca="1">IFERROR(__xludf.DUMMYFUNCTION("IMPORTRANGE(""https://docs.google.com/spreadsheets/d/1QqKyyYR6Q21VydFLVH3TRQUabQu_ym0Zz7PgGX0-kHA/edit?usp=sharing"",""แผน!AL84"")"),0)</f>
        <v>0</v>
      </c>
      <c r="M211" s="881"/>
      <c r="N211" s="1085">
        <v>0</v>
      </c>
      <c r="O211" s="881"/>
      <c r="P211" s="881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</row>
    <row r="212" spans="1:26" ht="19.5" hidden="1">
      <c r="A212" s="1086"/>
      <c r="B212" s="1084"/>
      <c r="C212" s="1092"/>
      <c r="D212" s="996" t="s">
        <v>98</v>
      </c>
      <c r="E212" s="877"/>
      <c r="F212" s="877"/>
      <c r="G212" s="879"/>
      <c r="H212" s="161" t="s">
        <v>12</v>
      </c>
      <c r="I212" s="880"/>
      <c r="J212" s="880"/>
      <c r="K212" s="881"/>
      <c r="L212" s="881">
        <f ca="1">IFERROR(__xludf.DUMMYFUNCTION("IMPORTRANGE(""https://docs.google.com/spreadsheets/d/1QqKyyYR6Q21VydFLVH3TRQUabQu_ym0Zz7PgGX0-kHA/edit?usp=sharing"",""แผน!AM84"")"),0)</f>
        <v>0</v>
      </c>
      <c r="M212" s="881"/>
      <c r="N212" s="1085">
        <v>0</v>
      </c>
      <c r="O212" s="881"/>
      <c r="P212" s="881"/>
      <c r="Q212" s="1087"/>
      <c r="R212" s="1087"/>
      <c r="S212" s="1087"/>
      <c r="T212" s="1087"/>
      <c r="U212" s="1087"/>
      <c r="V212" s="1087"/>
      <c r="W212" s="1087"/>
      <c r="X212" s="1087"/>
      <c r="Y212" s="1087"/>
      <c r="Z212" s="1087"/>
    </row>
    <row r="213" spans="1:26" ht="19.5" hidden="1">
      <c r="A213" s="1002"/>
      <c r="B213" s="1003"/>
      <c r="C213" s="1092" t="s">
        <v>16</v>
      </c>
      <c r="D213" s="1004" t="s">
        <v>38</v>
      </c>
      <c r="E213" s="1005"/>
      <c r="F213" s="1005"/>
      <c r="G213" s="1006"/>
      <c r="H213" s="1007"/>
      <c r="I213" s="997"/>
      <c r="J213" s="880"/>
      <c r="K213" s="881"/>
      <c r="L213" s="881"/>
      <c r="M213" s="881"/>
      <c r="N213" s="881"/>
      <c r="O213" s="998"/>
      <c r="P213" s="998"/>
      <c r="Q213" s="868"/>
      <c r="R213" s="868"/>
      <c r="S213" s="868"/>
      <c r="T213" s="868"/>
      <c r="U213" s="868"/>
      <c r="V213" s="868"/>
      <c r="W213" s="868"/>
      <c r="X213" s="868"/>
      <c r="Y213" s="868"/>
      <c r="Z213" s="868"/>
    </row>
    <row r="214" spans="1:26" ht="18.75" hidden="1">
      <c r="A214" s="1002"/>
      <c r="B214" s="1003"/>
      <c r="C214" s="1003"/>
      <c r="D214" s="1008" t="s">
        <v>106</v>
      </c>
      <c r="E214" s="1010"/>
      <c r="F214" s="1010"/>
      <c r="G214" s="1011"/>
      <c r="H214" s="1007" t="s">
        <v>96</v>
      </c>
      <c r="I214" s="880">
        <f ca="1">IFERROR(__xludf.DUMMYFUNCTION("IMPORTRANGE(""https://docs.google.com/spreadsheets/d/1QqKyyYR6Q21VydFLVH3TRQUabQu_ym0Zz7PgGX0-kHA/edit?usp=sharing"",""แผน!AN84"")"),0)</f>
        <v>0</v>
      </c>
      <c r="J214" s="1012">
        <v>0</v>
      </c>
      <c r="K214" s="881">
        <f t="shared" ref="K214:K216" ca="1" si="102">IF(I214&gt;0,J214*100/I214,0)</f>
        <v>0</v>
      </c>
      <c r="L214" s="881"/>
      <c r="M214" s="881"/>
      <c r="N214" s="881"/>
      <c r="O214" s="881"/>
      <c r="P214" s="881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</row>
    <row r="215" spans="1:26" ht="18.75" hidden="1">
      <c r="A215" s="1002"/>
      <c r="B215" s="1003"/>
      <c r="C215" s="1003"/>
      <c r="D215" s="1008" t="s">
        <v>107</v>
      </c>
      <c r="E215" s="1010"/>
      <c r="F215" s="1010"/>
      <c r="G215" s="1011"/>
      <c r="H215" s="1007" t="s">
        <v>96</v>
      </c>
      <c r="I215" s="880">
        <f ca="1">IFERROR(__xludf.DUMMYFUNCTION("IMPORTRANGE(""https://docs.google.com/spreadsheets/d/1QqKyyYR6Q21VydFLVH3TRQUabQu_ym0Zz7PgGX0-kHA/edit?usp=sharing"",""แผน!AN84"")"),0)</f>
        <v>0</v>
      </c>
      <c r="J215" s="1012">
        <v>0</v>
      </c>
      <c r="K215" s="881">
        <f t="shared" ca="1" si="102"/>
        <v>0</v>
      </c>
      <c r="L215" s="881"/>
      <c r="M215" s="881"/>
      <c r="N215" s="881"/>
      <c r="O215" s="881"/>
      <c r="P215" s="881"/>
      <c r="Q215" s="868"/>
      <c r="R215" s="868"/>
      <c r="S215" s="868"/>
      <c r="T215" s="868"/>
      <c r="U215" s="868"/>
      <c r="V215" s="868"/>
      <c r="W215" s="868"/>
      <c r="X215" s="868"/>
      <c r="Y215" s="868"/>
      <c r="Z215" s="868"/>
    </row>
    <row r="216" spans="1:26" ht="19.5">
      <c r="A216" s="1063"/>
      <c r="B216" s="1070"/>
      <c r="C216" s="1077" t="s">
        <v>108</v>
      </c>
      <c r="D216" s="1064"/>
      <c r="E216" s="1064"/>
      <c r="F216" s="1091"/>
      <c r="G216" s="1066"/>
      <c r="H216" s="260" t="s">
        <v>109</v>
      </c>
      <c r="I216" s="1078">
        <f t="shared" ref="I216:J216" ca="1" si="103">I224</f>
        <v>12000</v>
      </c>
      <c r="J216" s="1078">
        <f t="shared" si="103"/>
        <v>0</v>
      </c>
      <c r="K216" s="1079">
        <f t="shared" ca="1" si="102"/>
        <v>0</v>
      </c>
      <c r="L216" s="1068"/>
      <c r="M216" s="1068"/>
      <c r="N216" s="1068"/>
      <c r="O216" s="1068"/>
      <c r="P216" s="1068"/>
    </row>
    <row r="217" spans="1:26" ht="19.5">
      <c r="A217" s="985"/>
      <c r="B217" s="986"/>
      <c r="C217" s="987" t="s">
        <v>16</v>
      </c>
      <c r="D217" s="1080" t="s">
        <v>17</v>
      </c>
      <c r="E217" s="986"/>
      <c r="F217" s="986"/>
      <c r="G217" s="989"/>
      <c r="H217" s="275" t="s">
        <v>12</v>
      </c>
      <c r="I217" s="1082"/>
      <c r="J217" s="1082"/>
      <c r="K217" s="1083"/>
      <c r="L217" s="992">
        <f ca="1">L218+L219+L220</f>
        <v>6800</v>
      </c>
      <c r="M217" s="992"/>
      <c r="N217" s="992">
        <f>N218+N219+N220</f>
        <v>0</v>
      </c>
      <c r="O217" s="992">
        <f ca="1">IF(L217&gt;0,N217*100/L217,0)</f>
        <v>0</v>
      </c>
      <c r="P217" s="992">
        <f>IF(M217&gt;0,N217*100/M217,0)</f>
        <v>0</v>
      </c>
      <c r="Q217" s="868"/>
      <c r="R217" s="868"/>
      <c r="S217" s="868"/>
      <c r="T217" s="868"/>
      <c r="U217" s="868"/>
      <c r="V217" s="868"/>
      <c r="W217" s="868"/>
      <c r="X217" s="868"/>
      <c r="Y217" s="868"/>
      <c r="Z217" s="868"/>
    </row>
    <row r="218" spans="1:26" ht="18.75">
      <c r="A218" s="995"/>
      <c r="B218" s="1084"/>
      <c r="C218" s="877"/>
      <c r="D218" s="996" t="s">
        <v>97</v>
      </c>
      <c r="E218" s="877"/>
      <c r="F218" s="877"/>
      <c r="G218" s="879"/>
      <c r="H218" s="161" t="s">
        <v>12</v>
      </c>
      <c r="I218" s="997"/>
      <c r="J218" s="997"/>
      <c r="K218" s="998"/>
      <c r="L218" s="881">
        <f ca="1">IFERROR(__xludf.DUMMYFUNCTION("IMPORTRANGE(""https://docs.google.com/spreadsheets/d/1QqKyyYR6Q21VydFLVH3TRQUabQu_ym0Zz7PgGX0-kHA/edit?usp=sharing"",""แผน!AP84"")"),3000)</f>
        <v>3000</v>
      </c>
      <c r="M218" s="881"/>
      <c r="N218" s="1085">
        <v>0</v>
      </c>
      <c r="O218" s="881"/>
      <c r="P218" s="881"/>
      <c r="Q218" s="868"/>
      <c r="R218" s="868"/>
      <c r="S218" s="868"/>
      <c r="T218" s="868"/>
      <c r="U218" s="868"/>
      <c r="V218" s="868"/>
      <c r="W218" s="868"/>
      <c r="X218" s="868"/>
      <c r="Y218" s="868"/>
      <c r="Z218" s="868"/>
    </row>
    <row r="219" spans="1:26" ht="19.5">
      <c r="A219" s="1086"/>
      <c r="B219" s="1084"/>
      <c r="C219" s="1092"/>
      <c r="D219" s="996" t="s">
        <v>110</v>
      </c>
      <c r="E219" s="877"/>
      <c r="F219" s="877"/>
      <c r="G219" s="879"/>
      <c r="H219" s="161" t="s">
        <v>12</v>
      </c>
      <c r="I219" s="880"/>
      <c r="J219" s="880"/>
      <c r="K219" s="881"/>
      <c r="L219" s="881">
        <f ca="1">IFERROR(__xludf.DUMMYFUNCTION("IMPORTRANGE(""https://docs.google.com/spreadsheets/d/1QqKyyYR6Q21VydFLVH3TRQUabQu_ym0Zz7PgGX0-kHA/edit?usp=sharing"",""แผน!AQ84"")"),3800)</f>
        <v>3800</v>
      </c>
      <c r="M219" s="881"/>
      <c r="N219" s="1085">
        <v>0</v>
      </c>
      <c r="O219" s="881"/>
      <c r="P219" s="881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</row>
    <row r="220" spans="1:26" ht="19.5">
      <c r="A220" s="1086"/>
      <c r="B220" s="1084"/>
      <c r="C220" s="1092"/>
      <c r="D220" s="996" t="s">
        <v>98</v>
      </c>
      <c r="E220" s="877"/>
      <c r="F220" s="877"/>
      <c r="G220" s="879"/>
      <c r="H220" s="161" t="s">
        <v>12</v>
      </c>
      <c r="I220" s="880"/>
      <c r="J220" s="880"/>
      <c r="K220" s="881"/>
      <c r="L220" s="881">
        <f ca="1">IFERROR(__xludf.DUMMYFUNCTION("IMPORTRANGE(""https://docs.google.com/spreadsheets/d/1QqKyyYR6Q21VydFLVH3TRQUabQu_ym0Zz7PgGX0-kHA/edit?usp=sharing"",""แผน!AR84"")"),0)</f>
        <v>0</v>
      </c>
      <c r="M220" s="881"/>
      <c r="N220" s="1085">
        <v>0</v>
      </c>
      <c r="O220" s="881"/>
      <c r="P220" s="881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</row>
    <row r="221" spans="1:26" ht="19.5">
      <c r="A221" s="1002"/>
      <c r="B221" s="1003"/>
      <c r="C221" s="1092" t="s">
        <v>16</v>
      </c>
      <c r="D221" s="1004" t="s">
        <v>38</v>
      </c>
      <c r="E221" s="1005"/>
      <c r="F221" s="1005"/>
      <c r="G221" s="1006"/>
      <c r="H221" s="1007"/>
      <c r="I221" s="997"/>
      <c r="J221" s="997"/>
      <c r="K221" s="998"/>
      <c r="L221" s="998"/>
      <c r="M221" s="998"/>
      <c r="N221" s="998"/>
      <c r="O221" s="998"/>
      <c r="P221" s="99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8"/>
    </row>
    <row r="222" spans="1:26" ht="18.75">
      <c r="A222" s="1002"/>
      <c r="B222" s="1003"/>
      <c r="C222" s="1003"/>
      <c r="D222" s="996" t="s">
        <v>111</v>
      </c>
      <c r="E222" s="1010"/>
      <c r="F222" s="1010"/>
      <c r="G222" s="1011"/>
      <c r="H222" s="1007"/>
      <c r="I222" s="880"/>
      <c r="J222" s="880"/>
      <c r="K222" s="998"/>
      <c r="L222" s="998"/>
      <c r="M222" s="998"/>
      <c r="N222" s="998"/>
      <c r="O222" s="998"/>
      <c r="P222" s="998"/>
      <c r="Q222" s="868"/>
      <c r="R222" s="868"/>
      <c r="S222" s="868"/>
      <c r="T222" s="868"/>
      <c r="U222" s="868"/>
      <c r="V222" s="868"/>
      <c r="W222" s="868"/>
      <c r="X222" s="868"/>
      <c r="Y222" s="868"/>
      <c r="Z222" s="868"/>
    </row>
    <row r="223" spans="1:26" ht="18.75">
      <c r="A223" s="1002"/>
      <c r="B223" s="1003"/>
      <c r="C223" s="1003"/>
      <c r="D223" s="1003"/>
      <c r="E223" s="1008" t="s">
        <v>112</v>
      </c>
      <c r="F223" s="1010"/>
      <c r="G223" s="1011"/>
      <c r="H223" s="762" t="s">
        <v>109</v>
      </c>
      <c r="I223" s="880">
        <f ca="1">IFERROR(__xludf.DUMMYFUNCTION("IMPORTRANGE(""https://docs.google.com/spreadsheets/d/1QqKyyYR6Q21VydFLVH3TRQUabQu_ym0Zz7PgGX0-kHA/edit?usp=sharing"",""แผน!AT84"")"),12000)</f>
        <v>12000</v>
      </c>
      <c r="J223" s="1012">
        <v>0</v>
      </c>
      <c r="K223" s="998">
        <f t="shared" ref="K223:K226" ca="1" si="104">IF(I223&gt;0,J223*100/I223,0)</f>
        <v>0</v>
      </c>
      <c r="L223" s="998"/>
      <c r="M223" s="998"/>
      <c r="N223" s="998"/>
      <c r="O223" s="998"/>
      <c r="P223" s="998"/>
      <c r="Q223" s="868"/>
      <c r="R223" s="868"/>
      <c r="S223" s="868"/>
      <c r="T223" s="868"/>
      <c r="U223" s="868"/>
      <c r="V223" s="868"/>
      <c r="W223" s="868"/>
      <c r="X223" s="868"/>
      <c r="Y223" s="868"/>
      <c r="Z223" s="868"/>
    </row>
    <row r="224" spans="1:26" ht="18.75">
      <c r="A224" s="1002"/>
      <c r="B224" s="1003"/>
      <c r="C224" s="1003"/>
      <c r="D224" s="1003"/>
      <c r="E224" s="1008" t="s">
        <v>113</v>
      </c>
      <c r="F224" s="1010"/>
      <c r="G224" s="1011"/>
      <c r="H224" s="762" t="s">
        <v>109</v>
      </c>
      <c r="I224" s="880">
        <f ca="1">IFERROR(__xludf.DUMMYFUNCTION("IMPORTRANGE(""https://docs.google.com/spreadsheets/d/1QqKyyYR6Q21VydFLVH3TRQUabQu_ym0Zz7PgGX0-kHA/edit?usp=sharing"",""แผน!AT84"")"),12000)</f>
        <v>12000</v>
      </c>
      <c r="J224" s="1012">
        <v>0</v>
      </c>
      <c r="K224" s="998">
        <f t="shared" ca="1" si="104"/>
        <v>0</v>
      </c>
      <c r="L224" s="881"/>
      <c r="M224" s="881"/>
      <c r="N224" s="881"/>
      <c r="O224" s="881"/>
      <c r="P224" s="881"/>
      <c r="Q224" s="868"/>
      <c r="R224" s="868"/>
      <c r="S224" s="868"/>
      <c r="T224" s="868"/>
      <c r="U224" s="868"/>
      <c r="V224" s="868"/>
      <c r="W224" s="868"/>
      <c r="X224" s="868"/>
      <c r="Y224" s="868"/>
      <c r="Z224" s="868"/>
    </row>
    <row r="225" spans="1:26" ht="18.75">
      <c r="A225" s="1002"/>
      <c r="B225" s="1003"/>
      <c r="C225" s="1003"/>
      <c r="D225" s="996" t="s">
        <v>114</v>
      </c>
      <c r="E225" s="1010"/>
      <c r="F225" s="1010"/>
      <c r="G225" s="1011"/>
      <c r="H225" s="762" t="s">
        <v>35</v>
      </c>
      <c r="I225" s="880">
        <f ca="1">IFERROR(__xludf.DUMMYFUNCTION("IMPORTRANGE(""https://docs.google.com/spreadsheets/d/1QqKyyYR6Q21VydFLVH3TRQUabQu_ym0Zz7PgGX0-kHA/edit?usp=sharing"",""แผน!AS84"")"),0)</f>
        <v>0</v>
      </c>
      <c r="J225" s="1012">
        <v>0</v>
      </c>
      <c r="K225" s="998">
        <f t="shared" ca="1" si="104"/>
        <v>0</v>
      </c>
      <c r="L225" s="881"/>
      <c r="M225" s="881"/>
      <c r="N225" s="881"/>
      <c r="O225" s="881"/>
      <c r="P225" s="881"/>
      <c r="Q225" s="868"/>
      <c r="R225" s="868"/>
      <c r="S225" s="868"/>
      <c r="T225" s="868"/>
      <c r="U225" s="868"/>
      <c r="V225" s="868"/>
      <c r="W225" s="868"/>
      <c r="X225" s="868"/>
      <c r="Y225" s="868"/>
      <c r="Z225" s="868"/>
    </row>
    <row r="226" spans="1:26" ht="19.5" hidden="1">
      <c r="A226" s="1063"/>
      <c r="B226" s="1070"/>
      <c r="C226" s="1093" t="s">
        <v>115</v>
      </c>
      <c r="D226" s="1064"/>
      <c r="E226" s="1064"/>
      <c r="F226" s="1064"/>
      <c r="G226" s="1066"/>
      <c r="H226" s="266" t="s">
        <v>35</v>
      </c>
      <c r="I226" s="1094" t="e">
        <f t="shared" ref="I226:J226" ca="1" si="105">I237+I248</f>
        <v>#VALUE!</v>
      </c>
      <c r="J226" s="1094">
        <f t="shared" si="105"/>
        <v>0</v>
      </c>
      <c r="K226" s="1095" t="e">
        <f t="shared" ca="1" si="104"/>
        <v>#VALUE!</v>
      </c>
      <c r="L226" s="1068"/>
      <c r="M226" s="1068"/>
      <c r="N226" s="1068"/>
      <c r="O226" s="1068"/>
      <c r="P226" s="1068"/>
    </row>
    <row r="227" spans="1:26" ht="19.5" hidden="1">
      <c r="A227" s="1096"/>
      <c r="B227" s="1097"/>
      <c r="C227" s="1098" t="s">
        <v>16</v>
      </c>
      <c r="D227" s="1099" t="s">
        <v>17</v>
      </c>
      <c r="E227" s="1097"/>
      <c r="F227" s="1097"/>
      <c r="G227" s="1100"/>
      <c r="H227" s="353" t="s">
        <v>12</v>
      </c>
      <c r="I227" s="1101"/>
      <c r="J227" s="1101"/>
      <c r="K227" s="1102"/>
      <c r="L227" s="1103">
        <f t="shared" ref="L227:L231" ca="1" si="106">L238+L249</f>
        <v>0</v>
      </c>
      <c r="M227" s="1103"/>
      <c r="N227" s="1103">
        <f t="shared" ref="N227:N231" si="107">N238+N249</f>
        <v>0</v>
      </c>
      <c r="O227" s="1104"/>
      <c r="P227" s="1104"/>
      <c r="Q227" s="875"/>
      <c r="R227" s="875"/>
      <c r="S227" s="875"/>
      <c r="T227" s="875"/>
      <c r="U227" s="875"/>
      <c r="V227" s="875"/>
      <c r="W227" s="875"/>
      <c r="X227" s="875"/>
      <c r="Y227" s="875"/>
      <c r="Z227" s="875"/>
    </row>
    <row r="228" spans="1:26" ht="18.75" hidden="1">
      <c r="A228" s="993"/>
      <c r="B228" s="1105"/>
      <c r="C228" s="883"/>
      <c r="D228" s="884" t="s">
        <v>97</v>
      </c>
      <c r="E228" s="883"/>
      <c r="F228" s="883"/>
      <c r="G228" s="885"/>
      <c r="H228" s="165" t="s">
        <v>12</v>
      </c>
      <c r="I228" s="1000"/>
      <c r="J228" s="1000"/>
      <c r="K228" s="1001"/>
      <c r="L228" s="887">
        <f t="shared" ca="1" si="106"/>
        <v>0</v>
      </c>
      <c r="M228" s="887"/>
      <c r="N228" s="887">
        <f t="shared" si="107"/>
        <v>0</v>
      </c>
      <c r="O228" s="887"/>
      <c r="P228" s="887"/>
      <c r="Q228" s="875"/>
      <c r="R228" s="875"/>
      <c r="S228" s="875"/>
      <c r="T228" s="875"/>
      <c r="U228" s="875"/>
      <c r="V228" s="875"/>
      <c r="W228" s="875"/>
      <c r="X228" s="875"/>
      <c r="Y228" s="875"/>
      <c r="Z228" s="875"/>
    </row>
    <row r="229" spans="1:26" ht="19.5" hidden="1">
      <c r="A229" s="1106"/>
      <c r="B229" s="1105"/>
      <c r="C229" s="1107"/>
      <c r="D229" s="884" t="s">
        <v>98</v>
      </c>
      <c r="E229" s="883"/>
      <c r="F229" s="883"/>
      <c r="G229" s="885"/>
      <c r="H229" s="165" t="s">
        <v>12</v>
      </c>
      <c r="I229" s="886"/>
      <c r="J229" s="886"/>
      <c r="K229" s="887"/>
      <c r="L229" s="887">
        <f t="shared" ca="1" si="106"/>
        <v>0</v>
      </c>
      <c r="M229" s="887"/>
      <c r="N229" s="887">
        <f t="shared" si="107"/>
        <v>0</v>
      </c>
      <c r="O229" s="887"/>
      <c r="P229" s="887"/>
      <c r="Q229" s="1108"/>
      <c r="R229" s="1108"/>
      <c r="S229" s="1108"/>
      <c r="T229" s="1108"/>
      <c r="U229" s="1108"/>
      <c r="V229" s="1108"/>
      <c r="W229" s="1108"/>
      <c r="X229" s="1108"/>
      <c r="Y229" s="1108"/>
      <c r="Z229" s="1108"/>
    </row>
    <row r="230" spans="1:26" ht="19.5" hidden="1">
      <c r="A230" s="1106"/>
      <c r="B230" s="1105"/>
      <c r="C230" s="1107"/>
      <c r="D230" s="884" t="s">
        <v>116</v>
      </c>
      <c r="E230" s="883"/>
      <c r="F230" s="883"/>
      <c r="G230" s="885"/>
      <c r="H230" s="165" t="s">
        <v>12</v>
      </c>
      <c r="I230" s="886"/>
      <c r="J230" s="886"/>
      <c r="K230" s="887"/>
      <c r="L230" s="887">
        <f t="shared" ca="1" si="106"/>
        <v>0</v>
      </c>
      <c r="M230" s="887"/>
      <c r="N230" s="887">
        <f t="shared" si="107"/>
        <v>0</v>
      </c>
      <c r="O230" s="887"/>
      <c r="P230" s="887"/>
      <c r="Q230" s="1108"/>
      <c r="R230" s="1108"/>
      <c r="S230" s="1108"/>
      <c r="T230" s="1108"/>
      <c r="U230" s="1108"/>
      <c r="V230" s="1108"/>
      <c r="W230" s="1108"/>
      <c r="X230" s="1108"/>
      <c r="Y230" s="1108"/>
      <c r="Z230" s="1108"/>
    </row>
    <row r="231" spans="1:26" ht="19.5" hidden="1">
      <c r="A231" s="1106"/>
      <c r="B231" s="1105"/>
      <c r="C231" s="1107"/>
      <c r="D231" s="884" t="s">
        <v>100</v>
      </c>
      <c r="E231" s="883"/>
      <c r="F231" s="883"/>
      <c r="G231" s="885"/>
      <c r="H231" s="165" t="s">
        <v>12</v>
      </c>
      <c r="I231" s="886"/>
      <c r="J231" s="886"/>
      <c r="K231" s="887"/>
      <c r="L231" s="887">
        <f t="shared" ca="1" si="106"/>
        <v>0</v>
      </c>
      <c r="M231" s="887"/>
      <c r="N231" s="887">
        <f t="shared" si="107"/>
        <v>0</v>
      </c>
      <c r="O231" s="887"/>
      <c r="P231" s="887"/>
      <c r="Q231" s="1108"/>
      <c r="R231" s="1108"/>
      <c r="S231" s="1108"/>
      <c r="T231" s="1108"/>
      <c r="U231" s="1108"/>
      <c r="V231" s="1108"/>
      <c r="W231" s="1108"/>
      <c r="X231" s="1108"/>
      <c r="Y231" s="1108"/>
      <c r="Z231" s="1108"/>
    </row>
    <row r="232" spans="1:26" ht="19.5" hidden="1">
      <c r="A232" s="1109"/>
      <c r="B232" s="1110"/>
      <c r="C232" s="1107" t="s">
        <v>16</v>
      </c>
      <c r="D232" s="1072" t="s">
        <v>38</v>
      </c>
      <c r="E232" s="1111"/>
      <c r="F232" s="1111"/>
      <c r="G232" s="1112"/>
      <c r="H232" s="1113"/>
      <c r="I232" s="1000"/>
      <c r="J232" s="886"/>
      <c r="K232" s="887"/>
      <c r="L232" s="887"/>
      <c r="M232" s="887"/>
      <c r="N232" s="887"/>
      <c r="O232" s="1001"/>
      <c r="P232" s="1001"/>
      <c r="Q232" s="875"/>
      <c r="R232" s="875"/>
      <c r="S232" s="875"/>
      <c r="T232" s="875"/>
      <c r="U232" s="875"/>
      <c r="V232" s="875"/>
      <c r="W232" s="875"/>
      <c r="X232" s="875"/>
      <c r="Y232" s="875"/>
      <c r="Z232" s="875"/>
    </row>
    <row r="233" spans="1:26" ht="18.75" hidden="1">
      <c r="A233" s="1109"/>
      <c r="B233" s="1110"/>
      <c r="C233" s="1110"/>
      <c r="D233" s="1074" t="s">
        <v>117</v>
      </c>
      <c r="E233" s="1114"/>
      <c r="F233" s="1114"/>
      <c r="G233" s="1115"/>
      <c r="H233" s="370" t="s">
        <v>35</v>
      </c>
      <c r="I233" s="886" t="e">
        <f t="shared" ref="I233:J233" ca="1" si="108">I244+I255</f>
        <v>#VALUE!</v>
      </c>
      <c r="J233" s="886">
        <f t="shared" si="108"/>
        <v>0</v>
      </c>
      <c r="K233" s="887" t="e">
        <f ca="1">IF(I233&gt;0,J233*100/I233,0)</f>
        <v>#VALUE!</v>
      </c>
      <c r="L233" s="887"/>
      <c r="M233" s="887"/>
      <c r="N233" s="887"/>
      <c r="O233" s="887"/>
      <c r="P233" s="887"/>
      <c r="Q233" s="875"/>
      <c r="R233" s="875"/>
      <c r="S233" s="875"/>
      <c r="T233" s="875"/>
      <c r="U233" s="875"/>
      <c r="V233" s="875"/>
      <c r="W233" s="875"/>
      <c r="X233" s="875"/>
      <c r="Y233" s="875"/>
      <c r="Z233" s="875"/>
    </row>
    <row r="234" spans="1:26" ht="18.75" hidden="1">
      <c r="A234" s="1109"/>
      <c r="B234" s="1110"/>
      <c r="C234" s="1110"/>
      <c r="D234" s="1116" t="s">
        <v>43</v>
      </c>
      <c r="E234" s="1114"/>
      <c r="F234" s="1114"/>
      <c r="G234" s="1115"/>
      <c r="H234" s="370"/>
      <c r="I234" s="886"/>
      <c r="J234" s="886"/>
      <c r="K234" s="887"/>
      <c r="L234" s="887"/>
      <c r="M234" s="887"/>
      <c r="N234" s="887"/>
      <c r="O234" s="1001"/>
      <c r="P234" s="1001"/>
      <c r="Q234" s="875"/>
      <c r="R234" s="875"/>
      <c r="S234" s="875"/>
      <c r="T234" s="875"/>
      <c r="U234" s="875"/>
      <c r="V234" s="875"/>
      <c r="W234" s="875"/>
      <c r="X234" s="875"/>
      <c r="Y234" s="875"/>
      <c r="Z234" s="875"/>
    </row>
    <row r="235" spans="1:26" ht="18.75" hidden="1">
      <c r="A235" s="1109"/>
      <c r="B235" s="1110"/>
      <c r="C235" s="1110"/>
      <c r="D235" s="1110"/>
      <c r="E235" s="1073" t="s">
        <v>118</v>
      </c>
      <c r="F235" s="1114"/>
      <c r="G235" s="1115"/>
      <c r="H235" s="370" t="s">
        <v>35</v>
      </c>
      <c r="I235" s="886">
        <f t="shared" ref="I235:J236" si="109">I246+I257</f>
        <v>0</v>
      </c>
      <c r="J235" s="886">
        <f t="shared" si="109"/>
        <v>0</v>
      </c>
      <c r="K235" s="887">
        <f t="shared" ref="K235:K237" si="110">IF(I235&gt;0,J235*100/I235,0)</f>
        <v>0</v>
      </c>
      <c r="L235" s="887"/>
      <c r="M235" s="887"/>
      <c r="N235" s="887"/>
      <c r="O235" s="887"/>
      <c r="P235" s="887"/>
      <c r="Q235" s="875"/>
      <c r="R235" s="875"/>
      <c r="S235" s="875"/>
      <c r="T235" s="875"/>
      <c r="U235" s="875"/>
      <c r="V235" s="875"/>
      <c r="W235" s="875"/>
      <c r="X235" s="875"/>
      <c r="Y235" s="875"/>
      <c r="Z235" s="875"/>
    </row>
    <row r="236" spans="1:26" ht="18.75" hidden="1">
      <c r="A236" s="1109"/>
      <c r="B236" s="1110"/>
      <c r="C236" s="1110"/>
      <c r="D236" s="1110"/>
      <c r="E236" s="1073" t="s">
        <v>119</v>
      </c>
      <c r="F236" s="1114"/>
      <c r="G236" s="1115"/>
      <c r="H236" s="370" t="s">
        <v>66</v>
      </c>
      <c r="I236" s="886">
        <f t="shared" si="109"/>
        <v>0</v>
      </c>
      <c r="J236" s="886">
        <f t="shared" si="109"/>
        <v>0</v>
      </c>
      <c r="K236" s="887">
        <f t="shared" si="110"/>
        <v>0</v>
      </c>
      <c r="L236" s="887"/>
      <c r="M236" s="887"/>
      <c r="N236" s="887"/>
      <c r="O236" s="887"/>
      <c r="P236" s="887"/>
      <c r="Q236" s="875"/>
      <c r="R236" s="875"/>
      <c r="S236" s="875"/>
      <c r="T236" s="875"/>
      <c r="U236" s="875"/>
      <c r="V236" s="875"/>
      <c r="W236" s="875"/>
      <c r="X236" s="875"/>
      <c r="Y236" s="875"/>
      <c r="Z236" s="875"/>
    </row>
    <row r="237" spans="1:26" ht="19.5" hidden="1">
      <c r="A237" s="1063"/>
      <c r="B237" s="1070"/>
      <c r="C237" s="1077" t="s">
        <v>332</v>
      </c>
      <c r="D237" s="1064"/>
      <c r="E237" s="1064"/>
      <c r="F237" s="1064"/>
      <c r="G237" s="1066"/>
      <c r="H237" s="260" t="s">
        <v>35</v>
      </c>
      <c r="I237" s="1078">
        <f t="shared" ref="I237:J237" ca="1" si="111">I244</f>
        <v>0</v>
      </c>
      <c r="J237" s="1078">
        <f t="shared" si="111"/>
        <v>0</v>
      </c>
      <c r="K237" s="1079">
        <f t="shared" ca="1" si="110"/>
        <v>0</v>
      </c>
      <c r="L237" s="1068"/>
      <c r="M237" s="1068"/>
      <c r="N237" s="1068"/>
      <c r="O237" s="1068"/>
      <c r="P237" s="1068"/>
    </row>
    <row r="238" spans="1:26" ht="19.5" hidden="1">
      <c r="A238" s="985"/>
      <c r="B238" s="986"/>
      <c r="C238" s="987" t="s">
        <v>16</v>
      </c>
      <c r="D238" s="988" t="s">
        <v>17</v>
      </c>
      <c r="E238" s="986"/>
      <c r="F238" s="986"/>
      <c r="G238" s="989"/>
      <c r="H238" s="275" t="s">
        <v>12</v>
      </c>
      <c r="I238" s="1082"/>
      <c r="J238" s="1082"/>
      <c r="K238" s="1083"/>
      <c r="L238" s="992">
        <f ca="1">L239+L240+L241+L242</f>
        <v>0</v>
      </c>
      <c r="M238" s="992"/>
      <c r="N238" s="992">
        <f>N239+N240+N241+N242</f>
        <v>0</v>
      </c>
      <c r="O238" s="992">
        <f ca="1">IF(L238&gt;0,N238*100/L238,0)</f>
        <v>0</v>
      </c>
      <c r="P238" s="992">
        <f>IF(M238&gt;0,N238*100/M238,0)</f>
        <v>0</v>
      </c>
      <c r="Q238" s="868"/>
      <c r="R238" s="868"/>
      <c r="S238" s="868"/>
      <c r="T238" s="868"/>
      <c r="U238" s="868"/>
      <c r="V238" s="868"/>
      <c r="W238" s="868"/>
      <c r="X238" s="868"/>
      <c r="Y238" s="868"/>
      <c r="Z238" s="868"/>
    </row>
    <row r="239" spans="1:26" ht="18.75" hidden="1">
      <c r="A239" s="1117"/>
      <c r="B239" s="1118"/>
      <c r="C239" s="1119"/>
      <c r="D239" s="1120" t="s">
        <v>97</v>
      </c>
      <c r="E239" s="1119"/>
      <c r="F239" s="1119"/>
      <c r="G239" s="1121"/>
      <c r="H239" s="319" t="s">
        <v>12</v>
      </c>
      <c r="I239" s="1122"/>
      <c r="J239" s="1122"/>
      <c r="K239" s="1123"/>
      <c r="L239" s="1124">
        <f ca="1">IFERROR(__xludf.DUMMYFUNCTION("IMPORTRANGE(""https://docs.google.com/spreadsheets/d/1QqKyyYR6Q21VydFLVH3TRQUabQu_ym0Zz7PgGX0-kHA/edit?usp=sharing"",""แผน!AV84"")"),0)</f>
        <v>0</v>
      </c>
      <c r="M239" s="1124"/>
      <c r="N239" s="1125">
        <v>0</v>
      </c>
      <c r="O239" s="1124"/>
      <c r="P239" s="1124"/>
      <c r="Q239" s="1126"/>
      <c r="R239" s="1126"/>
      <c r="S239" s="1126"/>
      <c r="T239" s="1126"/>
      <c r="U239" s="1126"/>
      <c r="V239" s="1126"/>
      <c r="W239" s="1126"/>
      <c r="X239" s="1126"/>
      <c r="Y239" s="1126"/>
      <c r="Z239" s="1126"/>
    </row>
    <row r="240" spans="1:26" ht="19.5" hidden="1">
      <c r="A240" s="1127"/>
      <c r="B240" s="1118"/>
      <c r="C240" s="1128"/>
      <c r="D240" s="1120" t="s">
        <v>98</v>
      </c>
      <c r="E240" s="1119"/>
      <c r="F240" s="1119"/>
      <c r="G240" s="1121"/>
      <c r="H240" s="319" t="s">
        <v>12</v>
      </c>
      <c r="I240" s="1129"/>
      <c r="J240" s="1129"/>
      <c r="K240" s="1124"/>
      <c r="L240" s="1124">
        <f ca="1">IFERROR(__xludf.DUMMYFUNCTION("IMPORTRANGE(""https://docs.google.com/spreadsheets/d/1QqKyyYR6Q21VydFLVH3TRQUabQu_ym0Zz7PgGX0-kHA/edit?usp=sharing"",""แผน!AW84"")"),0)</f>
        <v>0</v>
      </c>
      <c r="M240" s="1124"/>
      <c r="N240" s="1125">
        <v>0</v>
      </c>
      <c r="O240" s="1124"/>
      <c r="P240" s="1124"/>
      <c r="Q240" s="1130"/>
      <c r="R240" s="1130"/>
      <c r="S240" s="1130"/>
      <c r="T240" s="1130"/>
      <c r="U240" s="1130"/>
      <c r="V240" s="1130"/>
      <c r="W240" s="1130"/>
      <c r="X240" s="1130"/>
      <c r="Y240" s="1130"/>
      <c r="Z240" s="1130"/>
    </row>
    <row r="241" spans="1:26" ht="19.5" hidden="1">
      <c r="A241" s="1127"/>
      <c r="B241" s="1118"/>
      <c r="C241" s="1128"/>
      <c r="D241" s="1120" t="s">
        <v>116</v>
      </c>
      <c r="E241" s="1119"/>
      <c r="F241" s="1119"/>
      <c r="G241" s="1121"/>
      <c r="H241" s="319" t="s">
        <v>12</v>
      </c>
      <c r="I241" s="1129"/>
      <c r="J241" s="1129"/>
      <c r="K241" s="1124"/>
      <c r="L241" s="1124">
        <f ca="1">IFERROR(__xludf.DUMMYFUNCTION("IMPORTRANGE(""https://docs.google.com/spreadsheets/d/1QqKyyYR6Q21VydFLVH3TRQUabQu_ym0Zz7PgGX0-kHA/edit?usp=sharing"",""แผน!AX84"")"),0)</f>
        <v>0</v>
      </c>
      <c r="M241" s="1124"/>
      <c r="N241" s="1125">
        <v>0</v>
      </c>
      <c r="O241" s="1124"/>
      <c r="P241" s="1124"/>
      <c r="Q241" s="1130"/>
      <c r="R241" s="1130"/>
      <c r="S241" s="1130"/>
      <c r="T241" s="1130"/>
      <c r="U241" s="1130"/>
      <c r="V241" s="1130"/>
      <c r="W241" s="1130"/>
      <c r="X241" s="1130"/>
      <c r="Y241" s="1130"/>
      <c r="Z241" s="1130"/>
    </row>
    <row r="242" spans="1:26" ht="19.5" hidden="1">
      <c r="A242" s="1127"/>
      <c r="B242" s="1118"/>
      <c r="C242" s="1128"/>
      <c r="D242" s="1120" t="s">
        <v>100</v>
      </c>
      <c r="E242" s="1119"/>
      <c r="F242" s="1119"/>
      <c r="G242" s="1121"/>
      <c r="H242" s="319" t="s">
        <v>12</v>
      </c>
      <c r="I242" s="1129"/>
      <c r="J242" s="1129"/>
      <c r="K242" s="1124"/>
      <c r="L242" s="1124">
        <f ca="1">IFERROR(__xludf.DUMMYFUNCTION("IMPORTRANGE(""https://docs.google.com/spreadsheets/d/1QqKyyYR6Q21VydFLVH3TRQUabQu_ym0Zz7PgGX0-kHA/edit?usp=sharing"",""แผน!AY84"")"),0)</f>
        <v>0</v>
      </c>
      <c r="M242" s="1124"/>
      <c r="N242" s="1125">
        <v>0</v>
      </c>
      <c r="O242" s="1124"/>
      <c r="P242" s="1124"/>
      <c r="Q242" s="1130"/>
      <c r="R242" s="1130"/>
      <c r="S242" s="1130"/>
      <c r="T242" s="1130"/>
      <c r="U242" s="1130"/>
      <c r="V242" s="1130"/>
      <c r="W242" s="1130"/>
      <c r="X242" s="1130"/>
      <c r="Y242" s="1130"/>
      <c r="Z242" s="1130"/>
    </row>
    <row r="243" spans="1:26" ht="19.5" hidden="1">
      <c r="A243" s="1002"/>
      <c r="B243" s="1003"/>
      <c r="C243" s="1092" t="s">
        <v>16</v>
      </c>
      <c r="D243" s="1004" t="s">
        <v>38</v>
      </c>
      <c r="E243" s="1005"/>
      <c r="F243" s="1005"/>
      <c r="G243" s="1006"/>
      <c r="H243" s="1007"/>
      <c r="I243" s="997"/>
      <c r="J243" s="880"/>
      <c r="K243" s="881"/>
      <c r="L243" s="881"/>
      <c r="M243" s="881"/>
      <c r="N243" s="881"/>
      <c r="O243" s="998"/>
      <c r="P243" s="998"/>
      <c r="Q243" s="868"/>
      <c r="R243" s="868"/>
      <c r="S243" s="868"/>
      <c r="T243" s="868"/>
      <c r="U243" s="868"/>
      <c r="V243" s="868"/>
      <c r="W243" s="868"/>
      <c r="X243" s="868"/>
      <c r="Y243" s="868"/>
      <c r="Z243" s="868"/>
    </row>
    <row r="244" spans="1:26" ht="18.75" hidden="1">
      <c r="A244" s="1002"/>
      <c r="B244" s="1003"/>
      <c r="C244" s="1003"/>
      <c r="D244" s="1009" t="s">
        <v>117</v>
      </c>
      <c r="E244" s="1010"/>
      <c r="F244" s="1010"/>
      <c r="G244" s="1011"/>
      <c r="H244" s="762" t="s">
        <v>35</v>
      </c>
      <c r="I244" s="880">
        <f ca="1">IFERROR(__xludf.DUMMYFUNCTION("IMPORTRANGE(""https://docs.google.com/spreadsheets/d/1QqKyyYR6Q21VydFLVH3TRQUabQu_ym0Zz7PgGX0-kHA/edit?usp=sharing"",""แผน!BE84"")"),0)</f>
        <v>0</v>
      </c>
      <c r="J244" s="1012">
        <v>0</v>
      </c>
      <c r="K244" s="881">
        <f ca="1">IF(I244&gt;0,J244*100/I244,0)</f>
        <v>0</v>
      </c>
      <c r="L244" s="881"/>
      <c r="M244" s="881"/>
      <c r="N244" s="881"/>
      <c r="O244" s="881"/>
      <c r="P244" s="881"/>
      <c r="Q244" s="868"/>
      <c r="R244" s="868"/>
      <c r="S244" s="868"/>
      <c r="T244" s="868"/>
      <c r="U244" s="868"/>
      <c r="V244" s="868"/>
      <c r="W244" s="868"/>
      <c r="X244" s="868"/>
      <c r="Y244" s="868"/>
      <c r="Z244" s="868"/>
    </row>
    <row r="245" spans="1:26" ht="18.75" hidden="1">
      <c r="A245" s="1002"/>
      <c r="B245" s="1003"/>
      <c r="C245" s="1003"/>
      <c r="D245" s="1131" t="s">
        <v>43</v>
      </c>
      <c r="E245" s="1010"/>
      <c r="F245" s="1010"/>
      <c r="G245" s="1011"/>
      <c r="H245" s="762"/>
      <c r="I245" s="880"/>
      <c r="J245" s="880"/>
      <c r="K245" s="881"/>
      <c r="L245" s="881"/>
      <c r="M245" s="881"/>
      <c r="N245" s="881"/>
      <c r="O245" s="998"/>
      <c r="P245" s="998"/>
      <c r="Q245" s="868"/>
      <c r="R245" s="868"/>
      <c r="S245" s="868"/>
      <c r="T245" s="868"/>
      <c r="U245" s="868"/>
      <c r="V245" s="868"/>
      <c r="W245" s="868"/>
      <c r="X245" s="868"/>
      <c r="Y245" s="868"/>
      <c r="Z245" s="868"/>
    </row>
    <row r="246" spans="1:26" ht="18.75" hidden="1">
      <c r="A246" s="1002"/>
      <c r="B246" s="1003"/>
      <c r="C246" s="1003"/>
      <c r="D246" s="1003"/>
      <c r="E246" s="1008" t="s">
        <v>118</v>
      </c>
      <c r="F246" s="1010"/>
      <c r="G246" s="1011"/>
      <c r="H246" s="762" t="s">
        <v>35</v>
      </c>
      <c r="I246" s="880"/>
      <c r="J246" s="1012">
        <v>0</v>
      </c>
      <c r="K246" s="881">
        <f t="shared" ref="K246:K248" si="112">IF(I246&gt;0,J246*100/I246,0)</f>
        <v>0</v>
      </c>
      <c r="L246" s="881"/>
      <c r="M246" s="881"/>
      <c r="N246" s="881"/>
      <c r="O246" s="881"/>
      <c r="P246" s="881"/>
      <c r="Q246" s="868"/>
      <c r="R246" s="868"/>
      <c r="S246" s="868"/>
      <c r="T246" s="868"/>
      <c r="U246" s="868"/>
      <c r="V246" s="868"/>
      <c r="W246" s="868"/>
      <c r="X246" s="868"/>
      <c r="Y246" s="868"/>
      <c r="Z246" s="868"/>
    </row>
    <row r="247" spans="1:26" ht="18.75" hidden="1">
      <c r="A247" s="1002"/>
      <c r="B247" s="1003"/>
      <c r="C247" s="1003"/>
      <c r="D247" s="1003"/>
      <c r="E247" s="1008" t="s">
        <v>119</v>
      </c>
      <c r="F247" s="1010"/>
      <c r="G247" s="1011"/>
      <c r="H247" s="762" t="s">
        <v>66</v>
      </c>
      <c r="I247" s="880"/>
      <c r="J247" s="1012">
        <v>0</v>
      </c>
      <c r="K247" s="881">
        <f t="shared" si="112"/>
        <v>0</v>
      </c>
      <c r="L247" s="881"/>
      <c r="M247" s="881"/>
      <c r="N247" s="881"/>
      <c r="O247" s="881"/>
      <c r="P247" s="881"/>
      <c r="Q247" s="868"/>
      <c r="R247" s="868"/>
      <c r="S247" s="868"/>
      <c r="T247" s="868"/>
      <c r="U247" s="868"/>
      <c r="V247" s="868"/>
      <c r="W247" s="868"/>
      <c r="X247" s="868"/>
      <c r="Y247" s="868"/>
      <c r="Z247" s="868"/>
    </row>
    <row r="248" spans="1:26" ht="19.5" hidden="1">
      <c r="A248" s="1063"/>
      <c r="B248" s="1070"/>
      <c r="C248" s="1077" t="s">
        <v>333</v>
      </c>
      <c r="D248" s="1064"/>
      <c r="E248" s="1064"/>
      <c r="F248" s="1064"/>
      <c r="G248" s="1066"/>
      <c r="H248" s="260" t="s">
        <v>35</v>
      </c>
      <c r="I248" s="1078" t="str">
        <f t="shared" ref="I248:J248" ca="1" si="113">I255</f>
        <v/>
      </c>
      <c r="J248" s="1078">
        <f t="shared" si="113"/>
        <v>0</v>
      </c>
      <c r="K248" s="1079" t="e">
        <f t="shared" ca="1" si="112"/>
        <v>#VALUE!</v>
      </c>
      <c r="L248" s="1068"/>
      <c r="M248" s="1068"/>
      <c r="N248" s="1068"/>
      <c r="O248" s="1068"/>
      <c r="P248" s="1068"/>
    </row>
    <row r="249" spans="1:26" ht="19.5" hidden="1">
      <c r="A249" s="985"/>
      <c r="B249" s="986"/>
      <c r="C249" s="987" t="s">
        <v>16</v>
      </c>
      <c r="D249" s="1080" t="s">
        <v>17</v>
      </c>
      <c r="E249" s="986"/>
      <c r="F249" s="986"/>
      <c r="G249" s="989"/>
      <c r="H249" s="275" t="s">
        <v>12</v>
      </c>
      <c r="I249" s="1082"/>
      <c r="J249" s="1082"/>
      <c r="K249" s="1083"/>
      <c r="L249" s="992">
        <f ca="1">L250+L251+L252+L253</f>
        <v>0</v>
      </c>
      <c r="M249" s="992"/>
      <c r="N249" s="992">
        <f>N250+N251+N252+N253</f>
        <v>0</v>
      </c>
      <c r="O249" s="992">
        <f ca="1">IF(L249&gt;0,N249*100/L249,0)</f>
        <v>0</v>
      </c>
      <c r="P249" s="992">
        <f>IF(M249&gt;0,N249*100/M249,0)</f>
        <v>0</v>
      </c>
      <c r="Q249" s="868"/>
      <c r="R249" s="868"/>
      <c r="S249" s="868"/>
      <c r="T249" s="868"/>
      <c r="U249" s="868"/>
      <c r="V249" s="868"/>
      <c r="W249" s="868"/>
      <c r="X249" s="868"/>
      <c r="Y249" s="868"/>
      <c r="Z249" s="868"/>
    </row>
    <row r="250" spans="1:26" ht="18.75" hidden="1">
      <c r="A250" s="1117"/>
      <c r="B250" s="1118"/>
      <c r="C250" s="1119"/>
      <c r="D250" s="1120" t="s">
        <v>97</v>
      </c>
      <c r="E250" s="1119"/>
      <c r="F250" s="1119"/>
      <c r="G250" s="1121"/>
      <c r="H250" s="319" t="s">
        <v>12</v>
      </c>
      <c r="I250" s="1122"/>
      <c r="J250" s="1122"/>
      <c r="K250" s="1123"/>
      <c r="L250" s="1124">
        <f ca="1">IFERROR(__xludf.DUMMYFUNCTION("IMPORTRANGE(""https://docs.google.com/spreadsheets/d/1QqKyyYR6Q21VydFLVH3TRQUabQu_ym0Zz7PgGX0-kHA/edit?usp=sharing"",""แผน!AZ84"")"),0)</f>
        <v>0</v>
      </c>
      <c r="M250" s="1124"/>
      <c r="N250" s="1125">
        <v>0</v>
      </c>
      <c r="O250" s="1124"/>
      <c r="P250" s="1124"/>
      <c r="Q250" s="1126"/>
      <c r="R250" s="1126"/>
      <c r="S250" s="1126"/>
      <c r="T250" s="1126"/>
      <c r="U250" s="1126"/>
      <c r="V250" s="1126"/>
      <c r="W250" s="1126"/>
      <c r="X250" s="1126"/>
      <c r="Y250" s="1126"/>
      <c r="Z250" s="1126"/>
    </row>
    <row r="251" spans="1:26" ht="19.5" hidden="1">
      <c r="A251" s="1127"/>
      <c r="B251" s="1118"/>
      <c r="C251" s="1128"/>
      <c r="D251" s="1120" t="s">
        <v>98</v>
      </c>
      <c r="E251" s="1119"/>
      <c r="F251" s="1119"/>
      <c r="G251" s="1121"/>
      <c r="H251" s="319" t="s">
        <v>12</v>
      </c>
      <c r="I251" s="1129"/>
      <c r="J251" s="1129"/>
      <c r="K251" s="1124"/>
      <c r="L251" s="1124">
        <f ca="1">IFERROR(__xludf.DUMMYFUNCTION("IMPORTRANGE(""https://docs.google.com/spreadsheets/d/1QqKyyYR6Q21VydFLVH3TRQUabQu_ym0Zz7PgGX0-kHA/edit?usp=sharing"",""แผน!BA84"")"),0)</f>
        <v>0</v>
      </c>
      <c r="M251" s="1124"/>
      <c r="N251" s="1125">
        <v>0</v>
      </c>
      <c r="O251" s="1124"/>
      <c r="P251" s="1124"/>
      <c r="Q251" s="1130"/>
      <c r="R251" s="1130"/>
      <c r="S251" s="1130"/>
      <c r="T251" s="1130"/>
      <c r="U251" s="1130"/>
      <c r="V251" s="1130"/>
      <c r="W251" s="1130"/>
      <c r="X251" s="1130"/>
      <c r="Y251" s="1130"/>
      <c r="Z251" s="1130"/>
    </row>
    <row r="252" spans="1:26" ht="19.5" hidden="1">
      <c r="A252" s="1127"/>
      <c r="B252" s="1118"/>
      <c r="C252" s="1128"/>
      <c r="D252" s="1120" t="s">
        <v>116</v>
      </c>
      <c r="E252" s="1119"/>
      <c r="F252" s="1119"/>
      <c r="G252" s="1121"/>
      <c r="H252" s="319" t="s">
        <v>12</v>
      </c>
      <c r="I252" s="1129"/>
      <c r="J252" s="1129"/>
      <c r="K252" s="1124"/>
      <c r="L252" s="1124">
        <f ca="1">IFERROR(__xludf.DUMMYFUNCTION("IMPORTRANGE(""https://docs.google.com/spreadsheets/d/1QqKyyYR6Q21VydFLVH3TRQUabQu_ym0Zz7PgGX0-kHA/edit?usp=sharing"",""แผน!BB84"")"),0)</f>
        <v>0</v>
      </c>
      <c r="M252" s="1124"/>
      <c r="N252" s="1125">
        <v>0</v>
      </c>
      <c r="O252" s="1124"/>
      <c r="P252" s="1124"/>
      <c r="Q252" s="1130"/>
      <c r="R252" s="1130"/>
      <c r="S252" s="1130"/>
      <c r="T252" s="1130"/>
      <c r="U252" s="1130"/>
      <c r="V252" s="1130"/>
      <c r="W252" s="1130"/>
      <c r="X252" s="1130"/>
      <c r="Y252" s="1130"/>
      <c r="Z252" s="1130"/>
    </row>
    <row r="253" spans="1:26" ht="19.5" hidden="1">
      <c r="A253" s="1127"/>
      <c r="B253" s="1118"/>
      <c r="C253" s="1128"/>
      <c r="D253" s="1120" t="s">
        <v>100</v>
      </c>
      <c r="E253" s="1119"/>
      <c r="F253" s="1119"/>
      <c r="G253" s="1121"/>
      <c r="H253" s="319" t="s">
        <v>12</v>
      </c>
      <c r="I253" s="1129"/>
      <c r="J253" s="1129"/>
      <c r="K253" s="1124"/>
      <c r="L253" s="1124">
        <f ca="1">IFERROR(__xludf.DUMMYFUNCTION("IMPORTRANGE(""https://docs.google.com/spreadsheets/d/1QqKyyYR6Q21VydFLVH3TRQUabQu_ym0Zz7PgGX0-kHA/edit?usp=sharing"",""แผน!BC84"")"),0)</f>
        <v>0</v>
      </c>
      <c r="M253" s="1124"/>
      <c r="N253" s="1125">
        <v>0</v>
      </c>
      <c r="O253" s="1124"/>
      <c r="P253" s="1124"/>
      <c r="Q253" s="1130"/>
      <c r="R253" s="1130"/>
      <c r="S253" s="1130"/>
      <c r="T253" s="1130"/>
      <c r="U253" s="1130"/>
      <c r="V253" s="1130"/>
      <c r="W253" s="1130"/>
      <c r="X253" s="1130"/>
      <c r="Y253" s="1130"/>
      <c r="Z253" s="1130"/>
    </row>
    <row r="254" spans="1:26" ht="19.5" hidden="1">
      <c r="A254" s="1002"/>
      <c r="B254" s="1003"/>
      <c r="C254" s="1092" t="s">
        <v>16</v>
      </c>
      <c r="D254" s="1004" t="s">
        <v>38</v>
      </c>
      <c r="E254" s="1005"/>
      <c r="F254" s="1005"/>
      <c r="G254" s="1006"/>
      <c r="H254" s="1007"/>
      <c r="I254" s="997"/>
      <c r="J254" s="880"/>
      <c r="K254" s="881"/>
      <c r="L254" s="881"/>
      <c r="M254" s="881"/>
      <c r="N254" s="881"/>
      <c r="O254" s="998"/>
      <c r="P254" s="998"/>
      <c r="Q254" s="868"/>
      <c r="R254" s="868"/>
      <c r="S254" s="868"/>
      <c r="T254" s="868"/>
      <c r="U254" s="868"/>
      <c r="V254" s="868"/>
      <c r="W254" s="868"/>
      <c r="X254" s="868"/>
      <c r="Y254" s="868"/>
      <c r="Z254" s="868"/>
    </row>
    <row r="255" spans="1:26" ht="18.75" hidden="1">
      <c r="A255" s="1002"/>
      <c r="B255" s="1003"/>
      <c r="C255" s="1003"/>
      <c r="D255" s="1009" t="s">
        <v>117</v>
      </c>
      <c r="E255" s="1010"/>
      <c r="F255" s="1010"/>
      <c r="G255" s="1011"/>
      <c r="H255" s="762" t="s">
        <v>35</v>
      </c>
      <c r="I255" s="880" t="str">
        <f ca="1">IFERROR(__xludf.DUMMYFUNCTION("IMPORTRANGE(""https://docs.google.com/spreadsheets/d/1QqKyyYR6Q21VydFLVH3TRQUabQu_ym0Zz7PgGX0-kHA/edit?usp=sharing"",""แผน!BF84"")"),"")</f>
        <v/>
      </c>
      <c r="J255" s="1012">
        <v>0</v>
      </c>
      <c r="K255" s="881" t="e">
        <f ca="1">IF(I255&gt;0,J255*100/I255,0)</f>
        <v>#VALUE!</v>
      </c>
      <c r="L255" s="881"/>
      <c r="M255" s="881"/>
      <c r="N255" s="881"/>
      <c r="O255" s="881"/>
      <c r="P255" s="881"/>
      <c r="Q255" s="868"/>
      <c r="R255" s="868"/>
      <c r="S255" s="868"/>
      <c r="T255" s="868"/>
      <c r="U255" s="868"/>
      <c r="V255" s="868"/>
      <c r="W255" s="868"/>
      <c r="X255" s="868"/>
      <c r="Y255" s="868"/>
      <c r="Z255" s="868"/>
    </row>
    <row r="256" spans="1:26" ht="18.75" hidden="1">
      <c r="A256" s="1002"/>
      <c r="B256" s="1003"/>
      <c r="C256" s="1003"/>
      <c r="D256" s="1131" t="s">
        <v>43</v>
      </c>
      <c r="E256" s="1010"/>
      <c r="F256" s="1010"/>
      <c r="G256" s="1011"/>
      <c r="H256" s="762"/>
      <c r="I256" s="880"/>
      <c r="J256" s="880"/>
      <c r="K256" s="881"/>
      <c r="L256" s="881"/>
      <c r="M256" s="881"/>
      <c r="N256" s="881"/>
      <c r="O256" s="998"/>
      <c r="P256" s="998"/>
      <c r="Q256" s="868"/>
      <c r="R256" s="868"/>
      <c r="S256" s="868"/>
      <c r="T256" s="868"/>
      <c r="U256" s="868"/>
      <c r="V256" s="868"/>
      <c r="W256" s="868"/>
      <c r="X256" s="868"/>
      <c r="Y256" s="868"/>
      <c r="Z256" s="868"/>
    </row>
    <row r="257" spans="1:26" ht="18.75" hidden="1">
      <c r="A257" s="1002"/>
      <c r="B257" s="1003"/>
      <c r="C257" s="1003"/>
      <c r="D257" s="1003"/>
      <c r="E257" s="1008" t="s">
        <v>118</v>
      </c>
      <c r="F257" s="1010"/>
      <c r="G257" s="1011"/>
      <c r="H257" s="762" t="s">
        <v>35</v>
      </c>
      <c r="I257" s="880"/>
      <c r="J257" s="1012">
        <v>0</v>
      </c>
      <c r="K257" s="881">
        <f t="shared" ref="K257:K258" si="114">IF(I257&gt;0,J257*100/I257,0)</f>
        <v>0</v>
      </c>
      <c r="L257" s="881"/>
      <c r="M257" s="881"/>
      <c r="N257" s="881"/>
      <c r="O257" s="881"/>
      <c r="P257" s="881"/>
      <c r="Q257" s="868"/>
      <c r="R257" s="868"/>
      <c r="S257" s="868"/>
      <c r="T257" s="868"/>
      <c r="U257" s="868"/>
      <c r="V257" s="868"/>
      <c r="W257" s="868"/>
      <c r="X257" s="868"/>
      <c r="Y257" s="868"/>
      <c r="Z257" s="868"/>
    </row>
    <row r="258" spans="1:26" ht="18.75" hidden="1">
      <c r="A258" s="1002"/>
      <c r="B258" s="1003"/>
      <c r="C258" s="1003"/>
      <c r="D258" s="1003"/>
      <c r="E258" s="1008" t="s">
        <v>119</v>
      </c>
      <c r="F258" s="1010"/>
      <c r="G258" s="1011"/>
      <c r="H258" s="762" t="s">
        <v>66</v>
      </c>
      <c r="I258" s="880"/>
      <c r="J258" s="1012">
        <v>0</v>
      </c>
      <c r="K258" s="881">
        <f t="shared" si="114"/>
        <v>0</v>
      </c>
      <c r="L258" s="881"/>
      <c r="M258" s="881"/>
      <c r="N258" s="881"/>
      <c r="O258" s="881"/>
      <c r="P258" s="881"/>
      <c r="Q258" s="868"/>
      <c r="R258" s="868"/>
      <c r="S258" s="868"/>
      <c r="T258" s="868"/>
      <c r="U258" s="868"/>
      <c r="V258" s="868"/>
      <c r="W258" s="868"/>
      <c r="X258" s="868"/>
      <c r="Y258" s="868"/>
      <c r="Z258" s="868"/>
    </row>
    <row r="259" spans="1:26" ht="19.5">
      <c r="A259" s="1051" t="s">
        <v>122</v>
      </c>
      <c r="B259" s="1052"/>
      <c r="C259" s="1052"/>
      <c r="D259" s="1053"/>
      <c r="E259" s="1053"/>
      <c r="F259" s="1053"/>
      <c r="G259" s="1054"/>
      <c r="H259" s="1055"/>
      <c r="I259" s="1056"/>
      <c r="J259" s="1056"/>
      <c r="K259" s="1057"/>
      <c r="L259" s="1057"/>
      <c r="M259" s="1057"/>
      <c r="N259" s="1057"/>
      <c r="O259" s="1057"/>
      <c r="P259" s="1057"/>
    </row>
    <row r="260" spans="1:26" ht="19.5">
      <c r="A260" s="1058"/>
      <c r="B260" s="1059" t="s">
        <v>123</v>
      </c>
      <c r="C260" s="1060"/>
      <c r="D260" s="1005"/>
      <c r="E260" s="1005"/>
      <c r="F260" s="1005"/>
      <c r="G260" s="1006"/>
      <c r="H260" s="252" t="s">
        <v>35</v>
      </c>
      <c r="I260" s="1075">
        <f t="shared" ref="I260:J260" ca="1" si="115">I271</f>
        <v>16</v>
      </c>
      <c r="J260" s="1075">
        <f t="shared" si="115"/>
        <v>16</v>
      </c>
      <c r="K260" s="1076">
        <f ca="1">IF(I260&gt;0,J260*100/I260,0)</f>
        <v>100</v>
      </c>
      <c r="L260" s="1062"/>
      <c r="M260" s="1062"/>
      <c r="N260" s="1062"/>
      <c r="O260" s="1062"/>
      <c r="P260" s="1062"/>
    </row>
    <row r="261" spans="1:26" ht="19.5">
      <c r="A261" s="985"/>
      <c r="B261" s="986"/>
      <c r="C261" s="987" t="s">
        <v>16</v>
      </c>
      <c r="D261" s="988" t="s">
        <v>17</v>
      </c>
      <c r="E261" s="986"/>
      <c r="F261" s="986"/>
      <c r="G261" s="989"/>
      <c r="H261" s="152" t="s">
        <v>12</v>
      </c>
      <c r="I261" s="990"/>
      <c r="J261" s="990"/>
      <c r="K261" s="991"/>
      <c r="L261" s="992">
        <f t="shared" ref="L261:N261" ca="1" si="116">L262+L263</f>
        <v>164200</v>
      </c>
      <c r="M261" s="992">
        <f t="shared" ca="1" si="116"/>
        <v>122200</v>
      </c>
      <c r="N261" s="992">
        <f t="shared" ca="1" si="116"/>
        <v>79347.3</v>
      </c>
      <c r="O261" s="992">
        <f t="shared" ref="O261:O269" ca="1" si="117">IF(L261&gt;0,N261*100/L261,0)</f>
        <v>48.323568818514005</v>
      </c>
      <c r="P261" s="992">
        <f t="shared" ref="P261:P269" ca="1" si="118">IF(M261&gt;0,N261*100/M261,0)</f>
        <v>64.932324058919804</v>
      </c>
      <c r="Q261" s="868"/>
      <c r="R261" s="868"/>
      <c r="S261" s="868"/>
      <c r="T261" s="868"/>
      <c r="U261" s="868"/>
      <c r="V261" s="868"/>
      <c r="W261" s="868"/>
      <c r="X261" s="868"/>
      <c r="Y261" s="868"/>
      <c r="Z261" s="868"/>
    </row>
    <row r="262" spans="1:26" ht="18.75" hidden="1">
      <c r="A262" s="993"/>
      <c r="B262" s="883"/>
      <c r="C262" s="883"/>
      <c r="D262" s="883"/>
      <c r="E262" s="884" t="s">
        <v>18</v>
      </c>
      <c r="F262" s="883"/>
      <c r="G262" s="994"/>
      <c r="H262" s="158" t="s">
        <v>12</v>
      </c>
      <c r="I262" s="886"/>
      <c r="J262" s="886"/>
      <c r="K262" s="887"/>
      <c r="L262" s="887">
        <f t="shared" ref="L262:N263" si="119">L265+L268</f>
        <v>0</v>
      </c>
      <c r="M262" s="887">
        <f t="shared" si="119"/>
        <v>0</v>
      </c>
      <c r="N262" s="887">
        <f t="shared" si="119"/>
        <v>0</v>
      </c>
      <c r="O262" s="887">
        <f t="shared" si="117"/>
        <v>0</v>
      </c>
      <c r="P262" s="887">
        <f t="shared" si="118"/>
        <v>0</v>
      </c>
      <c r="Q262" s="875"/>
      <c r="R262" s="875"/>
      <c r="S262" s="875"/>
      <c r="T262" s="875"/>
      <c r="U262" s="875"/>
      <c r="V262" s="875"/>
      <c r="W262" s="875"/>
      <c r="X262" s="875"/>
      <c r="Y262" s="875"/>
      <c r="Z262" s="875"/>
    </row>
    <row r="263" spans="1:26" ht="18.75" hidden="1">
      <c r="A263" s="993"/>
      <c r="B263" s="883"/>
      <c r="C263" s="883"/>
      <c r="D263" s="883"/>
      <c r="E263" s="884" t="s">
        <v>19</v>
      </c>
      <c r="F263" s="883"/>
      <c r="G263" s="994"/>
      <c r="H263" s="158" t="s">
        <v>12</v>
      </c>
      <c r="I263" s="886"/>
      <c r="J263" s="886"/>
      <c r="K263" s="887"/>
      <c r="L263" s="887">
        <f t="shared" ca="1" si="119"/>
        <v>164200</v>
      </c>
      <c r="M263" s="887">
        <f t="shared" ca="1" si="119"/>
        <v>122200</v>
      </c>
      <c r="N263" s="887">
        <f t="shared" ca="1" si="119"/>
        <v>79347.3</v>
      </c>
      <c r="O263" s="887">
        <f t="shared" ca="1" si="117"/>
        <v>48.323568818514005</v>
      </c>
      <c r="P263" s="887">
        <f t="shared" ca="1" si="118"/>
        <v>64.932324058919804</v>
      </c>
      <c r="Q263" s="875"/>
      <c r="R263" s="875"/>
      <c r="S263" s="875"/>
      <c r="T263" s="875"/>
      <c r="U263" s="875"/>
      <c r="V263" s="875"/>
      <c r="W263" s="875"/>
      <c r="X263" s="875"/>
      <c r="Y263" s="875"/>
      <c r="Z263" s="875"/>
    </row>
    <row r="264" spans="1:26" ht="18.75">
      <c r="A264" s="995"/>
      <c r="B264" s="877"/>
      <c r="C264" s="996"/>
      <c r="D264" s="878" t="s">
        <v>20</v>
      </c>
      <c r="E264" s="877"/>
      <c r="F264" s="877"/>
      <c r="G264" s="879"/>
      <c r="H264" s="161" t="s">
        <v>12</v>
      </c>
      <c r="I264" s="997"/>
      <c r="J264" s="997"/>
      <c r="K264" s="998"/>
      <c r="L264" s="881">
        <f t="shared" ref="L264:N264" ca="1" si="120">L265+L266</f>
        <v>164200</v>
      </c>
      <c r="M264" s="881">
        <f t="shared" ca="1" si="120"/>
        <v>122200</v>
      </c>
      <c r="N264" s="881">
        <f t="shared" ca="1" si="120"/>
        <v>79347.3</v>
      </c>
      <c r="O264" s="881">
        <f t="shared" ca="1" si="117"/>
        <v>48.323568818514005</v>
      </c>
      <c r="P264" s="881">
        <f t="shared" ca="1" si="118"/>
        <v>64.932324058919804</v>
      </c>
      <c r="Q264" s="868"/>
      <c r="R264" s="868"/>
      <c r="S264" s="868"/>
      <c r="T264" s="868"/>
      <c r="U264" s="868"/>
      <c r="V264" s="868"/>
      <c r="W264" s="868"/>
      <c r="X264" s="868"/>
      <c r="Y264" s="868"/>
      <c r="Z264" s="868"/>
    </row>
    <row r="265" spans="1:26" ht="19.5" hidden="1">
      <c r="A265" s="993"/>
      <c r="B265" s="883"/>
      <c r="C265" s="999"/>
      <c r="D265" s="883"/>
      <c r="E265" s="884" t="s">
        <v>36</v>
      </c>
      <c r="F265" s="883"/>
      <c r="G265" s="994"/>
      <c r="H265" s="165" t="s">
        <v>12</v>
      </c>
      <c r="I265" s="1000"/>
      <c r="J265" s="1000"/>
      <c r="K265" s="1001"/>
      <c r="L265" s="887">
        <v>0</v>
      </c>
      <c r="M265" s="887">
        <v>0</v>
      </c>
      <c r="N265" s="887">
        <v>0</v>
      </c>
      <c r="O265" s="887">
        <f t="shared" si="117"/>
        <v>0</v>
      </c>
      <c r="P265" s="887">
        <f t="shared" si="118"/>
        <v>0</v>
      </c>
      <c r="Q265" s="875"/>
      <c r="R265" s="875"/>
      <c r="S265" s="875"/>
      <c r="T265" s="875"/>
      <c r="U265" s="875"/>
      <c r="V265" s="875"/>
      <c r="W265" s="875"/>
      <c r="X265" s="875"/>
      <c r="Y265" s="875"/>
      <c r="Z265" s="875"/>
    </row>
    <row r="266" spans="1:26" ht="19.5" hidden="1">
      <c r="A266" s="993"/>
      <c r="B266" s="883"/>
      <c r="C266" s="999"/>
      <c r="D266" s="883"/>
      <c r="E266" s="884" t="s">
        <v>37</v>
      </c>
      <c r="F266" s="883"/>
      <c r="G266" s="994"/>
      <c r="H266" s="165" t="s">
        <v>12</v>
      </c>
      <c r="I266" s="1000"/>
      <c r="J266" s="1000"/>
      <c r="K266" s="1001"/>
      <c r="L266" s="887">
        <f ca="1">IFERROR(__xludf.DUMMYFUNCTION("IMPORTRANGE(""https://docs.google.com/spreadsheets/d/1MeEWN-I1oV_STSDYn1IFDPWt_1FKiwhDph83XaGc0o0/edit?usp=sharing"",""งบพรบ!CY84"")"),164200)</f>
        <v>164200</v>
      </c>
      <c r="M266" s="887">
        <f ca="1">IFERROR(__xludf.DUMMYFUNCTION("IMPORTRANGE(""https://docs.google.com/spreadsheets/d/1MeEWN-I1oV_STSDYn1IFDPWt_1FKiwhDph83XaGc0o0/edit?usp=sharing"",""งบพรบ!DD84"")"),122200)</f>
        <v>122200</v>
      </c>
      <c r="N266" s="887">
        <f ca="1">IFERROR(__xludf.DUMMYFUNCTION("IMPORTRANGE(""https://docs.google.com/spreadsheets/d/1MeEWN-I1oV_STSDYn1IFDPWt_1FKiwhDph83XaGc0o0/edit?usp=sharing"",""งบพรบ!DF84"")"),79347.3)</f>
        <v>79347.3</v>
      </c>
      <c r="O266" s="887">
        <f t="shared" ca="1" si="117"/>
        <v>48.323568818514005</v>
      </c>
      <c r="P266" s="887">
        <f t="shared" ca="1" si="118"/>
        <v>64.932324058919804</v>
      </c>
      <c r="Q266" s="875"/>
      <c r="R266" s="875"/>
      <c r="S266" s="875"/>
      <c r="T266" s="875"/>
      <c r="U266" s="875"/>
      <c r="V266" s="875"/>
      <c r="W266" s="875"/>
      <c r="X266" s="875"/>
      <c r="Y266" s="875"/>
      <c r="Z266" s="875"/>
    </row>
    <row r="267" spans="1:26" ht="18.75">
      <c r="A267" s="995"/>
      <c r="B267" s="877"/>
      <c r="C267" s="996"/>
      <c r="D267" s="878" t="s">
        <v>21</v>
      </c>
      <c r="E267" s="877"/>
      <c r="F267" s="877"/>
      <c r="G267" s="879"/>
      <c r="H267" s="168" t="s">
        <v>12</v>
      </c>
      <c r="I267" s="997"/>
      <c r="J267" s="997"/>
      <c r="K267" s="998"/>
      <c r="L267" s="881">
        <f t="shared" ref="L267:N267" ca="1" si="121">L268+L269</f>
        <v>0</v>
      </c>
      <c r="M267" s="881">
        <f t="shared" ca="1" si="121"/>
        <v>0</v>
      </c>
      <c r="N267" s="881">
        <f t="shared" ca="1" si="121"/>
        <v>0</v>
      </c>
      <c r="O267" s="881">
        <f t="shared" ca="1" si="117"/>
        <v>0</v>
      </c>
      <c r="P267" s="881">
        <f t="shared" ca="1" si="118"/>
        <v>0</v>
      </c>
      <c r="Q267" s="868"/>
      <c r="R267" s="868"/>
      <c r="S267" s="868"/>
      <c r="T267" s="868"/>
      <c r="U267" s="868"/>
      <c r="V267" s="868"/>
      <c r="W267" s="868"/>
      <c r="X267" s="868"/>
      <c r="Y267" s="868"/>
      <c r="Z267" s="868"/>
    </row>
    <row r="268" spans="1:26" ht="19.5" hidden="1">
      <c r="A268" s="993"/>
      <c r="B268" s="883"/>
      <c r="C268" s="999"/>
      <c r="D268" s="883"/>
      <c r="E268" s="884" t="s">
        <v>18</v>
      </c>
      <c r="F268" s="883"/>
      <c r="G268" s="994"/>
      <c r="H268" s="165" t="s">
        <v>12</v>
      </c>
      <c r="I268" s="1000"/>
      <c r="J268" s="1000"/>
      <c r="K268" s="1001"/>
      <c r="L268" s="887">
        <v>0</v>
      </c>
      <c r="M268" s="887">
        <v>0</v>
      </c>
      <c r="N268" s="887">
        <v>0</v>
      </c>
      <c r="O268" s="887">
        <f t="shared" si="117"/>
        <v>0</v>
      </c>
      <c r="P268" s="887">
        <f t="shared" si="118"/>
        <v>0</v>
      </c>
      <c r="Q268" s="875"/>
      <c r="R268" s="875"/>
      <c r="S268" s="875"/>
      <c r="T268" s="875"/>
      <c r="U268" s="875"/>
      <c r="V268" s="875"/>
      <c r="W268" s="875"/>
      <c r="X268" s="875"/>
      <c r="Y268" s="875"/>
      <c r="Z268" s="875"/>
    </row>
    <row r="269" spans="1:26" ht="19.5" hidden="1">
      <c r="A269" s="993"/>
      <c r="B269" s="883"/>
      <c r="C269" s="999"/>
      <c r="D269" s="883"/>
      <c r="E269" s="884" t="s">
        <v>19</v>
      </c>
      <c r="F269" s="883"/>
      <c r="G269" s="994"/>
      <c r="H269" s="169" t="s">
        <v>12</v>
      </c>
      <c r="I269" s="1000"/>
      <c r="J269" s="1000"/>
      <c r="K269" s="1001"/>
      <c r="L269" s="887">
        <f ca="1">IFERROR(__xludf.DUMMYFUNCTION("IMPORTRANGE(""https://docs.google.com/spreadsheets/d/1MeEWN-I1oV_STSDYn1IFDPWt_1FKiwhDph83XaGc0o0/edit?usp=sharing"",""งบพรบ!DB84"")"),0)</f>
        <v>0</v>
      </c>
      <c r="M269" s="887">
        <f ca="1">IFERROR(__xludf.DUMMYFUNCTION("IMPORTRANGE(""https://docs.google.com/spreadsheets/d/1MeEWN-I1oV_STSDYn1IFDPWt_1FKiwhDph83XaGc0o0/edit?usp=sharing"",""งบพรบ!DE84"")"),0)</f>
        <v>0</v>
      </c>
      <c r="N269" s="887">
        <f ca="1">IFERROR(__xludf.DUMMYFUNCTION("IMPORTRANGE(""https://docs.google.com/spreadsheets/d/1MeEWN-I1oV_STSDYn1IFDPWt_1FKiwhDph83XaGc0o0/edit?usp=sharing"",""งบพรบ!DG84"")"),0)</f>
        <v>0</v>
      </c>
      <c r="O269" s="887">
        <f t="shared" ca="1" si="117"/>
        <v>0</v>
      </c>
      <c r="P269" s="887">
        <f t="shared" ca="1" si="118"/>
        <v>0</v>
      </c>
      <c r="Q269" s="875"/>
      <c r="R269" s="875"/>
      <c r="S269" s="875"/>
      <c r="T269" s="875"/>
      <c r="U269" s="875"/>
      <c r="V269" s="875"/>
      <c r="W269" s="875"/>
      <c r="X269" s="875"/>
      <c r="Y269" s="875"/>
      <c r="Z269" s="875"/>
    </row>
    <row r="270" spans="1:26" ht="19.5">
      <c r="A270" s="1002"/>
      <c r="B270" s="1003"/>
      <c r="C270" s="996" t="s">
        <v>16</v>
      </c>
      <c r="D270" s="1004" t="s">
        <v>38</v>
      </c>
      <c r="E270" s="1005"/>
      <c r="F270" s="1005"/>
      <c r="G270" s="1006"/>
      <c r="H270" s="1007"/>
      <c r="I270" s="997"/>
      <c r="J270" s="997"/>
      <c r="K270" s="998"/>
      <c r="L270" s="998"/>
      <c r="M270" s="998"/>
      <c r="N270" s="998"/>
      <c r="O270" s="998"/>
      <c r="P270" s="998"/>
    </row>
    <row r="271" spans="1:26" ht="18.75">
      <c r="A271" s="1002"/>
      <c r="B271" s="1003"/>
      <c r="C271" s="1003"/>
      <c r="D271" s="1132" t="s">
        <v>124</v>
      </c>
      <c r="E271" s="1010"/>
      <c r="F271" s="1074"/>
      <c r="G271" s="1011"/>
      <c r="H271" s="377" t="s">
        <v>35</v>
      </c>
      <c r="I271" s="880">
        <f ca="1">IFERROR(__xludf.DUMMYFUNCTION("IMPORTRANGE(""https://docs.google.com/spreadsheets/d/1QqKyyYR6Q21VydFLVH3TRQUabQu_ym0Zz7PgGX0-kHA/edit?usp=sharing"",""แผน!EA84"")"),16)</f>
        <v>16</v>
      </c>
      <c r="J271" s="1012">
        <v>16</v>
      </c>
      <c r="K271" s="998">
        <f ca="1">IF(I271&gt;0,J271*100/I271,0)</f>
        <v>100</v>
      </c>
      <c r="L271" s="998"/>
      <c r="M271" s="998"/>
      <c r="N271" s="998"/>
      <c r="O271" s="998"/>
      <c r="P271" s="998"/>
    </row>
    <row r="272" spans="1:26" ht="18.75" hidden="1">
      <c r="A272" s="1133"/>
      <c r="B272" s="1134"/>
      <c r="C272" s="1134"/>
      <c r="D272" s="1135" t="s">
        <v>125</v>
      </c>
      <c r="E272" s="1136"/>
      <c r="F272" s="1136"/>
      <c r="G272" s="1137"/>
      <c r="H272" s="50" t="s">
        <v>35</v>
      </c>
      <c r="I272" s="1138">
        <v>0</v>
      </c>
      <c r="J272" s="1138">
        <v>0</v>
      </c>
      <c r="K272" s="1139">
        <v>0</v>
      </c>
      <c r="L272" s="1139"/>
      <c r="M272" s="1139"/>
      <c r="N272" s="1139"/>
      <c r="O272" s="1139"/>
      <c r="P272" s="1139"/>
    </row>
    <row r="273" spans="1:26" ht="19.5" hidden="1">
      <c r="A273" s="1140" t="s">
        <v>126</v>
      </c>
      <c r="B273" s="1141"/>
      <c r="C273" s="1141"/>
      <c r="D273" s="1141"/>
      <c r="E273" s="1142"/>
      <c r="F273" s="1142"/>
      <c r="G273" s="1143"/>
      <c r="H273" s="1144"/>
      <c r="I273" s="1145"/>
      <c r="J273" s="1145"/>
      <c r="K273" s="1146"/>
      <c r="L273" s="1146"/>
      <c r="M273" s="1146"/>
      <c r="N273" s="1146"/>
      <c r="O273" s="1146"/>
      <c r="P273" s="1146"/>
    </row>
    <row r="274" spans="1:26" ht="19.5" hidden="1">
      <c r="A274" s="1147" t="s">
        <v>127</v>
      </c>
      <c r="B274" s="1148"/>
      <c r="C274" s="1149"/>
      <c r="D274" s="1148"/>
      <c r="E274" s="1148"/>
      <c r="F274" s="1148"/>
      <c r="G274" s="1148"/>
      <c r="H274" s="1150"/>
      <c r="I274" s="1151"/>
      <c r="J274" s="1152"/>
      <c r="K274" s="1153"/>
      <c r="L274" s="1153"/>
      <c r="M274" s="1153"/>
      <c r="N274" s="1153"/>
      <c r="O274" s="1153"/>
      <c r="P274" s="1153"/>
    </row>
    <row r="275" spans="1:26" ht="19.5" hidden="1">
      <c r="A275" s="1154"/>
      <c r="B275" s="1155" t="s">
        <v>128</v>
      </c>
      <c r="C275" s="1156"/>
      <c r="D275" s="1157"/>
      <c r="E275" s="1156"/>
      <c r="F275" s="1156"/>
      <c r="G275" s="1158"/>
      <c r="H275" s="405" t="s">
        <v>35</v>
      </c>
      <c r="I275" s="1159">
        <f t="shared" ref="I275:J275" ca="1" si="122">I288</f>
        <v>0</v>
      </c>
      <c r="J275" s="1159">
        <f t="shared" ca="1" si="122"/>
        <v>0</v>
      </c>
      <c r="K275" s="1160">
        <f t="shared" ref="K275:K276" ca="1" si="123">IF(I275&gt;0,J275*100/I275,0)</f>
        <v>0</v>
      </c>
      <c r="L275" s="1161"/>
      <c r="M275" s="1161"/>
      <c r="N275" s="1161"/>
      <c r="O275" s="1161"/>
      <c r="P275" s="1161"/>
    </row>
    <row r="276" spans="1:26" ht="19.5" hidden="1">
      <c r="A276" s="1154"/>
      <c r="B276" s="1155"/>
      <c r="C276" s="1156"/>
      <c r="D276" s="1157"/>
      <c r="E276" s="1156"/>
      <c r="F276" s="1156"/>
      <c r="G276" s="1158"/>
      <c r="H276" s="405" t="s">
        <v>46</v>
      </c>
      <c r="I276" s="1493">
        <f t="shared" ref="I276:J276" ca="1" si="124">I287</f>
        <v>0</v>
      </c>
      <c r="J276" s="1493">
        <f t="shared" si="124"/>
        <v>0</v>
      </c>
      <c r="K276" s="1161">
        <f t="shared" ca="1" si="123"/>
        <v>0</v>
      </c>
      <c r="L276" s="1161"/>
      <c r="M276" s="1161"/>
      <c r="N276" s="1161"/>
      <c r="O276" s="1161"/>
      <c r="P276" s="1161"/>
    </row>
    <row r="277" spans="1:26" ht="19.5" hidden="1">
      <c r="A277" s="985"/>
      <c r="B277" s="986"/>
      <c r="C277" s="987" t="s">
        <v>16</v>
      </c>
      <c r="D277" s="988" t="s">
        <v>17</v>
      </c>
      <c r="E277" s="986"/>
      <c r="F277" s="986"/>
      <c r="G277" s="989"/>
      <c r="H277" s="152" t="s">
        <v>12</v>
      </c>
      <c r="I277" s="990"/>
      <c r="J277" s="990"/>
      <c r="K277" s="991"/>
      <c r="L277" s="992">
        <f t="shared" ref="L277:N277" ca="1" si="125">L278+L279</f>
        <v>0</v>
      </c>
      <c r="M277" s="992">
        <f t="shared" ca="1" si="125"/>
        <v>0</v>
      </c>
      <c r="N277" s="992">
        <f t="shared" ca="1" si="125"/>
        <v>0</v>
      </c>
      <c r="O277" s="992">
        <f t="shared" ref="O277:O285" ca="1" si="126">IF(L277&gt;0,N277*100/L277,0)</f>
        <v>0</v>
      </c>
      <c r="P277" s="992">
        <f t="shared" ref="P277:P285" ca="1" si="127">IF(M277&gt;0,N277*100/M277,0)</f>
        <v>0</v>
      </c>
      <c r="Q277" s="868"/>
      <c r="R277" s="868"/>
      <c r="S277" s="868"/>
      <c r="T277" s="868"/>
      <c r="U277" s="868"/>
      <c r="V277" s="868"/>
      <c r="W277" s="868"/>
      <c r="X277" s="868"/>
      <c r="Y277" s="868"/>
      <c r="Z277" s="868"/>
    </row>
    <row r="278" spans="1:26" ht="18.75" hidden="1">
      <c r="A278" s="993"/>
      <c r="B278" s="883"/>
      <c r="C278" s="883"/>
      <c r="D278" s="883"/>
      <c r="E278" s="884" t="s">
        <v>18</v>
      </c>
      <c r="F278" s="883"/>
      <c r="G278" s="994"/>
      <c r="H278" s="158" t="s">
        <v>12</v>
      </c>
      <c r="I278" s="886"/>
      <c r="J278" s="886"/>
      <c r="K278" s="887"/>
      <c r="L278" s="887">
        <f t="shared" ref="L278:N279" si="128">L281+L284</f>
        <v>0</v>
      </c>
      <c r="M278" s="887">
        <f t="shared" si="128"/>
        <v>0</v>
      </c>
      <c r="N278" s="887">
        <f t="shared" si="128"/>
        <v>0</v>
      </c>
      <c r="O278" s="887">
        <f t="shared" si="126"/>
        <v>0</v>
      </c>
      <c r="P278" s="887">
        <f t="shared" si="127"/>
        <v>0</v>
      </c>
      <c r="Q278" s="875"/>
      <c r="R278" s="875"/>
      <c r="S278" s="875"/>
      <c r="T278" s="875"/>
      <c r="U278" s="875"/>
      <c r="V278" s="875"/>
      <c r="W278" s="875"/>
      <c r="X278" s="875"/>
      <c r="Y278" s="875"/>
      <c r="Z278" s="875"/>
    </row>
    <row r="279" spans="1:26" ht="18.75" hidden="1">
      <c r="A279" s="993"/>
      <c r="B279" s="883"/>
      <c r="C279" s="883"/>
      <c r="D279" s="883"/>
      <c r="E279" s="884" t="s">
        <v>19</v>
      </c>
      <c r="F279" s="883"/>
      <c r="G279" s="994"/>
      <c r="H279" s="158" t="s">
        <v>12</v>
      </c>
      <c r="I279" s="886"/>
      <c r="J279" s="886"/>
      <c r="K279" s="887"/>
      <c r="L279" s="887">
        <f t="shared" ca="1" si="128"/>
        <v>0</v>
      </c>
      <c r="M279" s="887">
        <f t="shared" ca="1" si="128"/>
        <v>0</v>
      </c>
      <c r="N279" s="887">
        <f t="shared" ca="1" si="128"/>
        <v>0</v>
      </c>
      <c r="O279" s="887">
        <f t="shared" ca="1" si="126"/>
        <v>0</v>
      </c>
      <c r="P279" s="887">
        <f t="shared" ca="1" si="127"/>
        <v>0</v>
      </c>
      <c r="Q279" s="875"/>
      <c r="R279" s="875"/>
      <c r="S279" s="875"/>
      <c r="T279" s="875"/>
      <c r="U279" s="875"/>
      <c r="V279" s="875"/>
      <c r="W279" s="875"/>
      <c r="X279" s="875"/>
      <c r="Y279" s="875"/>
      <c r="Z279" s="875"/>
    </row>
    <row r="280" spans="1:26" ht="18.75" hidden="1">
      <c r="A280" s="995"/>
      <c r="B280" s="877"/>
      <c r="C280" s="996"/>
      <c r="D280" s="878" t="s">
        <v>20</v>
      </c>
      <c r="E280" s="877"/>
      <c r="F280" s="877"/>
      <c r="G280" s="879"/>
      <c r="H280" s="161" t="s">
        <v>12</v>
      </c>
      <c r="I280" s="997"/>
      <c r="J280" s="997"/>
      <c r="K280" s="998"/>
      <c r="L280" s="881">
        <f t="shared" ref="L280:N280" ca="1" si="129">L281+L282</f>
        <v>0</v>
      </c>
      <c r="M280" s="881">
        <f t="shared" ca="1" si="129"/>
        <v>0</v>
      </c>
      <c r="N280" s="881">
        <f t="shared" ca="1" si="129"/>
        <v>0</v>
      </c>
      <c r="O280" s="881">
        <f t="shared" ca="1" si="126"/>
        <v>0</v>
      </c>
      <c r="P280" s="881">
        <f t="shared" ca="1" si="127"/>
        <v>0</v>
      </c>
      <c r="Q280" s="868"/>
      <c r="R280" s="868"/>
      <c r="S280" s="868"/>
      <c r="T280" s="868"/>
      <c r="U280" s="868"/>
      <c r="V280" s="868"/>
      <c r="W280" s="868"/>
      <c r="X280" s="868"/>
      <c r="Y280" s="868"/>
      <c r="Z280" s="868"/>
    </row>
    <row r="281" spans="1:26" ht="19.5" hidden="1">
      <c r="A281" s="993"/>
      <c r="B281" s="883"/>
      <c r="C281" s="999"/>
      <c r="D281" s="883"/>
      <c r="E281" s="884" t="s">
        <v>36</v>
      </c>
      <c r="F281" s="883"/>
      <c r="G281" s="994"/>
      <c r="H281" s="165" t="s">
        <v>12</v>
      </c>
      <c r="I281" s="1000"/>
      <c r="J281" s="1000"/>
      <c r="K281" s="1001"/>
      <c r="L281" s="887">
        <v>0</v>
      </c>
      <c r="M281" s="887">
        <v>0</v>
      </c>
      <c r="N281" s="887">
        <v>0</v>
      </c>
      <c r="O281" s="887">
        <f t="shared" si="126"/>
        <v>0</v>
      </c>
      <c r="P281" s="887">
        <f t="shared" si="127"/>
        <v>0</v>
      </c>
      <c r="Q281" s="875"/>
      <c r="R281" s="875"/>
      <c r="S281" s="875"/>
      <c r="T281" s="875"/>
      <c r="U281" s="875"/>
      <c r="V281" s="875"/>
      <c r="W281" s="875"/>
      <c r="X281" s="875"/>
      <c r="Y281" s="875"/>
      <c r="Z281" s="875"/>
    </row>
    <row r="282" spans="1:26" ht="19.5" hidden="1">
      <c r="A282" s="993"/>
      <c r="B282" s="883"/>
      <c r="C282" s="999"/>
      <c r="D282" s="883"/>
      <c r="E282" s="884" t="s">
        <v>37</v>
      </c>
      <c r="F282" s="883"/>
      <c r="G282" s="994"/>
      <c r="H282" s="165" t="s">
        <v>12</v>
      </c>
      <c r="I282" s="1000"/>
      <c r="J282" s="1000"/>
      <c r="K282" s="1001"/>
      <c r="L282" s="887">
        <f ca="1">IFERROR(__xludf.DUMMYFUNCTION("IMPORTRANGE(""https://docs.google.com/spreadsheets/d/1MeEWN-I1oV_STSDYn1IFDPWt_1FKiwhDph83XaGc0o0/edit?usp=sharing"",""งบพรบ!DI84"")"),0)</f>
        <v>0</v>
      </c>
      <c r="M282" s="887">
        <f ca="1">IFERROR(__xludf.DUMMYFUNCTION("IMPORTRANGE(""https://docs.google.com/spreadsheets/d/1MeEWN-I1oV_STSDYn1IFDPWt_1FKiwhDph83XaGc0o0/edit?usp=sharing"",""งบพรบ!DN84"")"),0)</f>
        <v>0</v>
      </c>
      <c r="N282" s="887">
        <f ca="1">IFERROR(__xludf.DUMMYFUNCTION("IMPORTRANGE(""https://docs.google.com/spreadsheets/d/1MeEWN-I1oV_STSDYn1IFDPWt_1FKiwhDph83XaGc0o0/edit?usp=sharing"",""งบพรบ!DP84"")"),0)</f>
        <v>0</v>
      </c>
      <c r="O282" s="887">
        <f t="shared" ca="1" si="126"/>
        <v>0</v>
      </c>
      <c r="P282" s="887">
        <f t="shared" ca="1" si="127"/>
        <v>0</v>
      </c>
      <c r="Q282" s="875"/>
      <c r="R282" s="875"/>
      <c r="S282" s="875"/>
      <c r="T282" s="875"/>
      <c r="U282" s="875"/>
      <c r="V282" s="875"/>
      <c r="W282" s="875"/>
      <c r="X282" s="875"/>
      <c r="Y282" s="875"/>
      <c r="Z282" s="875"/>
    </row>
    <row r="283" spans="1:26" ht="18.75" hidden="1">
      <c r="A283" s="995"/>
      <c r="B283" s="877"/>
      <c r="C283" s="996"/>
      <c r="D283" s="878" t="s">
        <v>21</v>
      </c>
      <c r="E283" s="877"/>
      <c r="F283" s="877"/>
      <c r="G283" s="879"/>
      <c r="H283" s="168" t="s">
        <v>12</v>
      </c>
      <c r="I283" s="997"/>
      <c r="J283" s="997"/>
      <c r="K283" s="998"/>
      <c r="L283" s="881">
        <f t="shared" ref="L283:N283" ca="1" si="130">L284+L285</f>
        <v>0</v>
      </c>
      <c r="M283" s="881">
        <f t="shared" ca="1" si="130"/>
        <v>0</v>
      </c>
      <c r="N283" s="881">
        <f t="shared" ca="1" si="130"/>
        <v>0</v>
      </c>
      <c r="O283" s="881">
        <f t="shared" ca="1" si="126"/>
        <v>0</v>
      </c>
      <c r="P283" s="881">
        <f t="shared" ca="1" si="127"/>
        <v>0</v>
      </c>
      <c r="Q283" s="868"/>
      <c r="R283" s="868"/>
      <c r="S283" s="868"/>
      <c r="T283" s="868"/>
      <c r="U283" s="868"/>
      <c r="V283" s="868"/>
      <c r="W283" s="868"/>
      <c r="X283" s="868"/>
      <c r="Y283" s="868"/>
      <c r="Z283" s="868"/>
    </row>
    <row r="284" spans="1:26" ht="19.5" hidden="1">
      <c r="A284" s="993"/>
      <c r="B284" s="883"/>
      <c r="C284" s="999"/>
      <c r="D284" s="883"/>
      <c r="E284" s="884" t="s">
        <v>18</v>
      </c>
      <c r="F284" s="883"/>
      <c r="G284" s="994"/>
      <c r="H284" s="165" t="s">
        <v>12</v>
      </c>
      <c r="I284" s="1000"/>
      <c r="J284" s="1000"/>
      <c r="K284" s="1001"/>
      <c r="L284" s="887">
        <v>0</v>
      </c>
      <c r="M284" s="887">
        <v>0</v>
      </c>
      <c r="N284" s="887">
        <v>0</v>
      </c>
      <c r="O284" s="887">
        <f t="shared" si="126"/>
        <v>0</v>
      </c>
      <c r="P284" s="887">
        <f t="shared" si="127"/>
        <v>0</v>
      </c>
      <c r="Q284" s="875"/>
      <c r="R284" s="875"/>
      <c r="S284" s="875"/>
      <c r="T284" s="875"/>
      <c r="U284" s="875"/>
      <c r="V284" s="875"/>
      <c r="W284" s="875"/>
      <c r="X284" s="875"/>
      <c r="Y284" s="875"/>
      <c r="Z284" s="875"/>
    </row>
    <row r="285" spans="1:26" ht="19.5" hidden="1">
      <c r="A285" s="993"/>
      <c r="B285" s="883"/>
      <c r="C285" s="999"/>
      <c r="D285" s="883"/>
      <c r="E285" s="884" t="s">
        <v>19</v>
      </c>
      <c r="F285" s="883"/>
      <c r="G285" s="994"/>
      <c r="H285" s="169" t="s">
        <v>12</v>
      </c>
      <c r="I285" s="1000"/>
      <c r="J285" s="1000"/>
      <c r="K285" s="1001"/>
      <c r="L285" s="887">
        <f ca="1">IFERROR(__xludf.DUMMYFUNCTION("IMPORTRANGE(""https://docs.google.com/spreadsheets/d/1MeEWN-I1oV_STSDYn1IFDPWt_1FKiwhDph83XaGc0o0/edit?usp=sharing"",""งบพรบ!DL84"")"),0)</f>
        <v>0</v>
      </c>
      <c r="M285" s="887">
        <f ca="1">IFERROR(__xludf.DUMMYFUNCTION("IMPORTRANGE(""https://docs.google.com/spreadsheets/d/1MeEWN-I1oV_STSDYn1IFDPWt_1FKiwhDph83XaGc0o0/edit?usp=sharing"",""งบพรบ!DO84"")"),0)</f>
        <v>0</v>
      </c>
      <c r="N285" s="887">
        <f ca="1">IFERROR(__xludf.DUMMYFUNCTION("IMPORTRANGE(""https://docs.google.com/spreadsheets/d/1MeEWN-I1oV_STSDYn1IFDPWt_1FKiwhDph83XaGc0o0/edit?usp=sharing"",""งบพรบ!DQ84"")"),0)</f>
        <v>0</v>
      </c>
      <c r="O285" s="887">
        <f t="shared" ca="1" si="126"/>
        <v>0</v>
      </c>
      <c r="P285" s="887">
        <f t="shared" ca="1" si="127"/>
        <v>0</v>
      </c>
      <c r="Q285" s="875"/>
      <c r="R285" s="875"/>
      <c r="S285" s="875"/>
      <c r="T285" s="875"/>
      <c r="U285" s="875"/>
      <c r="V285" s="875"/>
      <c r="W285" s="875"/>
      <c r="X285" s="875"/>
      <c r="Y285" s="875"/>
      <c r="Z285" s="875"/>
    </row>
    <row r="286" spans="1:26" ht="19.5" hidden="1">
      <c r="A286" s="1002"/>
      <c r="B286" s="1003"/>
      <c r="C286" s="999" t="s">
        <v>16</v>
      </c>
      <c r="D286" s="1004" t="s">
        <v>38</v>
      </c>
      <c r="E286" s="1005"/>
      <c r="F286" s="1005"/>
      <c r="G286" s="1006"/>
      <c r="H286" s="1007"/>
      <c r="I286" s="997"/>
      <c r="J286" s="997"/>
      <c r="K286" s="998"/>
      <c r="L286" s="998"/>
      <c r="M286" s="998"/>
      <c r="N286" s="998"/>
      <c r="O286" s="998"/>
      <c r="P286" s="998"/>
    </row>
    <row r="287" spans="1:26" ht="18.75" hidden="1">
      <c r="A287" s="1002"/>
      <c r="B287" s="1003"/>
      <c r="C287" s="1003"/>
      <c r="D287" s="1014" t="s">
        <v>129</v>
      </c>
      <c r="E287" s="1003"/>
      <c r="F287" s="1010"/>
      <c r="G287" s="1011"/>
      <c r="H287" s="185" t="s">
        <v>46</v>
      </c>
      <c r="I287" s="880">
        <f ca="1">IFERROR(__xludf.DUMMYFUNCTION("IMPORTRANGE(""https://docs.google.com/spreadsheets/d/1QqKyyYR6Q21VydFLVH3TRQUabQu_ym0Zz7PgGX0-kHA/edit?usp=sharing"",""แผน!EC84"")"),0)</f>
        <v>0</v>
      </c>
      <c r="J287" s="880">
        <v>0</v>
      </c>
      <c r="K287" s="998">
        <f t="shared" ref="K287:K288" ca="1" si="131">IF(I287&gt;0,J287*100/I287,0)</f>
        <v>0</v>
      </c>
      <c r="L287" s="998"/>
      <c r="M287" s="998"/>
      <c r="N287" s="998"/>
      <c r="O287" s="998"/>
      <c r="P287" s="998"/>
    </row>
    <row r="288" spans="1:26" ht="19.5" hidden="1">
      <c r="A288" s="1002"/>
      <c r="B288" s="1003"/>
      <c r="C288" s="1003"/>
      <c r="D288" s="1014" t="s">
        <v>130</v>
      </c>
      <c r="E288" s="1003"/>
      <c r="F288" s="1010"/>
      <c r="G288" s="1011"/>
      <c r="H288" s="180" t="s">
        <v>35</v>
      </c>
      <c r="I288" s="1019">
        <f ca="1">IFERROR(__xludf.DUMMYFUNCTION("IMPORTRANGE(""https://docs.google.com/spreadsheets/d/1QqKyyYR6Q21VydFLVH3TRQUabQu_ym0Zz7PgGX0-kHA/edit?usp=sharing"",""แผน!EB84"")"),0)</f>
        <v>0</v>
      </c>
      <c r="J288" s="1019">
        <f ca="1">IF(AND(J291&gt;=I288,J294&gt;=I288),J294,0)</f>
        <v>0</v>
      </c>
      <c r="K288" s="1162">
        <f t="shared" ca="1" si="131"/>
        <v>0</v>
      </c>
      <c r="L288" s="998"/>
      <c r="M288" s="998"/>
      <c r="N288" s="998"/>
      <c r="O288" s="998"/>
      <c r="P288" s="998"/>
    </row>
    <row r="289" spans="1:26" ht="19.5" hidden="1">
      <c r="A289" s="1002"/>
      <c r="B289" s="1003"/>
      <c r="C289" s="1003"/>
      <c r="D289" s="1163"/>
      <c r="E289" s="1164" t="s">
        <v>131</v>
      </c>
      <c r="F289" s="1010"/>
      <c r="G289" s="1011"/>
      <c r="H289" s="762"/>
      <c r="I289" s="997"/>
      <c r="J289" s="880"/>
      <c r="K289" s="998"/>
      <c r="L289" s="998"/>
      <c r="M289" s="998"/>
      <c r="N289" s="998"/>
      <c r="O289" s="998"/>
      <c r="P289" s="998"/>
    </row>
    <row r="290" spans="1:26" ht="19.5" hidden="1">
      <c r="A290" s="1002"/>
      <c r="B290" s="1003"/>
      <c r="C290" s="1003"/>
      <c r="D290" s="1163"/>
      <c r="E290" s="1014" t="s">
        <v>132</v>
      </c>
      <c r="F290" s="1010"/>
      <c r="G290" s="1011"/>
      <c r="H290" s="762" t="s">
        <v>35</v>
      </c>
      <c r="I290" s="997">
        <f ca="1">IFERROR(__xludf.DUMMYFUNCTION("IMPORTRANGE(""https://docs.google.com/spreadsheets/d/1QqKyyYR6Q21VydFLVH3TRQUabQu_ym0Zz7PgGX0-kHA/edit?usp=sharing"",""แผน!EB84"")"),0)</f>
        <v>0</v>
      </c>
      <c r="J290" s="1012">
        <v>0</v>
      </c>
      <c r="K290" s="998">
        <f t="shared" ref="K290:K291" ca="1" si="132">IF(I290&gt;0,J290*100/I290,0)</f>
        <v>0</v>
      </c>
      <c r="L290" s="998"/>
      <c r="M290" s="998"/>
      <c r="N290" s="998"/>
      <c r="O290" s="998"/>
      <c r="P290" s="998"/>
    </row>
    <row r="291" spans="1:26" ht="19.5" hidden="1">
      <c r="A291" s="1002"/>
      <c r="B291" s="1003"/>
      <c r="C291" s="1003"/>
      <c r="D291" s="1010"/>
      <c r="E291" s="1014" t="s">
        <v>338</v>
      </c>
      <c r="F291" s="1010"/>
      <c r="G291" s="1011"/>
      <c r="H291" s="762" t="s">
        <v>35</v>
      </c>
      <c r="I291" s="997">
        <f ca="1">IFERROR(__xludf.DUMMYFUNCTION("IMPORTRANGE(""https://docs.google.com/spreadsheets/d/1QqKyyYR6Q21VydFLVH3TRQUabQu_ym0Zz7PgGX0-kHA/edit?usp=sharing"",""แผน!EB84"")"),0)</f>
        <v>0</v>
      </c>
      <c r="J291" s="1012">
        <v>0</v>
      </c>
      <c r="K291" s="998">
        <f t="shared" ca="1" si="132"/>
        <v>0</v>
      </c>
      <c r="L291" s="998"/>
      <c r="M291" s="998"/>
      <c r="N291" s="998"/>
      <c r="O291" s="998"/>
      <c r="P291" s="998"/>
    </row>
    <row r="292" spans="1:26" ht="19.5" hidden="1">
      <c r="A292" s="1165"/>
      <c r="B292" s="1166"/>
      <c r="C292" s="1166"/>
      <c r="D292" s="1167"/>
      <c r="E292" s="1168" t="s">
        <v>134</v>
      </c>
      <c r="F292" s="1088"/>
      <c r="G292" s="1089"/>
      <c r="H292" s="419"/>
      <c r="I292" s="1082"/>
      <c r="J292" s="990"/>
      <c r="K292" s="1083"/>
      <c r="L292" s="1083"/>
      <c r="M292" s="1083"/>
      <c r="N292" s="1083"/>
      <c r="O292" s="1083"/>
      <c r="P292" s="1083"/>
    </row>
    <row r="293" spans="1:26" ht="19.5" hidden="1">
      <c r="A293" s="1002"/>
      <c r="B293" s="1003"/>
      <c r="C293" s="1003"/>
      <c r="D293" s="1163"/>
      <c r="E293" s="1014" t="s">
        <v>132</v>
      </c>
      <c r="F293" s="1010"/>
      <c r="G293" s="1011"/>
      <c r="H293" s="762" t="s">
        <v>35</v>
      </c>
      <c r="I293" s="997">
        <f ca="1">IFERROR(__xludf.DUMMYFUNCTION("IMPORTRANGE(""https://docs.google.com/spreadsheets/d/1QqKyyYR6Q21VydFLVH3TRQUabQu_ym0Zz7PgGX0-kHA/edit?usp=sharing"",""แผน!EB84"")"),0)</f>
        <v>0</v>
      </c>
      <c r="J293" s="1012">
        <v>0</v>
      </c>
      <c r="K293" s="998">
        <f t="shared" ref="K293:K294" ca="1" si="133">IF(I293&gt;0,J293*100/I293,0)</f>
        <v>0</v>
      </c>
      <c r="L293" s="998"/>
      <c r="M293" s="998"/>
      <c r="N293" s="998"/>
      <c r="O293" s="998"/>
      <c r="P293" s="998"/>
    </row>
    <row r="294" spans="1:26" ht="19.5" hidden="1">
      <c r="A294" s="1133"/>
      <c r="B294" s="1134"/>
      <c r="C294" s="1134"/>
      <c r="D294" s="1136"/>
      <c r="E294" s="1169" t="s">
        <v>338</v>
      </c>
      <c r="F294" s="1136"/>
      <c r="G294" s="1137"/>
      <c r="H294" s="423" t="s">
        <v>35</v>
      </c>
      <c r="I294" s="1170">
        <f ca="1">IFERROR(__xludf.DUMMYFUNCTION("IMPORTRANGE(""https://docs.google.com/spreadsheets/d/1QqKyyYR6Q21VydFLVH3TRQUabQu_ym0Zz7PgGX0-kHA/edit?usp=sharing"",""แผน!EB84"")"),0)</f>
        <v>0</v>
      </c>
      <c r="J294" s="1171">
        <v>0</v>
      </c>
      <c r="K294" s="1139">
        <f t="shared" ca="1" si="133"/>
        <v>0</v>
      </c>
      <c r="L294" s="1139"/>
      <c r="M294" s="1139"/>
      <c r="N294" s="1139"/>
      <c r="O294" s="1139"/>
      <c r="P294" s="1139"/>
    </row>
    <row r="295" spans="1:26" ht="19.5">
      <c r="A295" s="1172" t="s">
        <v>137</v>
      </c>
      <c r="B295" s="1173"/>
      <c r="C295" s="1173"/>
      <c r="D295" s="1173"/>
      <c r="E295" s="1174"/>
      <c r="F295" s="1174"/>
      <c r="G295" s="1175"/>
      <c r="H295" s="1176"/>
      <c r="I295" s="1177"/>
      <c r="J295" s="1177"/>
      <c r="K295" s="1178"/>
      <c r="L295" s="1178"/>
      <c r="M295" s="1178"/>
      <c r="N295" s="1178"/>
      <c r="O295" s="1178"/>
      <c r="P295" s="1178"/>
    </row>
    <row r="296" spans="1:26" ht="19.5" hidden="1">
      <c r="A296" s="1179" t="s">
        <v>138</v>
      </c>
      <c r="B296" s="1180"/>
      <c r="C296" s="1180"/>
      <c r="D296" s="1181"/>
      <c r="E296" s="1181"/>
      <c r="F296" s="1181"/>
      <c r="G296" s="1182"/>
      <c r="H296" s="1183"/>
      <c r="I296" s="1184"/>
      <c r="J296" s="1184"/>
      <c r="K296" s="1185"/>
      <c r="L296" s="1185"/>
      <c r="M296" s="1185"/>
      <c r="N296" s="1185"/>
      <c r="O296" s="1185"/>
      <c r="P296" s="1185"/>
    </row>
    <row r="297" spans="1:26" ht="19.5" hidden="1">
      <c r="A297" s="1186"/>
      <c r="B297" s="1187" t="s">
        <v>139</v>
      </c>
      <c r="C297" s="1188"/>
      <c r="D297" s="1188"/>
      <c r="E297" s="1188"/>
      <c r="F297" s="1188"/>
      <c r="G297" s="1189"/>
      <c r="H297" s="444" t="s">
        <v>35</v>
      </c>
      <c r="I297" s="1190">
        <f t="shared" ref="I297:J297" ca="1" si="134">I309</f>
        <v>0</v>
      </c>
      <c r="J297" s="1190">
        <f t="shared" si="134"/>
        <v>0</v>
      </c>
      <c r="K297" s="1191">
        <f ca="1">IF(I297&gt;0,J297*100/I297,0)</f>
        <v>0</v>
      </c>
      <c r="L297" s="1192"/>
      <c r="M297" s="1192"/>
      <c r="N297" s="1192"/>
      <c r="O297" s="1192"/>
      <c r="P297" s="1192"/>
    </row>
    <row r="298" spans="1:26" ht="19.5" hidden="1">
      <c r="A298" s="985"/>
      <c r="B298" s="986"/>
      <c r="C298" s="987" t="s">
        <v>16</v>
      </c>
      <c r="D298" s="988" t="s">
        <v>17</v>
      </c>
      <c r="E298" s="986"/>
      <c r="F298" s="986"/>
      <c r="G298" s="989"/>
      <c r="H298" s="152" t="s">
        <v>12</v>
      </c>
      <c r="I298" s="990"/>
      <c r="J298" s="990"/>
      <c r="K298" s="991"/>
      <c r="L298" s="992">
        <f t="shared" ref="L298:N298" ca="1" si="135">L299+L300</f>
        <v>0</v>
      </c>
      <c r="M298" s="992">
        <f t="shared" ca="1" si="135"/>
        <v>0</v>
      </c>
      <c r="N298" s="992">
        <f t="shared" ca="1" si="135"/>
        <v>0</v>
      </c>
      <c r="O298" s="992">
        <f t="shared" ref="O298:O306" ca="1" si="136">IF(L298&gt;0,N298*100/L298,0)</f>
        <v>0</v>
      </c>
      <c r="P298" s="992">
        <f t="shared" ref="P298:P306" ca="1" si="137">IF(M298&gt;0,N298*100/M298,0)</f>
        <v>0</v>
      </c>
      <c r="Q298" s="868"/>
      <c r="R298" s="868"/>
      <c r="S298" s="868"/>
      <c r="T298" s="868"/>
      <c r="U298" s="868"/>
      <c r="V298" s="868"/>
      <c r="W298" s="868"/>
      <c r="X298" s="868"/>
      <c r="Y298" s="868"/>
      <c r="Z298" s="868"/>
    </row>
    <row r="299" spans="1:26" ht="18.75" hidden="1">
      <c r="A299" s="993"/>
      <c r="B299" s="883"/>
      <c r="C299" s="883"/>
      <c r="D299" s="883"/>
      <c r="E299" s="884" t="s">
        <v>18</v>
      </c>
      <c r="F299" s="883"/>
      <c r="G299" s="994"/>
      <c r="H299" s="158" t="s">
        <v>12</v>
      </c>
      <c r="I299" s="886"/>
      <c r="J299" s="886"/>
      <c r="K299" s="887"/>
      <c r="L299" s="887">
        <f t="shared" ref="L299:N300" si="138">L302+L305</f>
        <v>0</v>
      </c>
      <c r="M299" s="887">
        <f t="shared" si="138"/>
        <v>0</v>
      </c>
      <c r="N299" s="887">
        <f t="shared" si="138"/>
        <v>0</v>
      </c>
      <c r="O299" s="887">
        <f t="shared" si="136"/>
        <v>0</v>
      </c>
      <c r="P299" s="887">
        <f t="shared" si="137"/>
        <v>0</v>
      </c>
      <c r="Q299" s="875"/>
      <c r="R299" s="875"/>
      <c r="S299" s="875"/>
      <c r="T299" s="875"/>
      <c r="U299" s="875"/>
      <c r="V299" s="875"/>
      <c r="W299" s="875"/>
      <c r="X299" s="875"/>
      <c r="Y299" s="875"/>
      <c r="Z299" s="875"/>
    </row>
    <row r="300" spans="1:26" ht="18.75" hidden="1">
      <c r="A300" s="993"/>
      <c r="B300" s="883"/>
      <c r="C300" s="883"/>
      <c r="D300" s="883"/>
      <c r="E300" s="884" t="s">
        <v>19</v>
      </c>
      <c r="F300" s="883"/>
      <c r="G300" s="994"/>
      <c r="H300" s="158" t="s">
        <v>12</v>
      </c>
      <c r="I300" s="886"/>
      <c r="J300" s="886"/>
      <c r="K300" s="887"/>
      <c r="L300" s="887">
        <f t="shared" ca="1" si="138"/>
        <v>0</v>
      </c>
      <c r="M300" s="887">
        <f t="shared" ca="1" si="138"/>
        <v>0</v>
      </c>
      <c r="N300" s="887">
        <f t="shared" ca="1" si="138"/>
        <v>0</v>
      </c>
      <c r="O300" s="887">
        <f t="shared" ca="1" si="136"/>
        <v>0</v>
      </c>
      <c r="P300" s="887">
        <f t="shared" ca="1" si="137"/>
        <v>0</v>
      </c>
      <c r="Q300" s="875"/>
      <c r="R300" s="875"/>
      <c r="S300" s="875"/>
      <c r="T300" s="875"/>
      <c r="U300" s="875"/>
      <c r="V300" s="875"/>
      <c r="W300" s="875"/>
      <c r="X300" s="875"/>
      <c r="Y300" s="875"/>
      <c r="Z300" s="875"/>
    </row>
    <row r="301" spans="1:26" ht="18.75" hidden="1">
      <c r="A301" s="995"/>
      <c r="B301" s="877"/>
      <c r="C301" s="996"/>
      <c r="D301" s="878" t="s">
        <v>20</v>
      </c>
      <c r="E301" s="877"/>
      <c r="F301" s="877"/>
      <c r="G301" s="879"/>
      <c r="H301" s="161" t="s">
        <v>12</v>
      </c>
      <c r="I301" s="997"/>
      <c r="J301" s="997"/>
      <c r="K301" s="998"/>
      <c r="L301" s="881">
        <f t="shared" ref="L301:N301" ca="1" si="139">L302+L303</f>
        <v>0</v>
      </c>
      <c r="M301" s="881">
        <f t="shared" ca="1" si="139"/>
        <v>0</v>
      </c>
      <c r="N301" s="881">
        <f t="shared" ca="1" si="139"/>
        <v>0</v>
      </c>
      <c r="O301" s="881">
        <f t="shared" ca="1" si="136"/>
        <v>0</v>
      </c>
      <c r="P301" s="881">
        <f t="shared" ca="1" si="137"/>
        <v>0</v>
      </c>
      <c r="Q301" s="868"/>
      <c r="R301" s="868"/>
      <c r="S301" s="868"/>
      <c r="T301" s="868"/>
      <c r="U301" s="868"/>
      <c r="V301" s="868"/>
      <c r="W301" s="868"/>
      <c r="X301" s="868"/>
      <c r="Y301" s="868"/>
      <c r="Z301" s="868"/>
    </row>
    <row r="302" spans="1:26" ht="19.5" hidden="1">
      <c r="A302" s="993"/>
      <c r="B302" s="883"/>
      <c r="C302" s="999"/>
      <c r="D302" s="883"/>
      <c r="E302" s="884" t="s">
        <v>36</v>
      </c>
      <c r="F302" s="883"/>
      <c r="G302" s="994"/>
      <c r="H302" s="165" t="s">
        <v>12</v>
      </c>
      <c r="I302" s="1000"/>
      <c r="J302" s="1000"/>
      <c r="K302" s="1001"/>
      <c r="L302" s="887">
        <v>0</v>
      </c>
      <c r="M302" s="887">
        <v>0</v>
      </c>
      <c r="N302" s="887">
        <v>0</v>
      </c>
      <c r="O302" s="887">
        <f t="shared" si="136"/>
        <v>0</v>
      </c>
      <c r="P302" s="887">
        <f t="shared" si="137"/>
        <v>0</v>
      </c>
      <c r="Q302" s="875"/>
      <c r="R302" s="875"/>
      <c r="S302" s="875"/>
      <c r="T302" s="875"/>
      <c r="U302" s="875"/>
      <c r="V302" s="875"/>
      <c r="W302" s="875"/>
      <c r="X302" s="875"/>
      <c r="Y302" s="875"/>
      <c r="Z302" s="875"/>
    </row>
    <row r="303" spans="1:26" ht="19.5" hidden="1">
      <c r="A303" s="993"/>
      <c r="B303" s="883"/>
      <c r="C303" s="999"/>
      <c r="D303" s="883"/>
      <c r="E303" s="884" t="s">
        <v>37</v>
      </c>
      <c r="F303" s="883"/>
      <c r="G303" s="994"/>
      <c r="H303" s="165" t="s">
        <v>12</v>
      </c>
      <c r="I303" s="1000"/>
      <c r="J303" s="1000"/>
      <c r="K303" s="1001"/>
      <c r="L303" s="887">
        <f ca="1">IFERROR(__xludf.DUMMYFUNCTION("IMPORTRANGE(""https://docs.google.com/spreadsheets/d/1MeEWN-I1oV_STSDYn1IFDPWt_1FKiwhDph83XaGc0o0/edit?usp=sharing"",""งบพรบ!DS84"")"),0)</f>
        <v>0</v>
      </c>
      <c r="M303" s="887">
        <f ca="1">IFERROR(__xludf.DUMMYFUNCTION("IMPORTRANGE(""https://docs.google.com/spreadsheets/d/1MeEWN-I1oV_STSDYn1IFDPWt_1FKiwhDph83XaGc0o0/edit?usp=sharing"",""งบพรบ!DX84"")"),0)</f>
        <v>0</v>
      </c>
      <c r="N303" s="887">
        <f ca="1">IFERROR(__xludf.DUMMYFUNCTION("IMPORTRANGE(""https://docs.google.com/spreadsheets/d/1MeEWN-I1oV_STSDYn1IFDPWt_1FKiwhDph83XaGc0o0/edit?usp=sharing"",""งบพรบ!DZ84"")"),0)</f>
        <v>0</v>
      </c>
      <c r="O303" s="887">
        <f t="shared" ca="1" si="136"/>
        <v>0</v>
      </c>
      <c r="P303" s="887">
        <f t="shared" ca="1" si="137"/>
        <v>0</v>
      </c>
      <c r="Q303" s="875"/>
      <c r="R303" s="875"/>
      <c r="S303" s="875"/>
      <c r="T303" s="875"/>
      <c r="U303" s="875"/>
      <c r="V303" s="875"/>
      <c r="W303" s="875"/>
      <c r="X303" s="875"/>
      <c r="Y303" s="875"/>
      <c r="Z303" s="875"/>
    </row>
    <row r="304" spans="1:26" ht="18.75" hidden="1">
      <c r="A304" s="995"/>
      <c r="B304" s="877"/>
      <c r="C304" s="996"/>
      <c r="D304" s="878" t="s">
        <v>21</v>
      </c>
      <c r="E304" s="877"/>
      <c r="F304" s="877"/>
      <c r="G304" s="879"/>
      <c r="H304" s="168" t="s">
        <v>12</v>
      </c>
      <c r="I304" s="997"/>
      <c r="J304" s="997"/>
      <c r="K304" s="998"/>
      <c r="L304" s="881">
        <f t="shared" ref="L304:N304" ca="1" si="140">L305+L306</f>
        <v>0</v>
      </c>
      <c r="M304" s="881">
        <f t="shared" ca="1" si="140"/>
        <v>0</v>
      </c>
      <c r="N304" s="881">
        <f t="shared" ca="1" si="140"/>
        <v>0</v>
      </c>
      <c r="O304" s="881">
        <f t="shared" ca="1" si="136"/>
        <v>0</v>
      </c>
      <c r="P304" s="881">
        <f t="shared" ca="1" si="137"/>
        <v>0</v>
      </c>
      <c r="Q304" s="868"/>
      <c r="R304" s="868"/>
      <c r="S304" s="868"/>
      <c r="T304" s="868"/>
      <c r="U304" s="868"/>
      <c r="V304" s="868"/>
      <c r="W304" s="868"/>
      <c r="X304" s="868"/>
      <c r="Y304" s="868"/>
      <c r="Z304" s="868"/>
    </row>
    <row r="305" spans="1:26" ht="19.5" hidden="1">
      <c r="A305" s="993"/>
      <c r="B305" s="883"/>
      <c r="C305" s="999"/>
      <c r="D305" s="883"/>
      <c r="E305" s="884" t="s">
        <v>18</v>
      </c>
      <c r="F305" s="883"/>
      <c r="G305" s="994"/>
      <c r="H305" s="165" t="s">
        <v>12</v>
      </c>
      <c r="I305" s="1000"/>
      <c r="J305" s="1000"/>
      <c r="K305" s="1001"/>
      <c r="L305" s="887">
        <v>0</v>
      </c>
      <c r="M305" s="887">
        <v>0</v>
      </c>
      <c r="N305" s="887">
        <v>0</v>
      </c>
      <c r="O305" s="887">
        <f t="shared" si="136"/>
        <v>0</v>
      </c>
      <c r="P305" s="887">
        <f t="shared" si="137"/>
        <v>0</v>
      </c>
      <c r="Q305" s="875"/>
      <c r="R305" s="875"/>
      <c r="S305" s="875"/>
      <c r="T305" s="875"/>
      <c r="U305" s="875"/>
      <c r="V305" s="875"/>
      <c r="W305" s="875"/>
      <c r="X305" s="875"/>
      <c r="Y305" s="875"/>
      <c r="Z305" s="875"/>
    </row>
    <row r="306" spans="1:26" ht="19.5" hidden="1">
      <c r="A306" s="993"/>
      <c r="B306" s="883"/>
      <c r="C306" s="999"/>
      <c r="D306" s="883"/>
      <c r="E306" s="884" t="s">
        <v>19</v>
      </c>
      <c r="F306" s="883"/>
      <c r="G306" s="994"/>
      <c r="H306" s="169" t="s">
        <v>12</v>
      </c>
      <c r="I306" s="1000"/>
      <c r="J306" s="1000"/>
      <c r="K306" s="1001"/>
      <c r="L306" s="887">
        <f ca="1">IFERROR(__xludf.DUMMYFUNCTION("IMPORTRANGE(""https://docs.google.com/spreadsheets/d/1MeEWN-I1oV_STSDYn1IFDPWt_1FKiwhDph83XaGc0o0/edit?usp=sharing"",""งบพรบ!DV84"")"),0)</f>
        <v>0</v>
      </c>
      <c r="M306" s="887">
        <f ca="1">IFERROR(__xludf.DUMMYFUNCTION("IMPORTRANGE(""https://docs.google.com/spreadsheets/d/1MeEWN-I1oV_STSDYn1IFDPWt_1FKiwhDph83XaGc0o0/edit?usp=sharing"",""งบพรบ!DY84"")"),0)</f>
        <v>0</v>
      </c>
      <c r="N306" s="887">
        <f ca="1">IFERROR(__xludf.DUMMYFUNCTION("IMPORTRANGE(""https://docs.google.com/spreadsheets/d/1MeEWN-I1oV_STSDYn1IFDPWt_1FKiwhDph83XaGc0o0/edit?usp=sharing"",""งบพรบ!EA84"")"),0)</f>
        <v>0</v>
      </c>
      <c r="O306" s="887">
        <f t="shared" ca="1" si="136"/>
        <v>0</v>
      </c>
      <c r="P306" s="887">
        <f t="shared" ca="1" si="137"/>
        <v>0</v>
      </c>
      <c r="Q306" s="875"/>
      <c r="R306" s="875"/>
      <c r="S306" s="875"/>
      <c r="T306" s="875"/>
      <c r="U306" s="875"/>
      <c r="V306" s="875"/>
      <c r="W306" s="875"/>
      <c r="X306" s="875"/>
      <c r="Y306" s="875"/>
      <c r="Z306" s="875"/>
    </row>
    <row r="307" spans="1:26" ht="19.5" hidden="1">
      <c r="A307" s="1002"/>
      <c r="B307" s="1003"/>
      <c r="C307" s="999" t="s">
        <v>16</v>
      </c>
      <c r="D307" s="1004" t="s">
        <v>38</v>
      </c>
      <c r="E307" s="1005"/>
      <c r="F307" s="1005"/>
      <c r="G307" s="1006"/>
      <c r="H307" s="1007"/>
      <c r="I307" s="880"/>
      <c r="J307" s="880"/>
      <c r="K307" s="881"/>
      <c r="L307" s="881"/>
      <c r="M307" s="881"/>
      <c r="N307" s="881"/>
      <c r="O307" s="881"/>
      <c r="P307" s="881"/>
    </row>
    <row r="308" spans="1:26" ht="18.75" hidden="1">
      <c r="A308" s="1002"/>
      <c r="B308" s="1003"/>
      <c r="C308" s="1003"/>
      <c r="D308" s="1009" t="s">
        <v>140</v>
      </c>
      <c r="E308" s="1009"/>
      <c r="F308" s="1009"/>
      <c r="G308" s="1011"/>
      <c r="H308" s="762"/>
      <c r="I308" s="880"/>
      <c r="J308" s="1012">
        <v>0</v>
      </c>
      <c r="K308" s="881"/>
      <c r="L308" s="881"/>
      <c r="M308" s="881"/>
      <c r="N308" s="881"/>
      <c r="O308" s="881"/>
      <c r="P308" s="881"/>
    </row>
    <row r="309" spans="1:26" ht="18.75" hidden="1">
      <c r="A309" s="1002"/>
      <c r="B309" s="1003"/>
      <c r="C309" s="1003"/>
      <c r="D309" s="1009" t="s">
        <v>141</v>
      </c>
      <c r="E309" s="1009"/>
      <c r="F309" s="1009"/>
      <c r="G309" s="1011"/>
      <c r="H309" s="762" t="s">
        <v>35</v>
      </c>
      <c r="I309" s="880">
        <f ca="1">IFERROR(__xludf.DUMMYFUNCTION("IMPORTRANGE(""https://docs.google.com/spreadsheets/d/1QqKyyYR6Q21VydFLVH3TRQUabQu_ym0Zz7PgGX0-kHA/edit?usp=sharing"",""แผน!ED84"")"),0)</f>
        <v>0</v>
      </c>
      <c r="J309" s="1012">
        <v>0</v>
      </c>
      <c r="K309" s="881">
        <f t="shared" ref="K309:K312" ca="1" si="141">IF(I309&gt;0,J309*100/I309,0)</f>
        <v>0</v>
      </c>
      <c r="L309" s="881"/>
      <c r="M309" s="881"/>
      <c r="N309" s="881"/>
      <c r="O309" s="881"/>
      <c r="P309" s="881"/>
    </row>
    <row r="310" spans="1:26" ht="18.75" hidden="1">
      <c r="A310" s="1002"/>
      <c r="B310" s="1003"/>
      <c r="C310" s="1003"/>
      <c r="D310" s="1009" t="s">
        <v>142</v>
      </c>
      <c r="E310" s="1009"/>
      <c r="F310" s="1009"/>
      <c r="G310" s="1011"/>
      <c r="H310" s="762" t="s">
        <v>35</v>
      </c>
      <c r="I310" s="880">
        <f ca="1">IFERROR(__xludf.DUMMYFUNCTION("IMPORTRANGE(""https://docs.google.com/spreadsheets/d/1QqKyyYR6Q21VydFLVH3TRQUabQu_ym0Zz7PgGX0-kHA/edit?usp=sharing"",""แผน!ED84"")"),0)</f>
        <v>0</v>
      </c>
      <c r="J310" s="1012">
        <v>0</v>
      </c>
      <c r="K310" s="881">
        <f t="shared" ca="1" si="141"/>
        <v>0</v>
      </c>
      <c r="L310" s="881"/>
      <c r="M310" s="881"/>
      <c r="N310" s="881"/>
      <c r="O310" s="881"/>
      <c r="P310" s="881"/>
    </row>
    <row r="311" spans="1:26" ht="18.75" hidden="1">
      <c r="A311" s="1002"/>
      <c r="B311" s="1003"/>
      <c r="C311" s="1003"/>
      <c r="D311" s="1009" t="s">
        <v>59</v>
      </c>
      <c r="E311" s="1009"/>
      <c r="F311" s="1009"/>
      <c r="G311" s="1011"/>
      <c r="H311" s="762" t="s">
        <v>35</v>
      </c>
      <c r="I311" s="880">
        <f ca="1">IFERROR(__xludf.DUMMYFUNCTION("IMPORTRANGE(""https://docs.google.com/spreadsheets/d/1QqKyyYR6Q21VydFLVH3TRQUabQu_ym0Zz7PgGX0-kHA/edit?usp=sharing"",""แผน!ED84"")"),0)</f>
        <v>0</v>
      </c>
      <c r="J311" s="1012">
        <v>0</v>
      </c>
      <c r="K311" s="881">
        <f t="shared" ca="1" si="141"/>
        <v>0</v>
      </c>
      <c r="L311" s="881"/>
      <c r="M311" s="881"/>
      <c r="N311" s="881"/>
      <c r="O311" s="881"/>
      <c r="P311" s="881"/>
    </row>
    <row r="312" spans="1:26" ht="18.75" hidden="1">
      <c r="A312" s="1002"/>
      <c r="B312" s="1003"/>
      <c r="C312" s="1003"/>
      <c r="D312" s="1009" t="s">
        <v>143</v>
      </c>
      <c r="E312" s="1009"/>
      <c r="F312" s="1009"/>
      <c r="G312" s="1011"/>
      <c r="H312" s="762" t="s">
        <v>35</v>
      </c>
      <c r="I312" s="880">
        <f ca="1">IFERROR(__xludf.DUMMYFUNCTION("IMPORTRANGE(""https://docs.google.com/spreadsheets/d/1QqKyyYR6Q21VydFLVH3TRQUabQu_ym0Zz7PgGX0-kHA/edit?usp=sharing"",""แผน!EE84"")"),0)</f>
        <v>0</v>
      </c>
      <c r="J312" s="1012">
        <v>0</v>
      </c>
      <c r="K312" s="881">
        <f t="shared" ca="1" si="141"/>
        <v>0</v>
      </c>
      <c r="L312" s="881"/>
      <c r="M312" s="881"/>
      <c r="N312" s="881"/>
      <c r="O312" s="881"/>
      <c r="P312" s="881"/>
    </row>
    <row r="313" spans="1:26" ht="19.5" hidden="1">
      <c r="A313" s="1179" t="s">
        <v>144</v>
      </c>
      <c r="B313" s="1180"/>
      <c r="C313" s="1180"/>
      <c r="D313" s="1181"/>
      <c r="E313" s="1180"/>
      <c r="F313" s="1180"/>
      <c r="G313" s="1180"/>
      <c r="H313" s="1193"/>
      <c r="I313" s="1184"/>
      <c r="J313" s="1184"/>
      <c r="K313" s="1185"/>
      <c r="L313" s="1185"/>
      <c r="M313" s="1185"/>
      <c r="N313" s="1185"/>
      <c r="O313" s="1185"/>
      <c r="P313" s="1185"/>
    </row>
    <row r="314" spans="1:26" ht="19.5" hidden="1">
      <c r="A314" s="1194"/>
      <c r="B314" s="1187" t="s">
        <v>145</v>
      </c>
      <c r="C314" s="1195"/>
      <c r="D314" s="1196"/>
      <c r="E314" s="1188"/>
      <c r="F314" s="1188"/>
      <c r="G314" s="1189"/>
      <c r="H314" s="444" t="s">
        <v>146</v>
      </c>
      <c r="I314" s="1190">
        <f t="shared" ref="I314:J314" ca="1" si="142">I325</f>
        <v>0</v>
      </c>
      <c r="J314" s="1190">
        <f t="shared" si="142"/>
        <v>0</v>
      </c>
      <c r="K314" s="1191">
        <f ca="1">IF(I314&gt;0,J314*100/I314,0)</f>
        <v>0</v>
      </c>
      <c r="L314" s="1192"/>
      <c r="M314" s="1192"/>
      <c r="N314" s="1192"/>
      <c r="O314" s="1192"/>
      <c r="P314" s="1192"/>
    </row>
    <row r="315" spans="1:26" ht="19.5" hidden="1">
      <c r="A315" s="985"/>
      <c r="B315" s="986"/>
      <c r="C315" s="987" t="s">
        <v>16</v>
      </c>
      <c r="D315" s="988" t="s">
        <v>17</v>
      </c>
      <c r="E315" s="986"/>
      <c r="F315" s="986"/>
      <c r="G315" s="989"/>
      <c r="H315" s="152" t="s">
        <v>12</v>
      </c>
      <c r="I315" s="990"/>
      <c r="J315" s="990"/>
      <c r="K315" s="991"/>
      <c r="L315" s="992">
        <f t="shared" ref="L315:N315" ca="1" si="143">L316+L317</f>
        <v>0</v>
      </c>
      <c r="M315" s="992">
        <f t="shared" ca="1" si="143"/>
        <v>0</v>
      </c>
      <c r="N315" s="992">
        <f t="shared" ca="1" si="143"/>
        <v>0</v>
      </c>
      <c r="O315" s="992">
        <f t="shared" ref="O315:O323" ca="1" si="144">IF(L315&gt;0,N315*100/L315,0)</f>
        <v>0</v>
      </c>
      <c r="P315" s="992">
        <f t="shared" ref="P315:P323" ca="1" si="145">IF(M315&gt;0,N315*100/M315,0)</f>
        <v>0</v>
      </c>
      <c r="Q315" s="868"/>
      <c r="R315" s="868"/>
      <c r="S315" s="868"/>
      <c r="T315" s="868"/>
      <c r="U315" s="868"/>
      <c r="V315" s="868"/>
      <c r="W315" s="868"/>
      <c r="X315" s="868"/>
      <c r="Y315" s="868"/>
      <c r="Z315" s="868"/>
    </row>
    <row r="316" spans="1:26" ht="18.75" hidden="1">
      <c r="A316" s="993"/>
      <c r="B316" s="883"/>
      <c r="C316" s="883"/>
      <c r="D316" s="883"/>
      <c r="E316" s="884" t="s">
        <v>18</v>
      </c>
      <c r="F316" s="883"/>
      <c r="G316" s="994"/>
      <c r="H316" s="158" t="s">
        <v>12</v>
      </c>
      <c r="I316" s="886"/>
      <c r="J316" s="886"/>
      <c r="K316" s="887"/>
      <c r="L316" s="887">
        <f t="shared" ref="L316:N317" si="146">L319+L322</f>
        <v>0</v>
      </c>
      <c r="M316" s="887">
        <f t="shared" si="146"/>
        <v>0</v>
      </c>
      <c r="N316" s="887">
        <f t="shared" si="146"/>
        <v>0</v>
      </c>
      <c r="O316" s="887">
        <f t="shared" si="144"/>
        <v>0</v>
      </c>
      <c r="P316" s="887">
        <f t="shared" si="145"/>
        <v>0</v>
      </c>
      <c r="Q316" s="875"/>
      <c r="R316" s="875"/>
      <c r="S316" s="875"/>
      <c r="T316" s="875"/>
      <c r="U316" s="875"/>
      <c r="V316" s="875"/>
      <c r="W316" s="875"/>
      <c r="X316" s="875"/>
      <c r="Y316" s="875"/>
      <c r="Z316" s="875"/>
    </row>
    <row r="317" spans="1:26" ht="18.75" hidden="1">
      <c r="A317" s="993"/>
      <c r="B317" s="883"/>
      <c r="C317" s="883"/>
      <c r="D317" s="883"/>
      <c r="E317" s="884" t="s">
        <v>19</v>
      </c>
      <c r="F317" s="883"/>
      <c r="G317" s="994"/>
      <c r="H317" s="158" t="s">
        <v>12</v>
      </c>
      <c r="I317" s="886"/>
      <c r="J317" s="886"/>
      <c r="K317" s="887"/>
      <c r="L317" s="887">
        <f t="shared" ca="1" si="146"/>
        <v>0</v>
      </c>
      <c r="M317" s="887">
        <f t="shared" ca="1" si="146"/>
        <v>0</v>
      </c>
      <c r="N317" s="887">
        <f t="shared" ca="1" si="146"/>
        <v>0</v>
      </c>
      <c r="O317" s="887">
        <f t="shared" ca="1" si="144"/>
        <v>0</v>
      </c>
      <c r="P317" s="887">
        <f t="shared" ca="1" si="145"/>
        <v>0</v>
      </c>
      <c r="Q317" s="875"/>
      <c r="R317" s="875"/>
      <c r="S317" s="875"/>
      <c r="T317" s="875"/>
      <c r="U317" s="875"/>
      <c r="V317" s="875"/>
      <c r="W317" s="875"/>
      <c r="X317" s="875"/>
      <c r="Y317" s="875"/>
      <c r="Z317" s="875"/>
    </row>
    <row r="318" spans="1:26" ht="18.75" hidden="1">
      <c r="A318" s="995"/>
      <c r="B318" s="877"/>
      <c r="C318" s="996"/>
      <c r="D318" s="878" t="s">
        <v>20</v>
      </c>
      <c r="E318" s="877"/>
      <c r="F318" s="877"/>
      <c r="G318" s="879"/>
      <c r="H318" s="161" t="s">
        <v>12</v>
      </c>
      <c r="I318" s="997"/>
      <c r="J318" s="997"/>
      <c r="K318" s="998"/>
      <c r="L318" s="881">
        <f t="shared" ref="L318:N318" ca="1" si="147">L319+L320</f>
        <v>0</v>
      </c>
      <c r="M318" s="881">
        <f t="shared" ca="1" si="147"/>
        <v>0</v>
      </c>
      <c r="N318" s="881">
        <f t="shared" ca="1" si="147"/>
        <v>0</v>
      </c>
      <c r="O318" s="881">
        <f t="shared" ca="1" si="144"/>
        <v>0</v>
      </c>
      <c r="P318" s="881">
        <f t="shared" ca="1" si="145"/>
        <v>0</v>
      </c>
      <c r="Q318" s="868"/>
      <c r="R318" s="868"/>
      <c r="S318" s="868"/>
      <c r="T318" s="868"/>
      <c r="U318" s="868"/>
      <c r="V318" s="868"/>
      <c r="W318" s="868"/>
      <c r="X318" s="868"/>
      <c r="Y318" s="868"/>
      <c r="Z318" s="868"/>
    </row>
    <row r="319" spans="1:26" ht="19.5" hidden="1">
      <c r="A319" s="993"/>
      <c r="B319" s="883"/>
      <c r="C319" s="999"/>
      <c r="D319" s="883"/>
      <c r="E319" s="884" t="s">
        <v>36</v>
      </c>
      <c r="F319" s="883"/>
      <c r="G319" s="994"/>
      <c r="H319" s="165" t="s">
        <v>12</v>
      </c>
      <c r="I319" s="1000"/>
      <c r="J319" s="1000"/>
      <c r="K319" s="1001"/>
      <c r="L319" s="887">
        <v>0</v>
      </c>
      <c r="M319" s="887">
        <v>0</v>
      </c>
      <c r="N319" s="887">
        <v>0</v>
      </c>
      <c r="O319" s="887">
        <f t="shared" si="144"/>
        <v>0</v>
      </c>
      <c r="P319" s="887">
        <f t="shared" si="145"/>
        <v>0</v>
      </c>
      <c r="Q319" s="875"/>
      <c r="R319" s="875"/>
      <c r="S319" s="875"/>
      <c r="T319" s="875"/>
      <c r="U319" s="875"/>
      <c r="V319" s="875"/>
      <c r="W319" s="875"/>
      <c r="X319" s="875"/>
      <c r="Y319" s="875"/>
      <c r="Z319" s="875"/>
    </row>
    <row r="320" spans="1:26" ht="19.5" hidden="1">
      <c r="A320" s="993"/>
      <c r="B320" s="883"/>
      <c r="C320" s="999"/>
      <c r="D320" s="883"/>
      <c r="E320" s="884" t="s">
        <v>37</v>
      </c>
      <c r="F320" s="883"/>
      <c r="G320" s="994"/>
      <c r="H320" s="165" t="s">
        <v>12</v>
      </c>
      <c r="I320" s="1000"/>
      <c r="J320" s="1000"/>
      <c r="K320" s="1001"/>
      <c r="L320" s="887">
        <f ca="1">IFERROR(__xludf.DUMMYFUNCTION("IMPORTRANGE(""https://docs.google.com/spreadsheets/d/1MeEWN-I1oV_STSDYn1IFDPWt_1FKiwhDph83XaGc0o0/edit?usp=sharing"",""งบพรบ!EC84"")"),0)</f>
        <v>0</v>
      </c>
      <c r="M320" s="887">
        <f ca="1">IFERROR(__xludf.DUMMYFUNCTION("IMPORTRANGE(""https://docs.google.com/spreadsheets/d/1MeEWN-I1oV_STSDYn1IFDPWt_1FKiwhDph83XaGc0o0/edit?usp=sharing"",""งบพรบ!EH84"")"),0)</f>
        <v>0</v>
      </c>
      <c r="N320" s="887">
        <f ca="1">IFERROR(__xludf.DUMMYFUNCTION("IMPORTRANGE(""https://docs.google.com/spreadsheets/d/1MeEWN-I1oV_STSDYn1IFDPWt_1FKiwhDph83XaGc0o0/edit?usp=sharing"",""งบพรบ!EJ84"")"),0)</f>
        <v>0</v>
      </c>
      <c r="O320" s="887">
        <f t="shared" ca="1" si="144"/>
        <v>0</v>
      </c>
      <c r="P320" s="887">
        <f t="shared" ca="1" si="145"/>
        <v>0</v>
      </c>
      <c r="Q320" s="875"/>
      <c r="R320" s="875"/>
      <c r="S320" s="875"/>
      <c r="T320" s="875"/>
      <c r="U320" s="875"/>
      <c r="V320" s="875"/>
      <c r="W320" s="875"/>
      <c r="X320" s="875"/>
      <c r="Y320" s="875"/>
      <c r="Z320" s="875"/>
    </row>
    <row r="321" spans="1:26" ht="18.75" hidden="1">
      <c r="A321" s="995"/>
      <c r="B321" s="877"/>
      <c r="C321" s="996"/>
      <c r="D321" s="878" t="s">
        <v>21</v>
      </c>
      <c r="E321" s="877"/>
      <c r="F321" s="877"/>
      <c r="G321" s="879"/>
      <c r="H321" s="168" t="s">
        <v>12</v>
      </c>
      <c r="I321" s="997"/>
      <c r="J321" s="997"/>
      <c r="K321" s="998"/>
      <c r="L321" s="881">
        <f t="shared" ref="L321:N321" ca="1" si="148">L322+L323</f>
        <v>0</v>
      </c>
      <c r="M321" s="881">
        <f t="shared" ca="1" si="148"/>
        <v>0</v>
      </c>
      <c r="N321" s="881">
        <f t="shared" ca="1" si="148"/>
        <v>0</v>
      </c>
      <c r="O321" s="881">
        <f t="shared" ca="1" si="144"/>
        <v>0</v>
      </c>
      <c r="P321" s="881">
        <f t="shared" ca="1" si="145"/>
        <v>0</v>
      </c>
      <c r="Q321" s="868"/>
      <c r="R321" s="868"/>
      <c r="S321" s="868"/>
      <c r="T321" s="868"/>
      <c r="U321" s="868"/>
      <c r="V321" s="868"/>
      <c r="W321" s="868"/>
      <c r="X321" s="868"/>
      <c r="Y321" s="868"/>
      <c r="Z321" s="868"/>
    </row>
    <row r="322" spans="1:26" ht="19.5" hidden="1">
      <c r="A322" s="993"/>
      <c r="B322" s="883"/>
      <c r="C322" s="999"/>
      <c r="D322" s="883"/>
      <c r="E322" s="884" t="s">
        <v>18</v>
      </c>
      <c r="F322" s="883"/>
      <c r="G322" s="994"/>
      <c r="H322" s="165" t="s">
        <v>12</v>
      </c>
      <c r="I322" s="1000"/>
      <c r="J322" s="1000"/>
      <c r="K322" s="1001"/>
      <c r="L322" s="887">
        <v>0</v>
      </c>
      <c r="M322" s="887">
        <v>0</v>
      </c>
      <c r="N322" s="887">
        <v>0</v>
      </c>
      <c r="O322" s="887">
        <f t="shared" si="144"/>
        <v>0</v>
      </c>
      <c r="P322" s="887">
        <f t="shared" si="145"/>
        <v>0</v>
      </c>
      <c r="Q322" s="875"/>
      <c r="R322" s="875"/>
      <c r="S322" s="875"/>
      <c r="T322" s="875"/>
      <c r="U322" s="875"/>
      <c r="V322" s="875"/>
      <c r="W322" s="875"/>
      <c r="X322" s="875"/>
      <c r="Y322" s="875"/>
      <c r="Z322" s="875"/>
    </row>
    <row r="323" spans="1:26" ht="19.5" hidden="1">
      <c r="A323" s="993"/>
      <c r="B323" s="883"/>
      <c r="C323" s="999"/>
      <c r="D323" s="883"/>
      <c r="E323" s="884" t="s">
        <v>19</v>
      </c>
      <c r="F323" s="883"/>
      <c r="G323" s="994"/>
      <c r="H323" s="169" t="s">
        <v>12</v>
      </c>
      <c r="I323" s="1000"/>
      <c r="J323" s="1000"/>
      <c r="K323" s="1001"/>
      <c r="L323" s="887">
        <f ca="1">IFERROR(__xludf.DUMMYFUNCTION("IMPORTRANGE(""https://docs.google.com/spreadsheets/d/1MeEWN-I1oV_STSDYn1IFDPWt_1FKiwhDph83XaGc0o0/edit?usp=sharing"",""งบพรบ!EF84"")"),0)</f>
        <v>0</v>
      </c>
      <c r="M323" s="887">
        <f ca="1">IFERROR(__xludf.DUMMYFUNCTION("IMPORTRANGE(""https://docs.google.com/spreadsheets/d/1MeEWN-I1oV_STSDYn1IFDPWt_1FKiwhDph83XaGc0o0/edit?usp=sharing"",""งบพรบ!EI84"")"),0)</f>
        <v>0</v>
      </c>
      <c r="N323" s="887">
        <f ca="1">IFERROR(__xludf.DUMMYFUNCTION("IMPORTRANGE(""https://docs.google.com/spreadsheets/d/1MeEWN-I1oV_STSDYn1IFDPWt_1FKiwhDph83XaGc0o0/edit?usp=sharing"",""งบพรบ!EK84"")"),0)</f>
        <v>0</v>
      </c>
      <c r="O323" s="887">
        <f t="shared" ca="1" si="144"/>
        <v>0</v>
      </c>
      <c r="P323" s="887">
        <f t="shared" ca="1" si="145"/>
        <v>0</v>
      </c>
      <c r="Q323" s="875"/>
      <c r="R323" s="875"/>
      <c r="S323" s="875"/>
      <c r="T323" s="875"/>
      <c r="U323" s="875"/>
      <c r="V323" s="875"/>
      <c r="W323" s="875"/>
      <c r="X323" s="875"/>
      <c r="Y323" s="875"/>
      <c r="Z323" s="875"/>
    </row>
    <row r="324" spans="1:26" ht="19.5" hidden="1">
      <c r="A324" s="1002"/>
      <c r="B324" s="1003"/>
      <c r="C324" s="999" t="s">
        <v>16</v>
      </c>
      <c r="D324" s="1004" t="s">
        <v>38</v>
      </c>
      <c r="E324" s="1005"/>
      <c r="F324" s="1005"/>
      <c r="G324" s="1006"/>
      <c r="H324" s="1007"/>
      <c r="I324" s="997"/>
      <c r="J324" s="880"/>
      <c r="K324" s="881"/>
      <c r="L324" s="881"/>
      <c r="M324" s="881"/>
      <c r="N324" s="881"/>
      <c r="O324" s="998"/>
      <c r="P324" s="998"/>
    </row>
    <row r="325" spans="1:26" ht="18.75" hidden="1">
      <c r="A325" s="1002"/>
      <c r="B325" s="1003"/>
      <c r="C325" s="1003"/>
      <c r="D325" s="1008" t="s">
        <v>147</v>
      </c>
      <c r="E325" s="1010"/>
      <c r="F325" s="1009"/>
      <c r="G325" s="1011"/>
      <c r="H325" s="622" t="s">
        <v>146</v>
      </c>
      <c r="I325" s="880">
        <f ca="1">IFERROR(__xludf.DUMMYFUNCTION("IMPORTRANGE(""https://docs.google.com/spreadsheets/d/1QqKyyYR6Q21VydFLVH3TRQUabQu_ym0Zz7PgGX0-kHA/edit?usp=sharing"",""แผน!EF84"")"),0)</f>
        <v>0</v>
      </c>
      <c r="J325" s="1012">
        <v>0</v>
      </c>
      <c r="K325" s="881">
        <f ca="1">IF(I325&gt;0,J325*100/I325,0)</f>
        <v>0</v>
      </c>
      <c r="L325" s="881"/>
      <c r="M325" s="881"/>
      <c r="N325" s="881"/>
      <c r="O325" s="998"/>
      <c r="P325" s="998"/>
    </row>
    <row r="326" spans="1:26" ht="19.5">
      <c r="A326" s="1179" t="s">
        <v>148</v>
      </c>
      <c r="B326" s="1180"/>
      <c r="C326" s="1180"/>
      <c r="D326" s="1181"/>
      <c r="E326" s="1180"/>
      <c r="F326" s="1180"/>
      <c r="G326" s="1180"/>
      <c r="H326" s="1193"/>
      <c r="I326" s="1184"/>
      <c r="J326" s="1184"/>
      <c r="K326" s="1185"/>
      <c r="L326" s="1185"/>
      <c r="M326" s="1185"/>
      <c r="N326" s="1185"/>
      <c r="O326" s="1185"/>
      <c r="P326" s="1185"/>
    </row>
    <row r="327" spans="1:26" ht="19.5">
      <c r="A327" s="1186"/>
      <c r="B327" s="1187" t="s">
        <v>149</v>
      </c>
      <c r="C327" s="1196"/>
      <c r="D327" s="1188"/>
      <c r="E327" s="1188"/>
      <c r="F327" s="1188"/>
      <c r="G327" s="1189"/>
      <c r="H327" s="444" t="s">
        <v>35</v>
      </c>
      <c r="I327" s="1190">
        <f ca="1">IFERROR(__xludf.DUMMYFUNCTION("IMPORTRANGE(""https://docs.google.com/spreadsheets/d/1QqKyyYR6Q21VydFLVH3TRQUabQu_ym0Zz7PgGX0-kHA/edit?usp=sharing"",""แผน!EG84"")"),200)</f>
        <v>200</v>
      </c>
      <c r="J327" s="1190">
        <f ca="1">J338+J341+J342+J343</f>
        <v>120</v>
      </c>
      <c r="K327" s="1191">
        <f ca="1">IF(I327&gt;0,J327*100/I327,0)</f>
        <v>60</v>
      </c>
      <c r="L327" s="1192"/>
      <c r="M327" s="1192"/>
      <c r="N327" s="1192"/>
      <c r="O327" s="1192"/>
      <c r="P327" s="1192"/>
    </row>
    <row r="328" spans="1:26" ht="19.5">
      <c r="A328" s="985"/>
      <c r="B328" s="986"/>
      <c r="C328" s="987" t="s">
        <v>16</v>
      </c>
      <c r="D328" s="988" t="s">
        <v>17</v>
      </c>
      <c r="E328" s="986"/>
      <c r="F328" s="986"/>
      <c r="G328" s="989"/>
      <c r="H328" s="152" t="s">
        <v>12</v>
      </c>
      <c r="I328" s="990"/>
      <c r="J328" s="990"/>
      <c r="K328" s="991"/>
      <c r="L328" s="992">
        <f t="shared" ref="L328:N328" ca="1" si="149">L329+L330</f>
        <v>157000</v>
      </c>
      <c r="M328" s="992">
        <f t="shared" ca="1" si="149"/>
        <v>120250</v>
      </c>
      <c r="N328" s="992">
        <f t="shared" ca="1" si="149"/>
        <v>66560</v>
      </c>
      <c r="O328" s="992">
        <f t="shared" ref="O328:O336" ca="1" si="150">IF(L328&gt;0,N328*100/L328,0)</f>
        <v>42.394904458598724</v>
      </c>
      <c r="P328" s="992">
        <f t="shared" ref="P328:P336" ca="1" si="151">IF(M328&gt;0,N328*100/M328,0)</f>
        <v>55.351351351351354</v>
      </c>
      <c r="Q328" s="868"/>
      <c r="R328" s="868"/>
      <c r="S328" s="868"/>
      <c r="T328" s="868"/>
      <c r="U328" s="868"/>
      <c r="V328" s="868"/>
      <c r="W328" s="868"/>
      <c r="X328" s="868"/>
      <c r="Y328" s="868"/>
      <c r="Z328" s="868"/>
    </row>
    <row r="329" spans="1:26" ht="18.75" hidden="1">
      <c r="A329" s="993"/>
      <c r="B329" s="883"/>
      <c r="C329" s="883"/>
      <c r="D329" s="883"/>
      <c r="E329" s="884" t="s">
        <v>18</v>
      </c>
      <c r="F329" s="883"/>
      <c r="G329" s="994"/>
      <c r="H329" s="158" t="s">
        <v>12</v>
      </c>
      <c r="I329" s="886"/>
      <c r="J329" s="886"/>
      <c r="K329" s="887"/>
      <c r="L329" s="887">
        <f t="shared" ref="L329:N330" si="152">L332+L335</f>
        <v>0</v>
      </c>
      <c r="M329" s="887">
        <f t="shared" si="152"/>
        <v>0</v>
      </c>
      <c r="N329" s="887">
        <f t="shared" si="152"/>
        <v>0</v>
      </c>
      <c r="O329" s="887">
        <f t="shared" si="150"/>
        <v>0</v>
      </c>
      <c r="P329" s="887">
        <f t="shared" si="151"/>
        <v>0</v>
      </c>
      <c r="Q329" s="875"/>
      <c r="R329" s="875"/>
      <c r="S329" s="875"/>
      <c r="T329" s="875"/>
      <c r="U329" s="875"/>
      <c r="V329" s="875"/>
      <c r="W329" s="875"/>
      <c r="X329" s="875"/>
      <c r="Y329" s="875"/>
      <c r="Z329" s="875"/>
    </row>
    <row r="330" spans="1:26" ht="18.75" hidden="1">
      <c r="A330" s="993"/>
      <c r="B330" s="883"/>
      <c r="C330" s="883"/>
      <c r="D330" s="883"/>
      <c r="E330" s="884" t="s">
        <v>19</v>
      </c>
      <c r="F330" s="883"/>
      <c r="G330" s="994"/>
      <c r="H330" s="158" t="s">
        <v>12</v>
      </c>
      <c r="I330" s="886"/>
      <c r="J330" s="886"/>
      <c r="K330" s="887"/>
      <c r="L330" s="887">
        <f t="shared" ca="1" si="152"/>
        <v>157000</v>
      </c>
      <c r="M330" s="887">
        <f t="shared" ca="1" si="152"/>
        <v>120250</v>
      </c>
      <c r="N330" s="887">
        <f t="shared" ca="1" si="152"/>
        <v>66560</v>
      </c>
      <c r="O330" s="887">
        <f t="shared" ca="1" si="150"/>
        <v>42.394904458598724</v>
      </c>
      <c r="P330" s="887">
        <f t="shared" ca="1" si="151"/>
        <v>55.351351351351354</v>
      </c>
      <c r="Q330" s="875"/>
      <c r="R330" s="875"/>
      <c r="S330" s="875"/>
      <c r="T330" s="875"/>
      <c r="U330" s="875"/>
      <c r="V330" s="875"/>
      <c r="W330" s="875"/>
      <c r="X330" s="875"/>
      <c r="Y330" s="875"/>
      <c r="Z330" s="875"/>
    </row>
    <row r="331" spans="1:26" ht="18.75">
      <c r="A331" s="995"/>
      <c r="B331" s="877"/>
      <c r="C331" s="996"/>
      <c r="D331" s="878" t="s">
        <v>20</v>
      </c>
      <c r="E331" s="877"/>
      <c r="F331" s="877"/>
      <c r="G331" s="879"/>
      <c r="H331" s="161" t="s">
        <v>12</v>
      </c>
      <c r="I331" s="997"/>
      <c r="J331" s="997"/>
      <c r="K331" s="998"/>
      <c r="L331" s="881">
        <f t="shared" ref="L331:N331" ca="1" si="153">L332+L333</f>
        <v>157000</v>
      </c>
      <c r="M331" s="881">
        <f t="shared" ca="1" si="153"/>
        <v>120250</v>
      </c>
      <c r="N331" s="881">
        <f t="shared" ca="1" si="153"/>
        <v>66560</v>
      </c>
      <c r="O331" s="881">
        <f t="shared" ca="1" si="150"/>
        <v>42.394904458598724</v>
      </c>
      <c r="P331" s="881">
        <f t="shared" ca="1" si="151"/>
        <v>55.351351351351354</v>
      </c>
      <c r="Q331" s="868"/>
      <c r="R331" s="868"/>
      <c r="S331" s="868"/>
      <c r="T331" s="868"/>
      <c r="U331" s="868"/>
      <c r="V331" s="868"/>
      <c r="W331" s="868"/>
      <c r="X331" s="868"/>
      <c r="Y331" s="868"/>
      <c r="Z331" s="868"/>
    </row>
    <row r="332" spans="1:26" ht="19.5" hidden="1">
      <c r="A332" s="993"/>
      <c r="B332" s="883"/>
      <c r="C332" s="999"/>
      <c r="D332" s="883"/>
      <c r="E332" s="884" t="s">
        <v>36</v>
      </c>
      <c r="F332" s="883"/>
      <c r="G332" s="994"/>
      <c r="H332" s="165" t="s">
        <v>12</v>
      </c>
      <c r="I332" s="1000"/>
      <c r="J332" s="1000"/>
      <c r="K332" s="1001"/>
      <c r="L332" s="887">
        <v>0</v>
      </c>
      <c r="M332" s="887">
        <v>0</v>
      </c>
      <c r="N332" s="887">
        <v>0</v>
      </c>
      <c r="O332" s="887">
        <f t="shared" si="150"/>
        <v>0</v>
      </c>
      <c r="P332" s="887">
        <f t="shared" si="151"/>
        <v>0</v>
      </c>
      <c r="Q332" s="875"/>
      <c r="R332" s="875"/>
      <c r="S332" s="875"/>
      <c r="T332" s="875"/>
      <c r="U332" s="875"/>
      <c r="V332" s="875"/>
      <c r="W332" s="875"/>
      <c r="X332" s="875"/>
      <c r="Y332" s="875"/>
      <c r="Z332" s="875"/>
    </row>
    <row r="333" spans="1:26" ht="19.5" hidden="1">
      <c r="A333" s="993"/>
      <c r="B333" s="883"/>
      <c r="C333" s="999"/>
      <c r="D333" s="883"/>
      <c r="E333" s="884" t="s">
        <v>37</v>
      </c>
      <c r="F333" s="883"/>
      <c r="G333" s="994"/>
      <c r="H333" s="165" t="s">
        <v>12</v>
      </c>
      <c r="I333" s="1000"/>
      <c r="J333" s="1000"/>
      <c r="K333" s="1001"/>
      <c r="L333" s="887">
        <f ca="1">IFERROR(__xludf.DUMMYFUNCTION("IMPORTRANGE(""https://docs.google.com/spreadsheets/d/1MeEWN-I1oV_STSDYn1IFDPWt_1FKiwhDph83XaGc0o0/edit?usp=sharing"",""งบพรบ!EM84"")"),157000)</f>
        <v>157000</v>
      </c>
      <c r="M333" s="887">
        <f ca="1">IFERROR(__xludf.DUMMYFUNCTION("IMPORTRANGE(""https://docs.google.com/spreadsheets/d/1MeEWN-I1oV_STSDYn1IFDPWt_1FKiwhDph83XaGc0o0/edit?usp=sharing"",""งบพรบ!ER84"")"),120250)</f>
        <v>120250</v>
      </c>
      <c r="N333" s="887">
        <f ca="1">IFERROR(__xludf.DUMMYFUNCTION("IMPORTRANGE(""https://docs.google.com/spreadsheets/d/1MeEWN-I1oV_STSDYn1IFDPWt_1FKiwhDph83XaGc0o0/edit?usp=sharing"",""งบพรบ!ET84"")"),66560)</f>
        <v>66560</v>
      </c>
      <c r="O333" s="887">
        <f t="shared" ca="1" si="150"/>
        <v>42.394904458598724</v>
      </c>
      <c r="P333" s="887">
        <f t="shared" ca="1" si="151"/>
        <v>55.351351351351354</v>
      </c>
      <c r="Q333" s="875"/>
      <c r="R333" s="875"/>
      <c r="S333" s="875"/>
      <c r="T333" s="875"/>
      <c r="U333" s="875"/>
      <c r="V333" s="875"/>
      <c r="W333" s="875"/>
      <c r="X333" s="875"/>
      <c r="Y333" s="875"/>
      <c r="Z333" s="875"/>
    </row>
    <row r="334" spans="1:26" ht="18.75">
      <c r="A334" s="995"/>
      <c r="B334" s="877"/>
      <c r="C334" s="996"/>
      <c r="D334" s="878" t="s">
        <v>21</v>
      </c>
      <c r="E334" s="877"/>
      <c r="F334" s="877"/>
      <c r="G334" s="879"/>
      <c r="H334" s="168" t="s">
        <v>12</v>
      </c>
      <c r="I334" s="997"/>
      <c r="J334" s="997"/>
      <c r="K334" s="998"/>
      <c r="L334" s="881">
        <f t="shared" ref="L334:N334" ca="1" si="154">L335+L336</f>
        <v>0</v>
      </c>
      <c r="M334" s="881">
        <f t="shared" ca="1" si="154"/>
        <v>0</v>
      </c>
      <c r="N334" s="881">
        <f t="shared" ca="1" si="154"/>
        <v>0</v>
      </c>
      <c r="O334" s="881">
        <f t="shared" ca="1" si="150"/>
        <v>0</v>
      </c>
      <c r="P334" s="881">
        <f t="shared" ca="1" si="151"/>
        <v>0</v>
      </c>
      <c r="Q334" s="868"/>
      <c r="R334" s="868"/>
      <c r="S334" s="868"/>
      <c r="T334" s="868"/>
      <c r="U334" s="868"/>
      <c r="V334" s="868"/>
      <c r="W334" s="868"/>
      <c r="X334" s="868"/>
      <c r="Y334" s="868"/>
      <c r="Z334" s="868"/>
    </row>
    <row r="335" spans="1:26" ht="19.5" hidden="1">
      <c r="A335" s="993"/>
      <c r="B335" s="883"/>
      <c r="C335" s="999"/>
      <c r="D335" s="883"/>
      <c r="E335" s="884" t="s">
        <v>18</v>
      </c>
      <c r="F335" s="883"/>
      <c r="G335" s="994"/>
      <c r="H335" s="165" t="s">
        <v>12</v>
      </c>
      <c r="I335" s="1000"/>
      <c r="J335" s="1000"/>
      <c r="K335" s="1001"/>
      <c r="L335" s="887">
        <v>0</v>
      </c>
      <c r="M335" s="887">
        <v>0</v>
      </c>
      <c r="N335" s="887">
        <v>0</v>
      </c>
      <c r="O335" s="887">
        <f t="shared" si="150"/>
        <v>0</v>
      </c>
      <c r="P335" s="887">
        <f t="shared" si="151"/>
        <v>0</v>
      </c>
      <c r="Q335" s="875"/>
      <c r="R335" s="875"/>
      <c r="S335" s="875"/>
      <c r="T335" s="875"/>
      <c r="U335" s="875"/>
      <c r="V335" s="875"/>
      <c r="W335" s="875"/>
      <c r="X335" s="875"/>
      <c r="Y335" s="875"/>
      <c r="Z335" s="875"/>
    </row>
    <row r="336" spans="1:26" ht="19.5" hidden="1">
      <c r="A336" s="993"/>
      <c r="B336" s="883"/>
      <c r="C336" s="999"/>
      <c r="D336" s="883"/>
      <c r="E336" s="884" t="s">
        <v>19</v>
      </c>
      <c r="F336" s="883"/>
      <c r="G336" s="994"/>
      <c r="H336" s="169" t="s">
        <v>12</v>
      </c>
      <c r="I336" s="1000"/>
      <c r="J336" s="1000"/>
      <c r="K336" s="1001"/>
      <c r="L336" s="887">
        <f ca="1">IFERROR(__xludf.DUMMYFUNCTION("IMPORTRANGE(""https://docs.google.com/spreadsheets/d/1MeEWN-I1oV_STSDYn1IFDPWt_1FKiwhDph83XaGc0o0/edit?usp=sharing"",""งบพรบ!EP84"")"),0)</f>
        <v>0</v>
      </c>
      <c r="M336" s="887">
        <f ca="1">IFERROR(__xludf.DUMMYFUNCTION("IMPORTRANGE(""https://docs.google.com/spreadsheets/d/1MeEWN-I1oV_STSDYn1IFDPWt_1FKiwhDph83XaGc0o0/edit?usp=sharing"",""งบพรบ!ES84"")"),0)</f>
        <v>0</v>
      </c>
      <c r="N336" s="887">
        <f ca="1">IFERROR(__xludf.DUMMYFUNCTION("IMPORTRANGE(""https://docs.google.com/spreadsheets/d/1MeEWN-I1oV_STSDYn1IFDPWt_1FKiwhDph83XaGc0o0/edit?usp=sharing"",""งบพรบ!EU84"")"),0)</f>
        <v>0</v>
      </c>
      <c r="O336" s="887">
        <f t="shared" ca="1" si="150"/>
        <v>0</v>
      </c>
      <c r="P336" s="887">
        <f t="shared" ca="1" si="151"/>
        <v>0</v>
      </c>
      <c r="Q336" s="875"/>
      <c r="R336" s="875"/>
      <c r="S336" s="875"/>
      <c r="T336" s="875"/>
      <c r="U336" s="875"/>
      <c r="V336" s="875"/>
      <c r="W336" s="875"/>
      <c r="X336" s="875"/>
      <c r="Y336" s="875"/>
      <c r="Z336" s="875"/>
    </row>
    <row r="337" spans="1:26" ht="19.5">
      <c r="A337" s="1002"/>
      <c r="B337" s="1003"/>
      <c r="C337" s="999" t="s">
        <v>16</v>
      </c>
      <c r="D337" s="1004" t="s">
        <v>38</v>
      </c>
      <c r="E337" s="1005"/>
      <c r="F337" s="1005"/>
      <c r="G337" s="1006"/>
      <c r="H337" s="1007"/>
      <c r="I337" s="997"/>
      <c r="J337" s="880"/>
      <c r="K337" s="881"/>
      <c r="L337" s="881"/>
      <c r="M337" s="881"/>
      <c r="N337" s="881"/>
      <c r="O337" s="998"/>
      <c r="P337" s="998"/>
    </row>
    <row r="338" spans="1:26" ht="18.75">
      <c r="A338" s="1086"/>
      <c r="B338" s="877"/>
      <c r="C338" s="1084"/>
      <c r="D338" s="1009" t="s">
        <v>150</v>
      </c>
      <c r="E338" s="1003"/>
      <c r="F338" s="877"/>
      <c r="G338" s="879"/>
      <c r="H338" s="277" t="s">
        <v>35</v>
      </c>
      <c r="I338" s="880">
        <f ca="1">IFERROR(__xludf.DUMMYFUNCTION("IMPORTRANGE(""https://docs.google.com/spreadsheets/d/1QqKyyYR6Q21VydFLVH3TRQUabQu_ym0Zz7PgGX0-kHA/edit?usp=sharing"",""แผน!EG84"")"),200)</f>
        <v>200</v>
      </c>
      <c r="J338" s="880">
        <f ca="1">IFERROR(__xludf.DUMMYFUNCTION("IMPORTRANGE(""https://docs.google.com/spreadsheets/d/1kVcqe37tkHyjCSG3S0O1AXqVkqjo8mSIZil3BcpIysc/edit?usp=sharing"",""ศูนย์!D84"")"),110)</f>
        <v>110</v>
      </c>
      <c r="K338" s="881">
        <f ca="1">IF(I338&gt;0,J338*100/I338,0)</f>
        <v>55</v>
      </c>
      <c r="L338" s="881"/>
      <c r="M338" s="881"/>
      <c r="N338" s="881"/>
      <c r="O338" s="881"/>
      <c r="P338" s="881"/>
    </row>
    <row r="339" spans="1:26" ht="18.75">
      <c r="A339" s="1086"/>
      <c r="B339" s="877"/>
      <c r="C339" s="1084"/>
      <c r="D339" s="1009" t="s">
        <v>151</v>
      </c>
      <c r="E339" s="1003"/>
      <c r="F339" s="877"/>
      <c r="G339" s="879"/>
      <c r="H339" s="277"/>
      <c r="I339" s="880"/>
      <c r="J339" s="880"/>
      <c r="K339" s="881"/>
      <c r="L339" s="881"/>
      <c r="M339" s="881"/>
      <c r="N339" s="881"/>
      <c r="O339" s="881"/>
      <c r="P339" s="881"/>
    </row>
    <row r="340" spans="1:26" ht="18.75">
      <c r="A340" s="1086"/>
      <c r="B340" s="877"/>
      <c r="C340" s="1084"/>
      <c r="D340" s="1010"/>
      <c r="E340" s="1009" t="s">
        <v>152</v>
      </c>
      <c r="F340" s="877"/>
      <c r="G340" s="879"/>
      <c r="H340" s="277" t="s">
        <v>153</v>
      </c>
      <c r="I340" s="880">
        <f ca="1">IFERROR(__xludf.DUMMYFUNCTION("IMPORTRANGE(""https://docs.google.com/spreadsheets/d/1QqKyyYR6Q21VydFLVH3TRQUabQu_ym0Zz7PgGX0-kHA/edit?usp=sharing"",""แผน!EH84"")"),2)</f>
        <v>2</v>
      </c>
      <c r="J340" s="880">
        <f ca="1">IFERROR(__xludf.DUMMYFUNCTION("IMPORTRANGE(""https://docs.google.com/spreadsheets/d/1kVcqe37tkHyjCSG3S0O1AXqVkqjo8mSIZil3BcpIysc/edit?usp=sharing"",""ศูนย์!E84"")"),1)</f>
        <v>1</v>
      </c>
      <c r="K340" s="881">
        <f ca="1">IF(I340&gt;0,J340*100/I340,0)</f>
        <v>50</v>
      </c>
      <c r="L340" s="881"/>
      <c r="M340" s="881"/>
      <c r="N340" s="881"/>
      <c r="O340" s="881"/>
      <c r="P340" s="881"/>
    </row>
    <row r="341" spans="1:26" ht="18.75">
      <c r="A341" s="1086"/>
      <c r="B341" s="877"/>
      <c r="C341" s="1084"/>
      <c r="D341" s="1010"/>
      <c r="E341" s="1009" t="s">
        <v>154</v>
      </c>
      <c r="F341" s="877"/>
      <c r="G341" s="879"/>
      <c r="H341" s="277" t="s">
        <v>35</v>
      </c>
      <c r="I341" s="880"/>
      <c r="J341" s="880">
        <f ca="1">IFERROR(__xludf.DUMMYFUNCTION("IMPORTRANGE(""https://docs.google.com/spreadsheets/d/1kVcqe37tkHyjCSG3S0O1AXqVkqjo8mSIZil3BcpIysc/edit?usp=sharing"",""ศูนย์!F84"")"),10)</f>
        <v>10</v>
      </c>
      <c r="K341" s="881"/>
      <c r="L341" s="881"/>
      <c r="M341" s="881"/>
      <c r="N341" s="881"/>
      <c r="O341" s="881"/>
      <c r="P341" s="881"/>
    </row>
    <row r="342" spans="1:26" ht="18.75">
      <c r="A342" s="1086"/>
      <c r="B342" s="877"/>
      <c r="C342" s="1084"/>
      <c r="D342" s="1009" t="s">
        <v>155</v>
      </c>
      <c r="E342" s="1010"/>
      <c r="F342" s="1010"/>
      <c r="G342" s="879"/>
      <c r="H342" s="277" t="s">
        <v>35</v>
      </c>
      <c r="I342" s="880"/>
      <c r="J342" s="880">
        <f ca="1">IFERROR(__xludf.DUMMYFUNCTION("IMPORTRANGE(""https://docs.google.com/spreadsheets/d/1kVcqe37tkHyjCSG3S0O1AXqVkqjo8mSIZil3BcpIysc/edit?usp=sharing"",""ศูนย์!G84"")"),0)</f>
        <v>0</v>
      </c>
      <c r="K342" s="881"/>
      <c r="L342" s="881"/>
      <c r="M342" s="881"/>
      <c r="N342" s="881"/>
      <c r="O342" s="881"/>
      <c r="P342" s="881"/>
    </row>
    <row r="343" spans="1:26" ht="18.75">
      <c r="A343" s="1086"/>
      <c r="B343" s="877"/>
      <c r="C343" s="1084"/>
      <c r="D343" s="1009" t="s">
        <v>156</v>
      </c>
      <c r="E343" s="1010"/>
      <c r="F343" s="1010"/>
      <c r="G343" s="879"/>
      <c r="H343" s="277" t="s">
        <v>35</v>
      </c>
      <c r="I343" s="880"/>
      <c r="J343" s="880">
        <f ca="1">IFERROR(__xludf.DUMMYFUNCTION("IMPORTRANGE(""https://docs.google.com/spreadsheets/d/1kVcqe37tkHyjCSG3S0O1AXqVkqjo8mSIZil3BcpIysc/edit?usp=sharing"",""ศูนย์!H84"")"),0)</f>
        <v>0</v>
      </c>
      <c r="K343" s="881"/>
      <c r="L343" s="881"/>
      <c r="M343" s="881"/>
      <c r="N343" s="881"/>
      <c r="O343" s="881"/>
      <c r="P343" s="881"/>
    </row>
    <row r="344" spans="1:26" ht="19.5">
      <c r="A344" s="1186"/>
      <c r="B344" s="1187" t="s">
        <v>157</v>
      </c>
      <c r="C344" s="1196"/>
      <c r="D344" s="1188"/>
      <c r="E344" s="1188"/>
      <c r="F344" s="1188"/>
      <c r="G344" s="1189"/>
      <c r="H344" s="444"/>
      <c r="I344" s="1197"/>
      <c r="J344" s="1197"/>
      <c r="K344" s="1192"/>
      <c r="L344" s="1192"/>
      <c r="M344" s="1192"/>
      <c r="N344" s="1192"/>
      <c r="O344" s="1192"/>
      <c r="P344" s="1192"/>
    </row>
    <row r="345" spans="1:26" ht="19.5">
      <c r="A345" s="985"/>
      <c r="B345" s="986"/>
      <c r="C345" s="987" t="s">
        <v>16</v>
      </c>
      <c r="D345" s="988" t="s">
        <v>17</v>
      </c>
      <c r="E345" s="986"/>
      <c r="F345" s="986"/>
      <c r="G345" s="989"/>
      <c r="H345" s="152" t="s">
        <v>12</v>
      </c>
      <c r="I345" s="990"/>
      <c r="J345" s="990"/>
      <c r="K345" s="991"/>
      <c r="L345" s="992">
        <f t="shared" ref="L345:N345" ca="1" si="155">L346+L347</f>
        <v>672850</v>
      </c>
      <c r="M345" s="992">
        <f t="shared" ca="1" si="155"/>
        <v>536070</v>
      </c>
      <c r="N345" s="992">
        <f t="shared" ca="1" si="155"/>
        <v>370751.86</v>
      </c>
      <c r="O345" s="992">
        <f t="shared" ref="O345:O353" ca="1" si="156">IF(L345&gt;0,N345*100/L345,0)</f>
        <v>55.101710633870844</v>
      </c>
      <c r="P345" s="992">
        <f t="shared" ref="P345:P353" ca="1" si="157">IF(M345&gt;0,N345*100/M345,0)</f>
        <v>69.161090902307535</v>
      </c>
      <c r="Q345" s="868"/>
      <c r="R345" s="868"/>
      <c r="S345" s="868"/>
      <c r="T345" s="868"/>
      <c r="U345" s="868"/>
      <c r="V345" s="868"/>
      <c r="W345" s="868"/>
      <c r="X345" s="868"/>
      <c r="Y345" s="868"/>
      <c r="Z345" s="868"/>
    </row>
    <row r="346" spans="1:26" ht="18.75" hidden="1">
      <c r="A346" s="993"/>
      <c r="B346" s="883"/>
      <c r="C346" s="883"/>
      <c r="D346" s="883"/>
      <c r="E346" s="884" t="s">
        <v>18</v>
      </c>
      <c r="F346" s="883"/>
      <c r="G346" s="994"/>
      <c r="H346" s="158" t="s">
        <v>12</v>
      </c>
      <c r="I346" s="886"/>
      <c r="J346" s="886"/>
      <c r="K346" s="887"/>
      <c r="L346" s="887">
        <f t="shared" ref="L346:N347" si="158">L349+L352</f>
        <v>0</v>
      </c>
      <c r="M346" s="887">
        <f t="shared" si="158"/>
        <v>0</v>
      </c>
      <c r="N346" s="887">
        <f t="shared" si="158"/>
        <v>0</v>
      </c>
      <c r="O346" s="887">
        <f t="shared" si="156"/>
        <v>0</v>
      </c>
      <c r="P346" s="887">
        <f t="shared" si="157"/>
        <v>0</v>
      </c>
      <c r="Q346" s="875"/>
      <c r="R346" s="875"/>
      <c r="S346" s="875"/>
      <c r="T346" s="875"/>
      <c r="U346" s="875"/>
      <c r="V346" s="875"/>
      <c r="W346" s="875"/>
      <c r="X346" s="875"/>
      <c r="Y346" s="875"/>
      <c r="Z346" s="875"/>
    </row>
    <row r="347" spans="1:26" ht="18.75" hidden="1">
      <c r="A347" s="993"/>
      <c r="B347" s="883"/>
      <c r="C347" s="883"/>
      <c r="D347" s="883"/>
      <c r="E347" s="884" t="s">
        <v>19</v>
      </c>
      <c r="F347" s="883"/>
      <c r="G347" s="994"/>
      <c r="H347" s="158" t="s">
        <v>12</v>
      </c>
      <c r="I347" s="886"/>
      <c r="J347" s="886"/>
      <c r="K347" s="887"/>
      <c r="L347" s="887">
        <f t="shared" ca="1" si="158"/>
        <v>672850</v>
      </c>
      <c r="M347" s="887">
        <f t="shared" ca="1" si="158"/>
        <v>536070</v>
      </c>
      <c r="N347" s="887">
        <f t="shared" ca="1" si="158"/>
        <v>370751.86</v>
      </c>
      <c r="O347" s="887">
        <f t="shared" ca="1" si="156"/>
        <v>55.101710633870844</v>
      </c>
      <c r="P347" s="887">
        <f t="shared" ca="1" si="157"/>
        <v>69.161090902307535</v>
      </c>
      <c r="Q347" s="875"/>
      <c r="R347" s="875"/>
      <c r="S347" s="875"/>
      <c r="T347" s="875"/>
      <c r="U347" s="875"/>
      <c r="V347" s="875"/>
      <c r="W347" s="875"/>
      <c r="X347" s="875"/>
      <c r="Y347" s="875"/>
      <c r="Z347" s="875"/>
    </row>
    <row r="348" spans="1:26" ht="18.75">
      <c r="A348" s="995"/>
      <c r="B348" s="877"/>
      <c r="C348" s="996"/>
      <c r="D348" s="878" t="s">
        <v>20</v>
      </c>
      <c r="E348" s="877"/>
      <c r="F348" s="877"/>
      <c r="G348" s="879"/>
      <c r="H348" s="161" t="s">
        <v>12</v>
      </c>
      <c r="I348" s="997"/>
      <c r="J348" s="997"/>
      <c r="K348" s="998"/>
      <c r="L348" s="881">
        <f t="shared" ref="L348:N348" ca="1" si="159">L349+L350</f>
        <v>559050</v>
      </c>
      <c r="M348" s="881">
        <f t="shared" ca="1" si="159"/>
        <v>422270</v>
      </c>
      <c r="N348" s="881">
        <f t="shared" ca="1" si="159"/>
        <v>256951.86</v>
      </c>
      <c r="O348" s="881">
        <f t="shared" ca="1" si="156"/>
        <v>45.962232358465251</v>
      </c>
      <c r="P348" s="881">
        <f t="shared" ca="1" si="157"/>
        <v>60.850133800648877</v>
      </c>
      <c r="Q348" s="868"/>
      <c r="R348" s="868"/>
      <c r="S348" s="868"/>
      <c r="T348" s="868"/>
      <c r="U348" s="868"/>
      <c r="V348" s="868"/>
      <c r="W348" s="868"/>
      <c r="X348" s="868"/>
      <c r="Y348" s="868"/>
      <c r="Z348" s="868"/>
    </row>
    <row r="349" spans="1:26" ht="19.5" hidden="1">
      <c r="A349" s="993"/>
      <c r="B349" s="883"/>
      <c r="C349" s="999"/>
      <c r="D349" s="883"/>
      <c r="E349" s="884" t="s">
        <v>36</v>
      </c>
      <c r="F349" s="883"/>
      <c r="G349" s="994"/>
      <c r="H349" s="165" t="s">
        <v>12</v>
      </c>
      <c r="I349" s="1000"/>
      <c r="J349" s="1000"/>
      <c r="K349" s="1001"/>
      <c r="L349" s="887">
        <v>0</v>
      </c>
      <c r="M349" s="887">
        <v>0</v>
      </c>
      <c r="N349" s="887">
        <v>0</v>
      </c>
      <c r="O349" s="887">
        <f t="shared" si="156"/>
        <v>0</v>
      </c>
      <c r="P349" s="887">
        <f t="shared" si="157"/>
        <v>0</v>
      </c>
      <c r="Q349" s="875"/>
      <c r="R349" s="875"/>
      <c r="S349" s="875"/>
      <c r="T349" s="875"/>
      <c r="U349" s="875"/>
      <c r="V349" s="875"/>
      <c r="W349" s="875"/>
      <c r="X349" s="875"/>
      <c r="Y349" s="875"/>
      <c r="Z349" s="875"/>
    </row>
    <row r="350" spans="1:26" ht="19.5" hidden="1">
      <c r="A350" s="993"/>
      <c r="B350" s="883"/>
      <c r="C350" s="999"/>
      <c r="D350" s="883"/>
      <c r="E350" s="884" t="s">
        <v>37</v>
      </c>
      <c r="F350" s="883"/>
      <c r="G350" s="994"/>
      <c r="H350" s="165" t="s">
        <v>12</v>
      </c>
      <c r="I350" s="1000"/>
      <c r="J350" s="1000"/>
      <c r="K350" s="1001"/>
      <c r="L350" s="887">
        <f ca="1">IFERROR(__xludf.DUMMYFUNCTION("IMPORTRANGE(""https://docs.google.com/spreadsheets/d/1MeEWN-I1oV_STSDYn1IFDPWt_1FKiwhDph83XaGc0o0/edit?usp=sharing"",""งบพรบ!EW84"")"),559050)</f>
        <v>559050</v>
      </c>
      <c r="M350" s="887">
        <f ca="1">IFERROR(__xludf.DUMMYFUNCTION("IMPORTRANGE(""https://docs.google.com/spreadsheets/d/1MeEWN-I1oV_STSDYn1IFDPWt_1FKiwhDph83XaGc0o0/edit?usp=sharing"",""งบพรบ!FB84"")"),422270)</f>
        <v>422270</v>
      </c>
      <c r="N350" s="887">
        <f ca="1">IFERROR(__xludf.DUMMYFUNCTION("IMPORTRANGE(""https://docs.google.com/spreadsheets/d/1MeEWN-I1oV_STSDYn1IFDPWt_1FKiwhDph83XaGc0o0/edit?usp=sharing"",""งบพรบ!FD84"")"),256951.86)</f>
        <v>256951.86</v>
      </c>
      <c r="O350" s="887">
        <f t="shared" ca="1" si="156"/>
        <v>45.962232358465251</v>
      </c>
      <c r="P350" s="887">
        <f t="shared" ca="1" si="157"/>
        <v>60.850133800648877</v>
      </c>
      <c r="Q350" s="875"/>
      <c r="R350" s="875"/>
      <c r="S350" s="875"/>
      <c r="T350" s="875"/>
      <c r="U350" s="875"/>
      <c r="V350" s="875"/>
      <c r="W350" s="875"/>
      <c r="X350" s="875"/>
      <c r="Y350" s="875"/>
      <c r="Z350" s="875"/>
    </row>
    <row r="351" spans="1:26" ht="18.75">
      <c r="A351" s="995"/>
      <c r="B351" s="877"/>
      <c r="C351" s="996"/>
      <c r="D351" s="878" t="s">
        <v>21</v>
      </c>
      <c r="E351" s="877"/>
      <c r="F351" s="877"/>
      <c r="G351" s="879"/>
      <c r="H351" s="168" t="s">
        <v>12</v>
      </c>
      <c r="I351" s="997"/>
      <c r="J351" s="997"/>
      <c r="K351" s="998"/>
      <c r="L351" s="881">
        <f t="shared" ref="L351:N351" ca="1" si="160">L352+L353</f>
        <v>113800</v>
      </c>
      <c r="M351" s="881">
        <f t="shared" ca="1" si="160"/>
        <v>113800</v>
      </c>
      <c r="N351" s="881">
        <f t="shared" ca="1" si="160"/>
        <v>113800</v>
      </c>
      <c r="O351" s="881">
        <f t="shared" ca="1" si="156"/>
        <v>100</v>
      </c>
      <c r="P351" s="881">
        <f t="shared" ca="1" si="157"/>
        <v>100</v>
      </c>
      <c r="Q351" s="868"/>
      <c r="R351" s="868"/>
      <c r="S351" s="868"/>
      <c r="T351" s="868"/>
      <c r="U351" s="868"/>
      <c r="V351" s="868"/>
      <c r="W351" s="868"/>
      <c r="X351" s="868"/>
      <c r="Y351" s="868"/>
      <c r="Z351" s="868"/>
    </row>
    <row r="352" spans="1:26" ht="19.5" hidden="1">
      <c r="A352" s="993"/>
      <c r="B352" s="883"/>
      <c r="C352" s="999"/>
      <c r="D352" s="883"/>
      <c r="E352" s="884" t="s">
        <v>18</v>
      </c>
      <c r="F352" s="883"/>
      <c r="G352" s="994"/>
      <c r="H352" s="165" t="s">
        <v>12</v>
      </c>
      <c r="I352" s="1000"/>
      <c r="J352" s="1000"/>
      <c r="K352" s="1001"/>
      <c r="L352" s="887">
        <v>0</v>
      </c>
      <c r="M352" s="887">
        <v>0</v>
      </c>
      <c r="N352" s="887">
        <v>0</v>
      </c>
      <c r="O352" s="887">
        <f t="shared" si="156"/>
        <v>0</v>
      </c>
      <c r="P352" s="887">
        <f t="shared" si="157"/>
        <v>0</v>
      </c>
      <c r="Q352" s="875"/>
      <c r="R352" s="875"/>
      <c r="S352" s="875"/>
      <c r="T352" s="875"/>
      <c r="U352" s="875"/>
      <c r="V352" s="875"/>
      <c r="W352" s="875"/>
      <c r="X352" s="875"/>
      <c r="Y352" s="875"/>
      <c r="Z352" s="875"/>
    </row>
    <row r="353" spans="1:26" ht="19.5" hidden="1">
      <c r="A353" s="993"/>
      <c r="B353" s="883"/>
      <c r="C353" s="999"/>
      <c r="D353" s="883"/>
      <c r="E353" s="884" t="s">
        <v>19</v>
      </c>
      <c r="F353" s="883"/>
      <c r="G353" s="994"/>
      <c r="H353" s="169" t="s">
        <v>12</v>
      </c>
      <c r="I353" s="1000"/>
      <c r="J353" s="1000"/>
      <c r="K353" s="1001"/>
      <c r="L353" s="887">
        <f ca="1">IFERROR(__xludf.DUMMYFUNCTION("IMPORTRANGE(""https://docs.google.com/spreadsheets/d/1MeEWN-I1oV_STSDYn1IFDPWt_1FKiwhDph83XaGc0o0/edit?usp=sharing"",""งบพรบ!EZ84"")"),113800)</f>
        <v>113800</v>
      </c>
      <c r="M353" s="887">
        <f ca="1">IFERROR(__xludf.DUMMYFUNCTION("IMPORTRANGE(""https://docs.google.com/spreadsheets/d/1MeEWN-I1oV_STSDYn1IFDPWt_1FKiwhDph83XaGc0o0/edit?usp=sharing"",""งบพรบ!FC84"")"),113800)</f>
        <v>113800</v>
      </c>
      <c r="N353" s="887">
        <f ca="1">IFERROR(__xludf.DUMMYFUNCTION("IMPORTRANGE(""https://docs.google.com/spreadsheets/d/1MeEWN-I1oV_STSDYn1IFDPWt_1FKiwhDph83XaGc0o0/edit?usp=sharing"",""งบพรบ!FE84"")"),113800)</f>
        <v>113800</v>
      </c>
      <c r="O353" s="887">
        <f t="shared" ca="1" si="156"/>
        <v>100</v>
      </c>
      <c r="P353" s="887">
        <f t="shared" ca="1" si="157"/>
        <v>100</v>
      </c>
      <c r="Q353" s="875"/>
      <c r="R353" s="875"/>
      <c r="S353" s="875"/>
      <c r="T353" s="875"/>
      <c r="U353" s="875"/>
      <c r="V353" s="875"/>
      <c r="W353" s="875"/>
      <c r="X353" s="875"/>
      <c r="Y353" s="875"/>
      <c r="Z353" s="875"/>
    </row>
    <row r="354" spans="1:26" ht="19.5">
      <c r="A354" s="1063"/>
      <c r="B354" s="1070"/>
      <c r="C354" s="1064"/>
      <c r="D354" s="1198" t="s">
        <v>158</v>
      </c>
      <c r="E354" s="1064"/>
      <c r="F354" s="1064"/>
      <c r="G354" s="1066"/>
      <c r="H354" s="1199"/>
      <c r="I354" s="1067"/>
      <c r="J354" s="1067"/>
      <c r="K354" s="1068"/>
      <c r="L354" s="1068"/>
      <c r="M354" s="1068"/>
      <c r="N354" s="1068"/>
      <c r="O354" s="1068"/>
      <c r="P354" s="1068"/>
    </row>
    <row r="355" spans="1:26" ht="19.5">
      <c r="A355" s="1200"/>
      <c r="B355" s="1201"/>
      <c r="C355" s="1202"/>
      <c r="D355" s="1203" t="s">
        <v>159</v>
      </c>
      <c r="E355" s="1204"/>
      <c r="F355" s="1204"/>
      <c r="G355" s="1205"/>
      <c r="H355" s="463" t="s">
        <v>35</v>
      </c>
      <c r="I355" s="1206">
        <f ca="1">IFERROR(__xludf.DUMMYFUNCTION("IMPORTRANGE(""https://docs.google.com/spreadsheets/d/1QqKyyYR6Q21VydFLVH3TRQUabQu_ym0Zz7PgGX0-kHA/edit?usp=sharing"",""แผน!EP84"")"),54)</f>
        <v>54</v>
      </c>
      <c r="J355" s="1206">
        <f ca="1">J362</f>
        <v>14</v>
      </c>
      <c r="K355" s="1207">
        <f ca="1">IF(I355&gt;0,J355*100/I355,0)</f>
        <v>25.925925925925927</v>
      </c>
      <c r="L355" s="1208"/>
      <c r="M355" s="1208"/>
      <c r="N355" s="1208"/>
      <c r="O355" s="1208"/>
      <c r="P355" s="1208"/>
    </row>
    <row r="356" spans="1:26" ht="19.5">
      <c r="A356" s="1200"/>
      <c r="B356" s="1201"/>
      <c r="C356" s="1202"/>
      <c r="D356" s="1209" t="s">
        <v>160</v>
      </c>
      <c r="E356" s="1204"/>
      <c r="F356" s="1204"/>
      <c r="G356" s="1205"/>
      <c r="H356" s="1210"/>
      <c r="I356" s="1211"/>
      <c r="J356" s="1211"/>
      <c r="K356" s="1208"/>
      <c r="L356" s="1208"/>
      <c r="M356" s="1208"/>
      <c r="N356" s="1208"/>
      <c r="O356" s="1208"/>
      <c r="P356" s="1208"/>
    </row>
    <row r="357" spans="1:26" ht="19.5">
      <c r="A357" s="1002"/>
      <c r="B357" s="1003"/>
      <c r="C357" s="999" t="s">
        <v>16</v>
      </c>
      <c r="D357" s="1004" t="s">
        <v>38</v>
      </c>
      <c r="E357" s="1005"/>
      <c r="F357" s="1005"/>
      <c r="G357" s="1006"/>
      <c r="H357" s="1007"/>
      <c r="I357" s="880"/>
      <c r="J357" s="880"/>
      <c r="K357" s="881"/>
      <c r="L357" s="998"/>
      <c r="M357" s="998"/>
      <c r="N357" s="998"/>
      <c r="O357" s="998"/>
      <c r="P357" s="998"/>
    </row>
    <row r="358" spans="1:26" ht="18.75">
      <c r="A358" s="1002"/>
      <c r="B358" s="1010"/>
      <c r="C358" s="1003"/>
      <c r="D358" s="1010"/>
      <c r="E358" s="1008" t="s">
        <v>161</v>
      </c>
      <c r="F358" s="1010"/>
      <c r="G358" s="1011"/>
      <c r="H358" s="185" t="s">
        <v>35</v>
      </c>
      <c r="I358" s="880">
        <v>0</v>
      </c>
      <c r="J358" s="880">
        <f ca="1">IFERROR(__xludf.DUMMYFUNCTION("IMPORTRANGE(""https://docs.google.com/spreadsheets/d/1XWAQStnk-4SwqDmLtmXYiTMKHgktTP8We1SCoS47DrQ/edit?usp=sharing"",""จัดที่ดิน!W84"")"),36)</f>
        <v>36</v>
      </c>
      <c r="K358" s="881">
        <f t="shared" ref="K358:K365" si="161">IF(I358&gt;0,J358*100/I358,0)</f>
        <v>0</v>
      </c>
      <c r="L358" s="998"/>
      <c r="M358" s="998"/>
      <c r="N358" s="998"/>
      <c r="O358" s="998"/>
      <c r="P358" s="998"/>
    </row>
    <row r="359" spans="1:26" ht="18.75">
      <c r="A359" s="1002"/>
      <c r="B359" s="1010"/>
      <c r="C359" s="1003"/>
      <c r="D359" s="1010"/>
      <c r="E359" s="1010"/>
      <c r="F359" s="1010"/>
      <c r="G359" s="1011"/>
      <c r="H359" s="185" t="s">
        <v>46</v>
      </c>
      <c r="I359" s="880">
        <f ca="1">IFERROR(__xludf.DUMMYFUNCTION("IMPORTRANGE(""https://docs.google.com/spreadsheets/d/1QqKyyYR6Q21VydFLVH3TRQUabQu_ym0Zz7PgGX0-kHA/edit?usp=sharing"",""แผน!EO84"")"),440)</f>
        <v>440</v>
      </c>
      <c r="J359" s="880">
        <f ca="1">IFERROR(__xludf.DUMMYFUNCTION("IMPORTRANGE(""https://docs.google.com/spreadsheets/d/1XWAQStnk-4SwqDmLtmXYiTMKHgktTP8We1SCoS47DrQ/edit?usp=sharing"",""จัดที่ดิน!X84"")"),319.93)</f>
        <v>319.93</v>
      </c>
      <c r="K359" s="881">
        <f t="shared" ca="1" si="161"/>
        <v>72.711363636363643</v>
      </c>
      <c r="L359" s="998"/>
      <c r="M359" s="998"/>
      <c r="N359" s="998"/>
      <c r="O359" s="998"/>
      <c r="P359" s="998"/>
    </row>
    <row r="360" spans="1:26" ht="18.75">
      <c r="A360" s="1002"/>
      <c r="B360" s="1010"/>
      <c r="C360" s="1003"/>
      <c r="D360" s="1010"/>
      <c r="E360" s="1008" t="s">
        <v>162</v>
      </c>
      <c r="F360" s="1010"/>
      <c r="G360" s="1011"/>
      <c r="H360" s="762" t="s">
        <v>35</v>
      </c>
      <c r="I360" s="880">
        <f ca="1">IFERROR(__xludf.DUMMYFUNCTION("IMPORTRANGE(""https://docs.google.com/spreadsheets/d/1QqKyyYR6Q21VydFLVH3TRQUabQu_ym0Zz7PgGX0-kHA/edit?usp=sharing"",""แผน!EP84"")"),54)</f>
        <v>54</v>
      </c>
      <c r="J360" s="880">
        <f ca="1">IFERROR(__xludf.DUMMYFUNCTION("IMPORTRANGE(""https://docs.google.com/spreadsheets/d/1XWAQStnk-4SwqDmLtmXYiTMKHgktTP8We1SCoS47DrQ/edit?usp=sharing"",""จัดที่ดิน!Y84"")"),35)</f>
        <v>35</v>
      </c>
      <c r="K360" s="881">
        <f t="shared" ca="1" si="161"/>
        <v>64.81481481481481</v>
      </c>
      <c r="L360" s="998"/>
      <c r="M360" s="998"/>
      <c r="N360" s="998"/>
      <c r="O360" s="998"/>
      <c r="P360" s="998"/>
    </row>
    <row r="361" spans="1:26" ht="18.75">
      <c r="A361" s="1002"/>
      <c r="B361" s="1010"/>
      <c r="C361" s="1003"/>
      <c r="D361" s="1010"/>
      <c r="E361" s="1010"/>
      <c r="F361" s="1010"/>
      <c r="G361" s="1011"/>
      <c r="H361" s="762" t="s">
        <v>46</v>
      </c>
      <c r="I361" s="880">
        <v>0</v>
      </c>
      <c r="J361" s="880">
        <f ca="1">IFERROR(__xludf.DUMMYFUNCTION("IMPORTRANGE(""https://docs.google.com/spreadsheets/d/1XWAQStnk-4SwqDmLtmXYiTMKHgktTP8We1SCoS47DrQ/edit?usp=sharing"",""จัดที่ดิน!Z84"")"),178.3)</f>
        <v>178.3</v>
      </c>
      <c r="K361" s="881">
        <f t="shared" si="161"/>
        <v>0</v>
      </c>
      <c r="L361" s="998"/>
      <c r="M361" s="998"/>
      <c r="N361" s="998"/>
      <c r="O361" s="998"/>
      <c r="P361" s="998"/>
    </row>
    <row r="362" spans="1:26" ht="18.75">
      <c r="A362" s="1002"/>
      <c r="B362" s="1010"/>
      <c r="C362" s="1003"/>
      <c r="D362" s="1010"/>
      <c r="E362" s="1008" t="s">
        <v>163</v>
      </c>
      <c r="F362" s="1010"/>
      <c r="G362" s="1011"/>
      <c r="H362" s="762" t="s">
        <v>35</v>
      </c>
      <c r="I362" s="880">
        <f ca="1">IFERROR(__xludf.DUMMYFUNCTION("IMPORTRANGE(""https://docs.google.com/spreadsheets/d/1QqKyyYR6Q21VydFLVH3TRQUabQu_ym0Zz7PgGX0-kHA/edit?usp=sharing"",""แผน!EP84"")"),54)</f>
        <v>54</v>
      </c>
      <c r="J362" s="880">
        <f ca="1">IFERROR(__xludf.DUMMYFUNCTION("IMPORTRANGE(""https://docs.google.com/spreadsheets/d/1XWAQStnk-4SwqDmLtmXYiTMKHgktTP8We1SCoS47DrQ/edit?usp=sharing"",""จัดที่ดิน!AA84"")"),14)</f>
        <v>14</v>
      </c>
      <c r="K362" s="881">
        <f t="shared" ca="1" si="161"/>
        <v>25.925925925925927</v>
      </c>
      <c r="L362" s="998"/>
      <c r="M362" s="998"/>
      <c r="N362" s="998"/>
      <c r="O362" s="998"/>
      <c r="P362" s="998"/>
    </row>
    <row r="363" spans="1:26" ht="18.75">
      <c r="A363" s="1212" t="s">
        <v>164</v>
      </c>
      <c r="B363" s="1010"/>
      <c r="C363" s="1003"/>
      <c r="D363" s="1010"/>
      <c r="E363" s="1009"/>
      <c r="F363" s="1010"/>
      <c r="G363" s="1011"/>
      <c r="H363" s="762" t="s">
        <v>46</v>
      </c>
      <c r="I363" s="880">
        <v>0</v>
      </c>
      <c r="J363" s="880">
        <f ca="1">IFERROR(__xludf.DUMMYFUNCTION("IMPORTRANGE(""https://docs.google.com/spreadsheets/d/1XWAQStnk-4SwqDmLtmXYiTMKHgktTP8We1SCoS47DrQ/edit?usp=sharing"",""จัดที่ดิน!AB84"")"),113.28)</f>
        <v>113.28</v>
      </c>
      <c r="K363" s="881">
        <f t="shared" si="161"/>
        <v>0</v>
      </c>
      <c r="L363" s="998"/>
      <c r="M363" s="998"/>
      <c r="N363" s="998"/>
      <c r="O363" s="998"/>
      <c r="P363" s="998"/>
    </row>
    <row r="364" spans="1:26" ht="19.5">
      <c r="A364" s="1213"/>
      <c r="B364" s="1214"/>
      <c r="C364" s="1215"/>
      <c r="D364" s="1216" t="s">
        <v>165</v>
      </c>
      <c r="E364" s="1217"/>
      <c r="F364" s="1217"/>
      <c r="G364" s="1218"/>
      <c r="H364" s="478" t="s">
        <v>35</v>
      </c>
      <c r="I364" s="1219">
        <f t="shared" ref="I364:J364" ca="1" si="162">I365+I374</f>
        <v>74</v>
      </c>
      <c r="J364" s="1219">
        <f t="shared" ca="1" si="162"/>
        <v>36</v>
      </c>
      <c r="K364" s="1220">
        <f t="shared" ca="1" si="161"/>
        <v>48.648648648648646</v>
      </c>
      <c r="L364" s="1221"/>
      <c r="M364" s="1221"/>
      <c r="N364" s="1221"/>
      <c r="O364" s="1221"/>
      <c r="P364" s="122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222"/>
      <c r="B365" s="1223"/>
      <c r="C365" s="1224"/>
      <c r="D365" s="1224" t="s">
        <v>166</v>
      </c>
      <c r="E365" s="1225"/>
      <c r="F365" s="1225"/>
      <c r="G365" s="1226"/>
      <c r="H365" s="489" t="s">
        <v>35</v>
      </c>
      <c r="I365" s="1227">
        <f ca="1">IFERROR(__xludf.DUMMYFUNCTION("IMPORTRANGE(""https://docs.google.com/spreadsheets/d/1QqKyyYR6Q21VydFLVH3TRQUabQu_ym0Zz7PgGX0-kHA/edit?usp=sharing"",""แผน!EJ84"")"),34)</f>
        <v>34</v>
      </c>
      <c r="J365" s="1227">
        <f ca="1">J372</f>
        <v>0</v>
      </c>
      <c r="K365" s="1228">
        <f t="shared" ca="1" si="161"/>
        <v>0</v>
      </c>
      <c r="L365" s="1229"/>
      <c r="M365" s="1229"/>
      <c r="N365" s="1229"/>
      <c r="O365" s="1229"/>
      <c r="P365" s="1229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222"/>
      <c r="B366" s="1223"/>
      <c r="C366" s="1224"/>
      <c r="D366" s="1230" t="s">
        <v>167</v>
      </c>
      <c r="E366" s="1225"/>
      <c r="F366" s="1225"/>
      <c r="G366" s="1226"/>
      <c r="H366" s="1231"/>
      <c r="I366" s="1232"/>
      <c r="J366" s="1232"/>
      <c r="K366" s="1229"/>
      <c r="L366" s="1229"/>
      <c r="M366" s="1229"/>
      <c r="N366" s="1229"/>
      <c r="O366" s="1229"/>
      <c r="P366" s="1229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002"/>
      <c r="B367" s="1003"/>
      <c r="C367" s="999" t="s">
        <v>16</v>
      </c>
      <c r="D367" s="1004" t="s">
        <v>38</v>
      </c>
      <c r="E367" s="1005"/>
      <c r="F367" s="1005"/>
      <c r="G367" s="1006"/>
      <c r="H367" s="1007"/>
      <c r="I367" s="880"/>
      <c r="J367" s="880"/>
      <c r="K367" s="881"/>
      <c r="L367" s="998"/>
      <c r="M367" s="998"/>
      <c r="N367" s="998"/>
      <c r="O367" s="998"/>
      <c r="P367" s="998"/>
    </row>
    <row r="368" spans="1:26" ht="18.75">
      <c r="A368" s="1002"/>
      <c r="B368" s="1010"/>
      <c r="C368" s="1003"/>
      <c r="D368" s="1010"/>
      <c r="E368" s="1008" t="s">
        <v>161</v>
      </c>
      <c r="F368" s="1010"/>
      <c r="G368" s="1011"/>
      <c r="H368" s="185" t="s">
        <v>35</v>
      </c>
      <c r="I368" s="880">
        <v>0</v>
      </c>
      <c r="J368" s="880">
        <f ca="1">IFERROR(__xludf.DUMMYFUNCTION("IMPORTRANGE(""https://docs.google.com/spreadsheets/d/1XWAQStnk-4SwqDmLtmXYiTMKHgktTP8We1SCoS47DrQ/edit?usp=sharing"",""จัดที่ดิน!E84"")"),22)</f>
        <v>22</v>
      </c>
      <c r="K368" s="881">
        <f t="shared" ref="K368:K374" si="163">IF(I368&gt;0,J368*100/I368,0)</f>
        <v>0</v>
      </c>
      <c r="L368" s="998"/>
      <c r="M368" s="998"/>
      <c r="N368" s="998"/>
      <c r="O368" s="998"/>
      <c r="P368" s="998"/>
    </row>
    <row r="369" spans="1:26" ht="18.75">
      <c r="A369" s="1002"/>
      <c r="B369" s="1010"/>
      <c r="C369" s="1003"/>
      <c r="D369" s="1010"/>
      <c r="E369" s="1010"/>
      <c r="F369" s="1010"/>
      <c r="G369" s="1011"/>
      <c r="H369" s="185" t="s">
        <v>46</v>
      </c>
      <c r="I369" s="880">
        <f ca="1">IFERROR(__xludf.DUMMYFUNCTION("IMPORTRANGE(""https://docs.google.com/spreadsheets/d/1QqKyyYR6Q21VydFLVH3TRQUabQu_ym0Zz7PgGX0-kHA/edit?usp=sharing"",""แผน!EI84"")"),340)</f>
        <v>340</v>
      </c>
      <c r="J369" s="880">
        <f ca="1">IFERROR(__xludf.DUMMYFUNCTION("IMPORTRANGE(""https://docs.google.com/spreadsheets/d/1XWAQStnk-4SwqDmLtmXYiTMKHgktTP8We1SCoS47DrQ/edit?usp=sharing"",""จัดที่ดิน!F84"")"),206.65)</f>
        <v>206.65</v>
      </c>
      <c r="K369" s="881">
        <f t="shared" ca="1" si="163"/>
        <v>60.779411764705884</v>
      </c>
      <c r="L369" s="998"/>
      <c r="M369" s="998"/>
      <c r="N369" s="998"/>
      <c r="O369" s="998"/>
      <c r="P369" s="998"/>
    </row>
    <row r="370" spans="1:26" ht="18.75">
      <c r="A370" s="1002"/>
      <c r="B370" s="1010"/>
      <c r="C370" s="1003"/>
      <c r="D370" s="1010"/>
      <c r="E370" s="1008" t="s">
        <v>162</v>
      </c>
      <c r="F370" s="1010"/>
      <c r="G370" s="1011"/>
      <c r="H370" s="762" t="s">
        <v>35</v>
      </c>
      <c r="I370" s="880">
        <f ca="1">IFERROR(__xludf.DUMMYFUNCTION("IMPORTRANGE(""https://docs.google.com/spreadsheets/d/1QqKyyYR6Q21VydFLVH3TRQUabQu_ym0Zz7PgGX0-kHA/edit?usp=sharing"",""แผน!EJ84"")"),34)</f>
        <v>34</v>
      </c>
      <c r="J370" s="880">
        <f ca="1">IFERROR(__xludf.DUMMYFUNCTION("IMPORTRANGE(""https://docs.google.com/spreadsheets/d/1XWAQStnk-4SwqDmLtmXYiTMKHgktTP8We1SCoS47DrQ/edit?usp=sharing"",""จัดที่ดิน!G84"")"),21)</f>
        <v>21</v>
      </c>
      <c r="K370" s="881">
        <f t="shared" ca="1" si="163"/>
        <v>61.764705882352942</v>
      </c>
      <c r="L370" s="998"/>
      <c r="M370" s="998"/>
      <c r="N370" s="998"/>
      <c r="O370" s="998"/>
      <c r="P370" s="998"/>
    </row>
    <row r="371" spans="1:26" ht="18.75">
      <c r="A371" s="1002"/>
      <c r="B371" s="1010"/>
      <c r="C371" s="1003"/>
      <c r="D371" s="1010"/>
      <c r="E371" s="1010"/>
      <c r="F371" s="1010"/>
      <c r="G371" s="1011"/>
      <c r="H371" s="762" t="s">
        <v>46</v>
      </c>
      <c r="I371" s="880">
        <v>0</v>
      </c>
      <c r="J371" s="880">
        <f ca="1">IFERROR(__xludf.DUMMYFUNCTION("IMPORTRANGE(""https://docs.google.com/spreadsheets/d/1XWAQStnk-4SwqDmLtmXYiTMKHgktTP8We1SCoS47DrQ/edit?usp=sharing"",""จัดที่ดิน!H84"")"),65.02)</f>
        <v>65.02</v>
      </c>
      <c r="K371" s="881">
        <f t="shared" si="163"/>
        <v>0</v>
      </c>
      <c r="L371" s="998"/>
      <c r="M371" s="998"/>
      <c r="N371" s="998"/>
      <c r="O371" s="998"/>
      <c r="P371" s="998"/>
    </row>
    <row r="372" spans="1:26" ht="18.75">
      <c r="A372" s="1002"/>
      <c r="B372" s="1010"/>
      <c r="C372" s="1003"/>
      <c r="D372" s="1010"/>
      <c r="E372" s="1008" t="s">
        <v>163</v>
      </c>
      <c r="F372" s="1010"/>
      <c r="G372" s="1011"/>
      <c r="H372" s="762" t="s">
        <v>35</v>
      </c>
      <c r="I372" s="880">
        <f ca="1">IFERROR(__xludf.DUMMYFUNCTION("IMPORTRANGE(""https://docs.google.com/spreadsheets/d/1QqKyyYR6Q21VydFLVH3TRQUabQu_ym0Zz7PgGX0-kHA/edit?usp=sharing"",""แผน!EJ84"")"),34)</f>
        <v>34</v>
      </c>
      <c r="J372" s="880">
        <f ca="1">IFERROR(__xludf.DUMMYFUNCTION("IMPORTRANGE(""https://docs.google.com/spreadsheets/d/1XWAQStnk-4SwqDmLtmXYiTMKHgktTP8We1SCoS47DrQ/edit?usp=sharing"",""จัดที่ดิน!I84"")"),0)</f>
        <v>0</v>
      </c>
      <c r="K372" s="881">
        <f t="shared" ca="1" si="163"/>
        <v>0</v>
      </c>
      <c r="L372" s="998"/>
      <c r="M372" s="998"/>
      <c r="N372" s="998"/>
      <c r="O372" s="998"/>
      <c r="P372" s="998"/>
    </row>
    <row r="373" spans="1:26" ht="18.75">
      <c r="A373" s="1212" t="s">
        <v>164</v>
      </c>
      <c r="B373" s="1010"/>
      <c r="C373" s="1003"/>
      <c r="D373" s="1010"/>
      <c r="E373" s="1009"/>
      <c r="F373" s="1010"/>
      <c r="G373" s="1011"/>
      <c r="H373" s="762" t="s">
        <v>46</v>
      </c>
      <c r="I373" s="880">
        <v>0</v>
      </c>
      <c r="J373" s="880">
        <f ca="1">IFERROR(__xludf.DUMMYFUNCTION("IMPORTRANGE(""https://docs.google.com/spreadsheets/d/1XWAQStnk-4SwqDmLtmXYiTMKHgktTP8We1SCoS47DrQ/edit?usp=sharing"",""จัดที่ดิน!J84"")"),0)</f>
        <v>0</v>
      </c>
      <c r="K373" s="881">
        <f t="shared" si="163"/>
        <v>0</v>
      </c>
      <c r="L373" s="998"/>
      <c r="M373" s="998"/>
      <c r="N373" s="998"/>
      <c r="O373" s="998"/>
      <c r="P373" s="998"/>
    </row>
    <row r="374" spans="1:26" ht="19.5">
      <c r="A374" s="1222"/>
      <c r="B374" s="1223"/>
      <c r="C374" s="1224"/>
      <c r="D374" s="1224" t="s">
        <v>168</v>
      </c>
      <c r="E374" s="1225"/>
      <c r="F374" s="1225"/>
      <c r="G374" s="1226"/>
      <c r="H374" s="489" t="s">
        <v>35</v>
      </c>
      <c r="I374" s="1233">
        <f ca="1">IFERROR(__xludf.DUMMYFUNCTION("IMPORTRANGE(""https://docs.google.com/spreadsheets/d/1QqKyyYR6Q21VydFLVH3TRQUabQu_ym0Zz7PgGX0-kHA/edit?usp=sharing"",""แผน!EU84"")"),40)</f>
        <v>40</v>
      </c>
      <c r="J374" s="1227">
        <f ca="1">J381</f>
        <v>36</v>
      </c>
      <c r="K374" s="1228">
        <f t="shared" ca="1" si="163"/>
        <v>90</v>
      </c>
      <c r="L374" s="1229"/>
      <c r="M374" s="1229"/>
      <c r="N374" s="1229"/>
      <c r="O374" s="1229"/>
      <c r="P374" s="1229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222"/>
      <c r="B375" s="1223"/>
      <c r="C375" s="1224"/>
      <c r="D375" s="1230" t="s">
        <v>169</v>
      </c>
      <c r="E375" s="1225"/>
      <c r="F375" s="1225"/>
      <c r="G375" s="1226"/>
      <c r="H375" s="1231"/>
      <c r="I375" s="1232"/>
      <c r="J375" s="1232"/>
      <c r="K375" s="1229"/>
      <c r="L375" s="1229"/>
      <c r="M375" s="1229"/>
      <c r="N375" s="1229"/>
      <c r="O375" s="1229"/>
      <c r="P375" s="1229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002"/>
      <c r="B376" s="1003"/>
      <c r="C376" s="999" t="s">
        <v>16</v>
      </c>
      <c r="D376" s="1004" t="s">
        <v>38</v>
      </c>
      <c r="E376" s="1005"/>
      <c r="F376" s="1005"/>
      <c r="G376" s="1006"/>
      <c r="H376" s="1007"/>
      <c r="I376" s="880"/>
      <c r="J376" s="880"/>
      <c r="K376" s="881"/>
      <c r="L376" s="998"/>
      <c r="M376" s="998"/>
      <c r="N376" s="998"/>
      <c r="O376" s="998"/>
      <c r="P376" s="998"/>
    </row>
    <row r="377" spans="1:26" ht="18.75">
      <c r="A377" s="1002"/>
      <c r="B377" s="1010"/>
      <c r="C377" s="1003"/>
      <c r="D377" s="1010"/>
      <c r="E377" s="1008" t="s">
        <v>161</v>
      </c>
      <c r="F377" s="1010"/>
      <c r="G377" s="1011"/>
      <c r="H377" s="185" t="s">
        <v>35</v>
      </c>
      <c r="I377" s="880">
        <v>0</v>
      </c>
      <c r="J377" s="880">
        <f ca="1">IFERROR(__xludf.DUMMYFUNCTION("IMPORTRANGE(""https://docs.google.com/spreadsheets/d/1XWAQStnk-4SwqDmLtmXYiTMKHgktTP8We1SCoS47DrQ/edit?usp=sharing"",""จัดที่ดิน!AH84"")"),14)</f>
        <v>14</v>
      </c>
      <c r="K377" s="881">
        <f t="shared" ref="K377:K382" si="164">IF(I377&gt;0,J377*100/I377,0)</f>
        <v>0</v>
      </c>
      <c r="L377" s="998"/>
      <c r="M377" s="998"/>
      <c r="N377" s="998"/>
      <c r="O377" s="998"/>
      <c r="P377" s="998"/>
    </row>
    <row r="378" spans="1:26" ht="18.75">
      <c r="A378" s="1002"/>
      <c r="B378" s="1010"/>
      <c r="C378" s="1003"/>
      <c r="D378" s="1010"/>
      <c r="E378" s="1010"/>
      <c r="F378" s="1010"/>
      <c r="G378" s="1011"/>
      <c r="H378" s="185" t="s">
        <v>46</v>
      </c>
      <c r="I378" s="880">
        <f ca="1">IFERROR(__xludf.DUMMYFUNCTION("IMPORTRANGE(""https://docs.google.com/spreadsheets/d/1QqKyyYR6Q21VydFLVH3TRQUabQu_ym0Zz7PgGX0-kHA/edit?usp=sharing"",""แผน!ET84"")"),100)</f>
        <v>100</v>
      </c>
      <c r="J378" s="880">
        <f ca="1">IFERROR(__xludf.DUMMYFUNCTION("IMPORTRANGE(""https://docs.google.com/spreadsheets/d/1XWAQStnk-4SwqDmLtmXYiTMKHgktTP8We1SCoS47DrQ/edit?usp=sharing"",""จัดที่ดิน!AI84"")"),113.28)</f>
        <v>113.28</v>
      </c>
      <c r="K378" s="881">
        <f t="shared" ca="1" si="164"/>
        <v>113.28</v>
      </c>
      <c r="L378" s="998"/>
      <c r="M378" s="998"/>
      <c r="N378" s="998"/>
      <c r="O378" s="998"/>
      <c r="P378" s="998"/>
    </row>
    <row r="379" spans="1:26" ht="18.75">
      <c r="A379" s="1002"/>
      <c r="B379" s="1010"/>
      <c r="C379" s="1003"/>
      <c r="D379" s="1010"/>
      <c r="E379" s="1008" t="s">
        <v>162</v>
      </c>
      <c r="F379" s="1010"/>
      <c r="G379" s="1011"/>
      <c r="H379" s="762" t="s">
        <v>35</v>
      </c>
      <c r="I379" s="880">
        <f ca="1">IFERROR(__xludf.DUMMYFUNCTION("IMPORTRANGE(""https://docs.google.com/spreadsheets/d/1QqKyyYR6Q21VydFLVH3TRQUabQu_ym0Zz7PgGX0-kHA/edit?usp=sharing"",""แผน!EU84"")"),40)</f>
        <v>40</v>
      </c>
      <c r="J379" s="880">
        <f ca="1">IFERROR(__xludf.DUMMYFUNCTION("IMPORTRANGE(""https://docs.google.com/spreadsheets/d/1XWAQStnk-4SwqDmLtmXYiTMKHgktTP8We1SCoS47DrQ/edit?usp=sharing"",""จัดที่ดิน!AJ84"")"),36)</f>
        <v>36</v>
      </c>
      <c r="K379" s="881">
        <f t="shared" ca="1" si="164"/>
        <v>90</v>
      </c>
      <c r="L379" s="998"/>
      <c r="M379" s="998"/>
      <c r="N379" s="998"/>
      <c r="O379" s="998"/>
      <c r="P379" s="998"/>
    </row>
    <row r="380" spans="1:26" ht="18.75">
      <c r="A380" s="1002"/>
      <c r="B380" s="1010"/>
      <c r="C380" s="1003"/>
      <c r="D380" s="1010"/>
      <c r="E380" s="1010"/>
      <c r="F380" s="1010"/>
      <c r="G380" s="1011"/>
      <c r="H380" s="762" t="s">
        <v>46</v>
      </c>
      <c r="I380" s="880">
        <v>0</v>
      </c>
      <c r="J380" s="880">
        <f ca="1">IFERROR(__xludf.DUMMYFUNCTION("IMPORTRANGE(""https://docs.google.com/spreadsheets/d/1XWAQStnk-4SwqDmLtmXYiTMKHgktTP8We1SCoS47DrQ/edit?usp=sharing"",""จัดที่ดิน!AK84"")"),259.289999999999)</f>
        <v>259.289999999999</v>
      </c>
      <c r="K380" s="881">
        <f t="shared" si="164"/>
        <v>0</v>
      </c>
      <c r="L380" s="998"/>
      <c r="M380" s="998"/>
      <c r="N380" s="998"/>
      <c r="O380" s="998"/>
      <c r="P380" s="998"/>
    </row>
    <row r="381" spans="1:26" ht="18.75">
      <c r="A381" s="1002"/>
      <c r="B381" s="1010"/>
      <c r="C381" s="1003"/>
      <c r="D381" s="1010"/>
      <c r="E381" s="1008" t="s">
        <v>163</v>
      </c>
      <c r="F381" s="1010"/>
      <c r="G381" s="1011"/>
      <c r="H381" s="762" t="s">
        <v>35</v>
      </c>
      <c r="I381" s="880">
        <f ca="1">IFERROR(__xludf.DUMMYFUNCTION("IMPORTRANGE(""https://docs.google.com/spreadsheets/d/1QqKyyYR6Q21VydFLVH3TRQUabQu_ym0Zz7PgGX0-kHA/edit?usp=sharing"",""แผน!EU84"")"),40)</f>
        <v>40</v>
      </c>
      <c r="J381" s="880">
        <f ca="1">IFERROR(__xludf.DUMMYFUNCTION("IMPORTRANGE(""https://docs.google.com/spreadsheets/d/1XWAQStnk-4SwqDmLtmXYiTMKHgktTP8We1SCoS47DrQ/edit?usp=sharing"",""จัดที่ดิน!AL84"")"),36)</f>
        <v>36</v>
      </c>
      <c r="K381" s="881">
        <f t="shared" ca="1" si="164"/>
        <v>90</v>
      </c>
      <c r="L381" s="998"/>
      <c r="M381" s="998"/>
      <c r="N381" s="998"/>
      <c r="O381" s="998"/>
      <c r="P381" s="998"/>
    </row>
    <row r="382" spans="1:26" ht="18.75">
      <c r="A382" s="1212" t="s">
        <v>164</v>
      </c>
      <c r="B382" s="1010"/>
      <c r="C382" s="1003"/>
      <c r="D382" s="1010"/>
      <c r="E382" s="1009"/>
      <c r="F382" s="1010"/>
      <c r="G382" s="1011"/>
      <c r="H382" s="762" t="s">
        <v>46</v>
      </c>
      <c r="I382" s="880">
        <v>0</v>
      </c>
      <c r="J382" s="880">
        <f ca="1">IFERROR(__xludf.DUMMYFUNCTION("IMPORTRANGE(""https://docs.google.com/spreadsheets/d/1XWAQStnk-4SwqDmLtmXYiTMKHgktTP8We1SCoS47DrQ/edit?usp=sharing"",""จัดที่ดิน!AM84"")"),259.289999999999)</f>
        <v>259.289999999999</v>
      </c>
      <c r="K382" s="881">
        <f t="shared" si="164"/>
        <v>0</v>
      </c>
      <c r="L382" s="998"/>
      <c r="M382" s="998"/>
      <c r="N382" s="998"/>
      <c r="O382" s="998"/>
      <c r="P382" s="998"/>
    </row>
    <row r="383" spans="1:26" ht="19.5">
      <c r="A383" s="1234"/>
      <c r="B383" s="1235"/>
      <c r="C383" s="1091"/>
      <c r="D383" s="1236" t="s">
        <v>170</v>
      </c>
      <c r="E383" s="1091"/>
      <c r="F383" s="1091"/>
      <c r="G383" s="1237"/>
      <c r="H383" s="1199"/>
      <c r="I383" s="1067"/>
      <c r="J383" s="1067"/>
      <c r="K383" s="1068"/>
      <c r="L383" s="1068"/>
      <c r="M383" s="1068"/>
      <c r="N383" s="1068"/>
      <c r="O383" s="1068"/>
      <c r="P383" s="1068"/>
    </row>
    <row r="384" spans="1:26" ht="19.5">
      <c r="A384" s="1002"/>
      <c r="B384" s="1003"/>
      <c r="C384" s="877" t="s">
        <v>16</v>
      </c>
      <c r="D384" s="1004" t="s">
        <v>38</v>
      </c>
      <c r="E384" s="1005"/>
      <c r="F384" s="1005"/>
      <c r="G384" s="1006"/>
      <c r="H384" s="1007"/>
      <c r="I384" s="880"/>
      <c r="J384" s="880"/>
      <c r="K384" s="881"/>
      <c r="L384" s="998"/>
      <c r="M384" s="998"/>
      <c r="N384" s="998"/>
      <c r="O384" s="998"/>
      <c r="P384" s="998"/>
    </row>
    <row r="385" spans="1:26" ht="18.75">
      <c r="A385" s="1133"/>
      <c r="B385" s="1136"/>
      <c r="C385" s="1134"/>
      <c r="D385" s="1136"/>
      <c r="E385" s="1238" t="s">
        <v>171</v>
      </c>
      <c r="F385" s="1136"/>
      <c r="G385" s="1137"/>
      <c r="H385" s="504" t="s">
        <v>35</v>
      </c>
      <c r="I385" s="1138">
        <f ca="1">IFERROR(__xludf.DUMMYFUNCTION("IMPORTRANGE(""https://docs.google.com/spreadsheets/d/1QqKyyYR6Q21VydFLVH3TRQUabQu_ym0Zz7PgGX0-kHA/edit?usp=sharing"",""แผน!EW84"")"),10)</f>
        <v>10</v>
      </c>
      <c r="J385" s="1138">
        <f ca="1">IFERROR(__xludf.DUMMYFUNCTION("IMPORTRANGE(""https://docs.google.com/spreadsheets/d/1XWAQStnk-4SwqDmLtmXYiTMKHgktTP8We1SCoS47DrQ/edit?usp=sharing"",""จัดที่ดิน!AP84"")"),0)</f>
        <v>0</v>
      </c>
      <c r="K385" s="1239">
        <f ca="1">IF(I385&gt;0,J385*100/I385,0)</f>
        <v>0</v>
      </c>
      <c r="L385" s="1139"/>
      <c r="M385" s="1139"/>
      <c r="N385" s="1139"/>
      <c r="O385" s="1139"/>
      <c r="P385" s="1139"/>
    </row>
    <row r="386" spans="1:26" ht="19.5" hidden="1">
      <c r="A386" s="1240" t="s">
        <v>172</v>
      </c>
      <c r="B386" s="1241"/>
      <c r="C386" s="1241"/>
      <c r="D386" s="1241"/>
      <c r="E386" s="1242"/>
      <c r="F386" s="1242"/>
      <c r="G386" s="1243"/>
      <c r="H386" s="1244"/>
      <c r="I386" s="1245"/>
      <c r="J386" s="1245"/>
      <c r="K386" s="1246"/>
      <c r="L386" s="1246"/>
      <c r="M386" s="1246"/>
      <c r="N386" s="1246"/>
      <c r="O386" s="1246"/>
      <c r="P386" s="1246"/>
    </row>
    <row r="387" spans="1:26" ht="19.5" hidden="1">
      <c r="A387" s="1247" t="s">
        <v>173</v>
      </c>
      <c r="B387" s="1248"/>
      <c r="C387" s="1248"/>
      <c r="D387" s="1249"/>
      <c r="E387" s="1248"/>
      <c r="F387" s="1248"/>
      <c r="G387" s="1248"/>
      <c r="H387" s="1250"/>
      <c r="I387" s="1251"/>
      <c r="J387" s="1251"/>
      <c r="K387" s="1252"/>
      <c r="L387" s="1252"/>
      <c r="M387" s="1252"/>
      <c r="N387" s="1252"/>
      <c r="O387" s="1252"/>
      <c r="P387" s="1252"/>
    </row>
    <row r="388" spans="1:26" ht="19.5" hidden="1">
      <c r="A388" s="1253"/>
      <c r="B388" s="1254" t="s">
        <v>174</v>
      </c>
      <c r="C388" s="1255"/>
      <c r="D388" s="1256"/>
      <c r="E388" s="1256"/>
      <c r="F388" s="1256"/>
      <c r="G388" s="1257"/>
      <c r="H388" s="525" t="s">
        <v>66</v>
      </c>
      <c r="I388" s="1258">
        <f t="shared" ref="I388:J388" si="165">I400</f>
        <v>0</v>
      </c>
      <c r="J388" s="1258">
        <f t="shared" si="165"/>
        <v>0</v>
      </c>
      <c r="K388" s="1259">
        <f>IF(I388&gt;0,J388*100/I388,0)</f>
        <v>0</v>
      </c>
      <c r="L388" s="1260"/>
      <c r="M388" s="1260"/>
      <c r="N388" s="1260"/>
      <c r="O388" s="1260"/>
      <c r="P388" s="1260"/>
    </row>
    <row r="389" spans="1:26" ht="19.5" hidden="1">
      <c r="A389" s="985"/>
      <c r="B389" s="986"/>
      <c r="C389" s="987" t="s">
        <v>16</v>
      </c>
      <c r="D389" s="988" t="s">
        <v>17</v>
      </c>
      <c r="E389" s="986"/>
      <c r="F389" s="986"/>
      <c r="G389" s="989"/>
      <c r="H389" s="152" t="s">
        <v>12</v>
      </c>
      <c r="I389" s="990"/>
      <c r="J389" s="990"/>
      <c r="K389" s="991"/>
      <c r="L389" s="992">
        <f t="shared" ref="L389:N389" ca="1" si="166">L390+L391</f>
        <v>0</v>
      </c>
      <c r="M389" s="992">
        <f t="shared" ca="1" si="166"/>
        <v>0</v>
      </c>
      <c r="N389" s="992">
        <f t="shared" ca="1" si="166"/>
        <v>0</v>
      </c>
      <c r="O389" s="992">
        <f t="shared" ref="O389:O397" ca="1" si="167">IF(L389&gt;0,N389*100/L389,0)</f>
        <v>0</v>
      </c>
      <c r="P389" s="992">
        <f t="shared" ref="P389:P397" ca="1" si="168">IF(M389&gt;0,N389*100/M389,0)</f>
        <v>0</v>
      </c>
      <c r="Q389" s="868"/>
      <c r="R389" s="868"/>
      <c r="S389" s="868"/>
      <c r="T389" s="868"/>
      <c r="U389" s="868"/>
      <c r="V389" s="868"/>
      <c r="W389" s="868"/>
      <c r="X389" s="868"/>
      <c r="Y389" s="868"/>
      <c r="Z389" s="868"/>
    </row>
    <row r="390" spans="1:26" ht="18.75" hidden="1">
      <c r="A390" s="993"/>
      <c r="B390" s="883"/>
      <c r="C390" s="883"/>
      <c r="D390" s="883"/>
      <c r="E390" s="884" t="s">
        <v>18</v>
      </c>
      <c r="F390" s="883"/>
      <c r="G390" s="994"/>
      <c r="H390" s="158" t="s">
        <v>12</v>
      </c>
      <c r="I390" s="886"/>
      <c r="J390" s="886"/>
      <c r="K390" s="887"/>
      <c r="L390" s="887">
        <f t="shared" ref="L390:N391" si="169">L393+L396</f>
        <v>0</v>
      </c>
      <c r="M390" s="887">
        <f t="shared" si="169"/>
        <v>0</v>
      </c>
      <c r="N390" s="887">
        <f t="shared" si="169"/>
        <v>0</v>
      </c>
      <c r="O390" s="887">
        <f t="shared" si="167"/>
        <v>0</v>
      </c>
      <c r="P390" s="887">
        <f t="shared" si="168"/>
        <v>0</v>
      </c>
      <c r="Q390" s="875"/>
      <c r="R390" s="875"/>
      <c r="S390" s="875"/>
      <c r="T390" s="875"/>
      <c r="U390" s="875"/>
      <c r="V390" s="875"/>
      <c r="W390" s="875"/>
      <c r="X390" s="875"/>
      <c r="Y390" s="875"/>
      <c r="Z390" s="875"/>
    </row>
    <row r="391" spans="1:26" ht="18.75" hidden="1">
      <c r="A391" s="993"/>
      <c r="B391" s="883"/>
      <c r="C391" s="883"/>
      <c r="D391" s="883"/>
      <c r="E391" s="884" t="s">
        <v>19</v>
      </c>
      <c r="F391" s="883"/>
      <c r="G391" s="994"/>
      <c r="H391" s="158" t="s">
        <v>12</v>
      </c>
      <c r="I391" s="886"/>
      <c r="J391" s="886"/>
      <c r="K391" s="887"/>
      <c r="L391" s="887">
        <f t="shared" ca="1" si="169"/>
        <v>0</v>
      </c>
      <c r="M391" s="887">
        <f t="shared" ca="1" si="169"/>
        <v>0</v>
      </c>
      <c r="N391" s="887">
        <f t="shared" ca="1" si="169"/>
        <v>0</v>
      </c>
      <c r="O391" s="887">
        <f t="shared" ca="1" si="167"/>
        <v>0</v>
      </c>
      <c r="P391" s="887">
        <f t="shared" ca="1" si="168"/>
        <v>0</v>
      </c>
      <c r="Q391" s="875"/>
      <c r="R391" s="875"/>
      <c r="S391" s="875"/>
      <c r="T391" s="875"/>
      <c r="U391" s="875"/>
      <c r="V391" s="875"/>
      <c r="W391" s="875"/>
      <c r="X391" s="875"/>
      <c r="Y391" s="875"/>
      <c r="Z391" s="875"/>
    </row>
    <row r="392" spans="1:26" ht="18.75" hidden="1">
      <c r="A392" s="995"/>
      <c r="B392" s="877"/>
      <c r="C392" s="996"/>
      <c r="D392" s="878" t="s">
        <v>20</v>
      </c>
      <c r="E392" s="877"/>
      <c r="F392" s="877"/>
      <c r="G392" s="879"/>
      <c r="H392" s="161" t="s">
        <v>12</v>
      </c>
      <c r="I392" s="997"/>
      <c r="J392" s="997"/>
      <c r="K392" s="998"/>
      <c r="L392" s="881">
        <f t="shared" ref="L392:N392" ca="1" si="170">L393+L394</f>
        <v>0</v>
      </c>
      <c r="M392" s="881">
        <f t="shared" ca="1" si="170"/>
        <v>0</v>
      </c>
      <c r="N392" s="881">
        <f t="shared" ca="1" si="170"/>
        <v>0</v>
      </c>
      <c r="O392" s="881">
        <f t="shared" ca="1" si="167"/>
        <v>0</v>
      </c>
      <c r="P392" s="881">
        <f t="shared" ca="1" si="168"/>
        <v>0</v>
      </c>
      <c r="Q392" s="868"/>
      <c r="R392" s="868"/>
      <c r="S392" s="868"/>
      <c r="T392" s="868"/>
      <c r="U392" s="868"/>
      <c r="V392" s="868"/>
      <c r="W392" s="868"/>
      <c r="X392" s="868"/>
      <c r="Y392" s="868"/>
      <c r="Z392" s="868"/>
    </row>
    <row r="393" spans="1:26" ht="19.5" hidden="1">
      <c r="A393" s="993"/>
      <c r="B393" s="883"/>
      <c r="C393" s="999"/>
      <c r="D393" s="883"/>
      <c r="E393" s="884" t="s">
        <v>36</v>
      </c>
      <c r="F393" s="883"/>
      <c r="G393" s="994"/>
      <c r="H393" s="165" t="s">
        <v>12</v>
      </c>
      <c r="I393" s="1000"/>
      <c r="J393" s="1000"/>
      <c r="K393" s="1001"/>
      <c r="L393" s="887">
        <v>0</v>
      </c>
      <c r="M393" s="887">
        <v>0</v>
      </c>
      <c r="N393" s="887">
        <v>0</v>
      </c>
      <c r="O393" s="887">
        <f t="shared" si="167"/>
        <v>0</v>
      </c>
      <c r="P393" s="887">
        <f t="shared" si="168"/>
        <v>0</v>
      </c>
      <c r="Q393" s="875"/>
      <c r="R393" s="875"/>
      <c r="S393" s="875"/>
      <c r="T393" s="875"/>
      <c r="U393" s="875"/>
      <c r="V393" s="875"/>
      <c r="W393" s="875"/>
      <c r="X393" s="875"/>
      <c r="Y393" s="875"/>
      <c r="Z393" s="875"/>
    </row>
    <row r="394" spans="1:26" ht="19.5" hidden="1">
      <c r="A394" s="993"/>
      <c r="B394" s="883"/>
      <c r="C394" s="999"/>
      <c r="D394" s="883"/>
      <c r="E394" s="884" t="s">
        <v>37</v>
      </c>
      <c r="F394" s="883"/>
      <c r="G394" s="994"/>
      <c r="H394" s="165" t="s">
        <v>12</v>
      </c>
      <c r="I394" s="1000"/>
      <c r="J394" s="1000"/>
      <c r="K394" s="1001"/>
      <c r="L394" s="887">
        <f ca="1">IFERROR(__xludf.DUMMYFUNCTION("IMPORTRANGE(""https://docs.google.com/spreadsheets/d/1MeEWN-I1oV_STSDYn1IFDPWt_1FKiwhDph83XaGc0o0/edit?usp=sharing"",""งบพรบ!FG84"")"),0)</f>
        <v>0</v>
      </c>
      <c r="M394" s="887">
        <f ca="1">IFERROR(__xludf.DUMMYFUNCTION("IMPORTRANGE(""https://docs.google.com/spreadsheets/d/1MeEWN-I1oV_STSDYn1IFDPWt_1FKiwhDph83XaGc0o0/edit?usp=sharing"",""งบพรบ!FL84"")"),0)</f>
        <v>0</v>
      </c>
      <c r="N394" s="887">
        <f ca="1">IFERROR(__xludf.DUMMYFUNCTION("IMPORTRANGE(""https://docs.google.com/spreadsheets/d/1MeEWN-I1oV_STSDYn1IFDPWt_1FKiwhDph83XaGc0o0/edit?usp=sharing"",""งบพรบ!FN84"")"),0)</f>
        <v>0</v>
      </c>
      <c r="O394" s="887">
        <f t="shared" ca="1" si="167"/>
        <v>0</v>
      </c>
      <c r="P394" s="887">
        <f t="shared" ca="1" si="168"/>
        <v>0</v>
      </c>
      <c r="Q394" s="875"/>
      <c r="R394" s="875"/>
      <c r="S394" s="875"/>
      <c r="T394" s="875"/>
      <c r="U394" s="875"/>
      <c r="V394" s="875"/>
      <c r="W394" s="875"/>
      <c r="X394" s="875"/>
      <c r="Y394" s="875"/>
      <c r="Z394" s="875"/>
    </row>
    <row r="395" spans="1:26" ht="18.75" hidden="1">
      <c r="A395" s="995"/>
      <c r="B395" s="877"/>
      <c r="C395" s="996"/>
      <c r="D395" s="878" t="s">
        <v>21</v>
      </c>
      <c r="E395" s="877"/>
      <c r="F395" s="877"/>
      <c r="G395" s="879"/>
      <c r="H395" s="168" t="s">
        <v>12</v>
      </c>
      <c r="I395" s="997"/>
      <c r="J395" s="997"/>
      <c r="K395" s="998"/>
      <c r="L395" s="881">
        <f t="shared" ref="L395:N395" ca="1" si="171">L396+L397</f>
        <v>0</v>
      </c>
      <c r="M395" s="881">
        <f t="shared" ca="1" si="171"/>
        <v>0</v>
      </c>
      <c r="N395" s="881">
        <f t="shared" ca="1" si="171"/>
        <v>0</v>
      </c>
      <c r="O395" s="881">
        <f t="shared" ca="1" si="167"/>
        <v>0</v>
      </c>
      <c r="P395" s="881">
        <f t="shared" ca="1" si="168"/>
        <v>0</v>
      </c>
      <c r="Q395" s="868"/>
      <c r="R395" s="868"/>
      <c r="S395" s="868"/>
      <c r="T395" s="868"/>
      <c r="U395" s="868"/>
      <c r="V395" s="868"/>
      <c r="W395" s="868"/>
      <c r="X395" s="868"/>
      <c r="Y395" s="868"/>
      <c r="Z395" s="868"/>
    </row>
    <row r="396" spans="1:26" ht="19.5" hidden="1">
      <c r="A396" s="993"/>
      <c r="B396" s="883"/>
      <c r="C396" s="999"/>
      <c r="D396" s="883"/>
      <c r="E396" s="884" t="s">
        <v>18</v>
      </c>
      <c r="F396" s="883"/>
      <c r="G396" s="994"/>
      <c r="H396" s="165" t="s">
        <v>12</v>
      </c>
      <c r="I396" s="1000"/>
      <c r="J396" s="1000"/>
      <c r="K396" s="1001"/>
      <c r="L396" s="887">
        <v>0</v>
      </c>
      <c r="M396" s="887">
        <v>0</v>
      </c>
      <c r="N396" s="887">
        <v>0</v>
      </c>
      <c r="O396" s="887">
        <f t="shared" si="167"/>
        <v>0</v>
      </c>
      <c r="P396" s="887">
        <f t="shared" si="168"/>
        <v>0</v>
      </c>
      <c r="Q396" s="875"/>
      <c r="R396" s="875"/>
      <c r="S396" s="875"/>
      <c r="T396" s="875"/>
      <c r="U396" s="875"/>
      <c r="V396" s="875"/>
      <c r="W396" s="875"/>
      <c r="X396" s="875"/>
      <c r="Y396" s="875"/>
      <c r="Z396" s="875"/>
    </row>
    <row r="397" spans="1:26" ht="19.5" hidden="1">
      <c r="A397" s="993"/>
      <c r="B397" s="883"/>
      <c r="C397" s="999"/>
      <c r="D397" s="883"/>
      <c r="E397" s="884" t="s">
        <v>19</v>
      </c>
      <c r="F397" s="883"/>
      <c r="G397" s="994"/>
      <c r="H397" s="169" t="s">
        <v>12</v>
      </c>
      <c r="I397" s="1000"/>
      <c r="J397" s="1000"/>
      <c r="K397" s="1001"/>
      <c r="L397" s="887">
        <f ca="1">IFERROR(__xludf.DUMMYFUNCTION("IMPORTRANGE(""https://docs.google.com/spreadsheets/d/1MeEWN-I1oV_STSDYn1IFDPWt_1FKiwhDph83XaGc0o0/edit?usp=sharing"",""งบพรบ!FJ84"")"),0)</f>
        <v>0</v>
      </c>
      <c r="M397" s="887">
        <f ca="1">IFERROR(__xludf.DUMMYFUNCTION("IMPORTRANGE(""https://docs.google.com/spreadsheets/d/1MeEWN-I1oV_STSDYn1IFDPWt_1FKiwhDph83XaGc0o0/edit?usp=sharing"",""งบพรบ!FM84"")"),0)</f>
        <v>0</v>
      </c>
      <c r="N397" s="887">
        <f ca="1">IFERROR(__xludf.DUMMYFUNCTION("IMPORTRANGE(""https://docs.google.com/spreadsheets/d/1MeEWN-I1oV_STSDYn1IFDPWt_1FKiwhDph83XaGc0o0/edit?usp=sharing"",""งบพรบ!FO84"")"),0)</f>
        <v>0</v>
      </c>
      <c r="O397" s="887">
        <f t="shared" ca="1" si="167"/>
        <v>0</v>
      </c>
      <c r="P397" s="887">
        <f t="shared" ca="1" si="168"/>
        <v>0</v>
      </c>
      <c r="Q397" s="875"/>
      <c r="R397" s="875"/>
      <c r="S397" s="875"/>
      <c r="T397" s="875"/>
      <c r="U397" s="875"/>
      <c r="V397" s="875"/>
      <c r="W397" s="875"/>
      <c r="X397" s="875"/>
      <c r="Y397" s="875"/>
      <c r="Z397" s="875"/>
    </row>
    <row r="398" spans="1:26" ht="19.5" hidden="1">
      <c r="A398" s="1002"/>
      <c r="B398" s="1003"/>
      <c r="C398" s="999" t="s">
        <v>16</v>
      </c>
      <c r="D398" s="1004" t="s">
        <v>38</v>
      </c>
      <c r="E398" s="1005"/>
      <c r="F398" s="1005"/>
      <c r="G398" s="1006"/>
      <c r="H398" s="1007"/>
      <c r="I398" s="997"/>
      <c r="J398" s="880"/>
      <c r="K398" s="881"/>
      <c r="L398" s="881"/>
      <c r="M398" s="881"/>
      <c r="N398" s="881"/>
      <c r="O398" s="998"/>
      <c r="P398" s="998"/>
    </row>
    <row r="399" spans="1:26" ht="18.75" hidden="1">
      <c r="A399" s="1261"/>
      <c r="B399" s="986"/>
      <c r="C399" s="1262"/>
      <c r="D399" s="1021" t="s">
        <v>175</v>
      </c>
      <c r="E399" s="1166"/>
      <c r="F399" s="986"/>
      <c r="G399" s="989"/>
      <c r="H399" s="532" t="s">
        <v>9</v>
      </c>
      <c r="I399" s="880">
        <v>0</v>
      </c>
      <c r="J399" s="1012">
        <v>0</v>
      </c>
      <c r="K399" s="881">
        <f t="shared" ref="K399:K401" si="172">IF(I399&gt;0,J399*100/I399,0)</f>
        <v>0</v>
      </c>
      <c r="L399" s="1263"/>
      <c r="M399" s="1263"/>
      <c r="N399" s="1263"/>
      <c r="O399" s="1263"/>
      <c r="P399" s="1263"/>
      <c r="Q399" s="868"/>
      <c r="R399" s="868"/>
      <c r="S399" s="868"/>
      <c r="T399" s="868"/>
      <c r="U399" s="868"/>
      <c r="V399" s="868"/>
      <c r="W399" s="868"/>
      <c r="X399" s="868"/>
      <c r="Y399" s="868"/>
      <c r="Z399" s="868"/>
    </row>
    <row r="400" spans="1:26" ht="18.75" hidden="1">
      <c r="A400" s="1086"/>
      <c r="B400" s="877"/>
      <c r="C400" s="1084"/>
      <c r="D400" s="1009" t="s">
        <v>176</v>
      </c>
      <c r="E400" s="1003"/>
      <c r="F400" s="877"/>
      <c r="G400" s="879"/>
      <c r="H400" s="277" t="s">
        <v>66</v>
      </c>
      <c r="I400" s="880">
        <v>0</v>
      </c>
      <c r="J400" s="1012">
        <v>0</v>
      </c>
      <c r="K400" s="881">
        <f t="shared" si="172"/>
        <v>0</v>
      </c>
      <c r="L400" s="881"/>
      <c r="M400" s="881"/>
      <c r="N400" s="881"/>
      <c r="O400" s="881"/>
      <c r="P400" s="881"/>
    </row>
    <row r="401" spans="1:26" ht="19.5" hidden="1">
      <c r="A401" s="1253"/>
      <c r="B401" s="1254" t="s">
        <v>177</v>
      </c>
      <c r="C401" s="1255"/>
      <c r="D401" s="1256"/>
      <c r="E401" s="1256"/>
      <c r="F401" s="1256"/>
      <c r="G401" s="1257"/>
      <c r="H401" s="525" t="s">
        <v>66</v>
      </c>
      <c r="I401" s="1258">
        <f t="shared" ref="I401:J401" si="173">I412</f>
        <v>0</v>
      </c>
      <c r="J401" s="1258">
        <f t="shared" si="173"/>
        <v>0</v>
      </c>
      <c r="K401" s="1259">
        <f t="shared" si="172"/>
        <v>0</v>
      </c>
      <c r="L401" s="1260"/>
      <c r="M401" s="1260"/>
      <c r="N401" s="1260"/>
      <c r="O401" s="1260"/>
      <c r="P401" s="1260"/>
    </row>
    <row r="402" spans="1:26" ht="19.5" hidden="1">
      <c r="A402" s="985"/>
      <c r="B402" s="986"/>
      <c r="C402" s="987" t="s">
        <v>16</v>
      </c>
      <c r="D402" s="988" t="s">
        <v>17</v>
      </c>
      <c r="E402" s="986"/>
      <c r="F402" s="986"/>
      <c r="G402" s="989"/>
      <c r="H402" s="152" t="s">
        <v>12</v>
      </c>
      <c r="I402" s="990"/>
      <c r="J402" s="990"/>
      <c r="K402" s="991"/>
      <c r="L402" s="992">
        <f t="shared" ref="L402:N402" ca="1" si="174">L403+L404</f>
        <v>0</v>
      </c>
      <c r="M402" s="992">
        <f t="shared" ca="1" si="174"/>
        <v>0</v>
      </c>
      <c r="N402" s="992">
        <f t="shared" ca="1" si="174"/>
        <v>0</v>
      </c>
      <c r="O402" s="992">
        <f t="shared" ref="O402:O410" ca="1" si="175">IF(L402&gt;0,N402*100/L402,0)</f>
        <v>0</v>
      </c>
      <c r="P402" s="992">
        <f t="shared" ref="P402:P410" ca="1" si="176">IF(M402&gt;0,N402*100/M402,0)</f>
        <v>0</v>
      </c>
      <c r="Q402" s="868"/>
      <c r="R402" s="868"/>
      <c r="S402" s="868"/>
      <c r="T402" s="868"/>
      <c r="U402" s="868"/>
      <c r="V402" s="868"/>
      <c r="W402" s="868"/>
      <c r="X402" s="868"/>
      <c r="Y402" s="868"/>
      <c r="Z402" s="868"/>
    </row>
    <row r="403" spans="1:26" ht="18.75" hidden="1">
      <c r="A403" s="993"/>
      <c r="B403" s="883"/>
      <c r="C403" s="883"/>
      <c r="D403" s="883"/>
      <c r="E403" s="884" t="s">
        <v>18</v>
      </c>
      <c r="F403" s="883"/>
      <c r="G403" s="994"/>
      <c r="H403" s="158" t="s">
        <v>12</v>
      </c>
      <c r="I403" s="886"/>
      <c r="J403" s="886"/>
      <c r="K403" s="887"/>
      <c r="L403" s="887">
        <f t="shared" ref="L403:N404" si="177">L406+L409</f>
        <v>0</v>
      </c>
      <c r="M403" s="887">
        <f t="shared" si="177"/>
        <v>0</v>
      </c>
      <c r="N403" s="887">
        <f t="shared" si="177"/>
        <v>0</v>
      </c>
      <c r="O403" s="887">
        <f t="shared" si="175"/>
        <v>0</v>
      </c>
      <c r="P403" s="887">
        <f t="shared" si="176"/>
        <v>0</v>
      </c>
      <c r="Q403" s="875"/>
      <c r="R403" s="875"/>
      <c r="S403" s="875"/>
      <c r="T403" s="875"/>
      <c r="U403" s="875"/>
      <c r="V403" s="875"/>
      <c r="W403" s="875"/>
      <c r="X403" s="875"/>
      <c r="Y403" s="875"/>
      <c r="Z403" s="875"/>
    </row>
    <row r="404" spans="1:26" ht="18.75" hidden="1">
      <c r="A404" s="993"/>
      <c r="B404" s="883"/>
      <c r="C404" s="883"/>
      <c r="D404" s="883"/>
      <c r="E404" s="884" t="s">
        <v>19</v>
      </c>
      <c r="F404" s="883"/>
      <c r="G404" s="994"/>
      <c r="H404" s="158" t="s">
        <v>12</v>
      </c>
      <c r="I404" s="886"/>
      <c r="J404" s="886"/>
      <c r="K404" s="887"/>
      <c r="L404" s="887">
        <f t="shared" ca="1" si="177"/>
        <v>0</v>
      </c>
      <c r="M404" s="887">
        <f t="shared" ca="1" si="177"/>
        <v>0</v>
      </c>
      <c r="N404" s="887">
        <f t="shared" ca="1" si="177"/>
        <v>0</v>
      </c>
      <c r="O404" s="887">
        <f t="shared" ca="1" si="175"/>
        <v>0</v>
      </c>
      <c r="P404" s="887">
        <f t="shared" ca="1" si="176"/>
        <v>0</v>
      </c>
      <c r="Q404" s="875"/>
      <c r="R404" s="875"/>
      <c r="S404" s="875"/>
      <c r="T404" s="875"/>
      <c r="U404" s="875"/>
      <c r="V404" s="875"/>
      <c r="W404" s="875"/>
      <c r="X404" s="875"/>
      <c r="Y404" s="875"/>
      <c r="Z404" s="875"/>
    </row>
    <row r="405" spans="1:26" ht="18.75" hidden="1">
      <c r="A405" s="995"/>
      <c r="B405" s="877"/>
      <c r="C405" s="996"/>
      <c r="D405" s="878" t="s">
        <v>20</v>
      </c>
      <c r="E405" s="877"/>
      <c r="F405" s="877"/>
      <c r="G405" s="879"/>
      <c r="H405" s="161" t="s">
        <v>12</v>
      </c>
      <c r="I405" s="997"/>
      <c r="J405" s="997"/>
      <c r="K405" s="998"/>
      <c r="L405" s="881">
        <f t="shared" ref="L405:N405" ca="1" si="178">L406+L407</f>
        <v>0</v>
      </c>
      <c r="M405" s="881">
        <f t="shared" ca="1" si="178"/>
        <v>0</v>
      </c>
      <c r="N405" s="881">
        <f t="shared" ca="1" si="178"/>
        <v>0</v>
      </c>
      <c r="O405" s="881">
        <f t="shared" ca="1" si="175"/>
        <v>0</v>
      </c>
      <c r="P405" s="881">
        <f t="shared" ca="1" si="176"/>
        <v>0</v>
      </c>
      <c r="Q405" s="868"/>
      <c r="R405" s="868"/>
      <c r="S405" s="868"/>
      <c r="T405" s="868"/>
      <c r="U405" s="868"/>
      <c r="V405" s="868"/>
      <c r="W405" s="868"/>
      <c r="X405" s="868"/>
      <c r="Y405" s="868"/>
      <c r="Z405" s="868"/>
    </row>
    <row r="406" spans="1:26" ht="19.5" hidden="1">
      <c r="A406" s="993"/>
      <c r="B406" s="883"/>
      <c r="C406" s="999"/>
      <c r="D406" s="883"/>
      <c r="E406" s="884" t="s">
        <v>36</v>
      </c>
      <c r="F406" s="883"/>
      <c r="G406" s="994"/>
      <c r="H406" s="165" t="s">
        <v>12</v>
      </c>
      <c r="I406" s="1000"/>
      <c r="J406" s="1000"/>
      <c r="K406" s="1001"/>
      <c r="L406" s="887">
        <v>0</v>
      </c>
      <c r="M406" s="887">
        <v>0</v>
      </c>
      <c r="N406" s="887">
        <v>0</v>
      </c>
      <c r="O406" s="887">
        <f t="shared" si="175"/>
        <v>0</v>
      </c>
      <c r="P406" s="887">
        <f t="shared" si="176"/>
        <v>0</v>
      </c>
      <c r="Q406" s="875"/>
      <c r="R406" s="875"/>
      <c r="S406" s="875"/>
      <c r="T406" s="875"/>
      <c r="U406" s="875"/>
      <c r="V406" s="875"/>
      <c r="W406" s="875"/>
      <c r="X406" s="875"/>
      <c r="Y406" s="875"/>
      <c r="Z406" s="875"/>
    </row>
    <row r="407" spans="1:26" ht="19.5" hidden="1">
      <c r="A407" s="993"/>
      <c r="B407" s="883"/>
      <c r="C407" s="999"/>
      <c r="D407" s="883"/>
      <c r="E407" s="884" t="s">
        <v>37</v>
      </c>
      <c r="F407" s="883"/>
      <c r="G407" s="994"/>
      <c r="H407" s="165" t="s">
        <v>12</v>
      </c>
      <c r="I407" s="1000"/>
      <c r="J407" s="1000"/>
      <c r="K407" s="1001"/>
      <c r="L407" s="887">
        <f ca="1">IFERROR(__xludf.DUMMYFUNCTION("IMPORTRANGE(""https://docs.google.com/spreadsheets/d/1MeEWN-I1oV_STSDYn1IFDPWt_1FKiwhDph83XaGc0o0/edit?usp=sharing"",""งบพรบ!FQ84"")"),0)</f>
        <v>0</v>
      </c>
      <c r="M407" s="887">
        <f ca="1">IFERROR(__xludf.DUMMYFUNCTION("IMPORTRANGE(""https://docs.google.com/spreadsheets/d/1MeEWN-I1oV_STSDYn1IFDPWt_1FKiwhDph83XaGc0o0/edit?usp=sharing"",""งบพรบ!FV84"")"),0)</f>
        <v>0</v>
      </c>
      <c r="N407" s="887">
        <f ca="1">IFERROR(__xludf.DUMMYFUNCTION("IMPORTRANGE(""https://docs.google.com/spreadsheets/d/1MeEWN-I1oV_STSDYn1IFDPWt_1FKiwhDph83XaGc0o0/edit?usp=sharing"",""งบพรบ!FX84"")"),0)</f>
        <v>0</v>
      </c>
      <c r="O407" s="887">
        <f t="shared" ca="1" si="175"/>
        <v>0</v>
      </c>
      <c r="P407" s="887">
        <f t="shared" ca="1" si="176"/>
        <v>0</v>
      </c>
      <c r="Q407" s="875"/>
      <c r="R407" s="875"/>
      <c r="S407" s="875"/>
      <c r="T407" s="875"/>
      <c r="U407" s="875"/>
      <c r="V407" s="875"/>
      <c r="W407" s="875"/>
      <c r="X407" s="875"/>
      <c r="Y407" s="875"/>
      <c r="Z407" s="875"/>
    </row>
    <row r="408" spans="1:26" ht="18.75" hidden="1">
      <c r="A408" s="995"/>
      <c r="B408" s="877"/>
      <c r="C408" s="996"/>
      <c r="D408" s="878" t="s">
        <v>21</v>
      </c>
      <c r="E408" s="877"/>
      <c r="F408" s="877"/>
      <c r="G408" s="879"/>
      <c r="H408" s="168" t="s">
        <v>12</v>
      </c>
      <c r="I408" s="997"/>
      <c r="J408" s="997"/>
      <c r="K408" s="998"/>
      <c r="L408" s="881">
        <f t="shared" ref="L408:N408" ca="1" si="179">L409+L410</f>
        <v>0</v>
      </c>
      <c r="M408" s="881">
        <f t="shared" ca="1" si="179"/>
        <v>0</v>
      </c>
      <c r="N408" s="881">
        <f t="shared" ca="1" si="179"/>
        <v>0</v>
      </c>
      <c r="O408" s="881">
        <f t="shared" ca="1" si="175"/>
        <v>0</v>
      </c>
      <c r="P408" s="881">
        <f t="shared" ca="1" si="176"/>
        <v>0</v>
      </c>
      <c r="Q408" s="868"/>
      <c r="R408" s="868"/>
      <c r="S408" s="868"/>
      <c r="T408" s="868"/>
      <c r="U408" s="868"/>
      <c r="V408" s="868"/>
      <c r="W408" s="868"/>
      <c r="X408" s="868"/>
      <c r="Y408" s="868"/>
      <c r="Z408" s="868"/>
    </row>
    <row r="409" spans="1:26" ht="19.5" hidden="1">
      <c r="A409" s="993"/>
      <c r="B409" s="883"/>
      <c r="C409" s="999"/>
      <c r="D409" s="883"/>
      <c r="E409" s="884" t="s">
        <v>18</v>
      </c>
      <c r="F409" s="883"/>
      <c r="G409" s="994"/>
      <c r="H409" s="165" t="s">
        <v>12</v>
      </c>
      <c r="I409" s="1000"/>
      <c r="J409" s="1000"/>
      <c r="K409" s="1001"/>
      <c r="L409" s="887">
        <v>0</v>
      </c>
      <c r="M409" s="887">
        <v>0</v>
      </c>
      <c r="N409" s="887">
        <v>0</v>
      </c>
      <c r="O409" s="887">
        <f t="shared" si="175"/>
        <v>0</v>
      </c>
      <c r="P409" s="887">
        <f t="shared" si="176"/>
        <v>0</v>
      </c>
      <c r="Q409" s="875"/>
      <c r="R409" s="875"/>
      <c r="S409" s="875"/>
      <c r="T409" s="875"/>
      <c r="U409" s="875"/>
      <c r="V409" s="875"/>
      <c r="W409" s="875"/>
      <c r="X409" s="875"/>
      <c r="Y409" s="875"/>
      <c r="Z409" s="875"/>
    </row>
    <row r="410" spans="1:26" ht="19.5" hidden="1">
      <c r="A410" s="993"/>
      <c r="B410" s="883"/>
      <c r="C410" s="999"/>
      <c r="D410" s="883"/>
      <c r="E410" s="884" t="s">
        <v>19</v>
      </c>
      <c r="F410" s="883"/>
      <c r="G410" s="994"/>
      <c r="H410" s="169" t="s">
        <v>12</v>
      </c>
      <c r="I410" s="1000"/>
      <c r="J410" s="1000"/>
      <c r="K410" s="1001"/>
      <c r="L410" s="887">
        <f ca="1">IFERROR(__xludf.DUMMYFUNCTION("IMPORTRANGE(""https://docs.google.com/spreadsheets/d/1MeEWN-I1oV_STSDYn1IFDPWt_1FKiwhDph83XaGc0o0/edit?usp=sharing"",""งบพรบ!FT84"")"),0)</f>
        <v>0</v>
      </c>
      <c r="M410" s="887">
        <f ca="1">IFERROR(__xludf.DUMMYFUNCTION("IMPORTRANGE(""https://docs.google.com/spreadsheets/d/1MeEWN-I1oV_STSDYn1IFDPWt_1FKiwhDph83XaGc0o0/edit?usp=sharing"",""งบพรบ!FW84"")"),0)</f>
        <v>0</v>
      </c>
      <c r="N410" s="887">
        <f ca="1">IFERROR(__xludf.DUMMYFUNCTION("IMPORTRANGE(""https://docs.google.com/spreadsheets/d/1MeEWN-I1oV_STSDYn1IFDPWt_1FKiwhDph83XaGc0o0/edit?usp=sharing"",""งบพรบ!FY84"")"),0)</f>
        <v>0</v>
      </c>
      <c r="O410" s="887">
        <f t="shared" ca="1" si="175"/>
        <v>0</v>
      </c>
      <c r="P410" s="887">
        <f t="shared" ca="1" si="176"/>
        <v>0</v>
      </c>
      <c r="Q410" s="875"/>
      <c r="R410" s="875"/>
      <c r="S410" s="875"/>
      <c r="T410" s="875"/>
      <c r="U410" s="875"/>
      <c r="V410" s="875"/>
      <c r="W410" s="875"/>
      <c r="X410" s="875"/>
      <c r="Y410" s="875"/>
      <c r="Z410" s="875"/>
    </row>
    <row r="411" spans="1:26" ht="19.5" hidden="1">
      <c r="A411" s="1002"/>
      <c r="B411" s="1003"/>
      <c r="C411" s="999" t="s">
        <v>16</v>
      </c>
      <c r="D411" s="1264" t="s">
        <v>38</v>
      </c>
      <c r="E411" s="1265"/>
      <c r="F411" s="1265"/>
      <c r="G411" s="1266"/>
      <c r="H411" s="1007"/>
      <c r="I411" s="880"/>
      <c r="J411" s="880"/>
      <c r="K411" s="881"/>
      <c r="L411" s="998"/>
      <c r="M411" s="998"/>
      <c r="N411" s="998"/>
      <c r="O411" s="998"/>
      <c r="P411" s="998"/>
    </row>
    <row r="412" spans="1:26" ht="18.75" hidden="1">
      <c r="A412" s="1002"/>
      <c r="B412" s="1010"/>
      <c r="C412" s="1010"/>
      <c r="D412" s="1009" t="s">
        <v>178</v>
      </c>
      <c r="E412" s="1010"/>
      <c r="F412" s="1010"/>
      <c r="G412" s="1011"/>
      <c r="H412" s="537" t="s">
        <v>66</v>
      </c>
      <c r="I412" s="880">
        <v>0</v>
      </c>
      <c r="J412" s="1012">
        <v>0</v>
      </c>
      <c r="K412" s="881">
        <f t="shared" ref="K412:K413" si="180">IF(I412&gt;0,J412*100/I412,0)</f>
        <v>0</v>
      </c>
      <c r="L412" s="998"/>
      <c r="M412" s="998"/>
      <c r="N412" s="998"/>
      <c r="O412" s="998"/>
      <c r="P412" s="998"/>
    </row>
    <row r="413" spans="1:26" ht="19.5" hidden="1" thickBot="1">
      <c r="A413" s="1267"/>
      <c r="B413" s="1268"/>
      <c r="C413" s="1268"/>
      <c r="D413" s="1269" t="s">
        <v>179</v>
      </c>
      <c r="E413" s="1268"/>
      <c r="F413" s="1268"/>
      <c r="G413" s="1270"/>
      <c r="H413" s="542" t="s">
        <v>180</v>
      </c>
      <c r="I413" s="1271">
        <v>0</v>
      </c>
      <c r="J413" s="1272">
        <v>0</v>
      </c>
      <c r="K413" s="1273">
        <f t="shared" si="180"/>
        <v>0</v>
      </c>
      <c r="L413" s="1274"/>
      <c r="M413" s="1274"/>
      <c r="N413" s="1274"/>
      <c r="O413" s="1274"/>
      <c r="P413" s="1274"/>
    </row>
    <row r="414" spans="1:26" ht="19.5">
      <c r="A414" s="1275" t="s">
        <v>181</v>
      </c>
      <c r="B414" s="1276"/>
      <c r="C414" s="1276"/>
      <c r="D414" s="1276"/>
      <c r="E414" s="1276"/>
      <c r="F414" s="1276"/>
      <c r="G414" s="1277"/>
      <c r="H414" s="1278"/>
      <c r="I414" s="1279"/>
      <c r="J414" s="1279"/>
      <c r="K414" s="1280"/>
      <c r="L414" s="1281">
        <f t="shared" ref="L414:N414" ca="1" si="181">L419+L444+L467+L502+L523+L544+L629+L655+L685+L737+L754+L770+L786+L805</f>
        <v>794275</v>
      </c>
      <c r="M414" s="1281">
        <f t="shared" ca="1" si="181"/>
        <v>794275</v>
      </c>
      <c r="N414" s="1281">
        <f t="shared" si="181"/>
        <v>338570</v>
      </c>
      <c r="O414" s="1281">
        <f ca="1">IF(L414&gt;0,N414*100/L414,0)</f>
        <v>42.626294419439112</v>
      </c>
      <c r="P414" s="1281">
        <f ca="1">IF(M414&gt;0,N414*100/M414,0)</f>
        <v>42.626294419439112</v>
      </c>
    </row>
    <row r="415" spans="1:26" ht="19.5">
      <c r="A415" s="1282" t="s">
        <v>182</v>
      </c>
      <c r="B415" s="1283"/>
      <c r="C415" s="1283"/>
      <c r="D415" s="1283"/>
      <c r="E415" s="1283"/>
      <c r="F415" s="1283"/>
      <c r="G415" s="1283"/>
      <c r="H415" s="1284"/>
      <c r="I415" s="1285"/>
      <c r="J415" s="1285"/>
      <c r="K415" s="1286"/>
      <c r="L415" s="1287"/>
      <c r="M415" s="1287"/>
      <c r="N415" s="1287"/>
      <c r="O415" s="1287"/>
      <c r="P415" s="1287"/>
    </row>
    <row r="416" spans="1:26" ht="19.5">
      <c r="A416" s="1282" t="s">
        <v>183</v>
      </c>
      <c r="B416" s="1283"/>
      <c r="C416" s="1283"/>
      <c r="D416" s="1283"/>
      <c r="E416" s="1283"/>
      <c r="F416" s="1283"/>
      <c r="G416" s="1288"/>
      <c r="H416" s="1289"/>
      <c r="I416" s="1290"/>
      <c r="J416" s="1290"/>
      <c r="K416" s="1287"/>
      <c r="L416" s="1287"/>
      <c r="M416" s="1287"/>
      <c r="N416" s="1287"/>
      <c r="O416" s="1287"/>
      <c r="P416" s="1287"/>
    </row>
    <row r="417" spans="1:26" ht="39">
      <c r="A417" s="563">
        <v>1</v>
      </c>
      <c r="B417" s="1291" t="s">
        <v>184</v>
      </c>
      <c r="C417" s="1291"/>
      <c r="D417" s="1292"/>
      <c r="E417" s="1292"/>
      <c r="F417" s="1292"/>
      <c r="G417" s="1293"/>
      <c r="H417" s="568" t="s">
        <v>35</v>
      </c>
      <c r="I417" s="1294">
        <f t="shared" ref="I417:J418" ca="1" si="182">I433</f>
        <v>10</v>
      </c>
      <c r="J417" s="1294">
        <f t="shared" ca="1" si="182"/>
        <v>10</v>
      </c>
      <c r="K417" s="1295">
        <f t="shared" ref="K417:K418" ca="1" si="183">IF(I417&gt;0,J417*100/I417,0)</f>
        <v>100</v>
      </c>
      <c r="L417" s="1296"/>
      <c r="M417" s="1296"/>
      <c r="N417" s="1296"/>
      <c r="O417" s="1296"/>
      <c r="P417" s="1296"/>
    </row>
    <row r="418" spans="1:26" ht="19.5">
      <c r="A418" s="1297"/>
      <c r="B418" s="563"/>
      <c r="C418" s="1291"/>
      <c r="D418" s="1292"/>
      <c r="E418" s="1292"/>
      <c r="F418" s="1292"/>
      <c r="G418" s="1293"/>
      <c r="H418" s="568" t="s">
        <v>49</v>
      </c>
      <c r="I418" s="1294">
        <f t="shared" ca="1" si="182"/>
        <v>1</v>
      </c>
      <c r="J418" s="1294">
        <f t="shared" si="182"/>
        <v>1</v>
      </c>
      <c r="K418" s="1295">
        <f t="shared" ca="1" si="183"/>
        <v>100</v>
      </c>
      <c r="L418" s="1296"/>
      <c r="M418" s="1296"/>
      <c r="N418" s="1296"/>
      <c r="O418" s="1296"/>
      <c r="P418" s="1296"/>
    </row>
    <row r="419" spans="1:26" ht="19.5">
      <c r="A419" s="985"/>
      <c r="B419" s="986"/>
      <c r="C419" s="986" t="s">
        <v>16</v>
      </c>
      <c r="D419" s="1298" t="s">
        <v>17</v>
      </c>
      <c r="E419" s="846"/>
      <c r="F419" s="846"/>
      <c r="G419" s="989"/>
      <c r="H419" s="275" t="s">
        <v>12</v>
      </c>
      <c r="I419" s="990"/>
      <c r="J419" s="990"/>
      <c r="K419" s="991"/>
      <c r="L419" s="992">
        <f t="shared" ref="L419:N419" ca="1" si="184">L420+L421</f>
        <v>54560</v>
      </c>
      <c r="M419" s="992">
        <f t="shared" ca="1" si="184"/>
        <v>54560</v>
      </c>
      <c r="N419" s="992">
        <f t="shared" si="184"/>
        <v>52740</v>
      </c>
      <c r="O419" s="992">
        <f t="shared" ref="O419:O424" ca="1" si="185">IF(L419&gt;0,N419*100/L419,0)</f>
        <v>96.6642228739003</v>
      </c>
      <c r="P419" s="992">
        <f t="shared" ref="P419:P424" ca="1" si="186">IF(M419&gt;0,N419*100/M419,0)</f>
        <v>96.6642228739003</v>
      </c>
      <c r="Q419" s="868"/>
      <c r="R419" s="868"/>
      <c r="S419" s="868"/>
      <c r="T419" s="868"/>
      <c r="U419" s="868"/>
      <c r="V419" s="868"/>
      <c r="W419" s="868"/>
      <c r="X419" s="868"/>
      <c r="Y419" s="868"/>
      <c r="Z419" s="868"/>
    </row>
    <row r="420" spans="1:26" ht="18.75" hidden="1">
      <c r="A420" s="993"/>
      <c r="B420" s="883"/>
      <c r="C420" s="883"/>
      <c r="D420" s="1114"/>
      <c r="E420" s="884" t="s">
        <v>185</v>
      </c>
      <c r="F420" s="883"/>
      <c r="G420" s="994"/>
      <c r="H420" s="165" t="s">
        <v>12</v>
      </c>
      <c r="I420" s="886"/>
      <c r="J420" s="886"/>
      <c r="K420" s="887"/>
      <c r="L420" s="887">
        <f t="shared" ref="L420:N421" si="187">L423+L430</f>
        <v>0</v>
      </c>
      <c r="M420" s="887">
        <f t="shared" si="187"/>
        <v>0</v>
      </c>
      <c r="N420" s="887">
        <f t="shared" si="187"/>
        <v>0</v>
      </c>
      <c r="O420" s="887">
        <f t="shared" si="185"/>
        <v>0</v>
      </c>
      <c r="P420" s="887">
        <f t="shared" si="186"/>
        <v>0</v>
      </c>
      <c r="Q420" s="875"/>
      <c r="R420" s="875"/>
      <c r="S420" s="875"/>
      <c r="T420" s="875"/>
      <c r="U420" s="875"/>
      <c r="V420" s="875"/>
      <c r="W420" s="875"/>
      <c r="X420" s="875"/>
      <c r="Y420" s="875"/>
      <c r="Z420" s="875"/>
    </row>
    <row r="421" spans="1:26" ht="18.75" hidden="1">
      <c r="A421" s="993"/>
      <c r="B421" s="883"/>
      <c r="C421" s="883"/>
      <c r="D421" s="1114"/>
      <c r="E421" s="884" t="s">
        <v>186</v>
      </c>
      <c r="F421" s="883"/>
      <c r="G421" s="994"/>
      <c r="H421" s="165" t="s">
        <v>12</v>
      </c>
      <c r="I421" s="886"/>
      <c r="J421" s="886"/>
      <c r="K421" s="887"/>
      <c r="L421" s="887">
        <f t="shared" ca="1" si="187"/>
        <v>54560</v>
      </c>
      <c r="M421" s="887">
        <f t="shared" ca="1" si="187"/>
        <v>54560</v>
      </c>
      <c r="N421" s="887">
        <f t="shared" si="187"/>
        <v>52740</v>
      </c>
      <c r="O421" s="887">
        <f t="shared" ca="1" si="185"/>
        <v>96.6642228739003</v>
      </c>
      <c r="P421" s="887">
        <f t="shared" ca="1" si="186"/>
        <v>96.6642228739003</v>
      </c>
      <c r="Q421" s="875"/>
      <c r="R421" s="875"/>
      <c r="S421" s="875"/>
      <c r="T421" s="875"/>
      <c r="U421" s="875"/>
      <c r="V421" s="875"/>
      <c r="W421" s="875"/>
      <c r="X421" s="875"/>
      <c r="Y421" s="875"/>
      <c r="Z421" s="875"/>
    </row>
    <row r="422" spans="1:26" ht="18.75">
      <c r="A422" s="995"/>
      <c r="B422" s="1084"/>
      <c r="C422" s="877"/>
      <c r="D422" s="878" t="s">
        <v>20</v>
      </c>
      <c r="E422" s="877"/>
      <c r="F422" s="877"/>
      <c r="G422" s="879"/>
      <c r="H422" s="161" t="s">
        <v>12</v>
      </c>
      <c r="I422" s="997"/>
      <c r="J422" s="997"/>
      <c r="K422" s="998"/>
      <c r="L422" s="881">
        <f t="shared" ref="L422:N422" ca="1" si="188">L423+L424</f>
        <v>54560</v>
      </c>
      <c r="M422" s="881">
        <f t="shared" ca="1" si="188"/>
        <v>54560</v>
      </c>
      <c r="N422" s="881">
        <f t="shared" si="188"/>
        <v>52740</v>
      </c>
      <c r="O422" s="881">
        <f t="shared" ca="1" si="185"/>
        <v>96.6642228739003</v>
      </c>
      <c r="P422" s="881">
        <f t="shared" ca="1" si="186"/>
        <v>96.6642228739003</v>
      </c>
      <c r="Q422" s="868"/>
      <c r="R422" s="868"/>
      <c r="S422" s="868"/>
      <c r="T422" s="868"/>
      <c r="U422" s="868"/>
      <c r="V422" s="868"/>
      <c r="W422" s="868"/>
      <c r="X422" s="868"/>
      <c r="Y422" s="868"/>
      <c r="Z422" s="868"/>
    </row>
    <row r="423" spans="1:26" ht="18.75" hidden="1">
      <c r="A423" s="993"/>
      <c r="B423" s="883"/>
      <c r="C423" s="883"/>
      <c r="D423" s="1114"/>
      <c r="E423" s="884" t="s">
        <v>185</v>
      </c>
      <c r="F423" s="883"/>
      <c r="G423" s="994"/>
      <c r="H423" s="165" t="s">
        <v>12</v>
      </c>
      <c r="I423" s="886"/>
      <c r="J423" s="886"/>
      <c r="K423" s="887"/>
      <c r="L423" s="887">
        <v>0</v>
      </c>
      <c r="M423" s="887">
        <v>0</v>
      </c>
      <c r="N423" s="887">
        <v>0</v>
      </c>
      <c r="O423" s="887">
        <f t="shared" si="185"/>
        <v>0</v>
      </c>
      <c r="P423" s="887">
        <f t="shared" si="186"/>
        <v>0</v>
      </c>
      <c r="Q423" s="875"/>
      <c r="R423" s="875"/>
      <c r="S423" s="875"/>
      <c r="T423" s="875"/>
      <c r="U423" s="875"/>
      <c r="V423" s="875"/>
      <c r="W423" s="875"/>
      <c r="X423" s="875"/>
      <c r="Y423" s="875"/>
      <c r="Z423" s="875"/>
    </row>
    <row r="424" spans="1:26" ht="18.75" hidden="1">
      <c r="A424" s="993"/>
      <c r="B424" s="883"/>
      <c r="C424" s="883"/>
      <c r="D424" s="1114"/>
      <c r="E424" s="884" t="s">
        <v>186</v>
      </c>
      <c r="F424" s="883"/>
      <c r="G424" s="994"/>
      <c r="H424" s="165" t="s">
        <v>12</v>
      </c>
      <c r="I424" s="886"/>
      <c r="J424" s="886"/>
      <c r="K424" s="887"/>
      <c r="L424" s="887">
        <f ca="1">IFERROR(__xludf.DUMMYFUNCTION("IMPORTRANGE(""https://docs.google.com/spreadsheets/d/1QqKyyYR6Q21VydFLVH3TRQUabQu_ym0Zz7PgGX0-kHA/edit?usp=sharing"",""แผน!EY84"")"),54560)</f>
        <v>54560</v>
      </c>
      <c r="M424" s="887">
        <f ca="1">L424</f>
        <v>54560</v>
      </c>
      <c r="N424" s="887">
        <f>N425+N426+N427+N428</f>
        <v>52740</v>
      </c>
      <c r="O424" s="887">
        <f t="shared" ca="1" si="185"/>
        <v>96.6642228739003</v>
      </c>
      <c r="P424" s="887">
        <f t="shared" ca="1" si="186"/>
        <v>96.6642228739003</v>
      </c>
      <c r="Q424" s="875"/>
      <c r="R424" s="875"/>
      <c r="S424" s="875"/>
      <c r="T424" s="875"/>
      <c r="U424" s="875"/>
      <c r="V424" s="875"/>
      <c r="W424" s="875"/>
      <c r="X424" s="875"/>
      <c r="Y424" s="875"/>
      <c r="Z424" s="875"/>
    </row>
    <row r="425" spans="1:26" ht="18.75">
      <c r="A425" s="1299"/>
      <c r="B425" s="1300"/>
      <c r="C425" s="1301"/>
      <c r="D425" s="1301"/>
      <c r="E425" s="1301"/>
      <c r="F425" s="1301" t="s">
        <v>187</v>
      </c>
      <c r="G425" s="1016"/>
      <c r="H425" s="161" t="s">
        <v>12</v>
      </c>
      <c r="I425" s="880"/>
      <c r="J425" s="880"/>
      <c r="K425" s="881"/>
      <c r="L425" s="881"/>
      <c r="M425" s="881"/>
      <c r="N425" s="1085">
        <v>24300</v>
      </c>
      <c r="O425" s="881"/>
      <c r="P425" s="881"/>
      <c r="Q425" s="1302"/>
      <c r="R425" s="1302"/>
      <c r="S425" s="1302"/>
      <c r="T425" s="1302"/>
      <c r="U425" s="1302"/>
      <c r="V425" s="1302"/>
      <c r="W425" s="1302"/>
      <c r="X425" s="1302"/>
      <c r="Y425" s="1302"/>
      <c r="Z425" s="1302"/>
    </row>
    <row r="426" spans="1:26" ht="18.75">
      <c r="A426" s="1299"/>
      <c r="B426" s="1300"/>
      <c r="C426" s="1301"/>
      <c r="D426" s="1301"/>
      <c r="E426" s="1301"/>
      <c r="F426" s="1301" t="s">
        <v>188</v>
      </c>
      <c r="G426" s="1016"/>
      <c r="H426" s="161" t="s">
        <v>12</v>
      </c>
      <c r="I426" s="880"/>
      <c r="J426" s="880"/>
      <c r="K426" s="881"/>
      <c r="L426" s="881"/>
      <c r="M426" s="881"/>
      <c r="N426" s="1085">
        <v>0</v>
      </c>
      <c r="O426" s="881"/>
      <c r="P426" s="881"/>
      <c r="Q426" s="1302"/>
      <c r="R426" s="1302"/>
      <c r="S426" s="1302"/>
      <c r="T426" s="1302"/>
      <c r="U426" s="1302"/>
      <c r="V426" s="1302"/>
      <c r="W426" s="1302"/>
      <c r="X426" s="1302"/>
      <c r="Y426" s="1302"/>
      <c r="Z426" s="1302"/>
    </row>
    <row r="427" spans="1:26" ht="18.75">
      <c r="A427" s="1299"/>
      <c r="B427" s="1300"/>
      <c r="C427" s="1301"/>
      <c r="D427" s="1301"/>
      <c r="E427" s="1301"/>
      <c r="F427" s="1301" t="s">
        <v>189</v>
      </c>
      <c r="G427" s="1016"/>
      <c r="H427" s="161" t="s">
        <v>12</v>
      </c>
      <c r="I427" s="880"/>
      <c r="J427" s="880"/>
      <c r="K427" s="881"/>
      <c r="L427" s="881"/>
      <c r="M427" s="881"/>
      <c r="N427" s="1085">
        <v>0</v>
      </c>
      <c r="O427" s="881"/>
      <c r="P427" s="881"/>
      <c r="Q427" s="1302"/>
      <c r="R427" s="1302"/>
      <c r="S427" s="1302"/>
      <c r="T427" s="1302"/>
      <c r="U427" s="1302"/>
      <c r="V427" s="1302"/>
      <c r="W427" s="1302"/>
      <c r="X427" s="1302"/>
      <c r="Y427" s="1302"/>
      <c r="Z427" s="1302"/>
    </row>
    <row r="428" spans="1:26" ht="18.75">
      <c r="A428" s="1086"/>
      <c r="B428" s="1084"/>
      <c r="C428" s="877"/>
      <c r="D428" s="877"/>
      <c r="E428" s="877"/>
      <c r="F428" s="996" t="s">
        <v>190</v>
      </c>
      <c r="G428" s="1030"/>
      <c r="H428" s="161" t="s">
        <v>12</v>
      </c>
      <c r="I428" s="880"/>
      <c r="J428" s="880"/>
      <c r="K428" s="881"/>
      <c r="L428" s="881"/>
      <c r="M428" s="881"/>
      <c r="N428" s="1085">
        <v>28440</v>
      </c>
      <c r="O428" s="881"/>
      <c r="P428" s="881"/>
      <c r="Q428" s="868"/>
      <c r="R428" s="868"/>
      <c r="S428" s="868"/>
      <c r="T428" s="868"/>
      <c r="U428" s="868"/>
      <c r="V428" s="868"/>
      <c r="W428" s="868"/>
      <c r="X428" s="868"/>
      <c r="Y428" s="868"/>
      <c r="Z428" s="868"/>
    </row>
    <row r="429" spans="1:26" ht="18.75">
      <c r="A429" s="995"/>
      <c r="B429" s="1084"/>
      <c r="C429" s="877"/>
      <c r="D429" s="878" t="s">
        <v>21</v>
      </c>
      <c r="E429" s="877"/>
      <c r="F429" s="877"/>
      <c r="G429" s="879"/>
      <c r="H429" s="168" t="s">
        <v>12</v>
      </c>
      <c r="I429" s="997"/>
      <c r="J429" s="997"/>
      <c r="K429" s="998"/>
      <c r="L429" s="881">
        <f t="shared" ref="L429:N429" ca="1" si="189">L430+L431</f>
        <v>0</v>
      </c>
      <c r="M429" s="881">
        <f t="shared" si="189"/>
        <v>0</v>
      </c>
      <c r="N429" s="881">
        <f t="shared" si="189"/>
        <v>0</v>
      </c>
      <c r="O429" s="881">
        <f t="shared" ref="O429:O431" ca="1" si="190">IF(L429&gt;0,N429*100/L429,0)</f>
        <v>0</v>
      </c>
      <c r="P429" s="881">
        <f t="shared" ref="P429:P431" si="191">IF(M429&gt;0,N429*100/M429,0)</f>
        <v>0</v>
      </c>
      <c r="Q429" s="868"/>
      <c r="R429" s="868"/>
      <c r="S429" s="868"/>
      <c r="T429" s="868"/>
      <c r="U429" s="868"/>
      <c r="V429" s="868"/>
      <c r="W429" s="868"/>
      <c r="X429" s="868"/>
      <c r="Y429" s="868"/>
      <c r="Z429" s="868"/>
    </row>
    <row r="430" spans="1:26" ht="18.75" hidden="1">
      <c r="A430" s="993"/>
      <c r="B430" s="1105"/>
      <c r="C430" s="883"/>
      <c r="D430" s="883"/>
      <c r="E430" s="884" t="s">
        <v>18</v>
      </c>
      <c r="F430" s="883"/>
      <c r="G430" s="885"/>
      <c r="H430" s="165" t="s">
        <v>12</v>
      </c>
      <c r="I430" s="1000"/>
      <c r="J430" s="1000"/>
      <c r="K430" s="1001"/>
      <c r="L430" s="887">
        <v>0</v>
      </c>
      <c r="M430" s="887">
        <v>0</v>
      </c>
      <c r="N430" s="887">
        <v>0</v>
      </c>
      <c r="O430" s="887">
        <f t="shared" si="190"/>
        <v>0</v>
      </c>
      <c r="P430" s="887">
        <f t="shared" si="191"/>
        <v>0</v>
      </c>
      <c r="Q430" s="875"/>
      <c r="R430" s="875"/>
      <c r="S430" s="875"/>
      <c r="T430" s="875"/>
      <c r="U430" s="875"/>
      <c r="V430" s="875"/>
      <c r="W430" s="875"/>
      <c r="X430" s="875"/>
      <c r="Y430" s="875"/>
      <c r="Z430" s="875"/>
    </row>
    <row r="431" spans="1:26" ht="18.75" hidden="1">
      <c r="A431" s="993"/>
      <c r="B431" s="1105"/>
      <c r="C431" s="883"/>
      <c r="D431" s="883"/>
      <c r="E431" s="884" t="s">
        <v>19</v>
      </c>
      <c r="F431" s="883"/>
      <c r="G431" s="885"/>
      <c r="H431" s="169" t="s">
        <v>12</v>
      </c>
      <c r="I431" s="1000"/>
      <c r="J431" s="1000"/>
      <c r="K431" s="1001"/>
      <c r="L431" s="887">
        <f ca="1">IFERROR(__xludf.DUMMYFUNCTION("IMPORTRANGE(""https://docs.google.com/spreadsheets/d/1QqKyyYR6Q21VydFLVH3TRQUabQu_ym0Zz7PgGX0-kHA/edit?usp=sharing"",""แผน!FB84"")"),0)</f>
        <v>0</v>
      </c>
      <c r="M431" s="887">
        <v>0</v>
      </c>
      <c r="N431" s="887">
        <v>0</v>
      </c>
      <c r="O431" s="887">
        <f t="shared" ca="1" si="190"/>
        <v>0</v>
      </c>
      <c r="P431" s="887">
        <f t="shared" si="191"/>
        <v>0</v>
      </c>
      <c r="Q431" s="875"/>
      <c r="R431" s="875"/>
      <c r="S431" s="875"/>
      <c r="T431" s="875"/>
      <c r="U431" s="875"/>
      <c r="V431" s="875"/>
      <c r="W431" s="875"/>
      <c r="X431" s="875"/>
      <c r="Y431" s="875"/>
      <c r="Z431" s="875"/>
    </row>
    <row r="432" spans="1:26" ht="19.5">
      <c r="A432" s="1165"/>
      <c r="B432" s="1166"/>
      <c r="C432" s="986" t="s">
        <v>16</v>
      </c>
      <c r="D432" s="1303" t="s">
        <v>38</v>
      </c>
      <c r="E432" s="1304"/>
      <c r="F432" s="1304"/>
      <c r="G432" s="1305"/>
      <c r="H432" s="1306"/>
      <c r="I432" s="990"/>
      <c r="J432" s="990"/>
      <c r="K432" s="991"/>
      <c r="L432" s="991"/>
      <c r="M432" s="991"/>
      <c r="N432" s="991"/>
      <c r="O432" s="991"/>
      <c r="P432" s="991"/>
      <c r="Q432" s="868"/>
      <c r="R432" s="868"/>
      <c r="S432" s="868"/>
      <c r="T432" s="868"/>
      <c r="U432" s="868"/>
      <c r="V432" s="868"/>
      <c r="W432" s="868"/>
      <c r="X432" s="868"/>
      <c r="Y432" s="868"/>
      <c r="Z432" s="868"/>
    </row>
    <row r="433" spans="1:26" ht="19.5">
      <c r="A433" s="1002"/>
      <c r="B433" s="1003"/>
      <c r="C433" s="1003"/>
      <c r="D433" s="1013" t="s">
        <v>191</v>
      </c>
      <c r="E433" s="1010"/>
      <c r="F433" s="1010"/>
      <c r="G433" s="1011"/>
      <c r="H433" s="196" t="s">
        <v>35</v>
      </c>
      <c r="I433" s="1019">
        <f ca="1">I435</f>
        <v>10</v>
      </c>
      <c r="J433" s="1019">
        <f ca="1">IF(AND(J435=I435,J437=I437,J439=I439),I437+I439,IF(AND(J435=I437,J437=I437),I437,IF(AND(J435=I439,J439=I439),I439,0)))</f>
        <v>10</v>
      </c>
      <c r="K433" s="1020">
        <f t="shared" ref="K433:K435" ca="1" si="192">IF(I433&gt;0,J433*100/I433,0)</f>
        <v>100</v>
      </c>
      <c r="L433" s="881"/>
      <c r="M433" s="881"/>
      <c r="N433" s="881"/>
      <c r="O433" s="881"/>
      <c r="P433" s="881"/>
      <c r="Q433" s="868"/>
      <c r="R433" s="868"/>
      <c r="S433" s="868"/>
      <c r="T433" s="868"/>
      <c r="U433" s="868"/>
      <c r="V433" s="868"/>
      <c r="W433" s="868"/>
      <c r="X433" s="868"/>
      <c r="Y433" s="868"/>
      <c r="Z433" s="868"/>
    </row>
    <row r="434" spans="1:26" ht="19.5">
      <c r="A434" s="1002"/>
      <c r="B434" s="1003"/>
      <c r="C434" s="1003"/>
      <c r="D434" s="1013" t="s">
        <v>192</v>
      </c>
      <c r="E434" s="1010"/>
      <c r="F434" s="1010"/>
      <c r="G434" s="1011"/>
      <c r="H434" s="196" t="s">
        <v>49</v>
      </c>
      <c r="I434" s="1019">
        <f t="shared" ref="I434:J434" ca="1" si="193">I438+I440</f>
        <v>1</v>
      </c>
      <c r="J434" s="1019">
        <f t="shared" si="193"/>
        <v>1</v>
      </c>
      <c r="K434" s="1020">
        <f t="shared" ca="1" si="192"/>
        <v>100</v>
      </c>
      <c r="L434" s="881"/>
      <c r="M434" s="881"/>
      <c r="N434" s="881"/>
      <c r="O434" s="881"/>
      <c r="P434" s="881"/>
      <c r="Q434" s="868"/>
      <c r="R434" s="868"/>
      <c r="S434" s="868"/>
      <c r="T434" s="868"/>
      <c r="U434" s="868"/>
      <c r="V434" s="868"/>
      <c r="W434" s="868"/>
      <c r="X434" s="868"/>
      <c r="Y434" s="868"/>
      <c r="Z434" s="868"/>
    </row>
    <row r="435" spans="1:26" ht="18.75">
      <c r="A435" s="1002"/>
      <c r="B435" s="1003"/>
      <c r="C435" s="1003"/>
      <c r="D435" s="1009" t="s">
        <v>193</v>
      </c>
      <c r="E435" s="1010"/>
      <c r="F435" s="1010"/>
      <c r="G435" s="1011"/>
      <c r="H435" s="622" t="s">
        <v>35</v>
      </c>
      <c r="I435" s="582">
        <f ca="1">IFERROR(__xludf.DUMMYFUNCTION("IMPORTRANGE(""https://docs.google.com/spreadsheets/d/1QqKyyYR6Q21VydFLVH3TRQUabQu_ym0Zz7PgGX0-kHA/edit?usp=sharing"",""แผน!FC84"")"),10)</f>
        <v>10</v>
      </c>
      <c r="J435" s="583">
        <v>10</v>
      </c>
      <c r="K435" s="881">
        <f t="shared" ca="1" si="192"/>
        <v>100</v>
      </c>
      <c r="L435" s="881"/>
      <c r="M435" s="881"/>
      <c r="N435" s="881"/>
      <c r="O435" s="881"/>
      <c r="P435" s="881"/>
      <c r="Q435" s="868"/>
      <c r="R435" s="868"/>
      <c r="S435" s="868"/>
      <c r="T435" s="868"/>
      <c r="U435" s="868"/>
      <c r="V435" s="868"/>
      <c r="W435" s="868"/>
      <c r="X435" s="868"/>
      <c r="Y435" s="868"/>
      <c r="Z435" s="868"/>
    </row>
    <row r="436" spans="1:26" ht="18.75">
      <c r="A436" s="1002"/>
      <c r="B436" s="1003"/>
      <c r="C436" s="1003"/>
      <c r="D436" s="1009" t="s">
        <v>194</v>
      </c>
      <c r="E436" s="1010"/>
      <c r="F436" s="1010"/>
      <c r="G436" s="1011"/>
      <c r="H436" s="622"/>
      <c r="I436" s="880"/>
      <c r="J436" s="880"/>
      <c r="K436" s="881"/>
      <c r="L436" s="881"/>
      <c r="M436" s="881"/>
      <c r="N436" s="881"/>
      <c r="O436" s="881"/>
      <c r="P436" s="881"/>
      <c r="Q436" s="868"/>
      <c r="R436" s="868"/>
      <c r="S436" s="868"/>
      <c r="T436" s="868"/>
      <c r="U436" s="868"/>
      <c r="V436" s="868"/>
      <c r="W436" s="868"/>
      <c r="X436" s="868"/>
      <c r="Y436" s="868"/>
      <c r="Z436" s="868"/>
    </row>
    <row r="437" spans="1:26" ht="18.75">
      <c r="A437" s="1002"/>
      <c r="B437" s="1003"/>
      <c r="C437" s="1003"/>
      <c r="D437" s="1009" t="s">
        <v>195</v>
      </c>
      <c r="E437" s="1010"/>
      <c r="F437" s="1010"/>
      <c r="G437" s="1011"/>
      <c r="H437" s="622" t="s">
        <v>35</v>
      </c>
      <c r="I437" s="582">
        <f ca="1">IFERROR(__xludf.DUMMYFUNCTION("IMPORTRANGE(""https://docs.google.com/spreadsheets/d/1QqKyyYR6Q21VydFLVH3TRQUabQu_ym0Zz7PgGX0-kHA/edit?usp=sharing"",""แผน!FD84"")"),0)</f>
        <v>0</v>
      </c>
      <c r="J437" s="583">
        <v>0</v>
      </c>
      <c r="K437" s="881">
        <f t="shared" ref="K437:K443" ca="1" si="194">IF(I437&gt;0,J437*100/I437,0)</f>
        <v>0</v>
      </c>
      <c r="L437" s="881"/>
      <c r="M437" s="881"/>
      <c r="N437" s="881"/>
      <c r="O437" s="881"/>
      <c r="P437" s="881"/>
      <c r="Q437" s="868"/>
      <c r="R437" s="868"/>
      <c r="S437" s="868"/>
      <c r="T437" s="868"/>
      <c r="U437" s="868"/>
      <c r="V437" s="868"/>
      <c r="W437" s="868"/>
      <c r="X437" s="868"/>
      <c r="Y437" s="868"/>
      <c r="Z437" s="868"/>
    </row>
    <row r="438" spans="1:26" ht="18.75">
      <c r="A438" s="1002"/>
      <c r="B438" s="1003"/>
      <c r="C438" s="1003"/>
      <c r="D438" s="1009" t="s">
        <v>196</v>
      </c>
      <c r="E438" s="1010"/>
      <c r="F438" s="1010"/>
      <c r="G438" s="1011"/>
      <c r="H438" s="622" t="s">
        <v>49</v>
      </c>
      <c r="I438" s="880">
        <f ca="1">IFERROR(__xludf.DUMMYFUNCTION("IMPORTRANGE(""https://docs.google.com/spreadsheets/d/1QqKyyYR6Q21VydFLVH3TRQUabQu_ym0Zz7PgGX0-kHA/edit?usp=sharing"",""แผน!FE84"")"),0)</f>
        <v>0</v>
      </c>
      <c r="J438" s="1012">
        <v>0</v>
      </c>
      <c r="K438" s="881">
        <f t="shared" ca="1" si="194"/>
        <v>0</v>
      </c>
      <c r="L438" s="881"/>
      <c r="M438" s="881"/>
      <c r="N438" s="881"/>
      <c r="O438" s="881"/>
      <c r="P438" s="881"/>
      <c r="Q438" s="868"/>
      <c r="R438" s="868"/>
      <c r="S438" s="868"/>
      <c r="T438" s="868"/>
      <c r="U438" s="868"/>
      <c r="V438" s="868"/>
      <c r="W438" s="868"/>
      <c r="X438" s="868"/>
      <c r="Y438" s="868"/>
      <c r="Z438" s="868"/>
    </row>
    <row r="439" spans="1:26" ht="18.75">
      <c r="A439" s="1002"/>
      <c r="B439" s="1003"/>
      <c r="C439" s="1003"/>
      <c r="D439" s="1009" t="s">
        <v>197</v>
      </c>
      <c r="E439" s="1010"/>
      <c r="F439" s="1010"/>
      <c r="G439" s="1011"/>
      <c r="H439" s="622" t="s">
        <v>35</v>
      </c>
      <c r="I439" s="582">
        <f ca="1">IFERROR(__xludf.DUMMYFUNCTION("IMPORTRANGE(""https://docs.google.com/spreadsheets/d/1QqKyyYR6Q21VydFLVH3TRQUabQu_ym0Zz7PgGX0-kHA/edit?usp=sharing"",""แผน!FF84"")"),10)</f>
        <v>10</v>
      </c>
      <c r="J439" s="583">
        <v>10</v>
      </c>
      <c r="K439" s="881">
        <f t="shared" ca="1" si="194"/>
        <v>100</v>
      </c>
      <c r="L439" s="881"/>
      <c r="M439" s="881"/>
      <c r="N439" s="881"/>
      <c r="O439" s="881"/>
      <c r="P439" s="881"/>
      <c r="Q439" s="868"/>
      <c r="R439" s="868"/>
      <c r="S439" s="868"/>
      <c r="T439" s="868"/>
      <c r="U439" s="868"/>
      <c r="V439" s="868"/>
      <c r="W439" s="868"/>
      <c r="X439" s="868"/>
      <c r="Y439" s="868"/>
      <c r="Z439" s="868"/>
    </row>
    <row r="440" spans="1:26" ht="18.75">
      <c r="A440" s="1002"/>
      <c r="B440" s="1003"/>
      <c r="C440" s="1003"/>
      <c r="D440" s="1009" t="s">
        <v>198</v>
      </c>
      <c r="E440" s="1010"/>
      <c r="F440" s="1010"/>
      <c r="G440" s="1011"/>
      <c r="H440" s="622" t="s">
        <v>49</v>
      </c>
      <c r="I440" s="880">
        <f ca="1">IFERROR(__xludf.DUMMYFUNCTION("IMPORTRANGE(""https://docs.google.com/spreadsheets/d/1QqKyyYR6Q21VydFLVH3TRQUabQu_ym0Zz7PgGX0-kHA/edit?usp=sharing"",""แผน!FG84"")"),1)</f>
        <v>1</v>
      </c>
      <c r="J440" s="1012">
        <v>1</v>
      </c>
      <c r="K440" s="881">
        <f t="shared" ca="1" si="194"/>
        <v>100</v>
      </c>
      <c r="L440" s="881"/>
      <c r="M440" s="881"/>
      <c r="N440" s="881"/>
      <c r="O440" s="881"/>
      <c r="P440" s="881"/>
      <c r="Q440" s="868"/>
      <c r="R440" s="868"/>
      <c r="S440" s="868"/>
      <c r="T440" s="868"/>
      <c r="U440" s="868"/>
      <c r="V440" s="868"/>
      <c r="W440" s="868"/>
      <c r="X440" s="868"/>
      <c r="Y440" s="868"/>
      <c r="Z440" s="868"/>
    </row>
    <row r="441" spans="1:26" ht="18.75">
      <c r="A441" s="1002"/>
      <c r="B441" s="1003"/>
      <c r="C441" s="1003"/>
      <c r="D441" s="1009" t="s">
        <v>199</v>
      </c>
      <c r="E441" s="1010"/>
      <c r="F441" s="1010"/>
      <c r="G441" s="1011"/>
      <c r="H441" s="622" t="s">
        <v>35</v>
      </c>
      <c r="I441" s="880">
        <f ca="1">IFERROR(__xludf.DUMMYFUNCTION("IMPORTRANGE(""https://docs.google.com/spreadsheets/d/1QqKyyYR6Q21VydFLVH3TRQUabQu_ym0Zz7PgGX0-kHA/edit?usp=sharing"",""แผน!FH84"")"),0)</f>
        <v>0</v>
      </c>
      <c r="J441" s="880">
        <v>0</v>
      </c>
      <c r="K441" s="881">
        <f t="shared" ca="1" si="194"/>
        <v>0</v>
      </c>
      <c r="L441" s="881"/>
      <c r="M441" s="881"/>
      <c r="N441" s="881"/>
      <c r="O441" s="881"/>
      <c r="P441" s="881"/>
      <c r="Q441" s="868"/>
      <c r="R441" s="868"/>
      <c r="S441" s="868"/>
      <c r="T441" s="868"/>
      <c r="U441" s="868"/>
      <c r="V441" s="868"/>
      <c r="W441" s="868"/>
      <c r="X441" s="868"/>
      <c r="Y441" s="868"/>
      <c r="Z441" s="868"/>
    </row>
    <row r="442" spans="1:26" ht="19.5" hidden="1">
      <c r="A442" s="584">
        <v>2</v>
      </c>
      <c r="B442" s="1307" t="s">
        <v>200</v>
      </c>
      <c r="C442" s="1308"/>
      <c r="D442" s="1308"/>
      <c r="E442" s="1308"/>
      <c r="F442" s="1308"/>
      <c r="G442" s="1309"/>
      <c r="H442" s="588" t="s">
        <v>35</v>
      </c>
      <c r="I442" s="1310">
        <f t="shared" ref="I442:J442" ca="1" si="195">I460</f>
        <v>0</v>
      </c>
      <c r="J442" s="1310">
        <f t="shared" si="195"/>
        <v>0</v>
      </c>
      <c r="K442" s="1311">
        <f t="shared" ca="1" si="194"/>
        <v>0</v>
      </c>
      <c r="L442" s="1312"/>
      <c r="M442" s="1312"/>
      <c r="N442" s="1312"/>
      <c r="O442" s="1312"/>
      <c r="P442" s="1312"/>
      <c r="Q442" s="1302"/>
      <c r="R442" s="1302"/>
      <c r="S442" s="1302"/>
      <c r="T442" s="1302"/>
      <c r="U442" s="1302"/>
      <c r="V442" s="1302"/>
      <c r="W442" s="1302"/>
      <c r="X442" s="1302"/>
      <c r="Y442" s="1302"/>
      <c r="Z442" s="1302"/>
    </row>
    <row r="443" spans="1:26" ht="19.5" hidden="1">
      <c r="A443" s="1313"/>
      <c r="B443" s="1314"/>
      <c r="C443" s="1315"/>
      <c r="D443" s="1315"/>
      <c r="E443" s="1315"/>
      <c r="F443" s="1315"/>
      <c r="G443" s="1316"/>
      <c r="H443" s="568" t="s">
        <v>46</v>
      </c>
      <c r="I443" s="1294">
        <f t="shared" ref="I443:J443" ca="1" si="196">I462</f>
        <v>0</v>
      </c>
      <c r="J443" s="1294">
        <f t="shared" si="196"/>
        <v>0</v>
      </c>
      <c r="K443" s="1295">
        <f t="shared" ca="1" si="194"/>
        <v>0</v>
      </c>
      <c r="L443" s="1296"/>
      <c r="M443" s="1296"/>
      <c r="N443" s="1296"/>
      <c r="O443" s="1296"/>
      <c r="P443" s="1296"/>
      <c r="Q443" s="1302"/>
      <c r="R443" s="1302"/>
      <c r="S443" s="1302"/>
      <c r="T443" s="1302"/>
      <c r="U443" s="1302"/>
      <c r="V443" s="1302"/>
      <c r="W443" s="1302"/>
      <c r="X443" s="1302"/>
      <c r="Y443" s="1302"/>
      <c r="Z443" s="1302"/>
    </row>
    <row r="444" spans="1:26" ht="19.5" hidden="1">
      <c r="A444" s="1317"/>
      <c r="B444" s="1301"/>
      <c r="C444" s="1301" t="s">
        <v>16</v>
      </c>
      <c r="D444" s="1318" t="s">
        <v>17</v>
      </c>
      <c r="E444" s="841"/>
      <c r="F444" s="841"/>
      <c r="G444" s="1016"/>
      <c r="H444" s="597" t="s">
        <v>12</v>
      </c>
      <c r="I444" s="880"/>
      <c r="J444" s="880"/>
      <c r="K444" s="881"/>
      <c r="L444" s="1020">
        <f t="shared" ref="L444:N444" ca="1" si="197">L445+L446</f>
        <v>0</v>
      </c>
      <c r="M444" s="1020">
        <f t="shared" si="197"/>
        <v>0</v>
      </c>
      <c r="N444" s="1020">
        <f t="shared" si="197"/>
        <v>0</v>
      </c>
      <c r="O444" s="1020">
        <f t="shared" ref="O444:O449" ca="1" si="198">IF(L444&gt;0,N444*100/L444,0)</f>
        <v>0</v>
      </c>
      <c r="P444" s="1020">
        <f t="shared" ref="P444:P449" si="199">IF(M444&gt;0,N444*100/M444,0)</f>
        <v>0</v>
      </c>
      <c r="Q444" s="1302"/>
      <c r="R444" s="1302"/>
      <c r="S444" s="1302"/>
      <c r="T444" s="1302"/>
      <c r="U444" s="1302"/>
      <c r="V444" s="1302"/>
      <c r="W444" s="1302"/>
      <c r="X444" s="1302"/>
      <c r="Y444" s="1302"/>
      <c r="Z444" s="1302"/>
    </row>
    <row r="445" spans="1:26" ht="18.75" hidden="1">
      <c r="A445" s="1319"/>
      <c r="B445" s="1320"/>
      <c r="C445" s="1320"/>
      <c r="D445" s="1321"/>
      <c r="E445" s="1320" t="s">
        <v>185</v>
      </c>
      <c r="F445" s="1320"/>
      <c r="G445" s="1322"/>
      <c r="H445" s="165" t="s">
        <v>12</v>
      </c>
      <c r="I445" s="886"/>
      <c r="J445" s="886"/>
      <c r="K445" s="887"/>
      <c r="L445" s="887">
        <f t="shared" ref="L445:N446" si="200">L448+L455</f>
        <v>0</v>
      </c>
      <c r="M445" s="887">
        <f t="shared" si="200"/>
        <v>0</v>
      </c>
      <c r="N445" s="887">
        <f t="shared" si="200"/>
        <v>0</v>
      </c>
      <c r="O445" s="887">
        <f t="shared" si="198"/>
        <v>0</v>
      </c>
      <c r="P445" s="887">
        <f t="shared" si="199"/>
        <v>0</v>
      </c>
      <c r="Q445" s="1323"/>
      <c r="R445" s="1323"/>
      <c r="S445" s="1323"/>
      <c r="T445" s="1323"/>
      <c r="U445" s="1323"/>
      <c r="V445" s="1323"/>
      <c r="W445" s="1323"/>
      <c r="X445" s="1323"/>
      <c r="Y445" s="1323"/>
      <c r="Z445" s="1323"/>
    </row>
    <row r="446" spans="1:26" ht="18.75" hidden="1">
      <c r="A446" s="1319"/>
      <c r="B446" s="1324"/>
      <c r="C446" s="1320"/>
      <c r="D446" s="1321"/>
      <c r="E446" s="1320" t="s">
        <v>186</v>
      </c>
      <c r="F446" s="1320"/>
      <c r="G446" s="1322"/>
      <c r="H446" s="165" t="s">
        <v>12</v>
      </c>
      <c r="I446" s="886"/>
      <c r="J446" s="886"/>
      <c r="K446" s="887"/>
      <c r="L446" s="887">
        <f t="shared" ca="1" si="200"/>
        <v>0</v>
      </c>
      <c r="M446" s="887">
        <f t="shared" si="200"/>
        <v>0</v>
      </c>
      <c r="N446" s="887">
        <f t="shared" si="200"/>
        <v>0</v>
      </c>
      <c r="O446" s="887">
        <f t="shared" ca="1" si="198"/>
        <v>0</v>
      </c>
      <c r="P446" s="887">
        <f t="shared" si="199"/>
        <v>0</v>
      </c>
      <c r="Q446" s="1323"/>
      <c r="R446" s="1323"/>
      <c r="S446" s="1323"/>
      <c r="T446" s="1323"/>
      <c r="U446" s="1323"/>
      <c r="V446" s="1323"/>
      <c r="W446" s="1323"/>
      <c r="X446" s="1323"/>
      <c r="Y446" s="1323"/>
      <c r="Z446" s="1323"/>
    </row>
    <row r="447" spans="1:26" ht="18.75" hidden="1">
      <c r="A447" s="1317"/>
      <c r="B447" s="1300"/>
      <c r="C447" s="1301"/>
      <c r="D447" s="1325" t="s">
        <v>20</v>
      </c>
      <c r="E447" s="1301"/>
      <c r="F447" s="1301"/>
      <c r="G447" s="1016"/>
      <c r="H447" s="161" t="s">
        <v>12</v>
      </c>
      <c r="I447" s="997"/>
      <c r="J447" s="997"/>
      <c r="K447" s="998"/>
      <c r="L447" s="881">
        <f t="shared" ref="L447:N447" ca="1" si="201">L448+L449</f>
        <v>0</v>
      </c>
      <c r="M447" s="881">
        <f t="shared" si="201"/>
        <v>0</v>
      </c>
      <c r="N447" s="881">
        <f t="shared" si="201"/>
        <v>0</v>
      </c>
      <c r="O447" s="881">
        <f t="shared" ca="1" si="198"/>
        <v>0</v>
      </c>
      <c r="P447" s="881">
        <f t="shared" si="199"/>
        <v>0</v>
      </c>
      <c r="Q447" s="1302"/>
      <c r="R447" s="1302"/>
      <c r="S447" s="1302"/>
      <c r="T447" s="1302"/>
      <c r="U447" s="1302"/>
      <c r="V447" s="1302"/>
      <c r="W447" s="1302"/>
      <c r="X447" s="1302"/>
      <c r="Y447" s="1302"/>
      <c r="Z447" s="1302"/>
    </row>
    <row r="448" spans="1:26" ht="18.75" hidden="1">
      <c r="A448" s="1319"/>
      <c r="B448" s="1324"/>
      <c r="C448" s="1320"/>
      <c r="D448" s="1321"/>
      <c r="E448" s="1320" t="s">
        <v>185</v>
      </c>
      <c r="F448" s="1320"/>
      <c r="G448" s="1322"/>
      <c r="H448" s="165" t="s">
        <v>12</v>
      </c>
      <c r="I448" s="886"/>
      <c r="J448" s="886"/>
      <c r="K448" s="887"/>
      <c r="L448" s="887">
        <v>0</v>
      </c>
      <c r="M448" s="887">
        <v>0</v>
      </c>
      <c r="N448" s="887">
        <v>0</v>
      </c>
      <c r="O448" s="887">
        <f t="shared" si="198"/>
        <v>0</v>
      </c>
      <c r="P448" s="887">
        <f t="shared" si="199"/>
        <v>0</v>
      </c>
      <c r="Q448" s="1323"/>
      <c r="R448" s="1323"/>
      <c r="S448" s="1323"/>
      <c r="T448" s="1323"/>
      <c r="U448" s="1323"/>
      <c r="V448" s="1323"/>
      <c r="W448" s="1323"/>
      <c r="X448" s="1323"/>
      <c r="Y448" s="1323"/>
      <c r="Z448" s="1323"/>
    </row>
    <row r="449" spans="1:26" ht="18.75" hidden="1">
      <c r="A449" s="1319"/>
      <c r="B449" s="1324"/>
      <c r="C449" s="1320"/>
      <c r="D449" s="1321"/>
      <c r="E449" s="1320" t="s">
        <v>186</v>
      </c>
      <c r="F449" s="1320"/>
      <c r="G449" s="1322"/>
      <c r="H449" s="165" t="s">
        <v>12</v>
      </c>
      <c r="I449" s="886"/>
      <c r="J449" s="886"/>
      <c r="K449" s="887"/>
      <c r="L449" s="887">
        <f ca="1">IFERROR(__xludf.DUMMYFUNCTION("IMPORTRANGE(""https://docs.google.com/spreadsheets/d/1QqKyyYR6Q21VydFLVH3TRQUabQu_ym0Zz7PgGX0-kHA/edit?usp=sharing"",""แผน!FJ84"")"),0)</f>
        <v>0</v>
      </c>
      <c r="M449" s="887">
        <v>0</v>
      </c>
      <c r="N449" s="887">
        <f>N450+N451+N452+N453</f>
        <v>0</v>
      </c>
      <c r="O449" s="887">
        <f t="shared" ca="1" si="198"/>
        <v>0</v>
      </c>
      <c r="P449" s="887">
        <f t="shared" si="199"/>
        <v>0</v>
      </c>
      <c r="Q449" s="1323"/>
      <c r="R449" s="1323"/>
      <c r="S449" s="1323"/>
      <c r="T449" s="1323"/>
      <c r="U449" s="1323"/>
      <c r="V449" s="1323"/>
      <c r="W449" s="1323"/>
      <c r="X449" s="1323"/>
      <c r="Y449" s="1323"/>
      <c r="Z449" s="1323"/>
    </row>
    <row r="450" spans="1:26" ht="18.75" hidden="1">
      <c r="A450" s="1299"/>
      <c r="B450" s="1300"/>
      <c r="C450" s="1301"/>
      <c r="D450" s="1301"/>
      <c r="E450" s="1301"/>
      <c r="F450" s="1301" t="s">
        <v>187</v>
      </c>
      <c r="G450" s="1016"/>
      <c r="H450" s="161" t="s">
        <v>12</v>
      </c>
      <c r="I450" s="880"/>
      <c r="J450" s="880"/>
      <c r="K450" s="881"/>
      <c r="L450" s="881"/>
      <c r="M450" s="881"/>
      <c r="N450" s="1085">
        <v>0</v>
      </c>
      <c r="O450" s="881"/>
      <c r="P450" s="881"/>
      <c r="Q450" s="1302"/>
      <c r="R450" s="1302"/>
      <c r="S450" s="1302"/>
      <c r="T450" s="1302"/>
      <c r="U450" s="1302"/>
      <c r="V450" s="1302"/>
      <c r="W450" s="1302"/>
      <c r="X450" s="1302"/>
      <c r="Y450" s="1302"/>
      <c r="Z450" s="1302"/>
    </row>
    <row r="451" spans="1:26" ht="18.75" hidden="1">
      <c r="A451" s="1299"/>
      <c r="B451" s="1300"/>
      <c r="C451" s="1301"/>
      <c r="D451" s="1301"/>
      <c r="E451" s="1301"/>
      <c r="F451" s="1301" t="s">
        <v>188</v>
      </c>
      <c r="G451" s="1016"/>
      <c r="H451" s="161" t="s">
        <v>12</v>
      </c>
      <c r="I451" s="880"/>
      <c r="J451" s="880"/>
      <c r="K451" s="881"/>
      <c r="L451" s="881"/>
      <c r="M451" s="881"/>
      <c r="N451" s="1085">
        <v>0</v>
      </c>
      <c r="O451" s="881"/>
      <c r="P451" s="881"/>
      <c r="Q451" s="1302"/>
      <c r="R451" s="1302"/>
      <c r="S451" s="1302"/>
      <c r="T451" s="1302"/>
      <c r="U451" s="1302"/>
      <c r="V451" s="1302"/>
      <c r="W451" s="1302"/>
      <c r="X451" s="1302"/>
      <c r="Y451" s="1302"/>
      <c r="Z451" s="1302"/>
    </row>
    <row r="452" spans="1:26" ht="18.75" hidden="1">
      <c r="A452" s="1299"/>
      <c r="B452" s="1300"/>
      <c r="C452" s="1300"/>
      <c r="D452" s="1300"/>
      <c r="E452" s="1300"/>
      <c r="F452" s="1301" t="s">
        <v>189</v>
      </c>
      <c r="G452" s="1016"/>
      <c r="H452" s="161" t="s">
        <v>12</v>
      </c>
      <c r="I452" s="880"/>
      <c r="J452" s="880"/>
      <c r="K452" s="881"/>
      <c r="L452" s="881"/>
      <c r="M452" s="881"/>
      <c r="N452" s="1085">
        <v>0</v>
      </c>
      <c r="O452" s="881"/>
      <c r="P452" s="881"/>
      <c r="Q452" s="1302"/>
      <c r="R452" s="1302"/>
      <c r="S452" s="1302"/>
      <c r="T452" s="1302"/>
      <c r="U452" s="1302"/>
      <c r="V452" s="1302"/>
      <c r="W452" s="1302"/>
      <c r="X452" s="1302"/>
      <c r="Y452" s="1302"/>
      <c r="Z452" s="1302"/>
    </row>
    <row r="453" spans="1:26" ht="18.75" hidden="1">
      <c r="A453" s="1299"/>
      <c r="B453" s="1300"/>
      <c r="C453" s="1300"/>
      <c r="D453" s="1300"/>
      <c r="E453" s="1300"/>
      <c r="F453" s="1301" t="s">
        <v>190</v>
      </c>
      <c r="G453" s="1016"/>
      <c r="H453" s="161" t="s">
        <v>12</v>
      </c>
      <c r="I453" s="880"/>
      <c r="J453" s="880"/>
      <c r="K453" s="881"/>
      <c r="L453" s="881"/>
      <c r="M453" s="881"/>
      <c r="N453" s="1085">
        <v>0</v>
      </c>
      <c r="O453" s="881"/>
      <c r="P453" s="881"/>
      <c r="Q453" s="1302"/>
      <c r="R453" s="1302"/>
      <c r="S453" s="1302"/>
      <c r="T453" s="1302"/>
      <c r="U453" s="1302"/>
      <c r="V453" s="1302"/>
      <c r="W453" s="1302"/>
      <c r="X453" s="1302"/>
      <c r="Y453" s="1302"/>
      <c r="Z453" s="1302"/>
    </row>
    <row r="454" spans="1:26" ht="18.75" hidden="1">
      <c r="A454" s="1317"/>
      <c r="B454" s="1300"/>
      <c r="C454" s="1300"/>
      <c r="D454" s="1325" t="s">
        <v>21</v>
      </c>
      <c r="E454" s="1300"/>
      <c r="F454" s="1301"/>
      <c r="G454" s="1016"/>
      <c r="H454" s="168" t="s">
        <v>12</v>
      </c>
      <c r="I454" s="997"/>
      <c r="J454" s="997"/>
      <c r="K454" s="998"/>
      <c r="L454" s="881">
        <f t="shared" ref="L454:N454" ca="1" si="202">L455+L456</f>
        <v>0</v>
      </c>
      <c r="M454" s="881">
        <f t="shared" si="202"/>
        <v>0</v>
      </c>
      <c r="N454" s="881">
        <f t="shared" si="202"/>
        <v>0</v>
      </c>
      <c r="O454" s="881">
        <f t="shared" ref="O454:O456" ca="1" si="203">IF(L454&gt;0,N454*100/L454,0)</f>
        <v>0</v>
      </c>
      <c r="P454" s="881">
        <f t="shared" ref="P454:P456" si="204">IF(M454&gt;0,N454*100/M454,0)</f>
        <v>0</v>
      </c>
      <c r="Q454" s="1302"/>
      <c r="R454" s="1302"/>
      <c r="S454" s="1302"/>
      <c r="T454" s="1302"/>
      <c r="U454" s="1302"/>
      <c r="V454" s="1302"/>
      <c r="W454" s="1302"/>
      <c r="X454" s="1302"/>
      <c r="Y454" s="1302"/>
      <c r="Z454" s="1302"/>
    </row>
    <row r="455" spans="1:26" ht="18.75" hidden="1">
      <c r="A455" s="1319"/>
      <c r="B455" s="1324"/>
      <c r="C455" s="1324"/>
      <c r="D455" s="1324"/>
      <c r="E455" s="1324" t="s">
        <v>18</v>
      </c>
      <c r="F455" s="1320"/>
      <c r="G455" s="1322"/>
      <c r="H455" s="165" t="s">
        <v>12</v>
      </c>
      <c r="I455" s="1000"/>
      <c r="J455" s="1000"/>
      <c r="K455" s="1001"/>
      <c r="L455" s="887">
        <v>0</v>
      </c>
      <c r="M455" s="887">
        <v>0</v>
      </c>
      <c r="N455" s="887">
        <v>0</v>
      </c>
      <c r="O455" s="887">
        <f t="shared" si="203"/>
        <v>0</v>
      </c>
      <c r="P455" s="887">
        <f t="shared" si="204"/>
        <v>0</v>
      </c>
      <c r="Q455" s="1323"/>
      <c r="R455" s="1323"/>
      <c r="S455" s="1323"/>
      <c r="T455" s="1323"/>
      <c r="U455" s="1323"/>
      <c r="V455" s="1323"/>
      <c r="W455" s="1323"/>
      <c r="X455" s="1323"/>
      <c r="Y455" s="1323"/>
      <c r="Z455" s="1323"/>
    </row>
    <row r="456" spans="1:26" ht="18.75" hidden="1">
      <c r="A456" s="1319"/>
      <c r="B456" s="1324"/>
      <c r="C456" s="1324"/>
      <c r="D456" s="1324"/>
      <c r="E456" s="1324" t="s">
        <v>19</v>
      </c>
      <c r="F456" s="1320"/>
      <c r="G456" s="1322"/>
      <c r="H456" s="169" t="s">
        <v>12</v>
      </c>
      <c r="I456" s="1000"/>
      <c r="J456" s="1000"/>
      <c r="K456" s="1001"/>
      <c r="L456" s="887">
        <f ca="1">IFERROR(__xludf.DUMMYFUNCTION("IMPORTRANGE(""https://docs.google.com/spreadsheets/d/1QqKyyYR6Q21VydFLVH3TRQUabQu_ym0Zz7PgGX0-kHA/edit?usp=sharing"",""แผน!FM84"")"),0)</f>
        <v>0</v>
      </c>
      <c r="M456" s="887">
        <v>0</v>
      </c>
      <c r="N456" s="887">
        <v>0</v>
      </c>
      <c r="O456" s="887">
        <f t="shared" ca="1" si="203"/>
        <v>0</v>
      </c>
      <c r="P456" s="887">
        <f t="shared" si="204"/>
        <v>0</v>
      </c>
      <c r="Q456" s="1323"/>
      <c r="R456" s="1323"/>
      <c r="S456" s="1323"/>
      <c r="T456" s="1323"/>
      <c r="U456" s="1323"/>
      <c r="V456" s="1323"/>
      <c r="W456" s="1323"/>
      <c r="X456" s="1323"/>
      <c r="Y456" s="1323"/>
      <c r="Z456" s="1323"/>
    </row>
    <row r="457" spans="1:26" ht="19.5" hidden="1">
      <c r="A457" s="1326"/>
      <c r="B457" s="1327"/>
      <c r="C457" s="1300" t="s">
        <v>16</v>
      </c>
      <c r="D457" s="1328" t="s">
        <v>38</v>
      </c>
      <c r="E457" s="1329"/>
      <c r="F457" s="1330"/>
      <c r="G457" s="1331"/>
      <c r="H457" s="1007"/>
      <c r="I457" s="880"/>
      <c r="J457" s="880"/>
      <c r="K457" s="881"/>
      <c r="L457" s="881"/>
      <c r="M457" s="881"/>
      <c r="N457" s="881"/>
      <c r="O457" s="881"/>
      <c r="P457" s="881"/>
      <c r="Q457" s="1302"/>
      <c r="R457" s="1302"/>
      <c r="S457" s="1302"/>
      <c r="T457" s="1302"/>
      <c r="U457" s="1302"/>
      <c r="V457" s="1302"/>
      <c r="W457" s="1302"/>
      <c r="X457" s="1302"/>
      <c r="Y457" s="1302"/>
      <c r="Z457" s="1302"/>
    </row>
    <row r="458" spans="1:26" ht="18.75" hidden="1">
      <c r="A458" s="1332"/>
      <c r="B458" s="1333"/>
      <c r="C458" s="1333"/>
      <c r="D458" s="1333" t="s">
        <v>201</v>
      </c>
      <c r="E458" s="1333"/>
      <c r="F458" s="1321"/>
      <c r="G458" s="1113"/>
      <c r="H458" s="370" t="s">
        <v>35</v>
      </c>
      <c r="I458" s="886">
        <v>0</v>
      </c>
      <c r="J458" s="886">
        <v>0</v>
      </c>
      <c r="K458" s="887">
        <f>IF(I458&gt;0,J458*100/I458,0)</f>
        <v>0</v>
      </c>
      <c r="L458" s="887"/>
      <c r="M458" s="887"/>
      <c r="N458" s="887"/>
      <c r="O458" s="887"/>
      <c r="P458" s="887"/>
      <c r="Q458" s="1323"/>
      <c r="R458" s="1323"/>
      <c r="S458" s="1323"/>
      <c r="T458" s="1323"/>
      <c r="U458" s="1323"/>
      <c r="V458" s="1323"/>
      <c r="W458" s="1323"/>
      <c r="X458" s="1323"/>
      <c r="Y458" s="1323"/>
      <c r="Z458" s="1323"/>
    </row>
    <row r="459" spans="1:26" ht="18.75" hidden="1">
      <c r="A459" s="1332"/>
      <c r="B459" s="1333"/>
      <c r="C459" s="1333"/>
      <c r="D459" s="1333" t="s">
        <v>202</v>
      </c>
      <c r="E459" s="1333"/>
      <c r="F459" s="1321"/>
      <c r="G459" s="1113"/>
      <c r="H459" s="370"/>
      <c r="I459" s="886"/>
      <c r="J459" s="886"/>
      <c r="K459" s="887"/>
      <c r="L459" s="887"/>
      <c r="M459" s="887"/>
      <c r="N459" s="887"/>
      <c r="O459" s="887"/>
      <c r="P459" s="887"/>
      <c r="Q459" s="1323"/>
      <c r="R459" s="1323"/>
      <c r="S459" s="1323"/>
      <c r="T459" s="1323"/>
      <c r="U459" s="1323"/>
      <c r="V459" s="1323"/>
      <c r="W459" s="1323"/>
      <c r="X459" s="1323"/>
      <c r="Y459" s="1323"/>
      <c r="Z459" s="1323"/>
    </row>
    <row r="460" spans="1:26" ht="18.75" hidden="1">
      <c r="A460" s="1326"/>
      <c r="B460" s="1327"/>
      <c r="C460" s="1327"/>
      <c r="D460" s="1327" t="s">
        <v>203</v>
      </c>
      <c r="E460" s="1327"/>
      <c r="F460" s="1014"/>
      <c r="G460" s="1007"/>
      <c r="H460" s="762" t="s">
        <v>35</v>
      </c>
      <c r="I460" s="880">
        <f ca="1">IFERROR(__xludf.DUMMYFUNCTION("IMPORTRANGE(""https://docs.google.com/spreadsheets/d/1QqKyyYR6Q21VydFLVH3TRQUabQu_ym0Zz7PgGX0-kHA/edit?usp=sharing"",""แผน!FN84"")"),0)</f>
        <v>0</v>
      </c>
      <c r="J460" s="1012">
        <v>0</v>
      </c>
      <c r="K460" s="881">
        <f ca="1">IF(I460&gt;0,J460*100/I460,0)</f>
        <v>0</v>
      </c>
      <c r="L460" s="881"/>
      <c r="M460" s="881"/>
      <c r="N460" s="881"/>
      <c r="O460" s="881"/>
      <c r="P460" s="881"/>
      <c r="Q460" s="1302"/>
      <c r="R460" s="1302"/>
      <c r="S460" s="1302"/>
      <c r="T460" s="1302"/>
      <c r="U460" s="1302"/>
      <c r="V460" s="1302"/>
      <c r="W460" s="1302"/>
      <c r="X460" s="1302"/>
      <c r="Y460" s="1302"/>
      <c r="Z460" s="1302"/>
    </row>
    <row r="461" spans="1:26" ht="18.75" hidden="1">
      <c r="A461" s="1326"/>
      <c r="B461" s="1327"/>
      <c r="C461" s="1327"/>
      <c r="D461" s="1327" t="s">
        <v>204</v>
      </c>
      <c r="E461" s="1014"/>
      <c r="F461" s="1014"/>
      <c r="G461" s="1007"/>
      <c r="H461" s="762"/>
      <c r="I461" s="880"/>
      <c r="J461" s="880"/>
      <c r="K461" s="881"/>
      <c r="L461" s="881"/>
      <c r="M461" s="881"/>
      <c r="N461" s="881"/>
      <c r="O461" s="881"/>
      <c r="P461" s="881"/>
      <c r="Q461" s="1302"/>
      <c r="R461" s="1302"/>
      <c r="S461" s="1302"/>
      <c r="T461" s="1302"/>
      <c r="U461" s="1302"/>
      <c r="V461" s="1302"/>
      <c r="W461" s="1302"/>
      <c r="X461" s="1302"/>
      <c r="Y461" s="1302"/>
      <c r="Z461" s="1302"/>
    </row>
    <row r="462" spans="1:26" ht="18.75" hidden="1">
      <c r="A462" s="1326"/>
      <c r="B462" s="1327"/>
      <c r="C462" s="1327"/>
      <c r="D462" s="1327" t="s">
        <v>205</v>
      </c>
      <c r="E462" s="1014"/>
      <c r="F462" s="1014"/>
      <c r="G462" s="1007"/>
      <c r="H462" s="762" t="s">
        <v>46</v>
      </c>
      <c r="I462" s="880">
        <f ca="1">IFERROR(__xludf.DUMMYFUNCTION("IMPORTRANGE(""https://docs.google.com/spreadsheets/d/1QqKyyYR6Q21VydFLVH3TRQUabQu_ym0Zz7PgGX0-kHA/edit?usp=sharing"",""แผน!FO84"")"),0)</f>
        <v>0</v>
      </c>
      <c r="J462" s="1012">
        <v>0</v>
      </c>
      <c r="K462" s="881">
        <f ca="1">IF(I462&gt;0,J462*100/I462,0)</f>
        <v>0</v>
      </c>
      <c r="L462" s="881"/>
      <c r="M462" s="881"/>
      <c r="N462" s="881"/>
      <c r="O462" s="881"/>
      <c r="P462" s="881"/>
      <c r="Q462" s="1302"/>
      <c r="R462" s="1302"/>
      <c r="S462" s="1302"/>
      <c r="T462" s="1302"/>
      <c r="U462" s="1302"/>
      <c r="V462" s="1302"/>
      <c r="W462" s="1302"/>
      <c r="X462" s="1302"/>
      <c r="Y462" s="1302"/>
      <c r="Z462" s="1302"/>
    </row>
    <row r="463" spans="1:26" ht="18.75" hidden="1">
      <c r="A463" s="1326"/>
      <c r="B463" s="1327"/>
      <c r="C463" s="1327"/>
      <c r="D463" s="1327" t="s">
        <v>59</v>
      </c>
      <c r="E463" s="1014"/>
      <c r="F463" s="1301"/>
      <c r="G463" s="1016"/>
      <c r="H463" s="762" t="s">
        <v>46</v>
      </c>
      <c r="I463" s="880">
        <f ca="1">IFERROR(__xludf.DUMMYFUNCTION("IMPORTRANGE(""https://docs.google.com/spreadsheets/d/1QqKyyYR6Q21VydFLVH3TRQUabQu_ym0Zz7PgGX0-kHA/edit?usp=sharing"",""แผน!FO84"")"),0)</f>
        <v>0</v>
      </c>
      <c r="J463" s="1012">
        <v>0</v>
      </c>
      <c r="K463" s="881"/>
      <c r="L463" s="881"/>
      <c r="M463" s="881"/>
      <c r="N463" s="881"/>
      <c r="O463" s="881"/>
      <c r="P463" s="881"/>
      <c r="Q463" s="1302"/>
      <c r="R463" s="1302"/>
      <c r="S463" s="1302"/>
      <c r="T463" s="1302"/>
      <c r="U463" s="1302"/>
      <c r="V463" s="1302"/>
      <c r="W463" s="1302"/>
      <c r="X463" s="1302"/>
      <c r="Y463" s="1302"/>
      <c r="Z463" s="1302"/>
    </row>
    <row r="464" spans="1:26" ht="19.5" hidden="1">
      <c r="A464" s="1326"/>
      <c r="B464" s="1327"/>
      <c r="C464" s="1327"/>
      <c r="D464" s="1327"/>
      <c r="E464" s="1014"/>
      <c r="F464" s="1014"/>
      <c r="G464" s="1334"/>
      <c r="H464" s="762" t="s">
        <v>35</v>
      </c>
      <c r="I464" s="880">
        <f ca="1">IFERROR(__xludf.DUMMYFUNCTION("IMPORTRANGE(""https://docs.google.com/spreadsheets/d/1QqKyyYR6Q21VydFLVH3TRQUabQu_ym0Zz7PgGX0-kHA/edit?usp=sharing"",""แผน!FN84"")"),0)</f>
        <v>0</v>
      </c>
      <c r="J464" s="1012">
        <v>0</v>
      </c>
      <c r="K464" s="881"/>
      <c r="L464" s="881"/>
      <c r="M464" s="881"/>
      <c r="N464" s="881"/>
      <c r="O464" s="881"/>
      <c r="P464" s="881"/>
      <c r="Q464" s="1302"/>
      <c r="R464" s="1302"/>
      <c r="S464" s="1302"/>
      <c r="T464" s="1302"/>
      <c r="U464" s="1302"/>
      <c r="V464" s="1302"/>
      <c r="W464" s="1302"/>
      <c r="X464" s="1302"/>
      <c r="Y464" s="1302"/>
      <c r="Z464" s="1302"/>
    </row>
    <row r="465" spans="1:26" ht="19.5">
      <c r="A465" s="584">
        <v>3</v>
      </c>
      <c r="B465" s="1307" t="s">
        <v>206</v>
      </c>
      <c r="C465" s="1308"/>
      <c r="D465" s="1308"/>
      <c r="E465" s="1308"/>
      <c r="F465" s="1308"/>
      <c r="G465" s="1309"/>
      <c r="H465" s="588" t="s">
        <v>35</v>
      </c>
      <c r="I465" s="1310">
        <f ca="1">IFERROR(__xludf.DUMMYFUNCTION("IMPORTRANGE(""https://docs.google.com/spreadsheets/d/1QqKyyYR6Q21VydFLVH3TRQUabQu_ym0Zz7PgGX0-kHA/edit?usp=sharing"",""แผน!FX84"")"),11)</f>
        <v>11</v>
      </c>
      <c r="J465" s="1310">
        <f>J485+J489+J492</f>
        <v>11</v>
      </c>
      <c r="K465" s="1311">
        <f t="shared" ref="K465:K466" ca="1" si="205">IF(I465&gt;0,J465*100/I465,0)</f>
        <v>100</v>
      </c>
      <c r="L465" s="1312"/>
      <c r="M465" s="1312"/>
      <c r="N465" s="1312"/>
      <c r="O465" s="1312"/>
      <c r="P465" s="1312"/>
      <c r="Q465" s="1302"/>
      <c r="R465" s="1302"/>
      <c r="S465" s="1302"/>
      <c r="T465" s="1302"/>
      <c r="U465" s="1302"/>
      <c r="V465" s="1302"/>
      <c r="W465" s="1302"/>
      <c r="X465" s="1302"/>
      <c r="Y465" s="1302"/>
      <c r="Z465" s="1302"/>
    </row>
    <row r="466" spans="1:26" ht="19.5">
      <c r="A466" s="1313"/>
      <c r="B466" s="1314"/>
      <c r="C466" s="1315"/>
      <c r="D466" s="1315"/>
      <c r="E466" s="1315"/>
      <c r="F466" s="1315"/>
      <c r="G466" s="1316"/>
      <c r="H466" s="568" t="s">
        <v>46</v>
      </c>
      <c r="I466" s="1294">
        <f ca="1">IFERROR(__xludf.DUMMYFUNCTION("IMPORTRANGE(""https://docs.google.com/spreadsheets/d/1QqKyyYR6Q21VydFLVH3TRQUabQu_ym0Zz7PgGX0-kHA/edit?usp=sharing"",""แผน!FW84"")"),100)</f>
        <v>100</v>
      </c>
      <c r="J466" s="1294">
        <f>J495+J498</f>
        <v>100</v>
      </c>
      <c r="K466" s="1295">
        <f t="shared" ca="1" si="205"/>
        <v>100</v>
      </c>
      <c r="L466" s="1296"/>
      <c r="M466" s="1296"/>
      <c r="N466" s="1296"/>
      <c r="O466" s="1296"/>
      <c r="P466" s="1296"/>
      <c r="Q466" s="1302"/>
      <c r="R466" s="1302"/>
      <c r="S466" s="1302"/>
      <c r="T466" s="1302"/>
      <c r="U466" s="1302"/>
      <c r="V466" s="1302"/>
      <c r="W466" s="1302"/>
      <c r="X466" s="1302"/>
      <c r="Y466" s="1302"/>
      <c r="Z466" s="1302"/>
    </row>
    <row r="467" spans="1:26" ht="19.5">
      <c r="A467" s="1317"/>
      <c r="B467" s="1301"/>
      <c r="C467" s="1301" t="s">
        <v>16</v>
      </c>
      <c r="D467" s="1318" t="s">
        <v>17</v>
      </c>
      <c r="E467" s="841"/>
      <c r="F467" s="841"/>
      <c r="G467" s="1016"/>
      <c r="H467" s="597" t="s">
        <v>12</v>
      </c>
      <c r="I467" s="880"/>
      <c r="J467" s="880"/>
      <c r="K467" s="881"/>
      <c r="L467" s="1020">
        <f t="shared" ref="L467:N467" ca="1" si="206">L468+L469</f>
        <v>114463</v>
      </c>
      <c r="M467" s="1020">
        <f t="shared" ca="1" si="206"/>
        <v>114463</v>
      </c>
      <c r="N467" s="1020">
        <f t="shared" si="206"/>
        <v>112145</v>
      </c>
      <c r="O467" s="1020">
        <f t="shared" ref="O467:O472" ca="1" si="207">IF(L467&gt;0,N467*100/L467,0)</f>
        <v>97.974891449638747</v>
      </c>
      <c r="P467" s="1020">
        <f t="shared" ref="P467:P472" ca="1" si="208">IF(M467&gt;0,N467*100/M467,0)</f>
        <v>97.974891449638747</v>
      </c>
      <c r="Q467" s="1302"/>
      <c r="R467" s="1302"/>
      <c r="S467" s="1302"/>
      <c r="T467" s="1302"/>
      <c r="U467" s="1302"/>
      <c r="V467" s="1302"/>
      <c r="W467" s="1302"/>
      <c r="X467" s="1302"/>
      <c r="Y467" s="1302"/>
      <c r="Z467" s="1302"/>
    </row>
    <row r="468" spans="1:26" ht="18.75" hidden="1">
      <c r="A468" s="1319"/>
      <c r="B468" s="1320"/>
      <c r="C468" s="1320"/>
      <c r="D468" s="1321"/>
      <c r="E468" s="1320" t="s">
        <v>185</v>
      </c>
      <c r="F468" s="1320"/>
      <c r="G468" s="1322"/>
      <c r="H468" s="165" t="s">
        <v>12</v>
      </c>
      <c r="I468" s="886"/>
      <c r="J468" s="886"/>
      <c r="K468" s="887"/>
      <c r="L468" s="887">
        <f t="shared" ref="L468:N469" si="209">L471+L478</f>
        <v>0</v>
      </c>
      <c r="M468" s="887">
        <f t="shared" si="209"/>
        <v>0</v>
      </c>
      <c r="N468" s="887">
        <f t="shared" si="209"/>
        <v>0</v>
      </c>
      <c r="O468" s="887">
        <f t="shared" si="207"/>
        <v>0</v>
      </c>
      <c r="P468" s="887">
        <f t="shared" si="208"/>
        <v>0</v>
      </c>
      <c r="Q468" s="1323"/>
      <c r="R468" s="1323"/>
      <c r="S468" s="1323"/>
      <c r="T468" s="1323"/>
      <c r="U468" s="1323"/>
      <c r="V468" s="1323"/>
      <c r="W468" s="1323"/>
      <c r="X468" s="1323"/>
      <c r="Y468" s="1323"/>
      <c r="Z468" s="1323"/>
    </row>
    <row r="469" spans="1:26" ht="18.75" hidden="1">
      <c r="A469" s="1319"/>
      <c r="B469" s="1324"/>
      <c r="C469" s="1320"/>
      <c r="D469" s="1321"/>
      <c r="E469" s="1320" t="s">
        <v>186</v>
      </c>
      <c r="F469" s="1320"/>
      <c r="G469" s="1322"/>
      <c r="H469" s="165" t="s">
        <v>12</v>
      </c>
      <c r="I469" s="886"/>
      <c r="J469" s="886"/>
      <c r="K469" s="887"/>
      <c r="L469" s="887">
        <f t="shared" ca="1" si="209"/>
        <v>114463</v>
      </c>
      <c r="M469" s="887">
        <f t="shared" ca="1" si="209"/>
        <v>114463</v>
      </c>
      <c r="N469" s="887">
        <f t="shared" si="209"/>
        <v>112145</v>
      </c>
      <c r="O469" s="887">
        <f t="shared" ca="1" si="207"/>
        <v>97.974891449638747</v>
      </c>
      <c r="P469" s="887">
        <f t="shared" ca="1" si="208"/>
        <v>97.974891449638747</v>
      </c>
      <c r="Q469" s="1323"/>
      <c r="R469" s="1323"/>
      <c r="S469" s="1323"/>
      <c r="T469" s="1323"/>
      <c r="U469" s="1323"/>
      <c r="V469" s="1323"/>
      <c r="W469" s="1323"/>
      <c r="X469" s="1323"/>
      <c r="Y469" s="1323"/>
      <c r="Z469" s="1323"/>
    </row>
    <row r="470" spans="1:26" ht="18.75">
      <c r="A470" s="1317"/>
      <c r="B470" s="1300"/>
      <c r="C470" s="1301"/>
      <c r="D470" s="1325" t="s">
        <v>20</v>
      </c>
      <c r="E470" s="1301"/>
      <c r="F470" s="1301"/>
      <c r="G470" s="1016"/>
      <c r="H470" s="161" t="s">
        <v>12</v>
      </c>
      <c r="I470" s="997"/>
      <c r="J470" s="997"/>
      <c r="K470" s="998"/>
      <c r="L470" s="881">
        <f t="shared" ref="L470:N470" ca="1" si="210">L471+L472</f>
        <v>114463</v>
      </c>
      <c r="M470" s="881">
        <f t="shared" ca="1" si="210"/>
        <v>114463</v>
      </c>
      <c r="N470" s="881">
        <f t="shared" si="210"/>
        <v>112145</v>
      </c>
      <c r="O470" s="881">
        <f t="shared" ca="1" si="207"/>
        <v>97.974891449638747</v>
      </c>
      <c r="P470" s="881">
        <f t="shared" ca="1" si="208"/>
        <v>97.974891449638747</v>
      </c>
      <c r="Q470" s="1302"/>
      <c r="R470" s="1302"/>
      <c r="S470" s="1302"/>
      <c r="T470" s="1302"/>
      <c r="U470" s="1302"/>
      <c r="V470" s="1302"/>
      <c r="W470" s="1302"/>
      <c r="X470" s="1302"/>
      <c r="Y470" s="1302"/>
      <c r="Z470" s="1302"/>
    </row>
    <row r="471" spans="1:26" ht="18.75" hidden="1">
      <c r="A471" s="1319"/>
      <c r="B471" s="1324"/>
      <c r="C471" s="1320"/>
      <c r="D471" s="1321"/>
      <c r="E471" s="1320" t="s">
        <v>185</v>
      </c>
      <c r="F471" s="1320"/>
      <c r="G471" s="1322"/>
      <c r="H471" s="165" t="s">
        <v>12</v>
      </c>
      <c r="I471" s="886"/>
      <c r="J471" s="886"/>
      <c r="K471" s="887"/>
      <c r="L471" s="887">
        <v>0</v>
      </c>
      <c r="M471" s="887">
        <v>0</v>
      </c>
      <c r="N471" s="887">
        <v>0</v>
      </c>
      <c r="O471" s="887">
        <f t="shared" si="207"/>
        <v>0</v>
      </c>
      <c r="P471" s="887">
        <f t="shared" si="208"/>
        <v>0</v>
      </c>
      <c r="Q471" s="1323"/>
      <c r="R471" s="1323"/>
      <c r="S471" s="1323"/>
      <c r="T471" s="1323"/>
      <c r="U471" s="1323"/>
      <c r="V471" s="1323"/>
      <c r="W471" s="1323"/>
      <c r="X471" s="1323"/>
      <c r="Y471" s="1323"/>
      <c r="Z471" s="1323"/>
    </row>
    <row r="472" spans="1:26" ht="18.75" hidden="1">
      <c r="A472" s="1319"/>
      <c r="B472" s="1324"/>
      <c r="C472" s="1320"/>
      <c r="D472" s="1321"/>
      <c r="E472" s="1320" t="s">
        <v>186</v>
      </c>
      <c r="F472" s="1320"/>
      <c r="G472" s="1322"/>
      <c r="H472" s="165" t="s">
        <v>12</v>
      </c>
      <c r="I472" s="886"/>
      <c r="J472" s="886"/>
      <c r="K472" s="887"/>
      <c r="L472" s="887">
        <f ca="1">IFERROR(__xludf.DUMMYFUNCTION("IMPORTRANGE(""https://docs.google.com/spreadsheets/d/1QqKyyYR6Q21VydFLVH3TRQUabQu_ym0Zz7PgGX0-kHA/edit?usp=sharing"",""แผน!FS84"")"),114463)</f>
        <v>114463</v>
      </c>
      <c r="M472" s="887">
        <f ca="1">L472</f>
        <v>114463</v>
      </c>
      <c r="N472" s="887">
        <f>N473+N474+N475+N476</f>
        <v>112145</v>
      </c>
      <c r="O472" s="887">
        <f t="shared" ca="1" si="207"/>
        <v>97.974891449638747</v>
      </c>
      <c r="P472" s="887">
        <f t="shared" ca="1" si="208"/>
        <v>97.974891449638747</v>
      </c>
      <c r="Q472" s="1323"/>
      <c r="R472" s="1323"/>
      <c r="S472" s="1323"/>
      <c r="T472" s="1323"/>
      <c r="U472" s="1323"/>
      <c r="V472" s="1323"/>
      <c r="W472" s="1323"/>
      <c r="X472" s="1323"/>
      <c r="Y472" s="1323"/>
      <c r="Z472" s="1323"/>
    </row>
    <row r="473" spans="1:26" ht="18.75">
      <c r="A473" s="1299"/>
      <c r="B473" s="1300"/>
      <c r="C473" s="1301"/>
      <c r="D473" s="1301"/>
      <c r="E473" s="1301"/>
      <c r="F473" s="1301" t="s">
        <v>187</v>
      </c>
      <c r="G473" s="1016"/>
      <c r="H473" s="161" t="s">
        <v>12</v>
      </c>
      <c r="I473" s="880"/>
      <c r="J473" s="880"/>
      <c r="K473" s="881"/>
      <c r="L473" s="881"/>
      <c r="M473" s="881"/>
      <c r="N473" s="1085">
        <v>14293</v>
      </c>
      <c r="O473" s="881"/>
      <c r="P473" s="881"/>
      <c r="Q473" s="1302"/>
      <c r="R473" s="1302"/>
      <c r="S473" s="1302"/>
      <c r="T473" s="1302"/>
      <c r="U473" s="1302"/>
      <c r="V473" s="1302"/>
      <c r="W473" s="1302"/>
      <c r="X473" s="1302"/>
      <c r="Y473" s="1302"/>
      <c r="Z473" s="1302"/>
    </row>
    <row r="474" spans="1:26" ht="18.75">
      <c r="A474" s="1299"/>
      <c r="B474" s="1300"/>
      <c r="C474" s="1301"/>
      <c r="D474" s="1301"/>
      <c r="E474" s="1301"/>
      <c r="F474" s="1301" t="s">
        <v>188</v>
      </c>
      <c r="G474" s="1016"/>
      <c r="H474" s="161" t="s">
        <v>12</v>
      </c>
      <c r="I474" s="880"/>
      <c r="J474" s="880"/>
      <c r="K474" s="881"/>
      <c r="L474" s="881"/>
      <c r="M474" s="881"/>
      <c r="N474" s="1085">
        <v>66000</v>
      </c>
      <c r="O474" s="881"/>
      <c r="P474" s="881"/>
      <c r="Q474" s="1302"/>
      <c r="R474" s="1302"/>
      <c r="S474" s="1302"/>
      <c r="T474" s="1302"/>
      <c r="U474" s="1302"/>
      <c r="V474" s="1302"/>
      <c r="W474" s="1302"/>
      <c r="X474" s="1302"/>
      <c r="Y474" s="1302"/>
      <c r="Z474" s="1302"/>
    </row>
    <row r="475" spans="1:26" ht="18.75">
      <c r="A475" s="1299"/>
      <c r="B475" s="1300"/>
      <c r="C475" s="1300"/>
      <c r="D475" s="1300"/>
      <c r="E475" s="1300"/>
      <c r="F475" s="1301" t="s">
        <v>189</v>
      </c>
      <c r="G475" s="1016"/>
      <c r="H475" s="161" t="s">
        <v>12</v>
      </c>
      <c r="I475" s="880"/>
      <c r="J475" s="880"/>
      <c r="K475" s="881"/>
      <c r="L475" s="881"/>
      <c r="M475" s="881"/>
      <c r="N475" s="1085">
        <v>0</v>
      </c>
      <c r="O475" s="881"/>
      <c r="P475" s="881"/>
      <c r="Q475" s="1302"/>
      <c r="R475" s="1302"/>
      <c r="S475" s="1302"/>
      <c r="T475" s="1302"/>
      <c r="U475" s="1302"/>
      <c r="V475" s="1302"/>
      <c r="W475" s="1302"/>
      <c r="X475" s="1302"/>
      <c r="Y475" s="1302"/>
      <c r="Z475" s="1302"/>
    </row>
    <row r="476" spans="1:26" ht="18.75">
      <c r="A476" s="1299"/>
      <c r="B476" s="1300"/>
      <c r="C476" s="1300"/>
      <c r="D476" s="1300"/>
      <c r="E476" s="1300"/>
      <c r="F476" s="1301" t="s">
        <v>190</v>
      </c>
      <c r="G476" s="1016"/>
      <c r="H476" s="161" t="s">
        <v>12</v>
      </c>
      <c r="I476" s="880"/>
      <c r="J476" s="880"/>
      <c r="K476" s="881"/>
      <c r="L476" s="881"/>
      <c r="M476" s="881"/>
      <c r="N476" s="1085">
        <v>31852</v>
      </c>
      <c r="O476" s="881"/>
      <c r="P476" s="881"/>
      <c r="Q476" s="1302"/>
      <c r="R476" s="1302"/>
      <c r="S476" s="1302"/>
      <c r="T476" s="1302"/>
      <c r="U476" s="1302"/>
      <c r="V476" s="1302"/>
      <c r="W476" s="1302"/>
      <c r="X476" s="1302"/>
      <c r="Y476" s="1302"/>
      <c r="Z476" s="1302"/>
    </row>
    <row r="477" spans="1:26" ht="18.75">
      <c r="A477" s="1317"/>
      <c r="B477" s="1300"/>
      <c r="C477" s="1300"/>
      <c r="D477" s="1325" t="s">
        <v>21</v>
      </c>
      <c r="E477" s="1300"/>
      <c r="F477" s="1300"/>
      <c r="G477" s="1016"/>
      <c r="H477" s="168" t="s">
        <v>12</v>
      </c>
      <c r="I477" s="997"/>
      <c r="J477" s="997"/>
      <c r="K477" s="998"/>
      <c r="L477" s="881">
        <f t="shared" ref="L477:N477" ca="1" si="211">L478+L479</f>
        <v>0</v>
      </c>
      <c r="M477" s="881">
        <f t="shared" si="211"/>
        <v>0</v>
      </c>
      <c r="N477" s="881">
        <f t="shared" si="211"/>
        <v>0</v>
      </c>
      <c r="O477" s="881">
        <f t="shared" ref="O477:O479" ca="1" si="212">IF(L477&gt;0,N477*100/L477,0)</f>
        <v>0</v>
      </c>
      <c r="P477" s="881">
        <f t="shared" ref="P477:P479" si="213">IF(M477&gt;0,N477*100/M477,0)</f>
        <v>0</v>
      </c>
      <c r="Q477" s="1302"/>
      <c r="R477" s="1302"/>
      <c r="S477" s="1302"/>
      <c r="T477" s="1302"/>
      <c r="U477" s="1302"/>
      <c r="V477" s="1302"/>
      <c r="W477" s="1302"/>
      <c r="X477" s="1302"/>
      <c r="Y477" s="1302"/>
      <c r="Z477" s="1302"/>
    </row>
    <row r="478" spans="1:26" ht="18.75" hidden="1">
      <c r="A478" s="1319"/>
      <c r="B478" s="1324"/>
      <c r="C478" s="1324"/>
      <c r="D478" s="1324"/>
      <c r="E478" s="1324" t="s">
        <v>18</v>
      </c>
      <c r="F478" s="1324"/>
      <c r="G478" s="1322"/>
      <c r="H478" s="165" t="s">
        <v>12</v>
      </c>
      <c r="I478" s="1000"/>
      <c r="J478" s="1000"/>
      <c r="K478" s="1001"/>
      <c r="L478" s="887">
        <v>0</v>
      </c>
      <c r="M478" s="887">
        <v>0</v>
      </c>
      <c r="N478" s="887">
        <v>0</v>
      </c>
      <c r="O478" s="887">
        <f t="shared" si="212"/>
        <v>0</v>
      </c>
      <c r="P478" s="887">
        <f t="shared" si="213"/>
        <v>0</v>
      </c>
      <c r="Q478" s="1323"/>
      <c r="R478" s="1323"/>
      <c r="S478" s="1323"/>
      <c r="T478" s="1323"/>
      <c r="U478" s="1323"/>
      <c r="V478" s="1323"/>
      <c r="W478" s="1323"/>
      <c r="X478" s="1323"/>
      <c r="Y478" s="1323"/>
      <c r="Z478" s="1323"/>
    </row>
    <row r="479" spans="1:26" ht="18.75" hidden="1">
      <c r="A479" s="1319"/>
      <c r="B479" s="1324"/>
      <c r="C479" s="1324"/>
      <c r="D479" s="1324"/>
      <c r="E479" s="1324" t="s">
        <v>19</v>
      </c>
      <c r="F479" s="1324"/>
      <c r="G479" s="1322"/>
      <c r="H479" s="169" t="s">
        <v>12</v>
      </c>
      <c r="I479" s="1000"/>
      <c r="J479" s="1000"/>
      <c r="K479" s="1001"/>
      <c r="L479" s="887">
        <f ca="1">IFERROR(__xludf.DUMMYFUNCTION("IMPORTRANGE(""https://docs.google.com/spreadsheets/d/1QqKyyYR6Q21VydFLVH3TRQUabQu_ym0Zz7PgGX0-kHA/edit?usp=sharing"",""แผน!FV84"")"),0)</f>
        <v>0</v>
      </c>
      <c r="M479" s="887">
        <v>0</v>
      </c>
      <c r="N479" s="887">
        <v>0</v>
      </c>
      <c r="O479" s="887">
        <f t="shared" ca="1" si="212"/>
        <v>0</v>
      </c>
      <c r="P479" s="887">
        <f t="shared" si="213"/>
        <v>0</v>
      </c>
      <c r="Q479" s="1323"/>
      <c r="R479" s="1323"/>
      <c r="S479" s="1323"/>
      <c r="T479" s="1323"/>
      <c r="U479" s="1323"/>
      <c r="V479" s="1323"/>
      <c r="W479" s="1323"/>
      <c r="X479" s="1323"/>
      <c r="Y479" s="1323"/>
      <c r="Z479" s="1323"/>
    </row>
    <row r="480" spans="1:26" ht="19.5">
      <c r="A480" s="1326"/>
      <c r="B480" s="1327"/>
      <c r="C480" s="1300" t="s">
        <v>16</v>
      </c>
      <c r="D480" s="1335" t="s">
        <v>38</v>
      </c>
      <c r="E480" s="1329"/>
      <c r="F480" s="1330"/>
      <c r="G480" s="1331"/>
      <c r="H480" s="1007"/>
      <c r="I480" s="880"/>
      <c r="J480" s="880"/>
      <c r="K480" s="881"/>
      <c r="L480" s="881"/>
      <c r="M480" s="881"/>
      <c r="N480" s="881"/>
      <c r="O480" s="881"/>
      <c r="P480" s="881"/>
      <c r="Q480" s="1302"/>
      <c r="R480" s="1302"/>
      <c r="S480" s="1302"/>
      <c r="T480" s="1302"/>
      <c r="U480" s="1302"/>
      <c r="V480" s="1302"/>
      <c r="W480" s="1302"/>
      <c r="X480" s="1302"/>
      <c r="Y480" s="1302"/>
      <c r="Z480" s="1302"/>
    </row>
    <row r="481" spans="1:26" ht="19.5">
      <c r="A481" s="1326"/>
      <c r="B481" s="1327"/>
      <c r="C481" s="1327"/>
      <c r="D481" s="1336" t="s">
        <v>207</v>
      </c>
      <c r="E481" s="1327"/>
      <c r="F481" s="1327"/>
      <c r="G481" s="1007"/>
      <c r="H481" s="1016"/>
      <c r="I481" s="880"/>
      <c r="J481" s="880"/>
      <c r="K481" s="881"/>
      <c r="L481" s="881"/>
      <c r="M481" s="881"/>
      <c r="N481" s="881"/>
      <c r="O481" s="881"/>
      <c r="P481" s="881"/>
      <c r="Q481" s="1302"/>
      <c r="R481" s="1302"/>
      <c r="S481" s="1302"/>
      <c r="T481" s="1302"/>
      <c r="U481" s="1302"/>
      <c r="V481" s="1302"/>
      <c r="W481" s="1302"/>
      <c r="X481" s="1302"/>
      <c r="Y481" s="1302"/>
      <c r="Z481" s="1302"/>
    </row>
    <row r="482" spans="1:26" ht="18.75">
      <c r="A482" s="1326"/>
      <c r="B482" s="1327"/>
      <c r="C482" s="1327"/>
      <c r="D482" s="1327"/>
      <c r="E482" s="1327" t="s">
        <v>208</v>
      </c>
      <c r="F482" s="1327"/>
      <c r="G482" s="1007"/>
      <c r="H482" s="1016"/>
      <c r="I482" s="880"/>
      <c r="J482" s="880"/>
      <c r="K482" s="881"/>
      <c r="L482" s="881"/>
      <c r="M482" s="881"/>
      <c r="N482" s="881"/>
      <c r="O482" s="881"/>
      <c r="P482" s="881"/>
      <c r="Q482" s="1302"/>
      <c r="R482" s="1302"/>
      <c r="S482" s="1302"/>
      <c r="T482" s="1302"/>
      <c r="U482" s="1302"/>
      <c r="V482" s="1302"/>
      <c r="W482" s="1302"/>
      <c r="X482" s="1302"/>
      <c r="Y482" s="1302"/>
      <c r="Z482" s="1302"/>
    </row>
    <row r="483" spans="1:26" ht="18.75">
      <c r="A483" s="1326"/>
      <c r="B483" s="1327"/>
      <c r="C483" s="1327"/>
      <c r="D483" s="1327"/>
      <c r="E483" s="1327"/>
      <c r="F483" s="1327" t="s">
        <v>209</v>
      </c>
      <c r="G483" s="1007"/>
      <c r="H483" s="622" t="s">
        <v>46</v>
      </c>
      <c r="I483" s="880">
        <f ca="1">IFERROR(__xludf.DUMMYFUNCTION("IMPORTRANGE(""https://docs.google.com/spreadsheets/d/1QqKyyYR6Q21VydFLVH3TRQUabQu_ym0Zz7PgGX0-kHA/edit?usp=sharing"",""แผน!FY84"")"),90)</f>
        <v>90</v>
      </c>
      <c r="J483" s="1012">
        <v>90</v>
      </c>
      <c r="K483" s="881">
        <f ca="1">IF(I483&gt;0,J483*100/I483,0)</f>
        <v>100</v>
      </c>
      <c r="L483" s="881"/>
      <c r="M483" s="881"/>
      <c r="N483" s="881"/>
      <c r="O483" s="881"/>
      <c r="P483" s="881"/>
      <c r="Q483" s="1302"/>
      <c r="R483" s="1302"/>
      <c r="S483" s="1302"/>
      <c r="T483" s="1302"/>
      <c r="U483" s="1302"/>
      <c r="V483" s="1302"/>
      <c r="W483" s="1302"/>
      <c r="X483" s="1302"/>
      <c r="Y483" s="1302"/>
      <c r="Z483" s="1302"/>
    </row>
    <row r="484" spans="1:26" ht="18.75">
      <c r="A484" s="1326"/>
      <c r="B484" s="1327"/>
      <c r="C484" s="1327"/>
      <c r="D484" s="1327"/>
      <c r="E484" s="1327"/>
      <c r="F484" s="1327" t="s">
        <v>210</v>
      </c>
      <c r="G484" s="1007"/>
      <c r="H484" s="622" t="s">
        <v>35</v>
      </c>
      <c r="I484" s="880"/>
      <c r="J484" s="1012">
        <v>9</v>
      </c>
      <c r="K484" s="881"/>
      <c r="L484" s="881"/>
      <c r="M484" s="881"/>
      <c r="N484" s="881"/>
      <c r="O484" s="881"/>
      <c r="P484" s="881"/>
      <c r="Q484" s="1302"/>
      <c r="R484" s="1302"/>
      <c r="S484" s="1302"/>
      <c r="T484" s="1302"/>
      <c r="U484" s="1302"/>
      <c r="V484" s="1302"/>
      <c r="W484" s="1302"/>
      <c r="X484" s="1302"/>
      <c r="Y484" s="1302"/>
      <c r="Z484" s="1302"/>
    </row>
    <row r="485" spans="1:26" ht="18.75">
      <c r="A485" s="1326"/>
      <c r="B485" s="1327"/>
      <c r="C485" s="1327"/>
      <c r="D485" s="1327"/>
      <c r="E485" s="1327"/>
      <c r="F485" s="1327" t="s">
        <v>211</v>
      </c>
      <c r="G485" s="1007"/>
      <c r="H485" s="622" t="s">
        <v>35</v>
      </c>
      <c r="I485" s="880">
        <f ca="1">IFERROR(__xludf.DUMMYFUNCTION("IMPORTRANGE(""https://docs.google.com/spreadsheets/d/1QqKyyYR6Q21VydFLVH3TRQUabQu_ym0Zz7PgGX0-kHA/edit?usp=sharing"",""แผน!FZ84"")"),9)</f>
        <v>9</v>
      </c>
      <c r="J485" s="1012">
        <v>9</v>
      </c>
      <c r="K485" s="881">
        <f ca="1">IF(I485&gt;0,J485*100/I485,0)</f>
        <v>100</v>
      </c>
      <c r="L485" s="881"/>
      <c r="M485" s="881"/>
      <c r="N485" s="881"/>
      <c r="O485" s="881"/>
      <c r="P485" s="881"/>
      <c r="Q485" s="1302"/>
      <c r="R485" s="1302"/>
      <c r="S485" s="1302"/>
      <c r="T485" s="1302"/>
      <c r="U485" s="1302"/>
      <c r="V485" s="1302"/>
      <c r="W485" s="1302"/>
      <c r="X485" s="1302"/>
      <c r="Y485" s="1302"/>
      <c r="Z485" s="1302"/>
    </row>
    <row r="486" spans="1:26" ht="18.75">
      <c r="A486" s="1326"/>
      <c r="B486" s="1327"/>
      <c r="C486" s="1327"/>
      <c r="D486" s="1327"/>
      <c r="E486" s="1327" t="s">
        <v>62</v>
      </c>
      <c r="F486" s="1327"/>
      <c r="G486" s="1007"/>
      <c r="H486" s="622"/>
      <c r="I486" s="880"/>
      <c r="J486" s="880"/>
      <c r="K486" s="881"/>
      <c r="L486" s="881"/>
      <c r="M486" s="881"/>
      <c r="N486" s="881"/>
      <c r="O486" s="881"/>
      <c r="P486" s="881"/>
      <c r="Q486" s="1302"/>
      <c r="R486" s="1302"/>
      <c r="S486" s="1302"/>
      <c r="T486" s="1302"/>
      <c r="U486" s="1302"/>
      <c r="V486" s="1302"/>
      <c r="W486" s="1302"/>
      <c r="X486" s="1302"/>
      <c r="Y486" s="1302"/>
      <c r="Z486" s="1302"/>
    </row>
    <row r="487" spans="1:26" ht="18.75">
      <c r="A487" s="1326"/>
      <c r="B487" s="1327"/>
      <c r="C487" s="1327"/>
      <c r="D487" s="1327"/>
      <c r="E487" s="1327"/>
      <c r="F487" s="1327" t="s">
        <v>209</v>
      </c>
      <c r="G487" s="1007"/>
      <c r="H487" s="622" t="s">
        <v>46</v>
      </c>
      <c r="I487" s="880">
        <f ca="1">IFERROR(__xludf.DUMMYFUNCTION("IMPORTRANGE(""https://docs.google.com/spreadsheets/d/1QqKyyYR6Q21VydFLVH3TRQUabQu_ym0Zz7PgGX0-kHA/edit?usp=sharing"",""แผน!GA84"")"),10)</f>
        <v>10</v>
      </c>
      <c r="J487" s="1012">
        <v>10</v>
      </c>
      <c r="K487" s="881">
        <f ca="1">IF(I487&gt;0,J487*100/I487,0)</f>
        <v>100</v>
      </c>
      <c r="L487" s="881"/>
      <c r="M487" s="881"/>
      <c r="N487" s="881"/>
      <c r="O487" s="881"/>
      <c r="P487" s="881"/>
      <c r="Q487" s="1302"/>
      <c r="R487" s="1302"/>
      <c r="S487" s="1302"/>
      <c r="T487" s="1302"/>
      <c r="U487" s="1302"/>
      <c r="V487" s="1302"/>
      <c r="W487" s="1302"/>
      <c r="X487" s="1302"/>
      <c r="Y487" s="1302"/>
      <c r="Z487" s="1302"/>
    </row>
    <row r="488" spans="1:26" ht="18.75">
      <c r="A488" s="1326"/>
      <c r="B488" s="1327"/>
      <c r="C488" s="1327"/>
      <c r="D488" s="1327"/>
      <c r="E488" s="1327"/>
      <c r="F488" s="1327" t="s">
        <v>212</v>
      </c>
      <c r="G488" s="1007"/>
      <c r="H488" s="622" t="s">
        <v>35</v>
      </c>
      <c r="I488" s="880"/>
      <c r="J488" s="1012">
        <v>1</v>
      </c>
      <c r="K488" s="881"/>
      <c r="L488" s="881"/>
      <c r="M488" s="881"/>
      <c r="N488" s="881"/>
      <c r="O488" s="881"/>
      <c r="P488" s="881"/>
      <c r="Q488" s="1302"/>
      <c r="R488" s="1302"/>
      <c r="S488" s="1302"/>
      <c r="T488" s="1302"/>
      <c r="U488" s="1302"/>
      <c r="V488" s="1302"/>
      <c r="W488" s="1302"/>
      <c r="X488" s="1302"/>
      <c r="Y488" s="1302"/>
      <c r="Z488" s="1302"/>
    </row>
    <row r="489" spans="1:26" ht="18.75">
      <c r="A489" s="1326"/>
      <c r="B489" s="1327"/>
      <c r="C489" s="1327"/>
      <c r="D489" s="1327"/>
      <c r="E489" s="1327"/>
      <c r="F489" s="1327" t="s">
        <v>213</v>
      </c>
      <c r="G489" s="1007"/>
      <c r="H489" s="622" t="s">
        <v>35</v>
      </c>
      <c r="I489" s="880">
        <f ca="1">IFERROR(__xludf.DUMMYFUNCTION("IMPORTRANGE(""https://docs.google.com/spreadsheets/d/1QqKyyYR6Q21VydFLVH3TRQUabQu_ym0Zz7PgGX0-kHA/edit?usp=sharing"",""แผน!GB84"")"),1)</f>
        <v>1</v>
      </c>
      <c r="J489" s="1012">
        <v>1</v>
      </c>
      <c r="K489" s="881">
        <f ca="1">IF(I489&gt;0,J489*100/I489,0)</f>
        <v>100</v>
      </c>
      <c r="L489" s="881"/>
      <c r="M489" s="881"/>
      <c r="N489" s="881"/>
      <c r="O489" s="881"/>
      <c r="P489" s="881"/>
      <c r="Q489" s="1302"/>
      <c r="R489" s="1302"/>
      <c r="S489" s="1302"/>
      <c r="T489" s="1302"/>
      <c r="U489" s="1302"/>
      <c r="V489" s="1302"/>
      <c r="W489" s="1302"/>
      <c r="X489" s="1302"/>
      <c r="Y489" s="1302"/>
      <c r="Z489" s="1302"/>
    </row>
    <row r="490" spans="1:26" ht="18.75">
      <c r="A490" s="1326"/>
      <c r="B490" s="1327"/>
      <c r="C490" s="1327"/>
      <c r="D490" s="1327"/>
      <c r="E490" s="1327" t="s">
        <v>63</v>
      </c>
      <c r="F490" s="1014"/>
      <c r="G490" s="1007"/>
      <c r="H490" s="622"/>
      <c r="I490" s="880"/>
      <c r="J490" s="880"/>
      <c r="K490" s="881"/>
      <c r="L490" s="881"/>
      <c r="M490" s="881"/>
      <c r="N490" s="881"/>
      <c r="O490" s="881"/>
      <c r="P490" s="881"/>
      <c r="Q490" s="1302"/>
      <c r="R490" s="1302"/>
      <c r="S490" s="1302"/>
      <c r="T490" s="1302"/>
      <c r="U490" s="1302"/>
      <c r="V490" s="1302"/>
      <c r="W490" s="1302"/>
      <c r="X490" s="1302"/>
      <c r="Y490" s="1302"/>
      <c r="Z490" s="1302"/>
    </row>
    <row r="491" spans="1:26" ht="18.75">
      <c r="A491" s="1326"/>
      <c r="B491" s="1327"/>
      <c r="C491" s="1327"/>
      <c r="D491" s="1327"/>
      <c r="E491" s="1327"/>
      <c r="F491" s="1327" t="s">
        <v>214</v>
      </c>
      <c r="G491" s="1007"/>
      <c r="H491" s="622" t="s">
        <v>35</v>
      </c>
      <c r="I491" s="880"/>
      <c r="J491" s="1012">
        <v>1</v>
      </c>
      <c r="K491" s="881"/>
      <c r="L491" s="881"/>
      <c r="M491" s="881"/>
      <c r="N491" s="881"/>
      <c r="O491" s="881"/>
      <c r="P491" s="881"/>
      <c r="Q491" s="1302"/>
      <c r="R491" s="1302"/>
      <c r="S491" s="1302"/>
      <c r="T491" s="1302"/>
      <c r="U491" s="1302"/>
      <c r="V491" s="1302"/>
      <c r="W491" s="1302"/>
      <c r="X491" s="1302"/>
      <c r="Y491" s="1302"/>
      <c r="Z491" s="1302"/>
    </row>
    <row r="492" spans="1:26" ht="18.75">
      <c r="A492" s="1326"/>
      <c r="B492" s="1327"/>
      <c r="C492" s="1327"/>
      <c r="D492" s="1327"/>
      <c r="E492" s="1327"/>
      <c r="F492" s="1327" t="s">
        <v>215</v>
      </c>
      <c r="G492" s="1007"/>
      <c r="H492" s="622" t="s">
        <v>35</v>
      </c>
      <c r="I492" s="880">
        <f ca="1">IFERROR(__xludf.DUMMYFUNCTION("IMPORTRANGE(""https://docs.google.com/spreadsheets/d/1QqKyyYR6Q21VydFLVH3TRQUabQu_ym0Zz7PgGX0-kHA/edit?usp=sharing"",""แผน!GC84"")"),1)</f>
        <v>1</v>
      </c>
      <c r="J492" s="1012">
        <v>1</v>
      </c>
      <c r="K492" s="881">
        <f ca="1">IF(I492&gt;0,J492*100/I492,0)</f>
        <v>100</v>
      </c>
      <c r="L492" s="881"/>
      <c r="M492" s="881"/>
      <c r="N492" s="881"/>
      <c r="O492" s="881"/>
      <c r="P492" s="881"/>
      <c r="Q492" s="1302"/>
      <c r="R492" s="1302"/>
      <c r="S492" s="1302"/>
      <c r="T492" s="1302"/>
      <c r="U492" s="1302"/>
      <c r="V492" s="1302"/>
      <c r="W492" s="1302"/>
      <c r="X492" s="1302"/>
      <c r="Y492" s="1302"/>
      <c r="Z492" s="1302"/>
    </row>
    <row r="493" spans="1:26" ht="19.5">
      <c r="A493" s="1326"/>
      <c r="B493" s="1327"/>
      <c r="C493" s="1327"/>
      <c r="D493" s="1336" t="s">
        <v>59</v>
      </c>
      <c r="E493" s="1327"/>
      <c r="F493" s="1014"/>
      <c r="G493" s="1007"/>
      <c r="H493" s="1016"/>
      <c r="I493" s="880"/>
      <c r="J493" s="880"/>
      <c r="K493" s="881"/>
      <c r="L493" s="881"/>
      <c r="M493" s="881"/>
      <c r="N493" s="881"/>
      <c r="O493" s="881"/>
      <c r="P493" s="881"/>
      <c r="Q493" s="1302"/>
      <c r="R493" s="1302"/>
      <c r="S493" s="1302"/>
      <c r="T493" s="1302"/>
      <c r="U493" s="1302"/>
      <c r="V493" s="1302"/>
      <c r="W493" s="1302"/>
      <c r="X493" s="1302"/>
      <c r="Y493" s="1302"/>
      <c r="Z493" s="1302"/>
    </row>
    <row r="494" spans="1:26" ht="18.75">
      <c r="A494" s="1326"/>
      <c r="B494" s="1327"/>
      <c r="C494" s="1327"/>
      <c r="D494" s="1327"/>
      <c r="E494" s="1327" t="s">
        <v>208</v>
      </c>
      <c r="F494" s="1014"/>
      <c r="G494" s="1007"/>
      <c r="H494" s="1016"/>
      <c r="I494" s="880"/>
      <c r="J494" s="880"/>
      <c r="K494" s="881"/>
      <c r="L494" s="881"/>
      <c r="M494" s="881"/>
      <c r="N494" s="881"/>
      <c r="O494" s="881"/>
      <c r="P494" s="881"/>
      <c r="Q494" s="1302"/>
      <c r="R494" s="1302"/>
      <c r="S494" s="1302"/>
      <c r="T494" s="1302"/>
      <c r="U494" s="1302"/>
      <c r="V494" s="1302"/>
      <c r="W494" s="1302"/>
      <c r="X494" s="1302"/>
      <c r="Y494" s="1302"/>
      <c r="Z494" s="1302"/>
    </row>
    <row r="495" spans="1:26" ht="18.75">
      <c r="A495" s="1326"/>
      <c r="B495" s="1327"/>
      <c r="C495" s="1327"/>
      <c r="D495" s="1327"/>
      <c r="E495" s="1327"/>
      <c r="F495" s="1014" t="s">
        <v>216</v>
      </c>
      <c r="G495" s="1007"/>
      <c r="H495" s="622" t="s">
        <v>46</v>
      </c>
      <c r="I495" s="880">
        <f ca="1">IFERROR(__xludf.DUMMYFUNCTION("IMPORTRANGE(""https://docs.google.com/spreadsheets/d/1QqKyyYR6Q21VydFLVH3TRQUabQu_ym0Zz7PgGX0-kHA/edit?usp=sharing"",""แผน!FY84"")"),90)</f>
        <v>90</v>
      </c>
      <c r="J495" s="1012">
        <v>90</v>
      </c>
      <c r="K495" s="881">
        <f ca="1">IF(I495&gt;0,J495*100/I495,0)</f>
        <v>100</v>
      </c>
      <c r="L495" s="881"/>
      <c r="M495" s="881"/>
      <c r="N495" s="881"/>
      <c r="O495" s="881"/>
      <c r="P495" s="881"/>
      <c r="Q495" s="1302"/>
      <c r="R495" s="1302"/>
      <c r="S495" s="1302"/>
      <c r="T495" s="1302"/>
      <c r="U495" s="1302"/>
      <c r="V495" s="1302"/>
      <c r="W495" s="1302"/>
      <c r="X495" s="1302"/>
      <c r="Y495" s="1302"/>
      <c r="Z495" s="1302"/>
    </row>
    <row r="496" spans="1:26" ht="18.75">
      <c r="A496" s="1326"/>
      <c r="B496" s="1327"/>
      <c r="C496" s="1327"/>
      <c r="D496" s="1327"/>
      <c r="E496" s="1327"/>
      <c r="F496" s="1014" t="s">
        <v>217</v>
      </c>
      <c r="G496" s="1007"/>
      <c r="H496" s="622" t="s">
        <v>46</v>
      </c>
      <c r="I496" s="880"/>
      <c r="J496" s="1012">
        <v>0</v>
      </c>
      <c r="K496" s="881"/>
      <c r="L496" s="881"/>
      <c r="M496" s="881"/>
      <c r="N496" s="881"/>
      <c r="O496" s="881"/>
      <c r="P496" s="881"/>
      <c r="Q496" s="1302"/>
      <c r="R496" s="1302"/>
      <c r="S496" s="1302"/>
      <c r="T496" s="1302"/>
      <c r="U496" s="1302"/>
      <c r="V496" s="1302"/>
      <c r="W496" s="1302"/>
      <c r="X496" s="1302"/>
      <c r="Y496" s="1302"/>
      <c r="Z496" s="1302"/>
    </row>
    <row r="497" spans="1:26" ht="18.75">
      <c r="A497" s="1326"/>
      <c r="B497" s="1327"/>
      <c r="C497" s="1327"/>
      <c r="D497" s="1327"/>
      <c r="E497" s="1327" t="s">
        <v>62</v>
      </c>
      <c r="F497" s="1014"/>
      <c r="G497" s="1007"/>
      <c r="H497" s="1016"/>
      <c r="I497" s="880"/>
      <c r="J497" s="880"/>
      <c r="K497" s="881"/>
      <c r="L497" s="881"/>
      <c r="M497" s="881"/>
      <c r="N497" s="881"/>
      <c r="O497" s="881"/>
      <c r="P497" s="881"/>
      <c r="Q497" s="1302"/>
      <c r="R497" s="1302"/>
      <c r="S497" s="1302"/>
      <c r="T497" s="1302"/>
      <c r="U497" s="1302"/>
      <c r="V497" s="1302"/>
      <c r="W497" s="1302"/>
      <c r="X497" s="1302"/>
      <c r="Y497" s="1302"/>
      <c r="Z497" s="1302"/>
    </row>
    <row r="498" spans="1:26" ht="18.75">
      <c r="A498" s="1326"/>
      <c r="B498" s="1327"/>
      <c r="C498" s="1327"/>
      <c r="D498" s="1327"/>
      <c r="E498" s="1014"/>
      <c r="F498" s="1014" t="s">
        <v>218</v>
      </c>
      <c r="G498" s="1007"/>
      <c r="H498" s="622" t="s">
        <v>46</v>
      </c>
      <c r="I498" s="880">
        <f ca="1">IFERROR(__xludf.DUMMYFUNCTION("IMPORTRANGE(""https://docs.google.com/spreadsheets/d/1QqKyyYR6Q21VydFLVH3TRQUabQu_ym0Zz7PgGX0-kHA/edit?usp=sharing"",""แผน!GA84"")"),10)</f>
        <v>10</v>
      </c>
      <c r="J498" s="1012">
        <v>10</v>
      </c>
      <c r="K498" s="881">
        <f ca="1">IF(I498&gt;0,J498*100/I498,0)</f>
        <v>100</v>
      </c>
      <c r="L498" s="881"/>
      <c r="M498" s="881"/>
      <c r="N498" s="881"/>
      <c r="O498" s="881"/>
      <c r="P498" s="881"/>
      <c r="Q498" s="1302"/>
      <c r="R498" s="1302"/>
      <c r="S498" s="1302"/>
      <c r="T498" s="1302"/>
      <c r="U498" s="1302"/>
      <c r="V498" s="1302"/>
      <c r="W498" s="1302"/>
      <c r="X498" s="1302"/>
      <c r="Y498" s="1302"/>
      <c r="Z498" s="1302"/>
    </row>
    <row r="499" spans="1:26" ht="18.75">
      <c r="A499" s="1326"/>
      <c r="B499" s="1327"/>
      <c r="C499" s="1327"/>
      <c r="D499" s="1327"/>
      <c r="E499" s="1014"/>
      <c r="F499" s="1014" t="s">
        <v>219</v>
      </c>
      <c r="G499" s="1007"/>
      <c r="H499" s="622" t="s">
        <v>46</v>
      </c>
      <c r="I499" s="880"/>
      <c r="J499" s="1012">
        <v>0</v>
      </c>
      <c r="K499" s="881"/>
      <c r="L499" s="881"/>
      <c r="M499" s="881"/>
      <c r="N499" s="881"/>
      <c r="O499" s="881"/>
      <c r="P499" s="881"/>
      <c r="Q499" s="1302"/>
      <c r="R499" s="1302"/>
      <c r="S499" s="1302"/>
      <c r="T499" s="1302"/>
      <c r="U499" s="1302"/>
      <c r="V499" s="1302"/>
      <c r="W499" s="1302"/>
      <c r="X499" s="1302"/>
      <c r="Y499" s="1302"/>
      <c r="Z499" s="1302"/>
    </row>
    <row r="500" spans="1:26" ht="19.5" hidden="1">
      <c r="A500" s="626">
        <v>4</v>
      </c>
      <c r="B500" s="1337" t="s">
        <v>220</v>
      </c>
      <c r="C500" s="1338"/>
      <c r="D500" s="1339"/>
      <c r="E500" s="1339"/>
      <c r="F500" s="1339"/>
      <c r="G500" s="1340"/>
      <c r="H500" s="631" t="s">
        <v>109</v>
      </c>
      <c r="I500" s="1341"/>
      <c r="J500" s="1341">
        <f t="shared" ref="J500:J501" si="214">J516</f>
        <v>0</v>
      </c>
      <c r="K500" s="1342">
        <f t="shared" ref="K500:K501" si="215">IF(I500&gt;0,J500*100/I500,0)</f>
        <v>0</v>
      </c>
      <c r="L500" s="1343"/>
      <c r="M500" s="1343"/>
      <c r="N500" s="1343"/>
      <c r="O500" s="1343"/>
      <c r="P500" s="1343"/>
      <c r="Q500" s="1323"/>
      <c r="R500" s="1323"/>
      <c r="S500" s="1323"/>
      <c r="T500" s="1323"/>
      <c r="U500" s="1323"/>
      <c r="V500" s="1323"/>
      <c r="W500" s="1323"/>
      <c r="X500" s="1323"/>
      <c r="Y500" s="1323"/>
      <c r="Z500" s="1323"/>
    </row>
    <row r="501" spans="1:26" ht="19.5" hidden="1">
      <c r="A501" s="1344"/>
      <c r="B501" s="1345" t="s">
        <v>221</v>
      </c>
      <c r="C501" s="1345"/>
      <c r="D501" s="1346"/>
      <c r="E501" s="1346"/>
      <c r="F501" s="1346"/>
      <c r="G501" s="1347"/>
      <c r="H501" s="640" t="s">
        <v>35</v>
      </c>
      <c r="I501" s="1348"/>
      <c r="J501" s="1348">
        <f t="shared" si="214"/>
        <v>0</v>
      </c>
      <c r="K501" s="1349">
        <f t="shared" si="215"/>
        <v>0</v>
      </c>
      <c r="L501" s="1350"/>
      <c r="M501" s="1350"/>
      <c r="N501" s="1350"/>
      <c r="O501" s="1350"/>
      <c r="P501" s="1350"/>
      <c r="Q501" s="1323"/>
      <c r="R501" s="1323"/>
      <c r="S501" s="1323"/>
      <c r="T501" s="1323"/>
      <c r="U501" s="1323"/>
      <c r="V501" s="1323"/>
      <c r="W501" s="1323"/>
      <c r="X501" s="1323"/>
      <c r="Y501" s="1323"/>
      <c r="Z501" s="1323"/>
    </row>
    <row r="502" spans="1:26" ht="19.5" hidden="1">
      <c r="A502" s="1319"/>
      <c r="B502" s="1320"/>
      <c r="C502" s="1320" t="s">
        <v>16</v>
      </c>
      <c r="D502" s="1351" t="s">
        <v>17</v>
      </c>
      <c r="E502" s="841"/>
      <c r="F502" s="841"/>
      <c r="G502" s="1322"/>
      <c r="H502" s="644" t="s">
        <v>12</v>
      </c>
      <c r="I502" s="886"/>
      <c r="J502" s="886"/>
      <c r="K502" s="887"/>
      <c r="L502" s="1352">
        <f t="shared" ref="L502:N502" si="216">L503+L504</f>
        <v>0</v>
      </c>
      <c r="M502" s="1352">
        <f t="shared" si="216"/>
        <v>0</v>
      </c>
      <c r="N502" s="1352">
        <f t="shared" si="216"/>
        <v>0</v>
      </c>
      <c r="O502" s="1352">
        <f t="shared" ref="O502:O507" si="217">IF(L502&gt;0,N502*100/L502,0)</f>
        <v>0</v>
      </c>
      <c r="P502" s="1352">
        <f t="shared" ref="P502:P507" si="218">IF(M502&gt;0,N502*100/M502,0)</f>
        <v>0</v>
      </c>
      <c r="Q502" s="1323"/>
      <c r="R502" s="1323"/>
      <c r="S502" s="1323"/>
      <c r="T502" s="1323"/>
      <c r="U502" s="1323"/>
      <c r="V502" s="1323"/>
      <c r="W502" s="1323"/>
      <c r="X502" s="1323"/>
      <c r="Y502" s="1323"/>
      <c r="Z502" s="1323"/>
    </row>
    <row r="503" spans="1:26" ht="18.75" hidden="1">
      <c r="A503" s="1319"/>
      <c r="B503" s="1320"/>
      <c r="C503" s="1320"/>
      <c r="D503" s="1321"/>
      <c r="E503" s="1320" t="s">
        <v>185</v>
      </c>
      <c r="F503" s="1320"/>
      <c r="G503" s="1322"/>
      <c r="H503" s="165" t="s">
        <v>12</v>
      </c>
      <c r="I503" s="886"/>
      <c r="J503" s="886"/>
      <c r="K503" s="887"/>
      <c r="L503" s="887">
        <f t="shared" ref="L503:N504" si="219">L506+L513</f>
        <v>0</v>
      </c>
      <c r="M503" s="887">
        <f t="shared" si="219"/>
        <v>0</v>
      </c>
      <c r="N503" s="887">
        <f t="shared" si="219"/>
        <v>0</v>
      </c>
      <c r="O503" s="887">
        <f t="shared" si="217"/>
        <v>0</v>
      </c>
      <c r="P503" s="887">
        <f t="shared" si="218"/>
        <v>0</v>
      </c>
      <c r="Q503" s="1323"/>
      <c r="R503" s="1323"/>
      <c r="S503" s="1323"/>
      <c r="T503" s="1323"/>
      <c r="U503" s="1323"/>
      <c r="V503" s="1323"/>
      <c r="W503" s="1323"/>
      <c r="X503" s="1323"/>
      <c r="Y503" s="1323"/>
      <c r="Z503" s="1323"/>
    </row>
    <row r="504" spans="1:26" ht="18.75" hidden="1">
      <c r="A504" s="1319"/>
      <c r="B504" s="1324"/>
      <c r="C504" s="1320"/>
      <c r="D504" s="1321"/>
      <c r="E504" s="1320" t="s">
        <v>186</v>
      </c>
      <c r="F504" s="1320"/>
      <c r="G504" s="1322"/>
      <c r="H504" s="165" t="s">
        <v>12</v>
      </c>
      <c r="I504" s="886"/>
      <c r="J504" s="886"/>
      <c r="K504" s="887"/>
      <c r="L504" s="887">
        <f t="shared" si="219"/>
        <v>0</v>
      </c>
      <c r="M504" s="887">
        <f t="shared" si="219"/>
        <v>0</v>
      </c>
      <c r="N504" s="887">
        <f t="shared" si="219"/>
        <v>0</v>
      </c>
      <c r="O504" s="887">
        <f t="shared" si="217"/>
        <v>0</v>
      </c>
      <c r="P504" s="887">
        <f t="shared" si="218"/>
        <v>0</v>
      </c>
      <c r="Q504" s="1323"/>
      <c r="R504" s="1323"/>
      <c r="S504" s="1323"/>
      <c r="T504" s="1323"/>
      <c r="U504" s="1323"/>
      <c r="V504" s="1323"/>
      <c r="W504" s="1323"/>
      <c r="X504" s="1323"/>
      <c r="Y504" s="1323"/>
      <c r="Z504" s="1323"/>
    </row>
    <row r="505" spans="1:26" ht="18.75" hidden="1">
      <c r="A505" s="1319"/>
      <c r="B505" s="1324"/>
      <c r="C505" s="1320"/>
      <c r="D505" s="1353" t="s">
        <v>20</v>
      </c>
      <c r="E505" s="1320"/>
      <c r="F505" s="1320"/>
      <c r="G505" s="1322"/>
      <c r="H505" s="165" t="s">
        <v>12</v>
      </c>
      <c r="I505" s="1000"/>
      <c r="J505" s="1000"/>
      <c r="K505" s="1001"/>
      <c r="L505" s="887">
        <f t="shared" ref="L505:N505" si="220">L506+L507</f>
        <v>0</v>
      </c>
      <c r="M505" s="887">
        <f t="shared" si="220"/>
        <v>0</v>
      </c>
      <c r="N505" s="887">
        <f t="shared" si="220"/>
        <v>0</v>
      </c>
      <c r="O505" s="887">
        <f t="shared" si="217"/>
        <v>0</v>
      </c>
      <c r="P505" s="887">
        <f t="shared" si="218"/>
        <v>0</v>
      </c>
      <c r="Q505" s="1323"/>
      <c r="R505" s="1323"/>
      <c r="S505" s="1323"/>
      <c r="T505" s="1323"/>
      <c r="U505" s="1323"/>
      <c r="V505" s="1323"/>
      <c r="W505" s="1323"/>
      <c r="X505" s="1323"/>
      <c r="Y505" s="1323"/>
      <c r="Z505" s="1323"/>
    </row>
    <row r="506" spans="1:26" ht="18.75" hidden="1">
      <c r="A506" s="1319"/>
      <c r="B506" s="1324"/>
      <c r="C506" s="1320"/>
      <c r="D506" s="1321"/>
      <c r="E506" s="1320" t="s">
        <v>185</v>
      </c>
      <c r="F506" s="1320"/>
      <c r="G506" s="1322"/>
      <c r="H506" s="165" t="s">
        <v>12</v>
      </c>
      <c r="I506" s="886"/>
      <c r="J506" s="886"/>
      <c r="K506" s="887"/>
      <c r="L506" s="887">
        <v>0</v>
      </c>
      <c r="M506" s="887">
        <v>0</v>
      </c>
      <c r="N506" s="887">
        <v>0</v>
      </c>
      <c r="O506" s="887">
        <f t="shared" si="217"/>
        <v>0</v>
      </c>
      <c r="P506" s="887">
        <f t="shared" si="218"/>
        <v>0</v>
      </c>
      <c r="Q506" s="1323"/>
      <c r="R506" s="1323"/>
      <c r="S506" s="1323"/>
      <c r="T506" s="1323"/>
      <c r="U506" s="1323"/>
      <c r="V506" s="1323"/>
      <c r="W506" s="1323"/>
      <c r="X506" s="1323"/>
      <c r="Y506" s="1323"/>
      <c r="Z506" s="1323"/>
    </row>
    <row r="507" spans="1:26" ht="18.75" hidden="1">
      <c r="A507" s="1319"/>
      <c r="B507" s="1324"/>
      <c r="C507" s="1320"/>
      <c r="D507" s="1321"/>
      <c r="E507" s="1320" t="s">
        <v>186</v>
      </c>
      <c r="F507" s="1320"/>
      <c r="G507" s="1322"/>
      <c r="H507" s="165" t="s">
        <v>12</v>
      </c>
      <c r="I507" s="886"/>
      <c r="J507" s="886"/>
      <c r="K507" s="887"/>
      <c r="L507" s="887">
        <v>0</v>
      </c>
      <c r="M507" s="887">
        <v>0</v>
      </c>
      <c r="N507" s="887">
        <f>N508+N509+N510+N511</f>
        <v>0</v>
      </c>
      <c r="O507" s="887">
        <f t="shared" si="217"/>
        <v>0</v>
      </c>
      <c r="P507" s="887">
        <f t="shared" si="218"/>
        <v>0</v>
      </c>
      <c r="Q507" s="1323"/>
      <c r="R507" s="1323"/>
      <c r="S507" s="1323"/>
      <c r="T507" s="1323"/>
      <c r="U507" s="1323"/>
      <c r="V507" s="1323"/>
      <c r="W507" s="1323"/>
      <c r="X507" s="1323"/>
      <c r="Y507" s="1323"/>
      <c r="Z507" s="1323"/>
    </row>
    <row r="508" spans="1:26" ht="18.75" hidden="1">
      <c r="A508" s="1354"/>
      <c r="B508" s="1324"/>
      <c r="C508" s="1320"/>
      <c r="D508" s="1320"/>
      <c r="E508" s="1320"/>
      <c r="F508" s="1320" t="s">
        <v>187</v>
      </c>
      <c r="G508" s="1322"/>
      <c r="H508" s="165" t="s">
        <v>12</v>
      </c>
      <c r="I508" s="886"/>
      <c r="J508" s="886"/>
      <c r="K508" s="887"/>
      <c r="L508" s="887"/>
      <c r="M508" s="887"/>
      <c r="N508" s="887">
        <v>0</v>
      </c>
      <c r="O508" s="887"/>
      <c r="P508" s="887"/>
      <c r="Q508" s="1323"/>
      <c r="R508" s="1323"/>
      <c r="S508" s="1323"/>
      <c r="T508" s="1323"/>
      <c r="U508" s="1323"/>
      <c r="V508" s="1323"/>
      <c r="W508" s="1323"/>
      <c r="X508" s="1323"/>
      <c r="Y508" s="1323"/>
      <c r="Z508" s="1323"/>
    </row>
    <row r="509" spans="1:26" ht="18.75" hidden="1">
      <c r="A509" s="1354"/>
      <c r="B509" s="1324"/>
      <c r="C509" s="1320"/>
      <c r="D509" s="1320"/>
      <c r="E509" s="1320"/>
      <c r="F509" s="1320" t="s">
        <v>188</v>
      </c>
      <c r="G509" s="1322"/>
      <c r="H509" s="165" t="s">
        <v>12</v>
      </c>
      <c r="I509" s="886"/>
      <c r="J509" s="886"/>
      <c r="K509" s="887"/>
      <c r="L509" s="887"/>
      <c r="M509" s="887"/>
      <c r="N509" s="887">
        <v>0</v>
      </c>
      <c r="O509" s="887"/>
      <c r="P509" s="887"/>
      <c r="Q509" s="1323"/>
      <c r="R509" s="1323"/>
      <c r="S509" s="1323"/>
      <c r="T509" s="1323"/>
      <c r="U509" s="1323"/>
      <c r="V509" s="1323"/>
      <c r="W509" s="1323"/>
      <c r="X509" s="1323"/>
      <c r="Y509" s="1323"/>
      <c r="Z509" s="1323"/>
    </row>
    <row r="510" spans="1:26" ht="18.75" hidden="1">
      <c r="A510" s="1354"/>
      <c r="B510" s="1324"/>
      <c r="C510" s="1324"/>
      <c r="D510" s="1324"/>
      <c r="E510" s="1320"/>
      <c r="F510" s="1320" t="s">
        <v>189</v>
      </c>
      <c r="G510" s="1322"/>
      <c r="H510" s="165" t="s">
        <v>12</v>
      </c>
      <c r="I510" s="886"/>
      <c r="J510" s="886"/>
      <c r="K510" s="887"/>
      <c r="L510" s="887"/>
      <c r="M510" s="887"/>
      <c r="N510" s="887">
        <v>0</v>
      </c>
      <c r="O510" s="887"/>
      <c r="P510" s="887"/>
      <c r="Q510" s="1323"/>
      <c r="R510" s="1323"/>
      <c r="S510" s="1323"/>
      <c r="T510" s="1323"/>
      <c r="U510" s="1323"/>
      <c r="V510" s="1323"/>
      <c r="W510" s="1323"/>
      <c r="X510" s="1323"/>
      <c r="Y510" s="1323"/>
      <c r="Z510" s="1323"/>
    </row>
    <row r="511" spans="1:26" ht="18.75" hidden="1">
      <c r="A511" s="1354"/>
      <c r="B511" s="1324"/>
      <c r="C511" s="1324"/>
      <c r="D511" s="1324"/>
      <c r="E511" s="1320"/>
      <c r="F511" s="1320" t="s">
        <v>190</v>
      </c>
      <c r="G511" s="1322"/>
      <c r="H511" s="165" t="s">
        <v>12</v>
      </c>
      <c r="I511" s="886"/>
      <c r="J511" s="886"/>
      <c r="K511" s="887"/>
      <c r="L511" s="887"/>
      <c r="M511" s="887"/>
      <c r="N511" s="887">
        <v>0</v>
      </c>
      <c r="O511" s="887"/>
      <c r="P511" s="887"/>
      <c r="Q511" s="1323"/>
      <c r="R511" s="1323"/>
      <c r="S511" s="1323"/>
      <c r="T511" s="1323"/>
      <c r="U511" s="1323"/>
      <c r="V511" s="1323"/>
      <c r="W511" s="1323"/>
      <c r="X511" s="1323"/>
      <c r="Y511" s="1323"/>
      <c r="Z511" s="1323"/>
    </row>
    <row r="512" spans="1:26" ht="18.75" hidden="1">
      <c r="A512" s="1319"/>
      <c r="B512" s="1324"/>
      <c r="C512" s="1324"/>
      <c r="D512" s="1353" t="s">
        <v>21</v>
      </c>
      <c r="E512" s="1324"/>
      <c r="F512" s="1320"/>
      <c r="G512" s="1322"/>
      <c r="H512" s="169" t="s">
        <v>12</v>
      </c>
      <c r="I512" s="1000"/>
      <c r="J512" s="1000"/>
      <c r="K512" s="1001"/>
      <c r="L512" s="887">
        <f t="shared" ref="L512:N512" si="221">L513+L514</f>
        <v>0</v>
      </c>
      <c r="M512" s="887">
        <f t="shared" si="221"/>
        <v>0</v>
      </c>
      <c r="N512" s="887">
        <f t="shared" si="221"/>
        <v>0</v>
      </c>
      <c r="O512" s="887">
        <f t="shared" ref="O512:O514" si="222">IF(L512&gt;0,N512*100/L512,0)</f>
        <v>0</v>
      </c>
      <c r="P512" s="887">
        <f t="shared" ref="P512:P514" si="223">IF(M512&gt;0,N512*100/M512,0)</f>
        <v>0</v>
      </c>
      <c r="Q512" s="1323"/>
      <c r="R512" s="1323"/>
      <c r="S512" s="1323"/>
      <c r="T512" s="1323"/>
      <c r="U512" s="1323"/>
      <c r="V512" s="1323"/>
      <c r="W512" s="1323"/>
      <c r="X512" s="1323"/>
      <c r="Y512" s="1323"/>
      <c r="Z512" s="1323"/>
    </row>
    <row r="513" spans="1:26" ht="18.75" hidden="1">
      <c r="A513" s="1319"/>
      <c r="B513" s="1324"/>
      <c r="C513" s="1324"/>
      <c r="D513" s="1324"/>
      <c r="E513" s="1324" t="s">
        <v>18</v>
      </c>
      <c r="F513" s="1320"/>
      <c r="G513" s="1322"/>
      <c r="H513" s="165" t="s">
        <v>12</v>
      </c>
      <c r="I513" s="1000"/>
      <c r="J513" s="1000"/>
      <c r="K513" s="1001"/>
      <c r="L513" s="887">
        <v>0</v>
      </c>
      <c r="M513" s="887">
        <v>0</v>
      </c>
      <c r="N513" s="887">
        <v>0</v>
      </c>
      <c r="O513" s="887">
        <f t="shared" si="222"/>
        <v>0</v>
      </c>
      <c r="P513" s="887">
        <f t="shared" si="223"/>
        <v>0</v>
      </c>
      <c r="Q513" s="1323"/>
      <c r="R513" s="1323"/>
      <c r="S513" s="1323"/>
      <c r="T513" s="1323"/>
      <c r="U513" s="1323"/>
      <c r="V513" s="1323"/>
      <c r="W513" s="1323"/>
      <c r="X513" s="1323"/>
      <c r="Y513" s="1323"/>
      <c r="Z513" s="1323"/>
    </row>
    <row r="514" spans="1:26" ht="18.75" hidden="1">
      <c r="A514" s="1319"/>
      <c r="B514" s="1324"/>
      <c r="C514" s="1324"/>
      <c r="D514" s="1320"/>
      <c r="E514" s="1324" t="s">
        <v>19</v>
      </c>
      <c r="F514" s="1320"/>
      <c r="G514" s="1322"/>
      <c r="H514" s="169" t="s">
        <v>12</v>
      </c>
      <c r="I514" s="1000"/>
      <c r="J514" s="1000"/>
      <c r="K514" s="1001"/>
      <c r="L514" s="887">
        <v>0</v>
      </c>
      <c r="M514" s="887">
        <v>0</v>
      </c>
      <c r="N514" s="887">
        <v>0</v>
      </c>
      <c r="O514" s="887">
        <f t="shared" si="222"/>
        <v>0</v>
      </c>
      <c r="P514" s="887">
        <f t="shared" si="223"/>
        <v>0</v>
      </c>
      <c r="Q514" s="1323"/>
      <c r="R514" s="1323"/>
      <c r="S514" s="1323"/>
      <c r="T514" s="1323"/>
      <c r="U514" s="1323"/>
      <c r="V514" s="1323"/>
      <c r="W514" s="1323"/>
      <c r="X514" s="1323"/>
      <c r="Y514" s="1323"/>
      <c r="Z514" s="1323"/>
    </row>
    <row r="515" spans="1:26" ht="19.5" hidden="1">
      <c r="A515" s="1332"/>
      <c r="B515" s="1333"/>
      <c r="C515" s="1324" t="s">
        <v>16</v>
      </c>
      <c r="D515" s="1355" t="s">
        <v>38</v>
      </c>
      <c r="E515" s="1356"/>
      <c r="F515" s="1356"/>
      <c r="G515" s="1357"/>
      <c r="H515" s="1113"/>
      <c r="I515" s="1000"/>
      <c r="J515" s="1000"/>
      <c r="K515" s="1001"/>
      <c r="L515" s="1001"/>
      <c r="M515" s="1001"/>
      <c r="N515" s="1001"/>
      <c r="O515" s="1001"/>
      <c r="P515" s="1001"/>
      <c r="Q515" s="1323"/>
      <c r="R515" s="1323"/>
      <c r="S515" s="1323"/>
      <c r="T515" s="1323"/>
      <c r="U515" s="1323"/>
      <c r="V515" s="1323"/>
      <c r="W515" s="1323"/>
      <c r="X515" s="1323"/>
      <c r="Y515" s="1323"/>
      <c r="Z515" s="1323"/>
    </row>
    <row r="516" spans="1:26" ht="18.75" hidden="1">
      <c r="A516" s="1332"/>
      <c r="B516" s="1333"/>
      <c r="C516" s="1333"/>
      <c r="D516" s="1333" t="s">
        <v>222</v>
      </c>
      <c r="E516" s="1321"/>
      <c r="F516" s="1321"/>
      <c r="G516" s="1113"/>
      <c r="H516" s="651" t="s">
        <v>109</v>
      </c>
      <c r="I516" s="886"/>
      <c r="J516" s="886">
        <v>0</v>
      </c>
      <c r="K516" s="1001">
        <f t="shared" ref="K516:K517" si="224">IF(I516&gt;0,J516*100/I516,0)</f>
        <v>0</v>
      </c>
      <c r="L516" s="1001"/>
      <c r="M516" s="1001"/>
      <c r="N516" s="1001"/>
      <c r="O516" s="1001"/>
      <c r="P516" s="1001"/>
      <c r="Q516" s="1323"/>
      <c r="R516" s="1323"/>
      <c r="S516" s="1323"/>
      <c r="T516" s="1323"/>
      <c r="U516" s="1323"/>
      <c r="V516" s="1323"/>
      <c r="W516" s="1323"/>
      <c r="X516" s="1323"/>
      <c r="Y516" s="1323"/>
      <c r="Z516" s="1323"/>
    </row>
    <row r="517" spans="1:26" ht="19.5" hidden="1">
      <c r="A517" s="1332"/>
      <c r="B517" s="1333"/>
      <c r="C517" s="1333"/>
      <c r="D517" s="1333" t="s">
        <v>223</v>
      </c>
      <c r="E517" s="1321"/>
      <c r="F517" s="1321"/>
      <c r="G517" s="1113"/>
      <c r="H517" s="652" t="s">
        <v>35</v>
      </c>
      <c r="I517" s="1358"/>
      <c r="J517" s="1358">
        <f>J518+J519</f>
        <v>0</v>
      </c>
      <c r="K517" s="1359">
        <f t="shared" si="224"/>
        <v>0</v>
      </c>
      <c r="L517" s="1001"/>
      <c r="M517" s="1001"/>
      <c r="N517" s="1001"/>
      <c r="O517" s="1001"/>
      <c r="P517" s="1001"/>
      <c r="Q517" s="1323"/>
      <c r="R517" s="1323"/>
      <c r="S517" s="1323"/>
      <c r="T517" s="1323"/>
      <c r="U517" s="1323"/>
      <c r="V517" s="1323"/>
      <c r="W517" s="1323"/>
      <c r="X517" s="1323"/>
      <c r="Y517" s="1323"/>
      <c r="Z517" s="1323"/>
    </row>
    <row r="518" spans="1:26" ht="18.75" hidden="1">
      <c r="A518" s="1332"/>
      <c r="B518" s="1333"/>
      <c r="C518" s="1333"/>
      <c r="D518" s="1333"/>
      <c r="E518" s="1333" t="s">
        <v>224</v>
      </c>
      <c r="F518" s="1321"/>
      <c r="G518" s="1113"/>
      <c r="H518" s="370" t="s">
        <v>35</v>
      </c>
      <c r="I518" s="886"/>
      <c r="J518" s="886"/>
      <c r="K518" s="1001"/>
      <c r="L518" s="1001"/>
      <c r="M518" s="1001"/>
      <c r="N518" s="1001"/>
      <c r="O518" s="1001"/>
      <c r="P518" s="1001"/>
      <c r="Q518" s="1323"/>
      <c r="R518" s="1323"/>
      <c r="S518" s="1323"/>
      <c r="T518" s="1323"/>
      <c r="U518" s="1323"/>
      <c r="V518" s="1323"/>
      <c r="W518" s="1323"/>
      <c r="X518" s="1323"/>
      <c r="Y518" s="1323"/>
      <c r="Z518" s="1323"/>
    </row>
    <row r="519" spans="1:26" ht="18.75" hidden="1">
      <c r="A519" s="1332"/>
      <c r="B519" s="1333"/>
      <c r="C519" s="1333"/>
      <c r="D519" s="1333"/>
      <c r="E519" s="1333" t="s">
        <v>225</v>
      </c>
      <c r="F519" s="1321"/>
      <c r="G519" s="1113"/>
      <c r="H519" s="651" t="s">
        <v>35</v>
      </c>
      <c r="I519" s="886"/>
      <c r="J519" s="886"/>
      <c r="K519" s="1001"/>
      <c r="L519" s="1001"/>
      <c r="M519" s="1001"/>
      <c r="N519" s="1001"/>
      <c r="O519" s="1001"/>
      <c r="P519" s="1001"/>
      <c r="Q519" s="1323"/>
      <c r="R519" s="1323"/>
      <c r="S519" s="1323"/>
      <c r="T519" s="1323"/>
      <c r="U519" s="1323"/>
      <c r="V519" s="1323"/>
      <c r="W519" s="1323"/>
      <c r="X519" s="1323"/>
      <c r="Y519" s="1323"/>
      <c r="Z519" s="1323"/>
    </row>
    <row r="520" spans="1:26" ht="19.5">
      <c r="A520" s="1360" t="s">
        <v>137</v>
      </c>
      <c r="B520" s="1361"/>
      <c r="C520" s="1361"/>
      <c r="D520" s="1362"/>
      <c r="E520" s="1362"/>
      <c r="F520" s="1362"/>
      <c r="G520" s="1363"/>
      <c r="H520" s="1364"/>
      <c r="I520" s="1365"/>
      <c r="J520" s="1365"/>
      <c r="K520" s="1366"/>
      <c r="L520" s="1366"/>
      <c r="M520" s="1366"/>
      <c r="N520" s="1366"/>
      <c r="O520" s="1366"/>
      <c r="P520" s="1366"/>
    </row>
    <row r="521" spans="1:26" ht="19.5" hidden="1">
      <c r="A521" s="662">
        <v>5</v>
      </c>
      <c r="B521" s="1367" t="s">
        <v>226</v>
      </c>
      <c r="C521" s="1368"/>
      <c r="D521" s="1369"/>
      <c r="E521" s="1369"/>
      <c r="F521" s="1369"/>
      <c r="G521" s="1369"/>
      <c r="H521" s="1370"/>
      <c r="I521" s="1371"/>
      <c r="J521" s="1371"/>
      <c r="K521" s="1372"/>
      <c r="L521" s="1372"/>
      <c r="M521" s="1372"/>
      <c r="N521" s="1372"/>
      <c r="O521" s="1372"/>
      <c r="P521" s="1372"/>
      <c r="Q521" s="1302"/>
      <c r="R521" s="1302"/>
      <c r="S521" s="1302"/>
      <c r="T521" s="1302"/>
      <c r="U521" s="1302"/>
      <c r="V521" s="1302"/>
      <c r="W521" s="1302"/>
      <c r="X521" s="1302"/>
      <c r="Y521" s="1302"/>
      <c r="Z521" s="1302"/>
    </row>
    <row r="522" spans="1:26" ht="19.5" hidden="1">
      <c r="A522" s="1373"/>
      <c r="B522" s="1374" t="s">
        <v>227</v>
      </c>
      <c r="C522" s="1375"/>
      <c r="D522" s="1375"/>
      <c r="E522" s="1375"/>
      <c r="F522" s="1375"/>
      <c r="G522" s="1376"/>
      <c r="H522" s="673" t="s">
        <v>35</v>
      </c>
      <c r="I522" s="1377">
        <f t="shared" ref="I522:J522" ca="1" si="225">I537</f>
        <v>0</v>
      </c>
      <c r="J522" s="1377">
        <f t="shared" ca="1" si="225"/>
        <v>0</v>
      </c>
      <c r="K522" s="1378">
        <f ca="1">IF(I522&gt;0,J522*100/I522,0)</f>
        <v>0</v>
      </c>
      <c r="L522" s="1379"/>
      <c r="M522" s="1379"/>
      <c r="N522" s="1379"/>
      <c r="O522" s="1379"/>
      <c r="P522" s="1379"/>
      <c r="Q522" s="1302"/>
      <c r="R522" s="1302"/>
      <c r="S522" s="1302"/>
      <c r="T522" s="1302"/>
      <c r="U522" s="1302"/>
      <c r="V522" s="1302"/>
      <c r="W522" s="1302"/>
      <c r="X522" s="1302"/>
      <c r="Y522" s="1302"/>
      <c r="Z522" s="1302"/>
    </row>
    <row r="523" spans="1:26" ht="19.5" hidden="1">
      <c r="A523" s="1317"/>
      <c r="B523" s="1301"/>
      <c r="C523" s="1301" t="s">
        <v>16</v>
      </c>
      <c r="D523" s="1318" t="s">
        <v>17</v>
      </c>
      <c r="E523" s="841"/>
      <c r="F523" s="841"/>
      <c r="G523" s="1016"/>
      <c r="H523" s="597" t="s">
        <v>12</v>
      </c>
      <c r="I523" s="880"/>
      <c r="J523" s="880"/>
      <c r="K523" s="881"/>
      <c r="L523" s="1020">
        <f t="shared" ref="L523:N523" ca="1" si="226">L524+L525</f>
        <v>0</v>
      </c>
      <c r="M523" s="1020">
        <f t="shared" si="226"/>
        <v>0</v>
      </c>
      <c r="N523" s="1020">
        <f t="shared" si="226"/>
        <v>0</v>
      </c>
      <c r="O523" s="1020">
        <f t="shared" ref="O523:O528" ca="1" si="227">IF(L523&gt;0,N523*100/L523,0)</f>
        <v>0</v>
      </c>
      <c r="P523" s="1020">
        <f t="shared" ref="P523:P528" si="228">IF(M523&gt;0,N523*100/M523,0)</f>
        <v>0</v>
      </c>
      <c r="Q523" s="1302"/>
      <c r="R523" s="1302"/>
      <c r="S523" s="1302"/>
      <c r="T523" s="1302"/>
      <c r="U523" s="1302"/>
      <c r="V523" s="1302"/>
      <c r="W523" s="1302"/>
      <c r="X523" s="1302"/>
      <c r="Y523" s="1302"/>
      <c r="Z523" s="1302"/>
    </row>
    <row r="524" spans="1:26" ht="18.75" hidden="1">
      <c r="A524" s="1319"/>
      <c r="B524" s="1320"/>
      <c r="C524" s="1320"/>
      <c r="D524" s="1321"/>
      <c r="E524" s="1320" t="s">
        <v>185</v>
      </c>
      <c r="F524" s="1320"/>
      <c r="G524" s="1322"/>
      <c r="H524" s="165" t="s">
        <v>12</v>
      </c>
      <c r="I524" s="886"/>
      <c r="J524" s="886"/>
      <c r="K524" s="887"/>
      <c r="L524" s="887">
        <f t="shared" ref="L524:N525" si="229">L527+L534</f>
        <v>0</v>
      </c>
      <c r="M524" s="887">
        <f t="shared" si="229"/>
        <v>0</v>
      </c>
      <c r="N524" s="887">
        <f t="shared" si="229"/>
        <v>0</v>
      </c>
      <c r="O524" s="887">
        <f t="shared" si="227"/>
        <v>0</v>
      </c>
      <c r="P524" s="887">
        <f t="shared" si="228"/>
        <v>0</v>
      </c>
      <c r="Q524" s="1323"/>
      <c r="R524" s="1323"/>
      <c r="S524" s="1323"/>
      <c r="T524" s="1323"/>
      <c r="U524" s="1323"/>
      <c r="V524" s="1323"/>
      <c r="W524" s="1323"/>
      <c r="X524" s="1323"/>
      <c r="Y524" s="1323"/>
      <c r="Z524" s="1323"/>
    </row>
    <row r="525" spans="1:26" ht="18.75" hidden="1">
      <c r="A525" s="1319"/>
      <c r="B525" s="1324"/>
      <c r="C525" s="1320"/>
      <c r="D525" s="1321"/>
      <c r="E525" s="1320" t="s">
        <v>186</v>
      </c>
      <c r="F525" s="1320"/>
      <c r="G525" s="1322"/>
      <c r="H525" s="165" t="s">
        <v>12</v>
      </c>
      <c r="I525" s="886"/>
      <c r="J525" s="886"/>
      <c r="K525" s="887"/>
      <c r="L525" s="887">
        <f t="shared" ca="1" si="229"/>
        <v>0</v>
      </c>
      <c r="M525" s="887">
        <f t="shared" si="229"/>
        <v>0</v>
      </c>
      <c r="N525" s="887">
        <f t="shared" si="229"/>
        <v>0</v>
      </c>
      <c r="O525" s="887">
        <f t="shared" ca="1" si="227"/>
        <v>0</v>
      </c>
      <c r="P525" s="887">
        <f t="shared" si="228"/>
        <v>0</v>
      </c>
      <c r="Q525" s="1323"/>
      <c r="R525" s="1323"/>
      <c r="S525" s="1323"/>
      <c r="T525" s="1323"/>
      <c r="U525" s="1323"/>
      <c r="V525" s="1323"/>
      <c r="W525" s="1323"/>
      <c r="X525" s="1323"/>
      <c r="Y525" s="1323"/>
      <c r="Z525" s="1323"/>
    </row>
    <row r="526" spans="1:26" ht="18.75" hidden="1">
      <c r="A526" s="1317"/>
      <c r="B526" s="1300"/>
      <c r="C526" s="1301"/>
      <c r="D526" s="1325" t="s">
        <v>20</v>
      </c>
      <c r="E526" s="1301"/>
      <c r="F526" s="1301"/>
      <c r="G526" s="1016"/>
      <c r="H526" s="161" t="s">
        <v>12</v>
      </c>
      <c r="I526" s="997"/>
      <c r="J526" s="997"/>
      <c r="K526" s="998"/>
      <c r="L526" s="881">
        <f t="shared" ref="L526:N526" ca="1" si="230">L527+L528</f>
        <v>0</v>
      </c>
      <c r="M526" s="881">
        <f t="shared" si="230"/>
        <v>0</v>
      </c>
      <c r="N526" s="881">
        <f t="shared" si="230"/>
        <v>0</v>
      </c>
      <c r="O526" s="881">
        <f t="shared" ca="1" si="227"/>
        <v>0</v>
      </c>
      <c r="P526" s="881">
        <f t="shared" si="228"/>
        <v>0</v>
      </c>
      <c r="Q526" s="1302"/>
      <c r="R526" s="1302"/>
      <c r="S526" s="1302"/>
      <c r="T526" s="1302"/>
      <c r="U526" s="1302"/>
      <c r="V526" s="1302"/>
      <c r="W526" s="1302"/>
      <c r="X526" s="1302"/>
      <c r="Y526" s="1302"/>
      <c r="Z526" s="1302"/>
    </row>
    <row r="527" spans="1:26" ht="18.75" hidden="1">
      <c r="A527" s="1319"/>
      <c r="B527" s="1324"/>
      <c r="C527" s="1320"/>
      <c r="D527" s="1321"/>
      <c r="E527" s="1320" t="s">
        <v>185</v>
      </c>
      <c r="F527" s="1320"/>
      <c r="G527" s="1322"/>
      <c r="H527" s="165" t="s">
        <v>12</v>
      </c>
      <c r="I527" s="886"/>
      <c r="J527" s="886"/>
      <c r="K527" s="887"/>
      <c r="L527" s="887">
        <v>0</v>
      </c>
      <c r="M527" s="887">
        <v>0</v>
      </c>
      <c r="N527" s="887">
        <v>0</v>
      </c>
      <c r="O527" s="887">
        <f t="shared" si="227"/>
        <v>0</v>
      </c>
      <c r="P527" s="887">
        <f t="shared" si="228"/>
        <v>0</v>
      </c>
      <c r="Q527" s="1323"/>
      <c r="R527" s="1323"/>
      <c r="S527" s="1323"/>
      <c r="T527" s="1323"/>
      <c r="U527" s="1323"/>
      <c r="V527" s="1323"/>
      <c r="W527" s="1323"/>
      <c r="X527" s="1323"/>
      <c r="Y527" s="1323"/>
      <c r="Z527" s="1323"/>
    </row>
    <row r="528" spans="1:26" ht="18.75" hidden="1">
      <c r="A528" s="1319"/>
      <c r="B528" s="1324"/>
      <c r="C528" s="1320"/>
      <c r="D528" s="1321"/>
      <c r="E528" s="1320" t="s">
        <v>186</v>
      </c>
      <c r="F528" s="1320"/>
      <c r="G528" s="1322"/>
      <c r="H528" s="165" t="s">
        <v>12</v>
      </c>
      <c r="I528" s="886"/>
      <c r="J528" s="886"/>
      <c r="K528" s="887"/>
      <c r="L528" s="887">
        <f ca="1">IFERROR(__xludf.DUMMYFUNCTION("IMPORTRANGE(""https://docs.google.com/spreadsheets/d/1QqKyyYR6Q21VydFLVH3TRQUabQu_ym0Zz7PgGX0-kHA/edit?usp=sharing"",""แผน!GQ84"")"),0)</f>
        <v>0</v>
      </c>
      <c r="M528" s="887">
        <v>0</v>
      </c>
      <c r="N528" s="887">
        <f>N529+N530+N531+N532</f>
        <v>0</v>
      </c>
      <c r="O528" s="887">
        <f t="shared" ca="1" si="227"/>
        <v>0</v>
      </c>
      <c r="P528" s="887">
        <f t="shared" si="228"/>
        <v>0</v>
      </c>
      <c r="Q528" s="1323"/>
      <c r="R528" s="1323"/>
      <c r="S528" s="1323"/>
      <c r="T528" s="1323"/>
      <c r="U528" s="1323"/>
      <c r="V528" s="1323"/>
      <c r="W528" s="1323"/>
      <c r="X528" s="1323"/>
      <c r="Y528" s="1323"/>
      <c r="Z528" s="1323"/>
    </row>
    <row r="529" spans="1:26" ht="18.75" hidden="1">
      <c r="A529" s="1299"/>
      <c r="B529" s="1300"/>
      <c r="C529" s="1301"/>
      <c r="D529" s="1301"/>
      <c r="E529" s="1301"/>
      <c r="F529" s="1301" t="s">
        <v>187</v>
      </c>
      <c r="G529" s="1016"/>
      <c r="H529" s="161" t="s">
        <v>12</v>
      </c>
      <c r="I529" s="880"/>
      <c r="J529" s="880"/>
      <c r="K529" s="881"/>
      <c r="L529" s="881"/>
      <c r="M529" s="881"/>
      <c r="N529" s="1085">
        <v>0</v>
      </c>
      <c r="O529" s="881"/>
      <c r="P529" s="881"/>
      <c r="Q529" s="1302"/>
      <c r="R529" s="1302"/>
      <c r="S529" s="1302"/>
      <c r="T529" s="1302"/>
      <c r="U529" s="1302"/>
      <c r="V529" s="1302"/>
      <c r="W529" s="1302"/>
      <c r="X529" s="1302"/>
      <c r="Y529" s="1302"/>
      <c r="Z529" s="1302"/>
    </row>
    <row r="530" spans="1:26" ht="18.75" hidden="1">
      <c r="A530" s="1299"/>
      <c r="B530" s="1300"/>
      <c r="C530" s="1301"/>
      <c r="D530" s="1301"/>
      <c r="E530" s="1301"/>
      <c r="F530" s="1301" t="s">
        <v>188</v>
      </c>
      <c r="G530" s="1016"/>
      <c r="H530" s="161" t="s">
        <v>12</v>
      </c>
      <c r="I530" s="880"/>
      <c r="J530" s="880"/>
      <c r="K530" s="881"/>
      <c r="L530" s="881"/>
      <c r="M530" s="881"/>
      <c r="N530" s="1085">
        <v>0</v>
      </c>
      <c r="O530" s="881"/>
      <c r="P530" s="881"/>
      <c r="Q530" s="1302"/>
      <c r="R530" s="1302"/>
      <c r="S530" s="1302"/>
      <c r="T530" s="1302"/>
      <c r="U530" s="1302"/>
      <c r="V530" s="1302"/>
      <c r="W530" s="1302"/>
      <c r="X530" s="1302"/>
      <c r="Y530" s="1302"/>
      <c r="Z530" s="1302"/>
    </row>
    <row r="531" spans="1:26" ht="18.75" hidden="1">
      <c r="A531" s="1299"/>
      <c r="B531" s="1300"/>
      <c r="C531" s="1301"/>
      <c r="D531" s="1301"/>
      <c r="E531" s="1301"/>
      <c r="F531" s="1301" t="s">
        <v>189</v>
      </c>
      <c r="G531" s="1016"/>
      <c r="H531" s="161" t="s">
        <v>12</v>
      </c>
      <c r="I531" s="880"/>
      <c r="J531" s="880"/>
      <c r="K531" s="881"/>
      <c r="L531" s="881"/>
      <c r="M531" s="881"/>
      <c r="N531" s="1085">
        <v>0</v>
      </c>
      <c r="O531" s="881"/>
      <c r="P531" s="881"/>
      <c r="Q531" s="1302"/>
      <c r="R531" s="1302"/>
      <c r="S531" s="1302"/>
      <c r="T531" s="1302"/>
      <c r="U531" s="1302"/>
      <c r="V531" s="1302"/>
      <c r="W531" s="1302"/>
      <c r="X531" s="1302"/>
      <c r="Y531" s="1302"/>
      <c r="Z531" s="1302"/>
    </row>
    <row r="532" spans="1:26" ht="18.75" hidden="1">
      <c r="A532" s="1299"/>
      <c r="B532" s="1300"/>
      <c r="C532" s="1301"/>
      <c r="D532" s="1301"/>
      <c r="E532" s="1301"/>
      <c r="F532" s="1301" t="s">
        <v>190</v>
      </c>
      <c r="G532" s="1016"/>
      <c r="H532" s="161" t="s">
        <v>12</v>
      </c>
      <c r="I532" s="880"/>
      <c r="J532" s="880"/>
      <c r="K532" s="881"/>
      <c r="L532" s="881"/>
      <c r="M532" s="881"/>
      <c r="N532" s="1085">
        <v>0</v>
      </c>
      <c r="O532" s="881"/>
      <c r="P532" s="881"/>
      <c r="Q532" s="1302"/>
      <c r="R532" s="1302"/>
      <c r="S532" s="1302"/>
      <c r="T532" s="1302"/>
      <c r="U532" s="1302"/>
      <c r="V532" s="1302"/>
      <c r="W532" s="1302"/>
      <c r="X532" s="1302"/>
      <c r="Y532" s="1302"/>
      <c r="Z532" s="1302"/>
    </row>
    <row r="533" spans="1:26" ht="18.75" hidden="1">
      <c r="A533" s="1317"/>
      <c r="B533" s="1300"/>
      <c r="C533" s="1301"/>
      <c r="D533" s="1325" t="s">
        <v>21</v>
      </c>
      <c r="E533" s="1301"/>
      <c r="F533" s="1301"/>
      <c r="G533" s="1016"/>
      <c r="H533" s="168" t="s">
        <v>12</v>
      </c>
      <c r="I533" s="997"/>
      <c r="J533" s="997"/>
      <c r="K533" s="998"/>
      <c r="L533" s="881">
        <f t="shared" ref="L533:N533" ca="1" si="231">L534+L535</f>
        <v>0</v>
      </c>
      <c r="M533" s="881">
        <f t="shared" si="231"/>
        <v>0</v>
      </c>
      <c r="N533" s="881">
        <f t="shared" si="231"/>
        <v>0</v>
      </c>
      <c r="O533" s="881">
        <f t="shared" ref="O533:O535" ca="1" si="232">IF(L533&gt;0,N533*100/L533,0)</f>
        <v>0</v>
      </c>
      <c r="P533" s="881">
        <f t="shared" ref="P533:P535" si="233">IF(M533&gt;0,N533*100/M533,0)</f>
        <v>0</v>
      </c>
      <c r="Q533" s="1302"/>
      <c r="R533" s="1302"/>
      <c r="S533" s="1302"/>
      <c r="T533" s="1302"/>
      <c r="U533" s="1302"/>
      <c r="V533" s="1302"/>
      <c r="W533" s="1302"/>
      <c r="X533" s="1302"/>
      <c r="Y533" s="1302"/>
      <c r="Z533" s="1302"/>
    </row>
    <row r="534" spans="1:26" ht="18.75" hidden="1">
      <c r="A534" s="1319"/>
      <c r="B534" s="1324"/>
      <c r="C534" s="1320"/>
      <c r="D534" s="1320"/>
      <c r="E534" s="1320" t="s">
        <v>18</v>
      </c>
      <c r="F534" s="1320"/>
      <c r="G534" s="1322"/>
      <c r="H534" s="165" t="s">
        <v>12</v>
      </c>
      <c r="I534" s="1000"/>
      <c r="J534" s="1000"/>
      <c r="K534" s="1001"/>
      <c r="L534" s="887">
        <v>0</v>
      </c>
      <c r="M534" s="887">
        <v>0</v>
      </c>
      <c r="N534" s="887">
        <v>0</v>
      </c>
      <c r="O534" s="887">
        <f t="shared" si="232"/>
        <v>0</v>
      </c>
      <c r="P534" s="887">
        <f t="shared" si="233"/>
        <v>0</v>
      </c>
      <c r="Q534" s="1323"/>
      <c r="R534" s="1323"/>
      <c r="S534" s="1323"/>
      <c r="T534" s="1323"/>
      <c r="U534" s="1323"/>
      <c r="V534" s="1323"/>
      <c r="W534" s="1323"/>
      <c r="X534" s="1323"/>
      <c r="Y534" s="1323"/>
      <c r="Z534" s="1323"/>
    </row>
    <row r="535" spans="1:26" ht="18.75" hidden="1">
      <c r="A535" s="1319"/>
      <c r="B535" s="1324"/>
      <c r="C535" s="1320"/>
      <c r="D535" s="1320"/>
      <c r="E535" s="1320" t="s">
        <v>19</v>
      </c>
      <c r="F535" s="1320"/>
      <c r="G535" s="1322"/>
      <c r="H535" s="169" t="s">
        <v>12</v>
      </c>
      <c r="I535" s="1000"/>
      <c r="J535" s="1000"/>
      <c r="K535" s="1001"/>
      <c r="L535" s="887">
        <f ca="1">IFERROR(__xludf.DUMMYFUNCTION("IMPORTRANGE(""https://docs.google.com/spreadsheets/d/1QqKyyYR6Q21VydFLVH3TRQUabQu_ym0Zz7PgGX0-kHA/edit?usp=sharing"",""แผน!GT84"")"),0)</f>
        <v>0</v>
      </c>
      <c r="M535" s="887">
        <v>0</v>
      </c>
      <c r="N535" s="887">
        <v>0</v>
      </c>
      <c r="O535" s="887">
        <f t="shared" ca="1" si="232"/>
        <v>0</v>
      </c>
      <c r="P535" s="887">
        <f t="shared" si="233"/>
        <v>0</v>
      </c>
      <c r="Q535" s="1323"/>
      <c r="R535" s="1323"/>
      <c r="S535" s="1323"/>
      <c r="T535" s="1323"/>
      <c r="U535" s="1323"/>
      <c r="V535" s="1323"/>
      <c r="W535" s="1323"/>
      <c r="X535" s="1323"/>
      <c r="Y535" s="1323"/>
      <c r="Z535" s="1323"/>
    </row>
    <row r="536" spans="1:26" ht="19.5" hidden="1">
      <c r="A536" s="1326"/>
      <c r="B536" s="1327"/>
      <c r="C536" s="1301" t="s">
        <v>16</v>
      </c>
      <c r="D536" s="1380" t="s">
        <v>38</v>
      </c>
      <c r="E536" s="1330"/>
      <c r="F536" s="1330"/>
      <c r="G536" s="1331"/>
      <c r="H536" s="1007"/>
      <c r="I536" s="997"/>
      <c r="J536" s="997"/>
      <c r="K536" s="998"/>
      <c r="L536" s="998"/>
      <c r="M536" s="998"/>
      <c r="N536" s="998"/>
      <c r="O536" s="998"/>
      <c r="P536" s="998"/>
      <c r="Q536" s="1302"/>
      <c r="R536" s="1302"/>
      <c r="S536" s="1302"/>
      <c r="T536" s="1302"/>
      <c r="U536" s="1302"/>
      <c r="V536" s="1302"/>
      <c r="W536" s="1302"/>
      <c r="X536" s="1302"/>
      <c r="Y536" s="1302"/>
      <c r="Z536" s="1302"/>
    </row>
    <row r="537" spans="1:26" ht="19.5" hidden="1">
      <c r="A537" s="1299"/>
      <c r="B537" s="1300"/>
      <c r="C537" s="1301"/>
      <c r="D537" s="1301" t="s">
        <v>228</v>
      </c>
      <c r="E537" s="1301"/>
      <c r="F537" s="1301"/>
      <c r="G537" s="1016"/>
      <c r="H537" s="622" t="s">
        <v>35</v>
      </c>
      <c r="I537" s="1019">
        <f ca="1">IFERROR(__xludf.DUMMYFUNCTION("IMPORTRANGE(""https://docs.google.com/spreadsheets/d/1QqKyyYR6Q21VydFLVH3TRQUabQu_ym0Zz7PgGX0-kHA/edit?usp=sharing"",""แผน!GU84"")"),0)</f>
        <v>0</v>
      </c>
      <c r="J537" s="1019">
        <f ca="1">IF(AND(J538=I538,J539=I539,J540=I540,J541=I541),I537,0)</f>
        <v>0</v>
      </c>
      <c r="K537" s="881">
        <f t="shared" ref="K537:K543" ca="1" si="234">IF(I537&gt;0,J537*100/I537,0)</f>
        <v>0</v>
      </c>
      <c r="L537" s="881"/>
      <c r="M537" s="881"/>
      <c r="N537" s="881"/>
      <c r="O537" s="881"/>
      <c r="P537" s="881"/>
      <c r="Q537" s="1381"/>
      <c r="R537" s="1381"/>
      <c r="S537" s="1381"/>
      <c r="T537" s="1381"/>
      <c r="U537" s="1381"/>
      <c r="V537" s="1381"/>
      <c r="W537" s="1381"/>
      <c r="X537" s="1381"/>
      <c r="Y537" s="1381"/>
      <c r="Z537" s="1381"/>
    </row>
    <row r="538" spans="1:26" ht="18.75" hidden="1">
      <c r="A538" s="1299"/>
      <c r="B538" s="1300"/>
      <c r="C538" s="1301"/>
      <c r="D538" s="1301"/>
      <c r="E538" s="1301" t="s">
        <v>229</v>
      </c>
      <c r="F538" s="1301"/>
      <c r="G538" s="1016"/>
      <c r="H538" s="622" t="s">
        <v>35</v>
      </c>
      <c r="I538" s="880">
        <f ca="1">IFERROR(__xludf.DUMMYFUNCTION("IMPORTRANGE(""https://docs.google.com/spreadsheets/d/1QqKyyYR6Q21VydFLVH3TRQUabQu_ym0Zz7PgGX0-kHA/edit?usp=sharing"",""แผน!GV84"")"),0)</f>
        <v>0</v>
      </c>
      <c r="J538" s="1012">
        <v>0</v>
      </c>
      <c r="K538" s="881">
        <f t="shared" ca="1" si="234"/>
        <v>0</v>
      </c>
      <c r="L538" s="881"/>
      <c r="M538" s="881"/>
      <c r="N538" s="881"/>
      <c r="O538" s="881"/>
      <c r="P538" s="881"/>
      <c r="Q538" s="1381"/>
      <c r="R538" s="1381"/>
      <c r="S538" s="1381"/>
      <c r="T538" s="1381"/>
      <c r="U538" s="1381"/>
      <c r="V538" s="1381"/>
      <c r="W538" s="1381"/>
      <c r="X538" s="1381"/>
      <c r="Y538" s="1381"/>
      <c r="Z538" s="1381"/>
    </row>
    <row r="539" spans="1:26" ht="18.75" hidden="1">
      <c r="A539" s="1299"/>
      <c r="B539" s="1300"/>
      <c r="C539" s="1301"/>
      <c r="D539" s="1301"/>
      <c r="E539" s="1301" t="s">
        <v>230</v>
      </c>
      <c r="F539" s="1301"/>
      <c r="G539" s="1016"/>
      <c r="H539" s="622" t="s">
        <v>35</v>
      </c>
      <c r="I539" s="880">
        <f ca="1">IFERROR(__xludf.DUMMYFUNCTION("IMPORTRANGE(""https://docs.google.com/spreadsheets/d/1QqKyyYR6Q21VydFLVH3TRQUabQu_ym0Zz7PgGX0-kHA/edit?usp=sharing"",""แผน!GW84"")"),0)</f>
        <v>0</v>
      </c>
      <c r="J539" s="1012">
        <v>0</v>
      </c>
      <c r="K539" s="881">
        <f t="shared" ca="1" si="234"/>
        <v>0</v>
      </c>
      <c r="L539" s="881"/>
      <c r="M539" s="881"/>
      <c r="N539" s="881"/>
      <c r="O539" s="881"/>
      <c r="P539" s="881"/>
      <c r="Q539" s="1381"/>
      <c r="R539" s="1381"/>
      <c r="S539" s="1381"/>
      <c r="T539" s="1381"/>
      <c r="U539" s="1381"/>
      <c r="V539" s="1381"/>
      <c r="W539" s="1381"/>
      <c r="X539" s="1381"/>
      <c r="Y539" s="1381"/>
      <c r="Z539" s="1381"/>
    </row>
    <row r="540" spans="1:26" ht="18.75" hidden="1">
      <c r="A540" s="1299"/>
      <c r="B540" s="1300"/>
      <c r="C540" s="1301"/>
      <c r="D540" s="1301"/>
      <c r="E540" s="1301" t="s">
        <v>231</v>
      </c>
      <c r="F540" s="1301"/>
      <c r="G540" s="1016"/>
      <c r="H540" s="622" t="s">
        <v>35</v>
      </c>
      <c r="I540" s="880">
        <f ca="1">IFERROR(__xludf.DUMMYFUNCTION("IMPORTRANGE(""https://docs.google.com/spreadsheets/d/1QqKyyYR6Q21VydFLVH3TRQUabQu_ym0Zz7PgGX0-kHA/edit?usp=sharing"",""แผน!GX84"")"),0)</f>
        <v>0</v>
      </c>
      <c r="J540" s="1012">
        <v>0</v>
      </c>
      <c r="K540" s="881">
        <f t="shared" ca="1" si="234"/>
        <v>0</v>
      </c>
      <c r="L540" s="881"/>
      <c r="M540" s="881"/>
      <c r="N540" s="881"/>
      <c r="O540" s="881"/>
      <c r="P540" s="881"/>
      <c r="Q540" s="1381"/>
      <c r="R540" s="1381"/>
      <c r="S540" s="1381"/>
      <c r="T540" s="1381"/>
      <c r="U540" s="1381"/>
      <c r="V540" s="1381"/>
      <c r="W540" s="1381"/>
      <c r="X540" s="1381"/>
      <c r="Y540" s="1381"/>
      <c r="Z540" s="1381"/>
    </row>
    <row r="541" spans="1:26" ht="18.75" hidden="1">
      <c r="A541" s="1299"/>
      <c r="B541" s="1300"/>
      <c r="C541" s="1301"/>
      <c r="D541" s="1301"/>
      <c r="E541" s="1382" t="s">
        <v>232</v>
      </c>
      <c r="F541" s="1301"/>
      <c r="G541" s="1016"/>
      <c r="H541" s="622" t="s">
        <v>35</v>
      </c>
      <c r="I541" s="880">
        <f ca="1">IFERROR(__xludf.DUMMYFUNCTION("IMPORTRANGE(""https://docs.google.com/spreadsheets/d/1QqKyyYR6Q21VydFLVH3TRQUabQu_ym0Zz7PgGX0-kHA/edit?usp=sharing"",""แผน!GY84"")"),0)</f>
        <v>0</v>
      </c>
      <c r="J541" s="1012">
        <v>0</v>
      </c>
      <c r="K541" s="881">
        <f t="shared" ca="1" si="234"/>
        <v>0</v>
      </c>
      <c r="L541" s="881"/>
      <c r="M541" s="881"/>
      <c r="N541" s="881"/>
      <c r="O541" s="881"/>
      <c r="P541" s="881"/>
      <c r="Q541" s="1381"/>
      <c r="R541" s="1381"/>
      <c r="S541" s="1381"/>
      <c r="T541" s="1381"/>
      <c r="U541" s="1381"/>
      <c r="V541" s="1381"/>
      <c r="W541" s="1381"/>
      <c r="X541" s="1381"/>
      <c r="Y541" s="1381"/>
      <c r="Z541" s="1381"/>
    </row>
    <row r="542" spans="1:26" ht="18.75" hidden="1">
      <c r="A542" s="1299"/>
      <c r="B542" s="1300"/>
      <c r="C542" s="1301"/>
      <c r="D542" s="1301" t="s">
        <v>59</v>
      </c>
      <c r="E542" s="1301"/>
      <c r="F542" s="1301"/>
      <c r="G542" s="1016"/>
      <c r="H542" s="622" t="s">
        <v>35</v>
      </c>
      <c r="I542" s="880">
        <f ca="1">IFERROR(__xludf.DUMMYFUNCTION("IMPORTRANGE(""https://docs.google.com/spreadsheets/d/1QqKyyYR6Q21VydFLVH3TRQUabQu_ym0Zz7PgGX0-kHA/edit?usp=sharing"",""แผน!GZ84"")"),0)</f>
        <v>0</v>
      </c>
      <c r="J542" s="1012">
        <v>0</v>
      </c>
      <c r="K542" s="881">
        <f t="shared" ca="1" si="234"/>
        <v>0</v>
      </c>
      <c r="L542" s="881"/>
      <c r="M542" s="881"/>
      <c r="N542" s="881"/>
      <c r="O542" s="881"/>
      <c r="P542" s="881"/>
      <c r="Q542" s="1381"/>
      <c r="R542" s="1381"/>
      <c r="S542" s="1381"/>
      <c r="T542" s="1381"/>
      <c r="U542" s="1381"/>
      <c r="V542" s="1381"/>
      <c r="W542" s="1381"/>
      <c r="X542" s="1381"/>
      <c r="Y542" s="1381"/>
      <c r="Z542" s="1381"/>
    </row>
    <row r="543" spans="1:26" ht="19.5">
      <c r="A543" s="662">
        <v>6</v>
      </c>
      <c r="B543" s="1383" t="s">
        <v>233</v>
      </c>
      <c r="C543" s="1369"/>
      <c r="D543" s="1369"/>
      <c r="E543" s="1369"/>
      <c r="F543" s="1369"/>
      <c r="G543" s="1370"/>
      <c r="H543" s="684" t="s">
        <v>46</v>
      </c>
      <c r="I543" s="1384">
        <f t="shared" ref="I543:J543" ca="1" si="235">I559</f>
        <v>6007</v>
      </c>
      <c r="J543" s="1384">
        <f t="shared" si="235"/>
        <v>0</v>
      </c>
      <c r="K543" s="1385">
        <f t="shared" ca="1" si="234"/>
        <v>0</v>
      </c>
      <c r="L543" s="1372"/>
      <c r="M543" s="1372"/>
      <c r="N543" s="1372"/>
      <c r="O543" s="1372"/>
      <c r="P543" s="1372"/>
      <c r="Q543" s="1302"/>
      <c r="R543" s="1302"/>
      <c r="S543" s="1302"/>
      <c r="T543" s="1302"/>
      <c r="U543" s="1302"/>
      <c r="V543" s="1302"/>
      <c r="W543" s="1302"/>
      <c r="X543" s="1302"/>
      <c r="Y543" s="1302"/>
      <c r="Z543" s="1302"/>
    </row>
    <row r="544" spans="1:26" ht="19.5">
      <c r="A544" s="1386"/>
      <c r="B544" s="1387"/>
      <c r="C544" s="1387" t="s">
        <v>16</v>
      </c>
      <c r="D544" s="1388" t="s">
        <v>17</v>
      </c>
      <c r="E544" s="846"/>
      <c r="F544" s="846"/>
      <c r="G544" s="1389"/>
      <c r="H544" s="275" t="s">
        <v>12</v>
      </c>
      <c r="I544" s="990"/>
      <c r="J544" s="990"/>
      <c r="K544" s="991"/>
      <c r="L544" s="992">
        <f t="shared" ref="L544:N544" ca="1" si="236">L545+L546</f>
        <v>231097</v>
      </c>
      <c r="M544" s="992">
        <f t="shared" ca="1" si="236"/>
        <v>231097</v>
      </c>
      <c r="N544" s="992">
        <f t="shared" si="236"/>
        <v>69930</v>
      </c>
      <c r="O544" s="992">
        <f t="shared" ref="O544:O549" ca="1" si="237">IF(L544&gt;0,N544*100/L544,0)</f>
        <v>30.260020683955222</v>
      </c>
      <c r="P544" s="992">
        <f t="shared" ref="P544:P549" ca="1" si="238">IF(M544&gt;0,N544*100/M544,0)</f>
        <v>30.260020683955222</v>
      </c>
      <c r="Q544" s="1302"/>
      <c r="R544" s="1302"/>
      <c r="S544" s="1302"/>
      <c r="T544" s="1302"/>
      <c r="U544" s="1302"/>
      <c r="V544" s="1302"/>
      <c r="W544" s="1302"/>
      <c r="X544" s="1302"/>
      <c r="Y544" s="1302"/>
      <c r="Z544" s="1302"/>
    </row>
    <row r="545" spans="1:26" ht="18.75" hidden="1">
      <c r="A545" s="1319"/>
      <c r="B545" s="1320"/>
      <c r="C545" s="1320"/>
      <c r="D545" s="1320"/>
      <c r="E545" s="1320" t="s">
        <v>185</v>
      </c>
      <c r="F545" s="1320"/>
      <c r="G545" s="1322"/>
      <c r="H545" s="165" t="s">
        <v>12</v>
      </c>
      <c r="I545" s="886"/>
      <c r="J545" s="886"/>
      <c r="K545" s="887"/>
      <c r="L545" s="887">
        <f t="shared" ref="L545:L546" si="239">L548+L556</f>
        <v>0</v>
      </c>
      <c r="M545" s="887">
        <f t="shared" ref="M545:N546" si="240">M548+M555</f>
        <v>0</v>
      </c>
      <c r="N545" s="887">
        <f t="shared" si="240"/>
        <v>0</v>
      </c>
      <c r="O545" s="887">
        <f t="shared" si="237"/>
        <v>0</v>
      </c>
      <c r="P545" s="887">
        <f t="shared" si="238"/>
        <v>0</v>
      </c>
      <c r="Q545" s="1323"/>
      <c r="R545" s="1323"/>
      <c r="S545" s="1323"/>
      <c r="T545" s="1323"/>
      <c r="U545" s="1323"/>
      <c r="V545" s="1323"/>
      <c r="W545" s="1323"/>
      <c r="X545" s="1323"/>
      <c r="Y545" s="1323"/>
      <c r="Z545" s="1323"/>
    </row>
    <row r="546" spans="1:26" ht="18.75" hidden="1">
      <c r="A546" s="1319"/>
      <c r="B546" s="1324"/>
      <c r="C546" s="1320"/>
      <c r="D546" s="1320"/>
      <c r="E546" s="1320" t="s">
        <v>186</v>
      </c>
      <c r="F546" s="1320"/>
      <c r="G546" s="1322"/>
      <c r="H546" s="165" t="s">
        <v>12</v>
      </c>
      <c r="I546" s="886"/>
      <c r="J546" s="886"/>
      <c r="K546" s="887"/>
      <c r="L546" s="887">
        <f t="shared" ca="1" si="239"/>
        <v>231097</v>
      </c>
      <c r="M546" s="887">
        <f t="shared" ca="1" si="240"/>
        <v>231097</v>
      </c>
      <c r="N546" s="887">
        <f t="shared" si="240"/>
        <v>69930</v>
      </c>
      <c r="O546" s="887">
        <f t="shared" ca="1" si="237"/>
        <v>30.260020683955222</v>
      </c>
      <c r="P546" s="887">
        <f t="shared" ca="1" si="238"/>
        <v>30.260020683955222</v>
      </c>
      <c r="Q546" s="1323"/>
      <c r="R546" s="1323"/>
      <c r="S546" s="1323"/>
      <c r="T546" s="1323"/>
      <c r="U546" s="1323"/>
      <c r="V546" s="1323"/>
      <c r="W546" s="1323"/>
      <c r="X546" s="1323"/>
      <c r="Y546" s="1323"/>
      <c r="Z546" s="1323"/>
    </row>
    <row r="547" spans="1:26" ht="18.75">
      <c r="A547" s="1317"/>
      <c r="B547" s="1300"/>
      <c r="C547" s="1301"/>
      <c r="D547" s="1325" t="s">
        <v>20</v>
      </c>
      <c r="E547" s="1301"/>
      <c r="F547" s="1301"/>
      <c r="G547" s="1016"/>
      <c r="H547" s="161" t="s">
        <v>12</v>
      </c>
      <c r="I547" s="997"/>
      <c r="J547" s="997"/>
      <c r="K547" s="998"/>
      <c r="L547" s="881">
        <f t="shared" ref="L547:N547" ca="1" si="241">L548+L549</f>
        <v>231097</v>
      </c>
      <c r="M547" s="881">
        <f t="shared" ca="1" si="241"/>
        <v>231097</v>
      </c>
      <c r="N547" s="881">
        <f t="shared" si="241"/>
        <v>69930</v>
      </c>
      <c r="O547" s="881">
        <f t="shared" ca="1" si="237"/>
        <v>30.260020683955222</v>
      </c>
      <c r="P547" s="881">
        <f t="shared" ca="1" si="238"/>
        <v>30.260020683955222</v>
      </c>
      <c r="Q547" s="1302"/>
      <c r="R547" s="1302"/>
      <c r="S547" s="1302"/>
      <c r="T547" s="1302"/>
      <c r="U547" s="1302"/>
      <c r="V547" s="1302"/>
      <c r="W547" s="1302"/>
      <c r="X547" s="1302"/>
      <c r="Y547" s="1302"/>
      <c r="Z547" s="1302"/>
    </row>
    <row r="548" spans="1:26" ht="18.75" hidden="1">
      <c r="A548" s="1319"/>
      <c r="B548" s="1324"/>
      <c r="C548" s="1320"/>
      <c r="D548" s="1321"/>
      <c r="E548" s="1320" t="s">
        <v>185</v>
      </c>
      <c r="F548" s="1320"/>
      <c r="G548" s="1322"/>
      <c r="H548" s="165" t="s">
        <v>12</v>
      </c>
      <c r="I548" s="886"/>
      <c r="J548" s="886"/>
      <c r="K548" s="887"/>
      <c r="L548" s="887">
        <v>0</v>
      </c>
      <c r="M548" s="887">
        <v>0</v>
      </c>
      <c r="N548" s="887">
        <v>0</v>
      </c>
      <c r="O548" s="887">
        <f t="shared" si="237"/>
        <v>0</v>
      </c>
      <c r="P548" s="887">
        <f t="shared" si="238"/>
        <v>0</v>
      </c>
      <c r="Q548" s="1323"/>
      <c r="R548" s="1323"/>
      <c r="S548" s="1323"/>
      <c r="T548" s="1323"/>
      <c r="U548" s="1323"/>
      <c r="V548" s="1323"/>
      <c r="W548" s="1323"/>
      <c r="X548" s="1323"/>
      <c r="Y548" s="1323"/>
      <c r="Z548" s="1323"/>
    </row>
    <row r="549" spans="1:26" ht="18.75" hidden="1">
      <c r="A549" s="1319"/>
      <c r="B549" s="1324"/>
      <c r="C549" s="1320"/>
      <c r="D549" s="1321"/>
      <c r="E549" s="1320" t="s">
        <v>186</v>
      </c>
      <c r="F549" s="1320"/>
      <c r="G549" s="1322"/>
      <c r="H549" s="165" t="s">
        <v>12</v>
      </c>
      <c r="I549" s="886"/>
      <c r="J549" s="886"/>
      <c r="K549" s="887"/>
      <c r="L549" s="887">
        <f ca="1">IFERROR(__xludf.DUMMYFUNCTION("IMPORTRANGE(""https://docs.google.com/spreadsheets/d/1QqKyyYR6Q21VydFLVH3TRQUabQu_ym0Zz7PgGX0-kHA/edit?usp=sharing"",""แผน!HB84"")"),231097)</f>
        <v>231097</v>
      </c>
      <c r="M549" s="887">
        <f ca="1">L549</f>
        <v>231097</v>
      </c>
      <c r="N549" s="887">
        <f>N550+N551+N552+N553+N554</f>
        <v>69930</v>
      </c>
      <c r="O549" s="887">
        <f t="shared" ca="1" si="237"/>
        <v>30.260020683955222</v>
      </c>
      <c r="P549" s="887">
        <f t="shared" ca="1" si="238"/>
        <v>30.260020683955222</v>
      </c>
      <c r="Q549" s="1323"/>
      <c r="R549" s="1323"/>
      <c r="S549" s="1323"/>
      <c r="T549" s="1323"/>
      <c r="U549" s="1323"/>
      <c r="V549" s="1323"/>
      <c r="W549" s="1323"/>
      <c r="X549" s="1323"/>
      <c r="Y549" s="1323"/>
      <c r="Z549" s="1323"/>
    </row>
    <row r="550" spans="1:26" ht="18.75">
      <c r="A550" s="1299"/>
      <c r="B550" s="1300"/>
      <c r="C550" s="1301"/>
      <c r="D550" s="1301"/>
      <c r="E550" s="1301"/>
      <c r="F550" s="1301" t="s">
        <v>187</v>
      </c>
      <c r="G550" s="1016"/>
      <c r="H550" s="161" t="s">
        <v>12</v>
      </c>
      <c r="I550" s="880"/>
      <c r="J550" s="880"/>
      <c r="K550" s="881"/>
      <c r="L550" s="881"/>
      <c r="M550" s="881"/>
      <c r="N550" s="1085">
        <v>0</v>
      </c>
      <c r="O550" s="881"/>
      <c r="P550" s="881"/>
      <c r="Q550" s="1302"/>
      <c r="R550" s="1302"/>
      <c r="S550" s="1302"/>
      <c r="T550" s="1302"/>
      <c r="U550" s="1302"/>
      <c r="V550" s="1302"/>
      <c r="W550" s="1302"/>
      <c r="X550" s="1302"/>
      <c r="Y550" s="1302"/>
      <c r="Z550" s="1302"/>
    </row>
    <row r="551" spans="1:26" ht="18.75">
      <c r="A551" s="1299"/>
      <c r="B551" s="1300"/>
      <c r="C551" s="1300"/>
      <c r="D551" s="1300"/>
      <c r="E551" s="1301"/>
      <c r="F551" s="1301" t="s">
        <v>188</v>
      </c>
      <c r="G551" s="1016"/>
      <c r="H551" s="161" t="s">
        <v>12</v>
      </c>
      <c r="I551" s="880"/>
      <c r="J551" s="880"/>
      <c r="K551" s="881"/>
      <c r="L551" s="881"/>
      <c r="M551" s="881"/>
      <c r="N551" s="1085">
        <v>0</v>
      </c>
      <c r="O551" s="881"/>
      <c r="P551" s="881"/>
      <c r="Q551" s="1302"/>
      <c r="R551" s="1302"/>
      <c r="S551" s="1302"/>
      <c r="T551" s="1302"/>
      <c r="U551" s="1302"/>
      <c r="V551" s="1302"/>
      <c r="W551" s="1302"/>
      <c r="X551" s="1302"/>
      <c r="Y551" s="1302"/>
      <c r="Z551" s="1302"/>
    </row>
    <row r="552" spans="1:26" ht="18.75">
      <c r="A552" s="1299"/>
      <c r="B552" s="1300"/>
      <c r="C552" s="1301"/>
      <c r="D552" s="1301"/>
      <c r="E552" s="1301"/>
      <c r="F552" s="1301" t="s">
        <v>189</v>
      </c>
      <c r="G552" s="1016"/>
      <c r="H552" s="161" t="s">
        <v>12</v>
      </c>
      <c r="I552" s="880"/>
      <c r="J552" s="880"/>
      <c r="K552" s="881"/>
      <c r="L552" s="881"/>
      <c r="M552" s="881"/>
      <c r="N552" s="1085">
        <v>52000</v>
      </c>
      <c r="O552" s="881"/>
      <c r="P552" s="881"/>
      <c r="Q552" s="1302"/>
      <c r="R552" s="1302"/>
      <c r="S552" s="1302"/>
      <c r="T552" s="1302"/>
      <c r="U552" s="1302"/>
      <c r="V552" s="1302"/>
      <c r="W552" s="1302"/>
      <c r="X552" s="1302"/>
      <c r="Y552" s="1302"/>
      <c r="Z552" s="1302"/>
    </row>
    <row r="553" spans="1:26" ht="18.75">
      <c r="A553" s="1299"/>
      <c r="B553" s="1300"/>
      <c r="C553" s="1300"/>
      <c r="D553" s="1300"/>
      <c r="E553" s="1301"/>
      <c r="F553" s="1301" t="s">
        <v>190</v>
      </c>
      <c r="G553" s="1016"/>
      <c r="H553" s="161" t="s">
        <v>12</v>
      </c>
      <c r="I553" s="880"/>
      <c r="J553" s="880"/>
      <c r="K553" s="881"/>
      <c r="L553" s="881"/>
      <c r="M553" s="881"/>
      <c r="N553" s="1085">
        <v>17930</v>
      </c>
      <c r="O553" s="881"/>
      <c r="P553" s="881"/>
      <c r="Q553" s="1302"/>
      <c r="R553" s="1302"/>
      <c r="S553" s="1302"/>
      <c r="T553" s="1302"/>
      <c r="U553" s="1302"/>
      <c r="V553" s="1302"/>
      <c r="W553" s="1302"/>
      <c r="X553" s="1302"/>
      <c r="Y553" s="1302"/>
      <c r="Z553" s="1302"/>
    </row>
    <row r="554" spans="1:26" ht="18.75">
      <c r="A554" s="1299"/>
      <c r="B554" s="1300"/>
      <c r="C554" s="1300"/>
      <c r="D554" s="1300"/>
      <c r="E554" s="1301"/>
      <c r="F554" s="1301" t="s">
        <v>234</v>
      </c>
      <c r="G554" s="1016"/>
      <c r="H554" s="161" t="s">
        <v>12</v>
      </c>
      <c r="I554" s="880"/>
      <c r="J554" s="880"/>
      <c r="K554" s="881"/>
      <c r="L554" s="881"/>
      <c r="M554" s="881"/>
      <c r="N554" s="1085">
        <v>0</v>
      </c>
      <c r="O554" s="881"/>
      <c r="P554" s="881"/>
      <c r="Q554" s="1302"/>
      <c r="R554" s="1302"/>
      <c r="S554" s="1302"/>
      <c r="T554" s="1302"/>
      <c r="U554" s="1302"/>
      <c r="V554" s="1302"/>
      <c r="W554" s="1302"/>
      <c r="X554" s="1302"/>
      <c r="Y554" s="1302"/>
      <c r="Z554" s="1302"/>
    </row>
    <row r="555" spans="1:26" ht="18.75">
      <c r="A555" s="1317"/>
      <c r="B555" s="1300"/>
      <c r="C555" s="1300"/>
      <c r="D555" s="1325" t="s">
        <v>21</v>
      </c>
      <c r="E555" s="1301"/>
      <c r="F555" s="1301"/>
      <c r="G555" s="1016"/>
      <c r="H555" s="168" t="s">
        <v>12</v>
      </c>
      <c r="I555" s="997"/>
      <c r="J555" s="997"/>
      <c r="K555" s="998"/>
      <c r="L555" s="881">
        <f t="shared" ref="L555:N555" ca="1" si="242">L556+L557</f>
        <v>0</v>
      </c>
      <c r="M555" s="881">
        <f t="shared" si="242"/>
        <v>0</v>
      </c>
      <c r="N555" s="881">
        <f t="shared" si="242"/>
        <v>0</v>
      </c>
      <c r="O555" s="881">
        <f t="shared" ref="O555:O557" ca="1" si="243">IF(L555&gt;0,N555*100/L555,0)</f>
        <v>0</v>
      </c>
      <c r="P555" s="881">
        <f t="shared" ref="P555:P557" si="244">IF(M555&gt;0,N555*100/M555,0)</f>
        <v>0</v>
      </c>
      <c r="Q555" s="1302"/>
      <c r="R555" s="1302"/>
      <c r="S555" s="1302"/>
      <c r="T555" s="1302"/>
      <c r="U555" s="1302"/>
      <c r="V555" s="1302"/>
      <c r="W555" s="1302"/>
      <c r="X555" s="1302"/>
      <c r="Y555" s="1302"/>
      <c r="Z555" s="1302"/>
    </row>
    <row r="556" spans="1:26" ht="18.75" hidden="1">
      <c r="A556" s="1319"/>
      <c r="B556" s="1324"/>
      <c r="C556" s="1324"/>
      <c r="D556" s="1320"/>
      <c r="E556" s="1320" t="s">
        <v>18</v>
      </c>
      <c r="F556" s="1320"/>
      <c r="G556" s="1322"/>
      <c r="H556" s="165" t="s">
        <v>12</v>
      </c>
      <c r="I556" s="1000"/>
      <c r="J556" s="1000"/>
      <c r="K556" s="1001"/>
      <c r="L556" s="887">
        <v>0</v>
      </c>
      <c r="M556" s="887">
        <v>0</v>
      </c>
      <c r="N556" s="887">
        <v>0</v>
      </c>
      <c r="O556" s="887">
        <f t="shared" si="243"/>
        <v>0</v>
      </c>
      <c r="P556" s="887">
        <f t="shared" si="244"/>
        <v>0</v>
      </c>
      <c r="Q556" s="1323"/>
      <c r="R556" s="1323"/>
      <c r="S556" s="1323"/>
      <c r="T556" s="1323"/>
      <c r="U556" s="1323"/>
      <c r="V556" s="1323"/>
      <c r="W556" s="1323"/>
      <c r="X556" s="1323"/>
      <c r="Y556" s="1323"/>
      <c r="Z556" s="1323"/>
    </row>
    <row r="557" spans="1:26" ht="18.75" hidden="1">
      <c r="A557" s="1319"/>
      <c r="B557" s="1324"/>
      <c r="C557" s="1324"/>
      <c r="D557" s="1320"/>
      <c r="E557" s="1320" t="s">
        <v>19</v>
      </c>
      <c r="F557" s="1320"/>
      <c r="G557" s="1322"/>
      <c r="H557" s="169" t="s">
        <v>12</v>
      </c>
      <c r="I557" s="1000"/>
      <c r="J557" s="1000"/>
      <c r="K557" s="1001"/>
      <c r="L557" s="887">
        <f ca="1">IFERROR(__xludf.DUMMYFUNCTION("IMPORTRANGE(""https://docs.google.com/spreadsheets/d/1QqKyyYR6Q21VydFLVH3TRQUabQu_ym0Zz7PgGX0-kHA/edit?usp=sharing"",""แผน!HF84"")"),0)</f>
        <v>0</v>
      </c>
      <c r="M557" s="887">
        <v>0</v>
      </c>
      <c r="N557" s="887">
        <v>0</v>
      </c>
      <c r="O557" s="887">
        <f t="shared" ca="1" si="243"/>
        <v>0</v>
      </c>
      <c r="P557" s="887">
        <f t="shared" si="244"/>
        <v>0</v>
      </c>
      <c r="Q557" s="1323"/>
      <c r="R557" s="1323"/>
      <c r="S557" s="1323"/>
      <c r="T557" s="1323"/>
      <c r="U557" s="1323"/>
      <c r="V557" s="1323"/>
      <c r="W557" s="1323"/>
      <c r="X557" s="1323"/>
      <c r="Y557" s="1323"/>
      <c r="Z557" s="1323"/>
    </row>
    <row r="558" spans="1:26" ht="19.5">
      <c r="A558" s="1326"/>
      <c r="B558" s="1327"/>
      <c r="C558" s="1300" t="s">
        <v>16</v>
      </c>
      <c r="D558" s="1380" t="s">
        <v>38</v>
      </c>
      <c r="E558" s="1330"/>
      <c r="F558" s="1330"/>
      <c r="G558" s="1331"/>
      <c r="H558" s="1007"/>
      <c r="I558" s="997"/>
      <c r="J558" s="997"/>
      <c r="K558" s="998"/>
      <c r="L558" s="998"/>
      <c r="M558" s="998"/>
      <c r="N558" s="998"/>
      <c r="O558" s="998"/>
      <c r="P558" s="998"/>
      <c r="Q558" s="1302"/>
      <c r="R558" s="1302"/>
      <c r="S558" s="1302"/>
      <c r="T558" s="1302"/>
      <c r="U558" s="1302"/>
      <c r="V558" s="1302"/>
      <c r="W558" s="1302"/>
      <c r="X558" s="1302"/>
      <c r="Y558" s="1302"/>
      <c r="Z558" s="1302"/>
    </row>
    <row r="559" spans="1:26" ht="19.5">
      <c r="A559" s="1390"/>
      <c r="B559" s="1391" t="s">
        <v>235</v>
      </c>
      <c r="C559" s="1392"/>
      <c r="D559" s="1392"/>
      <c r="E559" s="1375"/>
      <c r="F559" s="1375"/>
      <c r="G559" s="1376"/>
      <c r="H559" s="693" t="s">
        <v>46</v>
      </c>
      <c r="I559" s="1377">
        <f t="shared" ref="I559:J559" ca="1" si="245">I576</f>
        <v>6007</v>
      </c>
      <c r="J559" s="1377">
        <f t="shared" si="245"/>
        <v>0</v>
      </c>
      <c r="K559" s="1378">
        <f t="shared" ref="K559:K561" ca="1" si="246">IF(I559&gt;0,J559*100/I559,0)</f>
        <v>0</v>
      </c>
      <c r="L559" s="1379"/>
      <c r="M559" s="1379"/>
      <c r="N559" s="1379"/>
      <c r="O559" s="1379"/>
      <c r="P559" s="1379"/>
      <c r="Q559" s="1302"/>
      <c r="R559" s="1302"/>
      <c r="S559" s="1302"/>
      <c r="T559" s="1302"/>
      <c r="U559" s="1302"/>
      <c r="V559" s="1302"/>
      <c r="W559" s="1302"/>
      <c r="X559" s="1302"/>
      <c r="Y559" s="1302"/>
      <c r="Z559" s="1302"/>
    </row>
    <row r="560" spans="1:26" ht="19.5">
      <c r="A560" s="1326"/>
      <c r="B560" s="1327"/>
      <c r="C560" s="1336" t="s">
        <v>236</v>
      </c>
      <c r="D560" s="1327"/>
      <c r="E560" s="1014"/>
      <c r="F560" s="1014"/>
      <c r="G560" s="1007"/>
      <c r="H560" s="765" t="s">
        <v>46</v>
      </c>
      <c r="I560" s="1018">
        <f ca="1">IFERROR(__xludf.DUMMYFUNCTION("IMPORTRANGE(""https://docs.google.com/spreadsheets/d/1QqKyyYR6Q21VydFLVH3TRQUabQu_ym0Zz7PgGX0-kHA/edit?usp=sharing"",""แผน!HH84"")"),6007)</f>
        <v>6007</v>
      </c>
      <c r="J560" s="1018">
        <f t="shared" ref="J560:J561" si="247">J562+J564+J566</f>
        <v>6007</v>
      </c>
      <c r="K560" s="1162">
        <f t="shared" ca="1" si="246"/>
        <v>100</v>
      </c>
      <c r="L560" s="998"/>
      <c r="M560" s="998"/>
      <c r="N560" s="998"/>
      <c r="O560" s="998"/>
      <c r="P560" s="998"/>
      <c r="Q560" s="1302"/>
      <c r="R560" s="1302"/>
      <c r="S560" s="1302"/>
      <c r="T560" s="1302"/>
      <c r="U560" s="1302"/>
      <c r="V560" s="1302"/>
      <c r="W560" s="1302"/>
      <c r="X560" s="1302"/>
      <c r="Y560" s="1302"/>
      <c r="Z560" s="1302"/>
    </row>
    <row r="561" spans="1:26" ht="19.5">
      <c r="A561" s="1326"/>
      <c r="B561" s="1327"/>
      <c r="C561" s="1327"/>
      <c r="D561" s="1014"/>
      <c r="E561" s="1014"/>
      <c r="F561" s="1014"/>
      <c r="G561" s="1007"/>
      <c r="H561" s="765" t="s">
        <v>34</v>
      </c>
      <c r="I561" s="1018">
        <f ca="1">IFERROR(__xludf.DUMMYFUNCTION("IMPORTRANGE(""https://docs.google.com/spreadsheets/d/1QqKyyYR6Q21VydFLVH3TRQUabQu_ym0Zz7PgGX0-kHA/edit?usp=sharing"",""แผน!HG84"")"),823)</f>
        <v>823</v>
      </c>
      <c r="J561" s="1018">
        <f t="shared" si="247"/>
        <v>823</v>
      </c>
      <c r="K561" s="1162">
        <f t="shared" ca="1" si="246"/>
        <v>100</v>
      </c>
      <c r="L561" s="998"/>
      <c r="M561" s="998"/>
      <c r="N561" s="998"/>
      <c r="O561" s="998"/>
      <c r="P561" s="998"/>
      <c r="Q561" s="1302"/>
      <c r="R561" s="1302"/>
      <c r="S561" s="1302"/>
      <c r="T561" s="1302"/>
      <c r="U561" s="1302"/>
      <c r="V561" s="1302"/>
      <c r="W561" s="1302"/>
      <c r="X561" s="1302"/>
      <c r="Y561" s="1302"/>
      <c r="Z561" s="1302"/>
    </row>
    <row r="562" spans="1:26" ht="18.75">
      <c r="A562" s="1326"/>
      <c r="B562" s="1327"/>
      <c r="C562" s="1327"/>
      <c r="D562" s="1014" t="s">
        <v>237</v>
      </c>
      <c r="E562" s="1014"/>
      <c r="F562" s="1014"/>
      <c r="G562" s="1007"/>
      <c r="H562" s="762" t="s">
        <v>46</v>
      </c>
      <c r="I562" s="997"/>
      <c r="J562" s="1012">
        <v>5493</v>
      </c>
      <c r="K562" s="998"/>
      <c r="L562" s="998"/>
      <c r="M562" s="998"/>
      <c r="N562" s="998"/>
      <c r="O562" s="998"/>
      <c r="P562" s="998"/>
      <c r="Q562" s="1302"/>
      <c r="R562" s="1302"/>
      <c r="S562" s="1302"/>
      <c r="T562" s="1302"/>
      <c r="U562" s="1302"/>
      <c r="V562" s="1302"/>
      <c r="W562" s="1302"/>
      <c r="X562" s="1302"/>
      <c r="Y562" s="1302"/>
      <c r="Z562" s="1302"/>
    </row>
    <row r="563" spans="1:26" ht="18.75">
      <c r="A563" s="1326"/>
      <c r="B563" s="1327"/>
      <c r="C563" s="1327"/>
      <c r="D563" s="1327"/>
      <c r="E563" s="1014"/>
      <c r="F563" s="1014"/>
      <c r="G563" s="1007"/>
      <c r="H563" s="762" t="s">
        <v>34</v>
      </c>
      <c r="I563" s="997"/>
      <c r="J563" s="1012">
        <v>756</v>
      </c>
      <c r="K563" s="998"/>
      <c r="L563" s="998"/>
      <c r="M563" s="998"/>
      <c r="N563" s="998"/>
      <c r="O563" s="998"/>
      <c r="P563" s="998"/>
      <c r="Q563" s="1302"/>
      <c r="R563" s="1302"/>
      <c r="S563" s="1302"/>
      <c r="T563" s="1302"/>
      <c r="U563" s="1302"/>
      <c r="V563" s="1302"/>
      <c r="W563" s="1302"/>
      <c r="X563" s="1302"/>
      <c r="Y563" s="1302"/>
      <c r="Z563" s="1302"/>
    </row>
    <row r="564" spans="1:26" ht="18.75">
      <c r="A564" s="1326"/>
      <c r="B564" s="1327"/>
      <c r="C564" s="1327"/>
      <c r="D564" s="1014" t="s">
        <v>238</v>
      </c>
      <c r="E564" s="1014"/>
      <c r="F564" s="1014"/>
      <c r="G564" s="1007"/>
      <c r="H564" s="762" t="s">
        <v>46</v>
      </c>
      <c r="I564" s="997"/>
      <c r="J564" s="1012">
        <v>442</v>
      </c>
      <c r="K564" s="998"/>
      <c r="L564" s="998"/>
      <c r="M564" s="998"/>
      <c r="N564" s="998"/>
      <c r="O564" s="998"/>
      <c r="P564" s="998"/>
      <c r="Q564" s="1302"/>
      <c r="R564" s="1302"/>
      <c r="S564" s="1302"/>
      <c r="T564" s="1302"/>
      <c r="U564" s="1302"/>
      <c r="V564" s="1302"/>
      <c r="W564" s="1302"/>
      <c r="X564" s="1302"/>
      <c r="Y564" s="1302"/>
      <c r="Z564" s="1302"/>
    </row>
    <row r="565" spans="1:26" ht="18.75">
      <c r="A565" s="1326"/>
      <c r="B565" s="1327"/>
      <c r="C565" s="1327"/>
      <c r="D565" s="1014"/>
      <c r="E565" s="1014"/>
      <c r="F565" s="1014"/>
      <c r="G565" s="1007"/>
      <c r="H565" s="762" t="s">
        <v>34</v>
      </c>
      <c r="I565" s="997"/>
      <c r="J565" s="1012">
        <v>57</v>
      </c>
      <c r="K565" s="998"/>
      <c r="L565" s="998"/>
      <c r="M565" s="998"/>
      <c r="N565" s="998"/>
      <c r="O565" s="998"/>
      <c r="P565" s="998"/>
      <c r="Q565" s="1302"/>
      <c r="R565" s="1302"/>
      <c r="S565" s="1302"/>
      <c r="T565" s="1302"/>
      <c r="U565" s="1302"/>
      <c r="V565" s="1302"/>
      <c r="W565" s="1302"/>
      <c r="X565" s="1302"/>
      <c r="Y565" s="1302"/>
      <c r="Z565" s="1302"/>
    </row>
    <row r="566" spans="1:26" ht="18.75">
      <c r="A566" s="1326"/>
      <c r="B566" s="1327"/>
      <c r="C566" s="1327"/>
      <c r="D566" s="1014" t="s">
        <v>239</v>
      </c>
      <c r="E566" s="1014"/>
      <c r="F566" s="1014"/>
      <c r="G566" s="1007"/>
      <c r="H566" s="762" t="s">
        <v>46</v>
      </c>
      <c r="I566" s="997"/>
      <c r="J566" s="1012">
        <v>72</v>
      </c>
      <c r="K566" s="998"/>
      <c r="L566" s="998"/>
      <c r="M566" s="998"/>
      <c r="N566" s="998"/>
      <c r="O566" s="998"/>
      <c r="P566" s="998"/>
      <c r="Q566" s="1302"/>
      <c r="R566" s="1302"/>
      <c r="S566" s="1302"/>
      <c r="T566" s="1302"/>
      <c r="U566" s="1302"/>
      <c r="V566" s="1302"/>
      <c r="W566" s="1302"/>
      <c r="X566" s="1302"/>
      <c r="Y566" s="1302"/>
      <c r="Z566" s="1302"/>
    </row>
    <row r="567" spans="1:26" ht="18.75">
      <c r="A567" s="1326"/>
      <c r="B567" s="1327"/>
      <c r="C567" s="1327"/>
      <c r="D567" s="1014"/>
      <c r="E567" s="1014"/>
      <c r="F567" s="1014"/>
      <c r="G567" s="1007"/>
      <c r="H567" s="762" t="s">
        <v>34</v>
      </c>
      <c r="I567" s="997"/>
      <c r="J567" s="1012">
        <v>10</v>
      </c>
      <c r="K567" s="998"/>
      <c r="L567" s="998"/>
      <c r="M567" s="998"/>
      <c r="N567" s="998"/>
      <c r="O567" s="998"/>
      <c r="P567" s="998"/>
      <c r="Q567" s="1302"/>
      <c r="R567" s="1302"/>
      <c r="S567" s="1302"/>
      <c r="T567" s="1302"/>
      <c r="U567" s="1302"/>
      <c r="V567" s="1302"/>
      <c r="W567" s="1302"/>
      <c r="X567" s="1302"/>
      <c r="Y567" s="1302"/>
      <c r="Z567" s="1302"/>
    </row>
    <row r="568" spans="1:26" ht="19.5">
      <c r="A568" s="1326"/>
      <c r="B568" s="1327"/>
      <c r="C568" s="1336" t="s">
        <v>240</v>
      </c>
      <c r="D568" s="1014"/>
      <c r="E568" s="1014"/>
      <c r="F568" s="1014"/>
      <c r="G568" s="1007"/>
      <c r="H568" s="765" t="s">
        <v>46</v>
      </c>
      <c r="I568" s="1018">
        <f ca="1">IFERROR(__xludf.DUMMYFUNCTION("IMPORTRANGE(""https://docs.google.com/spreadsheets/d/1QqKyyYR6Q21VydFLVH3TRQUabQu_ym0Zz7PgGX0-kHA/edit?usp=sharing"",""แผน!HH84"")"),6007)</f>
        <v>6007</v>
      </c>
      <c r="J568" s="1019">
        <f t="shared" ref="J568:J569" si="248">J570+J572+J574</f>
        <v>6007</v>
      </c>
      <c r="K568" s="1162">
        <f t="shared" ref="K568:K569" ca="1" si="249">IF(I568&gt;0,J568*100/I568,0)</f>
        <v>100</v>
      </c>
      <c r="L568" s="998"/>
      <c r="M568" s="998"/>
      <c r="N568" s="998"/>
      <c r="O568" s="998"/>
      <c r="P568" s="998"/>
      <c r="Q568" s="1302"/>
      <c r="R568" s="1302"/>
      <c r="S568" s="1302"/>
      <c r="T568" s="1302"/>
      <c r="U568" s="1302"/>
      <c r="V568" s="1302"/>
      <c r="W568" s="1302"/>
      <c r="X568" s="1302"/>
      <c r="Y568" s="1302"/>
      <c r="Z568" s="1302"/>
    </row>
    <row r="569" spans="1:26" ht="19.5">
      <c r="A569" s="1326"/>
      <c r="B569" s="1327"/>
      <c r="C569" s="1327"/>
      <c r="D569" s="1327"/>
      <c r="E569" s="1014"/>
      <c r="F569" s="1014"/>
      <c r="G569" s="1007"/>
      <c r="H569" s="765" t="s">
        <v>34</v>
      </c>
      <c r="I569" s="1018">
        <f ca="1">IFERROR(__xludf.DUMMYFUNCTION("IMPORTRANGE(""https://docs.google.com/spreadsheets/d/1QqKyyYR6Q21VydFLVH3TRQUabQu_ym0Zz7PgGX0-kHA/edit?usp=sharing"",""แผน!HG84"")"),823)</f>
        <v>823</v>
      </c>
      <c r="J569" s="1019">
        <f t="shared" si="248"/>
        <v>823</v>
      </c>
      <c r="K569" s="1162">
        <f t="shared" ca="1" si="249"/>
        <v>100</v>
      </c>
      <c r="L569" s="998"/>
      <c r="M569" s="998"/>
      <c r="N569" s="998"/>
      <c r="O569" s="998"/>
      <c r="P569" s="998"/>
      <c r="Q569" s="1302"/>
      <c r="R569" s="1302"/>
      <c r="S569" s="1302"/>
      <c r="T569" s="1302"/>
      <c r="U569" s="1302"/>
      <c r="V569" s="1302"/>
      <c r="W569" s="1302"/>
      <c r="X569" s="1302"/>
      <c r="Y569" s="1302"/>
      <c r="Z569" s="1302"/>
    </row>
    <row r="570" spans="1:26" ht="18.75">
      <c r="A570" s="1326"/>
      <c r="B570" s="1327"/>
      <c r="C570" s="1327"/>
      <c r="D570" s="1014" t="s">
        <v>241</v>
      </c>
      <c r="E570" s="1327"/>
      <c r="F570" s="1014"/>
      <c r="G570" s="1007"/>
      <c r="H570" s="762" t="s">
        <v>46</v>
      </c>
      <c r="I570" s="997"/>
      <c r="J570" s="1012">
        <v>5493</v>
      </c>
      <c r="K570" s="998"/>
      <c r="L570" s="998"/>
      <c r="M570" s="998"/>
      <c r="N570" s="998"/>
      <c r="O570" s="998"/>
      <c r="P570" s="998"/>
      <c r="Q570" s="1302"/>
      <c r="R570" s="1302"/>
      <c r="S570" s="1302"/>
      <c r="T570" s="1302"/>
      <c r="U570" s="1302"/>
      <c r="V570" s="1302"/>
      <c r="W570" s="1302"/>
      <c r="X570" s="1302"/>
      <c r="Y570" s="1302"/>
      <c r="Z570" s="1302"/>
    </row>
    <row r="571" spans="1:26" ht="18.75">
      <c r="A571" s="1326"/>
      <c r="B571" s="1327"/>
      <c r="C571" s="1327"/>
      <c r="D571" s="1327"/>
      <c r="E571" s="1014"/>
      <c r="F571" s="1014"/>
      <c r="G571" s="1007"/>
      <c r="H571" s="762" t="s">
        <v>34</v>
      </c>
      <c r="I571" s="997"/>
      <c r="J571" s="1012">
        <v>756</v>
      </c>
      <c r="K571" s="998"/>
      <c r="L571" s="998"/>
      <c r="M571" s="998"/>
      <c r="N571" s="998"/>
      <c r="O571" s="998"/>
      <c r="P571" s="998"/>
      <c r="Q571" s="1302"/>
      <c r="R571" s="1302"/>
      <c r="S571" s="1302"/>
      <c r="T571" s="1302"/>
      <c r="U571" s="1302"/>
      <c r="V571" s="1302"/>
      <c r="W571" s="1302"/>
      <c r="X571" s="1302"/>
      <c r="Y571" s="1302"/>
      <c r="Z571" s="1302"/>
    </row>
    <row r="572" spans="1:26" ht="18.75">
      <c r="A572" s="1326"/>
      <c r="B572" s="1327"/>
      <c r="C572" s="1327"/>
      <c r="D572" s="1014" t="s">
        <v>242</v>
      </c>
      <c r="E572" s="1014"/>
      <c r="F572" s="1014"/>
      <c r="G572" s="1007"/>
      <c r="H572" s="762" t="s">
        <v>46</v>
      </c>
      <c r="I572" s="997"/>
      <c r="J572" s="1012">
        <v>442</v>
      </c>
      <c r="K572" s="998"/>
      <c r="L572" s="998"/>
      <c r="M572" s="998"/>
      <c r="N572" s="998"/>
      <c r="O572" s="998"/>
      <c r="P572" s="998"/>
      <c r="Q572" s="1302"/>
      <c r="R572" s="1302"/>
      <c r="S572" s="1302"/>
      <c r="T572" s="1302"/>
      <c r="U572" s="1302"/>
      <c r="V572" s="1302"/>
      <c r="W572" s="1302"/>
      <c r="X572" s="1302"/>
      <c r="Y572" s="1302"/>
      <c r="Z572" s="1302"/>
    </row>
    <row r="573" spans="1:26" ht="18.75">
      <c r="A573" s="1326"/>
      <c r="B573" s="1327"/>
      <c r="C573" s="1327"/>
      <c r="D573" s="1014"/>
      <c r="E573" s="1014"/>
      <c r="F573" s="1014"/>
      <c r="G573" s="1007"/>
      <c r="H573" s="762" t="s">
        <v>34</v>
      </c>
      <c r="I573" s="997"/>
      <c r="J573" s="1012">
        <v>57</v>
      </c>
      <c r="K573" s="998"/>
      <c r="L573" s="998"/>
      <c r="M573" s="998"/>
      <c r="N573" s="998"/>
      <c r="O573" s="998"/>
      <c r="P573" s="998"/>
      <c r="Q573" s="1302"/>
      <c r="R573" s="1302"/>
      <c r="S573" s="1302"/>
      <c r="T573" s="1302"/>
      <c r="U573" s="1302"/>
      <c r="V573" s="1302"/>
      <c r="W573" s="1302"/>
      <c r="X573" s="1302"/>
      <c r="Y573" s="1302"/>
      <c r="Z573" s="1302"/>
    </row>
    <row r="574" spans="1:26" ht="18.75">
      <c r="A574" s="1326"/>
      <c r="B574" s="1327"/>
      <c r="C574" s="1327"/>
      <c r="D574" s="1014" t="s">
        <v>243</v>
      </c>
      <c r="E574" s="1014"/>
      <c r="F574" s="1014"/>
      <c r="G574" s="1007"/>
      <c r="H574" s="762" t="s">
        <v>46</v>
      </c>
      <c r="I574" s="997"/>
      <c r="J574" s="1012">
        <v>72</v>
      </c>
      <c r="K574" s="998"/>
      <c r="L574" s="998"/>
      <c r="M574" s="998"/>
      <c r="N574" s="998"/>
      <c r="O574" s="998"/>
      <c r="P574" s="998"/>
      <c r="Q574" s="1302"/>
      <c r="R574" s="1302"/>
      <c r="S574" s="1302"/>
      <c r="T574" s="1302"/>
      <c r="U574" s="1302"/>
      <c r="V574" s="1302"/>
      <c r="W574" s="1302"/>
      <c r="X574" s="1302"/>
      <c r="Y574" s="1302"/>
      <c r="Z574" s="1302"/>
    </row>
    <row r="575" spans="1:26" ht="18.75">
      <c r="A575" s="1326"/>
      <c r="B575" s="1327"/>
      <c r="C575" s="1327"/>
      <c r="D575" s="1327"/>
      <c r="E575" s="1014"/>
      <c r="F575" s="1014"/>
      <c r="G575" s="1007"/>
      <c r="H575" s="762" t="s">
        <v>34</v>
      </c>
      <c r="I575" s="997"/>
      <c r="J575" s="1012">
        <v>10</v>
      </c>
      <c r="K575" s="998"/>
      <c r="L575" s="998"/>
      <c r="M575" s="998"/>
      <c r="N575" s="998"/>
      <c r="O575" s="998"/>
      <c r="P575" s="998"/>
      <c r="Q575" s="1302"/>
      <c r="R575" s="1302"/>
      <c r="S575" s="1302"/>
      <c r="T575" s="1302"/>
      <c r="U575" s="1302"/>
      <c r="V575" s="1302"/>
      <c r="W575" s="1302"/>
      <c r="X575" s="1302"/>
      <c r="Y575" s="1302"/>
      <c r="Z575" s="1302"/>
    </row>
    <row r="576" spans="1:26" ht="19.5">
      <c r="A576" s="1326"/>
      <c r="B576" s="1327"/>
      <c r="C576" s="1336" t="s">
        <v>244</v>
      </c>
      <c r="D576" s="1327"/>
      <c r="E576" s="1327"/>
      <c r="F576" s="1014"/>
      <c r="G576" s="1007"/>
      <c r="H576" s="765" t="s">
        <v>46</v>
      </c>
      <c r="I576" s="1018">
        <f ca="1">IFERROR(__xludf.DUMMYFUNCTION("IMPORTRANGE(""https://docs.google.com/spreadsheets/d/1QqKyyYR6Q21VydFLVH3TRQUabQu_ym0Zz7PgGX0-kHA/edit?usp=sharing"",""แผน!HH84"")"),6007)</f>
        <v>6007</v>
      </c>
      <c r="J576" s="1019">
        <f t="shared" ref="J576:J577" si="250">J578+J580+J582+J588+J590</f>
        <v>0</v>
      </c>
      <c r="K576" s="1162">
        <f t="shared" ref="K576:K577" ca="1" si="251">IF(I576&gt;0,J576*100/I576,0)</f>
        <v>0</v>
      </c>
      <c r="L576" s="998"/>
      <c r="M576" s="998"/>
      <c r="N576" s="998"/>
      <c r="O576" s="998"/>
      <c r="P576" s="998"/>
      <c r="Q576" s="1302"/>
      <c r="R576" s="1302"/>
      <c r="S576" s="1302"/>
      <c r="T576" s="1302"/>
      <c r="U576" s="1302"/>
      <c r="V576" s="1302"/>
      <c r="W576" s="1302"/>
      <c r="X576" s="1302"/>
      <c r="Y576" s="1302"/>
      <c r="Z576" s="1302"/>
    </row>
    <row r="577" spans="1:26" ht="19.5">
      <c r="A577" s="1326"/>
      <c r="B577" s="1327"/>
      <c r="C577" s="1327"/>
      <c r="D577" s="1327"/>
      <c r="E577" s="1014"/>
      <c r="F577" s="1014"/>
      <c r="G577" s="1007"/>
      <c r="H577" s="765" t="s">
        <v>34</v>
      </c>
      <c r="I577" s="1018">
        <f ca="1">IFERROR(__xludf.DUMMYFUNCTION("IMPORTRANGE(""https://docs.google.com/spreadsheets/d/1QqKyyYR6Q21VydFLVH3TRQUabQu_ym0Zz7PgGX0-kHA/edit?usp=sharing"",""แผน!HG84"")"),823)</f>
        <v>823</v>
      </c>
      <c r="J577" s="1019">
        <f t="shared" si="250"/>
        <v>0</v>
      </c>
      <c r="K577" s="1162">
        <f t="shared" ca="1" si="251"/>
        <v>0</v>
      </c>
      <c r="L577" s="998"/>
      <c r="M577" s="998"/>
      <c r="N577" s="998"/>
      <c r="O577" s="998"/>
      <c r="P577" s="998"/>
      <c r="Q577" s="1302"/>
      <c r="R577" s="1302"/>
      <c r="S577" s="1302"/>
      <c r="T577" s="1302"/>
      <c r="U577" s="1302"/>
      <c r="V577" s="1302"/>
      <c r="W577" s="1302"/>
      <c r="X577" s="1302"/>
      <c r="Y577" s="1302"/>
      <c r="Z577" s="1302"/>
    </row>
    <row r="578" spans="1:26" ht="18.75">
      <c r="A578" s="1326"/>
      <c r="B578" s="1327"/>
      <c r="C578" s="1327"/>
      <c r="D578" s="1014" t="s">
        <v>245</v>
      </c>
      <c r="E578" s="1014"/>
      <c r="F578" s="1014"/>
      <c r="G578" s="1007"/>
      <c r="H578" s="762" t="s">
        <v>46</v>
      </c>
      <c r="I578" s="997"/>
      <c r="J578" s="1012">
        <v>0</v>
      </c>
      <c r="K578" s="998"/>
      <c r="L578" s="998"/>
      <c r="M578" s="998"/>
      <c r="N578" s="998"/>
      <c r="O578" s="998"/>
      <c r="P578" s="998"/>
      <c r="Q578" s="1302"/>
      <c r="R578" s="1302"/>
      <c r="S578" s="1302"/>
      <c r="T578" s="1302"/>
      <c r="U578" s="1302"/>
      <c r="V578" s="1302"/>
      <c r="W578" s="1302"/>
      <c r="X578" s="1302"/>
      <c r="Y578" s="1302"/>
      <c r="Z578" s="1302"/>
    </row>
    <row r="579" spans="1:26" ht="18.75">
      <c r="A579" s="1326"/>
      <c r="B579" s="1327"/>
      <c r="C579" s="1327"/>
      <c r="D579" s="1327"/>
      <c r="E579" s="1014"/>
      <c r="F579" s="1014"/>
      <c r="G579" s="1007"/>
      <c r="H579" s="762" t="s">
        <v>34</v>
      </c>
      <c r="I579" s="997"/>
      <c r="J579" s="1012">
        <v>0</v>
      </c>
      <c r="K579" s="998"/>
      <c r="L579" s="998"/>
      <c r="M579" s="998"/>
      <c r="N579" s="998"/>
      <c r="O579" s="998"/>
      <c r="P579" s="998"/>
      <c r="Q579" s="1302"/>
      <c r="R579" s="1302"/>
      <c r="S579" s="1302"/>
      <c r="T579" s="1302"/>
      <c r="U579" s="1302"/>
      <c r="V579" s="1302"/>
      <c r="W579" s="1302"/>
      <c r="X579" s="1302"/>
      <c r="Y579" s="1302"/>
      <c r="Z579" s="1302"/>
    </row>
    <row r="580" spans="1:26" ht="18.75">
      <c r="A580" s="1326"/>
      <c r="B580" s="1327"/>
      <c r="C580" s="1327"/>
      <c r="D580" s="1014" t="s">
        <v>246</v>
      </c>
      <c r="E580" s="1014"/>
      <c r="F580" s="1014"/>
      <c r="G580" s="1007"/>
      <c r="H580" s="762" t="s">
        <v>46</v>
      </c>
      <c r="I580" s="997"/>
      <c r="J580" s="1012">
        <v>0</v>
      </c>
      <c r="K580" s="998"/>
      <c r="L580" s="998"/>
      <c r="M580" s="998"/>
      <c r="N580" s="998"/>
      <c r="O580" s="998"/>
      <c r="P580" s="998"/>
      <c r="Q580" s="1302"/>
      <c r="R580" s="1302"/>
      <c r="S580" s="1302"/>
      <c r="T580" s="1302"/>
      <c r="U580" s="1302"/>
      <c r="V580" s="1302"/>
      <c r="W580" s="1302"/>
      <c r="X580" s="1302"/>
      <c r="Y580" s="1302"/>
      <c r="Z580" s="1302"/>
    </row>
    <row r="581" spans="1:26" ht="18.75">
      <c r="A581" s="1326"/>
      <c r="B581" s="1327"/>
      <c r="C581" s="1327"/>
      <c r="D581" s="1327"/>
      <c r="E581" s="1014"/>
      <c r="F581" s="1014"/>
      <c r="G581" s="1007"/>
      <c r="H581" s="762" t="s">
        <v>34</v>
      </c>
      <c r="I581" s="997"/>
      <c r="J581" s="1012">
        <v>0</v>
      </c>
      <c r="K581" s="998"/>
      <c r="L581" s="998"/>
      <c r="M581" s="998"/>
      <c r="N581" s="998"/>
      <c r="O581" s="998"/>
      <c r="P581" s="998"/>
      <c r="Q581" s="1302"/>
      <c r="R581" s="1302"/>
      <c r="S581" s="1302"/>
      <c r="T581" s="1302"/>
      <c r="U581" s="1302"/>
      <c r="V581" s="1302"/>
      <c r="W581" s="1302"/>
      <c r="X581" s="1302"/>
      <c r="Y581" s="1302"/>
      <c r="Z581" s="1302"/>
    </row>
    <row r="582" spans="1:26" ht="19.5">
      <c r="A582" s="1326"/>
      <c r="B582" s="1327"/>
      <c r="C582" s="1327"/>
      <c r="D582" s="1014" t="s">
        <v>247</v>
      </c>
      <c r="E582" s="1014"/>
      <c r="F582" s="1014"/>
      <c r="G582" s="1007"/>
      <c r="H582" s="762" t="s">
        <v>46</v>
      </c>
      <c r="I582" s="997"/>
      <c r="J582" s="1019">
        <f t="shared" ref="J582:J583" si="252">J584+J586</f>
        <v>0</v>
      </c>
      <c r="K582" s="1162"/>
      <c r="L582" s="998"/>
      <c r="M582" s="998"/>
      <c r="N582" s="998"/>
      <c r="O582" s="998"/>
      <c r="P582" s="998"/>
      <c r="Q582" s="1302"/>
      <c r="R582" s="1302"/>
      <c r="S582" s="1302"/>
      <c r="T582" s="1302"/>
      <c r="U582" s="1302"/>
      <c r="V582" s="1302"/>
      <c r="W582" s="1302"/>
      <c r="X582" s="1302"/>
      <c r="Y582" s="1302"/>
      <c r="Z582" s="1302"/>
    </row>
    <row r="583" spans="1:26" ht="19.5">
      <c r="A583" s="1326"/>
      <c r="B583" s="1327"/>
      <c r="C583" s="1327"/>
      <c r="D583" s="1327"/>
      <c r="E583" s="1014"/>
      <c r="F583" s="1014"/>
      <c r="G583" s="1007"/>
      <c r="H583" s="762" t="s">
        <v>34</v>
      </c>
      <c r="I583" s="997"/>
      <c r="J583" s="1019">
        <f t="shared" si="252"/>
        <v>0</v>
      </c>
      <c r="K583" s="1162"/>
      <c r="L583" s="998"/>
      <c r="M583" s="998"/>
      <c r="N583" s="998"/>
      <c r="O583" s="998"/>
      <c r="P583" s="998"/>
      <c r="Q583" s="1302"/>
      <c r="R583" s="1302"/>
      <c r="S583" s="1302"/>
      <c r="T583" s="1302"/>
      <c r="U583" s="1302"/>
      <c r="V583" s="1302"/>
      <c r="W583" s="1302"/>
      <c r="X583" s="1302"/>
      <c r="Y583" s="1302"/>
      <c r="Z583" s="1302"/>
    </row>
    <row r="584" spans="1:26" ht="18.75">
      <c r="A584" s="1326"/>
      <c r="B584" s="1327"/>
      <c r="C584" s="1327"/>
      <c r="D584" s="1327"/>
      <c r="E584" s="1014" t="s">
        <v>248</v>
      </c>
      <c r="F584" s="1014"/>
      <c r="G584" s="1007"/>
      <c r="H584" s="762" t="s">
        <v>46</v>
      </c>
      <c r="I584" s="997"/>
      <c r="J584" s="1012">
        <v>0</v>
      </c>
      <c r="K584" s="998"/>
      <c r="L584" s="998"/>
      <c r="M584" s="998"/>
      <c r="N584" s="998"/>
      <c r="O584" s="998"/>
      <c r="P584" s="998"/>
      <c r="Q584" s="1302"/>
      <c r="R584" s="1302"/>
      <c r="S584" s="1302"/>
      <c r="T584" s="1302"/>
      <c r="U584" s="1302"/>
      <c r="V584" s="1302"/>
      <c r="W584" s="1302"/>
      <c r="X584" s="1302"/>
      <c r="Y584" s="1302"/>
      <c r="Z584" s="1302"/>
    </row>
    <row r="585" spans="1:26" ht="18.75">
      <c r="A585" s="1326"/>
      <c r="B585" s="1327"/>
      <c r="C585" s="1327"/>
      <c r="D585" s="1327"/>
      <c r="E585" s="1014"/>
      <c r="F585" s="1014"/>
      <c r="G585" s="1007"/>
      <c r="H585" s="762" t="s">
        <v>34</v>
      </c>
      <c r="I585" s="997"/>
      <c r="J585" s="1012">
        <v>0</v>
      </c>
      <c r="K585" s="998"/>
      <c r="L585" s="998"/>
      <c r="M585" s="998"/>
      <c r="N585" s="998"/>
      <c r="O585" s="998"/>
      <c r="P585" s="998"/>
      <c r="Q585" s="1302"/>
      <c r="R585" s="1302"/>
      <c r="S585" s="1302"/>
      <c r="T585" s="1302"/>
      <c r="U585" s="1302"/>
      <c r="V585" s="1302"/>
      <c r="W585" s="1302"/>
      <c r="X585" s="1302"/>
      <c r="Y585" s="1302"/>
      <c r="Z585" s="1302"/>
    </row>
    <row r="586" spans="1:26" ht="18.75">
      <c r="A586" s="1326"/>
      <c r="B586" s="1327"/>
      <c r="C586" s="1327"/>
      <c r="D586" s="1327"/>
      <c r="E586" s="1014" t="s">
        <v>249</v>
      </c>
      <c r="F586" s="1014"/>
      <c r="G586" s="1007"/>
      <c r="H586" s="762" t="s">
        <v>46</v>
      </c>
      <c r="I586" s="997"/>
      <c r="J586" s="1012">
        <v>0</v>
      </c>
      <c r="K586" s="998"/>
      <c r="L586" s="998"/>
      <c r="M586" s="998"/>
      <c r="N586" s="998"/>
      <c r="O586" s="998"/>
      <c r="P586" s="998"/>
      <c r="Q586" s="1302"/>
      <c r="R586" s="1302"/>
      <c r="S586" s="1302"/>
      <c r="T586" s="1302"/>
      <c r="U586" s="1302"/>
      <c r="V586" s="1302"/>
      <c r="W586" s="1302"/>
      <c r="X586" s="1302"/>
      <c r="Y586" s="1302"/>
      <c r="Z586" s="1302"/>
    </row>
    <row r="587" spans="1:26" ht="18.75">
      <c r="A587" s="1326"/>
      <c r="B587" s="1327"/>
      <c r="C587" s="1327"/>
      <c r="D587" s="1327"/>
      <c r="E587" s="1327"/>
      <c r="F587" s="1014"/>
      <c r="G587" s="1007"/>
      <c r="H587" s="762" t="s">
        <v>34</v>
      </c>
      <c r="I587" s="997"/>
      <c r="J587" s="1012">
        <v>0</v>
      </c>
      <c r="K587" s="998"/>
      <c r="L587" s="998"/>
      <c r="M587" s="998"/>
      <c r="N587" s="998"/>
      <c r="O587" s="998"/>
      <c r="P587" s="998"/>
      <c r="Q587" s="1302"/>
      <c r="R587" s="1302"/>
      <c r="S587" s="1302"/>
      <c r="T587" s="1302"/>
      <c r="U587" s="1302"/>
      <c r="V587" s="1302"/>
      <c r="W587" s="1302"/>
      <c r="X587" s="1302"/>
      <c r="Y587" s="1302"/>
      <c r="Z587" s="1302"/>
    </row>
    <row r="588" spans="1:26" ht="18.75">
      <c r="A588" s="1326"/>
      <c r="B588" s="1327"/>
      <c r="C588" s="1327"/>
      <c r="D588" s="1014" t="s">
        <v>250</v>
      </c>
      <c r="E588" s="1014"/>
      <c r="F588" s="1014"/>
      <c r="G588" s="1007"/>
      <c r="H588" s="762" t="s">
        <v>46</v>
      </c>
      <c r="I588" s="997"/>
      <c r="J588" s="1012">
        <v>0</v>
      </c>
      <c r="K588" s="998"/>
      <c r="L588" s="998"/>
      <c r="M588" s="998"/>
      <c r="N588" s="998"/>
      <c r="O588" s="998"/>
      <c r="P588" s="998"/>
      <c r="Q588" s="1302"/>
      <c r="R588" s="1302"/>
      <c r="S588" s="1302"/>
      <c r="T588" s="1302"/>
      <c r="U588" s="1302"/>
      <c r="V588" s="1302"/>
      <c r="W588" s="1302"/>
      <c r="X588" s="1302"/>
      <c r="Y588" s="1302"/>
      <c r="Z588" s="1302"/>
    </row>
    <row r="589" spans="1:26" ht="18.75">
      <c r="A589" s="1326"/>
      <c r="B589" s="1327"/>
      <c r="C589" s="1327"/>
      <c r="D589" s="1327"/>
      <c r="E589" s="1327"/>
      <c r="F589" s="1014"/>
      <c r="G589" s="1007"/>
      <c r="H589" s="762" t="s">
        <v>34</v>
      </c>
      <c r="I589" s="997"/>
      <c r="J589" s="1012">
        <v>0</v>
      </c>
      <c r="K589" s="998"/>
      <c r="L589" s="998"/>
      <c r="M589" s="998"/>
      <c r="N589" s="998"/>
      <c r="O589" s="998"/>
      <c r="P589" s="998"/>
      <c r="Q589" s="1302"/>
      <c r="R589" s="1302"/>
      <c r="S589" s="1302"/>
      <c r="T589" s="1302"/>
      <c r="U589" s="1302"/>
      <c r="V589" s="1302"/>
      <c r="W589" s="1302"/>
      <c r="X589" s="1302"/>
      <c r="Y589" s="1302"/>
      <c r="Z589" s="1302"/>
    </row>
    <row r="590" spans="1:26" ht="18.75">
      <c r="A590" s="1326"/>
      <c r="B590" s="1327"/>
      <c r="C590" s="1327"/>
      <c r="D590" s="1014" t="s">
        <v>251</v>
      </c>
      <c r="E590" s="1014"/>
      <c r="F590" s="1014"/>
      <c r="G590" s="1007"/>
      <c r="H590" s="762" t="s">
        <v>46</v>
      </c>
      <c r="I590" s="997"/>
      <c r="J590" s="1012">
        <v>0</v>
      </c>
      <c r="K590" s="998"/>
      <c r="L590" s="998"/>
      <c r="M590" s="998"/>
      <c r="N590" s="998"/>
      <c r="O590" s="998"/>
      <c r="P590" s="998"/>
      <c r="Q590" s="1302"/>
      <c r="R590" s="1302"/>
      <c r="S590" s="1302"/>
      <c r="T590" s="1302"/>
      <c r="U590" s="1302"/>
      <c r="V590" s="1302"/>
      <c r="W590" s="1302"/>
      <c r="X590" s="1302"/>
      <c r="Y590" s="1302"/>
      <c r="Z590" s="1302"/>
    </row>
    <row r="591" spans="1:26" ht="18.75">
      <c r="A591" s="1393"/>
      <c r="B591" s="1394"/>
      <c r="C591" s="1394"/>
      <c r="D591" s="1394"/>
      <c r="E591" s="1302"/>
      <c r="F591" s="1302"/>
      <c r="G591" s="1395"/>
      <c r="H591" s="697" t="s">
        <v>34</v>
      </c>
      <c r="I591" s="1396"/>
      <c r="J591" s="1397">
        <v>0</v>
      </c>
      <c r="K591" s="1398"/>
      <c r="L591" s="1398"/>
      <c r="M591" s="1398"/>
      <c r="N591" s="1398"/>
      <c r="O591" s="1398"/>
      <c r="P591" s="1398"/>
      <c r="Q591" s="1302"/>
      <c r="R591" s="1302"/>
      <c r="S591" s="1302"/>
      <c r="T591" s="1302"/>
      <c r="U591" s="1302"/>
      <c r="V591" s="1302"/>
      <c r="W591" s="1302"/>
      <c r="X591" s="1302"/>
      <c r="Y591" s="1302"/>
      <c r="Z591" s="1302"/>
    </row>
    <row r="592" spans="1:26" ht="19.5">
      <c r="A592" s="1390"/>
      <c r="B592" s="1391" t="s">
        <v>252</v>
      </c>
      <c r="C592" s="1392"/>
      <c r="D592" s="1392"/>
      <c r="E592" s="1375"/>
      <c r="F592" s="1375"/>
      <c r="G592" s="1376"/>
      <c r="H592" s="693" t="s">
        <v>46</v>
      </c>
      <c r="I592" s="1399">
        <f t="shared" ref="I592:J592" ca="1" si="253">I593</f>
        <v>50.42</v>
      </c>
      <c r="J592" s="1377">
        <f t="shared" si="253"/>
        <v>50</v>
      </c>
      <c r="K592" s="1378">
        <f t="shared" ref="K592:K594" ca="1" si="254">IF(I592&gt;0,J592*100/I592,0)</f>
        <v>99.166997223324074</v>
      </c>
      <c r="L592" s="1379"/>
      <c r="M592" s="1379"/>
      <c r="N592" s="1379"/>
      <c r="O592" s="1379"/>
      <c r="P592" s="1379"/>
      <c r="Q592" s="1302"/>
      <c r="R592" s="1302"/>
      <c r="S592" s="1302"/>
      <c r="T592" s="1302"/>
      <c r="U592" s="1302"/>
      <c r="V592" s="1302"/>
      <c r="W592" s="1302"/>
      <c r="X592" s="1302"/>
      <c r="Y592" s="1302"/>
      <c r="Z592" s="1302"/>
    </row>
    <row r="593" spans="1:26" ht="19.5">
      <c r="A593" s="1326"/>
      <c r="B593" s="1327"/>
      <c r="C593" s="1336" t="s">
        <v>253</v>
      </c>
      <c r="D593" s="1327"/>
      <c r="E593" s="1327"/>
      <c r="F593" s="1014"/>
      <c r="G593" s="1007"/>
      <c r="H593" s="765" t="s">
        <v>46</v>
      </c>
      <c r="I593" s="1400">
        <f ca="1">IFERROR(__xludf.DUMMYFUNCTION("IMPORTRANGE(""https://docs.google.com/spreadsheets/d/1QqKyyYR6Q21VydFLVH3TRQUabQu_ym0Zz7PgGX0-kHA/edit?usp=sharing"",""แผน!HJ84"")"),50.42)</f>
        <v>50.42</v>
      </c>
      <c r="J593" s="1018">
        <f t="shared" ref="J593:J594" si="255">J595+J603+J609</f>
        <v>50</v>
      </c>
      <c r="K593" s="1162">
        <f t="shared" ca="1" si="254"/>
        <v>99.166997223324074</v>
      </c>
      <c r="L593" s="998"/>
      <c r="M593" s="998"/>
      <c r="N593" s="998"/>
      <c r="O593" s="998"/>
      <c r="P593" s="998"/>
      <c r="Q593" s="1302"/>
      <c r="R593" s="1302"/>
      <c r="S593" s="1302"/>
      <c r="T593" s="1302"/>
      <c r="U593" s="1302"/>
      <c r="V593" s="1302"/>
      <c r="W593" s="1302"/>
      <c r="X593" s="1302"/>
      <c r="Y593" s="1302"/>
      <c r="Z593" s="1302"/>
    </row>
    <row r="594" spans="1:26" ht="19.5">
      <c r="A594" s="1326"/>
      <c r="B594" s="1327"/>
      <c r="C594" s="1327"/>
      <c r="D594" s="1327"/>
      <c r="E594" s="1014"/>
      <c r="F594" s="1014"/>
      <c r="G594" s="1007"/>
      <c r="H594" s="765" t="s">
        <v>34</v>
      </c>
      <c r="I594" s="1018">
        <f ca="1">IFERROR(__xludf.DUMMYFUNCTION("IMPORTRANGE(""https://docs.google.com/spreadsheets/d/1QqKyyYR6Q21VydFLVH3TRQUabQu_ym0Zz7PgGX0-kHA/edit?usp=sharing"",""แผน!HI84"")"),8)</f>
        <v>8</v>
      </c>
      <c r="J594" s="1018">
        <f t="shared" si="255"/>
        <v>8</v>
      </c>
      <c r="K594" s="1162">
        <f t="shared" ca="1" si="254"/>
        <v>100</v>
      </c>
      <c r="L594" s="998"/>
      <c r="M594" s="998"/>
      <c r="N594" s="998"/>
      <c r="O594" s="998"/>
      <c r="P594" s="998"/>
      <c r="Q594" s="1302"/>
      <c r="R594" s="1302"/>
      <c r="S594" s="1302"/>
      <c r="T594" s="1302"/>
      <c r="U594" s="1302"/>
      <c r="V594" s="1302"/>
      <c r="W594" s="1302"/>
      <c r="X594" s="1302"/>
      <c r="Y594" s="1302"/>
      <c r="Z594" s="1302"/>
    </row>
    <row r="595" spans="1:26" ht="18.75">
      <c r="A595" s="1326"/>
      <c r="B595" s="1327"/>
      <c r="C595" s="1327" t="s">
        <v>254</v>
      </c>
      <c r="D595" s="1327"/>
      <c r="E595" s="1327"/>
      <c r="F595" s="1014"/>
      <c r="G595" s="1007"/>
      <c r="H595" s="762" t="s">
        <v>46</v>
      </c>
      <c r="I595" s="997"/>
      <c r="J595" s="997">
        <f t="shared" ref="J595:J596" si="256">J597+J599</f>
        <v>50</v>
      </c>
      <c r="K595" s="998"/>
      <c r="L595" s="998"/>
      <c r="M595" s="998"/>
      <c r="N595" s="998"/>
      <c r="O595" s="998"/>
      <c r="P595" s="998"/>
      <c r="Q595" s="1302"/>
      <c r="R595" s="1302"/>
      <c r="S595" s="1302"/>
      <c r="T595" s="1302"/>
      <c r="U595" s="1302"/>
      <c r="V595" s="1302"/>
      <c r="W595" s="1302"/>
      <c r="X595" s="1302"/>
      <c r="Y595" s="1302"/>
      <c r="Z595" s="1302"/>
    </row>
    <row r="596" spans="1:26" ht="18.75">
      <c r="A596" s="1326"/>
      <c r="B596" s="1327"/>
      <c r="C596" s="1327"/>
      <c r="D596" s="1327"/>
      <c r="E596" s="1014"/>
      <c r="F596" s="1014"/>
      <c r="G596" s="1007"/>
      <c r="H596" s="762" t="s">
        <v>34</v>
      </c>
      <c r="I596" s="997"/>
      <c r="J596" s="997">
        <f t="shared" si="256"/>
        <v>8</v>
      </c>
      <c r="K596" s="998"/>
      <c r="L596" s="998"/>
      <c r="M596" s="998"/>
      <c r="N596" s="998"/>
      <c r="O596" s="998"/>
      <c r="P596" s="998"/>
      <c r="Q596" s="1302"/>
      <c r="R596" s="1302"/>
      <c r="S596" s="1302"/>
      <c r="T596" s="1302"/>
      <c r="U596" s="1302"/>
      <c r="V596" s="1302"/>
      <c r="W596" s="1302"/>
      <c r="X596" s="1302"/>
      <c r="Y596" s="1302"/>
      <c r="Z596" s="1302"/>
    </row>
    <row r="597" spans="1:26" ht="18.75">
      <c r="A597" s="1326"/>
      <c r="B597" s="1327"/>
      <c r="C597" s="1327"/>
      <c r="D597" s="1069" t="s">
        <v>255</v>
      </c>
      <c r="E597" s="1014"/>
      <c r="F597" s="1014"/>
      <c r="G597" s="1007"/>
      <c r="H597" s="762" t="s">
        <v>46</v>
      </c>
      <c r="I597" s="997"/>
      <c r="J597" s="1012">
        <v>50</v>
      </c>
      <c r="K597" s="998"/>
      <c r="L597" s="998"/>
      <c r="M597" s="998"/>
      <c r="N597" s="998"/>
      <c r="O597" s="998"/>
      <c r="P597" s="998"/>
      <c r="Q597" s="1302"/>
      <c r="R597" s="1302"/>
      <c r="S597" s="1302"/>
      <c r="T597" s="1302"/>
      <c r="U597" s="1302"/>
      <c r="V597" s="1302"/>
      <c r="W597" s="1302"/>
      <c r="X597" s="1302"/>
      <c r="Y597" s="1302"/>
      <c r="Z597" s="1302"/>
    </row>
    <row r="598" spans="1:26" ht="18.75">
      <c r="A598" s="1326"/>
      <c r="B598" s="1327"/>
      <c r="C598" s="1327"/>
      <c r="D598" s="1327"/>
      <c r="E598" s="1014"/>
      <c r="F598" s="1014"/>
      <c r="G598" s="1007"/>
      <c r="H598" s="762" t="s">
        <v>34</v>
      </c>
      <c r="I598" s="880"/>
      <c r="J598" s="1012">
        <v>8</v>
      </c>
      <c r="K598" s="998"/>
      <c r="L598" s="998"/>
      <c r="M598" s="998"/>
      <c r="N598" s="998"/>
      <c r="O598" s="998"/>
      <c r="P598" s="998"/>
      <c r="Q598" s="1302"/>
      <c r="R598" s="1302"/>
      <c r="S598" s="1302"/>
      <c r="T598" s="1302"/>
      <c r="U598" s="1302"/>
      <c r="V598" s="1302"/>
      <c r="W598" s="1302"/>
      <c r="X598" s="1302"/>
      <c r="Y598" s="1302"/>
      <c r="Z598" s="1302"/>
    </row>
    <row r="599" spans="1:26" ht="18.75">
      <c r="A599" s="1326"/>
      <c r="B599" s="1327"/>
      <c r="C599" s="1327"/>
      <c r="D599" s="1069" t="s">
        <v>256</v>
      </c>
      <c r="E599" s="1014"/>
      <c r="F599" s="1014"/>
      <c r="G599" s="1007"/>
      <c r="H599" s="762" t="s">
        <v>46</v>
      </c>
      <c r="I599" s="880"/>
      <c r="J599" s="1012">
        <v>0</v>
      </c>
      <c r="K599" s="998"/>
      <c r="L599" s="998"/>
      <c r="M599" s="998"/>
      <c r="N599" s="998"/>
      <c r="O599" s="998"/>
      <c r="P599" s="998"/>
      <c r="Q599" s="1302"/>
      <c r="R599" s="1302"/>
      <c r="S599" s="1302"/>
      <c r="T599" s="1302"/>
      <c r="U599" s="1302"/>
      <c r="V599" s="1302"/>
      <c r="W599" s="1302"/>
      <c r="X599" s="1302"/>
      <c r="Y599" s="1302"/>
      <c r="Z599" s="1302"/>
    </row>
    <row r="600" spans="1:26" ht="18.75">
      <c r="A600" s="1326"/>
      <c r="B600" s="1327"/>
      <c r="C600" s="1327"/>
      <c r="D600" s="1327"/>
      <c r="E600" s="1014"/>
      <c r="F600" s="1014"/>
      <c r="G600" s="1007"/>
      <c r="H600" s="762" t="s">
        <v>34</v>
      </c>
      <c r="I600" s="880"/>
      <c r="J600" s="1012">
        <v>0</v>
      </c>
      <c r="K600" s="998"/>
      <c r="L600" s="998"/>
      <c r="M600" s="998"/>
      <c r="N600" s="998"/>
      <c r="O600" s="998"/>
      <c r="P600" s="998"/>
      <c r="Q600" s="1302"/>
      <c r="R600" s="1302"/>
      <c r="S600" s="1302"/>
      <c r="T600" s="1302"/>
      <c r="U600" s="1302"/>
      <c r="V600" s="1302"/>
      <c r="W600" s="1302"/>
      <c r="X600" s="1302"/>
      <c r="Y600" s="1302"/>
      <c r="Z600" s="1302"/>
    </row>
    <row r="601" spans="1:26" ht="18.75">
      <c r="A601" s="1326"/>
      <c r="B601" s="1327"/>
      <c r="C601" s="1327"/>
      <c r="D601" s="1069" t="s">
        <v>257</v>
      </c>
      <c r="E601" s="1014"/>
      <c r="F601" s="1014"/>
      <c r="G601" s="1007"/>
      <c r="H601" s="762" t="s">
        <v>46</v>
      </c>
      <c r="I601" s="880"/>
      <c r="J601" s="1012">
        <v>0</v>
      </c>
      <c r="K601" s="998"/>
      <c r="L601" s="998"/>
      <c r="M601" s="998"/>
      <c r="N601" s="998"/>
      <c r="O601" s="998"/>
      <c r="P601" s="998"/>
      <c r="Q601" s="1302"/>
      <c r="R601" s="1302"/>
      <c r="S601" s="1302"/>
      <c r="T601" s="1302"/>
      <c r="U601" s="1302"/>
      <c r="V601" s="1302"/>
      <c r="W601" s="1302"/>
      <c r="X601" s="1302"/>
      <c r="Y601" s="1302"/>
      <c r="Z601" s="1302"/>
    </row>
    <row r="602" spans="1:26" ht="18.75">
      <c r="A602" s="1326"/>
      <c r="B602" s="1327"/>
      <c r="C602" s="1327"/>
      <c r="D602" s="1327"/>
      <c r="E602" s="1014"/>
      <c r="F602" s="1014"/>
      <c r="G602" s="1007"/>
      <c r="H602" s="762" t="s">
        <v>34</v>
      </c>
      <c r="I602" s="880"/>
      <c r="J602" s="1012">
        <v>0</v>
      </c>
      <c r="K602" s="998"/>
      <c r="L602" s="998"/>
      <c r="M602" s="998"/>
      <c r="N602" s="998"/>
      <c r="O602" s="998"/>
      <c r="P602" s="998"/>
      <c r="Q602" s="1302"/>
      <c r="R602" s="1302"/>
      <c r="S602" s="1302"/>
      <c r="T602" s="1302"/>
      <c r="U602" s="1302"/>
      <c r="V602" s="1302"/>
      <c r="W602" s="1302"/>
      <c r="X602" s="1302"/>
      <c r="Y602" s="1302"/>
      <c r="Z602" s="1302"/>
    </row>
    <row r="603" spans="1:26" ht="18.75">
      <c r="A603" s="1326"/>
      <c r="B603" s="1327"/>
      <c r="C603" s="1401" t="s">
        <v>258</v>
      </c>
      <c r="D603" s="1327"/>
      <c r="E603" s="1327"/>
      <c r="F603" s="1014"/>
      <c r="G603" s="1007"/>
      <c r="H603" s="762" t="s">
        <v>46</v>
      </c>
      <c r="I603" s="880"/>
      <c r="J603" s="880">
        <f t="shared" ref="J603:J604" si="257">J605+J607</f>
        <v>0</v>
      </c>
      <c r="K603" s="998"/>
      <c r="L603" s="998"/>
      <c r="M603" s="998"/>
      <c r="N603" s="998"/>
      <c r="O603" s="998"/>
      <c r="P603" s="998"/>
      <c r="Q603" s="1302"/>
      <c r="R603" s="1302"/>
      <c r="S603" s="1302"/>
      <c r="T603" s="1302"/>
      <c r="U603" s="1302"/>
      <c r="V603" s="1302"/>
      <c r="W603" s="1302"/>
      <c r="X603" s="1302"/>
      <c r="Y603" s="1302"/>
      <c r="Z603" s="1302"/>
    </row>
    <row r="604" spans="1:26" ht="18.75">
      <c r="A604" s="1326"/>
      <c r="B604" s="1327"/>
      <c r="C604" s="1327"/>
      <c r="D604" s="1327"/>
      <c r="E604" s="1014"/>
      <c r="F604" s="1014"/>
      <c r="G604" s="1007"/>
      <c r="H604" s="762" t="s">
        <v>34</v>
      </c>
      <c r="I604" s="880"/>
      <c r="J604" s="880">
        <f t="shared" si="257"/>
        <v>0</v>
      </c>
      <c r="K604" s="998"/>
      <c r="L604" s="998"/>
      <c r="M604" s="998"/>
      <c r="N604" s="998"/>
      <c r="O604" s="998"/>
      <c r="P604" s="998"/>
      <c r="Q604" s="1302"/>
      <c r="R604" s="1302"/>
      <c r="S604" s="1302"/>
      <c r="T604" s="1302"/>
      <c r="U604" s="1302"/>
      <c r="V604" s="1302"/>
      <c r="W604" s="1302"/>
      <c r="X604" s="1302"/>
      <c r="Y604" s="1302"/>
      <c r="Z604" s="1302"/>
    </row>
    <row r="605" spans="1:26" ht="18.75">
      <c r="A605" s="1326"/>
      <c r="B605" s="1327"/>
      <c r="C605" s="1327"/>
      <c r="D605" s="1401" t="s">
        <v>259</v>
      </c>
      <c r="E605" s="1014"/>
      <c r="F605" s="1014"/>
      <c r="G605" s="1007"/>
      <c r="H605" s="762" t="s">
        <v>46</v>
      </c>
      <c r="I605" s="880"/>
      <c r="J605" s="1012">
        <v>0</v>
      </c>
      <c r="K605" s="998"/>
      <c r="L605" s="998"/>
      <c r="M605" s="998"/>
      <c r="N605" s="998"/>
      <c r="O605" s="998"/>
      <c r="P605" s="998"/>
      <c r="Q605" s="1302"/>
      <c r="R605" s="1302"/>
      <c r="S605" s="1302"/>
      <c r="T605" s="1302"/>
      <c r="U605" s="1302"/>
      <c r="V605" s="1302"/>
      <c r="W605" s="1302"/>
      <c r="X605" s="1302"/>
      <c r="Y605" s="1302"/>
      <c r="Z605" s="1302"/>
    </row>
    <row r="606" spans="1:26" ht="18.75">
      <c r="A606" s="1326"/>
      <c r="B606" s="1327"/>
      <c r="C606" s="1327"/>
      <c r="D606" s="1327"/>
      <c r="E606" s="1327"/>
      <c r="F606" s="1014"/>
      <c r="G606" s="1007"/>
      <c r="H606" s="762" t="s">
        <v>34</v>
      </c>
      <c r="I606" s="880"/>
      <c r="J606" s="1012">
        <v>0</v>
      </c>
      <c r="K606" s="998"/>
      <c r="L606" s="998"/>
      <c r="M606" s="998"/>
      <c r="N606" s="998"/>
      <c r="O606" s="998"/>
      <c r="P606" s="998"/>
      <c r="Q606" s="1302"/>
      <c r="R606" s="1302"/>
      <c r="S606" s="1302"/>
      <c r="T606" s="1302"/>
      <c r="U606" s="1302"/>
      <c r="V606" s="1302"/>
      <c r="W606" s="1302"/>
      <c r="X606" s="1302"/>
      <c r="Y606" s="1302"/>
      <c r="Z606" s="1302"/>
    </row>
    <row r="607" spans="1:26" ht="18.75">
      <c r="A607" s="1326"/>
      <c r="B607" s="1327"/>
      <c r="C607" s="1327"/>
      <c r="D607" s="1401" t="s">
        <v>260</v>
      </c>
      <c r="E607" s="1327"/>
      <c r="F607" s="1014"/>
      <c r="G607" s="1007"/>
      <c r="H607" s="762" t="s">
        <v>46</v>
      </c>
      <c r="I607" s="880"/>
      <c r="J607" s="1012">
        <v>0</v>
      </c>
      <c r="K607" s="998"/>
      <c r="L607" s="998"/>
      <c r="M607" s="998"/>
      <c r="N607" s="998"/>
      <c r="O607" s="998"/>
      <c r="P607" s="998"/>
      <c r="Q607" s="1302"/>
      <c r="R607" s="1302"/>
      <c r="S607" s="1302"/>
      <c r="T607" s="1302"/>
      <c r="U607" s="1302"/>
      <c r="V607" s="1302"/>
      <c r="W607" s="1302"/>
      <c r="X607" s="1302"/>
      <c r="Y607" s="1302"/>
      <c r="Z607" s="1302"/>
    </row>
    <row r="608" spans="1:26" ht="18.75">
      <c r="A608" s="1326"/>
      <c r="B608" s="1327"/>
      <c r="C608" s="1327"/>
      <c r="D608" s="1327"/>
      <c r="E608" s="1014"/>
      <c r="F608" s="1014"/>
      <c r="G608" s="1007"/>
      <c r="H608" s="762" t="s">
        <v>34</v>
      </c>
      <c r="I608" s="880"/>
      <c r="J608" s="1012">
        <v>0</v>
      </c>
      <c r="K608" s="998"/>
      <c r="L608" s="998"/>
      <c r="M608" s="998"/>
      <c r="N608" s="998"/>
      <c r="O608" s="998"/>
      <c r="P608" s="998"/>
      <c r="Q608" s="1302"/>
      <c r="R608" s="1302"/>
      <c r="S608" s="1302"/>
      <c r="T608" s="1302"/>
      <c r="U608" s="1302"/>
      <c r="V608" s="1302"/>
      <c r="W608" s="1302"/>
      <c r="X608" s="1302"/>
      <c r="Y608" s="1302"/>
      <c r="Z608" s="1302"/>
    </row>
    <row r="609" spans="1:26" ht="18.75">
      <c r="A609" s="1326"/>
      <c r="B609" s="1327"/>
      <c r="C609" s="1327" t="s">
        <v>261</v>
      </c>
      <c r="D609" s="1327"/>
      <c r="E609" s="1327"/>
      <c r="F609" s="1014"/>
      <c r="G609" s="1007"/>
      <c r="H609" s="762" t="s">
        <v>46</v>
      </c>
      <c r="I609" s="880"/>
      <c r="J609" s="1012">
        <v>0</v>
      </c>
      <c r="K609" s="998"/>
      <c r="L609" s="998"/>
      <c r="M609" s="998"/>
      <c r="N609" s="998"/>
      <c r="O609" s="998"/>
      <c r="P609" s="998"/>
      <c r="Q609" s="1302"/>
      <c r="R609" s="1302"/>
      <c r="S609" s="1302"/>
      <c r="T609" s="1302"/>
      <c r="U609" s="1302"/>
      <c r="V609" s="1302"/>
      <c r="W609" s="1302"/>
      <c r="X609" s="1302"/>
      <c r="Y609" s="1302"/>
      <c r="Z609" s="1302"/>
    </row>
    <row r="610" spans="1:26" ht="18.75">
      <c r="A610" s="1326"/>
      <c r="B610" s="1327"/>
      <c r="C610" s="1327"/>
      <c r="D610" s="1327"/>
      <c r="E610" s="1014"/>
      <c r="F610" s="1014"/>
      <c r="G610" s="1007"/>
      <c r="H610" s="762" t="s">
        <v>34</v>
      </c>
      <c r="I610" s="880"/>
      <c r="J610" s="1012">
        <v>0</v>
      </c>
      <c r="K610" s="998"/>
      <c r="L610" s="998"/>
      <c r="M610" s="998"/>
      <c r="N610" s="998"/>
      <c r="O610" s="998"/>
      <c r="P610" s="998"/>
      <c r="Q610" s="1302"/>
      <c r="R610" s="1302"/>
      <c r="S610" s="1302"/>
      <c r="T610" s="1302"/>
      <c r="U610" s="1302"/>
      <c r="V610" s="1302"/>
      <c r="W610" s="1302"/>
      <c r="X610" s="1302"/>
      <c r="Y610" s="1302"/>
      <c r="Z610" s="1302"/>
    </row>
    <row r="611" spans="1:26" ht="19.5" hidden="1">
      <c r="A611" s="1390"/>
      <c r="B611" s="1402" t="s">
        <v>262</v>
      </c>
      <c r="C611" s="1392"/>
      <c r="D611" s="1392"/>
      <c r="E611" s="1375"/>
      <c r="F611" s="1375"/>
      <c r="G611" s="1376"/>
      <c r="H611" s="705" t="s">
        <v>46</v>
      </c>
      <c r="I611" s="1377">
        <v>0</v>
      </c>
      <c r="J611" s="1377">
        <f>J614+J616</f>
        <v>0</v>
      </c>
      <c r="K611" s="1378">
        <f t="shared" ref="K611:K613" si="258">IF(I611&gt;0,J611*100/I611,0)</f>
        <v>0</v>
      </c>
      <c r="L611" s="1379"/>
      <c r="M611" s="1379"/>
      <c r="N611" s="1379"/>
      <c r="O611" s="1379"/>
      <c r="P611" s="1379"/>
      <c r="Q611" s="1302"/>
      <c r="R611" s="1302"/>
      <c r="S611" s="1302"/>
      <c r="T611" s="1302"/>
      <c r="U611" s="1302"/>
      <c r="V611" s="1302"/>
      <c r="W611" s="1302"/>
      <c r="X611" s="1302"/>
      <c r="Y611" s="1302"/>
      <c r="Z611" s="1302"/>
    </row>
    <row r="612" spans="1:26" ht="19.5" hidden="1">
      <c r="A612" s="1403"/>
      <c r="B612" s="1404"/>
      <c r="C612" s="1405" t="s">
        <v>263</v>
      </c>
      <c r="D612" s="1404"/>
      <c r="E612" s="1404"/>
      <c r="F612" s="1406"/>
      <c r="G612" s="1407"/>
      <c r="H612" s="712" t="s">
        <v>46</v>
      </c>
      <c r="I612" s="1408">
        <v>0</v>
      </c>
      <c r="J612" s="1408">
        <f t="shared" ref="J612:J613" si="259">J614+J616</f>
        <v>0</v>
      </c>
      <c r="K612" s="1409">
        <f t="shared" si="258"/>
        <v>0</v>
      </c>
      <c r="L612" s="1410"/>
      <c r="M612" s="1410"/>
      <c r="N612" s="1410"/>
      <c r="O612" s="1410"/>
      <c r="P612" s="1410"/>
      <c r="Q612" s="1323"/>
      <c r="R612" s="1323"/>
      <c r="S612" s="1323"/>
      <c r="T612" s="1323"/>
      <c r="U612" s="1323"/>
      <c r="V612" s="1323"/>
      <c r="W612" s="1323"/>
      <c r="X612" s="1323"/>
      <c r="Y612" s="1323"/>
      <c r="Z612" s="1323"/>
    </row>
    <row r="613" spans="1:26" ht="19.5" hidden="1">
      <c r="A613" s="1403"/>
      <c r="B613" s="1404"/>
      <c r="C613" s="1404" t="s">
        <v>264</v>
      </c>
      <c r="D613" s="1404"/>
      <c r="E613" s="1404"/>
      <c r="F613" s="1406"/>
      <c r="G613" s="1407"/>
      <c r="H613" s="712" t="s">
        <v>34</v>
      </c>
      <c r="I613" s="1408">
        <v>0</v>
      </c>
      <c r="J613" s="1408">
        <f t="shared" si="259"/>
        <v>0</v>
      </c>
      <c r="K613" s="1409">
        <f t="shared" si="258"/>
        <v>0</v>
      </c>
      <c r="L613" s="1410"/>
      <c r="M613" s="1410"/>
      <c r="N613" s="1410"/>
      <c r="O613" s="1410"/>
      <c r="P613" s="1410"/>
      <c r="Q613" s="1323"/>
      <c r="R613" s="1323"/>
      <c r="S613" s="1323"/>
      <c r="T613" s="1323"/>
      <c r="U613" s="1323"/>
      <c r="V613" s="1323"/>
      <c r="W613" s="1323"/>
      <c r="X613" s="1323"/>
      <c r="Y613" s="1323"/>
      <c r="Z613" s="1323"/>
    </row>
    <row r="614" spans="1:26" ht="18.75" hidden="1">
      <c r="A614" s="1332"/>
      <c r="B614" s="1333"/>
      <c r="C614" s="1333"/>
      <c r="D614" s="1321" t="s">
        <v>265</v>
      </c>
      <c r="E614" s="1333"/>
      <c r="F614" s="1321"/>
      <c r="G614" s="1113"/>
      <c r="H614" s="370" t="s">
        <v>46</v>
      </c>
      <c r="I614" s="886"/>
      <c r="J614" s="886">
        <v>0</v>
      </c>
      <c r="K614" s="1001"/>
      <c r="L614" s="1001"/>
      <c r="M614" s="1001"/>
      <c r="N614" s="1001"/>
      <c r="O614" s="1001"/>
      <c r="P614" s="1001"/>
      <c r="Q614" s="1323"/>
      <c r="R614" s="1323"/>
      <c r="S614" s="1323"/>
      <c r="T614" s="1323"/>
      <c r="U614" s="1323"/>
      <c r="V614" s="1323"/>
      <c r="W614" s="1323"/>
      <c r="X614" s="1323"/>
      <c r="Y614" s="1323"/>
      <c r="Z614" s="1323"/>
    </row>
    <row r="615" spans="1:26" ht="18.75" hidden="1">
      <c r="A615" s="1332"/>
      <c r="B615" s="1333"/>
      <c r="C615" s="1333"/>
      <c r="D615" s="1333"/>
      <c r="E615" s="1333"/>
      <c r="F615" s="1321"/>
      <c r="G615" s="1113"/>
      <c r="H615" s="370" t="s">
        <v>34</v>
      </c>
      <c r="I615" s="886"/>
      <c r="J615" s="886">
        <v>0</v>
      </c>
      <c r="K615" s="1001"/>
      <c r="L615" s="1001"/>
      <c r="M615" s="1001"/>
      <c r="N615" s="1001"/>
      <c r="O615" s="1001"/>
      <c r="P615" s="1001"/>
      <c r="Q615" s="1323"/>
      <c r="R615" s="1323"/>
      <c r="S615" s="1323"/>
      <c r="T615" s="1323"/>
      <c r="U615" s="1323"/>
      <c r="V615" s="1323"/>
      <c r="W615" s="1323"/>
      <c r="X615" s="1323"/>
      <c r="Y615" s="1323"/>
      <c r="Z615" s="1323"/>
    </row>
    <row r="616" spans="1:26" ht="18.75" hidden="1">
      <c r="A616" s="1332"/>
      <c r="B616" s="1333"/>
      <c r="C616" s="1333"/>
      <c r="D616" s="1411" t="s">
        <v>265</v>
      </c>
      <c r="E616" s="1321"/>
      <c r="F616" s="1321"/>
      <c r="G616" s="1113"/>
      <c r="H616" s="370" t="s">
        <v>46</v>
      </c>
      <c r="I616" s="886"/>
      <c r="J616" s="886">
        <v>0</v>
      </c>
      <c r="K616" s="1001"/>
      <c r="L616" s="1001"/>
      <c r="M616" s="1001"/>
      <c r="N616" s="1001"/>
      <c r="O616" s="1001"/>
      <c r="P616" s="1001"/>
      <c r="Q616" s="1323"/>
      <c r="R616" s="1323"/>
      <c r="S616" s="1323"/>
      <c r="T616" s="1323"/>
      <c r="U616" s="1323"/>
      <c r="V616" s="1323"/>
      <c r="W616" s="1323"/>
      <c r="X616" s="1323"/>
      <c r="Y616" s="1323"/>
      <c r="Z616" s="1323"/>
    </row>
    <row r="617" spans="1:26" ht="18.75" hidden="1">
      <c r="A617" s="1332"/>
      <c r="B617" s="1333"/>
      <c r="C617" s="1333"/>
      <c r="D617" s="1333"/>
      <c r="E617" s="1321"/>
      <c r="F617" s="1321"/>
      <c r="G617" s="1113"/>
      <c r="H617" s="370" t="s">
        <v>34</v>
      </c>
      <c r="I617" s="886"/>
      <c r="J617" s="886">
        <v>0</v>
      </c>
      <c r="K617" s="1001"/>
      <c r="L617" s="1001"/>
      <c r="M617" s="1001"/>
      <c r="N617" s="1001"/>
      <c r="O617" s="1001"/>
      <c r="P617" s="1001"/>
      <c r="Q617" s="1323"/>
      <c r="R617" s="1323"/>
      <c r="S617" s="1323"/>
      <c r="T617" s="1323"/>
      <c r="U617" s="1323"/>
      <c r="V617" s="1323"/>
      <c r="W617" s="1323"/>
      <c r="X617" s="1323"/>
      <c r="Y617" s="1323"/>
      <c r="Z617" s="1323"/>
    </row>
    <row r="618" spans="1:26" ht="18.75" hidden="1">
      <c r="A618" s="1332"/>
      <c r="B618" s="1333"/>
      <c r="C618" s="1333"/>
      <c r="D618" s="1411" t="s">
        <v>266</v>
      </c>
      <c r="E618" s="1321"/>
      <c r="F618" s="1321"/>
      <c r="G618" s="1113"/>
      <c r="H618" s="370" t="s">
        <v>46</v>
      </c>
      <c r="I618" s="886"/>
      <c r="J618" s="886">
        <v>0</v>
      </c>
      <c r="K618" s="1001"/>
      <c r="L618" s="1001"/>
      <c r="M618" s="1001"/>
      <c r="N618" s="1001"/>
      <c r="O618" s="1001"/>
      <c r="P618" s="1001"/>
      <c r="Q618" s="1323"/>
      <c r="R618" s="1323"/>
      <c r="S618" s="1323"/>
      <c r="T618" s="1323"/>
      <c r="U618" s="1323"/>
      <c r="V618" s="1323"/>
      <c r="W618" s="1323"/>
      <c r="X618" s="1323"/>
      <c r="Y618" s="1323"/>
      <c r="Z618" s="1323"/>
    </row>
    <row r="619" spans="1:26" ht="18.75" hidden="1">
      <c r="A619" s="1332"/>
      <c r="B619" s="1333"/>
      <c r="C619" s="1333"/>
      <c r="D619" s="1333"/>
      <c r="E619" s="1321"/>
      <c r="F619" s="1321"/>
      <c r="G619" s="1113"/>
      <c r="H619" s="370" t="s">
        <v>34</v>
      </c>
      <c r="I619" s="886"/>
      <c r="J619" s="886">
        <v>0</v>
      </c>
      <c r="K619" s="1001"/>
      <c r="L619" s="1001"/>
      <c r="M619" s="1001"/>
      <c r="N619" s="1001"/>
      <c r="O619" s="1001"/>
      <c r="P619" s="1001"/>
      <c r="Q619" s="1323"/>
      <c r="R619" s="1323"/>
      <c r="S619" s="1323"/>
      <c r="T619" s="1323"/>
      <c r="U619" s="1323"/>
      <c r="V619" s="1323"/>
      <c r="W619" s="1323"/>
      <c r="X619" s="1323"/>
      <c r="Y619" s="1323"/>
      <c r="Z619" s="1323"/>
    </row>
    <row r="620" spans="1:26" ht="19.5" hidden="1">
      <c r="A620" s="1412"/>
      <c r="B620" s="1413"/>
      <c r="C620" s="1414" t="s">
        <v>267</v>
      </c>
      <c r="D620" s="1413"/>
      <c r="E620" s="1413"/>
      <c r="F620" s="1415"/>
      <c r="G620" s="1416"/>
      <c r="H620" s="725" t="s">
        <v>46</v>
      </c>
      <c r="I620" s="1417">
        <f ca="1">IFERROR(__xludf.DUMMYFUNCTION("IMPORTRANGE(""https://docs.google.com/spreadsheets/d/1QqKyyYR6Q21VydFLVH3TRQUabQu_ym0Zz7PgGX0-kHA/edit?usp=sharing"",""แผน!HL84"")"),0)</f>
        <v>0</v>
      </c>
      <c r="J620" s="1417">
        <f t="shared" ref="J620:J621" si="260">J622+J624+J626</f>
        <v>0</v>
      </c>
      <c r="K620" s="1418">
        <f t="shared" ref="K620:K621" ca="1" si="261">IF(I620&gt;0,J620*100/I620,0)</f>
        <v>0</v>
      </c>
      <c r="L620" s="1419"/>
      <c r="M620" s="1419"/>
      <c r="N620" s="1419"/>
      <c r="O620" s="1419"/>
      <c r="P620" s="1419"/>
      <c r="Q620" s="1302"/>
      <c r="R620" s="1302"/>
      <c r="S620" s="1302"/>
      <c r="T620" s="1302"/>
      <c r="U620" s="1302"/>
      <c r="V620" s="1302"/>
      <c r="W620" s="1302"/>
      <c r="X620" s="1302"/>
      <c r="Y620" s="1302"/>
      <c r="Z620" s="1302"/>
    </row>
    <row r="621" spans="1:26" ht="19.5" hidden="1">
      <c r="A621" s="1412"/>
      <c r="B621" s="1413"/>
      <c r="C621" s="1413" t="s">
        <v>268</v>
      </c>
      <c r="D621" s="1413"/>
      <c r="E621" s="1413"/>
      <c r="F621" s="1415"/>
      <c r="G621" s="1416"/>
      <c r="H621" s="725" t="s">
        <v>34</v>
      </c>
      <c r="I621" s="1417">
        <f ca="1">IFERROR(__xludf.DUMMYFUNCTION("IMPORTRANGE(""https://docs.google.com/spreadsheets/d/1QqKyyYR6Q21VydFLVH3TRQUabQu_ym0Zz7PgGX0-kHA/edit?usp=sharing"",""แผน!HK84"")"),0)</f>
        <v>0</v>
      </c>
      <c r="J621" s="1417">
        <f t="shared" si="260"/>
        <v>0</v>
      </c>
      <c r="K621" s="1418">
        <f t="shared" ca="1" si="261"/>
        <v>0</v>
      </c>
      <c r="L621" s="1419"/>
      <c r="M621" s="1419"/>
      <c r="N621" s="1419"/>
      <c r="O621" s="1419"/>
      <c r="P621" s="1419"/>
      <c r="Q621" s="1302"/>
      <c r="R621" s="1302"/>
      <c r="S621" s="1302"/>
      <c r="T621" s="1302"/>
      <c r="U621" s="1302"/>
      <c r="V621" s="1302"/>
      <c r="W621" s="1302"/>
      <c r="X621" s="1302"/>
      <c r="Y621" s="1302"/>
      <c r="Z621" s="1302"/>
    </row>
    <row r="622" spans="1:26" ht="18.75" hidden="1">
      <c r="A622" s="1326"/>
      <c r="B622" s="1327"/>
      <c r="C622" s="1327"/>
      <c r="D622" s="1069" t="s">
        <v>269</v>
      </c>
      <c r="E622" s="1014"/>
      <c r="F622" s="1014"/>
      <c r="G622" s="1007"/>
      <c r="H622" s="762" t="s">
        <v>46</v>
      </c>
      <c r="I622" s="880"/>
      <c r="J622" s="1012">
        <v>0</v>
      </c>
      <c r="K622" s="998"/>
      <c r="L622" s="998"/>
      <c r="M622" s="998"/>
      <c r="N622" s="998"/>
      <c r="O622" s="998"/>
      <c r="P622" s="998"/>
      <c r="Q622" s="1302"/>
      <c r="R622" s="1302"/>
      <c r="S622" s="1302"/>
      <c r="T622" s="1302"/>
      <c r="U622" s="1302"/>
      <c r="V622" s="1302"/>
      <c r="W622" s="1302"/>
      <c r="X622" s="1302"/>
      <c r="Y622" s="1302"/>
      <c r="Z622" s="1302"/>
    </row>
    <row r="623" spans="1:26" ht="18.75" hidden="1">
      <c r="A623" s="1326"/>
      <c r="B623" s="1327"/>
      <c r="C623" s="1327"/>
      <c r="D623" s="1327"/>
      <c r="E623" s="1014"/>
      <c r="F623" s="1014"/>
      <c r="G623" s="1007"/>
      <c r="H623" s="762" t="s">
        <v>34</v>
      </c>
      <c r="I623" s="880"/>
      <c r="J623" s="1012">
        <v>0</v>
      </c>
      <c r="K623" s="998"/>
      <c r="L623" s="998"/>
      <c r="M623" s="998"/>
      <c r="N623" s="998"/>
      <c r="O623" s="998"/>
      <c r="P623" s="998"/>
      <c r="Q623" s="1302"/>
      <c r="R623" s="1302"/>
      <c r="S623" s="1302"/>
      <c r="T623" s="1302"/>
      <c r="U623" s="1302"/>
      <c r="V623" s="1302"/>
      <c r="W623" s="1302"/>
      <c r="X623" s="1302"/>
      <c r="Y623" s="1302"/>
      <c r="Z623" s="1302"/>
    </row>
    <row r="624" spans="1:26" ht="18.75" hidden="1">
      <c r="A624" s="1326"/>
      <c r="B624" s="1327"/>
      <c r="C624" s="1327"/>
      <c r="D624" s="1069" t="s">
        <v>265</v>
      </c>
      <c r="E624" s="1014"/>
      <c r="F624" s="1014"/>
      <c r="G624" s="1007"/>
      <c r="H624" s="762" t="s">
        <v>46</v>
      </c>
      <c r="I624" s="880"/>
      <c r="J624" s="1012">
        <v>0</v>
      </c>
      <c r="K624" s="998"/>
      <c r="L624" s="998"/>
      <c r="M624" s="998"/>
      <c r="N624" s="998"/>
      <c r="O624" s="998"/>
      <c r="P624" s="998"/>
      <c r="Q624" s="1302"/>
      <c r="R624" s="1302"/>
      <c r="S624" s="1302"/>
      <c r="T624" s="1302"/>
      <c r="U624" s="1302"/>
      <c r="V624" s="1302"/>
      <c r="W624" s="1302"/>
      <c r="X624" s="1302"/>
      <c r="Y624" s="1302"/>
      <c r="Z624" s="1302"/>
    </row>
    <row r="625" spans="1:26" ht="18.75" hidden="1">
      <c r="A625" s="1326"/>
      <c r="B625" s="1327"/>
      <c r="C625" s="1327"/>
      <c r="D625" s="1327"/>
      <c r="E625" s="1014"/>
      <c r="F625" s="1014"/>
      <c r="G625" s="1007"/>
      <c r="H625" s="762" t="s">
        <v>34</v>
      </c>
      <c r="I625" s="880"/>
      <c r="J625" s="1012">
        <v>0</v>
      </c>
      <c r="K625" s="998"/>
      <c r="L625" s="998"/>
      <c r="M625" s="998"/>
      <c r="N625" s="998"/>
      <c r="O625" s="998"/>
      <c r="P625" s="998"/>
      <c r="Q625" s="1302"/>
      <c r="R625" s="1302"/>
      <c r="S625" s="1302"/>
      <c r="T625" s="1302"/>
      <c r="U625" s="1302"/>
      <c r="V625" s="1302"/>
      <c r="W625" s="1302"/>
      <c r="X625" s="1302"/>
      <c r="Y625" s="1302"/>
      <c r="Z625" s="1302"/>
    </row>
    <row r="626" spans="1:26" ht="18.75" hidden="1">
      <c r="A626" s="1326"/>
      <c r="B626" s="1327"/>
      <c r="C626" s="1327"/>
      <c r="D626" s="1069" t="s">
        <v>270</v>
      </c>
      <c r="E626" s="1014"/>
      <c r="F626" s="1014"/>
      <c r="G626" s="1007"/>
      <c r="H626" s="762" t="s">
        <v>46</v>
      </c>
      <c r="I626" s="880"/>
      <c r="J626" s="1012">
        <v>0</v>
      </c>
      <c r="K626" s="998"/>
      <c r="L626" s="998"/>
      <c r="M626" s="998"/>
      <c r="N626" s="998"/>
      <c r="O626" s="998"/>
      <c r="P626" s="998"/>
      <c r="Q626" s="1302"/>
      <c r="R626" s="1302"/>
      <c r="S626" s="1302"/>
      <c r="T626" s="1302"/>
      <c r="U626" s="1302"/>
      <c r="V626" s="1302"/>
      <c r="W626" s="1302"/>
      <c r="X626" s="1302"/>
      <c r="Y626" s="1302"/>
      <c r="Z626" s="1302"/>
    </row>
    <row r="627" spans="1:26" ht="18.75" hidden="1">
      <c r="A627" s="1420"/>
      <c r="B627" s="1421"/>
      <c r="C627" s="1421"/>
      <c r="D627" s="1421"/>
      <c r="E627" s="1169"/>
      <c r="F627" s="1169"/>
      <c r="G627" s="1422"/>
      <c r="H627" s="423" t="s">
        <v>34</v>
      </c>
      <c r="I627" s="1138"/>
      <c r="J627" s="1171">
        <v>0</v>
      </c>
      <c r="K627" s="1139"/>
      <c r="L627" s="1139"/>
      <c r="M627" s="1139"/>
      <c r="N627" s="1139"/>
      <c r="O627" s="1139"/>
      <c r="P627" s="1139"/>
      <c r="Q627" s="1302"/>
      <c r="R627" s="1302"/>
      <c r="S627" s="1302"/>
      <c r="T627" s="1302"/>
      <c r="U627" s="1302"/>
      <c r="V627" s="1302"/>
      <c r="W627" s="1302"/>
      <c r="X627" s="1302"/>
      <c r="Y627" s="1302"/>
      <c r="Z627" s="1302"/>
    </row>
    <row r="628" spans="1:26" ht="19.5">
      <c r="A628" s="734">
        <v>7</v>
      </c>
      <c r="B628" s="1423" t="s">
        <v>271</v>
      </c>
      <c r="C628" s="1424"/>
      <c r="D628" s="1424"/>
      <c r="E628" s="1424"/>
      <c r="F628" s="1424"/>
      <c r="G628" s="1425"/>
      <c r="H628" s="738" t="s">
        <v>35</v>
      </c>
      <c r="I628" s="1426">
        <f t="shared" ref="I628:J628" ca="1" si="262">I651</f>
        <v>120</v>
      </c>
      <c r="J628" s="1426">
        <f t="shared" ca="1" si="262"/>
        <v>0</v>
      </c>
      <c r="K628" s="1427">
        <f ca="1">IF(I628&gt;0,J628*100/I628,0)</f>
        <v>0</v>
      </c>
      <c r="L628" s="1428"/>
      <c r="M628" s="1428"/>
      <c r="N628" s="1428"/>
      <c r="O628" s="1428"/>
      <c r="P628" s="1428"/>
      <c r="Q628" s="1302"/>
      <c r="R628" s="1302"/>
      <c r="S628" s="1302"/>
      <c r="T628" s="1302"/>
      <c r="U628" s="1302"/>
      <c r="V628" s="1302"/>
      <c r="W628" s="1302"/>
      <c r="X628" s="1302"/>
      <c r="Y628" s="1302"/>
      <c r="Z628" s="1302"/>
    </row>
    <row r="629" spans="1:26" ht="19.5">
      <c r="A629" s="1317"/>
      <c r="B629" s="1301"/>
      <c r="C629" s="1301" t="s">
        <v>16</v>
      </c>
      <c r="D629" s="1318" t="s">
        <v>17</v>
      </c>
      <c r="E629" s="841"/>
      <c r="F629" s="841"/>
      <c r="G629" s="1016"/>
      <c r="H629" s="597" t="s">
        <v>12</v>
      </c>
      <c r="I629" s="880"/>
      <c r="J629" s="880"/>
      <c r="K629" s="881"/>
      <c r="L629" s="1020">
        <f t="shared" ref="L629:N629" ca="1" si="263">L630+L631</f>
        <v>384755</v>
      </c>
      <c r="M629" s="1020">
        <f t="shared" ca="1" si="263"/>
        <v>384755</v>
      </c>
      <c r="N629" s="1020">
        <f t="shared" si="263"/>
        <v>98895</v>
      </c>
      <c r="O629" s="1020">
        <f t="shared" ref="O629:O634" ca="1" si="264">IF(L629&gt;0,N629*100/L629,0)</f>
        <v>25.70336967680732</v>
      </c>
      <c r="P629" s="1020">
        <f t="shared" ref="P629:P634" ca="1" si="265">IF(M629&gt;0,N629*100/M629,0)</f>
        <v>25.70336967680732</v>
      </c>
      <c r="Q629" s="1302"/>
      <c r="R629" s="1302"/>
      <c r="S629" s="1302"/>
      <c r="T629" s="1302"/>
      <c r="U629" s="1302"/>
      <c r="V629" s="1302"/>
      <c r="W629" s="1302"/>
      <c r="X629" s="1302"/>
      <c r="Y629" s="1302"/>
      <c r="Z629" s="1302"/>
    </row>
    <row r="630" spans="1:26" ht="18.75" hidden="1">
      <c r="A630" s="1319"/>
      <c r="B630" s="1320"/>
      <c r="C630" s="1320"/>
      <c r="D630" s="1321"/>
      <c r="E630" s="1320" t="s">
        <v>185</v>
      </c>
      <c r="F630" s="1320"/>
      <c r="G630" s="1322"/>
      <c r="H630" s="165" t="s">
        <v>12</v>
      </c>
      <c r="I630" s="886"/>
      <c r="J630" s="886"/>
      <c r="K630" s="887"/>
      <c r="L630" s="887">
        <f t="shared" ref="L630:N631" si="266">L633+L640</f>
        <v>0</v>
      </c>
      <c r="M630" s="887">
        <f t="shared" si="266"/>
        <v>0</v>
      </c>
      <c r="N630" s="887">
        <f t="shared" si="266"/>
        <v>0</v>
      </c>
      <c r="O630" s="887">
        <f t="shared" si="264"/>
        <v>0</v>
      </c>
      <c r="P630" s="887">
        <f t="shared" si="265"/>
        <v>0</v>
      </c>
      <c r="Q630" s="1323"/>
      <c r="R630" s="1323"/>
      <c r="S630" s="1323"/>
      <c r="T630" s="1323"/>
      <c r="U630" s="1323"/>
      <c r="V630" s="1323"/>
      <c r="W630" s="1323"/>
      <c r="X630" s="1323"/>
      <c r="Y630" s="1323"/>
      <c r="Z630" s="1323"/>
    </row>
    <row r="631" spans="1:26" ht="18.75" hidden="1">
      <c r="A631" s="1319"/>
      <c r="B631" s="1324"/>
      <c r="C631" s="1320"/>
      <c r="D631" s="1321"/>
      <c r="E631" s="1320" t="s">
        <v>186</v>
      </c>
      <c r="F631" s="1320"/>
      <c r="G631" s="1322"/>
      <c r="H631" s="165" t="s">
        <v>12</v>
      </c>
      <c r="I631" s="886"/>
      <c r="J631" s="886"/>
      <c r="K631" s="887"/>
      <c r="L631" s="887">
        <f t="shared" ca="1" si="266"/>
        <v>384755</v>
      </c>
      <c r="M631" s="887">
        <f t="shared" ca="1" si="266"/>
        <v>384755</v>
      </c>
      <c r="N631" s="887">
        <f t="shared" si="266"/>
        <v>98895</v>
      </c>
      <c r="O631" s="887">
        <f t="shared" ca="1" si="264"/>
        <v>25.70336967680732</v>
      </c>
      <c r="P631" s="887">
        <f t="shared" ca="1" si="265"/>
        <v>25.70336967680732</v>
      </c>
      <c r="Q631" s="1323"/>
      <c r="R631" s="1323"/>
      <c r="S631" s="1323"/>
      <c r="T631" s="1323"/>
      <c r="U631" s="1323"/>
      <c r="V631" s="1323"/>
      <c r="W631" s="1323"/>
      <c r="X631" s="1323"/>
      <c r="Y631" s="1323"/>
      <c r="Z631" s="1323"/>
    </row>
    <row r="632" spans="1:26" ht="18.75">
      <c r="A632" s="1317"/>
      <c r="B632" s="1300"/>
      <c r="C632" s="1301"/>
      <c r="D632" s="1325" t="s">
        <v>20</v>
      </c>
      <c r="E632" s="1301"/>
      <c r="F632" s="1301"/>
      <c r="G632" s="1016"/>
      <c r="H632" s="161" t="s">
        <v>12</v>
      </c>
      <c r="I632" s="997"/>
      <c r="J632" s="997"/>
      <c r="K632" s="998"/>
      <c r="L632" s="881">
        <f t="shared" ref="L632:N632" ca="1" si="267">L633+L634</f>
        <v>384755</v>
      </c>
      <c r="M632" s="881">
        <f t="shared" ca="1" si="267"/>
        <v>384755</v>
      </c>
      <c r="N632" s="881">
        <f t="shared" si="267"/>
        <v>98895</v>
      </c>
      <c r="O632" s="881">
        <f t="shared" ca="1" si="264"/>
        <v>25.70336967680732</v>
      </c>
      <c r="P632" s="881">
        <f t="shared" ca="1" si="265"/>
        <v>25.70336967680732</v>
      </c>
      <c r="Q632" s="1302"/>
      <c r="R632" s="1302"/>
      <c r="S632" s="1302"/>
      <c r="T632" s="1302"/>
      <c r="U632" s="1302"/>
      <c r="V632" s="1302"/>
      <c r="W632" s="1302"/>
      <c r="X632" s="1302"/>
      <c r="Y632" s="1302"/>
      <c r="Z632" s="1302"/>
    </row>
    <row r="633" spans="1:26" ht="18.75" hidden="1">
      <c r="A633" s="1319"/>
      <c r="B633" s="1324"/>
      <c r="C633" s="1320"/>
      <c r="D633" s="1321"/>
      <c r="E633" s="1320" t="s">
        <v>185</v>
      </c>
      <c r="F633" s="1320"/>
      <c r="G633" s="1322"/>
      <c r="H633" s="165" t="s">
        <v>12</v>
      </c>
      <c r="I633" s="886"/>
      <c r="J633" s="886"/>
      <c r="K633" s="887"/>
      <c r="L633" s="887">
        <v>0</v>
      </c>
      <c r="M633" s="887">
        <v>0</v>
      </c>
      <c r="N633" s="887">
        <v>0</v>
      </c>
      <c r="O633" s="887">
        <f t="shared" si="264"/>
        <v>0</v>
      </c>
      <c r="P633" s="887">
        <f t="shared" si="265"/>
        <v>0</v>
      </c>
      <c r="Q633" s="1323"/>
      <c r="R633" s="1323"/>
      <c r="S633" s="1323"/>
      <c r="T633" s="1323"/>
      <c r="U633" s="1323"/>
      <c r="V633" s="1323"/>
      <c r="W633" s="1323"/>
      <c r="X633" s="1323"/>
      <c r="Y633" s="1323"/>
      <c r="Z633" s="1323"/>
    </row>
    <row r="634" spans="1:26" ht="18.75" hidden="1">
      <c r="A634" s="1319"/>
      <c r="B634" s="1324"/>
      <c r="C634" s="1320"/>
      <c r="D634" s="1321"/>
      <c r="E634" s="1320" t="s">
        <v>186</v>
      </c>
      <c r="F634" s="1320"/>
      <c r="G634" s="1322"/>
      <c r="H634" s="165" t="s">
        <v>12</v>
      </c>
      <c r="I634" s="886"/>
      <c r="J634" s="886"/>
      <c r="K634" s="887"/>
      <c r="L634" s="887">
        <f ca="1">IFERROR(__xludf.DUMMYFUNCTION("IMPORTRANGE(""https://docs.google.com/spreadsheets/d/1QqKyyYR6Q21VydFLVH3TRQUabQu_ym0Zz7PgGX0-kHA/edit?usp=sharing"",""แผน!HN84"")"),384755)</f>
        <v>384755</v>
      </c>
      <c r="M634" s="887">
        <f ca="1">L634</f>
        <v>384755</v>
      </c>
      <c r="N634" s="887">
        <f>N635+N636+N637+N638</f>
        <v>98895</v>
      </c>
      <c r="O634" s="887">
        <f t="shared" ca="1" si="264"/>
        <v>25.70336967680732</v>
      </c>
      <c r="P634" s="887">
        <f t="shared" ca="1" si="265"/>
        <v>25.70336967680732</v>
      </c>
      <c r="Q634" s="1323"/>
      <c r="R634" s="1323"/>
      <c r="S634" s="1323"/>
      <c r="T634" s="1323"/>
      <c r="U634" s="1323"/>
      <c r="V634" s="1323"/>
      <c r="W634" s="1323"/>
      <c r="X634" s="1323"/>
      <c r="Y634" s="1323"/>
      <c r="Z634" s="1323"/>
    </row>
    <row r="635" spans="1:26" ht="18.75">
      <c r="A635" s="1299"/>
      <c r="B635" s="1300"/>
      <c r="C635" s="1301"/>
      <c r="D635" s="1301"/>
      <c r="E635" s="1301"/>
      <c r="F635" s="1301" t="s">
        <v>187</v>
      </c>
      <c r="G635" s="1016"/>
      <c r="H635" s="161" t="s">
        <v>12</v>
      </c>
      <c r="I635" s="880"/>
      <c r="J635" s="880"/>
      <c r="K635" s="881"/>
      <c r="L635" s="881"/>
      <c r="M635" s="881"/>
      <c r="N635" s="1085">
        <v>0</v>
      </c>
      <c r="O635" s="881"/>
      <c r="P635" s="881"/>
      <c r="Q635" s="1302"/>
      <c r="R635" s="1302"/>
      <c r="S635" s="1302"/>
      <c r="T635" s="1302"/>
      <c r="U635" s="1302"/>
      <c r="V635" s="1302"/>
      <c r="W635" s="1302"/>
      <c r="X635" s="1302"/>
      <c r="Y635" s="1302"/>
      <c r="Z635" s="1302"/>
    </row>
    <row r="636" spans="1:26" ht="18.75">
      <c r="A636" s="1299"/>
      <c r="B636" s="1300"/>
      <c r="C636" s="1301"/>
      <c r="D636" s="1301"/>
      <c r="E636" s="1301"/>
      <c r="F636" s="1301" t="s">
        <v>188</v>
      </c>
      <c r="G636" s="1016"/>
      <c r="H636" s="161" t="s">
        <v>12</v>
      </c>
      <c r="I636" s="880"/>
      <c r="J636" s="880"/>
      <c r="K636" s="881"/>
      <c r="L636" s="881"/>
      <c r="M636" s="881"/>
      <c r="N636" s="1085">
        <v>0</v>
      </c>
      <c r="O636" s="881"/>
      <c r="P636" s="881"/>
      <c r="Q636" s="1302"/>
      <c r="R636" s="1302"/>
      <c r="S636" s="1302"/>
      <c r="T636" s="1302"/>
      <c r="U636" s="1302"/>
      <c r="V636" s="1302"/>
      <c r="W636" s="1302"/>
      <c r="X636" s="1302"/>
      <c r="Y636" s="1302"/>
      <c r="Z636" s="1302"/>
    </row>
    <row r="637" spans="1:26" ht="18.75">
      <c r="A637" s="1299"/>
      <c r="B637" s="1300"/>
      <c r="C637" s="1301"/>
      <c r="D637" s="1301"/>
      <c r="E637" s="1301"/>
      <c r="F637" s="1301" t="s">
        <v>189</v>
      </c>
      <c r="G637" s="1016"/>
      <c r="H637" s="161" t="s">
        <v>12</v>
      </c>
      <c r="I637" s="880"/>
      <c r="J637" s="880"/>
      <c r="K637" s="881"/>
      <c r="L637" s="881"/>
      <c r="M637" s="881"/>
      <c r="N637" s="1085">
        <v>52000</v>
      </c>
      <c r="O637" s="881"/>
      <c r="P637" s="881"/>
      <c r="Q637" s="1302"/>
      <c r="R637" s="1302"/>
      <c r="S637" s="1302"/>
      <c r="T637" s="1302"/>
      <c r="U637" s="1302"/>
      <c r="V637" s="1302"/>
      <c r="W637" s="1302"/>
      <c r="X637" s="1302"/>
      <c r="Y637" s="1302"/>
      <c r="Z637" s="1302"/>
    </row>
    <row r="638" spans="1:26" ht="18.75">
      <c r="A638" s="1299"/>
      <c r="B638" s="1300"/>
      <c r="C638" s="1301"/>
      <c r="D638" s="1301"/>
      <c r="E638" s="1301"/>
      <c r="F638" s="1301" t="s">
        <v>190</v>
      </c>
      <c r="G638" s="1016"/>
      <c r="H638" s="161" t="s">
        <v>12</v>
      </c>
      <c r="I638" s="880"/>
      <c r="J638" s="880"/>
      <c r="K638" s="881"/>
      <c r="L638" s="881"/>
      <c r="M638" s="881"/>
      <c r="N638" s="1085">
        <v>46895</v>
      </c>
      <c r="O638" s="881"/>
      <c r="P638" s="881"/>
      <c r="Q638" s="1302"/>
      <c r="R638" s="1302"/>
      <c r="S638" s="1302"/>
      <c r="T638" s="1302"/>
      <c r="U638" s="1302"/>
      <c r="V638" s="1302"/>
      <c r="W638" s="1302"/>
      <c r="X638" s="1302"/>
      <c r="Y638" s="1302"/>
      <c r="Z638" s="1302"/>
    </row>
    <row r="639" spans="1:26" ht="18.75">
      <c r="A639" s="1317"/>
      <c r="B639" s="1300"/>
      <c r="C639" s="1301"/>
      <c r="D639" s="1325" t="s">
        <v>21</v>
      </c>
      <c r="E639" s="1301"/>
      <c r="F639" s="1301"/>
      <c r="G639" s="1016"/>
      <c r="H639" s="168" t="s">
        <v>12</v>
      </c>
      <c r="I639" s="997"/>
      <c r="J639" s="997"/>
      <c r="K639" s="998"/>
      <c r="L639" s="881">
        <f t="shared" ref="L639:N639" ca="1" si="268">L640+L641</f>
        <v>0</v>
      </c>
      <c r="M639" s="881">
        <f t="shared" si="268"/>
        <v>0</v>
      </c>
      <c r="N639" s="881">
        <f t="shared" si="268"/>
        <v>0</v>
      </c>
      <c r="O639" s="881">
        <f t="shared" ref="O639:O641" ca="1" si="269">IF(L639&gt;0,N639*100/L639,0)</f>
        <v>0</v>
      </c>
      <c r="P639" s="881">
        <f t="shared" ref="P639:P641" si="270">IF(M639&gt;0,N639*100/M639,0)</f>
        <v>0</v>
      </c>
      <c r="Q639" s="1302"/>
      <c r="R639" s="1302"/>
      <c r="S639" s="1302"/>
      <c r="T639" s="1302"/>
      <c r="U639" s="1302"/>
      <c r="V639" s="1302"/>
      <c r="W639" s="1302"/>
      <c r="X639" s="1302"/>
      <c r="Y639" s="1302"/>
      <c r="Z639" s="1302"/>
    </row>
    <row r="640" spans="1:26" ht="18.75" hidden="1">
      <c r="A640" s="1319"/>
      <c r="B640" s="1324"/>
      <c r="C640" s="1320"/>
      <c r="D640" s="1320"/>
      <c r="E640" s="1320" t="s">
        <v>18</v>
      </c>
      <c r="F640" s="1320"/>
      <c r="G640" s="1322"/>
      <c r="H640" s="165" t="s">
        <v>12</v>
      </c>
      <c r="I640" s="1000"/>
      <c r="J640" s="1000"/>
      <c r="K640" s="1001"/>
      <c r="L640" s="887">
        <v>0</v>
      </c>
      <c r="M640" s="887">
        <v>0</v>
      </c>
      <c r="N640" s="887">
        <v>0</v>
      </c>
      <c r="O640" s="887">
        <f t="shared" si="269"/>
        <v>0</v>
      </c>
      <c r="P640" s="887">
        <f t="shared" si="270"/>
        <v>0</v>
      </c>
      <c r="Q640" s="1323"/>
      <c r="R640" s="1323"/>
      <c r="S640" s="1323"/>
      <c r="T640" s="1323"/>
      <c r="U640" s="1323"/>
      <c r="V640" s="1323"/>
      <c r="W640" s="1323"/>
      <c r="X640" s="1323"/>
      <c r="Y640" s="1323"/>
      <c r="Z640" s="1323"/>
    </row>
    <row r="641" spans="1:26" ht="18.75" hidden="1">
      <c r="A641" s="1319"/>
      <c r="B641" s="1324"/>
      <c r="C641" s="1320"/>
      <c r="D641" s="1320"/>
      <c r="E641" s="1320" t="s">
        <v>19</v>
      </c>
      <c r="F641" s="1320"/>
      <c r="G641" s="1322"/>
      <c r="H641" s="169" t="s">
        <v>12</v>
      </c>
      <c r="I641" s="1000"/>
      <c r="J641" s="1000"/>
      <c r="K641" s="1001"/>
      <c r="L641" s="887">
        <f ca="1">IFERROR(__xludf.DUMMYFUNCTION("IMPORTRANGE(""https://docs.google.com/spreadsheets/d/1QqKyyYR6Q21VydFLVH3TRQUabQu_ym0Zz7PgGX0-kHA/edit?usp=sharing"",""แผน!HQ84"")"),0)</f>
        <v>0</v>
      </c>
      <c r="M641" s="887">
        <v>0</v>
      </c>
      <c r="N641" s="887">
        <v>0</v>
      </c>
      <c r="O641" s="887">
        <f t="shared" ca="1" si="269"/>
        <v>0</v>
      </c>
      <c r="P641" s="887">
        <f t="shared" si="270"/>
        <v>0</v>
      </c>
      <c r="Q641" s="1323"/>
      <c r="R641" s="1323"/>
      <c r="S641" s="1323"/>
      <c r="T641" s="1323"/>
      <c r="U641" s="1323"/>
      <c r="V641" s="1323"/>
      <c r="W641" s="1323"/>
      <c r="X641" s="1323"/>
      <c r="Y641" s="1323"/>
      <c r="Z641" s="1323"/>
    </row>
    <row r="642" spans="1:26" ht="19.5">
      <c r="A642" s="1326"/>
      <c r="B642" s="1327"/>
      <c r="C642" s="1301" t="s">
        <v>16</v>
      </c>
      <c r="D642" s="1380" t="s">
        <v>38</v>
      </c>
      <c r="E642" s="1330"/>
      <c r="F642" s="1330"/>
      <c r="G642" s="1331"/>
      <c r="H642" s="1007"/>
      <c r="I642" s="997"/>
      <c r="J642" s="997"/>
      <c r="K642" s="998"/>
      <c r="L642" s="998"/>
      <c r="M642" s="998"/>
      <c r="N642" s="998"/>
      <c r="O642" s="998"/>
      <c r="P642" s="998"/>
      <c r="Q642" s="1302"/>
      <c r="R642" s="1302"/>
      <c r="S642" s="1302"/>
      <c r="T642" s="1302"/>
      <c r="U642" s="1302"/>
      <c r="V642" s="1302"/>
      <c r="W642" s="1302"/>
      <c r="X642" s="1302"/>
      <c r="Y642" s="1302"/>
      <c r="Z642" s="1302"/>
    </row>
    <row r="643" spans="1:26" ht="18.75">
      <c r="A643" s="1429"/>
      <c r="B643" s="1300"/>
      <c r="C643" s="1301"/>
      <c r="D643" s="1014"/>
      <c r="E643" s="1069" t="s">
        <v>272</v>
      </c>
      <c r="F643" s="1014"/>
      <c r="G643" s="1007"/>
      <c r="H643" s="762" t="s">
        <v>273</v>
      </c>
      <c r="I643" s="880">
        <f ca="1">IFERROR(__xludf.DUMMYFUNCTION("IMPORTRANGE(""https://docs.google.com/spreadsheets/d/1QqKyyYR6Q21VydFLVH3TRQUabQu_ym0Zz7PgGX0-kHA/edit?usp=sharing"",""แผน!HR84"")"),2)</f>
        <v>2</v>
      </c>
      <c r="J643" s="1012">
        <v>2</v>
      </c>
      <c r="K643" s="998">
        <f t="shared" ref="K643:K652" ca="1" si="271">IF(I643&gt;0,J643*100/I643,0)</f>
        <v>100</v>
      </c>
      <c r="L643" s="998"/>
      <c r="M643" s="998"/>
      <c r="N643" s="881"/>
      <c r="O643" s="998"/>
      <c r="P643" s="998"/>
      <c r="Q643" s="1302"/>
      <c r="R643" s="1302"/>
      <c r="S643" s="1302"/>
      <c r="T643" s="1302"/>
      <c r="U643" s="1302"/>
      <c r="V643" s="1302"/>
      <c r="W643" s="1302"/>
      <c r="X643" s="1302"/>
      <c r="Y643" s="1302"/>
      <c r="Z643" s="1302"/>
    </row>
    <row r="644" spans="1:26" ht="18.75">
      <c r="A644" s="1429"/>
      <c r="B644" s="1300"/>
      <c r="C644" s="1301"/>
      <c r="D644" s="1014"/>
      <c r="E644" s="1069" t="s">
        <v>274</v>
      </c>
      <c r="F644" s="1014"/>
      <c r="G644" s="1007"/>
      <c r="H644" s="762" t="s">
        <v>275</v>
      </c>
      <c r="I644" s="880">
        <f ca="1">IFERROR(__xludf.DUMMYFUNCTION("IMPORTRANGE(""https://docs.google.com/spreadsheets/d/1QqKyyYR6Q21VydFLVH3TRQUabQu_ym0Zz7PgGX0-kHA/edit?usp=sharing"",""แผน!HR84"")"),2)</f>
        <v>2</v>
      </c>
      <c r="J644" s="1012">
        <v>0</v>
      </c>
      <c r="K644" s="998">
        <f t="shared" ca="1" si="271"/>
        <v>0</v>
      </c>
      <c r="L644" s="998"/>
      <c r="M644" s="998"/>
      <c r="N644" s="881"/>
      <c r="O644" s="998"/>
      <c r="P644" s="998"/>
      <c r="Q644" s="1302"/>
      <c r="R644" s="1302"/>
      <c r="S644" s="1302"/>
      <c r="T644" s="1302"/>
      <c r="U644" s="1302"/>
      <c r="V644" s="1302"/>
      <c r="W644" s="1302"/>
      <c r="X644" s="1302"/>
      <c r="Y644" s="1302"/>
      <c r="Z644" s="1302"/>
    </row>
    <row r="645" spans="1:26" ht="18.75">
      <c r="A645" s="1429"/>
      <c r="B645" s="1300"/>
      <c r="C645" s="1301"/>
      <c r="D645" s="1014"/>
      <c r="E645" s="1069" t="s">
        <v>276</v>
      </c>
      <c r="F645" s="1014"/>
      <c r="G645" s="1007"/>
      <c r="H645" s="762" t="s">
        <v>34</v>
      </c>
      <c r="I645" s="880">
        <v>0</v>
      </c>
      <c r="J645" s="880">
        <f ca="1">IFERROR(__xludf.DUMMYFUNCTION("IMPORTRANGE(""https://docs.google.com/spreadsheets/d/1XWAQStnk-4SwqDmLtmXYiTMKHgktTP8We1SCoS47DrQ/edit?usp=sharing"",""จัดที่ดิน!AS84"")"),0)</f>
        <v>0</v>
      </c>
      <c r="K645" s="998">
        <f t="shared" si="271"/>
        <v>0</v>
      </c>
      <c r="L645" s="998"/>
      <c r="M645" s="998"/>
      <c r="N645" s="881"/>
      <c r="O645" s="998"/>
      <c r="P645" s="998"/>
      <c r="Q645" s="1302"/>
      <c r="R645" s="1302"/>
      <c r="S645" s="1302"/>
      <c r="T645" s="1302"/>
      <c r="U645" s="1302"/>
      <c r="V645" s="1302"/>
      <c r="W645" s="1302"/>
      <c r="X645" s="1302"/>
      <c r="Y645" s="1302"/>
      <c r="Z645" s="1302"/>
    </row>
    <row r="646" spans="1:26" ht="18.75">
      <c r="A646" s="1429"/>
      <c r="B646" s="1300"/>
      <c r="C646" s="1301"/>
      <c r="D646" s="1014"/>
      <c r="E646" s="1014"/>
      <c r="F646" s="1014"/>
      <c r="G646" s="1007"/>
      <c r="H646" s="762" t="s">
        <v>46</v>
      </c>
      <c r="I646" s="880">
        <v>0</v>
      </c>
      <c r="J646" s="880">
        <f ca="1">IFERROR(__xludf.DUMMYFUNCTION("IMPORTRANGE(""https://docs.google.com/spreadsheets/d/1XWAQStnk-4SwqDmLtmXYiTMKHgktTP8We1SCoS47DrQ/edit?usp=sharing"",""จัดที่ดิน!AT84"")"),0)</f>
        <v>0</v>
      </c>
      <c r="K646" s="881">
        <f t="shared" si="271"/>
        <v>0</v>
      </c>
      <c r="L646" s="998"/>
      <c r="M646" s="998"/>
      <c r="N646" s="881"/>
      <c r="O646" s="998"/>
      <c r="P646" s="998"/>
      <c r="Q646" s="1302"/>
      <c r="R646" s="1302"/>
      <c r="S646" s="1302"/>
      <c r="T646" s="1302"/>
      <c r="U646" s="1302"/>
      <c r="V646" s="1302"/>
      <c r="W646" s="1302"/>
      <c r="X646" s="1302"/>
      <c r="Y646" s="1302"/>
      <c r="Z646" s="1302"/>
    </row>
    <row r="647" spans="1:26" ht="18.75">
      <c r="A647" s="1429"/>
      <c r="B647" s="1300"/>
      <c r="C647" s="1301"/>
      <c r="D647" s="1014"/>
      <c r="E647" s="1069" t="s">
        <v>162</v>
      </c>
      <c r="F647" s="1014"/>
      <c r="G647" s="1007"/>
      <c r="H647" s="762" t="s">
        <v>35</v>
      </c>
      <c r="I647" s="880">
        <f ca="1">IFERROR(__xludf.DUMMYFUNCTION("IMPORTRANGE(""https://docs.google.com/spreadsheets/d/1QqKyyYR6Q21VydFLVH3TRQUabQu_ym0Zz7PgGX0-kHA/edit?usp=sharing"",""แผน!HS84"")"),120)</f>
        <v>120</v>
      </c>
      <c r="J647" s="880">
        <f ca="1">IFERROR(__xludf.DUMMYFUNCTION("IMPORTRANGE(""https://docs.google.com/spreadsheets/d/1XWAQStnk-4SwqDmLtmXYiTMKHgktTP8We1SCoS47DrQ/edit?usp=sharing"",""จัดที่ดิน!AU84"")"),0)</f>
        <v>0</v>
      </c>
      <c r="K647" s="998">
        <f t="shared" ca="1" si="271"/>
        <v>0</v>
      </c>
      <c r="L647" s="998"/>
      <c r="M647" s="998"/>
      <c r="N647" s="998"/>
      <c r="O647" s="998"/>
      <c r="P647" s="998"/>
      <c r="Q647" s="1302"/>
      <c r="R647" s="1302"/>
      <c r="S647" s="1302"/>
      <c r="T647" s="1302"/>
      <c r="U647" s="1302"/>
      <c r="V647" s="1302"/>
      <c r="W647" s="1302"/>
      <c r="X647" s="1302"/>
      <c r="Y647" s="1302"/>
      <c r="Z647" s="1302"/>
    </row>
    <row r="648" spans="1:26" ht="18.75">
      <c r="A648" s="1429"/>
      <c r="B648" s="1300"/>
      <c r="C648" s="1301"/>
      <c r="D648" s="1014"/>
      <c r="E648" s="1014"/>
      <c r="F648" s="1014"/>
      <c r="G648" s="1007"/>
      <c r="H648" s="762" t="s">
        <v>46</v>
      </c>
      <c r="I648" s="880">
        <v>0</v>
      </c>
      <c r="J648" s="880">
        <f ca="1">IFERROR(__xludf.DUMMYFUNCTION("IMPORTRANGE(""https://docs.google.com/spreadsheets/d/1XWAQStnk-4SwqDmLtmXYiTMKHgktTP8We1SCoS47DrQ/edit?usp=sharing"",""จัดที่ดิน!AV84"")"),0)</f>
        <v>0</v>
      </c>
      <c r="K648" s="881">
        <f t="shared" si="271"/>
        <v>0</v>
      </c>
      <c r="L648" s="998"/>
      <c r="M648" s="998"/>
      <c r="N648" s="998"/>
      <c r="O648" s="998"/>
      <c r="P648" s="998"/>
      <c r="Q648" s="1302"/>
      <c r="R648" s="1302"/>
      <c r="S648" s="1302"/>
      <c r="T648" s="1302"/>
      <c r="U648" s="1302"/>
      <c r="V648" s="1302"/>
      <c r="W648" s="1302"/>
      <c r="X648" s="1302"/>
      <c r="Y648" s="1302"/>
      <c r="Z648" s="1302"/>
    </row>
    <row r="649" spans="1:26" ht="18.75">
      <c r="A649" s="1429"/>
      <c r="B649" s="1300"/>
      <c r="C649" s="1301"/>
      <c r="D649" s="1014"/>
      <c r="E649" s="1069" t="s">
        <v>277</v>
      </c>
      <c r="F649" s="1014"/>
      <c r="G649" s="1007"/>
      <c r="H649" s="762" t="s">
        <v>35</v>
      </c>
      <c r="I649" s="880">
        <f ca="1">IFERROR(__xludf.DUMMYFUNCTION("IMPORTRANGE(""https://docs.google.com/spreadsheets/d/1QqKyyYR6Q21VydFLVH3TRQUabQu_ym0Zz7PgGX0-kHA/edit?usp=sharing"",""แผน!HS84"")"),120)</f>
        <v>120</v>
      </c>
      <c r="J649" s="880">
        <f ca="1">IFERROR(__xludf.DUMMYFUNCTION("IMPORTRANGE(""https://docs.google.com/spreadsheets/d/1XWAQStnk-4SwqDmLtmXYiTMKHgktTP8We1SCoS47DrQ/edit?usp=sharing"",""จัดที่ดิน!AW84"")"),0)</f>
        <v>0</v>
      </c>
      <c r="K649" s="998">
        <f t="shared" ca="1" si="271"/>
        <v>0</v>
      </c>
      <c r="L649" s="998"/>
      <c r="M649" s="998"/>
      <c r="N649" s="998"/>
      <c r="O649" s="998"/>
      <c r="P649" s="998"/>
      <c r="Q649" s="1302"/>
      <c r="R649" s="1302"/>
      <c r="S649" s="1302"/>
      <c r="T649" s="1302"/>
      <c r="U649" s="1302"/>
      <c r="V649" s="1302"/>
      <c r="W649" s="1302"/>
      <c r="X649" s="1302"/>
      <c r="Y649" s="1302"/>
      <c r="Z649" s="1302"/>
    </row>
    <row r="650" spans="1:26" ht="18.75">
      <c r="A650" s="1429"/>
      <c r="B650" s="1300"/>
      <c r="C650" s="1301"/>
      <c r="D650" s="1014"/>
      <c r="E650" s="1014"/>
      <c r="F650" s="1014"/>
      <c r="G650" s="1007"/>
      <c r="H650" s="762" t="s">
        <v>46</v>
      </c>
      <c r="I650" s="880">
        <v>0</v>
      </c>
      <c r="J650" s="880">
        <f ca="1">IFERROR(__xludf.DUMMYFUNCTION("IMPORTRANGE(""https://docs.google.com/spreadsheets/d/1XWAQStnk-4SwqDmLtmXYiTMKHgktTP8We1SCoS47DrQ/edit?usp=sharing"",""จัดที่ดิน!AX84"")"),0)</f>
        <v>0</v>
      </c>
      <c r="K650" s="881">
        <f t="shared" si="271"/>
        <v>0</v>
      </c>
      <c r="L650" s="998"/>
      <c r="M650" s="998"/>
      <c r="N650" s="998"/>
      <c r="O650" s="998"/>
      <c r="P650" s="998"/>
      <c r="Q650" s="1302"/>
      <c r="R650" s="1302"/>
      <c r="S650" s="1302"/>
      <c r="T650" s="1302"/>
      <c r="U650" s="1302"/>
      <c r="V650" s="1302"/>
      <c r="W650" s="1302"/>
      <c r="X650" s="1302"/>
      <c r="Y650" s="1302"/>
      <c r="Z650" s="1302"/>
    </row>
    <row r="651" spans="1:26" ht="18.75">
      <c r="A651" s="1429"/>
      <c r="B651" s="1300"/>
      <c r="C651" s="1301"/>
      <c r="D651" s="1014"/>
      <c r="E651" s="1069" t="s">
        <v>278</v>
      </c>
      <c r="F651" s="1014"/>
      <c r="G651" s="1007"/>
      <c r="H651" s="762" t="s">
        <v>35</v>
      </c>
      <c r="I651" s="880">
        <f ca="1">IFERROR(__xludf.DUMMYFUNCTION("IMPORTRANGE(""https://docs.google.com/spreadsheets/d/1QqKyyYR6Q21VydFLVH3TRQUabQu_ym0Zz7PgGX0-kHA/edit?usp=sharing"",""แผน!HS84"")"),120)</f>
        <v>120</v>
      </c>
      <c r="J651" s="880">
        <f ca="1">IFERROR(__xludf.DUMMYFUNCTION("IMPORTRANGE(""https://docs.google.com/spreadsheets/d/1XWAQStnk-4SwqDmLtmXYiTMKHgktTP8We1SCoS47DrQ/edit?usp=sharing"",""จัดที่ดิน!AY84"")"),0)</f>
        <v>0</v>
      </c>
      <c r="K651" s="998">
        <f t="shared" ca="1" si="271"/>
        <v>0</v>
      </c>
      <c r="L651" s="998"/>
      <c r="M651" s="998"/>
      <c r="N651" s="998"/>
      <c r="O651" s="998"/>
      <c r="P651" s="998"/>
      <c r="Q651" s="1302"/>
      <c r="R651" s="1302"/>
      <c r="S651" s="1302"/>
      <c r="T651" s="1302"/>
      <c r="U651" s="1302"/>
      <c r="V651" s="1302"/>
      <c r="W651" s="1302"/>
      <c r="X651" s="1302"/>
      <c r="Y651" s="1302"/>
      <c r="Z651" s="1302"/>
    </row>
    <row r="652" spans="1:26" ht="18.75">
      <c r="A652" s="1430"/>
      <c r="B652" s="1431"/>
      <c r="C652" s="1432"/>
      <c r="D652" s="1169"/>
      <c r="E652" s="1169"/>
      <c r="F652" s="1169"/>
      <c r="G652" s="1422"/>
      <c r="H652" s="504" t="s">
        <v>46</v>
      </c>
      <c r="I652" s="1138">
        <v>0</v>
      </c>
      <c r="J652" s="1138">
        <f ca="1">IFERROR(__xludf.DUMMYFUNCTION("IMPORTRANGE(""https://docs.google.com/spreadsheets/d/1XWAQStnk-4SwqDmLtmXYiTMKHgktTP8We1SCoS47DrQ/edit?usp=sharing"",""จัดที่ดิน!AZ84"")"),0)</f>
        <v>0</v>
      </c>
      <c r="K652" s="1239">
        <f t="shared" si="271"/>
        <v>0</v>
      </c>
      <c r="L652" s="1139"/>
      <c r="M652" s="1139"/>
      <c r="N652" s="1139"/>
      <c r="O652" s="1139"/>
      <c r="P652" s="1139"/>
      <c r="Q652" s="1302"/>
      <c r="R652" s="1302"/>
      <c r="S652" s="1302"/>
      <c r="T652" s="1302"/>
      <c r="U652" s="1302"/>
      <c r="V652" s="1302"/>
      <c r="W652" s="1302"/>
      <c r="X652" s="1302"/>
      <c r="Y652" s="1302"/>
      <c r="Z652" s="1302"/>
    </row>
    <row r="653" spans="1:26" ht="19.5">
      <c r="A653" s="748">
        <v>8</v>
      </c>
      <c r="B653" s="1423" t="s">
        <v>279</v>
      </c>
      <c r="C653" s="1424"/>
      <c r="D653" s="1424"/>
      <c r="E653" s="1424"/>
      <c r="F653" s="1424"/>
      <c r="G653" s="1425"/>
      <c r="H653" s="1425"/>
      <c r="I653" s="1433"/>
      <c r="J653" s="1433"/>
      <c r="K653" s="1428"/>
      <c r="L653" s="1428"/>
      <c r="M653" s="1428"/>
      <c r="N653" s="1428"/>
      <c r="O653" s="1428"/>
      <c r="P653" s="1428"/>
      <c r="Q653" s="1302"/>
      <c r="R653" s="1302"/>
      <c r="S653" s="1302"/>
      <c r="T653" s="1302"/>
      <c r="U653" s="1302"/>
      <c r="V653" s="1302"/>
      <c r="W653" s="1302"/>
      <c r="X653" s="1302"/>
      <c r="Y653" s="1302"/>
      <c r="Z653" s="1302"/>
    </row>
    <row r="654" spans="1:26" ht="19.5">
      <c r="A654" s="1375"/>
      <c r="B654" s="1374" t="s">
        <v>280</v>
      </c>
      <c r="C654" s="1375"/>
      <c r="D654" s="1375"/>
      <c r="E654" s="1375"/>
      <c r="F654" s="1375"/>
      <c r="G654" s="1376"/>
      <c r="H654" s="705" t="s">
        <v>46</v>
      </c>
      <c r="I654" s="1377">
        <f t="shared" ref="I654:J654" ca="1" si="272">I669</f>
        <v>50</v>
      </c>
      <c r="J654" s="1377">
        <f t="shared" si="272"/>
        <v>0</v>
      </c>
      <c r="K654" s="1378">
        <f ca="1">IF(I654&gt;0,J654*100/I654,0)</f>
        <v>0</v>
      </c>
      <c r="L654" s="1379"/>
      <c r="M654" s="1379"/>
      <c r="N654" s="1379"/>
      <c r="O654" s="1379"/>
      <c r="P654" s="1379"/>
      <c r="Q654" s="1302"/>
      <c r="R654" s="1302"/>
      <c r="S654" s="1302"/>
      <c r="T654" s="1302"/>
      <c r="U654" s="1302"/>
      <c r="V654" s="1302"/>
      <c r="W654" s="1302"/>
      <c r="X654" s="1302"/>
      <c r="Y654" s="1302"/>
      <c r="Z654" s="1302"/>
    </row>
    <row r="655" spans="1:26" ht="19.5">
      <c r="A655" s="1317"/>
      <c r="B655" s="1301"/>
      <c r="C655" s="1301" t="s">
        <v>16</v>
      </c>
      <c r="D655" s="1318" t="s">
        <v>17</v>
      </c>
      <c r="E655" s="841"/>
      <c r="F655" s="841"/>
      <c r="G655" s="1016"/>
      <c r="H655" s="597" t="s">
        <v>12</v>
      </c>
      <c r="I655" s="880"/>
      <c r="J655" s="880"/>
      <c r="K655" s="881"/>
      <c r="L655" s="1020">
        <f t="shared" ref="L655:N655" ca="1" si="273">L656+L657</f>
        <v>9400</v>
      </c>
      <c r="M655" s="1020">
        <f t="shared" ca="1" si="273"/>
        <v>9400</v>
      </c>
      <c r="N655" s="1020">
        <f t="shared" si="273"/>
        <v>4860</v>
      </c>
      <c r="O655" s="1020">
        <f t="shared" ref="O655:O660" ca="1" si="274">IF(L655&gt;0,N655*100/L655,0)</f>
        <v>51.702127659574465</v>
      </c>
      <c r="P655" s="1020">
        <f t="shared" ref="P655:P660" ca="1" si="275">IF(M655&gt;0,N655*100/M655,0)</f>
        <v>51.702127659574465</v>
      </c>
      <c r="Q655" s="1302"/>
      <c r="R655" s="1302"/>
      <c r="S655" s="1302"/>
      <c r="T655" s="1302"/>
      <c r="U655" s="1302"/>
      <c r="V655" s="1302"/>
      <c r="W655" s="1302"/>
      <c r="X655" s="1302"/>
      <c r="Y655" s="1302"/>
      <c r="Z655" s="1302"/>
    </row>
    <row r="656" spans="1:26" ht="18.75" hidden="1">
      <c r="A656" s="1319"/>
      <c r="B656" s="1320"/>
      <c r="C656" s="1320"/>
      <c r="D656" s="1321"/>
      <c r="E656" s="1320" t="s">
        <v>185</v>
      </c>
      <c r="F656" s="1320"/>
      <c r="G656" s="1322"/>
      <c r="H656" s="165" t="s">
        <v>12</v>
      </c>
      <c r="I656" s="886"/>
      <c r="J656" s="886"/>
      <c r="K656" s="887"/>
      <c r="L656" s="887">
        <f t="shared" ref="L656:N657" si="276">L659+L666</f>
        <v>0</v>
      </c>
      <c r="M656" s="887">
        <f t="shared" si="276"/>
        <v>0</v>
      </c>
      <c r="N656" s="887">
        <f t="shared" si="276"/>
        <v>0</v>
      </c>
      <c r="O656" s="887">
        <f t="shared" si="274"/>
        <v>0</v>
      </c>
      <c r="P656" s="887">
        <f t="shared" si="275"/>
        <v>0</v>
      </c>
      <c r="Q656" s="1323"/>
      <c r="R656" s="1323"/>
      <c r="S656" s="1323"/>
      <c r="T656" s="1323"/>
      <c r="U656" s="1323"/>
      <c r="V656" s="1323"/>
      <c r="W656" s="1323"/>
      <c r="X656" s="1323"/>
      <c r="Y656" s="1323"/>
      <c r="Z656" s="1323"/>
    </row>
    <row r="657" spans="1:26" ht="18.75" hidden="1">
      <c r="A657" s="1319"/>
      <c r="B657" s="1324"/>
      <c r="C657" s="1320"/>
      <c r="D657" s="1321"/>
      <c r="E657" s="1320" t="s">
        <v>186</v>
      </c>
      <c r="F657" s="1320"/>
      <c r="G657" s="1322"/>
      <c r="H657" s="165" t="s">
        <v>12</v>
      </c>
      <c r="I657" s="886"/>
      <c r="J657" s="886"/>
      <c r="K657" s="887"/>
      <c r="L657" s="887">
        <f t="shared" ca="1" si="276"/>
        <v>9400</v>
      </c>
      <c r="M657" s="887">
        <f t="shared" ca="1" si="276"/>
        <v>9400</v>
      </c>
      <c r="N657" s="887">
        <f t="shared" si="276"/>
        <v>4860</v>
      </c>
      <c r="O657" s="887">
        <f t="shared" ca="1" si="274"/>
        <v>51.702127659574465</v>
      </c>
      <c r="P657" s="887">
        <f t="shared" ca="1" si="275"/>
        <v>51.702127659574465</v>
      </c>
      <c r="Q657" s="1323"/>
      <c r="R657" s="1323"/>
      <c r="S657" s="1323"/>
      <c r="T657" s="1323"/>
      <c r="U657" s="1323"/>
      <c r="V657" s="1323"/>
      <c r="W657" s="1323"/>
      <c r="X657" s="1323"/>
      <c r="Y657" s="1323"/>
      <c r="Z657" s="1323"/>
    </row>
    <row r="658" spans="1:26" ht="18.75">
      <c r="A658" s="1317"/>
      <c r="B658" s="1300"/>
      <c r="C658" s="1301"/>
      <c r="D658" s="1325" t="s">
        <v>20</v>
      </c>
      <c r="E658" s="1301"/>
      <c r="F658" s="1301"/>
      <c r="G658" s="1016"/>
      <c r="H658" s="161" t="s">
        <v>12</v>
      </c>
      <c r="I658" s="997"/>
      <c r="J658" s="997"/>
      <c r="K658" s="998"/>
      <c r="L658" s="881">
        <f t="shared" ref="L658:N658" ca="1" si="277">L659+L660</f>
        <v>9400</v>
      </c>
      <c r="M658" s="881">
        <f t="shared" ca="1" si="277"/>
        <v>9400</v>
      </c>
      <c r="N658" s="881">
        <f t="shared" si="277"/>
        <v>4860</v>
      </c>
      <c r="O658" s="881">
        <f t="shared" ca="1" si="274"/>
        <v>51.702127659574465</v>
      </c>
      <c r="P658" s="881">
        <f t="shared" ca="1" si="275"/>
        <v>51.702127659574465</v>
      </c>
      <c r="Q658" s="1302"/>
      <c r="R658" s="1302"/>
      <c r="S658" s="1302"/>
      <c r="T658" s="1302"/>
      <c r="U658" s="1302"/>
      <c r="V658" s="1302"/>
      <c r="W658" s="1302"/>
      <c r="X658" s="1302"/>
      <c r="Y658" s="1302"/>
      <c r="Z658" s="1302"/>
    </row>
    <row r="659" spans="1:26" ht="18.75" hidden="1">
      <c r="A659" s="1319"/>
      <c r="B659" s="1324"/>
      <c r="C659" s="1320"/>
      <c r="D659" s="1321"/>
      <c r="E659" s="1320" t="s">
        <v>185</v>
      </c>
      <c r="F659" s="1320"/>
      <c r="G659" s="1322"/>
      <c r="H659" s="165" t="s">
        <v>12</v>
      </c>
      <c r="I659" s="886"/>
      <c r="J659" s="886"/>
      <c r="K659" s="887"/>
      <c r="L659" s="887">
        <v>0</v>
      </c>
      <c r="M659" s="887">
        <v>0</v>
      </c>
      <c r="N659" s="887">
        <v>0</v>
      </c>
      <c r="O659" s="887">
        <f t="shared" si="274"/>
        <v>0</v>
      </c>
      <c r="P659" s="887">
        <f t="shared" si="275"/>
        <v>0</v>
      </c>
      <c r="Q659" s="1323"/>
      <c r="R659" s="1323"/>
      <c r="S659" s="1323"/>
      <c r="T659" s="1323"/>
      <c r="U659" s="1323"/>
      <c r="V659" s="1323"/>
      <c r="W659" s="1323"/>
      <c r="X659" s="1323"/>
      <c r="Y659" s="1323"/>
      <c r="Z659" s="1323"/>
    </row>
    <row r="660" spans="1:26" ht="18.75" hidden="1">
      <c r="A660" s="1319"/>
      <c r="B660" s="1324"/>
      <c r="C660" s="1320"/>
      <c r="D660" s="1321"/>
      <c r="E660" s="1320" t="s">
        <v>186</v>
      </c>
      <c r="F660" s="1320"/>
      <c r="G660" s="1322"/>
      <c r="H660" s="165" t="s">
        <v>12</v>
      </c>
      <c r="I660" s="886"/>
      <c r="J660" s="886"/>
      <c r="K660" s="887"/>
      <c r="L660" s="887">
        <f ca="1">IFERROR(__xludf.DUMMYFUNCTION("IMPORTRANGE(""https://docs.google.com/spreadsheets/d/1QqKyyYR6Q21VydFLVH3TRQUabQu_ym0Zz7PgGX0-kHA/edit?usp=sharing"",""แผน!HV84"")"),9400)</f>
        <v>9400</v>
      </c>
      <c r="M660" s="887">
        <f ca="1">L660</f>
        <v>9400</v>
      </c>
      <c r="N660" s="887">
        <f>N661+N662+N663+N664</f>
        <v>4860</v>
      </c>
      <c r="O660" s="887">
        <f t="shared" ca="1" si="274"/>
        <v>51.702127659574465</v>
      </c>
      <c r="P660" s="887">
        <f t="shared" ca="1" si="275"/>
        <v>51.702127659574465</v>
      </c>
      <c r="Q660" s="1323"/>
      <c r="R660" s="1323"/>
      <c r="S660" s="1323"/>
      <c r="T660" s="1323"/>
      <c r="U660" s="1323"/>
      <c r="V660" s="1323"/>
      <c r="W660" s="1323"/>
      <c r="X660" s="1323"/>
      <c r="Y660" s="1323"/>
      <c r="Z660" s="1323"/>
    </row>
    <row r="661" spans="1:26" ht="18.75">
      <c r="A661" s="1299"/>
      <c r="B661" s="1300"/>
      <c r="C661" s="1301"/>
      <c r="D661" s="1301"/>
      <c r="E661" s="1301"/>
      <c r="F661" s="1301" t="s">
        <v>187</v>
      </c>
      <c r="G661" s="1016"/>
      <c r="H661" s="161" t="s">
        <v>12</v>
      </c>
      <c r="I661" s="880"/>
      <c r="J661" s="880"/>
      <c r="K661" s="881"/>
      <c r="L661" s="881"/>
      <c r="M661" s="881"/>
      <c r="N661" s="1085">
        <v>0</v>
      </c>
      <c r="O661" s="881"/>
      <c r="P661" s="881"/>
      <c r="Q661" s="1302"/>
      <c r="R661" s="1302"/>
      <c r="S661" s="1302"/>
      <c r="T661" s="1302"/>
      <c r="U661" s="1302"/>
      <c r="V661" s="1302"/>
      <c r="W661" s="1302"/>
      <c r="X661" s="1302"/>
      <c r="Y661" s="1302"/>
      <c r="Z661" s="1302"/>
    </row>
    <row r="662" spans="1:26" ht="18.75">
      <c r="A662" s="1299"/>
      <c r="B662" s="1300"/>
      <c r="C662" s="1301"/>
      <c r="D662" s="1301"/>
      <c r="E662" s="1301"/>
      <c r="F662" s="1301" t="s">
        <v>188</v>
      </c>
      <c r="G662" s="1016"/>
      <c r="H662" s="161" t="s">
        <v>12</v>
      </c>
      <c r="I662" s="880"/>
      <c r="J662" s="880"/>
      <c r="K662" s="881"/>
      <c r="L662" s="881"/>
      <c r="M662" s="881"/>
      <c r="N662" s="1085">
        <v>0</v>
      </c>
      <c r="O662" s="881"/>
      <c r="P662" s="881"/>
      <c r="Q662" s="1302"/>
      <c r="R662" s="1302"/>
      <c r="S662" s="1302"/>
      <c r="T662" s="1302"/>
      <c r="U662" s="1302"/>
      <c r="V662" s="1302"/>
      <c r="W662" s="1302"/>
      <c r="X662" s="1302"/>
      <c r="Y662" s="1302"/>
      <c r="Z662" s="1302"/>
    </row>
    <row r="663" spans="1:26" ht="18.75">
      <c r="A663" s="1299"/>
      <c r="B663" s="1300"/>
      <c r="C663" s="1300"/>
      <c r="D663" s="1301"/>
      <c r="E663" s="1301"/>
      <c r="F663" s="1301" t="s">
        <v>189</v>
      </c>
      <c r="G663" s="1016"/>
      <c r="H663" s="161" t="s">
        <v>12</v>
      </c>
      <c r="I663" s="880"/>
      <c r="J663" s="880"/>
      <c r="K663" s="881"/>
      <c r="L663" s="881"/>
      <c r="M663" s="881"/>
      <c r="N663" s="1085">
        <v>0</v>
      </c>
      <c r="O663" s="881"/>
      <c r="P663" s="881"/>
      <c r="Q663" s="1302"/>
      <c r="R663" s="1302"/>
      <c r="S663" s="1302"/>
      <c r="T663" s="1302"/>
      <c r="U663" s="1302"/>
      <c r="V663" s="1302"/>
      <c r="W663" s="1302"/>
      <c r="X663" s="1302"/>
      <c r="Y663" s="1302"/>
      <c r="Z663" s="1302"/>
    </row>
    <row r="664" spans="1:26" ht="18.75">
      <c r="A664" s="1299"/>
      <c r="B664" s="1300"/>
      <c r="C664" s="1300"/>
      <c r="D664" s="1300"/>
      <c r="E664" s="1301"/>
      <c r="F664" s="1301" t="s">
        <v>190</v>
      </c>
      <c r="G664" s="1016"/>
      <c r="H664" s="161" t="s">
        <v>12</v>
      </c>
      <c r="I664" s="880"/>
      <c r="J664" s="880"/>
      <c r="K664" s="881"/>
      <c r="L664" s="881"/>
      <c r="M664" s="881"/>
      <c r="N664" s="1085">
        <v>4860</v>
      </c>
      <c r="O664" s="881"/>
      <c r="P664" s="881"/>
      <c r="Q664" s="1302"/>
      <c r="R664" s="1302"/>
      <c r="S664" s="1302"/>
      <c r="T664" s="1302"/>
      <c r="U664" s="1302"/>
      <c r="V664" s="1302"/>
      <c r="W664" s="1302"/>
      <c r="X664" s="1302"/>
      <c r="Y664" s="1302"/>
      <c r="Z664" s="1302"/>
    </row>
    <row r="665" spans="1:26" ht="18.75">
      <c r="A665" s="1317"/>
      <c r="B665" s="1300"/>
      <c r="C665" s="1300"/>
      <c r="D665" s="1325" t="s">
        <v>21</v>
      </c>
      <c r="E665" s="1301"/>
      <c r="F665" s="1301"/>
      <c r="G665" s="1016"/>
      <c r="H665" s="168" t="s">
        <v>12</v>
      </c>
      <c r="I665" s="997"/>
      <c r="J665" s="997"/>
      <c r="K665" s="998"/>
      <c r="L665" s="881">
        <f t="shared" ref="L665:N665" si="278">L666+L667</f>
        <v>0</v>
      </c>
      <c r="M665" s="881">
        <f t="shared" si="278"/>
        <v>0</v>
      </c>
      <c r="N665" s="881">
        <f t="shared" si="278"/>
        <v>0</v>
      </c>
      <c r="O665" s="881">
        <f t="shared" ref="O665:O667" si="279">IF(L665&gt;0,N665*100/L665,0)</f>
        <v>0</v>
      </c>
      <c r="P665" s="881">
        <f t="shared" ref="P665:P667" si="280">IF(M665&gt;0,N665*100/M665,0)</f>
        <v>0</v>
      </c>
      <c r="Q665" s="1302"/>
      <c r="R665" s="1302"/>
      <c r="S665" s="1302"/>
      <c r="T665" s="1302"/>
      <c r="U665" s="1302"/>
      <c r="V665" s="1302"/>
      <c r="W665" s="1302"/>
      <c r="X665" s="1302"/>
      <c r="Y665" s="1302"/>
      <c r="Z665" s="1302"/>
    </row>
    <row r="666" spans="1:26" ht="18.75" hidden="1">
      <c r="A666" s="1319"/>
      <c r="B666" s="1324"/>
      <c r="C666" s="1324"/>
      <c r="D666" s="1324"/>
      <c r="E666" s="1320" t="s">
        <v>18</v>
      </c>
      <c r="F666" s="1320"/>
      <c r="G666" s="1322"/>
      <c r="H666" s="165" t="s">
        <v>12</v>
      </c>
      <c r="I666" s="1000"/>
      <c r="J666" s="1000"/>
      <c r="K666" s="1001"/>
      <c r="L666" s="887">
        <v>0</v>
      </c>
      <c r="M666" s="887">
        <v>0</v>
      </c>
      <c r="N666" s="887">
        <v>0</v>
      </c>
      <c r="O666" s="887">
        <f t="shared" si="279"/>
        <v>0</v>
      </c>
      <c r="P666" s="887">
        <f t="shared" si="280"/>
        <v>0</v>
      </c>
      <c r="Q666" s="1323"/>
      <c r="R666" s="1323"/>
      <c r="S666" s="1323"/>
      <c r="T666" s="1323"/>
      <c r="U666" s="1323"/>
      <c r="V666" s="1323"/>
      <c r="W666" s="1323"/>
      <c r="X666" s="1323"/>
      <c r="Y666" s="1323"/>
      <c r="Z666" s="1323"/>
    </row>
    <row r="667" spans="1:26" ht="18.75" hidden="1">
      <c r="A667" s="1319"/>
      <c r="B667" s="1324"/>
      <c r="C667" s="1324"/>
      <c r="D667" s="1324"/>
      <c r="E667" s="1320" t="s">
        <v>19</v>
      </c>
      <c r="F667" s="1320"/>
      <c r="G667" s="1322"/>
      <c r="H667" s="169" t="s">
        <v>12</v>
      </c>
      <c r="I667" s="1000"/>
      <c r="J667" s="1000"/>
      <c r="K667" s="1001"/>
      <c r="L667" s="887">
        <v>0</v>
      </c>
      <c r="M667" s="887">
        <v>0</v>
      </c>
      <c r="N667" s="887">
        <v>0</v>
      </c>
      <c r="O667" s="887">
        <f t="shared" si="279"/>
        <v>0</v>
      </c>
      <c r="P667" s="887">
        <f t="shared" si="280"/>
        <v>0</v>
      </c>
      <c r="Q667" s="1323"/>
      <c r="R667" s="1323"/>
      <c r="S667" s="1323"/>
      <c r="T667" s="1323"/>
      <c r="U667" s="1323"/>
      <c r="V667" s="1323"/>
      <c r="W667" s="1323"/>
      <c r="X667" s="1323"/>
      <c r="Y667" s="1323"/>
      <c r="Z667" s="1323"/>
    </row>
    <row r="668" spans="1:26" ht="19.5">
      <c r="A668" s="1326"/>
      <c r="B668" s="1327"/>
      <c r="C668" s="1300" t="s">
        <v>16</v>
      </c>
      <c r="D668" s="1328" t="s">
        <v>38</v>
      </c>
      <c r="E668" s="1330"/>
      <c r="F668" s="1330"/>
      <c r="G668" s="1331"/>
      <c r="H668" s="1007"/>
      <c r="I668" s="997"/>
      <c r="J668" s="997"/>
      <c r="K668" s="998"/>
      <c r="L668" s="998"/>
      <c r="M668" s="998"/>
      <c r="N668" s="998"/>
      <c r="O668" s="998"/>
      <c r="P668" s="998"/>
      <c r="Q668" s="1302"/>
      <c r="R668" s="1302"/>
      <c r="S668" s="1302"/>
      <c r="T668" s="1302"/>
      <c r="U668" s="1302"/>
      <c r="V668" s="1302"/>
      <c r="W668" s="1302"/>
      <c r="X668" s="1302"/>
      <c r="Y668" s="1302"/>
      <c r="Z668" s="1302"/>
    </row>
    <row r="669" spans="1:26" ht="19.5">
      <c r="A669" s="1326"/>
      <c r="B669" s="1327"/>
      <c r="C669" s="1327"/>
      <c r="D669" s="1327" t="s">
        <v>281</v>
      </c>
      <c r="E669" s="1014"/>
      <c r="F669" s="1014"/>
      <c r="G669" s="1007"/>
      <c r="H669" s="765" t="s">
        <v>46</v>
      </c>
      <c r="I669" s="1019">
        <f ca="1">IFERROR(__xludf.DUMMYFUNCTION("IMPORTRANGE(""https://docs.google.com/spreadsheets/d/1QqKyyYR6Q21VydFLVH3TRQUabQu_ym0Zz7PgGX0-kHA/edit?usp=sharing"",""แผน!IA84"")"),50)</f>
        <v>50</v>
      </c>
      <c r="J669" s="1019">
        <f>J675</f>
        <v>0</v>
      </c>
      <c r="K669" s="1020">
        <f ca="1">IF(I669&gt;0,J669*100/I669,0)</f>
        <v>0</v>
      </c>
      <c r="L669" s="998"/>
      <c r="M669" s="998"/>
      <c r="N669" s="998"/>
      <c r="O669" s="998"/>
      <c r="P669" s="998"/>
      <c r="Q669" s="1302"/>
      <c r="R669" s="1302"/>
      <c r="S669" s="1302"/>
      <c r="T669" s="1302"/>
      <c r="U669" s="1302"/>
      <c r="V669" s="1302"/>
      <c r="W669" s="1302"/>
      <c r="X669" s="1302"/>
      <c r="Y669" s="1302"/>
      <c r="Z669" s="1302"/>
    </row>
    <row r="670" spans="1:26" ht="18.75">
      <c r="A670" s="1326"/>
      <c r="B670" s="1327"/>
      <c r="C670" s="1327"/>
      <c r="D670" s="1327"/>
      <c r="E670" s="1014" t="s">
        <v>282</v>
      </c>
      <c r="F670" s="1014"/>
      <c r="G670" s="1007"/>
      <c r="H670" s="762" t="s">
        <v>66</v>
      </c>
      <c r="I670" s="880">
        <f ca="1">IFERROR(__xludf.DUMMYFUNCTION("IMPORTRANGE(""https://docs.google.com/spreadsheets/d/1QqKyyYR6Q21VydFLVH3TRQUabQu_ym0Zz7PgGX0-kHA/edit?usp=sharing"",""แผน!HZ84"")"),4)</f>
        <v>4</v>
      </c>
      <c r="J670" s="1012">
        <v>4</v>
      </c>
      <c r="K670" s="881">
        <f ca="1">IF(I670&gt;0,(J670*100)/I670,0)</f>
        <v>100</v>
      </c>
      <c r="L670" s="998"/>
      <c r="M670" s="998"/>
      <c r="N670" s="998"/>
      <c r="O670" s="998"/>
      <c r="P670" s="998"/>
      <c r="Q670" s="1302"/>
      <c r="R670" s="1302"/>
      <c r="S670" s="1302"/>
      <c r="T670" s="1302"/>
      <c r="U670" s="1302"/>
      <c r="V670" s="1302"/>
      <c r="W670" s="1302"/>
      <c r="X670" s="1302"/>
      <c r="Y670" s="1302"/>
      <c r="Z670" s="1302"/>
    </row>
    <row r="671" spans="1:26" ht="18.75">
      <c r="A671" s="1326"/>
      <c r="B671" s="1327"/>
      <c r="C671" s="1327"/>
      <c r="D671" s="1327"/>
      <c r="E671" s="1014" t="s">
        <v>283</v>
      </c>
      <c r="F671" s="1014"/>
      <c r="G671" s="1007"/>
      <c r="H671" s="762" t="s">
        <v>66</v>
      </c>
      <c r="I671" s="880">
        <f ca="1">IFERROR(__xludf.DUMMYFUNCTION("IMPORTRANGE(""https://docs.google.com/spreadsheets/d/1QqKyyYR6Q21VydFLVH3TRQUabQu_ym0Zz7PgGX0-kHA/edit?usp=sharing"",""แผน!HZ84"")"),4)</f>
        <v>4</v>
      </c>
      <c r="J671" s="1012">
        <v>4</v>
      </c>
      <c r="K671" s="881">
        <f ca="1">IF(I$671&gt;0,J671*100/I$671,0)</f>
        <v>100</v>
      </c>
      <c r="L671" s="998"/>
      <c r="M671" s="998"/>
      <c r="N671" s="998"/>
      <c r="O671" s="998"/>
      <c r="P671" s="998"/>
      <c r="Q671" s="1302"/>
      <c r="R671" s="1302"/>
      <c r="S671" s="1302"/>
      <c r="T671" s="1302"/>
      <c r="U671" s="1302"/>
      <c r="V671" s="1302"/>
      <c r="W671" s="1302"/>
      <c r="X671" s="1302"/>
      <c r="Y671" s="1302"/>
      <c r="Z671" s="1302"/>
    </row>
    <row r="672" spans="1:26" ht="18.75">
      <c r="A672" s="1326"/>
      <c r="B672" s="1327"/>
      <c r="C672" s="1327"/>
      <c r="D672" s="1327"/>
      <c r="E672" s="1014" t="s">
        <v>284</v>
      </c>
      <c r="F672" s="1014"/>
      <c r="G672" s="1007"/>
      <c r="H672" s="762" t="s">
        <v>46</v>
      </c>
      <c r="I672" s="880"/>
      <c r="J672" s="1012">
        <v>202</v>
      </c>
      <c r="K672" s="881">
        <f t="shared" ref="K672:K675" ca="1" si="281">IF(I$669&gt;0,J672*100/I$669,0)</f>
        <v>404</v>
      </c>
      <c r="L672" s="998"/>
      <c r="M672" s="998"/>
      <c r="N672" s="998"/>
      <c r="O672" s="998"/>
      <c r="P672" s="998"/>
      <c r="Q672" s="1302"/>
      <c r="R672" s="1302"/>
      <c r="S672" s="1302"/>
      <c r="T672" s="1302"/>
      <c r="U672" s="1302"/>
      <c r="V672" s="1302"/>
      <c r="W672" s="1302"/>
      <c r="X672" s="1302"/>
      <c r="Y672" s="1302"/>
      <c r="Z672" s="1302"/>
    </row>
    <row r="673" spans="1:26" ht="18.75">
      <c r="A673" s="1326"/>
      <c r="B673" s="1327"/>
      <c r="C673" s="1327"/>
      <c r="D673" s="1327"/>
      <c r="E673" s="1014" t="s">
        <v>285</v>
      </c>
      <c r="F673" s="1014"/>
      <c r="G673" s="1007"/>
      <c r="H673" s="762" t="s">
        <v>46</v>
      </c>
      <c r="I673" s="880"/>
      <c r="J673" s="1012">
        <v>0</v>
      </c>
      <c r="K673" s="881">
        <f t="shared" ca="1" si="281"/>
        <v>0</v>
      </c>
      <c r="L673" s="998"/>
      <c r="M673" s="998"/>
      <c r="N673" s="998"/>
      <c r="O673" s="998"/>
      <c r="P673" s="998"/>
      <c r="Q673" s="1302"/>
      <c r="R673" s="1302"/>
      <c r="S673" s="1302"/>
      <c r="T673" s="1302"/>
      <c r="U673" s="1302"/>
      <c r="V673" s="1302"/>
      <c r="W673" s="1302"/>
      <c r="X673" s="1302"/>
      <c r="Y673" s="1302"/>
      <c r="Z673" s="1302"/>
    </row>
    <row r="674" spans="1:26" ht="18.75">
      <c r="A674" s="1326"/>
      <c r="B674" s="1327"/>
      <c r="C674" s="1327"/>
      <c r="D674" s="1327"/>
      <c r="E674" s="1014" t="s">
        <v>286</v>
      </c>
      <c r="F674" s="1014"/>
      <c r="G674" s="1007"/>
      <c r="H674" s="762" t="s">
        <v>46</v>
      </c>
      <c r="I674" s="880"/>
      <c r="J674" s="1012">
        <v>0</v>
      </c>
      <c r="K674" s="881">
        <f t="shared" ca="1" si="281"/>
        <v>0</v>
      </c>
      <c r="L674" s="998"/>
      <c r="M674" s="998"/>
      <c r="N674" s="998"/>
      <c r="O674" s="998"/>
      <c r="P674" s="998"/>
      <c r="Q674" s="1302"/>
      <c r="R674" s="1302"/>
      <c r="S674" s="1302"/>
      <c r="T674" s="1302"/>
      <c r="U674" s="1302"/>
      <c r="V674" s="1302"/>
      <c r="W674" s="1302"/>
      <c r="X674" s="1302"/>
      <c r="Y674" s="1302"/>
      <c r="Z674" s="1302"/>
    </row>
    <row r="675" spans="1:26" ht="19.5">
      <c r="A675" s="1326"/>
      <c r="B675" s="1327"/>
      <c r="C675" s="1327"/>
      <c r="D675" s="1327"/>
      <c r="E675" s="1014" t="s">
        <v>287</v>
      </c>
      <c r="F675" s="1014"/>
      <c r="G675" s="1007"/>
      <c r="H675" s="762" t="s">
        <v>46</v>
      </c>
      <c r="I675" s="880"/>
      <c r="J675" s="1019">
        <f>J676+J677</f>
        <v>0</v>
      </c>
      <c r="K675" s="1020">
        <f t="shared" ca="1" si="281"/>
        <v>0</v>
      </c>
      <c r="L675" s="998"/>
      <c r="M675" s="998"/>
      <c r="N675" s="998"/>
      <c r="O675" s="998"/>
      <c r="P675" s="998"/>
      <c r="Q675" s="1302"/>
      <c r="R675" s="1302"/>
      <c r="S675" s="1302"/>
      <c r="T675" s="1302"/>
      <c r="U675" s="1302"/>
      <c r="V675" s="1302"/>
      <c r="W675" s="1302"/>
      <c r="X675" s="1302"/>
      <c r="Y675" s="1302"/>
      <c r="Z675" s="1302"/>
    </row>
    <row r="676" spans="1:26" ht="18.75">
      <c r="A676" s="1326"/>
      <c r="B676" s="1327"/>
      <c r="C676" s="1327"/>
      <c r="D676" s="1327"/>
      <c r="E676" s="1014"/>
      <c r="F676" s="1014" t="s">
        <v>288</v>
      </c>
      <c r="G676" s="1007"/>
      <c r="H676" s="762" t="s">
        <v>46</v>
      </c>
      <c r="I676" s="880"/>
      <c r="J676" s="1012">
        <v>0</v>
      </c>
      <c r="K676" s="881"/>
      <c r="L676" s="998"/>
      <c r="M676" s="998"/>
      <c r="N676" s="998"/>
      <c r="O676" s="998"/>
      <c r="P676" s="998"/>
      <c r="Q676" s="1302"/>
      <c r="R676" s="1302"/>
      <c r="S676" s="1302"/>
      <c r="T676" s="1302"/>
      <c r="U676" s="1302"/>
      <c r="V676" s="1302"/>
      <c r="W676" s="1302"/>
      <c r="X676" s="1302"/>
      <c r="Y676" s="1302"/>
      <c r="Z676" s="1302"/>
    </row>
    <row r="677" spans="1:26" ht="18.75">
      <c r="A677" s="1326"/>
      <c r="B677" s="1327"/>
      <c r="C677" s="1327"/>
      <c r="D677" s="1327"/>
      <c r="E677" s="1014"/>
      <c r="F677" s="1014" t="s">
        <v>289</v>
      </c>
      <c r="G677" s="1007"/>
      <c r="H677" s="762" t="s">
        <v>46</v>
      </c>
      <c r="I677" s="880"/>
      <c r="J677" s="1012">
        <v>0</v>
      </c>
      <c r="K677" s="881"/>
      <c r="L677" s="998"/>
      <c r="M677" s="998"/>
      <c r="N677" s="998"/>
      <c r="O677" s="998"/>
      <c r="P677" s="998"/>
      <c r="Q677" s="1302"/>
      <c r="R677" s="1302"/>
      <c r="S677" s="1302"/>
      <c r="T677" s="1302"/>
      <c r="U677" s="1302"/>
      <c r="V677" s="1302"/>
      <c r="W677" s="1302"/>
      <c r="X677" s="1302"/>
      <c r="Y677" s="1302"/>
      <c r="Z677" s="1302"/>
    </row>
    <row r="678" spans="1:26" ht="19.5">
      <c r="A678" s="1326"/>
      <c r="B678" s="1327"/>
      <c r="C678" s="1327"/>
      <c r="D678" s="1327" t="s">
        <v>290</v>
      </c>
      <c r="E678" s="1014"/>
      <c r="F678" s="1014"/>
      <c r="G678" s="1007"/>
      <c r="H678" s="762" t="s">
        <v>46</v>
      </c>
      <c r="I678" s="1019">
        <f ca="1">IFERROR(__xludf.DUMMYFUNCTION("IMPORTRANGE(""https://docs.google.com/spreadsheets/d/1QqKyyYR6Q21VydFLVH3TRQUabQu_ym0Zz7PgGX0-kHA/edit?usp=sharing"",""แผน!IB84"")"),0)</f>
        <v>0</v>
      </c>
      <c r="J678" s="1019">
        <f>J679</f>
        <v>0</v>
      </c>
      <c r="K678" s="1020">
        <f ca="1">IF(I678&gt;0,J678*100/I678,0)</f>
        <v>0</v>
      </c>
      <c r="L678" s="998"/>
      <c r="M678" s="998"/>
      <c r="N678" s="998"/>
      <c r="O678" s="998"/>
      <c r="P678" s="998"/>
      <c r="Q678" s="1302"/>
      <c r="R678" s="1302"/>
      <c r="S678" s="1302"/>
      <c r="T678" s="1302"/>
      <c r="U678" s="1302"/>
      <c r="V678" s="1302"/>
      <c r="W678" s="1302"/>
      <c r="X678" s="1302"/>
      <c r="Y678" s="1302"/>
      <c r="Z678" s="1302"/>
    </row>
    <row r="679" spans="1:26" ht="18.75">
      <c r="A679" s="1326"/>
      <c r="B679" s="1327"/>
      <c r="C679" s="1327"/>
      <c r="D679" s="1327"/>
      <c r="E679" s="1014" t="s">
        <v>291</v>
      </c>
      <c r="F679" s="1014"/>
      <c r="G679" s="1007"/>
      <c r="H679" s="762" t="s">
        <v>46</v>
      </c>
      <c r="I679" s="880"/>
      <c r="J679" s="880">
        <f>J680+J681</f>
        <v>0</v>
      </c>
      <c r="K679" s="881"/>
      <c r="L679" s="998"/>
      <c r="M679" s="998"/>
      <c r="N679" s="998"/>
      <c r="O679" s="998"/>
      <c r="P679" s="998"/>
      <c r="Q679" s="1302"/>
      <c r="R679" s="1302"/>
      <c r="S679" s="1302"/>
      <c r="T679" s="1302"/>
      <c r="U679" s="1302"/>
      <c r="V679" s="1302"/>
      <c r="W679" s="1302"/>
      <c r="X679" s="1302"/>
      <c r="Y679" s="1302"/>
      <c r="Z679" s="1302"/>
    </row>
    <row r="680" spans="1:26" ht="18.75">
      <c r="A680" s="1326"/>
      <c r="B680" s="1327"/>
      <c r="C680" s="1327"/>
      <c r="D680" s="1327"/>
      <c r="E680" s="1014"/>
      <c r="F680" s="1014" t="s">
        <v>288</v>
      </c>
      <c r="G680" s="1007"/>
      <c r="H680" s="762" t="s">
        <v>46</v>
      </c>
      <c r="I680" s="880"/>
      <c r="J680" s="1012">
        <v>0</v>
      </c>
      <c r="K680" s="881"/>
      <c r="L680" s="998"/>
      <c r="M680" s="998"/>
      <c r="N680" s="998"/>
      <c r="O680" s="998"/>
      <c r="P680" s="998"/>
      <c r="Q680" s="1302"/>
      <c r="R680" s="1302"/>
      <c r="S680" s="1302"/>
      <c r="T680" s="1302"/>
      <c r="U680" s="1302"/>
      <c r="V680" s="1302"/>
      <c r="W680" s="1302"/>
      <c r="X680" s="1302"/>
      <c r="Y680" s="1302"/>
      <c r="Z680" s="1302"/>
    </row>
    <row r="681" spans="1:26" ht="18.75">
      <c r="A681" s="1326"/>
      <c r="B681" s="1327"/>
      <c r="C681" s="1327"/>
      <c r="D681" s="1327"/>
      <c r="E681" s="1014"/>
      <c r="F681" s="1014" t="s">
        <v>289</v>
      </c>
      <c r="G681" s="1007"/>
      <c r="H681" s="762" t="s">
        <v>46</v>
      </c>
      <c r="I681" s="880"/>
      <c r="J681" s="1012">
        <v>0</v>
      </c>
      <c r="K681" s="881"/>
      <c r="L681" s="998"/>
      <c r="M681" s="998"/>
      <c r="N681" s="998"/>
      <c r="O681" s="998"/>
      <c r="P681" s="998"/>
      <c r="Q681" s="1302"/>
      <c r="R681" s="1302"/>
      <c r="S681" s="1302"/>
      <c r="T681" s="1302"/>
      <c r="U681" s="1302"/>
      <c r="V681" s="1302"/>
      <c r="W681" s="1302"/>
      <c r="X681" s="1302"/>
      <c r="Y681" s="1302"/>
      <c r="Z681" s="1302"/>
    </row>
    <row r="682" spans="1:26" ht="18.75">
      <c r="A682" s="1326"/>
      <c r="B682" s="1327"/>
      <c r="C682" s="1327"/>
      <c r="D682" s="1327"/>
      <c r="E682" s="1014" t="s">
        <v>292</v>
      </c>
      <c r="F682" s="1014"/>
      <c r="G682" s="1007"/>
      <c r="H682" s="762" t="s">
        <v>46</v>
      </c>
      <c r="I682" s="880"/>
      <c r="J682" s="1012">
        <v>0</v>
      </c>
      <c r="K682" s="881"/>
      <c r="L682" s="998"/>
      <c r="M682" s="998"/>
      <c r="N682" s="998"/>
      <c r="O682" s="998"/>
      <c r="P682" s="998"/>
      <c r="Q682" s="1302"/>
      <c r="R682" s="1302"/>
      <c r="S682" s="1302"/>
      <c r="T682" s="1302"/>
      <c r="U682" s="1302"/>
      <c r="V682" s="1302"/>
      <c r="W682" s="1302"/>
      <c r="X682" s="1302"/>
      <c r="Y682" s="1302"/>
      <c r="Z682" s="1302"/>
    </row>
    <row r="683" spans="1:26" ht="18.75">
      <c r="A683" s="1326"/>
      <c r="B683" s="1327"/>
      <c r="C683" s="1327"/>
      <c r="D683" s="1327"/>
      <c r="E683" s="1014"/>
      <c r="F683" s="1014" t="s">
        <v>293</v>
      </c>
      <c r="G683" s="1007"/>
      <c r="H683" s="762" t="s">
        <v>46</v>
      </c>
      <c r="I683" s="880"/>
      <c r="J683" s="1012">
        <v>0</v>
      </c>
      <c r="K683" s="881"/>
      <c r="L683" s="998"/>
      <c r="M683" s="998"/>
      <c r="N683" s="998"/>
      <c r="O683" s="998"/>
      <c r="P683" s="998"/>
      <c r="Q683" s="1302"/>
      <c r="R683" s="1302"/>
      <c r="S683" s="1302"/>
      <c r="T683" s="1302"/>
      <c r="U683" s="1302"/>
      <c r="V683" s="1302"/>
      <c r="W683" s="1302"/>
      <c r="X683" s="1302"/>
      <c r="Y683" s="1302"/>
      <c r="Z683" s="1302"/>
    </row>
    <row r="684" spans="1:26" ht="19.5" hidden="1">
      <c r="A684" s="1434"/>
      <c r="B684" s="1435" t="s">
        <v>294</v>
      </c>
      <c r="C684" s="1434"/>
      <c r="D684" s="1434"/>
      <c r="E684" s="1434"/>
      <c r="F684" s="1434"/>
      <c r="G684" s="1436"/>
      <c r="H684" s="1436"/>
      <c r="I684" s="1437"/>
      <c r="J684" s="1437"/>
      <c r="K684" s="1438"/>
      <c r="L684" s="1438"/>
      <c r="M684" s="1438"/>
      <c r="N684" s="1438"/>
      <c r="O684" s="1438"/>
      <c r="P684" s="1438"/>
      <c r="Q684" s="1302"/>
      <c r="R684" s="1302"/>
      <c r="S684" s="1302"/>
      <c r="T684" s="1302"/>
      <c r="U684" s="1302"/>
      <c r="V684" s="1302"/>
      <c r="W684" s="1302"/>
      <c r="X684" s="1302"/>
      <c r="Y684" s="1302"/>
      <c r="Z684" s="1302"/>
    </row>
    <row r="685" spans="1:26" ht="19.5" hidden="1">
      <c r="A685" s="1317"/>
      <c r="B685" s="1301"/>
      <c r="C685" s="1301" t="s">
        <v>16</v>
      </c>
      <c r="D685" s="1318" t="s">
        <v>17</v>
      </c>
      <c r="E685" s="841"/>
      <c r="F685" s="841"/>
      <c r="G685" s="1016"/>
      <c r="H685" s="597" t="s">
        <v>12</v>
      </c>
      <c r="I685" s="880"/>
      <c r="J685" s="880"/>
      <c r="K685" s="881"/>
      <c r="L685" s="1020">
        <f t="shared" ref="L685:N685" ca="1" si="282">L686+L687</f>
        <v>0</v>
      </c>
      <c r="M685" s="1020">
        <f t="shared" si="282"/>
        <v>0</v>
      </c>
      <c r="N685" s="1020">
        <f t="shared" si="282"/>
        <v>0</v>
      </c>
      <c r="O685" s="1020">
        <f t="shared" ref="O685:O688" ca="1" si="283">IF(L685&gt;0,N685*100/L685,0)</f>
        <v>0</v>
      </c>
      <c r="P685" s="1020">
        <f t="shared" ref="P685:P688" si="284">IF(M685&gt;0,N685*100/M685,0)</f>
        <v>0</v>
      </c>
      <c r="Q685" s="1302"/>
      <c r="R685" s="1302"/>
      <c r="S685" s="1302"/>
      <c r="T685" s="1302"/>
      <c r="U685" s="1302"/>
      <c r="V685" s="1302"/>
      <c r="W685" s="1302"/>
      <c r="X685" s="1302"/>
      <c r="Y685" s="1302"/>
      <c r="Z685" s="1302"/>
    </row>
    <row r="686" spans="1:26" ht="18.75" hidden="1">
      <c r="A686" s="1319"/>
      <c r="B686" s="1320"/>
      <c r="C686" s="1320"/>
      <c r="D686" s="1321"/>
      <c r="E686" s="1320" t="s">
        <v>185</v>
      </c>
      <c r="F686" s="1320"/>
      <c r="G686" s="1322"/>
      <c r="H686" s="165" t="s">
        <v>12</v>
      </c>
      <c r="I686" s="886"/>
      <c r="J686" s="886"/>
      <c r="K686" s="887"/>
      <c r="L686" s="887">
        <f t="shared" ref="L686:N687" si="285">L689+L696</f>
        <v>0</v>
      </c>
      <c r="M686" s="887">
        <f t="shared" si="285"/>
        <v>0</v>
      </c>
      <c r="N686" s="887">
        <f t="shared" si="285"/>
        <v>0</v>
      </c>
      <c r="O686" s="887">
        <f t="shared" si="283"/>
        <v>0</v>
      </c>
      <c r="P686" s="887">
        <f t="shared" si="284"/>
        <v>0</v>
      </c>
      <c r="Q686" s="1323"/>
      <c r="R686" s="1323"/>
      <c r="S686" s="1323"/>
      <c r="T686" s="1323"/>
      <c r="U686" s="1323"/>
      <c r="V686" s="1323"/>
      <c r="W686" s="1323"/>
      <c r="X686" s="1323"/>
      <c r="Y686" s="1323"/>
      <c r="Z686" s="1323"/>
    </row>
    <row r="687" spans="1:26" ht="18.75" hidden="1">
      <c r="A687" s="1319"/>
      <c r="B687" s="1324"/>
      <c r="C687" s="1320"/>
      <c r="D687" s="1321"/>
      <c r="E687" s="1320" t="s">
        <v>186</v>
      </c>
      <c r="F687" s="1320"/>
      <c r="G687" s="1322"/>
      <c r="H687" s="165" t="s">
        <v>12</v>
      </c>
      <c r="I687" s="886"/>
      <c r="J687" s="886"/>
      <c r="K687" s="887"/>
      <c r="L687" s="887">
        <f t="shared" ca="1" si="285"/>
        <v>0</v>
      </c>
      <c r="M687" s="887">
        <f t="shared" si="285"/>
        <v>0</v>
      </c>
      <c r="N687" s="887">
        <f t="shared" si="285"/>
        <v>0</v>
      </c>
      <c r="O687" s="887">
        <f t="shared" ca="1" si="283"/>
        <v>0</v>
      </c>
      <c r="P687" s="887">
        <f t="shared" si="284"/>
        <v>0</v>
      </c>
      <c r="Q687" s="1323"/>
      <c r="R687" s="1323"/>
      <c r="S687" s="1323"/>
      <c r="T687" s="1323"/>
      <c r="U687" s="1323"/>
      <c r="V687" s="1323"/>
      <c r="W687" s="1323"/>
      <c r="X687" s="1323"/>
      <c r="Y687" s="1323"/>
      <c r="Z687" s="1323"/>
    </row>
    <row r="688" spans="1:26" ht="18.75" hidden="1">
      <c r="A688" s="1317"/>
      <c r="B688" s="1300"/>
      <c r="C688" s="1301"/>
      <c r="D688" s="1325" t="s">
        <v>20</v>
      </c>
      <c r="E688" s="1301"/>
      <c r="F688" s="1301"/>
      <c r="G688" s="1016"/>
      <c r="H688" s="161" t="s">
        <v>12</v>
      </c>
      <c r="I688" s="997"/>
      <c r="J688" s="997"/>
      <c r="K688" s="998"/>
      <c r="L688" s="881">
        <f t="shared" ref="L688:N688" ca="1" si="286">L689+L690</f>
        <v>0</v>
      </c>
      <c r="M688" s="881">
        <f t="shared" si="286"/>
        <v>0</v>
      </c>
      <c r="N688" s="881">
        <f t="shared" si="286"/>
        <v>0</v>
      </c>
      <c r="O688" s="881">
        <f t="shared" ca="1" si="283"/>
        <v>0</v>
      </c>
      <c r="P688" s="881">
        <f t="shared" si="284"/>
        <v>0</v>
      </c>
      <c r="Q688" s="1302"/>
      <c r="R688" s="1302"/>
      <c r="S688" s="1302"/>
      <c r="T688" s="1302"/>
      <c r="U688" s="1302"/>
      <c r="V688" s="1302"/>
      <c r="W688" s="1302"/>
      <c r="X688" s="1302"/>
      <c r="Y688" s="1302"/>
      <c r="Z688" s="1302"/>
    </row>
    <row r="689" spans="1:26" ht="18.75" hidden="1">
      <c r="A689" s="1319"/>
      <c r="B689" s="1324"/>
      <c r="C689" s="1320"/>
      <c r="D689" s="1321"/>
      <c r="E689" s="1320" t="s">
        <v>185</v>
      </c>
      <c r="F689" s="1320"/>
      <c r="G689" s="1322"/>
      <c r="H689" s="165" t="s">
        <v>12</v>
      </c>
      <c r="I689" s="886"/>
      <c r="J689" s="886"/>
      <c r="K689" s="887"/>
      <c r="L689" s="887">
        <v>0</v>
      </c>
      <c r="M689" s="887">
        <v>0</v>
      </c>
      <c r="N689" s="887">
        <v>0</v>
      </c>
      <c r="O689" s="887"/>
      <c r="P689" s="887"/>
      <c r="Q689" s="1323"/>
      <c r="R689" s="1323"/>
      <c r="S689" s="1323"/>
      <c r="T689" s="1323"/>
      <c r="U689" s="1323"/>
      <c r="V689" s="1323"/>
      <c r="W689" s="1323"/>
      <c r="X689" s="1323"/>
      <c r="Y689" s="1323"/>
      <c r="Z689" s="1323"/>
    </row>
    <row r="690" spans="1:26" ht="18.75" hidden="1">
      <c r="A690" s="1319"/>
      <c r="B690" s="1324"/>
      <c r="C690" s="1320"/>
      <c r="D690" s="1321"/>
      <c r="E690" s="1320" t="s">
        <v>186</v>
      </c>
      <c r="F690" s="1320"/>
      <c r="G690" s="1322"/>
      <c r="H690" s="165" t="s">
        <v>12</v>
      </c>
      <c r="I690" s="886"/>
      <c r="J690" s="886"/>
      <c r="K690" s="887"/>
      <c r="L690" s="887">
        <f ca="1">IFERROR(__xludf.DUMMYFUNCTION("IMPORTRANGE(""https://docs.google.com/spreadsheets/d/1QqKyyYR6Q21VydFLVH3TRQUabQu_ym0Zz7PgGX0-kHA/edit?usp=sharing"",""แผน!HW84"")"),0)</f>
        <v>0</v>
      </c>
      <c r="M690" s="887">
        <v>0</v>
      </c>
      <c r="N690" s="887">
        <f>N691+N692+N693+N694</f>
        <v>0</v>
      </c>
      <c r="O690" s="887">
        <f ca="1">IF(L690&gt;0,N690*100/L690,0)</f>
        <v>0</v>
      </c>
      <c r="P690" s="887">
        <f>IF(M690&gt;0,N690*100/M690,0)</f>
        <v>0</v>
      </c>
      <c r="Q690" s="1323"/>
      <c r="R690" s="1323"/>
      <c r="S690" s="1323"/>
      <c r="T690" s="1323"/>
      <c r="U690" s="1323"/>
      <c r="V690" s="1323"/>
      <c r="W690" s="1323"/>
      <c r="X690" s="1323"/>
      <c r="Y690" s="1323"/>
      <c r="Z690" s="1323"/>
    </row>
    <row r="691" spans="1:26" ht="18.75" hidden="1">
      <c r="A691" s="1299"/>
      <c r="B691" s="1300"/>
      <c r="C691" s="1301"/>
      <c r="D691" s="1301"/>
      <c r="E691" s="1301"/>
      <c r="F691" s="1301" t="s">
        <v>187</v>
      </c>
      <c r="G691" s="1016"/>
      <c r="H691" s="161" t="s">
        <v>12</v>
      </c>
      <c r="I691" s="880"/>
      <c r="J691" s="880"/>
      <c r="K691" s="881"/>
      <c r="L691" s="881"/>
      <c r="M691" s="881"/>
      <c r="N691" s="1085">
        <v>0</v>
      </c>
      <c r="O691" s="881"/>
      <c r="P691" s="881"/>
      <c r="Q691" s="1302"/>
      <c r="R691" s="1302"/>
      <c r="S691" s="1302"/>
      <c r="T691" s="1302"/>
      <c r="U691" s="1302"/>
      <c r="V691" s="1302"/>
      <c r="W691" s="1302"/>
      <c r="X691" s="1302"/>
      <c r="Y691" s="1302"/>
      <c r="Z691" s="1302"/>
    </row>
    <row r="692" spans="1:26" ht="18.75" hidden="1">
      <c r="A692" s="1299"/>
      <c r="B692" s="1300"/>
      <c r="C692" s="1301"/>
      <c r="D692" s="1301"/>
      <c r="E692" s="1301"/>
      <c r="F692" s="1301" t="s">
        <v>188</v>
      </c>
      <c r="G692" s="1016"/>
      <c r="H692" s="161" t="s">
        <v>12</v>
      </c>
      <c r="I692" s="880"/>
      <c r="J692" s="880"/>
      <c r="K692" s="881"/>
      <c r="L692" s="881"/>
      <c r="M692" s="881"/>
      <c r="N692" s="1085">
        <v>0</v>
      </c>
      <c r="O692" s="881"/>
      <c r="P692" s="881"/>
      <c r="Q692" s="1302"/>
      <c r="R692" s="1302"/>
      <c r="S692" s="1302"/>
      <c r="T692" s="1302"/>
      <c r="U692" s="1302"/>
      <c r="V692" s="1302"/>
      <c r="W692" s="1302"/>
      <c r="X692" s="1302"/>
      <c r="Y692" s="1302"/>
      <c r="Z692" s="1302"/>
    </row>
    <row r="693" spans="1:26" ht="18.75" hidden="1">
      <c r="A693" s="1299"/>
      <c r="B693" s="1300"/>
      <c r="C693" s="1301"/>
      <c r="D693" s="1301"/>
      <c r="E693" s="1301"/>
      <c r="F693" s="1301" t="s">
        <v>189</v>
      </c>
      <c r="G693" s="1016"/>
      <c r="H693" s="161" t="s">
        <v>12</v>
      </c>
      <c r="I693" s="880"/>
      <c r="J693" s="880"/>
      <c r="K693" s="881"/>
      <c r="L693" s="881"/>
      <c r="M693" s="881"/>
      <c r="N693" s="1085">
        <v>0</v>
      </c>
      <c r="O693" s="881"/>
      <c r="P693" s="881"/>
      <c r="Q693" s="1302"/>
      <c r="R693" s="1302"/>
      <c r="S693" s="1302"/>
      <c r="T693" s="1302"/>
      <c r="U693" s="1302"/>
      <c r="V693" s="1302"/>
      <c r="W693" s="1302"/>
      <c r="X693" s="1302"/>
      <c r="Y693" s="1302"/>
      <c r="Z693" s="1302"/>
    </row>
    <row r="694" spans="1:26" ht="18.75" hidden="1">
      <c r="A694" s="1299"/>
      <c r="B694" s="1300"/>
      <c r="C694" s="1301"/>
      <c r="D694" s="1301"/>
      <c r="E694" s="1301"/>
      <c r="F694" s="1301" t="s">
        <v>190</v>
      </c>
      <c r="G694" s="1016"/>
      <c r="H694" s="161" t="s">
        <v>12</v>
      </c>
      <c r="I694" s="880"/>
      <c r="J694" s="880"/>
      <c r="K694" s="881"/>
      <c r="L694" s="881"/>
      <c r="M694" s="881"/>
      <c r="N694" s="1085">
        <v>0</v>
      </c>
      <c r="O694" s="881"/>
      <c r="P694" s="881"/>
      <c r="Q694" s="1302"/>
      <c r="R694" s="1302"/>
      <c r="S694" s="1302"/>
      <c r="T694" s="1302"/>
      <c r="U694" s="1302"/>
      <c r="V694" s="1302"/>
      <c r="W694" s="1302"/>
      <c r="X694" s="1302"/>
      <c r="Y694" s="1302"/>
      <c r="Z694" s="1302"/>
    </row>
    <row r="695" spans="1:26" ht="18.75" hidden="1">
      <c r="A695" s="1317"/>
      <c r="B695" s="1300"/>
      <c r="C695" s="1301"/>
      <c r="D695" s="1325" t="s">
        <v>21</v>
      </c>
      <c r="E695" s="1301"/>
      <c r="F695" s="1301"/>
      <c r="G695" s="1016"/>
      <c r="H695" s="168" t="s">
        <v>12</v>
      </c>
      <c r="I695" s="997"/>
      <c r="J695" s="997"/>
      <c r="K695" s="998"/>
      <c r="L695" s="881">
        <f t="shared" ref="L695:N695" si="287">L696+L697</f>
        <v>0</v>
      </c>
      <c r="M695" s="881">
        <f t="shared" si="287"/>
        <v>0</v>
      </c>
      <c r="N695" s="881">
        <f t="shared" si="287"/>
        <v>0</v>
      </c>
      <c r="O695" s="881">
        <f t="shared" ref="O695:O697" si="288">IF(L695&gt;0,N695*100/L695,0)</f>
        <v>0</v>
      </c>
      <c r="P695" s="881">
        <f t="shared" ref="P695:P697" si="289">IF(M695&gt;0,N695*100/M695,0)</f>
        <v>0</v>
      </c>
      <c r="Q695" s="1302"/>
      <c r="R695" s="1302"/>
      <c r="S695" s="1302"/>
      <c r="T695" s="1302"/>
      <c r="U695" s="1302"/>
      <c r="V695" s="1302"/>
      <c r="W695" s="1302"/>
      <c r="X695" s="1302"/>
      <c r="Y695" s="1302"/>
      <c r="Z695" s="1302"/>
    </row>
    <row r="696" spans="1:26" ht="18.75" hidden="1">
      <c r="A696" s="1319"/>
      <c r="B696" s="1324"/>
      <c r="C696" s="1320"/>
      <c r="D696" s="1320"/>
      <c r="E696" s="1320" t="s">
        <v>18</v>
      </c>
      <c r="F696" s="1320"/>
      <c r="G696" s="1322"/>
      <c r="H696" s="165" t="s">
        <v>12</v>
      </c>
      <c r="I696" s="1000"/>
      <c r="J696" s="1000"/>
      <c r="K696" s="1001"/>
      <c r="L696" s="887">
        <v>0</v>
      </c>
      <c r="M696" s="887">
        <v>0</v>
      </c>
      <c r="N696" s="887">
        <v>0</v>
      </c>
      <c r="O696" s="887">
        <f t="shared" si="288"/>
        <v>0</v>
      </c>
      <c r="P696" s="887">
        <f t="shared" si="289"/>
        <v>0</v>
      </c>
      <c r="Q696" s="1323"/>
      <c r="R696" s="1323"/>
      <c r="S696" s="1323"/>
      <c r="T696" s="1323"/>
      <c r="U696" s="1323"/>
      <c r="V696" s="1323"/>
      <c r="W696" s="1323"/>
      <c r="X696" s="1323"/>
      <c r="Y696" s="1323"/>
      <c r="Z696" s="1323"/>
    </row>
    <row r="697" spans="1:26" ht="18.75" hidden="1">
      <c r="A697" s="1319"/>
      <c r="B697" s="1324"/>
      <c r="C697" s="1320"/>
      <c r="D697" s="1320"/>
      <c r="E697" s="1320" t="s">
        <v>19</v>
      </c>
      <c r="F697" s="1320"/>
      <c r="G697" s="1322"/>
      <c r="H697" s="169" t="s">
        <v>12</v>
      </c>
      <c r="I697" s="1000"/>
      <c r="J697" s="1000"/>
      <c r="K697" s="1001"/>
      <c r="L697" s="887">
        <v>0</v>
      </c>
      <c r="M697" s="887">
        <v>0</v>
      </c>
      <c r="N697" s="887">
        <v>0</v>
      </c>
      <c r="O697" s="887">
        <f t="shared" si="288"/>
        <v>0</v>
      </c>
      <c r="P697" s="887">
        <f t="shared" si="289"/>
        <v>0</v>
      </c>
      <c r="Q697" s="1323"/>
      <c r="R697" s="1323"/>
      <c r="S697" s="1323"/>
      <c r="T697" s="1323"/>
      <c r="U697" s="1323"/>
      <c r="V697" s="1323"/>
      <c r="W697" s="1323"/>
      <c r="X697" s="1323"/>
      <c r="Y697" s="1323"/>
      <c r="Z697" s="1323"/>
    </row>
    <row r="698" spans="1:26" ht="19.5" hidden="1">
      <c r="A698" s="1326"/>
      <c r="B698" s="1327"/>
      <c r="C698" s="1301" t="s">
        <v>16</v>
      </c>
      <c r="D698" s="1439" t="s">
        <v>38</v>
      </c>
      <c r="E698" s="1330"/>
      <c r="F698" s="1330"/>
      <c r="G698" s="1331"/>
      <c r="H698" s="1007"/>
      <c r="I698" s="997"/>
      <c r="J698" s="997"/>
      <c r="K698" s="998"/>
      <c r="L698" s="998"/>
      <c r="M698" s="998"/>
      <c r="N698" s="998"/>
      <c r="O698" s="998"/>
      <c r="P698" s="998"/>
      <c r="Q698" s="1302"/>
      <c r="R698" s="1302"/>
      <c r="S698" s="1302"/>
      <c r="T698" s="1302"/>
      <c r="U698" s="1302"/>
      <c r="V698" s="1302"/>
      <c r="W698" s="1302"/>
      <c r="X698" s="1302"/>
      <c r="Y698" s="1302"/>
      <c r="Z698" s="1302"/>
    </row>
    <row r="699" spans="1:26" ht="18.75" hidden="1">
      <c r="A699" s="1429"/>
      <c r="B699" s="1301"/>
      <c r="C699" s="1301"/>
      <c r="D699" s="1301" t="s">
        <v>295</v>
      </c>
      <c r="E699" s="1301"/>
      <c r="F699" s="1301"/>
      <c r="G699" s="1016"/>
      <c r="H699" s="762" t="s">
        <v>46</v>
      </c>
      <c r="I699" s="1440">
        <f ca="1">IFERROR(__xludf.DUMMYFUNCTION("IMPORTRANGE(""https://docs.google.com/spreadsheets/d/1QqKyyYR6Q21VydFLVH3TRQUabQu_ym0Zz7PgGX0-kHA/edit?usp=sharing"",""แผน!IC84"")"),0)</f>
        <v>0</v>
      </c>
      <c r="J699" s="880">
        <f ca="1">IFERROR(__xludf.DUMMYFUNCTION("IMPORTRANGE(""https://docs.google.com/spreadsheets/d/1XWAQStnk-4SwqDmLtmXYiTMKHgktTP8We1SCoS47DrQ/edit?usp=sharing"",""จัดที่ดิน!BB84"")"),0)</f>
        <v>0</v>
      </c>
      <c r="K699" s="881">
        <f t="shared" ref="K699:K701" ca="1" si="290">IF(I699&gt;0,J699*100/I699,0)</f>
        <v>0</v>
      </c>
      <c r="L699" s="881"/>
      <c r="M699" s="1016"/>
      <c r="N699" s="1441"/>
      <c r="O699" s="881"/>
      <c r="P699" s="881"/>
      <c r="Q699" s="1302"/>
      <c r="R699" s="1302"/>
      <c r="S699" s="1302"/>
      <c r="T699" s="1302"/>
      <c r="U699" s="1302"/>
      <c r="V699" s="1302"/>
      <c r="W699" s="1302"/>
      <c r="X699" s="1302"/>
      <c r="Y699" s="1302"/>
      <c r="Z699" s="1302"/>
    </row>
    <row r="700" spans="1:26" ht="18.75" hidden="1">
      <c r="A700" s="1429"/>
      <c r="B700" s="1301"/>
      <c r="C700" s="1301"/>
      <c r="D700" s="1301" t="s">
        <v>296</v>
      </c>
      <c r="E700" s="1301"/>
      <c r="F700" s="1301"/>
      <c r="G700" s="1016"/>
      <c r="H700" s="762" t="s">
        <v>35</v>
      </c>
      <c r="I700" s="1440">
        <f ca="1">IFERROR(__xludf.DUMMYFUNCTION("IMPORTRANGE(""https://docs.google.com/spreadsheets/d/1QqKyyYR6Q21VydFLVH3TRQUabQu_ym0Zz7PgGX0-kHA/edit?usp=sharing"",""แผน!ID84"")"),0)</f>
        <v>0</v>
      </c>
      <c r="J700" s="880">
        <f ca="1">IFERROR(__xludf.DUMMYFUNCTION("IMPORTRANGE(""https://docs.google.com/spreadsheets/d/1XWAQStnk-4SwqDmLtmXYiTMKHgktTP8We1SCoS47DrQ/edit?usp=sharing"",""จัดที่ดิน!BD84"")"),0)</f>
        <v>0</v>
      </c>
      <c r="K700" s="881">
        <f t="shared" ca="1" si="290"/>
        <v>0</v>
      </c>
      <c r="L700" s="881"/>
      <c r="M700" s="1016"/>
      <c r="N700" s="1441"/>
      <c r="O700" s="881"/>
      <c r="P700" s="881"/>
      <c r="Q700" s="1302"/>
      <c r="R700" s="1302"/>
      <c r="S700" s="1302"/>
      <c r="T700" s="1302"/>
      <c r="U700" s="1302"/>
      <c r="V700" s="1302"/>
      <c r="W700" s="1302"/>
      <c r="X700" s="1302"/>
      <c r="Y700" s="1302"/>
      <c r="Z700" s="1302"/>
    </row>
    <row r="701" spans="1:26" ht="19.5" hidden="1">
      <c r="A701" s="1429"/>
      <c r="B701" s="1301"/>
      <c r="C701" s="1301"/>
      <c r="D701" s="1301" t="s">
        <v>297</v>
      </c>
      <c r="E701" s="1301"/>
      <c r="F701" s="1301"/>
      <c r="G701" s="1016"/>
      <c r="H701" s="765" t="s">
        <v>46</v>
      </c>
      <c r="I701" s="1442">
        <f ca="1">IFERROR(__xludf.DUMMYFUNCTION("IMPORTRANGE(""https://docs.google.com/spreadsheets/d/1QqKyyYR6Q21VydFLVH3TRQUabQu_ym0Zz7PgGX0-kHA/edit?usp=sharing"",""แผน!IE84"")"),0)</f>
        <v>0</v>
      </c>
      <c r="J701" s="1019">
        <f>J704+J707</f>
        <v>0</v>
      </c>
      <c r="K701" s="1020">
        <f t="shared" ca="1" si="290"/>
        <v>0</v>
      </c>
      <c r="L701" s="881"/>
      <c r="M701" s="1016"/>
      <c r="N701" s="1441"/>
      <c r="O701" s="881"/>
      <c r="P701" s="881"/>
      <c r="Q701" s="1302"/>
      <c r="R701" s="1302"/>
      <c r="S701" s="1302"/>
      <c r="T701" s="1302"/>
      <c r="U701" s="1302"/>
      <c r="V701" s="1302"/>
      <c r="W701" s="1302"/>
      <c r="X701" s="1302"/>
      <c r="Y701" s="1302"/>
      <c r="Z701" s="1302"/>
    </row>
    <row r="702" spans="1:26" ht="18.75" hidden="1">
      <c r="A702" s="1429"/>
      <c r="B702" s="1301"/>
      <c r="C702" s="1301"/>
      <c r="D702" s="1301"/>
      <c r="E702" s="1301" t="s">
        <v>298</v>
      </c>
      <c r="F702" s="1301"/>
      <c r="G702" s="1016"/>
      <c r="H702" s="762" t="s">
        <v>35</v>
      </c>
      <c r="I702" s="1440"/>
      <c r="J702" s="1012">
        <v>0</v>
      </c>
      <c r="K702" s="881"/>
      <c r="L702" s="881"/>
      <c r="M702" s="1016"/>
      <c r="N702" s="1441"/>
      <c r="O702" s="881"/>
      <c r="P702" s="881"/>
      <c r="Q702" s="1302"/>
      <c r="R702" s="1302"/>
      <c r="S702" s="1302"/>
      <c r="T702" s="1302"/>
      <c r="U702" s="1302"/>
      <c r="V702" s="1302"/>
      <c r="W702" s="1302"/>
      <c r="X702" s="1302"/>
      <c r="Y702" s="1302"/>
      <c r="Z702" s="1302"/>
    </row>
    <row r="703" spans="1:26" ht="18.75" hidden="1">
      <c r="A703" s="1429"/>
      <c r="B703" s="1301"/>
      <c r="C703" s="1301"/>
      <c r="D703" s="1301"/>
      <c r="E703" s="1301"/>
      <c r="F703" s="1301"/>
      <c r="G703" s="1016"/>
      <c r="H703" s="762" t="s">
        <v>34</v>
      </c>
      <c r="I703" s="1440"/>
      <c r="J703" s="1012">
        <v>0</v>
      </c>
      <c r="K703" s="881"/>
      <c r="L703" s="881"/>
      <c r="M703" s="1016"/>
      <c r="N703" s="1441"/>
      <c r="O703" s="881"/>
      <c r="P703" s="881"/>
      <c r="Q703" s="1302"/>
      <c r="R703" s="1302"/>
      <c r="S703" s="1302"/>
      <c r="T703" s="1302"/>
      <c r="U703" s="1302"/>
      <c r="V703" s="1302"/>
      <c r="W703" s="1302"/>
      <c r="X703" s="1302"/>
      <c r="Y703" s="1302"/>
      <c r="Z703" s="1302"/>
    </row>
    <row r="704" spans="1:26" ht="18.75" hidden="1">
      <c r="A704" s="1429"/>
      <c r="B704" s="1301"/>
      <c r="C704" s="1301"/>
      <c r="D704" s="1301"/>
      <c r="E704" s="1301"/>
      <c r="F704" s="1301"/>
      <c r="G704" s="1016"/>
      <c r="H704" s="762" t="s">
        <v>46</v>
      </c>
      <c r="I704" s="1440">
        <f ca="1">IFERROR(__xludf.DUMMYFUNCTION("IMPORTRANGE(""https://docs.google.com/spreadsheets/d/1QqKyyYR6Q21VydFLVH3TRQUabQu_ym0Zz7PgGX0-kHA/edit?usp=sharing"",""แผน!IF84"")"),0)</f>
        <v>0</v>
      </c>
      <c r="J704" s="1012">
        <v>0</v>
      </c>
      <c r="K704" s="881"/>
      <c r="L704" s="881"/>
      <c r="M704" s="1016"/>
      <c r="N704" s="1441"/>
      <c r="O704" s="881"/>
      <c r="P704" s="881"/>
      <c r="Q704" s="1302"/>
      <c r="R704" s="1302"/>
      <c r="S704" s="1302"/>
      <c r="T704" s="1302"/>
      <c r="U704" s="1302"/>
      <c r="V704" s="1302"/>
      <c r="W704" s="1302"/>
      <c r="X704" s="1302"/>
      <c r="Y704" s="1302"/>
      <c r="Z704" s="1302"/>
    </row>
    <row r="705" spans="1:26" ht="18.75" hidden="1">
      <c r="A705" s="1429"/>
      <c r="B705" s="1301"/>
      <c r="C705" s="1301"/>
      <c r="D705" s="1301"/>
      <c r="E705" s="1301" t="s">
        <v>299</v>
      </c>
      <c r="F705" s="1301"/>
      <c r="G705" s="1016"/>
      <c r="H705" s="762" t="s">
        <v>35</v>
      </c>
      <c r="I705" s="1440"/>
      <c r="J705" s="1012">
        <v>0</v>
      </c>
      <c r="K705" s="881"/>
      <c r="L705" s="881"/>
      <c r="M705" s="1016"/>
      <c r="N705" s="1441"/>
      <c r="O705" s="881"/>
      <c r="P705" s="881"/>
      <c r="Q705" s="1302"/>
      <c r="R705" s="1302"/>
      <c r="S705" s="1302"/>
      <c r="T705" s="1302"/>
      <c r="U705" s="1302"/>
      <c r="V705" s="1302"/>
      <c r="W705" s="1302"/>
      <c r="X705" s="1302"/>
      <c r="Y705" s="1302"/>
      <c r="Z705" s="1302"/>
    </row>
    <row r="706" spans="1:26" ht="18.75" hidden="1">
      <c r="A706" s="1429"/>
      <c r="B706" s="1301"/>
      <c r="C706" s="1301"/>
      <c r="D706" s="1301"/>
      <c r="E706" s="1301"/>
      <c r="F706" s="1301"/>
      <c r="G706" s="1016"/>
      <c r="H706" s="762" t="s">
        <v>34</v>
      </c>
      <c r="I706" s="1440"/>
      <c r="J706" s="1012">
        <v>0</v>
      </c>
      <c r="K706" s="881"/>
      <c r="L706" s="881"/>
      <c r="M706" s="1016"/>
      <c r="N706" s="1441"/>
      <c r="O706" s="881"/>
      <c r="P706" s="881"/>
      <c r="Q706" s="1302"/>
      <c r="R706" s="1302"/>
      <c r="S706" s="1302"/>
      <c r="T706" s="1302"/>
      <c r="U706" s="1302"/>
      <c r="V706" s="1302"/>
      <c r="W706" s="1302"/>
      <c r="X706" s="1302"/>
      <c r="Y706" s="1302"/>
      <c r="Z706" s="1302"/>
    </row>
    <row r="707" spans="1:26" ht="18.75" hidden="1">
      <c r="A707" s="1429"/>
      <c r="B707" s="1301"/>
      <c r="C707" s="1301"/>
      <c r="D707" s="1301"/>
      <c r="E707" s="1301"/>
      <c r="F707" s="1301"/>
      <c r="G707" s="1016"/>
      <c r="H707" s="762" t="s">
        <v>46</v>
      </c>
      <c r="I707" s="1440">
        <f ca="1">IFERROR(__xludf.DUMMYFUNCTION("IMPORTRANGE(""https://docs.google.com/spreadsheets/d/1QqKyyYR6Q21VydFLVH3TRQUabQu_ym0Zz7PgGX0-kHA/edit?usp=sharing"",""แผน!IG84"")"),0)</f>
        <v>0</v>
      </c>
      <c r="J707" s="1012">
        <v>0</v>
      </c>
      <c r="K707" s="881"/>
      <c r="L707" s="881"/>
      <c r="M707" s="1016"/>
      <c r="N707" s="1441"/>
      <c r="O707" s="881"/>
      <c r="P707" s="881"/>
      <c r="Q707" s="1302"/>
      <c r="R707" s="1302"/>
      <c r="S707" s="1302"/>
      <c r="T707" s="1302"/>
      <c r="U707" s="1302"/>
      <c r="V707" s="1302"/>
      <c r="W707" s="1302"/>
      <c r="X707" s="1302"/>
      <c r="Y707" s="1302"/>
      <c r="Z707" s="1302"/>
    </row>
    <row r="708" spans="1:26" ht="19.5" hidden="1">
      <c r="A708" s="1429"/>
      <c r="B708" s="1301"/>
      <c r="C708" s="1301"/>
      <c r="D708" s="1382" t="s">
        <v>300</v>
      </c>
      <c r="E708" s="1301"/>
      <c r="F708" s="1301"/>
      <c r="G708" s="1016"/>
      <c r="H708" s="765" t="s">
        <v>46</v>
      </c>
      <c r="I708" s="1442">
        <f ca="1">IFERROR(__xludf.DUMMYFUNCTION("IMPORTRANGE(""https://docs.google.com/spreadsheets/d/1QqKyyYR6Q21VydFLVH3TRQUabQu_ym0Zz7PgGX0-kHA/edit?usp=sharing"",""แผน!IH84"")"),0)</f>
        <v>0</v>
      </c>
      <c r="J708" s="1019">
        <f>J714+J717</f>
        <v>0</v>
      </c>
      <c r="K708" s="1020">
        <f ca="1">IF(I708&gt;0,J708*100/I708,0)</f>
        <v>0</v>
      </c>
      <c r="L708" s="881"/>
      <c r="M708" s="1016"/>
      <c r="N708" s="1441"/>
      <c r="O708" s="881"/>
      <c r="P708" s="881"/>
      <c r="Q708" s="1302"/>
      <c r="R708" s="1302"/>
      <c r="S708" s="1302"/>
      <c r="T708" s="1302"/>
      <c r="U708" s="1302"/>
      <c r="V708" s="1302"/>
      <c r="W708" s="1302"/>
      <c r="X708" s="1302"/>
      <c r="Y708" s="1302"/>
      <c r="Z708" s="1302"/>
    </row>
    <row r="709" spans="1:26" ht="18.75" hidden="1">
      <c r="A709" s="1429"/>
      <c r="B709" s="1301"/>
      <c r="C709" s="1301"/>
      <c r="D709" s="1301"/>
      <c r="E709" s="1301" t="s">
        <v>301</v>
      </c>
      <c r="F709" s="1301"/>
      <c r="G709" s="1016"/>
      <c r="H709" s="762" t="s">
        <v>34</v>
      </c>
      <c r="I709" s="1440"/>
      <c r="J709" s="1012">
        <v>0</v>
      </c>
      <c r="K709" s="881"/>
      <c r="L709" s="1441"/>
      <c r="M709" s="1016"/>
      <c r="N709" s="1441"/>
      <c r="O709" s="881"/>
      <c r="P709" s="881"/>
      <c r="Q709" s="1302"/>
      <c r="R709" s="1302"/>
      <c r="S709" s="1302"/>
      <c r="T709" s="1302"/>
      <c r="U709" s="1302"/>
      <c r="V709" s="1302"/>
      <c r="W709" s="1302"/>
      <c r="X709" s="1302"/>
      <c r="Y709" s="1302"/>
      <c r="Z709" s="1302"/>
    </row>
    <row r="710" spans="1:26" ht="18.75" hidden="1">
      <c r="A710" s="1429"/>
      <c r="B710" s="1301"/>
      <c r="C710" s="1301"/>
      <c r="D710" s="1301"/>
      <c r="E710" s="1301"/>
      <c r="F710" s="1301"/>
      <c r="G710" s="1016"/>
      <c r="H710" s="762" t="s">
        <v>46</v>
      </c>
      <c r="I710" s="1440"/>
      <c r="J710" s="1012">
        <v>0</v>
      </c>
      <c r="K710" s="881"/>
      <c r="L710" s="1441"/>
      <c r="M710" s="1016"/>
      <c r="N710" s="1441"/>
      <c r="O710" s="881"/>
      <c r="P710" s="881"/>
      <c r="Q710" s="1302"/>
      <c r="R710" s="1302"/>
      <c r="S710" s="1302"/>
      <c r="T710" s="1302"/>
      <c r="U710" s="1302"/>
      <c r="V710" s="1302"/>
      <c r="W710" s="1302"/>
      <c r="X710" s="1302"/>
      <c r="Y710" s="1302"/>
      <c r="Z710" s="1302"/>
    </row>
    <row r="711" spans="1:26" ht="18.75" hidden="1">
      <c r="A711" s="1429"/>
      <c r="B711" s="1301"/>
      <c r="C711" s="1301"/>
      <c r="D711" s="1301"/>
      <c r="E711" s="1301" t="s">
        <v>302</v>
      </c>
      <c r="F711" s="1301"/>
      <c r="G711" s="1016"/>
      <c r="H711" s="1007"/>
      <c r="I711" s="1440"/>
      <c r="J711" s="880"/>
      <c r="K711" s="881"/>
      <c r="L711" s="1441"/>
      <c r="M711" s="1016"/>
      <c r="N711" s="1441"/>
      <c r="O711" s="881"/>
      <c r="P711" s="881"/>
      <c r="Q711" s="1302"/>
      <c r="R711" s="1302"/>
      <c r="S711" s="1302"/>
      <c r="T711" s="1302"/>
      <c r="U711" s="1302"/>
      <c r="V711" s="1302"/>
      <c r="W711" s="1302"/>
      <c r="X711" s="1302"/>
      <c r="Y711" s="1302"/>
      <c r="Z711" s="1302"/>
    </row>
    <row r="712" spans="1:26" ht="18.75" hidden="1">
      <c r="A712" s="1429"/>
      <c r="B712" s="1301"/>
      <c r="C712" s="1301"/>
      <c r="D712" s="1301"/>
      <c r="E712" s="1301"/>
      <c r="F712" s="1301" t="s">
        <v>303</v>
      </c>
      <c r="G712" s="1016"/>
      <c r="H712" s="762" t="s">
        <v>35</v>
      </c>
      <c r="I712" s="1440"/>
      <c r="J712" s="1012">
        <v>0</v>
      </c>
      <c r="K712" s="881"/>
      <c r="L712" s="1441"/>
      <c r="M712" s="1016"/>
      <c r="N712" s="1441"/>
      <c r="O712" s="881"/>
      <c r="P712" s="881"/>
      <c r="Q712" s="1302"/>
      <c r="R712" s="1302"/>
      <c r="S712" s="1302"/>
      <c r="T712" s="1302"/>
      <c r="U712" s="1302"/>
      <c r="V712" s="1302"/>
      <c r="W712" s="1302"/>
      <c r="X712" s="1302"/>
      <c r="Y712" s="1302"/>
      <c r="Z712" s="1302"/>
    </row>
    <row r="713" spans="1:26" ht="18.75" hidden="1">
      <c r="A713" s="1429"/>
      <c r="B713" s="1301"/>
      <c r="C713" s="1301"/>
      <c r="D713" s="1301"/>
      <c r="E713" s="1301"/>
      <c r="F713" s="1301"/>
      <c r="G713" s="1016"/>
      <c r="H713" s="762" t="s">
        <v>34</v>
      </c>
      <c r="I713" s="1440"/>
      <c r="J713" s="1012">
        <v>0</v>
      </c>
      <c r="K713" s="881"/>
      <c r="L713" s="1441"/>
      <c r="M713" s="1016"/>
      <c r="N713" s="1441"/>
      <c r="O713" s="881"/>
      <c r="P713" s="881"/>
      <c r="Q713" s="1302"/>
      <c r="R713" s="1302"/>
      <c r="S713" s="1302"/>
      <c r="T713" s="1302"/>
      <c r="U713" s="1302"/>
      <c r="V713" s="1302"/>
      <c r="W713" s="1302"/>
      <c r="X713" s="1302"/>
      <c r="Y713" s="1302"/>
      <c r="Z713" s="1302"/>
    </row>
    <row r="714" spans="1:26" ht="18.75" hidden="1">
      <c r="A714" s="1429"/>
      <c r="B714" s="1301"/>
      <c r="C714" s="1301"/>
      <c r="D714" s="1301"/>
      <c r="E714" s="1301"/>
      <c r="F714" s="1301"/>
      <c r="G714" s="1016"/>
      <c r="H714" s="762" t="s">
        <v>46</v>
      </c>
      <c r="I714" s="1440"/>
      <c r="J714" s="1012">
        <v>0</v>
      </c>
      <c r="K714" s="881"/>
      <c r="L714" s="1441"/>
      <c r="M714" s="1016"/>
      <c r="N714" s="1441"/>
      <c r="O714" s="881"/>
      <c r="P714" s="881"/>
      <c r="Q714" s="1302"/>
      <c r="R714" s="1302"/>
      <c r="S714" s="1302"/>
      <c r="T714" s="1302"/>
      <c r="U714" s="1302"/>
      <c r="V714" s="1302"/>
      <c r="W714" s="1302"/>
      <c r="X714" s="1302"/>
      <c r="Y714" s="1302"/>
      <c r="Z714" s="1302"/>
    </row>
    <row r="715" spans="1:26" ht="18.75" hidden="1">
      <c r="A715" s="1429"/>
      <c r="B715" s="1301"/>
      <c r="C715" s="1301"/>
      <c r="D715" s="1301"/>
      <c r="E715" s="1301"/>
      <c r="F715" s="1301" t="s">
        <v>304</v>
      </c>
      <c r="G715" s="1016"/>
      <c r="H715" s="762" t="s">
        <v>35</v>
      </c>
      <c r="I715" s="1440"/>
      <c r="J715" s="1012">
        <v>0</v>
      </c>
      <c r="K715" s="881"/>
      <c r="L715" s="1441"/>
      <c r="M715" s="1016"/>
      <c r="N715" s="1441"/>
      <c r="O715" s="881"/>
      <c r="P715" s="881"/>
      <c r="Q715" s="1302"/>
      <c r="R715" s="1302"/>
      <c r="S715" s="1302"/>
      <c r="T715" s="1302"/>
      <c r="U715" s="1302"/>
      <c r="V715" s="1302"/>
      <c r="W715" s="1302"/>
      <c r="X715" s="1302"/>
      <c r="Y715" s="1302"/>
      <c r="Z715" s="1302"/>
    </row>
    <row r="716" spans="1:26" ht="18.75" hidden="1">
      <c r="A716" s="1429"/>
      <c r="B716" s="1301"/>
      <c r="C716" s="1301"/>
      <c r="D716" s="1301"/>
      <c r="E716" s="1301"/>
      <c r="F716" s="1301"/>
      <c r="G716" s="1016"/>
      <c r="H716" s="762" t="s">
        <v>34</v>
      </c>
      <c r="I716" s="1440"/>
      <c r="J716" s="1012">
        <v>0</v>
      </c>
      <c r="K716" s="881"/>
      <c r="L716" s="1441"/>
      <c r="M716" s="1016"/>
      <c r="N716" s="1441"/>
      <c r="O716" s="881"/>
      <c r="P716" s="881"/>
      <c r="Q716" s="1302"/>
      <c r="R716" s="1302"/>
      <c r="S716" s="1302"/>
      <c r="T716" s="1302"/>
      <c r="U716" s="1302"/>
      <c r="V716" s="1302"/>
      <c r="W716" s="1302"/>
      <c r="X716" s="1302"/>
      <c r="Y716" s="1302"/>
      <c r="Z716" s="1302"/>
    </row>
    <row r="717" spans="1:26" ht="18.75" hidden="1">
      <c r="A717" s="1429"/>
      <c r="B717" s="1301"/>
      <c r="C717" s="1301"/>
      <c r="D717" s="1301"/>
      <c r="E717" s="1301"/>
      <c r="F717" s="1301"/>
      <c r="G717" s="1016"/>
      <c r="H717" s="762" t="s">
        <v>46</v>
      </c>
      <c r="I717" s="1440"/>
      <c r="J717" s="1012">
        <v>0</v>
      </c>
      <c r="K717" s="881"/>
      <c r="L717" s="1441"/>
      <c r="M717" s="1016"/>
      <c r="N717" s="1441"/>
      <c r="O717" s="881"/>
      <c r="P717" s="881"/>
      <c r="Q717" s="1302"/>
      <c r="R717" s="1302"/>
      <c r="S717" s="1302"/>
      <c r="T717" s="1302"/>
      <c r="U717" s="1302"/>
      <c r="V717" s="1302"/>
      <c r="W717" s="1302"/>
      <c r="X717" s="1302"/>
      <c r="Y717" s="1302"/>
      <c r="Z717" s="1302"/>
    </row>
    <row r="718" spans="1:26" ht="18.75" hidden="1">
      <c r="A718" s="1429"/>
      <c r="B718" s="1301"/>
      <c r="C718" s="1301"/>
      <c r="D718" s="1301" t="s">
        <v>305</v>
      </c>
      <c r="E718" s="1301"/>
      <c r="F718" s="1301"/>
      <c r="G718" s="1016"/>
      <c r="H718" s="762" t="s">
        <v>35</v>
      </c>
      <c r="I718" s="1440"/>
      <c r="J718" s="880">
        <f ca="1">IFERROR(__xludf.DUMMYFUNCTION("IMPORTRANGE(""https://docs.google.com/spreadsheets/d/1XWAQStnk-4SwqDmLtmXYiTMKHgktTP8We1SCoS47DrQ/edit?usp=sharing"",""จัดที่ดิน!BF84"")"),0)</f>
        <v>0</v>
      </c>
      <c r="K718" s="881"/>
      <c r="L718" s="881"/>
      <c r="M718" s="1016"/>
      <c r="N718" s="1441"/>
      <c r="O718" s="881"/>
      <c r="P718" s="881"/>
      <c r="Q718" s="1302"/>
      <c r="R718" s="1302"/>
      <c r="S718" s="1302"/>
      <c r="T718" s="1302"/>
      <c r="U718" s="1302"/>
      <c r="V718" s="1302"/>
      <c r="W718" s="1302"/>
      <c r="X718" s="1302"/>
      <c r="Y718" s="1302"/>
      <c r="Z718" s="1302"/>
    </row>
    <row r="719" spans="1:26" ht="18.75" hidden="1">
      <c r="A719" s="1429"/>
      <c r="B719" s="1301"/>
      <c r="C719" s="1301"/>
      <c r="D719" s="1301"/>
      <c r="E719" s="1301"/>
      <c r="F719" s="1301"/>
      <c r="G719" s="1016"/>
      <c r="H719" s="762" t="s">
        <v>34</v>
      </c>
      <c r="I719" s="1440"/>
      <c r="J719" s="880">
        <f ca="1">IFERROR(__xludf.DUMMYFUNCTION("IMPORTRANGE(""https://docs.google.com/spreadsheets/d/1XWAQStnk-4SwqDmLtmXYiTMKHgktTP8We1SCoS47DrQ/edit?usp=sharing"",""จัดที่ดิน!BG84"")"),0)</f>
        <v>0</v>
      </c>
      <c r="K719" s="881"/>
      <c r="L719" s="1441"/>
      <c r="M719" s="1016"/>
      <c r="N719" s="1441"/>
      <c r="O719" s="881"/>
      <c r="P719" s="881"/>
      <c r="Q719" s="1302"/>
      <c r="R719" s="1302"/>
      <c r="S719" s="1302"/>
      <c r="T719" s="1302"/>
      <c r="U719" s="1302"/>
      <c r="V719" s="1302"/>
      <c r="W719" s="1302"/>
      <c r="X719" s="1302"/>
      <c r="Y719" s="1302"/>
      <c r="Z719" s="1302"/>
    </row>
    <row r="720" spans="1:26" ht="18.75" hidden="1">
      <c r="A720" s="1429"/>
      <c r="B720" s="1301"/>
      <c r="C720" s="1301"/>
      <c r="D720" s="1301"/>
      <c r="E720" s="1301"/>
      <c r="F720" s="1301"/>
      <c r="G720" s="1016"/>
      <c r="H720" s="762" t="s">
        <v>46</v>
      </c>
      <c r="I720" s="1440">
        <f ca="1">IFERROR(__xludf.DUMMYFUNCTION("IMPORTRANGE(""https://docs.google.com/spreadsheets/d/1QqKyyYR6Q21VydFLVH3TRQUabQu_ym0Zz7PgGX0-kHA/edit?usp=sharing"",""แผน!II84"")"),0)</f>
        <v>0</v>
      </c>
      <c r="J720" s="880">
        <f ca="1">IFERROR(__xludf.DUMMYFUNCTION("IMPORTRANGE(""https://docs.google.com/spreadsheets/d/1XWAQStnk-4SwqDmLtmXYiTMKHgktTP8We1SCoS47DrQ/edit?usp=sharing"",""จัดที่ดิน!BH84"")"),0)</f>
        <v>0</v>
      </c>
      <c r="K720" s="881">
        <f t="shared" ref="K720:K723" ca="1" si="291">IF(I720&gt;0,J720*100/I720,0)</f>
        <v>0</v>
      </c>
      <c r="L720" s="1441"/>
      <c r="M720" s="1016"/>
      <c r="N720" s="1441"/>
      <c r="O720" s="881"/>
      <c r="P720" s="881"/>
      <c r="Q720" s="1302"/>
      <c r="R720" s="1302"/>
      <c r="S720" s="1302"/>
      <c r="T720" s="1302"/>
      <c r="U720" s="1302"/>
      <c r="V720" s="1302"/>
      <c r="W720" s="1302"/>
      <c r="X720" s="1302"/>
      <c r="Y720" s="1302"/>
      <c r="Z720" s="1302"/>
    </row>
    <row r="721" spans="1:26" ht="19.5" hidden="1">
      <c r="A721" s="1429"/>
      <c r="B721" s="1301"/>
      <c r="C721" s="1301"/>
      <c r="D721" s="1301" t="s">
        <v>306</v>
      </c>
      <c r="E721" s="1301"/>
      <c r="F721" s="1301"/>
      <c r="G721" s="1016"/>
      <c r="H721" s="765" t="s">
        <v>35</v>
      </c>
      <c r="I721" s="1442">
        <f ca="1">IFERROR(__xludf.DUMMYFUNCTION("IMPORTRANGE(""https://docs.google.com/spreadsheets/d/1QqKyyYR6Q21VydFLVH3TRQUabQu_ym0Zz7PgGX0-kHA/edit?usp=sharing"",""แผน!IJ84"")"),0)</f>
        <v>0</v>
      </c>
      <c r="J721" s="1019">
        <f ca="1">J723+J726</f>
        <v>0</v>
      </c>
      <c r="K721" s="1020">
        <f t="shared" ca="1" si="291"/>
        <v>0</v>
      </c>
      <c r="L721" s="1441"/>
      <c r="M721" s="1016"/>
      <c r="N721" s="1441"/>
      <c r="O721" s="881"/>
      <c r="P721" s="881"/>
      <c r="Q721" s="1302"/>
      <c r="R721" s="1302"/>
      <c r="S721" s="1302"/>
      <c r="T721" s="1302"/>
      <c r="U721" s="1302"/>
      <c r="V721" s="1302"/>
      <c r="W721" s="1302"/>
      <c r="X721" s="1302"/>
      <c r="Y721" s="1302"/>
      <c r="Z721" s="1302"/>
    </row>
    <row r="722" spans="1:26" ht="19.5" hidden="1">
      <c r="A722" s="1429"/>
      <c r="B722" s="1301"/>
      <c r="C722" s="1301"/>
      <c r="D722" s="1301"/>
      <c r="E722" s="1301"/>
      <c r="F722" s="1301"/>
      <c r="G722" s="1016"/>
      <c r="H722" s="765" t="s">
        <v>46</v>
      </c>
      <c r="I722" s="1442">
        <f ca="1">IFERROR(__xludf.DUMMYFUNCTION("IMPORTRANGE(""https://docs.google.com/spreadsheets/d/1QqKyyYR6Q21VydFLVH3TRQUabQu_ym0Zz7PgGX0-kHA/edit?usp=sharing"",""แผน!IK84"")"),0)</f>
        <v>0</v>
      </c>
      <c r="J722" s="1019">
        <f ca="1">J725+J728</f>
        <v>0</v>
      </c>
      <c r="K722" s="1020">
        <f t="shared" ca="1" si="291"/>
        <v>0</v>
      </c>
      <c r="L722" s="881"/>
      <c r="M722" s="1016"/>
      <c r="N722" s="1441"/>
      <c r="O722" s="881"/>
      <c r="P722" s="881"/>
      <c r="Q722" s="1302"/>
      <c r="R722" s="1302"/>
      <c r="S722" s="1302"/>
      <c r="T722" s="1302"/>
      <c r="U722" s="1302"/>
      <c r="V722" s="1302"/>
      <c r="W722" s="1302"/>
      <c r="X722" s="1302"/>
      <c r="Y722" s="1302"/>
      <c r="Z722" s="1302"/>
    </row>
    <row r="723" spans="1:26" ht="18.75" hidden="1">
      <c r="A723" s="1429"/>
      <c r="B723" s="1301"/>
      <c r="C723" s="1301"/>
      <c r="D723" s="1301"/>
      <c r="E723" s="1301" t="s">
        <v>307</v>
      </c>
      <c r="F723" s="1301"/>
      <c r="G723" s="1016"/>
      <c r="H723" s="762" t="s">
        <v>35</v>
      </c>
      <c r="I723" s="1440">
        <f ca="1">IFERROR(__xludf.DUMMYFUNCTION("IMPORTRANGE(""https://docs.google.com/spreadsheets/d/1QqKyyYR6Q21VydFLVH3TRQUabQu_ym0Zz7PgGX0-kHA/edit?usp=sharing"",""แผน!IL84"")"),0)</f>
        <v>0</v>
      </c>
      <c r="J723" s="880">
        <f ca="1">IFERROR(__xludf.DUMMYFUNCTION("IMPORTRANGE(""https://docs.google.com/spreadsheets/d/1XWAQStnk-4SwqDmLtmXYiTMKHgktTP8We1SCoS47DrQ/edit?usp=sharing"",""จัดที่ดิน!BM84"")"),0)</f>
        <v>0</v>
      </c>
      <c r="K723" s="881">
        <f t="shared" ca="1" si="291"/>
        <v>0</v>
      </c>
      <c r="L723" s="881"/>
      <c r="M723" s="1016"/>
      <c r="N723" s="1441"/>
      <c r="O723" s="881"/>
      <c r="P723" s="881"/>
      <c r="Q723" s="1302"/>
      <c r="R723" s="1302"/>
      <c r="S723" s="1302"/>
      <c r="T723" s="1302"/>
      <c r="U723" s="1302"/>
      <c r="V723" s="1302"/>
      <c r="W723" s="1302"/>
      <c r="X723" s="1302"/>
      <c r="Y723" s="1302"/>
      <c r="Z723" s="1302"/>
    </row>
    <row r="724" spans="1:26" ht="18.75" hidden="1">
      <c r="A724" s="1429"/>
      <c r="B724" s="1301"/>
      <c r="C724" s="1301"/>
      <c r="D724" s="1301"/>
      <c r="E724" s="1301"/>
      <c r="F724" s="1301"/>
      <c r="G724" s="1016"/>
      <c r="H724" s="762" t="s">
        <v>34</v>
      </c>
      <c r="I724" s="1440"/>
      <c r="J724" s="880">
        <f ca="1">IFERROR(__xludf.DUMMYFUNCTION("IMPORTRANGE(""https://docs.google.com/spreadsheets/d/1XWAQStnk-4SwqDmLtmXYiTMKHgktTP8We1SCoS47DrQ/edit?usp=sharing"",""จัดที่ดิน!BN84"")"),0)</f>
        <v>0</v>
      </c>
      <c r="K724" s="881"/>
      <c r="L724" s="1441"/>
      <c r="M724" s="1016"/>
      <c r="N724" s="1441"/>
      <c r="O724" s="881"/>
      <c r="P724" s="881"/>
      <c r="Q724" s="1302"/>
      <c r="R724" s="1302"/>
      <c r="S724" s="1302"/>
      <c r="T724" s="1302"/>
      <c r="U724" s="1302"/>
      <c r="V724" s="1302"/>
      <c r="W724" s="1302"/>
      <c r="X724" s="1302"/>
      <c r="Y724" s="1302"/>
      <c r="Z724" s="1302"/>
    </row>
    <row r="725" spans="1:26" ht="18.75" hidden="1">
      <c r="A725" s="1429"/>
      <c r="B725" s="1301"/>
      <c r="C725" s="1301"/>
      <c r="D725" s="1301"/>
      <c r="E725" s="1301"/>
      <c r="F725" s="1301"/>
      <c r="G725" s="1016"/>
      <c r="H725" s="762" t="s">
        <v>46</v>
      </c>
      <c r="I725" s="1440">
        <f ca="1">IFERROR(__xludf.DUMMYFUNCTION("IMPORTRANGE(""https://docs.google.com/spreadsheets/d/1QqKyyYR6Q21VydFLVH3TRQUabQu_ym0Zz7PgGX0-kHA/edit?usp=sharing"",""แผน!IM84"")"),0)</f>
        <v>0</v>
      </c>
      <c r="J725" s="880">
        <f ca="1">IFERROR(__xludf.DUMMYFUNCTION("IMPORTRANGE(""https://docs.google.com/spreadsheets/d/1XWAQStnk-4SwqDmLtmXYiTMKHgktTP8We1SCoS47DrQ/edit?usp=sharing"",""จัดที่ดิน!BO84"")"),0)</f>
        <v>0</v>
      </c>
      <c r="K725" s="881">
        <f t="shared" ref="K725:K726" ca="1" si="292">IF(I725&gt;0,J725*100/I725,0)</f>
        <v>0</v>
      </c>
      <c r="L725" s="1441"/>
      <c r="M725" s="1016"/>
      <c r="N725" s="1441"/>
      <c r="O725" s="881"/>
      <c r="P725" s="881"/>
      <c r="Q725" s="1302"/>
      <c r="R725" s="1302"/>
      <c r="S725" s="1302"/>
      <c r="T725" s="1302"/>
      <c r="U725" s="1302"/>
      <c r="V725" s="1302"/>
      <c r="W725" s="1302"/>
      <c r="X725" s="1302"/>
      <c r="Y725" s="1302"/>
      <c r="Z725" s="1302"/>
    </row>
    <row r="726" spans="1:26" ht="18.75" hidden="1">
      <c r="A726" s="1429"/>
      <c r="B726" s="1301"/>
      <c r="C726" s="1301"/>
      <c r="D726" s="1301"/>
      <c r="E726" s="1301" t="s">
        <v>308</v>
      </c>
      <c r="F726" s="1301"/>
      <c r="G726" s="1016"/>
      <c r="H726" s="762" t="s">
        <v>35</v>
      </c>
      <c r="I726" s="1440">
        <f ca="1">IFERROR(__xludf.DUMMYFUNCTION("IMPORTRANGE(""https://docs.google.com/spreadsheets/d/1QqKyyYR6Q21VydFLVH3TRQUabQu_ym0Zz7PgGX0-kHA/edit?usp=sharing"",""แผน!IN84"")"),0)</f>
        <v>0</v>
      </c>
      <c r="J726" s="880">
        <f ca="1">IFERROR(__xludf.DUMMYFUNCTION("IMPORTRANGE(""https://docs.google.com/spreadsheets/d/1XWAQStnk-4SwqDmLtmXYiTMKHgktTP8We1SCoS47DrQ/edit?usp=sharing"",""จัดที่ดิน!BR84"")"),0)</f>
        <v>0</v>
      </c>
      <c r="K726" s="881">
        <f t="shared" ca="1" si="292"/>
        <v>0</v>
      </c>
      <c r="L726" s="881"/>
      <c r="M726" s="1016"/>
      <c r="N726" s="1441"/>
      <c r="O726" s="881"/>
      <c r="P726" s="881"/>
      <c r="Q726" s="1302"/>
      <c r="R726" s="1302"/>
      <c r="S726" s="1302"/>
      <c r="T726" s="1302"/>
      <c r="U726" s="1302"/>
      <c r="V726" s="1302"/>
      <c r="W726" s="1302"/>
      <c r="X726" s="1302"/>
      <c r="Y726" s="1302"/>
      <c r="Z726" s="1302"/>
    </row>
    <row r="727" spans="1:26" ht="18.75" hidden="1">
      <c r="A727" s="1429"/>
      <c r="B727" s="1301"/>
      <c r="C727" s="1301"/>
      <c r="D727" s="1301"/>
      <c r="E727" s="1301"/>
      <c r="F727" s="1301"/>
      <c r="G727" s="1016"/>
      <c r="H727" s="762" t="s">
        <v>34</v>
      </c>
      <c r="I727" s="1440"/>
      <c r="J727" s="880">
        <f ca="1">IFERROR(__xludf.DUMMYFUNCTION("IMPORTRANGE(""https://docs.google.com/spreadsheets/d/1XWAQStnk-4SwqDmLtmXYiTMKHgktTP8We1SCoS47DrQ/edit?usp=sharing"",""จัดที่ดิน!BS84"")"),0)</f>
        <v>0</v>
      </c>
      <c r="K727" s="881"/>
      <c r="L727" s="1441"/>
      <c r="M727" s="1016"/>
      <c r="N727" s="1441"/>
      <c r="O727" s="881"/>
      <c r="P727" s="881"/>
      <c r="Q727" s="1302"/>
      <c r="R727" s="1302"/>
      <c r="S727" s="1302"/>
      <c r="T727" s="1302"/>
      <c r="U727" s="1302"/>
      <c r="V727" s="1302"/>
      <c r="W727" s="1302"/>
      <c r="X727" s="1302"/>
      <c r="Y727" s="1302"/>
      <c r="Z727" s="1302"/>
    </row>
    <row r="728" spans="1:26" ht="18.75" hidden="1">
      <c r="A728" s="1429"/>
      <c r="B728" s="1301"/>
      <c r="C728" s="1301"/>
      <c r="D728" s="1301"/>
      <c r="E728" s="1301"/>
      <c r="F728" s="1301"/>
      <c r="G728" s="1016"/>
      <c r="H728" s="762" t="s">
        <v>46</v>
      </c>
      <c r="I728" s="1440">
        <f ca="1">IFERROR(__xludf.DUMMYFUNCTION("IMPORTRANGE(""https://docs.google.com/spreadsheets/d/1QqKyyYR6Q21VydFLVH3TRQUabQu_ym0Zz7PgGX0-kHA/edit?usp=sharing"",""แผน!IO84"")"),0)</f>
        <v>0</v>
      </c>
      <c r="J728" s="880">
        <f ca="1">IFERROR(__xludf.DUMMYFUNCTION("IMPORTRANGE(""https://docs.google.com/spreadsheets/d/1XWAQStnk-4SwqDmLtmXYiTMKHgktTP8We1SCoS47DrQ/edit?usp=sharing"",""จัดที่ดิน!BT84"")"),0)</f>
        <v>0</v>
      </c>
      <c r="K728" s="881">
        <f t="shared" ref="K728:K729" ca="1" si="293">IF(I728&gt;0,J728*100/I728,0)</f>
        <v>0</v>
      </c>
      <c r="L728" s="1441"/>
      <c r="M728" s="1016"/>
      <c r="N728" s="1441"/>
      <c r="O728" s="881"/>
      <c r="P728" s="881"/>
      <c r="Q728" s="1302"/>
      <c r="R728" s="1302"/>
      <c r="S728" s="1302"/>
      <c r="T728" s="1302"/>
      <c r="U728" s="1302"/>
      <c r="V728" s="1302"/>
      <c r="W728" s="1302"/>
      <c r="X728" s="1302"/>
      <c r="Y728" s="1302"/>
      <c r="Z728" s="1302"/>
    </row>
    <row r="729" spans="1:26" ht="19.5" hidden="1">
      <c r="A729" s="1429"/>
      <c r="B729" s="1301"/>
      <c r="C729" s="1301"/>
      <c r="D729" s="1301" t="s">
        <v>309</v>
      </c>
      <c r="E729" s="1301"/>
      <c r="F729" s="1301"/>
      <c r="G729" s="1016"/>
      <c r="H729" s="765" t="s">
        <v>46</v>
      </c>
      <c r="I729" s="1442">
        <f ca="1">IFERROR(__xludf.DUMMYFUNCTION("IMPORTRANGE(""https://docs.google.com/spreadsheets/d/1QqKyyYR6Q21VydFLVH3TRQUabQu_ym0Zz7PgGX0-kHA/edit?usp=sharing"",""แผน!IP84"")"),0)</f>
        <v>0</v>
      </c>
      <c r="J729" s="1019">
        <f>J732+J735</f>
        <v>0</v>
      </c>
      <c r="K729" s="1020">
        <f t="shared" ca="1" si="293"/>
        <v>0</v>
      </c>
      <c r="L729" s="881"/>
      <c r="M729" s="1016"/>
      <c r="N729" s="1441"/>
      <c r="O729" s="881"/>
      <c r="P729" s="881"/>
      <c r="Q729" s="1302"/>
      <c r="R729" s="1302"/>
      <c r="S729" s="1302"/>
      <c r="T729" s="1302"/>
      <c r="U729" s="1302"/>
      <c r="V729" s="1302"/>
      <c r="W729" s="1302"/>
      <c r="X729" s="1302"/>
      <c r="Y729" s="1302"/>
      <c r="Z729" s="1302"/>
    </row>
    <row r="730" spans="1:26" ht="18.75" hidden="1">
      <c r="A730" s="1429"/>
      <c r="B730" s="1301"/>
      <c r="C730" s="1301"/>
      <c r="D730" s="1301"/>
      <c r="E730" s="1301" t="s">
        <v>310</v>
      </c>
      <c r="F730" s="1301"/>
      <c r="G730" s="1016"/>
      <c r="H730" s="762" t="s">
        <v>35</v>
      </c>
      <c r="I730" s="1440"/>
      <c r="J730" s="1012">
        <v>0</v>
      </c>
      <c r="K730" s="881"/>
      <c r="L730" s="1441"/>
      <c r="M730" s="881"/>
      <c r="N730" s="1441"/>
      <c r="O730" s="881"/>
      <c r="P730" s="881"/>
      <c r="Q730" s="1302"/>
      <c r="R730" s="1302"/>
      <c r="S730" s="1302"/>
      <c r="T730" s="1302"/>
      <c r="U730" s="1302"/>
      <c r="V730" s="1302"/>
      <c r="W730" s="1302"/>
      <c r="X730" s="1302"/>
      <c r="Y730" s="1302"/>
      <c r="Z730" s="1302"/>
    </row>
    <row r="731" spans="1:26" ht="18.75" hidden="1">
      <c r="A731" s="1429"/>
      <c r="B731" s="1301"/>
      <c r="C731" s="1301"/>
      <c r="D731" s="1301"/>
      <c r="E731" s="1301"/>
      <c r="F731" s="1301"/>
      <c r="G731" s="1016"/>
      <c r="H731" s="762" t="s">
        <v>34</v>
      </c>
      <c r="I731" s="1440"/>
      <c r="J731" s="1012">
        <v>0</v>
      </c>
      <c r="K731" s="881"/>
      <c r="L731" s="1441"/>
      <c r="M731" s="881"/>
      <c r="N731" s="1441"/>
      <c r="O731" s="881"/>
      <c r="P731" s="881"/>
      <c r="Q731" s="1302"/>
      <c r="R731" s="1302"/>
      <c r="S731" s="1302"/>
      <c r="T731" s="1302"/>
      <c r="U731" s="1302"/>
      <c r="V731" s="1302"/>
      <c r="W731" s="1302"/>
      <c r="X731" s="1302"/>
      <c r="Y731" s="1302"/>
      <c r="Z731" s="1302"/>
    </row>
    <row r="732" spans="1:26" ht="18.75" hidden="1">
      <c r="A732" s="1429"/>
      <c r="B732" s="1301"/>
      <c r="C732" s="1301"/>
      <c r="D732" s="1301"/>
      <c r="E732" s="1301"/>
      <c r="F732" s="1301"/>
      <c r="G732" s="1016"/>
      <c r="H732" s="762" t="s">
        <v>46</v>
      </c>
      <c r="I732" s="1440"/>
      <c r="J732" s="1012">
        <v>0</v>
      </c>
      <c r="K732" s="881"/>
      <c r="L732" s="1441"/>
      <c r="M732" s="881"/>
      <c r="N732" s="1441"/>
      <c r="O732" s="881"/>
      <c r="P732" s="881"/>
      <c r="Q732" s="1302"/>
      <c r="R732" s="1302"/>
      <c r="S732" s="1302"/>
      <c r="T732" s="1302"/>
      <c r="U732" s="1302"/>
      <c r="V732" s="1302"/>
      <c r="W732" s="1302"/>
      <c r="X732" s="1302"/>
      <c r="Y732" s="1302"/>
      <c r="Z732" s="1302"/>
    </row>
    <row r="733" spans="1:26" ht="18.75" hidden="1">
      <c r="A733" s="1429"/>
      <c r="B733" s="1301"/>
      <c r="C733" s="1301"/>
      <c r="D733" s="1301"/>
      <c r="E733" s="1301" t="s">
        <v>311</v>
      </c>
      <c r="F733" s="1301"/>
      <c r="G733" s="1016"/>
      <c r="H733" s="762" t="s">
        <v>35</v>
      </c>
      <c r="I733" s="1440"/>
      <c r="J733" s="1012">
        <v>0</v>
      </c>
      <c r="K733" s="881"/>
      <c r="L733" s="1441"/>
      <c r="M733" s="881"/>
      <c r="N733" s="1441"/>
      <c r="O733" s="881"/>
      <c r="P733" s="881"/>
      <c r="Q733" s="1302"/>
      <c r="R733" s="1302"/>
      <c r="S733" s="1302"/>
      <c r="T733" s="1302"/>
      <c r="U733" s="1302"/>
      <c r="V733" s="1302"/>
      <c r="W733" s="1302"/>
      <c r="X733" s="1302"/>
      <c r="Y733" s="1302"/>
      <c r="Z733" s="1302"/>
    </row>
    <row r="734" spans="1:26" ht="18.75" hidden="1">
      <c r="A734" s="1429"/>
      <c r="B734" s="1301"/>
      <c r="C734" s="1301"/>
      <c r="D734" s="1301"/>
      <c r="E734" s="1301"/>
      <c r="F734" s="1301"/>
      <c r="G734" s="1016"/>
      <c r="H734" s="762" t="s">
        <v>34</v>
      </c>
      <c r="I734" s="1440"/>
      <c r="J734" s="1012">
        <v>0</v>
      </c>
      <c r="K734" s="881"/>
      <c r="L734" s="1441"/>
      <c r="M734" s="881"/>
      <c r="N734" s="1441"/>
      <c r="O734" s="881"/>
      <c r="P734" s="881"/>
      <c r="Q734" s="1302"/>
      <c r="R734" s="1302"/>
      <c r="S734" s="1302"/>
      <c r="T734" s="1302"/>
      <c r="U734" s="1302"/>
      <c r="V734" s="1302"/>
      <c r="W734" s="1302"/>
      <c r="X734" s="1302"/>
      <c r="Y734" s="1302"/>
      <c r="Z734" s="1302"/>
    </row>
    <row r="735" spans="1:26" ht="19.5" hidden="1">
      <c r="A735" s="1443"/>
      <c r="B735" s="1444" t="s">
        <v>312</v>
      </c>
      <c r="C735" s="1169"/>
      <c r="D735" s="1169"/>
      <c r="E735" s="1169"/>
      <c r="F735" s="1169"/>
      <c r="G735" s="1422"/>
      <c r="H735" s="423" t="s">
        <v>46</v>
      </c>
      <c r="I735" s="1445"/>
      <c r="J735" s="1171">
        <v>0</v>
      </c>
      <c r="K735" s="1239"/>
      <c r="L735" s="1446"/>
      <c r="M735" s="1239"/>
      <c r="N735" s="1446"/>
      <c r="O735" s="1239"/>
      <c r="P735" s="1239"/>
      <c r="Q735" s="1302"/>
      <c r="R735" s="1302"/>
      <c r="S735" s="1302"/>
      <c r="T735" s="1302"/>
      <c r="U735" s="1302"/>
      <c r="V735" s="1302"/>
      <c r="W735" s="1302"/>
      <c r="X735" s="1302"/>
      <c r="Y735" s="1302"/>
      <c r="Z735" s="1302"/>
    </row>
    <row r="736" spans="1:26" ht="19.5" hidden="1">
      <c r="A736" s="772">
        <v>9</v>
      </c>
      <c r="B736" s="1447" t="s">
        <v>313</v>
      </c>
      <c r="C736" s="1448"/>
      <c r="D736" s="1448"/>
      <c r="E736" s="1448"/>
      <c r="F736" s="1448"/>
      <c r="G736" s="1449"/>
      <c r="H736" s="776" t="s">
        <v>46</v>
      </c>
      <c r="I736" s="1450"/>
      <c r="J736" s="1450">
        <f>J751</f>
        <v>0</v>
      </c>
      <c r="K736" s="1451">
        <f>IF(I736&gt;0,J736*100/I736,0)</f>
        <v>0</v>
      </c>
      <c r="L736" s="1452"/>
      <c r="M736" s="1452"/>
      <c r="N736" s="1452"/>
      <c r="O736" s="1452"/>
      <c r="P736" s="1452"/>
      <c r="Q736" s="1323"/>
      <c r="R736" s="1323"/>
      <c r="S736" s="1323"/>
      <c r="T736" s="1323"/>
      <c r="U736" s="1323"/>
      <c r="V736" s="1323"/>
      <c r="W736" s="1323"/>
      <c r="X736" s="1323"/>
      <c r="Y736" s="1323"/>
      <c r="Z736" s="1323"/>
    </row>
    <row r="737" spans="1:26" ht="19.5" hidden="1">
      <c r="A737" s="1319"/>
      <c r="B737" s="1320"/>
      <c r="C737" s="1320" t="s">
        <v>16</v>
      </c>
      <c r="D737" s="1351" t="s">
        <v>17</v>
      </c>
      <c r="E737" s="841"/>
      <c r="F737" s="841"/>
      <c r="G737" s="1322"/>
      <c r="H737" s="644" t="s">
        <v>12</v>
      </c>
      <c r="I737" s="886"/>
      <c r="J737" s="886"/>
      <c r="K737" s="887"/>
      <c r="L737" s="1352">
        <f t="shared" ref="L737:N737" si="294">L738+L739</f>
        <v>0</v>
      </c>
      <c r="M737" s="1352">
        <f t="shared" si="294"/>
        <v>0</v>
      </c>
      <c r="N737" s="1352">
        <f t="shared" si="294"/>
        <v>0</v>
      </c>
      <c r="O737" s="1352">
        <f t="shared" ref="O737:O742" si="295">IF(L737&gt;0,N737*100/L737,0)</f>
        <v>0</v>
      </c>
      <c r="P737" s="1352">
        <f t="shared" ref="P737:P742" si="296">IF(M737&gt;0,N737*100/M737,0)</f>
        <v>0</v>
      </c>
      <c r="Q737" s="1323"/>
      <c r="R737" s="1323"/>
      <c r="S737" s="1323"/>
      <c r="T737" s="1323"/>
      <c r="U737" s="1323"/>
      <c r="V737" s="1323"/>
      <c r="W737" s="1323"/>
      <c r="X737" s="1323"/>
      <c r="Y737" s="1323"/>
      <c r="Z737" s="1323"/>
    </row>
    <row r="738" spans="1:26" ht="18.75" hidden="1">
      <c r="A738" s="1319"/>
      <c r="B738" s="1320"/>
      <c r="C738" s="1320"/>
      <c r="D738" s="1321"/>
      <c r="E738" s="1320" t="s">
        <v>185</v>
      </c>
      <c r="F738" s="1320"/>
      <c r="G738" s="1322"/>
      <c r="H738" s="165" t="s">
        <v>12</v>
      </c>
      <c r="I738" s="886"/>
      <c r="J738" s="886"/>
      <c r="K738" s="887"/>
      <c r="L738" s="887">
        <f t="shared" ref="L738:N739" si="297">L741+L748</f>
        <v>0</v>
      </c>
      <c r="M738" s="887">
        <f t="shared" si="297"/>
        <v>0</v>
      </c>
      <c r="N738" s="887">
        <f t="shared" si="297"/>
        <v>0</v>
      </c>
      <c r="O738" s="887">
        <f t="shared" si="295"/>
        <v>0</v>
      </c>
      <c r="P738" s="887">
        <f t="shared" si="296"/>
        <v>0</v>
      </c>
      <c r="Q738" s="1323"/>
      <c r="R738" s="1323"/>
      <c r="S738" s="1323"/>
      <c r="T738" s="1323"/>
      <c r="U738" s="1323"/>
      <c r="V738" s="1323"/>
      <c r="W738" s="1323"/>
      <c r="X738" s="1323"/>
      <c r="Y738" s="1323"/>
      <c r="Z738" s="1323"/>
    </row>
    <row r="739" spans="1:26" ht="18.75" hidden="1">
      <c r="A739" s="1319"/>
      <c r="B739" s="1324"/>
      <c r="C739" s="1320"/>
      <c r="D739" s="1321"/>
      <c r="E739" s="1320" t="s">
        <v>186</v>
      </c>
      <c r="F739" s="1320"/>
      <c r="G739" s="1322"/>
      <c r="H739" s="165" t="s">
        <v>12</v>
      </c>
      <c r="I739" s="886"/>
      <c r="J739" s="886"/>
      <c r="K739" s="887"/>
      <c r="L739" s="887">
        <f t="shared" si="297"/>
        <v>0</v>
      </c>
      <c r="M739" s="887">
        <f t="shared" si="297"/>
        <v>0</v>
      </c>
      <c r="N739" s="887">
        <f t="shared" si="297"/>
        <v>0</v>
      </c>
      <c r="O739" s="887">
        <f t="shared" si="295"/>
        <v>0</v>
      </c>
      <c r="P739" s="887">
        <f t="shared" si="296"/>
        <v>0</v>
      </c>
      <c r="Q739" s="1323"/>
      <c r="R739" s="1323"/>
      <c r="S739" s="1323"/>
      <c r="T739" s="1323"/>
      <c r="U739" s="1323"/>
      <c r="V739" s="1323"/>
      <c r="W739" s="1323"/>
      <c r="X739" s="1323"/>
      <c r="Y739" s="1323"/>
      <c r="Z739" s="1323"/>
    </row>
    <row r="740" spans="1:26" ht="19.5" hidden="1">
      <c r="A740" s="1319"/>
      <c r="B740" s="1324"/>
      <c r="C740" s="1320"/>
      <c r="D740" s="1453" t="s">
        <v>20</v>
      </c>
      <c r="E740" s="1320"/>
      <c r="F740" s="1320"/>
      <c r="G740" s="1322"/>
      <c r="H740" s="644" t="s">
        <v>12</v>
      </c>
      <c r="I740" s="1000"/>
      <c r="J740" s="1000"/>
      <c r="K740" s="1001"/>
      <c r="L740" s="1352">
        <f t="shared" ref="L740:N740" si="298">L741+L742</f>
        <v>0</v>
      </c>
      <c r="M740" s="1352">
        <f t="shared" si="298"/>
        <v>0</v>
      </c>
      <c r="N740" s="1352">
        <f t="shared" si="298"/>
        <v>0</v>
      </c>
      <c r="O740" s="1352">
        <f t="shared" si="295"/>
        <v>0</v>
      </c>
      <c r="P740" s="1352">
        <f t="shared" si="296"/>
        <v>0</v>
      </c>
      <c r="Q740" s="1323"/>
      <c r="R740" s="1323"/>
      <c r="S740" s="1323"/>
      <c r="T740" s="1323"/>
      <c r="U740" s="1323"/>
      <c r="V740" s="1323"/>
      <c r="W740" s="1323"/>
      <c r="X740" s="1323"/>
      <c r="Y740" s="1323"/>
      <c r="Z740" s="1323"/>
    </row>
    <row r="741" spans="1:26" ht="18.75" hidden="1">
      <c r="A741" s="1319"/>
      <c r="B741" s="1324"/>
      <c r="C741" s="1320"/>
      <c r="D741" s="1321"/>
      <c r="E741" s="1320" t="s">
        <v>185</v>
      </c>
      <c r="F741" s="1320"/>
      <c r="G741" s="1322"/>
      <c r="H741" s="165" t="s">
        <v>12</v>
      </c>
      <c r="I741" s="886"/>
      <c r="J741" s="886"/>
      <c r="K741" s="887"/>
      <c r="L741" s="887">
        <v>0</v>
      </c>
      <c r="M741" s="887">
        <v>0</v>
      </c>
      <c r="N741" s="887">
        <v>0</v>
      </c>
      <c r="O741" s="887">
        <f t="shared" si="295"/>
        <v>0</v>
      </c>
      <c r="P741" s="887">
        <f t="shared" si="296"/>
        <v>0</v>
      </c>
      <c r="Q741" s="1323"/>
      <c r="R741" s="1323"/>
      <c r="S741" s="1323"/>
      <c r="T741" s="1323"/>
      <c r="U741" s="1323"/>
      <c r="V741" s="1323"/>
      <c r="W741" s="1323"/>
      <c r="X741" s="1323"/>
      <c r="Y741" s="1323"/>
      <c r="Z741" s="1323"/>
    </row>
    <row r="742" spans="1:26" ht="18.75" hidden="1">
      <c r="A742" s="1319"/>
      <c r="B742" s="1324"/>
      <c r="C742" s="1320"/>
      <c r="D742" s="1321"/>
      <c r="E742" s="1320" t="s">
        <v>186</v>
      </c>
      <c r="F742" s="1320"/>
      <c r="G742" s="1322"/>
      <c r="H742" s="165" t="s">
        <v>12</v>
      </c>
      <c r="I742" s="886"/>
      <c r="J742" s="886"/>
      <c r="K742" s="887"/>
      <c r="L742" s="887">
        <v>0</v>
      </c>
      <c r="M742" s="887">
        <v>0</v>
      </c>
      <c r="N742" s="887">
        <f>N743+N744+N745+N746</f>
        <v>0</v>
      </c>
      <c r="O742" s="887">
        <f t="shared" si="295"/>
        <v>0</v>
      </c>
      <c r="P742" s="887">
        <f t="shared" si="296"/>
        <v>0</v>
      </c>
      <c r="Q742" s="1323"/>
      <c r="R742" s="1323"/>
      <c r="S742" s="1323"/>
      <c r="T742" s="1323"/>
      <c r="U742" s="1323"/>
      <c r="V742" s="1323"/>
      <c r="W742" s="1323"/>
      <c r="X742" s="1323"/>
      <c r="Y742" s="1323"/>
      <c r="Z742" s="1323"/>
    </row>
    <row r="743" spans="1:26" ht="18.75" hidden="1">
      <c r="A743" s="1354"/>
      <c r="B743" s="1324"/>
      <c r="C743" s="1320"/>
      <c r="D743" s="1320"/>
      <c r="E743" s="1320"/>
      <c r="F743" s="1320" t="s">
        <v>187</v>
      </c>
      <c r="G743" s="1322"/>
      <c r="H743" s="165" t="s">
        <v>12</v>
      </c>
      <c r="I743" s="886"/>
      <c r="J743" s="886"/>
      <c r="K743" s="887"/>
      <c r="L743" s="887"/>
      <c r="M743" s="887"/>
      <c r="N743" s="887"/>
      <c r="O743" s="887"/>
      <c r="P743" s="887"/>
      <c r="Q743" s="1323"/>
      <c r="R743" s="1323"/>
      <c r="S743" s="1323"/>
      <c r="T743" s="1323"/>
      <c r="U743" s="1323"/>
      <c r="V743" s="1323"/>
      <c r="W743" s="1323"/>
      <c r="X743" s="1323"/>
      <c r="Y743" s="1323"/>
      <c r="Z743" s="1323"/>
    </row>
    <row r="744" spans="1:26" ht="18.75" hidden="1">
      <c r="A744" s="1354"/>
      <c r="B744" s="1324"/>
      <c r="C744" s="1320"/>
      <c r="D744" s="1320"/>
      <c r="E744" s="1320"/>
      <c r="F744" s="1320" t="s">
        <v>188</v>
      </c>
      <c r="G744" s="1322"/>
      <c r="H744" s="165" t="s">
        <v>12</v>
      </c>
      <c r="I744" s="886"/>
      <c r="J744" s="886"/>
      <c r="K744" s="887"/>
      <c r="L744" s="887"/>
      <c r="M744" s="887"/>
      <c r="N744" s="887"/>
      <c r="O744" s="887"/>
      <c r="P744" s="887"/>
      <c r="Q744" s="1323"/>
      <c r="R744" s="1323"/>
      <c r="S744" s="1323"/>
      <c r="T744" s="1323"/>
      <c r="U744" s="1323"/>
      <c r="V744" s="1323"/>
      <c r="W744" s="1323"/>
      <c r="X744" s="1323"/>
      <c r="Y744" s="1323"/>
      <c r="Z744" s="1323"/>
    </row>
    <row r="745" spans="1:26" ht="18.75" hidden="1">
      <c r="A745" s="1354"/>
      <c r="B745" s="1324"/>
      <c r="C745" s="1320"/>
      <c r="D745" s="1320"/>
      <c r="E745" s="1320"/>
      <c r="F745" s="1320" t="s">
        <v>189</v>
      </c>
      <c r="G745" s="1322"/>
      <c r="H745" s="165" t="s">
        <v>12</v>
      </c>
      <c r="I745" s="886"/>
      <c r="J745" s="886"/>
      <c r="K745" s="887"/>
      <c r="L745" s="887"/>
      <c r="M745" s="887"/>
      <c r="N745" s="887"/>
      <c r="O745" s="887"/>
      <c r="P745" s="887"/>
      <c r="Q745" s="1323"/>
      <c r="R745" s="1323"/>
      <c r="S745" s="1323"/>
      <c r="T745" s="1323"/>
      <c r="U745" s="1323"/>
      <c r="V745" s="1323"/>
      <c r="W745" s="1323"/>
      <c r="X745" s="1323"/>
      <c r="Y745" s="1323"/>
      <c r="Z745" s="1323"/>
    </row>
    <row r="746" spans="1:26" ht="18.75" hidden="1">
      <c r="A746" s="1354"/>
      <c r="B746" s="1324"/>
      <c r="C746" s="1320"/>
      <c r="D746" s="1320"/>
      <c r="E746" s="1320"/>
      <c r="F746" s="1320" t="s">
        <v>190</v>
      </c>
      <c r="G746" s="1322"/>
      <c r="H746" s="165" t="s">
        <v>12</v>
      </c>
      <c r="I746" s="886"/>
      <c r="J746" s="886"/>
      <c r="K746" s="887"/>
      <c r="L746" s="887"/>
      <c r="M746" s="887"/>
      <c r="N746" s="887"/>
      <c r="O746" s="887"/>
      <c r="P746" s="887"/>
      <c r="Q746" s="1323"/>
      <c r="R746" s="1323"/>
      <c r="S746" s="1323"/>
      <c r="T746" s="1323"/>
      <c r="U746" s="1323"/>
      <c r="V746" s="1323"/>
      <c r="W746" s="1323"/>
      <c r="X746" s="1323"/>
      <c r="Y746" s="1323"/>
      <c r="Z746" s="1323"/>
    </row>
    <row r="747" spans="1:26" ht="19.5" hidden="1">
      <c r="A747" s="1319"/>
      <c r="B747" s="1324"/>
      <c r="C747" s="1320"/>
      <c r="D747" s="1453" t="s">
        <v>21</v>
      </c>
      <c r="E747" s="1320"/>
      <c r="F747" s="1320"/>
      <c r="G747" s="1322"/>
      <c r="H747" s="781" t="s">
        <v>12</v>
      </c>
      <c r="I747" s="1000"/>
      <c r="J747" s="1000"/>
      <c r="K747" s="1001"/>
      <c r="L747" s="1352">
        <f t="shared" ref="L747:N747" si="299">L748+L749</f>
        <v>0</v>
      </c>
      <c r="M747" s="1352">
        <f t="shared" si="299"/>
        <v>0</v>
      </c>
      <c r="N747" s="1352">
        <f t="shared" si="299"/>
        <v>0</v>
      </c>
      <c r="O747" s="1352">
        <f t="shared" ref="O747:O749" si="300">IF(L747&gt;0,N747*100/L747,0)</f>
        <v>0</v>
      </c>
      <c r="P747" s="1352">
        <f t="shared" ref="P747:P749" si="301">IF(M747&gt;0,N747*100/M747,0)</f>
        <v>0</v>
      </c>
      <c r="Q747" s="1323"/>
      <c r="R747" s="1323"/>
      <c r="S747" s="1323"/>
      <c r="T747" s="1323"/>
      <c r="U747" s="1323"/>
      <c r="V747" s="1323"/>
      <c r="W747" s="1323"/>
      <c r="X747" s="1323"/>
      <c r="Y747" s="1323"/>
      <c r="Z747" s="1323"/>
    </row>
    <row r="748" spans="1:26" ht="18.75" hidden="1">
      <c r="A748" s="1319"/>
      <c r="B748" s="1324"/>
      <c r="C748" s="1320"/>
      <c r="D748" s="1320"/>
      <c r="E748" s="1320" t="s">
        <v>18</v>
      </c>
      <c r="F748" s="1320"/>
      <c r="G748" s="1322"/>
      <c r="H748" s="165" t="s">
        <v>12</v>
      </c>
      <c r="I748" s="1000"/>
      <c r="J748" s="1000"/>
      <c r="K748" s="1001"/>
      <c r="L748" s="887">
        <v>0</v>
      </c>
      <c r="M748" s="887">
        <v>0</v>
      </c>
      <c r="N748" s="887">
        <v>0</v>
      </c>
      <c r="O748" s="887">
        <f t="shared" si="300"/>
        <v>0</v>
      </c>
      <c r="P748" s="887">
        <f t="shared" si="301"/>
        <v>0</v>
      </c>
      <c r="Q748" s="1323"/>
      <c r="R748" s="1323"/>
      <c r="S748" s="1323"/>
      <c r="T748" s="1323"/>
      <c r="U748" s="1323"/>
      <c r="V748" s="1323"/>
      <c r="W748" s="1323"/>
      <c r="X748" s="1323"/>
      <c r="Y748" s="1323"/>
      <c r="Z748" s="1323"/>
    </row>
    <row r="749" spans="1:26" ht="18.75" hidden="1">
      <c r="A749" s="1319"/>
      <c r="B749" s="1324"/>
      <c r="C749" s="1320"/>
      <c r="D749" s="1320"/>
      <c r="E749" s="1320" t="s">
        <v>19</v>
      </c>
      <c r="F749" s="1320"/>
      <c r="G749" s="1322"/>
      <c r="H749" s="169" t="s">
        <v>12</v>
      </c>
      <c r="I749" s="1000"/>
      <c r="J749" s="1000"/>
      <c r="K749" s="1001"/>
      <c r="L749" s="887">
        <v>0</v>
      </c>
      <c r="M749" s="887">
        <v>0</v>
      </c>
      <c r="N749" s="887">
        <v>0</v>
      </c>
      <c r="O749" s="887">
        <f t="shared" si="300"/>
        <v>0</v>
      </c>
      <c r="P749" s="887">
        <f t="shared" si="301"/>
        <v>0</v>
      </c>
      <c r="Q749" s="1323"/>
      <c r="R749" s="1323"/>
      <c r="S749" s="1323"/>
      <c r="T749" s="1323"/>
      <c r="U749" s="1323"/>
      <c r="V749" s="1323"/>
      <c r="W749" s="1323"/>
      <c r="X749" s="1323"/>
      <c r="Y749" s="1323"/>
      <c r="Z749" s="1323"/>
    </row>
    <row r="750" spans="1:26" ht="19.5" hidden="1">
      <c r="A750" s="1332"/>
      <c r="B750" s="1333"/>
      <c r="C750" s="1320" t="s">
        <v>16</v>
      </c>
      <c r="D750" s="1454" t="s">
        <v>38</v>
      </c>
      <c r="E750" s="1356"/>
      <c r="F750" s="1356"/>
      <c r="G750" s="1357"/>
      <c r="H750" s="1113"/>
      <c r="I750" s="1000"/>
      <c r="J750" s="1000"/>
      <c r="K750" s="1001"/>
      <c r="L750" s="1001"/>
      <c r="M750" s="1001"/>
      <c r="N750" s="1001"/>
      <c r="O750" s="1001"/>
      <c r="P750" s="1001"/>
      <c r="Q750" s="1323"/>
      <c r="R750" s="1323"/>
      <c r="S750" s="1323"/>
      <c r="T750" s="1323"/>
      <c r="U750" s="1323"/>
      <c r="V750" s="1323"/>
      <c r="W750" s="1323"/>
      <c r="X750" s="1323"/>
      <c r="Y750" s="1323"/>
      <c r="Z750" s="1323"/>
    </row>
    <row r="751" spans="1:26" ht="18.75" hidden="1">
      <c r="A751" s="1354"/>
      <c r="B751" s="1324"/>
      <c r="C751" s="1320"/>
      <c r="D751" s="1320"/>
      <c r="E751" s="1320" t="s">
        <v>314</v>
      </c>
      <c r="F751" s="1320"/>
      <c r="G751" s="1322"/>
      <c r="H751" s="165" t="s">
        <v>46</v>
      </c>
      <c r="I751" s="886"/>
      <c r="J751" s="886"/>
      <c r="K751" s="887"/>
      <c r="L751" s="887"/>
      <c r="M751" s="887"/>
      <c r="N751" s="887"/>
      <c r="O751" s="887"/>
      <c r="P751" s="887"/>
      <c r="Q751" s="1323"/>
      <c r="R751" s="1323"/>
      <c r="S751" s="1323"/>
      <c r="T751" s="1323"/>
      <c r="U751" s="1323"/>
      <c r="V751" s="1323"/>
      <c r="W751" s="1323"/>
      <c r="X751" s="1323"/>
      <c r="Y751" s="1323"/>
      <c r="Z751" s="1323"/>
    </row>
    <row r="752" spans="1:26" ht="18.75" hidden="1">
      <c r="A752" s="1354"/>
      <c r="B752" s="1324"/>
      <c r="C752" s="1320"/>
      <c r="D752" s="1320"/>
      <c r="E752" s="1320"/>
      <c r="F752" s="1320"/>
      <c r="G752" s="1322"/>
      <c r="H752" s="165" t="s">
        <v>315</v>
      </c>
      <c r="I752" s="886"/>
      <c r="J752" s="886"/>
      <c r="K752" s="887"/>
      <c r="L752" s="887"/>
      <c r="M752" s="887"/>
      <c r="N752" s="887"/>
      <c r="O752" s="887"/>
      <c r="P752" s="887"/>
      <c r="Q752" s="1323"/>
      <c r="R752" s="1323"/>
      <c r="S752" s="1323"/>
      <c r="T752" s="1323"/>
      <c r="U752" s="1323"/>
      <c r="V752" s="1323"/>
      <c r="W752" s="1323"/>
      <c r="X752" s="1323"/>
      <c r="Y752" s="1323"/>
      <c r="Z752" s="1323"/>
    </row>
    <row r="753" spans="1:26" ht="19.5" hidden="1">
      <c r="A753" s="783">
        <v>10</v>
      </c>
      <c r="B753" s="1455" t="s">
        <v>316</v>
      </c>
      <c r="C753" s="1456"/>
      <c r="D753" s="1456"/>
      <c r="E753" s="1456"/>
      <c r="F753" s="1456"/>
      <c r="G753" s="1457"/>
      <c r="H753" s="787" t="s">
        <v>46</v>
      </c>
      <c r="I753" s="1458"/>
      <c r="J753" s="1458">
        <f>J768</f>
        <v>0</v>
      </c>
      <c r="K753" s="1459">
        <f>IF(I753&gt;0,J753*100/I753,0)</f>
        <v>0</v>
      </c>
      <c r="L753" s="1460"/>
      <c r="M753" s="1460"/>
      <c r="N753" s="1460"/>
      <c r="O753" s="1460"/>
      <c r="P753" s="1460"/>
      <c r="Q753" s="1323"/>
      <c r="R753" s="1323"/>
      <c r="S753" s="1323"/>
      <c r="T753" s="1323"/>
      <c r="U753" s="1323"/>
      <c r="V753" s="1323"/>
      <c r="W753" s="1323"/>
      <c r="X753" s="1323"/>
      <c r="Y753" s="1323"/>
      <c r="Z753" s="1323"/>
    </row>
    <row r="754" spans="1:26" ht="19.5" hidden="1">
      <c r="A754" s="1319"/>
      <c r="B754" s="1320"/>
      <c r="C754" s="1320" t="s">
        <v>16</v>
      </c>
      <c r="D754" s="1351" t="s">
        <v>17</v>
      </c>
      <c r="E754" s="841"/>
      <c r="F754" s="841"/>
      <c r="G754" s="1322"/>
      <c r="H754" s="644" t="s">
        <v>12</v>
      </c>
      <c r="I754" s="886"/>
      <c r="J754" s="886"/>
      <c r="K754" s="887"/>
      <c r="L754" s="1352">
        <f t="shared" ref="L754:N754" si="302">L755+L756</f>
        <v>0</v>
      </c>
      <c r="M754" s="1352">
        <f t="shared" si="302"/>
        <v>0</v>
      </c>
      <c r="N754" s="1352">
        <f t="shared" si="302"/>
        <v>0</v>
      </c>
      <c r="O754" s="1352">
        <f t="shared" ref="O754:O759" si="303">IF(L754&gt;0,N754*100/L754,0)</f>
        <v>0</v>
      </c>
      <c r="P754" s="1352">
        <f t="shared" ref="P754:P759" si="304">IF(M754&gt;0,N754*100/M754,0)</f>
        <v>0</v>
      </c>
      <c r="Q754" s="1323"/>
      <c r="R754" s="1323"/>
      <c r="S754" s="1323"/>
      <c r="T754" s="1323"/>
      <c r="U754" s="1323"/>
      <c r="V754" s="1323"/>
      <c r="W754" s="1323"/>
      <c r="X754" s="1323"/>
      <c r="Y754" s="1323"/>
      <c r="Z754" s="1323"/>
    </row>
    <row r="755" spans="1:26" ht="18.75" hidden="1">
      <c r="A755" s="1319"/>
      <c r="B755" s="1320"/>
      <c r="C755" s="1320"/>
      <c r="D755" s="1321"/>
      <c r="E755" s="1320" t="s">
        <v>185</v>
      </c>
      <c r="F755" s="1320"/>
      <c r="G755" s="1322"/>
      <c r="H755" s="165" t="s">
        <v>12</v>
      </c>
      <c r="I755" s="886"/>
      <c r="J755" s="886"/>
      <c r="K755" s="887"/>
      <c r="L755" s="887">
        <f t="shared" ref="L755:N756" si="305">L758+L765</f>
        <v>0</v>
      </c>
      <c r="M755" s="887">
        <f t="shared" si="305"/>
        <v>0</v>
      </c>
      <c r="N755" s="887">
        <f t="shared" si="305"/>
        <v>0</v>
      </c>
      <c r="O755" s="887">
        <f t="shared" si="303"/>
        <v>0</v>
      </c>
      <c r="P755" s="887">
        <f t="shared" si="304"/>
        <v>0</v>
      </c>
      <c r="Q755" s="1323"/>
      <c r="R755" s="1323"/>
      <c r="S755" s="1323"/>
      <c r="T755" s="1323"/>
      <c r="U755" s="1323"/>
      <c r="V755" s="1323"/>
      <c r="W755" s="1323"/>
      <c r="X755" s="1323"/>
      <c r="Y755" s="1323"/>
      <c r="Z755" s="1323"/>
    </row>
    <row r="756" spans="1:26" ht="18.75" hidden="1">
      <c r="A756" s="1319"/>
      <c r="B756" s="1324"/>
      <c r="C756" s="1320"/>
      <c r="D756" s="1321"/>
      <c r="E756" s="1320" t="s">
        <v>186</v>
      </c>
      <c r="F756" s="1320"/>
      <c r="G756" s="1322"/>
      <c r="H756" s="165" t="s">
        <v>12</v>
      </c>
      <c r="I756" s="886"/>
      <c r="J756" s="886"/>
      <c r="K756" s="887"/>
      <c r="L756" s="887">
        <f t="shared" si="305"/>
        <v>0</v>
      </c>
      <c r="M756" s="887">
        <f t="shared" si="305"/>
        <v>0</v>
      </c>
      <c r="N756" s="887">
        <f t="shared" si="305"/>
        <v>0</v>
      </c>
      <c r="O756" s="887">
        <f t="shared" si="303"/>
        <v>0</v>
      </c>
      <c r="P756" s="887">
        <f t="shared" si="304"/>
        <v>0</v>
      </c>
      <c r="Q756" s="1323"/>
      <c r="R756" s="1323"/>
      <c r="S756" s="1323"/>
      <c r="T756" s="1323"/>
      <c r="U756" s="1323"/>
      <c r="V756" s="1323"/>
      <c r="W756" s="1323"/>
      <c r="X756" s="1323"/>
      <c r="Y756" s="1323"/>
      <c r="Z756" s="1323"/>
    </row>
    <row r="757" spans="1:26" ht="19.5" hidden="1">
      <c r="A757" s="1319"/>
      <c r="B757" s="1324"/>
      <c r="C757" s="1320"/>
      <c r="D757" s="1453" t="s">
        <v>20</v>
      </c>
      <c r="E757" s="1320"/>
      <c r="F757" s="1320"/>
      <c r="G757" s="1322"/>
      <c r="H757" s="644" t="s">
        <v>12</v>
      </c>
      <c r="I757" s="1000"/>
      <c r="J757" s="1000"/>
      <c r="K757" s="1001"/>
      <c r="L757" s="1352">
        <f t="shared" ref="L757:N757" si="306">L758+L759</f>
        <v>0</v>
      </c>
      <c r="M757" s="1352">
        <f t="shared" si="306"/>
        <v>0</v>
      </c>
      <c r="N757" s="1352">
        <f t="shared" si="306"/>
        <v>0</v>
      </c>
      <c r="O757" s="1352">
        <f t="shared" si="303"/>
        <v>0</v>
      </c>
      <c r="P757" s="1352">
        <f t="shared" si="304"/>
        <v>0</v>
      </c>
      <c r="Q757" s="1323"/>
      <c r="R757" s="1323"/>
      <c r="S757" s="1323"/>
      <c r="T757" s="1323"/>
      <c r="U757" s="1323"/>
      <c r="V757" s="1323"/>
      <c r="W757" s="1323"/>
      <c r="X757" s="1323"/>
      <c r="Y757" s="1323"/>
      <c r="Z757" s="1323"/>
    </row>
    <row r="758" spans="1:26" ht="18.75" hidden="1">
      <c r="A758" s="1319"/>
      <c r="B758" s="1324"/>
      <c r="C758" s="1320"/>
      <c r="D758" s="1321"/>
      <c r="E758" s="1320" t="s">
        <v>185</v>
      </c>
      <c r="F758" s="1320"/>
      <c r="G758" s="1322"/>
      <c r="H758" s="165" t="s">
        <v>12</v>
      </c>
      <c r="I758" s="886"/>
      <c r="J758" s="886"/>
      <c r="K758" s="887"/>
      <c r="L758" s="887">
        <v>0</v>
      </c>
      <c r="M758" s="887">
        <v>0</v>
      </c>
      <c r="N758" s="887">
        <v>0</v>
      </c>
      <c r="O758" s="887">
        <f t="shared" si="303"/>
        <v>0</v>
      </c>
      <c r="P758" s="887">
        <f t="shared" si="304"/>
        <v>0</v>
      </c>
      <c r="Q758" s="1323"/>
      <c r="R758" s="1323"/>
      <c r="S758" s="1323"/>
      <c r="T758" s="1323"/>
      <c r="U758" s="1323"/>
      <c r="V758" s="1323"/>
      <c r="W758" s="1323"/>
      <c r="X758" s="1323"/>
      <c r="Y758" s="1323"/>
      <c r="Z758" s="1323"/>
    </row>
    <row r="759" spans="1:26" ht="18.75" hidden="1">
      <c r="A759" s="1319"/>
      <c r="B759" s="1324"/>
      <c r="C759" s="1320"/>
      <c r="D759" s="1321"/>
      <c r="E759" s="1320" t="s">
        <v>186</v>
      </c>
      <c r="F759" s="1320"/>
      <c r="G759" s="1322"/>
      <c r="H759" s="165" t="s">
        <v>12</v>
      </c>
      <c r="I759" s="886"/>
      <c r="J759" s="886"/>
      <c r="K759" s="887"/>
      <c r="L759" s="887">
        <v>0</v>
      </c>
      <c r="M759" s="887">
        <v>0</v>
      </c>
      <c r="N759" s="887">
        <f>N760+N761+N762+N763</f>
        <v>0</v>
      </c>
      <c r="O759" s="887">
        <f t="shared" si="303"/>
        <v>0</v>
      </c>
      <c r="P759" s="887">
        <f t="shared" si="304"/>
        <v>0</v>
      </c>
      <c r="Q759" s="1323"/>
      <c r="R759" s="1323"/>
      <c r="S759" s="1323"/>
      <c r="T759" s="1323"/>
      <c r="U759" s="1323"/>
      <c r="V759" s="1323"/>
      <c r="W759" s="1323"/>
      <c r="X759" s="1323"/>
      <c r="Y759" s="1323"/>
      <c r="Z759" s="1323"/>
    </row>
    <row r="760" spans="1:26" ht="18.75" hidden="1">
      <c r="A760" s="1354"/>
      <c r="B760" s="1324"/>
      <c r="C760" s="1320"/>
      <c r="D760" s="1320"/>
      <c r="E760" s="1320"/>
      <c r="F760" s="1320" t="s">
        <v>187</v>
      </c>
      <c r="G760" s="1322"/>
      <c r="H760" s="165" t="s">
        <v>12</v>
      </c>
      <c r="I760" s="886"/>
      <c r="J760" s="886"/>
      <c r="K760" s="887"/>
      <c r="L760" s="887"/>
      <c r="M760" s="887"/>
      <c r="N760" s="887"/>
      <c r="O760" s="887"/>
      <c r="P760" s="887"/>
      <c r="Q760" s="1323"/>
      <c r="R760" s="1323"/>
      <c r="S760" s="1323"/>
      <c r="T760" s="1323"/>
      <c r="U760" s="1323"/>
      <c r="V760" s="1323"/>
      <c r="W760" s="1323"/>
      <c r="X760" s="1323"/>
      <c r="Y760" s="1323"/>
      <c r="Z760" s="1323"/>
    </row>
    <row r="761" spans="1:26" ht="18.75" hidden="1">
      <c r="A761" s="1354"/>
      <c r="B761" s="1324"/>
      <c r="C761" s="1320"/>
      <c r="D761" s="1320"/>
      <c r="E761" s="1320"/>
      <c r="F761" s="1320" t="s">
        <v>188</v>
      </c>
      <c r="G761" s="1322"/>
      <c r="H761" s="165" t="s">
        <v>12</v>
      </c>
      <c r="I761" s="886"/>
      <c r="J761" s="886"/>
      <c r="K761" s="887"/>
      <c r="L761" s="887"/>
      <c r="M761" s="887"/>
      <c r="N761" s="887"/>
      <c r="O761" s="887"/>
      <c r="P761" s="887"/>
      <c r="Q761" s="1323"/>
      <c r="R761" s="1323"/>
      <c r="S761" s="1323"/>
      <c r="T761" s="1323"/>
      <c r="U761" s="1323"/>
      <c r="V761" s="1323"/>
      <c r="W761" s="1323"/>
      <c r="X761" s="1323"/>
      <c r="Y761" s="1323"/>
      <c r="Z761" s="1323"/>
    </row>
    <row r="762" spans="1:26" ht="18.75" hidden="1">
      <c r="A762" s="1354"/>
      <c r="B762" s="1324"/>
      <c r="C762" s="1320"/>
      <c r="D762" s="1320"/>
      <c r="E762" s="1320"/>
      <c r="F762" s="1320" t="s">
        <v>189</v>
      </c>
      <c r="G762" s="1322"/>
      <c r="H762" s="165" t="s">
        <v>12</v>
      </c>
      <c r="I762" s="886"/>
      <c r="J762" s="886"/>
      <c r="K762" s="887"/>
      <c r="L762" s="887"/>
      <c r="M762" s="887"/>
      <c r="N762" s="887"/>
      <c r="O762" s="887"/>
      <c r="P762" s="887"/>
      <c r="Q762" s="1323"/>
      <c r="R762" s="1323"/>
      <c r="S762" s="1323"/>
      <c r="T762" s="1323"/>
      <c r="U762" s="1323"/>
      <c r="V762" s="1323"/>
      <c r="W762" s="1323"/>
      <c r="X762" s="1323"/>
      <c r="Y762" s="1323"/>
      <c r="Z762" s="1323"/>
    </row>
    <row r="763" spans="1:26" ht="18.75" hidden="1">
      <c r="A763" s="1354"/>
      <c r="B763" s="1324"/>
      <c r="C763" s="1320"/>
      <c r="D763" s="1320"/>
      <c r="E763" s="1320"/>
      <c r="F763" s="1320" t="s">
        <v>190</v>
      </c>
      <c r="G763" s="1322"/>
      <c r="H763" s="165" t="s">
        <v>12</v>
      </c>
      <c r="I763" s="886"/>
      <c r="J763" s="886"/>
      <c r="K763" s="887"/>
      <c r="L763" s="887"/>
      <c r="M763" s="887"/>
      <c r="N763" s="887"/>
      <c r="O763" s="887"/>
      <c r="P763" s="887"/>
      <c r="Q763" s="1323"/>
      <c r="R763" s="1323"/>
      <c r="S763" s="1323"/>
      <c r="T763" s="1323"/>
      <c r="U763" s="1323"/>
      <c r="V763" s="1323"/>
      <c r="W763" s="1323"/>
      <c r="X763" s="1323"/>
      <c r="Y763" s="1323"/>
      <c r="Z763" s="1323"/>
    </row>
    <row r="764" spans="1:26" ht="19.5" hidden="1">
      <c r="A764" s="1319"/>
      <c r="B764" s="1324"/>
      <c r="C764" s="1320"/>
      <c r="D764" s="1453" t="s">
        <v>21</v>
      </c>
      <c r="E764" s="1320"/>
      <c r="F764" s="1320"/>
      <c r="G764" s="1322"/>
      <c r="H764" s="781" t="s">
        <v>12</v>
      </c>
      <c r="I764" s="1000"/>
      <c r="J764" s="1000"/>
      <c r="K764" s="1001"/>
      <c r="L764" s="1352">
        <f t="shared" ref="L764:N764" si="307">L765+L766</f>
        <v>0</v>
      </c>
      <c r="M764" s="1352">
        <f t="shared" si="307"/>
        <v>0</v>
      </c>
      <c r="N764" s="1352">
        <f t="shared" si="307"/>
        <v>0</v>
      </c>
      <c r="O764" s="1352">
        <f t="shared" ref="O764:O766" si="308">IF(L764&gt;0,N764*100/L764,0)</f>
        <v>0</v>
      </c>
      <c r="P764" s="1352">
        <f t="shared" ref="P764:P766" si="309">IF(M764&gt;0,N764*100/M764,0)</f>
        <v>0</v>
      </c>
      <c r="Q764" s="1323"/>
      <c r="R764" s="1323"/>
      <c r="S764" s="1323"/>
      <c r="T764" s="1323"/>
      <c r="U764" s="1323"/>
      <c r="V764" s="1323"/>
      <c r="W764" s="1323"/>
      <c r="X764" s="1323"/>
      <c r="Y764" s="1323"/>
      <c r="Z764" s="1323"/>
    </row>
    <row r="765" spans="1:26" ht="18.75" hidden="1">
      <c r="A765" s="1319"/>
      <c r="B765" s="1324"/>
      <c r="C765" s="1320"/>
      <c r="D765" s="1320"/>
      <c r="E765" s="1320" t="s">
        <v>18</v>
      </c>
      <c r="F765" s="1320"/>
      <c r="G765" s="1322"/>
      <c r="H765" s="165" t="s">
        <v>12</v>
      </c>
      <c r="I765" s="1000"/>
      <c r="J765" s="1000"/>
      <c r="K765" s="1001"/>
      <c r="L765" s="887">
        <v>0</v>
      </c>
      <c r="M765" s="887">
        <v>0</v>
      </c>
      <c r="N765" s="887">
        <v>0</v>
      </c>
      <c r="O765" s="887">
        <f t="shared" si="308"/>
        <v>0</v>
      </c>
      <c r="P765" s="887">
        <f t="shared" si="309"/>
        <v>0</v>
      </c>
      <c r="Q765" s="1323"/>
      <c r="R765" s="1323"/>
      <c r="S765" s="1323"/>
      <c r="T765" s="1323"/>
      <c r="U765" s="1323"/>
      <c r="V765" s="1323"/>
      <c r="W765" s="1323"/>
      <c r="X765" s="1323"/>
      <c r="Y765" s="1323"/>
      <c r="Z765" s="1323"/>
    </row>
    <row r="766" spans="1:26" ht="18.75" hidden="1">
      <c r="A766" s="1319"/>
      <c r="B766" s="1324"/>
      <c r="C766" s="1320"/>
      <c r="D766" s="1320"/>
      <c r="E766" s="1320" t="s">
        <v>19</v>
      </c>
      <c r="F766" s="1320"/>
      <c r="G766" s="1322"/>
      <c r="H766" s="169" t="s">
        <v>12</v>
      </c>
      <c r="I766" s="1000"/>
      <c r="J766" s="1000"/>
      <c r="K766" s="1001"/>
      <c r="L766" s="887">
        <v>0</v>
      </c>
      <c r="M766" s="887">
        <v>0</v>
      </c>
      <c r="N766" s="887">
        <v>0</v>
      </c>
      <c r="O766" s="887">
        <f t="shared" si="308"/>
        <v>0</v>
      </c>
      <c r="P766" s="887">
        <f t="shared" si="309"/>
        <v>0</v>
      </c>
      <c r="Q766" s="1323"/>
      <c r="R766" s="1323"/>
      <c r="S766" s="1323"/>
      <c r="T766" s="1323"/>
      <c r="U766" s="1323"/>
      <c r="V766" s="1323"/>
      <c r="W766" s="1323"/>
      <c r="X766" s="1323"/>
      <c r="Y766" s="1323"/>
      <c r="Z766" s="1323"/>
    </row>
    <row r="767" spans="1:26" ht="19.5" hidden="1">
      <c r="A767" s="1332"/>
      <c r="B767" s="1333"/>
      <c r="C767" s="1320" t="s">
        <v>16</v>
      </c>
      <c r="D767" s="1454" t="s">
        <v>38</v>
      </c>
      <c r="E767" s="1356"/>
      <c r="F767" s="1356"/>
      <c r="G767" s="1357"/>
      <c r="H767" s="1113"/>
      <c r="I767" s="1000"/>
      <c r="J767" s="1000"/>
      <c r="K767" s="1001"/>
      <c r="L767" s="1001"/>
      <c r="M767" s="1001"/>
      <c r="N767" s="1001"/>
      <c r="O767" s="1001"/>
      <c r="P767" s="1001"/>
      <c r="Q767" s="1323"/>
      <c r="R767" s="1323"/>
      <c r="S767" s="1323"/>
      <c r="T767" s="1323"/>
      <c r="U767" s="1323"/>
      <c r="V767" s="1323"/>
      <c r="W767" s="1323"/>
      <c r="X767" s="1323"/>
      <c r="Y767" s="1323"/>
      <c r="Z767" s="1323"/>
    </row>
    <row r="768" spans="1:26" ht="18.75" hidden="1">
      <c r="A768" s="1354"/>
      <c r="B768" s="1324"/>
      <c r="C768" s="1320"/>
      <c r="D768" s="1320"/>
      <c r="E768" s="1320" t="s">
        <v>317</v>
      </c>
      <c r="F768" s="1320"/>
      <c r="G768" s="1322"/>
      <c r="H768" s="165" t="s">
        <v>46</v>
      </c>
      <c r="I768" s="886"/>
      <c r="J768" s="886"/>
      <c r="K768" s="887"/>
      <c r="L768" s="887"/>
      <c r="M768" s="887"/>
      <c r="N768" s="887"/>
      <c r="O768" s="887"/>
      <c r="P768" s="887"/>
      <c r="Q768" s="1323"/>
      <c r="R768" s="1323"/>
      <c r="S768" s="1323"/>
      <c r="T768" s="1323"/>
      <c r="U768" s="1323"/>
      <c r="V768" s="1323"/>
      <c r="W768" s="1323"/>
      <c r="X768" s="1323"/>
      <c r="Y768" s="1323"/>
      <c r="Z768" s="1323"/>
    </row>
    <row r="769" spans="1:26" ht="19.5" hidden="1">
      <c r="A769" s="791">
        <v>11</v>
      </c>
      <c r="B769" s="1461" t="s">
        <v>318</v>
      </c>
      <c r="C769" s="1462"/>
      <c r="D769" s="1462"/>
      <c r="E769" s="1462"/>
      <c r="F769" s="1462"/>
      <c r="G769" s="1463"/>
      <c r="H769" s="795" t="s">
        <v>46</v>
      </c>
      <c r="I769" s="1464"/>
      <c r="J769" s="1464">
        <f>J784</f>
        <v>0</v>
      </c>
      <c r="K769" s="1465">
        <f>IF(I769&gt;0,J769*100/I769,0)</f>
        <v>0</v>
      </c>
      <c r="L769" s="1466"/>
      <c r="M769" s="1466"/>
      <c r="N769" s="1466"/>
      <c r="O769" s="1466"/>
      <c r="P769" s="1466"/>
      <c r="Q769" s="1323"/>
      <c r="R769" s="1323"/>
      <c r="S769" s="1323"/>
      <c r="T769" s="1323"/>
      <c r="U769" s="1323"/>
      <c r="V769" s="1323"/>
      <c r="W769" s="1323"/>
      <c r="X769" s="1323"/>
      <c r="Y769" s="1323"/>
      <c r="Z769" s="1323"/>
    </row>
    <row r="770" spans="1:26" ht="19.5" hidden="1">
      <c r="A770" s="1319"/>
      <c r="B770" s="1320"/>
      <c r="C770" s="1320" t="s">
        <v>16</v>
      </c>
      <c r="D770" s="1351" t="s">
        <v>17</v>
      </c>
      <c r="E770" s="841"/>
      <c r="F770" s="841"/>
      <c r="G770" s="1322"/>
      <c r="H770" s="644" t="s">
        <v>12</v>
      </c>
      <c r="I770" s="886"/>
      <c r="J770" s="886"/>
      <c r="K770" s="887"/>
      <c r="L770" s="1352">
        <f t="shared" ref="L770:N770" si="310">L771+L772</f>
        <v>0</v>
      </c>
      <c r="M770" s="1352">
        <f t="shared" si="310"/>
        <v>0</v>
      </c>
      <c r="N770" s="1352">
        <f t="shared" si="310"/>
        <v>0</v>
      </c>
      <c r="O770" s="1352">
        <f t="shared" ref="O770:O775" si="311">IF(L770&gt;0,N770*100/L770,0)</f>
        <v>0</v>
      </c>
      <c r="P770" s="1352">
        <f t="shared" ref="P770:P775" si="312">IF(M770&gt;0,N770*100/M770,0)</f>
        <v>0</v>
      </c>
      <c r="Q770" s="1323"/>
      <c r="R770" s="1323"/>
      <c r="S770" s="1323"/>
      <c r="T770" s="1323"/>
      <c r="U770" s="1323"/>
      <c r="V770" s="1323"/>
      <c r="W770" s="1323"/>
      <c r="X770" s="1323"/>
      <c r="Y770" s="1323"/>
      <c r="Z770" s="1323"/>
    </row>
    <row r="771" spans="1:26" ht="18.75" hidden="1">
      <c r="A771" s="1319"/>
      <c r="B771" s="1320"/>
      <c r="C771" s="1320"/>
      <c r="D771" s="1321"/>
      <c r="E771" s="1320" t="s">
        <v>185</v>
      </c>
      <c r="F771" s="1320"/>
      <c r="G771" s="1322"/>
      <c r="H771" s="165" t="s">
        <v>12</v>
      </c>
      <c r="I771" s="886"/>
      <c r="J771" s="886"/>
      <c r="K771" s="887"/>
      <c r="L771" s="887">
        <f t="shared" ref="L771:N772" si="313">L774+L781</f>
        <v>0</v>
      </c>
      <c r="M771" s="887">
        <f t="shared" si="313"/>
        <v>0</v>
      </c>
      <c r="N771" s="887">
        <f t="shared" si="313"/>
        <v>0</v>
      </c>
      <c r="O771" s="887">
        <f t="shared" si="311"/>
        <v>0</v>
      </c>
      <c r="P771" s="887">
        <f t="shared" si="312"/>
        <v>0</v>
      </c>
      <c r="Q771" s="1323"/>
      <c r="R771" s="1323"/>
      <c r="S771" s="1323"/>
      <c r="T771" s="1323"/>
      <c r="U771" s="1323"/>
      <c r="V771" s="1323"/>
      <c r="W771" s="1323"/>
      <c r="X771" s="1323"/>
      <c r="Y771" s="1323"/>
      <c r="Z771" s="1323"/>
    </row>
    <row r="772" spans="1:26" ht="18.75" hidden="1">
      <c r="A772" s="1319"/>
      <c r="B772" s="1324"/>
      <c r="C772" s="1320"/>
      <c r="D772" s="1321"/>
      <c r="E772" s="1320" t="s">
        <v>186</v>
      </c>
      <c r="F772" s="1320"/>
      <c r="G772" s="1322"/>
      <c r="H772" s="165" t="s">
        <v>12</v>
      </c>
      <c r="I772" s="886"/>
      <c r="J772" s="886"/>
      <c r="K772" s="887"/>
      <c r="L772" s="887">
        <f t="shared" si="313"/>
        <v>0</v>
      </c>
      <c r="M772" s="887">
        <f t="shared" si="313"/>
        <v>0</v>
      </c>
      <c r="N772" s="887">
        <f t="shared" si="313"/>
        <v>0</v>
      </c>
      <c r="O772" s="887">
        <f t="shared" si="311"/>
        <v>0</v>
      </c>
      <c r="P772" s="887">
        <f t="shared" si="312"/>
        <v>0</v>
      </c>
      <c r="Q772" s="1323"/>
      <c r="R772" s="1323"/>
      <c r="S772" s="1323"/>
      <c r="T772" s="1323"/>
      <c r="U772" s="1323"/>
      <c r="V772" s="1323"/>
      <c r="W772" s="1323"/>
      <c r="X772" s="1323"/>
      <c r="Y772" s="1323"/>
      <c r="Z772" s="1323"/>
    </row>
    <row r="773" spans="1:26" ht="19.5" hidden="1">
      <c r="A773" s="1319"/>
      <c r="B773" s="1324"/>
      <c r="C773" s="1320"/>
      <c r="D773" s="1453" t="s">
        <v>20</v>
      </c>
      <c r="E773" s="1320"/>
      <c r="F773" s="1320"/>
      <c r="G773" s="1322"/>
      <c r="H773" s="644" t="s">
        <v>12</v>
      </c>
      <c r="I773" s="1000"/>
      <c r="J773" s="1000"/>
      <c r="K773" s="1001"/>
      <c r="L773" s="1352">
        <f t="shared" ref="L773:N773" si="314">L774+L775</f>
        <v>0</v>
      </c>
      <c r="M773" s="1352">
        <f t="shared" si="314"/>
        <v>0</v>
      </c>
      <c r="N773" s="1352">
        <f t="shared" si="314"/>
        <v>0</v>
      </c>
      <c r="O773" s="1352">
        <f t="shared" si="311"/>
        <v>0</v>
      </c>
      <c r="P773" s="1352">
        <f t="shared" si="312"/>
        <v>0</v>
      </c>
      <c r="Q773" s="1323"/>
      <c r="R773" s="1323"/>
      <c r="S773" s="1323"/>
      <c r="T773" s="1323"/>
      <c r="U773" s="1323"/>
      <c r="V773" s="1323"/>
      <c r="W773" s="1323"/>
      <c r="X773" s="1323"/>
      <c r="Y773" s="1323"/>
      <c r="Z773" s="1323"/>
    </row>
    <row r="774" spans="1:26" ht="18.75" hidden="1">
      <c r="A774" s="1319"/>
      <c r="B774" s="1324"/>
      <c r="C774" s="1320"/>
      <c r="D774" s="1321"/>
      <c r="E774" s="1320" t="s">
        <v>185</v>
      </c>
      <c r="F774" s="1320"/>
      <c r="G774" s="1322"/>
      <c r="H774" s="165" t="s">
        <v>12</v>
      </c>
      <c r="I774" s="886"/>
      <c r="J774" s="886"/>
      <c r="K774" s="887"/>
      <c r="L774" s="887">
        <v>0</v>
      </c>
      <c r="M774" s="887">
        <v>0</v>
      </c>
      <c r="N774" s="887">
        <v>0</v>
      </c>
      <c r="O774" s="887">
        <f t="shared" si="311"/>
        <v>0</v>
      </c>
      <c r="P774" s="887">
        <f t="shared" si="312"/>
        <v>0</v>
      </c>
      <c r="Q774" s="1323"/>
      <c r="R774" s="1323"/>
      <c r="S774" s="1323"/>
      <c r="T774" s="1323"/>
      <c r="U774" s="1323"/>
      <c r="V774" s="1323"/>
      <c r="W774" s="1323"/>
      <c r="X774" s="1323"/>
      <c r="Y774" s="1323"/>
      <c r="Z774" s="1323"/>
    </row>
    <row r="775" spans="1:26" ht="18.75" hidden="1">
      <c r="A775" s="1319"/>
      <c r="B775" s="1324"/>
      <c r="C775" s="1320"/>
      <c r="D775" s="1321"/>
      <c r="E775" s="1320" t="s">
        <v>186</v>
      </c>
      <c r="F775" s="1320"/>
      <c r="G775" s="1322"/>
      <c r="H775" s="165" t="s">
        <v>12</v>
      </c>
      <c r="I775" s="886"/>
      <c r="J775" s="886"/>
      <c r="K775" s="887"/>
      <c r="L775" s="887">
        <v>0</v>
      </c>
      <c r="M775" s="887">
        <v>0</v>
      </c>
      <c r="N775" s="887">
        <f>N776+N777+N778+N779</f>
        <v>0</v>
      </c>
      <c r="O775" s="887">
        <f t="shared" si="311"/>
        <v>0</v>
      </c>
      <c r="P775" s="887">
        <f t="shared" si="312"/>
        <v>0</v>
      </c>
      <c r="Q775" s="1323"/>
      <c r="R775" s="1323"/>
      <c r="S775" s="1323"/>
      <c r="T775" s="1323"/>
      <c r="U775" s="1323"/>
      <c r="V775" s="1323"/>
      <c r="W775" s="1323"/>
      <c r="X775" s="1323"/>
      <c r="Y775" s="1323"/>
      <c r="Z775" s="1323"/>
    </row>
    <row r="776" spans="1:26" ht="18.75" hidden="1">
      <c r="A776" s="1354"/>
      <c r="B776" s="1324"/>
      <c r="C776" s="1320"/>
      <c r="D776" s="1320"/>
      <c r="E776" s="1320"/>
      <c r="F776" s="1320" t="s">
        <v>187</v>
      </c>
      <c r="G776" s="1322"/>
      <c r="H776" s="165" t="s">
        <v>12</v>
      </c>
      <c r="I776" s="886"/>
      <c r="J776" s="886"/>
      <c r="K776" s="887"/>
      <c r="L776" s="887"/>
      <c r="M776" s="887"/>
      <c r="N776" s="887"/>
      <c r="O776" s="887"/>
      <c r="P776" s="887"/>
      <c r="Q776" s="1323"/>
      <c r="R776" s="1323"/>
      <c r="S776" s="1323"/>
      <c r="T776" s="1323"/>
      <c r="U776" s="1323"/>
      <c r="V776" s="1323"/>
      <c r="W776" s="1323"/>
      <c r="X776" s="1323"/>
      <c r="Y776" s="1323"/>
      <c r="Z776" s="1323"/>
    </row>
    <row r="777" spans="1:26" ht="18.75" hidden="1">
      <c r="A777" s="1354"/>
      <c r="B777" s="1324"/>
      <c r="C777" s="1320"/>
      <c r="D777" s="1320"/>
      <c r="E777" s="1320"/>
      <c r="F777" s="1320" t="s">
        <v>188</v>
      </c>
      <c r="G777" s="1322"/>
      <c r="H777" s="165" t="s">
        <v>12</v>
      </c>
      <c r="I777" s="886"/>
      <c r="J777" s="886"/>
      <c r="K777" s="887"/>
      <c r="L777" s="887"/>
      <c r="M777" s="887"/>
      <c r="N777" s="887"/>
      <c r="O777" s="887"/>
      <c r="P777" s="887"/>
      <c r="Q777" s="1323"/>
      <c r="R777" s="1323"/>
      <c r="S777" s="1323"/>
      <c r="T777" s="1323"/>
      <c r="U777" s="1323"/>
      <c r="V777" s="1323"/>
      <c r="W777" s="1323"/>
      <c r="X777" s="1323"/>
      <c r="Y777" s="1323"/>
      <c r="Z777" s="1323"/>
    </row>
    <row r="778" spans="1:26" ht="18.75" hidden="1">
      <c r="A778" s="1354"/>
      <c r="B778" s="1324"/>
      <c r="C778" s="1320"/>
      <c r="D778" s="1320"/>
      <c r="E778" s="1320"/>
      <c r="F778" s="1320" t="s">
        <v>189</v>
      </c>
      <c r="G778" s="1322"/>
      <c r="H778" s="165" t="s">
        <v>12</v>
      </c>
      <c r="I778" s="886"/>
      <c r="J778" s="886"/>
      <c r="K778" s="887"/>
      <c r="L778" s="887"/>
      <c r="M778" s="887"/>
      <c r="N778" s="887"/>
      <c r="O778" s="887"/>
      <c r="P778" s="887"/>
      <c r="Q778" s="1323"/>
      <c r="R778" s="1323"/>
      <c r="S778" s="1323"/>
      <c r="T778" s="1323"/>
      <c r="U778" s="1323"/>
      <c r="V778" s="1323"/>
      <c r="W778" s="1323"/>
      <c r="X778" s="1323"/>
      <c r="Y778" s="1323"/>
      <c r="Z778" s="1323"/>
    </row>
    <row r="779" spans="1:26" ht="18.75" hidden="1">
      <c r="A779" s="1354"/>
      <c r="B779" s="1324"/>
      <c r="C779" s="1320"/>
      <c r="D779" s="1320"/>
      <c r="E779" s="1320"/>
      <c r="F779" s="1320" t="s">
        <v>190</v>
      </c>
      <c r="G779" s="1322"/>
      <c r="H779" s="165" t="s">
        <v>12</v>
      </c>
      <c r="I779" s="886"/>
      <c r="J779" s="886"/>
      <c r="K779" s="887"/>
      <c r="L779" s="887"/>
      <c r="M779" s="887"/>
      <c r="N779" s="887"/>
      <c r="O779" s="887"/>
      <c r="P779" s="887"/>
      <c r="Q779" s="1323"/>
      <c r="R779" s="1323"/>
      <c r="S779" s="1323"/>
      <c r="T779" s="1323"/>
      <c r="U779" s="1323"/>
      <c r="V779" s="1323"/>
      <c r="W779" s="1323"/>
      <c r="X779" s="1323"/>
      <c r="Y779" s="1323"/>
      <c r="Z779" s="1323"/>
    </row>
    <row r="780" spans="1:26" ht="19.5" hidden="1">
      <c r="A780" s="1319"/>
      <c r="B780" s="1324"/>
      <c r="C780" s="1320"/>
      <c r="D780" s="1453" t="s">
        <v>21</v>
      </c>
      <c r="E780" s="1320"/>
      <c r="F780" s="1320"/>
      <c r="G780" s="1322"/>
      <c r="H780" s="781" t="s">
        <v>12</v>
      </c>
      <c r="I780" s="1000"/>
      <c r="J780" s="1000"/>
      <c r="K780" s="1001"/>
      <c r="L780" s="1352">
        <f t="shared" ref="L780:N780" si="315">L781+L782</f>
        <v>0</v>
      </c>
      <c r="M780" s="1352">
        <f t="shared" si="315"/>
        <v>0</v>
      </c>
      <c r="N780" s="1352">
        <f t="shared" si="315"/>
        <v>0</v>
      </c>
      <c r="O780" s="1352">
        <f t="shared" ref="O780:O782" si="316">IF(L780&gt;0,N780*100/L780,0)</f>
        <v>0</v>
      </c>
      <c r="P780" s="1352">
        <f t="shared" ref="P780:P782" si="317">IF(M780&gt;0,N780*100/M780,0)</f>
        <v>0</v>
      </c>
      <c r="Q780" s="1323"/>
      <c r="R780" s="1323"/>
      <c r="S780" s="1323"/>
      <c r="T780" s="1323"/>
      <c r="U780" s="1323"/>
      <c r="V780" s="1323"/>
      <c r="W780" s="1323"/>
      <c r="X780" s="1323"/>
      <c r="Y780" s="1323"/>
      <c r="Z780" s="1323"/>
    </row>
    <row r="781" spans="1:26" ht="18.75" hidden="1">
      <c r="A781" s="1319"/>
      <c r="B781" s="1324"/>
      <c r="C781" s="1320"/>
      <c r="D781" s="1320"/>
      <c r="E781" s="1320" t="s">
        <v>18</v>
      </c>
      <c r="F781" s="1320"/>
      <c r="G781" s="1322"/>
      <c r="H781" s="165" t="s">
        <v>12</v>
      </c>
      <c r="I781" s="1000"/>
      <c r="J781" s="1000"/>
      <c r="K781" s="1001"/>
      <c r="L781" s="887">
        <v>0</v>
      </c>
      <c r="M781" s="887">
        <v>0</v>
      </c>
      <c r="N781" s="887">
        <v>0</v>
      </c>
      <c r="O781" s="887">
        <f t="shared" si="316"/>
        <v>0</v>
      </c>
      <c r="P781" s="887">
        <f t="shared" si="317"/>
        <v>0</v>
      </c>
      <c r="Q781" s="1323"/>
      <c r="R781" s="1323"/>
      <c r="S781" s="1323"/>
      <c r="T781" s="1323"/>
      <c r="U781" s="1323"/>
      <c r="V781" s="1323"/>
      <c r="W781" s="1323"/>
      <c r="X781" s="1323"/>
      <c r="Y781" s="1323"/>
      <c r="Z781" s="1323"/>
    </row>
    <row r="782" spans="1:26" ht="18.75" hidden="1">
      <c r="A782" s="1319"/>
      <c r="B782" s="1324"/>
      <c r="C782" s="1320"/>
      <c r="D782" s="1320"/>
      <c r="E782" s="1320" t="s">
        <v>19</v>
      </c>
      <c r="F782" s="1320"/>
      <c r="G782" s="1322"/>
      <c r="H782" s="169" t="s">
        <v>12</v>
      </c>
      <c r="I782" s="1000"/>
      <c r="J782" s="1000"/>
      <c r="K782" s="1001"/>
      <c r="L782" s="887">
        <v>0</v>
      </c>
      <c r="M782" s="887">
        <v>0</v>
      </c>
      <c r="N782" s="887">
        <v>0</v>
      </c>
      <c r="O782" s="887">
        <f t="shared" si="316"/>
        <v>0</v>
      </c>
      <c r="P782" s="887">
        <f t="shared" si="317"/>
        <v>0</v>
      </c>
      <c r="Q782" s="1323"/>
      <c r="R782" s="1323"/>
      <c r="S782" s="1323"/>
      <c r="T782" s="1323"/>
      <c r="U782" s="1323"/>
      <c r="V782" s="1323"/>
      <c r="W782" s="1323"/>
      <c r="X782" s="1323"/>
      <c r="Y782" s="1323"/>
      <c r="Z782" s="1323"/>
    </row>
    <row r="783" spans="1:26" ht="19.5" hidden="1">
      <c r="A783" s="1332"/>
      <c r="B783" s="1333"/>
      <c r="C783" s="1320" t="s">
        <v>16</v>
      </c>
      <c r="D783" s="1454" t="s">
        <v>38</v>
      </c>
      <c r="E783" s="1356"/>
      <c r="F783" s="1356"/>
      <c r="G783" s="1357"/>
      <c r="H783" s="1467"/>
      <c r="I783" s="1000"/>
      <c r="J783" s="1000"/>
      <c r="K783" s="1001"/>
      <c r="L783" s="1001"/>
      <c r="M783" s="1001"/>
      <c r="N783" s="1001"/>
      <c r="O783" s="1001"/>
      <c r="P783" s="1001"/>
      <c r="Q783" s="1323"/>
      <c r="R783" s="1323"/>
      <c r="S783" s="1323"/>
      <c r="T783" s="1323"/>
      <c r="U783" s="1323"/>
      <c r="V783" s="1323"/>
      <c r="W783" s="1323"/>
      <c r="X783" s="1323"/>
      <c r="Y783" s="1323"/>
      <c r="Z783" s="1323"/>
    </row>
    <row r="784" spans="1:26" ht="18.75" hidden="1">
      <c r="A784" s="1354"/>
      <c r="B784" s="1324"/>
      <c r="C784" s="1320"/>
      <c r="D784" s="1320"/>
      <c r="E784" s="1320" t="s">
        <v>319</v>
      </c>
      <c r="F784" s="1320"/>
      <c r="G784" s="1322"/>
      <c r="H784" s="165" t="s">
        <v>46</v>
      </c>
      <c r="I784" s="886"/>
      <c r="J784" s="886"/>
      <c r="K784" s="887"/>
      <c r="L784" s="887"/>
      <c r="M784" s="887"/>
      <c r="N784" s="887"/>
      <c r="O784" s="887"/>
      <c r="P784" s="887"/>
      <c r="Q784" s="1323"/>
      <c r="R784" s="1323"/>
      <c r="S784" s="1323"/>
      <c r="T784" s="1323"/>
      <c r="U784" s="1323"/>
      <c r="V784" s="1323"/>
      <c r="W784" s="1323"/>
      <c r="X784" s="1323"/>
      <c r="Y784" s="1323"/>
      <c r="Z784" s="1323"/>
    </row>
    <row r="785" spans="1:26" ht="19.5" hidden="1">
      <c r="A785" s="800">
        <v>12</v>
      </c>
      <c r="B785" s="1468" t="s">
        <v>320</v>
      </c>
      <c r="C785" s="1469"/>
      <c r="D785" s="1469"/>
      <c r="E785" s="1469"/>
      <c r="F785" s="1469"/>
      <c r="G785" s="1470"/>
      <c r="H785" s="804" t="s">
        <v>46</v>
      </c>
      <c r="I785" s="1471">
        <f t="shared" ref="I785:J785" ca="1" si="318">I800</f>
        <v>0</v>
      </c>
      <c r="J785" s="1472">
        <f t="shared" ca="1" si="318"/>
        <v>0</v>
      </c>
      <c r="K785" s="1473">
        <f ca="1">IF(I785&gt;0,J785*100/I785,0)</f>
        <v>0</v>
      </c>
      <c r="L785" s="1474"/>
      <c r="M785" s="1474"/>
      <c r="N785" s="1474"/>
      <c r="O785" s="1474"/>
      <c r="P785" s="1474"/>
      <c r="Q785" s="1302"/>
      <c r="R785" s="1302"/>
      <c r="S785" s="1302"/>
      <c r="T785" s="1302"/>
      <c r="U785" s="1302"/>
      <c r="V785" s="1302"/>
      <c r="W785" s="1302"/>
      <c r="X785" s="1302"/>
      <c r="Y785" s="1302"/>
      <c r="Z785" s="1302"/>
    </row>
    <row r="786" spans="1:26" ht="19.5" hidden="1">
      <c r="A786" s="1317"/>
      <c r="B786" s="1300"/>
      <c r="C786" s="1301" t="s">
        <v>16</v>
      </c>
      <c r="D786" s="1318" t="s">
        <v>17</v>
      </c>
      <c r="E786" s="841"/>
      <c r="F786" s="841"/>
      <c r="G786" s="1016"/>
      <c r="H786" s="597" t="s">
        <v>12</v>
      </c>
      <c r="I786" s="880"/>
      <c r="J786" s="880"/>
      <c r="K786" s="881"/>
      <c r="L786" s="1020">
        <f t="shared" ref="L786:N786" ca="1" si="319">L787+L788</f>
        <v>0</v>
      </c>
      <c r="M786" s="1020">
        <f t="shared" si="319"/>
        <v>0</v>
      </c>
      <c r="N786" s="1020">
        <f t="shared" si="319"/>
        <v>0</v>
      </c>
      <c r="O786" s="1020">
        <f t="shared" ref="O786:O791" ca="1" si="320">IF(L786&gt;0,N786*100/L786,0)</f>
        <v>0</v>
      </c>
      <c r="P786" s="1020">
        <f t="shared" ref="P786:P791" si="321">IF(M786&gt;0,N786*100/M786,0)</f>
        <v>0</v>
      </c>
      <c r="Q786" s="1302"/>
      <c r="R786" s="1302"/>
      <c r="S786" s="1302"/>
      <c r="T786" s="1302"/>
      <c r="U786" s="1302"/>
      <c r="V786" s="1302"/>
      <c r="W786" s="1302"/>
      <c r="X786" s="1302"/>
      <c r="Y786" s="1302"/>
      <c r="Z786" s="1302"/>
    </row>
    <row r="787" spans="1:26" ht="18.75" hidden="1">
      <c r="A787" s="1319"/>
      <c r="B787" s="1324"/>
      <c r="C787" s="1320"/>
      <c r="D787" s="1321"/>
      <c r="E787" s="1320" t="s">
        <v>185</v>
      </c>
      <c r="F787" s="1320"/>
      <c r="G787" s="1322"/>
      <c r="H787" s="165" t="s">
        <v>12</v>
      </c>
      <c r="I787" s="886"/>
      <c r="J787" s="886"/>
      <c r="K787" s="887"/>
      <c r="L787" s="887">
        <f t="shared" ref="L787:N788" si="322">L790+L797</f>
        <v>0</v>
      </c>
      <c r="M787" s="887">
        <f t="shared" si="322"/>
        <v>0</v>
      </c>
      <c r="N787" s="887">
        <f t="shared" si="322"/>
        <v>0</v>
      </c>
      <c r="O787" s="887">
        <f t="shared" si="320"/>
        <v>0</v>
      </c>
      <c r="P787" s="887">
        <f t="shared" si="321"/>
        <v>0</v>
      </c>
      <c r="Q787" s="1323"/>
      <c r="R787" s="1323"/>
      <c r="S787" s="1323"/>
      <c r="T787" s="1323"/>
      <c r="U787" s="1323"/>
      <c r="V787" s="1323"/>
      <c r="W787" s="1323"/>
      <c r="X787" s="1323"/>
      <c r="Y787" s="1323"/>
      <c r="Z787" s="1323"/>
    </row>
    <row r="788" spans="1:26" ht="18.75" hidden="1">
      <c r="A788" s="1319"/>
      <c r="B788" s="1324"/>
      <c r="C788" s="1324"/>
      <c r="D788" s="1333"/>
      <c r="E788" s="1320" t="s">
        <v>186</v>
      </c>
      <c r="F788" s="1320"/>
      <c r="G788" s="1322"/>
      <c r="H788" s="165" t="s">
        <v>12</v>
      </c>
      <c r="I788" s="886"/>
      <c r="J788" s="886"/>
      <c r="K788" s="887"/>
      <c r="L788" s="887">
        <f t="shared" ca="1" si="322"/>
        <v>0</v>
      </c>
      <c r="M788" s="887">
        <f t="shared" si="322"/>
        <v>0</v>
      </c>
      <c r="N788" s="887">
        <f t="shared" si="322"/>
        <v>0</v>
      </c>
      <c r="O788" s="887">
        <f t="shared" ca="1" si="320"/>
        <v>0</v>
      </c>
      <c r="P788" s="887">
        <f t="shared" si="321"/>
        <v>0</v>
      </c>
      <c r="Q788" s="1323"/>
      <c r="R788" s="1323"/>
      <c r="S788" s="1323"/>
      <c r="T788" s="1323"/>
      <c r="U788" s="1323"/>
      <c r="V788" s="1323"/>
      <c r="W788" s="1323"/>
      <c r="X788" s="1323"/>
      <c r="Y788" s="1323"/>
      <c r="Z788" s="1323"/>
    </row>
    <row r="789" spans="1:26" ht="18.75" hidden="1">
      <c r="A789" s="1317"/>
      <c r="B789" s="1300"/>
      <c r="C789" s="1300"/>
      <c r="D789" s="1325" t="s">
        <v>20</v>
      </c>
      <c r="E789" s="1301"/>
      <c r="F789" s="1301"/>
      <c r="G789" s="1016"/>
      <c r="H789" s="161" t="s">
        <v>12</v>
      </c>
      <c r="I789" s="997"/>
      <c r="J789" s="997"/>
      <c r="K789" s="998"/>
      <c r="L789" s="881">
        <f t="shared" ref="L789:N789" ca="1" si="323">L790+L791</f>
        <v>0</v>
      </c>
      <c r="M789" s="881">
        <f t="shared" si="323"/>
        <v>0</v>
      </c>
      <c r="N789" s="881">
        <f t="shared" si="323"/>
        <v>0</v>
      </c>
      <c r="O789" s="881">
        <f t="shared" ca="1" si="320"/>
        <v>0</v>
      </c>
      <c r="P789" s="881">
        <f t="shared" si="321"/>
        <v>0</v>
      </c>
      <c r="Q789" s="1302"/>
      <c r="R789" s="1302"/>
      <c r="S789" s="1302"/>
      <c r="T789" s="1302"/>
      <c r="U789" s="1302"/>
      <c r="V789" s="1302"/>
      <c r="W789" s="1302"/>
      <c r="X789" s="1302"/>
      <c r="Y789" s="1302"/>
      <c r="Z789" s="1302"/>
    </row>
    <row r="790" spans="1:26" ht="18.75" hidden="1">
      <c r="A790" s="1319"/>
      <c r="B790" s="1324"/>
      <c r="C790" s="1324"/>
      <c r="D790" s="1333"/>
      <c r="E790" s="1320" t="s">
        <v>185</v>
      </c>
      <c r="F790" s="1320"/>
      <c r="G790" s="1322"/>
      <c r="H790" s="165" t="s">
        <v>12</v>
      </c>
      <c r="I790" s="886"/>
      <c r="J790" s="886"/>
      <c r="K790" s="887"/>
      <c r="L790" s="887">
        <v>0</v>
      </c>
      <c r="M790" s="887">
        <v>0</v>
      </c>
      <c r="N790" s="887">
        <v>0</v>
      </c>
      <c r="O790" s="887">
        <f t="shared" si="320"/>
        <v>0</v>
      </c>
      <c r="P790" s="887">
        <f t="shared" si="321"/>
        <v>0</v>
      </c>
      <c r="Q790" s="1323"/>
      <c r="R790" s="1323"/>
      <c r="S790" s="1323"/>
      <c r="T790" s="1323"/>
      <c r="U790" s="1323"/>
      <c r="V790" s="1323"/>
      <c r="W790" s="1323"/>
      <c r="X790" s="1323"/>
      <c r="Y790" s="1323"/>
      <c r="Z790" s="1323"/>
    </row>
    <row r="791" spans="1:26" ht="18.75" hidden="1">
      <c r="A791" s="1319"/>
      <c r="B791" s="1324"/>
      <c r="C791" s="1324"/>
      <c r="D791" s="1333"/>
      <c r="E791" s="1320" t="s">
        <v>186</v>
      </c>
      <c r="F791" s="1320"/>
      <c r="G791" s="1322"/>
      <c r="H791" s="165" t="s">
        <v>12</v>
      </c>
      <c r="I791" s="886"/>
      <c r="J791" s="886"/>
      <c r="K791" s="887"/>
      <c r="L791" s="887">
        <f ca="1">IFERROR(__xludf.DUMMYFUNCTION("IMPORTRANGE(""https://docs.google.com/spreadsheets/d/1QqKyyYR6Q21VydFLVH3TRQUabQu_ym0Zz7PgGX0-kHA/edit?usp=sharing"",""แผน!JJ84"")"),0)</f>
        <v>0</v>
      </c>
      <c r="M791" s="887">
        <v>0</v>
      </c>
      <c r="N791" s="887">
        <f>N792+N793+N794+N795</f>
        <v>0</v>
      </c>
      <c r="O791" s="887">
        <f t="shared" ca="1" si="320"/>
        <v>0</v>
      </c>
      <c r="P791" s="887">
        <f t="shared" si="321"/>
        <v>0</v>
      </c>
      <c r="Q791" s="1323"/>
      <c r="R791" s="1323"/>
      <c r="S791" s="1323"/>
      <c r="T791" s="1323"/>
      <c r="U791" s="1323"/>
      <c r="V791" s="1323"/>
      <c r="W791" s="1323"/>
      <c r="X791" s="1323"/>
      <c r="Y791" s="1323"/>
      <c r="Z791" s="1323"/>
    </row>
    <row r="792" spans="1:26" ht="18.75" hidden="1">
      <c r="A792" s="1299"/>
      <c r="B792" s="1300"/>
      <c r="C792" s="1301"/>
      <c r="D792" s="1301"/>
      <c r="E792" s="1301"/>
      <c r="F792" s="1301" t="s">
        <v>187</v>
      </c>
      <c r="G792" s="1016"/>
      <c r="H792" s="161" t="s">
        <v>12</v>
      </c>
      <c r="I792" s="880"/>
      <c r="J792" s="880"/>
      <c r="K792" s="881"/>
      <c r="L792" s="881"/>
      <c r="M792" s="881"/>
      <c r="N792" s="1085">
        <v>0</v>
      </c>
      <c r="O792" s="881"/>
      <c r="P792" s="881"/>
      <c r="Q792" s="1302"/>
      <c r="R792" s="1302"/>
      <c r="S792" s="1302"/>
      <c r="T792" s="1302"/>
      <c r="U792" s="1302"/>
      <c r="V792" s="1302"/>
      <c r="W792" s="1302"/>
      <c r="X792" s="1302"/>
      <c r="Y792" s="1302"/>
      <c r="Z792" s="1302"/>
    </row>
    <row r="793" spans="1:26" ht="18.75" hidden="1">
      <c r="A793" s="1299"/>
      <c r="B793" s="1300"/>
      <c r="C793" s="1301"/>
      <c r="D793" s="1301"/>
      <c r="E793" s="1301"/>
      <c r="F793" s="1301" t="s">
        <v>188</v>
      </c>
      <c r="G793" s="1016"/>
      <c r="H793" s="161" t="s">
        <v>12</v>
      </c>
      <c r="I793" s="880"/>
      <c r="J793" s="880"/>
      <c r="K793" s="881"/>
      <c r="L793" s="881"/>
      <c r="M793" s="881"/>
      <c r="N793" s="1085">
        <v>0</v>
      </c>
      <c r="O793" s="881"/>
      <c r="P793" s="881"/>
      <c r="Q793" s="1302"/>
      <c r="R793" s="1302"/>
      <c r="S793" s="1302"/>
      <c r="T793" s="1302"/>
      <c r="U793" s="1302"/>
      <c r="V793" s="1302"/>
      <c r="W793" s="1302"/>
      <c r="X793" s="1302"/>
      <c r="Y793" s="1302"/>
      <c r="Z793" s="1302"/>
    </row>
    <row r="794" spans="1:26" ht="18.75" hidden="1">
      <c r="A794" s="1299"/>
      <c r="B794" s="1300"/>
      <c r="C794" s="1301"/>
      <c r="D794" s="1301"/>
      <c r="E794" s="1301"/>
      <c r="F794" s="1301" t="s">
        <v>189</v>
      </c>
      <c r="G794" s="1016"/>
      <c r="H794" s="161" t="s">
        <v>12</v>
      </c>
      <c r="I794" s="880"/>
      <c r="J794" s="880"/>
      <c r="K794" s="881"/>
      <c r="L794" s="881"/>
      <c r="M794" s="881"/>
      <c r="N794" s="1085">
        <v>0</v>
      </c>
      <c r="O794" s="881"/>
      <c r="P794" s="881"/>
      <c r="Q794" s="1302"/>
      <c r="R794" s="1302"/>
      <c r="S794" s="1302"/>
      <c r="T794" s="1302"/>
      <c r="U794" s="1302"/>
      <c r="V794" s="1302"/>
      <c r="W794" s="1302"/>
      <c r="X794" s="1302"/>
      <c r="Y794" s="1302"/>
      <c r="Z794" s="1302"/>
    </row>
    <row r="795" spans="1:26" ht="18.75" hidden="1">
      <c r="A795" s="1299"/>
      <c r="B795" s="1300"/>
      <c r="C795" s="1301"/>
      <c r="D795" s="1301"/>
      <c r="E795" s="1301"/>
      <c r="F795" s="1301" t="s">
        <v>190</v>
      </c>
      <c r="G795" s="1016"/>
      <c r="H795" s="161" t="s">
        <v>12</v>
      </c>
      <c r="I795" s="880"/>
      <c r="J795" s="880"/>
      <c r="K795" s="881"/>
      <c r="L795" s="881"/>
      <c r="M795" s="881"/>
      <c r="N795" s="1085">
        <v>0</v>
      </c>
      <c r="O795" s="881"/>
      <c r="P795" s="881"/>
      <c r="Q795" s="1302"/>
      <c r="R795" s="1302"/>
      <c r="S795" s="1302"/>
      <c r="T795" s="1302"/>
      <c r="U795" s="1302"/>
      <c r="V795" s="1302"/>
      <c r="W795" s="1302"/>
      <c r="X795" s="1302"/>
      <c r="Y795" s="1302"/>
      <c r="Z795" s="1302"/>
    </row>
    <row r="796" spans="1:26" ht="18.75" hidden="1">
      <c r="A796" s="1317"/>
      <c r="B796" s="1300"/>
      <c r="C796" s="1301"/>
      <c r="D796" s="1325" t="s">
        <v>21</v>
      </c>
      <c r="E796" s="1301"/>
      <c r="F796" s="1301"/>
      <c r="G796" s="1016"/>
      <c r="H796" s="168" t="s">
        <v>12</v>
      </c>
      <c r="I796" s="997"/>
      <c r="J796" s="997"/>
      <c r="K796" s="998"/>
      <c r="L796" s="881">
        <f t="shared" ref="L796:N796" si="324">L797+L798</f>
        <v>0</v>
      </c>
      <c r="M796" s="881">
        <f t="shared" si="324"/>
        <v>0</v>
      </c>
      <c r="N796" s="881">
        <f t="shared" si="324"/>
        <v>0</v>
      </c>
      <c r="O796" s="881">
        <f t="shared" ref="O796:O798" si="325">IF(L796&gt;0,N796*100/L796,0)</f>
        <v>0</v>
      </c>
      <c r="P796" s="881">
        <f t="shared" ref="P796:P798" si="326">IF(M796&gt;0,N796*100/M796,0)</f>
        <v>0</v>
      </c>
      <c r="Q796" s="1302"/>
      <c r="R796" s="1302"/>
      <c r="S796" s="1302"/>
      <c r="T796" s="1302"/>
      <c r="U796" s="1302"/>
      <c r="V796" s="1302"/>
      <c r="W796" s="1302"/>
      <c r="X796" s="1302"/>
      <c r="Y796" s="1302"/>
      <c r="Z796" s="1302"/>
    </row>
    <row r="797" spans="1:26" ht="18.75" hidden="1">
      <c r="A797" s="1319"/>
      <c r="B797" s="1324"/>
      <c r="C797" s="1320"/>
      <c r="D797" s="1320"/>
      <c r="E797" s="1320" t="s">
        <v>18</v>
      </c>
      <c r="F797" s="1320"/>
      <c r="G797" s="1322"/>
      <c r="H797" s="165" t="s">
        <v>12</v>
      </c>
      <c r="I797" s="1000"/>
      <c r="J797" s="1000"/>
      <c r="K797" s="1001"/>
      <c r="L797" s="887">
        <v>0</v>
      </c>
      <c r="M797" s="887">
        <v>0</v>
      </c>
      <c r="N797" s="887">
        <v>0</v>
      </c>
      <c r="O797" s="887">
        <f t="shared" si="325"/>
        <v>0</v>
      </c>
      <c r="P797" s="887">
        <f t="shared" si="326"/>
        <v>0</v>
      </c>
      <c r="Q797" s="1323"/>
      <c r="R797" s="1323"/>
      <c r="S797" s="1323"/>
      <c r="T797" s="1323"/>
      <c r="U797" s="1323"/>
      <c r="V797" s="1323"/>
      <c r="W797" s="1323"/>
      <c r="X797" s="1323"/>
      <c r="Y797" s="1323"/>
      <c r="Z797" s="1323"/>
    </row>
    <row r="798" spans="1:26" ht="18.75" hidden="1">
      <c r="A798" s="1319"/>
      <c r="B798" s="1324"/>
      <c r="C798" s="1320"/>
      <c r="D798" s="1320"/>
      <c r="E798" s="1320" t="s">
        <v>19</v>
      </c>
      <c r="F798" s="1320"/>
      <c r="G798" s="1322"/>
      <c r="H798" s="169" t="s">
        <v>12</v>
      </c>
      <c r="I798" s="1000"/>
      <c r="J798" s="1000"/>
      <c r="K798" s="1001"/>
      <c r="L798" s="887">
        <v>0</v>
      </c>
      <c r="M798" s="887">
        <v>0</v>
      </c>
      <c r="N798" s="887">
        <v>0</v>
      </c>
      <c r="O798" s="887">
        <f t="shared" si="325"/>
        <v>0</v>
      </c>
      <c r="P798" s="887">
        <f t="shared" si="326"/>
        <v>0</v>
      </c>
      <c r="Q798" s="1323"/>
      <c r="R798" s="1323"/>
      <c r="S798" s="1323"/>
      <c r="T798" s="1323"/>
      <c r="U798" s="1323"/>
      <c r="V798" s="1323"/>
      <c r="W798" s="1323"/>
      <c r="X798" s="1323"/>
      <c r="Y798" s="1323"/>
      <c r="Z798" s="1323"/>
    </row>
    <row r="799" spans="1:26" ht="19.5" hidden="1">
      <c r="A799" s="1326"/>
      <c r="B799" s="1327"/>
      <c r="C799" s="1301" t="s">
        <v>16</v>
      </c>
      <c r="D799" s="1439" t="s">
        <v>38</v>
      </c>
      <c r="E799" s="1330"/>
      <c r="F799" s="1330"/>
      <c r="G799" s="1331"/>
      <c r="H799" s="1475"/>
      <c r="I799" s="997"/>
      <c r="J799" s="997"/>
      <c r="K799" s="998"/>
      <c r="L799" s="998"/>
      <c r="M799" s="998"/>
      <c r="N799" s="998"/>
      <c r="O799" s="998"/>
      <c r="P799" s="998"/>
      <c r="Q799" s="1302"/>
      <c r="R799" s="1302"/>
      <c r="S799" s="1302"/>
      <c r="T799" s="1302"/>
      <c r="U799" s="1302"/>
      <c r="V799" s="1302"/>
      <c r="W799" s="1302"/>
      <c r="X799" s="1302"/>
      <c r="Y799" s="1302"/>
      <c r="Z799" s="1302"/>
    </row>
    <row r="800" spans="1:26" ht="18.75" hidden="1">
      <c r="A800" s="1326"/>
      <c r="B800" s="1327"/>
      <c r="C800" s="1327"/>
      <c r="D800" s="1327"/>
      <c r="E800" s="1014"/>
      <c r="F800" s="1014" t="s">
        <v>321</v>
      </c>
      <c r="G800" s="1007"/>
      <c r="H800" s="185" t="s">
        <v>46</v>
      </c>
      <c r="I800" s="997">
        <f ca="1">IFERROR(__xludf.DUMMYFUNCTION("IMPORTRANGE(""https://docs.google.com/spreadsheets/d/1QqKyyYR6Q21VydFLVH3TRQUabQu_ym0Zz7PgGX0-kHA/edit?usp=sharing"",""แผน!JN84"")"),0)</f>
        <v>0</v>
      </c>
      <c r="J800" s="997">
        <f ca="1">IFERROR(__xludf.DUMMYFUNCTION("IMPORTRANGE(""https://docs.google.com/spreadsheets/d/1MaWodYyGHDf7siQLGxnXhG4mBNTNIuy296niS2xXulU/edit?usp=sharing"",""RTK!H84"")"),0)</f>
        <v>0</v>
      </c>
      <c r="K800" s="881">
        <f ca="1">IF(I800&gt;0,J800*100/I800,0)</f>
        <v>0</v>
      </c>
      <c r="L800" s="881"/>
      <c r="M800" s="881"/>
      <c r="N800" s="881"/>
      <c r="O800" s="998"/>
      <c r="P800" s="998"/>
      <c r="Q800" s="1302"/>
      <c r="R800" s="1302"/>
      <c r="S800" s="1302"/>
      <c r="T800" s="1302"/>
      <c r="U800" s="1302"/>
      <c r="V800" s="1302"/>
      <c r="W800" s="1302"/>
      <c r="X800" s="1302"/>
      <c r="Y800" s="1302"/>
      <c r="Z800" s="1302"/>
    </row>
    <row r="801" spans="1:26" ht="18.75" hidden="1">
      <c r="A801" s="1326"/>
      <c r="B801" s="1327"/>
      <c r="C801" s="1327"/>
      <c r="D801" s="1327"/>
      <c r="E801" s="1014"/>
      <c r="F801" s="1014"/>
      <c r="G801" s="1007"/>
      <c r="H801" s="161" t="s">
        <v>34</v>
      </c>
      <c r="I801" s="997"/>
      <c r="J801" s="880">
        <f ca="1">IFERROR(__xludf.DUMMYFUNCTION("IMPORTRANGE(""https://docs.google.com/spreadsheets/d/1MaWodYyGHDf7siQLGxnXhG4mBNTNIuy296niS2xXulU/edit?usp=sharing"",""RTK!I84"")"),0)</f>
        <v>0</v>
      </c>
      <c r="K801" s="881"/>
      <c r="L801" s="881"/>
      <c r="M801" s="881"/>
      <c r="N801" s="881"/>
      <c r="O801" s="998"/>
      <c r="P801" s="998"/>
      <c r="Q801" s="1302"/>
      <c r="R801" s="1302"/>
      <c r="S801" s="1302"/>
      <c r="T801" s="1302"/>
      <c r="U801" s="1302"/>
      <c r="V801" s="1302"/>
      <c r="W801" s="1302"/>
      <c r="X801" s="1302"/>
      <c r="Y801" s="1302"/>
      <c r="Z801" s="1302"/>
    </row>
    <row r="802" spans="1:26" ht="18.75" hidden="1">
      <c r="A802" s="1332"/>
      <c r="B802" s="1333"/>
      <c r="C802" s="1333"/>
      <c r="D802" s="1333"/>
      <c r="E802" s="1321"/>
      <c r="F802" s="1321" t="s">
        <v>322</v>
      </c>
      <c r="G802" s="1113"/>
      <c r="H802" s="651" t="s">
        <v>46</v>
      </c>
      <c r="I802" s="1000"/>
      <c r="J802" s="886"/>
      <c r="K802" s="1001">
        <f>IF(I802&gt;0,J802*100/I802,0)</f>
        <v>0</v>
      </c>
      <c r="L802" s="1001"/>
      <c r="M802" s="1001"/>
      <c r="N802" s="1001"/>
      <c r="O802" s="1001"/>
      <c r="P802" s="1001"/>
      <c r="Q802" s="1323"/>
      <c r="R802" s="1323"/>
      <c r="S802" s="1323"/>
      <c r="T802" s="1323"/>
      <c r="U802" s="1323"/>
      <c r="V802" s="1323"/>
      <c r="W802" s="1323"/>
      <c r="X802" s="1323"/>
      <c r="Y802" s="1323"/>
      <c r="Z802" s="1323"/>
    </row>
    <row r="803" spans="1:26" ht="18.75" hidden="1">
      <c r="A803" s="1332"/>
      <c r="B803" s="1333"/>
      <c r="C803" s="1333"/>
      <c r="D803" s="1333"/>
      <c r="E803" s="1321"/>
      <c r="F803" s="1321"/>
      <c r="G803" s="1113"/>
      <c r="H803" s="651" t="s">
        <v>34</v>
      </c>
      <c r="I803" s="1000"/>
      <c r="J803" s="886"/>
      <c r="K803" s="1001"/>
      <c r="L803" s="1001"/>
      <c r="M803" s="1001"/>
      <c r="N803" s="1001"/>
      <c r="O803" s="1001"/>
      <c r="P803" s="1001"/>
      <c r="Q803" s="1323"/>
      <c r="R803" s="1323"/>
      <c r="S803" s="1323"/>
      <c r="T803" s="1323"/>
      <c r="U803" s="1323"/>
      <c r="V803" s="1323"/>
      <c r="W803" s="1323"/>
      <c r="X803" s="1323"/>
      <c r="Y803" s="1323"/>
      <c r="Z803" s="1323"/>
    </row>
    <row r="804" spans="1:26" ht="19.5" hidden="1">
      <c r="A804" s="791">
        <v>13</v>
      </c>
      <c r="B804" s="1461" t="s">
        <v>323</v>
      </c>
      <c r="C804" s="1462"/>
      <c r="D804" s="1476"/>
      <c r="E804" s="1462"/>
      <c r="F804" s="1462"/>
      <c r="G804" s="1463"/>
      <c r="H804" s="795" t="s">
        <v>46</v>
      </c>
      <c r="I804" s="1464"/>
      <c r="J804" s="1464">
        <f>J819</f>
        <v>0</v>
      </c>
      <c r="K804" s="1465">
        <f>IF(I804&gt;0,J804*100/I804,0)</f>
        <v>0</v>
      </c>
      <c r="L804" s="1466"/>
      <c r="M804" s="1466"/>
      <c r="N804" s="1466"/>
      <c r="O804" s="1466"/>
      <c r="P804" s="1466"/>
      <c r="Q804" s="1323"/>
      <c r="R804" s="1323"/>
      <c r="S804" s="1323"/>
      <c r="T804" s="1323"/>
      <c r="U804" s="1323"/>
      <c r="V804" s="1323"/>
      <c r="W804" s="1323"/>
      <c r="X804" s="1323"/>
      <c r="Y804" s="1323"/>
      <c r="Z804" s="1323"/>
    </row>
    <row r="805" spans="1:26" ht="19.5" hidden="1">
      <c r="A805" s="1319"/>
      <c r="B805" s="1320"/>
      <c r="C805" s="1320" t="s">
        <v>16</v>
      </c>
      <c r="D805" s="1351" t="s">
        <v>17</v>
      </c>
      <c r="E805" s="841"/>
      <c r="F805" s="841"/>
      <c r="G805" s="1322"/>
      <c r="H805" s="644" t="s">
        <v>12</v>
      </c>
      <c r="I805" s="886"/>
      <c r="J805" s="886"/>
      <c r="K805" s="887"/>
      <c r="L805" s="1352">
        <f t="shared" ref="L805:N805" si="327">L806+L807</f>
        <v>0</v>
      </c>
      <c r="M805" s="1352">
        <f t="shared" si="327"/>
        <v>0</v>
      </c>
      <c r="N805" s="1352">
        <f t="shared" si="327"/>
        <v>0</v>
      </c>
      <c r="O805" s="1352">
        <f t="shared" ref="O805:O810" si="328">IF(L805&gt;0,N805*100/L805,0)</f>
        <v>0</v>
      </c>
      <c r="P805" s="1352">
        <f t="shared" ref="P805:P810" si="329">IF(M805&gt;0,N805*100/M805,0)</f>
        <v>0</v>
      </c>
      <c r="Q805" s="1323"/>
      <c r="R805" s="1323"/>
      <c r="S805" s="1323"/>
      <c r="T805" s="1323"/>
      <c r="U805" s="1323"/>
      <c r="V805" s="1323"/>
      <c r="W805" s="1323"/>
      <c r="X805" s="1323"/>
      <c r="Y805" s="1323"/>
      <c r="Z805" s="1323"/>
    </row>
    <row r="806" spans="1:26" ht="18.75" hidden="1">
      <c r="A806" s="1319"/>
      <c r="B806" s="1320"/>
      <c r="C806" s="1320"/>
      <c r="D806" s="1333"/>
      <c r="E806" s="1320" t="s">
        <v>185</v>
      </c>
      <c r="F806" s="1320"/>
      <c r="G806" s="1322"/>
      <c r="H806" s="165" t="s">
        <v>12</v>
      </c>
      <c r="I806" s="886"/>
      <c r="J806" s="886"/>
      <c r="K806" s="887"/>
      <c r="L806" s="887">
        <f t="shared" ref="L806:N807" si="330">L809+L816</f>
        <v>0</v>
      </c>
      <c r="M806" s="887">
        <f t="shared" si="330"/>
        <v>0</v>
      </c>
      <c r="N806" s="887">
        <f t="shared" si="330"/>
        <v>0</v>
      </c>
      <c r="O806" s="887">
        <f t="shared" si="328"/>
        <v>0</v>
      </c>
      <c r="P806" s="887">
        <f t="shared" si="329"/>
        <v>0</v>
      </c>
      <c r="Q806" s="1323"/>
      <c r="R806" s="1323"/>
      <c r="S806" s="1323"/>
      <c r="T806" s="1323"/>
      <c r="U806" s="1323"/>
      <c r="V806" s="1323"/>
      <c r="W806" s="1323"/>
      <c r="X806" s="1323"/>
      <c r="Y806" s="1323"/>
      <c r="Z806" s="1323"/>
    </row>
    <row r="807" spans="1:26" ht="18.75" hidden="1">
      <c r="A807" s="1319"/>
      <c r="B807" s="1320"/>
      <c r="C807" s="1320"/>
      <c r="D807" s="1333"/>
      <c r="E807" s="1320" t="s">
        <v>186</v>
      </c>
      <c r="F807" s="1320"/>
      <c r="G807" s="1322"/>
      <c r="H807" s="165" t="s">
        <v>12</v>
      </c>
      <c r="I807" s="886"/>
      <c r="J807" s="886"/>
      <c r="K807" s="887"/>
      <c r="L807" s="887">
        <f t="shared" si="330"/>
        <v>0</v>
      </c>
      <c r="M807" s="887">
        <f t="shared" si="330"/>
        <v>0</v>
      </c>
      <c r="N807" s="887">
        <f t="shared" si="330"/>
        <v>0</v>
      </c>
      <c r="O807" s="887">
        <f t="shared" si="328"/>
        <v>0</v>
      </c>
      <c r="P807" s="887">
        <f t="shared" si="329"/>
        <v>0</v>
      </c>
      <c r="Q807" s="1323"/>
      <c r="R807" s="1323"/>
      <c r="S807" s="1323"/>
      <c r="T807" s="1323"/>
      <c r="U807" s="1323"/>
      <c r="V807" s="1323"/>
      <c r="W807" s="1323"/>
      <c r="X807" s="1323"/>
      <c r="Y807" s="1323"/>
      <c r="Z807" s="1323"/>
    </row>
    <row r="808" spans="1:26" ht="19.5" hidden="1">
      <c r="A808" s="1319"/>
      <c r="B808" s="1324"/>
      <c r="C808" s="1320"/>
      <c r="D808" s="1477" t="s">
        <v>20</v>
      </c>
      <c r="E808" s="841"/>
      <c r="F808" s="841"/>
      <c r="G808" s="1322"/>
      <c r="H808" s="644" t="s">
        <v>12</v>
      </c>
      <c r="I808" s="1000"/>
      <c r="J808" s="1000"/>
      <c r="K808" s="1001"/>
      <c r="L808" s="1352">
        <f t="shared" ref="L808:N808" si="331">L809+L810</f>
        <v>0</v>
      </c>
      <c r="M808" s="1352">
        <f t="shared" si="331"/>
        <v>0</v>
      </c>
      <c r="N808" s="1352">
        <f t="shared" si="331"/>
        <v>0</v>
      </c>
      <c r="O808" s="1352">
        <f t="shared" si="328"/>
        <v>0</v>
      </c>
      <c r="P808" s="1352">
        <f t="shared" si="329"/>
        <v>0</v>
      </c>
      <c r="Q808" s="1323"/>
      <c r="R808" s="1323"/>
      <c r="S808" s="1323"/>
      <c r="T808" s="1323"/>
      <c r="U808" s="1323"/>
      <c r="V808" s="1323"/>
      <c r="W808" s="1323"/>
      <c r="X808" s="1323"/>
      <c r="Y808" s="1323"/>
      <c r="Z808" s="1323"/>
    </row>
    <row r="809" spans="1:26" ht="18.75" hidden="1">
      <c r="A809" s="1319"/>
      <c r="B809" s="1320"/>
      <c r="C809" s="1320"/>
      <c r="D809" s="1333"/>
      <c r="E809" s="1320" t="s">
        <v>185</v>
      </c>
      <c r="F809" s="1320"/>
      <c r="G809" s="1322"/>
      <c r="H809" s="165" t="s">
        <v>12</v>
      </c>
      <c r="I809" s="886"/>
      <c r="J809" s="886"/>
      <c r="K809" s="887"/>
      <c r="L809" s="887">
        <v>0</v>
      </c>
      <c r="M809" s="887">
        <v>0</v>
      </c>
      <c r="N809" s="887">
        <v>0</v>
      </c>
      <c r="O809" s="887">
        <f t="shared" si="328"/>
        <v>0</v>
      </c>
      <c r="P809" s="887">
        <f t="shared" si="329"/>
        <v>0</v>
      </c>
      <c r="Q809" s="1323"/>
      <c r="R809" s="1323"/>
      <c r="S809" s="1323"/>
      <c r="T809" s="1323"/>
      <c r="U809" s="1323"/>
      <c r="V809" s="1323"/>
      <c r="W809" s="1323"/>
      <c r="X809" s="1323"/>
      <c r="Y809" s="1323"/>
      <c r="Z809" s="1323"/>
    </row>
    <row r="810" spans="1:26" ht="18.75" hidden="1">
      <c r="A810" s="1319"/>
      <c r="B810" s="1320"/>
      <c r="C810" s="1320"/>
      <c r="D810" s="1333"/>
      <c r="E810" s="1320" t="s">
        <v>186</v>
      </c>
      <c r="F810" s="1320"/>
      <c r="G810" s="1322"/>
      <c r="H810" s="165" t="s">
        <v>12</v>
      </c>
      <c r="I810" s="886"/>
      <c r="J810" s="886"/>
      <c r="K810" s="887"/>
      <c r="L810" s="887">
        <v>0</v>
      </c>
      <c r="M810" s="887">
        <v>0</v>
      </c>
      <c r="N810" s="887">
        <f>N811+N812+N813+N814</f>
        <v>0</v>
      </c>
      <c r="O810" s="887">
        <f t="shared" si="328"/>
        <v>0</v>
      </c>
      <c r="P810" s="887">
        <f t="shared" si="329"/>
        <v>0</v>
      </c>
      <c r="Q810" s="1323"/>
      <c r="R810" s="1323"/>
      <c r="S810" s="1323"/>
      <c r="T810" s="1323"/>
      <c r="U810" s="1323"/>
      <c r="V810" s="1323"/>
      <c r="W810" s="1323"/>
      <c r="X810" s="1323"/>
      <c r="Y810" s="1323"/>
      <c r="Z810" s="1323"/>
    </row>
    <row r="811" spans="1:26" ht="18.75" hidden="1">
      <c r="A811" s="1354"/>
      <c r="B811" s="1324"/>
      <c r="C811" s="1320"/>
      <c r="D811" s="1324"/>
      <c r="E811" s="1320"/>
      <c r="F811" s="1320" t="s">
        <v>187</v>
      </c>
      <c r="G811" s="1322"/>
      <c r="H811" s="165" t="s">
        <v>12</v>
      </c>
      <c r="I811" s="886"/>
      <c r="J811" s="886"/>
      <c r="K811" s="887"/>
      <c r="L811" s="887"/>
      <c r="M811" s="887"/>
      <c r="N811" s="887"/>
      <c r="O811" s="887"/>
      <c r="P811" s="887"/>
      <c r="Q811" s="1323"/>
      <c r="R811" s="1323"/>
      <c r="S811" s="1323"/>
      <c r="T811" s="1323"/>
      <c r="U811" s="1323"/>
      <c r="V811" s="1323"/>
      <c r="W811" s="1323"/>
      <c r="X811" s="1323"/>
      <c r="Y811" s="1323"/>
      <c r="Z811" s="1323"/>
    </row>
    <row r="812" spans="1:26" ht="18.75" hidden="1">
      <c r="A812" s="1354"/>
      <c r="B812" s="1324"/>
      <c r="C812" s="1320"/>
      <c r="D812" s="1324"/>
      <c r="E812" s="1320"/>
      <c r="F812" s="1320" t="s">
        <v>188</v>
      </c>
      <c r="G812" s="1322"/>
      <c r="H812" s="165" t="s">
        <v>12</v>
      </c>
      <c r="I812" s="886"/>
      <c r="J812" s="886"/>
      <c r="K812" s="887"/>
      <c r="L812" s="887"/>
      <c r="M812" s="887"/>
      <c r="N812" s="887"/>
      <c r="O812" s="887"/>
      <c r="P812" s="887"/>
      <c r="Q812" s="1323"/>
      <c r="R812" s="1323"/>
      <c r="S812" s="1323"/>
      <c r="T812" s="1323"/>
      <c r="U812" s="1323"/>
      <c r="V812" s="1323"/>
      <c r="W812" s="1323"/>
      <c r="X812" s="1323"/>
      <c r="Y812" s="1323"/>
      <c r="Z812" s="1323"/>
    </row>
    <row r="813" spans="1:26" ht="18.75" hidden="1">
      <c r="A813" s="1354"/>
      <c r="B813" s="1324"/>
      <c r="C813" s="1320"/>
      <c r="D813" s="1324"/>
      <c r="E813" s="1320"/>
      <c r="F813" s="1320" t="s">
        <v>189</v>
      </c>
      <c r="G813" s="1322"/>
      <c r="H813" s="165" t="s">
        <v>12</v>
      </c>
      <c r="I813" s="886"/>
      <c r="J813" s="886"/>
      <c r="K813" s="887"/>
      <c r="L813" s="887"/>
      <c r="M813" s="887"/>
      <c r="N813" s="887"/>
      <c r="O813" s="887"/>
      <c r="P813" s="887"/>
      <c r="Q813" s="1323"/>
      <c r="R813" s="1323"/>
      <c r="S813" s="1323"/>
      <c r="T813" s="1323"/>
      <c r="U813" s="1323"/>
      <c r="V813" s="1323"/>
      <c r="W813" s="1323"/>
      <c r="X813" s="1323"/>
      <c r="Y813" s="1323"/>
      <c r="Z813" s="1323"/>
    </row>
    <row r="814" spans="1:26" ht="18.75" hidden="1">
      <c r="A814" s="1354"/>
      <c r="B814" s="1324"/>
      <c r="C814" s="1320"/>
      <c r="D814" s="1324"/>
      <c r="E814" s="1320"/>
      <c r="F814" s="1320" t="s">
        <v>190</v>
      </c>
      <c r="G814" s="1322"/>
      <c r="H814" s="165" t="s">
        <v>12</v>
      </c>
      <c r="I814" s="886"/>
      <c r="J814" s="886"/>
      <c r="K814" s="887"/>
      <c r="L814" s="887"/>
      <c r="M814" s="887"/>
      <c r="N814" s="887"/>
      <c r="O814" s="887"/>
      <c r="P814" s="887"/>
      <c r="Q814" s="1323"/>
      <c r="R814" s="1323"/>
      <c r="S814" s="1323"/>
      <c r="T814" s="1323"/>
      <c r="U814" s="1323"/>
      <c r="V814" s="1323"/>
      <c r="W814" s="1323"/>
      <c r="X814" s="1323"/>
      <c r="Y814" s="1323"/>
      <c r="Z814" s="1323"/>
    </row>
    <row r="815" spans="1:26" ht="19.5" hidden="1">
      <c r="A815" s="1319"/>
      <c r="B815" s="1324"/>
      <c r="C815" s="1320"/>
      <c r="D815" s="1477" t="s">
        <v>21</v>
      </c>
      <c r="E815" s="841"/>
      <c r="F815" s="841"/>
      <c r="G815" s="1322"/>
      <c r="H815" s="781" t="s">
        <v>12</v>
      </c>
      <c r="I815" s="1000"/>
      <c r="J815" s="1000"/>
      <c r="K815" s="1001"/>
      <c r="L815" s="1352">
        <f t="shared" ref="L815:N815" si="332">L816+L817</f>
        <v>0</v>
      </c>
      <c r="M815" s="1352">
        <f t="shared" si="332"/>
        <v>0</v>
      </c>
      <c r="N815" s="1352">
        <f t="shared" si="332"/>
        <v>0</v>
      </c>
      <c r="O815" s="1352">
        <f t="shared" ref="O815:O817" si="333">IF(L815&gt;0,N815*100/L815,0)</f>
        <v>0</v>
      </c>
      <c r="P815" s="1352">
        <f t="shared" ref="P815:P817" si="334">IF(M815&gt;0,N815*100/M815,0)</f>
        <v>0</v>
      </c>
      <c r="Q815" s="1323"/>
      <c r="R815" s="1323"/>
      <c r="S815" s="1323"/>
      <c r="T815" s="1323"/>
      <c r="U815" s="1323"/>
      <c r="V815" s="1323"/>
      <c r="W815" s="1323"/>
      <c r="X815" s="1323"/>
      <c r="Y815" s="1323"/>
      <c r="Z815" s="1323"/>
    </row>
    <row r="816" spans="1:26" ht="18.75" hidden="1">
      <c r="A816" s="1319"/>
      <c r="B816" s="1324"/>
      <c r="C816" s="1320"/>
      <c r="D816" s="1324"/>
      <c r="E816" s="1320" t="s">
        <v>18</v>
      </c>
      <c r="F816" s="1320"/>
      <c r="G816" s="1322"/>
      <c r="H816" s="165" t="s">
        <v>12</v>
      </c>
      <c r="I816" s="1000"/>
      <c r="J816" s="1000"/>
      <c r="K816" s="1001"/>
      <c r="L816" s="887">
        <v>0</v>
      </c>
      <c r="M816" s="887">
        <v>0</v>
      </c>
      <c r="N816" s="887">
        <v>0</v>
      </c>
      <c r="O816" s="887">
        <f t="shared" si="333"/>
        <v>0</v>
      </c>
      <c r="P816" s="887">
        <f t="shared" si="334"/>
        <v>0</v>
      </c>
      <c r="Q816" s="1323"/>
      <c r="R816" s="1323"/>
      <c r="S816" s="1323"/>
      <c r="T816" s="1323"/>
      <c r="U816" s="1323"/>
      <c r="V816" s="1323"/>
      <c r="W816" s="1323"/>
      <c r="X816" s="1323"/>
      <c r="Y816" s="1323"/>
      <c r="Z816" s="1323"/>
    </row>
    <row r="817" spans="1:26" ht="18.75" hidden="1">
      <c r="A817" s="1319"/>
      <c r="B817" s="1324"/>
      <c r="C817" s="1320"/>
      <c r="D817" s="1324"/>
      <c r="E817" s="1320" t="s">
        <v>19</v>
      </c>
      <c r="F817" s="1320"/>
      <c r="G817" s="1322"/>
      <c r="H817" s="169" t="s">
        <v>12</v>
      </c>
      <c r="I817" s="1000"/>
      <c r="J817" s="1000"/>
      <c r="K817" s="1001"/>
      <c r="L817" s="887">
        <v>0</v>
      </c>
      <c r="M817" s="887">
        <v>0</v>
      </c>
      <c r="N817" s="887">
        <v>0</v>
      </c>
      <c r="O817" s="887">
        <f t="shared" si="333"/>
        <v>0</v>
      </c>
      <c r="P817" s="887">
        <f t="shared" si="334"/>
        <v>0</v>
      </c>
      <c r="Q817" s="1323"/>
      <c r="R817" s="1323"/>
      <c r="S817" s="1323"/>
      <c r="T817" s="1323"/>
      <c r="U817" s="1323"/>
      <c r="V817" s="1323"/>
      <c r="W817" s="1323"/>
      <c r="X817" s="1323"/>
      <c r="Y817" s="1323"/>
      <c r="Z817" s="1323"/>
    </row>
    <row r="818" spans="1:26" ht="19.5" hidden="1">
      <c r="A818" s="1332"/>
      <c r="B818" s="1333"/>
      <c r="C818" s="1320" t="s">
        <v>16</v>
      </c>
      <c r="D818" s="1478" t="s">
        <v>38</v>
      </c>
      <c r="E818" s="1356"/>
      <c r="F818" s="1356"/>
      <c r="G818" s="1357"/>
      <c r="H818" s="1113"/>
      <c r="I818" s="1000"/>
      <c r="J818" s="1000"/>
      <c r="K818" s="1001"/>
      <c r="L818" s="1001"/>
      <c r="M818" s="1001"/>
      <c r="N818" s="1001"/>
      <c r="O818" s="1001"/>
      <c r="P818" s="1001"/>
      <c r="Q818" s="1323"/>
      <c r="R818" s="1323"/>
      <c r="S818" s="1323"/>
      <c r="T818" s="1323"/>
      <c r="U818" s="1323"/>
      <c r="V818" s="1323"/>
      <c r="W818" s="1323"/>
      <c r="X818" s="1323"/>
      <c r="Y818" s="1323"/>
      <c r="Z818" s="1323"/>
    </row>
    <row r="819" spans="1:26" ht="19.5" hidden="1" thickBot="1">
      <c r="A819" s="1479"/>
      <c r="B819" s="1480"/>
      <c r="C819" s="1481"/>
      <c r="D819" s="1480"/>
      <c r="E819" s="1481" t="s">
        <v>324</v>
      </c>
      <c r="F819" s="1481"/>
      <c r="G819" s="1482"/>
      <c r="H819" s="817" t="s">
        <v>46</v>
      </c>
      <c r="I819" s="1483"/>
      <c r="J819" s="1483"/>
      <c r="K819" s="1484"/>
      <c r="L819" s="1484"/>
      <c r="M819" s="1484"/>
      <c r="N819" s="1484"/>
      <c r="O819" s="1484"/>
      <c r="P819" s="1484"/>
      <c r="Q819" s="1323"/>
      <c r="R819" s="1323"/>
      <c r="S819" s="1323"/>
      <c r="T819" s="1323"/>
      <c r="U819" s="1323"/>
      <c r="V819" s="1323"/>
      <c r="W819" s="1323"/>
      <c r="X819" s="1323"/>
      <c r="Y819" s="1323"/>
      <c r="Z819" s="1323"/>
    </row>
    <row r="820" spans="1:26" ht="19.5">
      <c r="A820" s="1485" t="s">
        <v>342</v>
      </c>
      <c r="B820" s="1486"/>
      <c r="C820" s="1486"/>
      <c r="D820" s="1487"/>
      <c r="E820" s="1486"/>
      <c r="F820" s="1486"/>
      <c r="G820" s="1488"/>
      <c r="H820" s="1489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0"/>
      <c r="J820" s="1490"/>
      <c r="K820" s="1491"/>
      <c r="L820" s="1491"/>
      <c r="M820" s="1491"/>
      <c r="N820" s="1491"/>
      <c r="O820" s="1491"/>
      <c r="P820" s="1491"/>
      <c r="Q820" s="1302"/>
      <c r="R820" s="1302"/>
      <c r="S820" s="1302"/>
      <c r="T820" s="1302"/>
      <c r="U820" s="1302"/>
      <c r="V820" s="1302"/>
      <c r="W820" s="1302"/>
      <c r="X820" s="1302"/>
      <c r="Y820" s="1302"/>
      <c r="Z820" s="1302"/>
    </row>
    <row r="821" spans="1:26" ht="18.75">
      <c r="A821" s="1429"/>
      <c r="B821" s="1301" t="s">
        <v>326</v>
      </c>
      <c r="C821" s="1301"/>
      <c r="D821" s="1300"/>
      <c r="E821" s="1301"/>
      <c r="F821" s="1301"/>
      <c r="G821" s="1016"/>
      <c r="H821" s="622" t="s">
        <v>12</v>
      </c>
      <c r="I821" s="880">
        <f ca="1">IFERROR(__xludf.DUMMYFUNCTION("IMPORTRANGE(""https://docs.google.com/spreadsheets/d/19vJNZY_5yjcGF2XGBMNZRCAIB0Kwfpjp8YEOfu-bneM/edit?usp=sharing"",""งานกองทุน!D84"")"),743551.53)</f>
        <v>743551.53</v>
      </c>
      <c r="J821" s="880">
        <f ca="1">IFERROR(__xludf.DUMMYFUNCTION("IMPORTRANGE(""https://docs.google.com/spreadsheets/d/19vJNZY_5yjcGF2XGBMNZRCAIB0Kwfpjp8YEOfu-bneM/edit?usp=sharing"",""งานกองทุน!F84"")"),67184.84)</f>
        <v>67184.84</v>
      </c>
      <c r="K821" s="881">
        <f t="shared" ref="K821:K828" ca="1" si="335">IF(I821&gt;0,J821*100/I821,0)</f>
        <v>9.03566696984673</v>
      </c>
      <c r="L821" s="881"/>
      <c r="M821" s="881"/>
      <c r="N821" s="881"/>
      <c r="O821" s="881"/>
      <c r="P821" s="881"/>
      <c r="Q821" s="1302"/>
      <c r="R821" s="1302"/>
      <c r="S821" s="1302"/>
      <c r="T821" s="1302"/>
      <c r="U821" s="1302"/>
      <c r="V821" s="1302"/>
      <c r="W821" s="1302"/>
      <c r="X821" s="1302"/>
      <c r="Y821" s="1302"/>
      <c r="Z821" s="1302"/>
    </row>
    <row r="822" spans="1:26" ht="18.75">
      <c r="A822" s="1429"/>
      <c r="B822" s="1301"/>
      <c r="C822" s="1301"/>
      <c r="D822" s="1300"/>
      <c r="E822" s="1301"/>
      <c r="F822" s="1301"/>
      <c r="G822" s="1016"/>
      <c r="H822" s="622" t="s">
        <v>35</v>
      </c>
      <c r="I822" s="880">
        <f ca="1">IFERROR(__xludf.DUMMYFUNCTION("IMPORTRANGE(""https://docs.google.com/spreadsheets/d/19vJNZY_5yjcGF2XGBMNZRCAIB0Kwfpjp8YEOfu-bneM/edit?usp=sharing"",""งานกองทุน!C84"")"),68)</f>
        <v>68</v>
      </c>
      <c r="J822" s="880">
        <f ca="1">IFERROR(__xludf.DUMMYFUNCTION("IMPORTRANGE(""https://docs.google.com/spreadsheets/d/19vJNZY_5yjcGF2XGBMNZRCAIB0Kwfpjp8YEOfu-bneM/edit?usp=sharing"",""งานกองทุน!E84"")"),9)</f>
        <v>9</v>
      </c>
      <c r="K822" s="881">
        <f t="shared" ca="1" si="335"/>
        <v>13.235294117647058</v>
      </c>
      <c r="L822" s="881"/>
      <c r="M822" s="881"/>
      <c r="N822" s="881"/>
      <c r="O822" s="881"/>
      <c r="P822" s="881"/>
      <c r="Q822" s="1302"/>
      <c r="R822" s="1302"/>
      <c r="S822" s="1302"/>
      <c r="T822" s="1302"/>
      <c r="U822" s="1302"/>
      <c r="V822" s="1302"/>
      <c r="W822" s="1302"/>
      <c r="X822" s="1302"/>
      <c r="Y822" s="1302"/>
      <c r="Z822" s="1302"/>
    </row>
    <row r="823" spans="1:26" ht="18.75">
      <c r="A823" s="1429"/>
      <c r="B823" s="1301" t="s">
        <v>327</v>
      </c>
      <c r="C823" s="1301"/>
      <c r="D823" s="1300"/>
      <c r="E823" s="1301"/>
      <c r="F823" s="1301"/>
      <c r="G823" s="1016"/>
      <c r="H823" s="622" t="s">
        <v>12</v>
      </c>
      <c r="I823" s="880">
        <f ca="1">IFERROR(__xludf.DUMMYFUNCTION("IMPORTRANGE(""https://docs.google.com/spreadsheets/d/19vJNZY_5yjcGF2XGBMNZRCAIB0Kwfpjp8YEOfu-bneM/edit?usp=sharing"",""งานกองทุน!I84"")"),35881.65)</f>
        <v>35881.65</v>
      </c>
      <c r="J823" s="880">
        <f ca="1">IFERROR(__xludf.DUMMYFUNCTION("IMPORTRANGE(""https://docs.google.com/spreadsheets/d/19vJNZY_5yjcGF2XGBMNZRCAIB0Kwfpjp8YEOfu-bneM/edit?usp=sharing"",""งานกองทุน!K84"")"),6751.11)</f>
        <v>6751.11</v>
      </c>
      <c r="K823" s="881">
        <f t="shared" ca="1" si="335"/>
        <v>18.814937440167885</v>
      </c>
      <c r="L823" s="881"/>
      <c r="M823" s="881"/>
      <c r="N823" s="881"/>
      <c r="O823" s="881"/>
      <c r="P823" s="881"/>
      <c r="Q823" s="1302"/>
      <c r="R823" s="1302"/>
      <c r="S823" s="1302"/>
      <c r="T823" s="1302"/>
      <c r="U823" s="1302"/>
      <c r="V823" s="1302"/>
      <c r="W823" s="1302"/>
      <c r="X823" s="1302"/>
      <c r="Y823" s="1302"/>
      <c r="Z823" s="1302"/>
    </row>
    <row r="824" spans="1:26" ht="18.75">
      <c r="A824" s="1429"/>
      <c r="B824" s="1301"/>
      <c r="C824" s="1301"/>
      <c r="D824" s="1300"/>
      <c r="E824" s="1301"/>
      <c r="F824" s="1301"/>
      <c r="G824" s="1016"/>
      <c r="H824" s="622" t="s">
        <v>35</v>
      </c>
      <c r="I824" s="880">
        <f ca="1">IFERROR(__xludf.DUMMYFUNCTION("IMPORTRANGE(""https://docs.google.com/spreadsheets/d/19vJNZY_5yjcGF2XGBMNZRCAIB0Kwfpjp8YEOfu-bneM/edit?usp=sharing"",""งานกองทุน!H84"")"),2)</f>
        <v>2</v>
      </c>
      <c r="J824" s="880">
        <f ca="1">IFERROR(__xludf.DUMMYFUNCTION("IMPORTRANGE(""https://docs.google.com/spreadsheets/d/19vJNZY_5yjcGF2XGBMNZRCAIB0Kwfpjp8YEOfu-bneM/edit?usp=sharing"",""งานกองทุน!J84"")"),1)</f>
        <v>1</v>
      </c>
      <c r="K824" s="881">
        <f t="shared" ca="1" si="335"/>
        <v>50</v>
      </c>
      <c r="L824" s="881"/>
      <c r="M824" s="881"/>
      <c r="N824" s="881"/>
      <c r="O824" s="881"/>
      <c r="P824" s="881"/>
      <c r="Q824" s="1302"/>
      <c r="R824" s="1302"/>
      <c r="S824" s="1302"/>
      <c r="T824" s="1302"/>
      <c r="U824" s="1302"/>
      <c r="V824" s="1302"/>
      <c r="W824" s="1302"/>
      <c r="X824" s="1302"/>
      <c r="Y824" s="1302"/>
      <c r="Z824" s="1302"/>
    </row>
    <row r="825" spans="1:26" ht="18.75">
      <c r="A825" s="1429"/>
      <c r="B825" s="1301" t="s">
        <v>328</v>
      </c>
      <c r="C825" s="1301"/>
      <c r="D825" s="1300"/>
      <c r="E825" s="1301"/>
      <c r="F825" s="1301"/>
      <c r="G825" s="1016"/>
      <c r="H825" s="622" t="s">
        <v>12</v>
      </c>
      <c r="I825" s="880">
        <f ca="1">IFERROR(__xludf.DUMMYFUNCTION("IMPORTRANGE(""https://docs.google.com/spreadsheets/d/19vJNZY_5yjcGF2XGBMNZRCAIB0Kwfpjp8YEOfu-bneM/edit?usp=sharing"",""งานกองทุน!N84"")"),58877.9)</f>
        <v>58877.9</v>
      </c>
      <c r="J825" s="880">
        <f ca="1">IFERROR(__xludf.DUMMYFUNCTION("IMPORTRANGE(""https://docs.google.com/spreadsheets/d/19vJNZY_5yjcGF2XGBMNZRCAIB0Kwfpjp8YEOfu-bneM/edit?usp=sharing"",""งานกองทุน!P84"")"),22912.24)</f>
        <v>22912.240000000002</v>
      </c>
      <c r="K825" s="881">
        <f t="shared" ca="1" si="335"/>
        <v>38.914839014299083</v>
      </c>
      <c r="L825" s="881"/>
      <c r="M825" s="881"/>
      <c r="N825" s="881"/>
      <c r="O825" s="881"/>
      <c r="P825" s="881"/>
      <c r="Q825" s="1302"/>
      <c r="R825" s="1302"/>
      <c r="S825" s="1302"/>
      <c r="T825" s="1302"/>
      <c r="U825" s="1302"/>
      <c r="V825" s="1302"/>
      <c r="W825" s="1302"/>
      <c r="X825" s="1302"/>
      <c r="Y825" s="1302"/>
      <c r="Z825" s="1302"/>
    </row>
    <row r="826" spans="1:26" ht="18.75">
      <c r="A826" s="1429"/>
      <c r="B826" s="1301"/>
      <c r="C826" s="1301"/>
      <c r="D826" s="1300"/>
      <c r="E826" s="1301"/>
      <c r="F826" s="1301"/>
      <c r="G826" s="1016"/>
      <c r="H826" s="622" t="s">
        <v>35</v>
      </c>
      <c r="I826" s="880">
        <f ca="1">IFERROR(__xludf.DUMMYFUNCTION("IMPORTRANGE(""https://docs.google.com/spreadsheets/d/19vJNZY_5yjcGF2XGBMNZRCAIB0Kwfpjp8YEOfu-bneM/edit?usp=sharing"",""งานกองทุน!M84"")"),149)</f>
        <v>149</v>
      </c>
      <c r="J826" s="880">
        <f ca="1">IFERROR(__xludf.DUMMYFUNCTION("IMPORTRANGE(""https://docs.google.com/spreadsheets/d/19vJNZY_5yjcGF2XGBMNZRCAIB0Kwfpjp8YEOfu-bneM/edit?usp=sharing"",""งานกองทุน!O84"")"),66)</f>
        <v>66</v>
      </c>
      <c r="K826" s="881">
        <f t="shared" ca="1" si="335"/>
        <v>44.29530201342282</v>
      </c>
      <c r="L826" s="881"/>
      <c r="M826" s="881"/>
      <c r="N826" s="881"/>
      <c r="O826" s="881"/>
      <c r="P826" s="881"/>
      <c r="Q826" s="1302"/>
      <c r="R826" s="1302"/>
      <c r="S826" s="1302"/>
      <c r="T826" s="1302"/>
      <c r="U826" s="1302"/>
      <c r="V826" s="1302"/>
      <c r="W826" s="1302"/>
      <c r="X826" s="1302"/>
      <c r="Y826" s="1302"/>
      <c r="Z826" s="1302"/>
    </row>
    <row r="827" spans="1:26" ht="18.75">
      <c r="A827" s="1429"/>
      <c r="B827" s="1301" t="s">
        <v>329</v>
      </c>
      <c r="C827" s="1301"/>
      <c r="D827" s="1300"/>
      <c r="E827" s="1301"/>
      <c r="F827" s="1301"/>
      <c r="G827" s="1016"/>
      <c r="H827" s="622" t="s">
        <v>12</v>
      </c>
      <c r="I827" s="880">
        <f ca="1">IFERROR(__xludf.DUMMYFUNCTION("IMPORTRANGE(""https://docs.google.com/spreadsheets/d/19vJNZY_5yjcGF2XGBMNZRCAIB0Kwfpjp8YEOfu-bneM/edit?usp=sharing"",""งานกองทุน!S84"")"),300000)</f>
        <v>300000</v>
      </c>
      <c r="J827" s="880">
        <f ca="1">IFERROR(__xludf.DUMMYFUNCTION("IMPORTRANGE(""https://docs.google.com/spreadsheets/d/19vJNZY_5yjcGF2XGBMNZRCAIB0Kwfpjp8YEOfu-bneM/edit?usp=sharing"",""งานกองทุน!U84"")"),300000)</f>
        <v>300000</v>
      </c>
      <c r="K827" s="881">
        <f t="shared" ca="1" si="335"/>
        <v>100</v>
      </c>
      <c r="L827" s="881"/>
      <c r="M827" s="881"/>
      <c r="N827" s="881"/>
      <c r="O827" s="881"/>
      <c r="P827" s="881"/>
      <c r="Q827" s="1302"/>
      <c r="R827" s="1302"/>
      <c r="S827" s="1302"/>
      <c r="T827" s="1302"/>
      <c r="U827" s="1302"/>
      <c r="V827" s="1302"/>
      <c r="W827" s="1302"/>
      <c r="X827" s="1302"/>
      <c r="Y827" s="1302"/>
      <c r="Z827" s="1302"/>
    </row>
    <row r="828" spans="1:26" ht="18.75">
      <c r="A828" s="1430"/>
      <c r="B828" s="1432"/>
      <c r="C828" s="1432"/>
      <c r="D828" s="1431"/>
      <c r="E828" s="1432"/>
      <c r="F828" s="1432"/>
      <c r="G828" s="1492"/>
      <c r="H828" s="827" t="s">
        <v>35</v>
      </c>
      <c r="I828" s="1138">
        <f ca="1">IFERROR(__xludf.DUMMYFUNCTION("IMPORTRANGE(""https://docs.google.com/spreadsheets/d/19vJNZY_5yjcGF2XGBMNZRCAIB0Kwfpjp8YEOfu-bneM/edit?usp=sharing"",""งานกองทุน!R84"")"),12)</f>
        <v>12</v>
      </c>
      <c r="J828" s="1138">
        <f ca="1">IFERROR(__xludf.DUMMYFUNCTION("IMPORTRANGE(""https://docs.google.com/spreadsheets/d/19vJNZY_5yjcGF2XGBMNZRCAIB0Kwfpjp8YEOfu-bneM/edit?usp=sharing"",""งานกองทุน!T84"")"),6)</f>
        <v>6</v>
      </c>
      <c r="K828" s="1239">
        <f t="shared" ca="1" si="335"/>
        <v>50</v>
      </c>
      <c r="L828" s="1239"/>
      <c r="M828" s="1239"/>
      <c r="N828" s="1239"/>
      <c r="O828" s="1239"/>
      <c r="P828" s="1239"/>
      <c r="Q828" s="1302"/>
      <c r="R828" s="1302"/>
      <c r="S828" s="1302"/>
      <c r="T828" s="1302"/>
      <c r="U828" s="1302"/>
      <c r="V828" s="1302"/>
      <c r="W828" s="1302"/>
      <c r="X828" s="1302"/>
      <c r="Y828" s="1302"/>
      <c r="Z828" s="130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A7421-80A1-4BBD-8E6F-D4DC5491A933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52" customWidth="1"/>
    <col min="4" max="6" width="5.85546875" style="852" customWidth="1"/>
    <col min="7" max="7" width="56.42578125" style="852" customWidth="1"/>
    <col min="8" max="8" width="9.42578125" style="852" customWidth="1"/>
    <col min="9" max="9" width="16.140625" style="852" bestFit="1" customWidth="1"/>
    <col min="10" max="10" width="13.7109375" style="852" bestFit="1" customWidth="1"/>
    <col min="11" max="11" width="13.28515625" style="852" bestFit="1" customWidth="1"/>
    <col min="12" max="15" width="20.28515625" style="852" bestFit="1" customWidth="1"/>
    <col min="16" max="16" width="22.140625" style="852" bestFit="1" customWidth="1"/>
    <col min="17" max="16384" width="12.5703125" style="852"/>
  </cols>
  <sheetData>
    <row r="1" spans="1:26" ht="19.5">
      <c r="A1" s="828" t="s">
        <v>0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51"/>
    </row>
    <row r="2" spans="1:26" ht="19.5">
      <c r="A2" s="828" t="s">
        <v>351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</row>
    <row r="3" spans="1:26" ht="19.5">
      <c r="A3" s="828" t="s">
        <v>330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</row>
    <row r="4" spans="1:26" ht="12.75">
      <c r="A4" s="853"/>
      <c r="B4" s="853"/>
      <c r="C4" s="853"/>
      <c r="D4" s="853"/>
      <c r="E4" s="853"/>
      <c r="F4" s="853"/>
      <c r="G4" s="853"/>
      <c r="H4" s="853"/>
      <c r="I4" s="853"/>
      <c r="J4" s="854"/>
      <c r="K4" s="855"/>
      <c r="L4" s="854"/>
      <c r="M4" s="854"/>
      <c r="N4" s="854"/>
      <c r="O4" s="853"/>
      <c r="P4" s="853"/>
    </row>
    <row r="5" spans="1:26" ht="19.5">
      <c r="A5" s="836" t="s">
        <v>2</v>
      </c>
      <c r="B5" s="851"/>
      <c r="C5" s="851"/>
      <c r="D5" s="851"/>
      <c r="E5" s="851"/>
      <c r="F5" s="851"/>
      <c r="G5" s="837"/>
      <c r="H5" s="830" t="s">
        <v>3</v>
      </c>
      <c r="I5" s="832" t="s">
        <v>4</v>
      </c>
      <c r="J5" s="833"/>
      <c r="K5" s="831"/>
      <c r="L5" s="834" t="s">
        <v>5</v>
      </c>
      <c r="M5" s="831"/>
      <c r="N5" s="835" t="s">
        <v>6</v>
      </c>
      <c r="O5" s="833"/>
      <c r="P5" s="831"/>
    </row>
    <row r="6" spans="1:26" ht="19.5">
      <c r="A6" s="838"/>
      <c r="B6" s="833"/>
      <c r="C6" s="833"/>
      <c r="D6" s="833"/>
      <c r="E6" s="833"/>
      <c r="F6" s="833"/>
      <c r="G6" s="831"/>
      <c r="H6" s="83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6" t="s">
        <v>15</v>
      </c>
      <c r="B7" s="833"/>
      <c r="C7" s="833"/>
      <c r="D7" s="833"/>
      <c r="E7" s="833"/>
      <c r="F7" s="833"/>
      <c r="G7" s="831"/>
      <c r="H7" s="857"/>
      <c r="I7" s="858"/>
      <c r="J7" s="858"/>
      <c r="K7" s="859"/>
      <c r="L7" s="859"/>
      <c r="M7" s="859"/>
      <c r="N7" s="859"/>
      <c r="O7" s="859"/>
      <c r="P7" s="859"/>
    </row>
    <row r="8" spans="1:26" ht="19.5">
      <c r="A8" s="860"/>
      <c r="B8" s="861"/>
      <c r="C8" s="862" t="s">
        <v>16</v>
      </c>
      <c r="D8" s="863" t="s">
        <v>17</v>
      </c>
      <c r="E8" s="861"/>
      <c r="F8" s="861"/>
      <c r="G8" s="864"/>
      <c r="H8" s="19" t="s">
        <v>12</v>
      </c>
      <c r="I8" s="865"/>
      <c r="J8" s="865"/>
      <c r="K8" s="866"/>
      <c r="L8" s="867">
        <f t="shared" ref="L8:N8" ca="1" si="0">L9+L10</f>
        <v>3915568</v>
      </c>
      <c r="M8" s="867">
        <f t="shared" ca="1" si="0"/>
        <v>3472101</v>
      </c>
      <c r="N8" s="867">
        <f t="shared" ca="1" si="0"/>
        <v>1440478.3199999998</v>
      </c>
      <c r="O8" s="867">
        <f t="shared" ref="O8:O16" ca="1" si="1">IF(L8&gt;0,N8*100/L8,0)</f>
        <v>36.788489434993842</v>
      </c>
      <c r="P8" s="867">
        <f t="shared" ref="P8:P16" ca="1" si="2">IF(M8&gt;0,N8*100/M8,0)</f>
        <v>41.487224017964905</v>
      </c>
      <c r="Q8" s="868"/>
      <c r="R8" s="868"/>
      <c r="S8" s="868"/>
      <c r="T8" s="868"/>
      <c r="U8" s="868"/>
      <c r="V8" s="868"/>
      <c r="W8" s="868"/>
      <c r="X8" s="868"/>
      <c r="Y8" s="868"/>
      <c r="Z8" s="868"/>
    </row>
    <row r="9" spans="1:26" ht="18.75" hidden="1">
      <c r="A9" s="869"/>
      <c r="B9" s="870"/>
      <c r="C9" s="870"/>
      <c r="D9" s="870"/>
      <c r="E9" s="871" t="s">
        <v>18</v>
      </c>
      <c r="F9" s="870"/>
      <c r="G9" s="872"/>
      <c r="H9" s="28" t="s">
        <v>12</v>
      </c>
      <c r="I9" s="873"/>
      <c r="J9" s="873"/>
      <c r="K9" s="874"/>
      <c r="L9" s="874">
        <f t="shared" ref="L9:N10" si="3">L12+L15</f>
        <v>0</v>
      </c>
      <c r="M9" s="874">
        <f t="shared" si="3"/>
        <v>0</v>
      </c>
      <c r="N9" s="874">
        <f t="shared" si="3"/>
        <v>0</v>
      </c>
      <c r="O9" s="874">
        <f t="shared" si="1"/>
        <v>0</v>
      </c>
      <c r="P9" s="874">
        <f t="shared" si="2"/>
        <v>0</v>
      </c>
      <c r="Q9" s="875"/>
      <c r="R9" s="875"/>
      <c r="S9" s="875"/>
      <c r="T9" s="875"/>
      <c r="U9" s="875"/>
      <c r="V9" s="875"/>
      <c r="W9" s="875"/>
      <c r="X9" s="875"/>
      <c r="Y9" s="875"/>
      <c r="Z9" s="875"/>
    </row>
    <row r="10" spans="1:26" ht="18.75" hidden="1">
      <c r="A10" s="869"/>
      <c r="B10" s="870"/>
      <c r="C10" s="870"/>
      <c r="D10" s="870"/>
      <c r="E10" s="871" t="s">
        <v>19</v>
      </c>
      <c r="F10" s="870"/>
      <c r="G10" s="872"/>
      <c r="H10" s="28" t="s">
        <v>12</v>
      </c>
      <c r="I10" s="873"/>
      <c r="J10" s="873"/>
      <c r="K10" s="874"/>
      <c r="L10" s="874">
        <f t="shared" ca="1" si="3"/>
        <v>3915568</v>
      </c>
      <c r="M10" s="874">
        <f t="shared" ca="1" si="3"/>
        <v>3472101</v>
      </c>
      <c r="N10" s="874">
        <f t="shared" ca="1" si="3"/>
        <v>1440478.3199999998</v>
      </c>
      <c r="O10" s="874">
        <f t="shared" ca="1" si="1"/>
        <v>36.788489434993842</v>
      </c>
      <c r="P10" s="874">
        <f t="shared" ca="1" si="2"/>
        <v>41.487224017964905</v>
      </c>
      <c r="Q10" s="875"/>
      <c r="R10" s="875"/>
      <c r="S10" s="875"/>
      <c r="T10" s="875"/>
      <c r="U10" s="875"/>
      <c r="V10" s="875"/>
      <c r="W10" s="875"/>
      <c r="X10" s="875"/>
      <c r="Y10" s="875"/>
      <c r="Z10" s="875"/>
    </row>
    <row r="11" spans="1:26" ht="18.75">
      <c r="A11" s="876"/>
      <c r="B11" s="877"/>
      <c r="C11" s="877"/>
      <c r="D11" s="878" t="s">
        <v>20</v>
      </c>
      <c r="E11" s="877"/>
      <c r="F11" s="877"/>
      <c r="G11" s="879"/>
      <c r="H11" s="622" t="s">
        <v>12</v>
      </c>
      <c r="I11" s="880"/>
      <c r="J11" s="880"/>
      <c r="K11" s="881"/>
      <c r="L11" s="881">
        <f t="shared" ref="L11:N11" ca="1" si="4">L12+L13</f>
        <v>3869568</v>
      </c>
      <c r="M11" s="881">
        <f t="shared" ca="1" si="4"/>
        <v>3426101</v>
      </c>
      <c r="N11" s="881">
        <f t="shared" ca="1" si="4"/>
        <v>1394478.3199999998</v>
      </c>
      <c r="O11" s="881">
        <f t="shared" ca="1" si="1"/>
        <v>36.037054265489061</v>
      </c>
      <c r="P11" s="881">
        <f t="shared" ca="1" si="2"/>
        <v>40.70161154034863</v>
      </c>
      <c r="Q11" s="868"/>
      <c r="R11" s="868"/>
      <c r="S11" s="868"/>
      <c r="T11" s="868"/>
      <c r="U11" s="868"/>
      <c r="V11" s="868"/>
      <c r="W11" s="868"/>
      <c r="X11" s="868"/>
      <c r="Y11" s="868"/>
      <c r="Z11" s="868"/>
    </row>
    <row r="12" spans="1:26" ht="18.75" hidden="1">
      <c r="A12" s="882"/>
      <c r="B12" s="883"/>
      <c r="C12" s="883"/>
      <c r="D12" s="883"/>
      <c r="E12" s="884" t="s">
        <v>18</v>
      </c>
      <c r="F12" s="883"/>
      <c r="G12" s="885"/>
      <c r="H12" s="43" t="s">
        <v>12</v>
      </c>
      <c r="I12" s="886"/>
      <c r="J12" s="886"/>
      <c r="K12" s="887"/>
      <c r="L12" s="887">
        <f t="shared" ref="L12:N13" si="5">L22+L32</f>
        <v>0</v>
      </c>
      <c r="M12" s="887">
        <f t="shared" si="5"/>
        <v>0</v>
      </c>
      <c r="N12" s="887">
        <f t="shared" si="5"/>
        <v>0</v>
      </c>
      <c r="O12" s="887">
        <f t="shared" si="1"/>
        <v>0</v>
      </c>
      <c r="P12" s="887">
        <f t="shared" si="2"/>
        <v>0</v>
      </c>
      <c r="Q12" s="875"/>
      <c r="R12" s="875"/>
      <c r="S12" s="875"/>
      <c r="T12" s="875"/>
      <c r="U12" s="875"/>
      <c r="V12" s="875"/>
      <c r="W12" s="875"/>
      <c r="X12" s="875"/>
      <c r="Y12" s="875"/>
      <c r="Z12" s="875"/>
    </row>
    <row r="13" spans="1:26" ht="18.75" hidden="1">
      <c r="A13" s="882"/>
      <c r="B13" s="883"/>
      <c r="C13" s="883"/>
      <c r="D13" s="883"/>
      <c r="E13" s="884" t="s">
        <v>19</v>
      </c>
      <c r="F13" s="883"/>
      <c r="G13" s="885"/>
      <c r="H13" s="43" t="s">
        <v>12</v>
      </c>
      <c r="I13" s="886"/>
      <c r="J13" s="886"/>
      <c r="K13" s="887"/>
      <c r="L13" s="887">
        <f t="shared" ca="1" si="5"/>
        <v>3869568</v>
      </c>
      <c r="M13" s="887">
        <f t="shared" ca="1" si="5"/>
        <v>3426101</v>
      </c>
      <c r="N13" s="887">
        <f t="shared" ca="1" si="5"/>
        <v>1394478.3199999998</v>
      </c>
      <c r="O13" s="887">
        <f t="shared" ca="1" si="1"/>
        <v>36.037054265489061</v>
      </c>
      <c r="P13" s="887">
        <f t="shared" ca="1" si="2"/>
        <v>40.70161154034863</v>
      </c>
      <c r="Q13" s="875"/>
      <c r="R13" s="875"/>
      <c r="S13" s="875"/>
      <c r="T13" s="875"/>
      <c r="U13" s="875"/>
      <c r="V13" s="875"/>
      <c r="W13" s="875"/>
      <c r="X13" s="875"/>
      <c r="Y13" s="875"/>
      <c r="Z13" s="875"/>
    </row>
    <row r="14" spans="1:26" ht="18.75">
      <c r="A14" s="876"/>
      <c r="B14" s="877"/>
      <c r="C14" s="877"/>
      <c r="D14" s="878" t="s">
        <v>21</v>
      </c>
      <c r="E14" s="877"/>
      <c r="F14" s="877"/>
      <c r="G14" s="879"/>
      <c r="H14" s="622" t="s">
        <v>12</v>
      </c>
      <c r="I14" s="880"/>
      <c r="J14" s="880"/>
      <c r="K14" s="881"/>
      <c r="L14" s="881">
        <f t="shared" ref="L14:N14" ca="1" si="6">L15+L16</f>
        <v>46000</v>
      </c>
      <c r="M14" s="881">
        <f t="shared" ca="1" si="6"/>
        <v>46000</v>
      </c>
      <c r="N14" s="881">
        <f t="shared" ca="1" si="6"/>
        <v>46000</v>
      </c>
      <c r="O14" s="881">
        <f t="shared" ca="1" si="1"/>
        <v>100</v>
      </c>
      <c r="P14" s="881">
        <f t="shared" ca="1" si="2"/>
        <v>100</v>
      </c>
      <c r="Q14" s="868"/>
      <c r="R14" s="868"/>
      <c r="S14" s="868"/>
      <c r="T14" s="868"/>
      <c r="U14" s="868"/>
      <c r="V14" s="868"/>
      <c r="W14" s="868"/>
      <c r="X14" s="868"/>
      <c r="Y14" s="868"/>
      <c r="Z14" s="868"/>
    </row>
    <row r="15" spans="1:26" ht="18.75" hidden="1">
      <c r="A15" s="882"/>
      <c r="B15" s="883"/>
      <c r="C15" s="883"/>
      <c r="D15" s="883"/>
      <c r="E15" s="884" t="s">
        <v>18</v>
      </c>
      <c r="F15" s="883"/>
      <c r="G15" s="885"/>
      <c r="H15" s="43" t="s">
        <v>12</v>
      </c>
      <c r="I15" s="886"/>
      <c r="J15" s="886"/>
      <c r="K15" s="887"/>
      <c r="L15" s="887">
        <f t="shared" ref="L15:N16" si="7">L25+L35</f>
        <v>0</v>
      </c>
      <c r="M15" s="887">
        <f t="shared" si="7"/>
        <v>0</v>
      </c>
      <c r="N15" s="887">
        <f t="shared" si="7"/>
        <v>0</v>
      </c>
      <c r="O15" s="887">
        <f t="shared" si="1"/>
        <v>0</v>
      </c>
      <c r="P15" s="887">
        <f t="shared" si="2"/>
        <v>0</v>
      </c>
      <c r="Q15" s="875"/>
      <c r="R15" s="875"/>
      <c r="S15" s="875"/>
      <c r="T15" s="875"/>
      <c r="U15" s="875"/>
      <c r="V15" s="875"/>
      <c r="W15" s="875"/>
      <c r="X15" s="875"/>
      <c r="Y15" s="875"/>
      <c r="Z15" s="875"/>
    </row>
    <row r="16" spans="1:26" ht="18.75" hidden="1">
      <c r="A16" s="888"/>
      <c r="B16" s="889"/>
      <c r="C16" s="889"/>
      <c r="D16" s="889"/>
      <c r="E16" s="890" t="s">
        <v>19</v>
      </c>
      <c r="F16" s="889"/>
      <c r="G16" s="891"/>
      <c r="H16" s="50" t="s">
        <v>12</v>
      </c>
      <c r="I16" s="892"/>
      <c r="J16" s="892"/>
      <c r="K16" s="893"/>
      <c r="L16" s="893">
        <f t="shared" ca="1" si="7"/>
        <v>46000</v>
      </c>
      <c r="M16" s="893">
        <f t="shared" ca="1" si="7"/>
        <v>46000</v>
      </c>
      <c r="N16" s="893">
        <f t="shared" ca="1" si="7"/>
        <v>46000</v>
      </c>
      <c r="O16" s="893">
        <f t="shared" ca="1" si="1"/>
        <v>100</v>
      </c>
      <c r="P16" s="893">
        <f t="shared" ca="1" si="2"/>
        <v>100</v>
      </c>
      <c r="Q16" s="875"/>
      <c r="R16" s="875"/>
      <c r="S16" s="875"/>
      <c r="T16" s="875"/>
      <c r="U16" s="875"/>
      <c r="V16" s="875"/>
      <c r="W16" s="875"/>
      <c r="X16" s="875"/>
      <c r="Y16" s="875"/>
      <c r="Z16" s="875"/>
    </row>
    <row r="17" spans="1:26" ht="19.5">
      <c r="A17" s="856" t="s">
        <v>22</v>
      </c>
      <c r="B17" s="833"/>
      <c r="C17" s="833"/>
      <c r="D17" s="833"/>
      <c r="E17" s="833"/>
      <c r="F17" s="833"/>
      <c r="G17" s="831"/>
      <c r="H17" s="857"/>
      <c r="I17" s="858"/>
      <c r="J17" s="858"/>
      <c r="K17" s="859"/>
      <c r="L17" s="859"/>
      <c r="M17" s="859"/>
      <c r="N17" s="859"/>
      <c r="O17" s="859"/>
      <c r="P17" s="859"/>
    </row>
    <row r="18" spans="1:26" ht="19.5">
      <c r="A18" s="860"/>
      <c r="B18" s="861"/>
      <c r="C18" s="862" t="s">
        <v>16</v>
      </c>
      <c r="D18" s="863" t="s">
        <v>17</v>
      </c>
      <c r="E18" s="861"/>
      <c r="F18" s="861"/>
      <c r="G18" s="864"/>
      <c r="H18" s="19" t="s">
        <v>12</v>
      </c>
      <c r="I18" s="865"/>
      <c r="J18" s="865"/>
      <c r="K18" s="866"/>
      <c r="L18" s="867">
        <f t="shared" ref="L18:N18" ca="1" si="8">L19+L20</f>
        <v>2215590</v>
      </c>
      <c r="M18" s="867">
        <f t="shared" ca="1" si="8"/>
        <v>1772123</v>
      </c>
      <c r="N18" s="867">
        <f t="shared" ca="1" si="8"/>
        <v>1080733.42</v>
      </c>
      <c r="O18" s="867">
        <f t="shared" ref="O18:O26" ca="1" si="9">IF(L18&gt;0,N18*100/L18,0)</f>
        <v>48.778583582702574</v>
      </c>
      <c r="P18" s="867">
        <f t="shared" ref="P18:P26" ca="1" si="10">IF(M18&gt;0,N18*100/M18,0)</f>
        <v>60.98523748069406</v>
      </c>
      <c r="Q18" s="868"/>
      <c r="R18" s="868"/>
      <c r="S18" s="868"/>
      <c r="T18" s="868"/>
      <c r="U18" s="868"/>
      <c r="V18" s="868"/>
      <c r="W18" s="868"/>
      <c r="X18" s="868"/>
      <c r="Y18" s="868"/>
      <c r="Z18" s="868"/>
    </row>
    <row r="19" spans="1:26" ht="18.75" hidden="1">
      <c r="A19" s="869"/>
      <c r="B19" s="870"/>
      <c r="C19" s="870"/>
      <c r="D19" s="870"/>
      <c r="E19" s="871" t="s">
        <v>18</v>
      </c>
      <c r="F19" s="870"/>
      <c r="G19" s="872"/>
      <c r="H19" s="28" t="s">
        <v>12</v>
      </c>
      <c r="I19" s="873"/>
      <c r="J19" s="873"/>
      <c r="K19" s="874"/>
      <c r="L19" s="874">
        <f t="shared" ref="L19:N20" si="11">L22+L25</f>
        <v>0</v>
      </c>
      <c r="M19" s="874">
        <f t="shared" si="11"/>
        <v>0</v>
      </c>
      <c r="N19" s="874">
        <f t="shared" si="11"/>
        <v>0</v>
      </c>
      <c r="O19" s="874">
        <f t="shared" si="9"/>
        <v>0</v>
      </c>
      <c r="P19" s="874">
        <f t="shared" si="10"/>
        <v>0</v>
      </c>
      <c r="Q19" s="875"/>
      <c r="R19" s="875"/>
      <c r="S19" s="875"/>
      <c r="T19" s="875"/>
      <c r="U19" s="875"/>
      <c r="V19" s="875"/>
      <c r="W19" s="875"/>
      <c r="X19" s="875"/>
      <c r="Y19" s="875"/>
      <c r="Z19" s="875"/>
    </row>
    <row r="20" spans="1:26" ht="18.75" hidden="1">
      <c r="A20" s="869"/>
      <c r="B20" s="870"/>
      <c r="C20" s="870"/>
      <c r="D20" s="870"/>
      <c r="E20" s="871" t="s">
        <v>19</v>
      </c>
      <c r="F20" s="870"/>
      <c r="G20" s="872"/>
      <c r="H20" s="28" t="s">
        <v>12</v>
      </c>
      <c r="I20" s="873"/>
      <c r="J20" s="873"/>
      <c r="K20" s="874"/>
      <c r="L20" s="874">
        <f t="shared" ca="1" si="11"/>
        <v>2215590</v>
      </c>
      <c r="M20" s="874">
        <f t="shared" ca="1" si="11"/>
        <v>1772123</v>
      </c>
      <c r="N20" s="874">
        <f t="shared" ca="1" si="11"/>
        <v>1080733.42</v>
      </c>
      <c r="O20" s="874">
        <f t="shared" ca="1" si="9"/>
        <v>48.778583582702574</v>
      </c>
      <c r="P20" s="874">
        <f t="shared" ca="1" si="10"/>
        <v>60.98523748069406</v>
      </c>
      <c r="Q20" s="875"/>
      <c r="R20" s="875"/>
      <c r="S20" s="875"/>
      <c r="T20" s="875"/>
      <c r="U20" s="875"/>
      <c r="V20" s="875"/>
      <c r="W20" s="875"/>
      <c r="X20" s="875"/>
      <c r="Y20" s="875"/>
      <c r="Z20" s="875"/>
    </row>
    <row r="21" spans="1:26" ht="18.75">
      <c r="A21" s="876"/>
      <c r="B21" s="877"/>
      <c r="C21" s="877"/>
      <c r="D21" s="878" t="s">
        <v>20</v>
      </c>
      <c r="E21" s="877"/>
      <c r="F21" s="877"/>
      <c r="G21" s="879"/>
      <c r="H21" s="622" t="s">
        <v>12</v>
      </c>
      <c r="I21" s="880"/>
      <c r="J21" s="880"/>
      <c r="K21" s="881"/>
      <c r="L21" s="881">
        <f t="shared" ref="L21:N21" ca="1" si="12">L22+L23</f>
        <v>2169590</v>
      </c>
      <c r="M21" s="881">
        <f t="shared" ca="1" si="12"/>
        <v>1726123</v>
      </c>
      <c r="N21" s="881">
        <f t="shared" ca="1" si="12"/>
        <v>1034733.4199999999</v>
      </c>
      <c r="O21" s="881">
        <f t="shared" ca="1" si="9"/>
        <v>47.692578782166215</v>
      </c>
      <c r="P21" s="881">
        <f t="shared" ca="1" si="10"/>
        <v>59.945520684215438</v>
      </c>
      <c r="Q21" s="868"/>
      <c r="R21" s="868"/>
      <c r="S21" s="868"/>
      <c r="T21" s="868"/>
      <c r="U21" s="868"/>
      <c r="V21" s="868"/>
      <c r="W21" s="868"/>
      <c r="X21" s="868"/>
      <c r="Y21" s="868"/>
      <c r="Z21" s="868"/>
    </row>
    <row r="22" spans="1:26" ht="18.75" hidden="1">
      <c r="A22" s="882"/>
      <c r="B22" s="883"/>
      <c r="C22" s="883"/>
      <c r="D22" s="883"/>
      <c r="E22" s="884" t="s">
        <v>18</v>
      </c>
      <c r="F22" s="883"/>
      <c r="G22" s="885"/>
      <c r="H22" s="43" t="s">
        <v>12</v>
      </c>
      <c r="I22" s="886"/>
      <c r="J22" s="886"/>
      <c r="K22" s="887"/>
      <c r="L22" s="887">
        <f t="shared" ref="L22:N23" si="13">L45+L57+L70+L92+L123+L136+L153+L185+L169+L265+L281+L302+L319+L332+L349+L393+L406</f>
        <v>0</v>
      </c>
      <c r="M22" s="887">
        <f t="shared" si="13"/>
        <v>0</v>
      </c>
      <c r="N22" s="887">
        <f t="shared" si="13"/>
        <v>0</v>
      </c>
      <c r="O22" s="887">
        <f t="shared" si="9"/>
        <v>0</v>
      </c>
      <c r="P22" s="887">
        <f t="shared" si="10"/>
        <v>0</v>
      </c>
      <c r="Q22" s="875"/>
      <c r="R22" s="875"/>
      <c r="S22" s="875"/>
      <c r="T22" s="875"/>
      <c r="U22" s="875"/>
      <c r="V22" s="875"/>
      <c r="W22" s="875"/>
      <c r="X22" s="875"/>
      <c r="Y22" s="875"/>
      <c r="Z22" s="875"/>
    </row>
    <row r="23" spans="1:26" ht="18.75" hidden="1">
      <c r="A23" s="882"/>
      <c r="B23" s="883"/>
      <c r="C23" s="883"/>
      <c r="D23" s="883"/>
      <c r="E23" s="884" t="s">
        <v>19</v>
      </c>
      <c r="F23" s="883"/>
      <c r="G23" s="885"/>
      <c r="H23" s="43" t="s">
        <v>12</v>
      </c>
      <c r="I23" s="886"/>
      <c r="J23" s="886"/>
      <c r="K23" s="887"/>
      <c r="L23" s="887">
        <f t="shared" ca="1" si="13"/>
        <v>2169590</v>
      </c>
      <c r="M23" s="887">
        <f t="shared" ca="1" si="13"/>
        <v>1726123</v>
      </c>
      <c r="N23" s="887">
        <f t="shared" ca="1" si="13"/>
        <v>1034733.4199999999</v>
      </c>
      <c r="O23" s="887">
        <f t="shared" ca="1" si="9"/>
        <v>47.692578782166215</v>
      </c>
      <c r="P23" s="887">
        <f t="shared" ca="1" si="10"/>
        <v>59.945520684215438</v>
      </c>
      <c r="Q23" s="875"/>
      <c r="R23" s="875"/>
      <c r="S23" s="875"/>
      <c r="T23" s="875"/>
      <c r="U23" s="875"/>
      <c r="V23" s="875"/>
      <c r="W23" s="875"/>
      <c r="X23" s="875"/>
      <c r="Y23" s="875"/>
      <c r="Z23" s="875"/>
    </row>
    <row r="24" spans="1:26" ht="18.75">
      <c r="A24" s="876"/>
      <c r="B24" s="877"/>
      <c r="C24" s="877"/>
      <c r="D24" s="878" t="s">
        <v>21</v>
      </c>
      <c r="E24" s="877"/>
      <c r="F24" s="877"/>
      <c r="G24" s="879"/>
      <c r="H24" s="622" t="s">
        <v>12</v>
      </c>
      <c r="I24" s="880"/>
      <c r="J24" s="880"/>
      <c r="K24" s="881"/>
      <c r="L24" s="881">
        <f t="shared" ref="L24:N24" ca="1" si="14">L25+L26</f>
        <v>46000</v>
      </c>
      <c r="M24" s="881">
        <f t="shared" ca="1" si="14"/>
        <v>46000</v>
      </c>
      <c r="N24" s="881">
        <f t="shared" ca="1" si="14"/>
        <v>46000</v>
      </c>
      <c r="O24" s="881">
        <f t="shared" ca="1" si="9"/>
        <v>100</v>
      </c>
      <c r="P24" s="881">
        <f t="shared" ca="1" si="10"/>
        <v>100</v>
      </c>
      <c r="Q24" s="868"/>
      <c r="R24" s="868"/>
      <c r="S24" s="868"/>
      <c r="T24" s="868"/>
      <c r="U24" s="868"/>
      <c r="V24" s="868"/>
      <c r="W24" s="868"/>
      <c r="X24" s="868"/>
      <c r="Y24" s="868"/>
      <c r="Z24" s="868"/>
    </row>
    <row r="25" spans="1:26" ht="18.75" hidden="1">
      <c r="A25" s="882"/>
      <c r="B25" s="883"/>
      <c r="C25" s="883"/>
      <c r="D25" s="883"/>
      <c r="E25" s="884" t="s">
        <v>18</v>
      </c>
      <c r="F25" s="883"/>
      <c r="G25" s="885"/>
      <c r="H25" s="43" t="s">
        <v>12</v>
      </c>
      <c r="I25" s="886"/>
      <c r="J25" s="886"/>
      <c r="K25" s="887"/>
      <c r="L25" s="887">
        <f t="shared" ref="L25:N26" si="15">L48+L60+L73+L95+L126+L139+L156+L188+L172+L268+L284+L305+L322+L335+L352+L396+L409</f>
        <v>0</v>
      </c>
      <c r="M25" s="887">
        <f t="shared" si="15"/>
        <v>0</v>
      </c>
      <c r="N25" s="887">
        <f t="shared" si="15"/>
        <v>0</v>
      </c>
      <c r="O25" s="887">
        <f t="shared" si="9"/>
        <v>0</v>
      </c>
      <c r="P25" s="887">
        <f t="shared" si="10"/>
        <v>0</v>
      </c>
      <c r="Q25" s="875"/>
      <c r="R25" s="875"/>
      <c r="S25" s="875"/>
      <c r="T25" s="875"/>
      <c r="U25" s="875"/>
      <c r="V25" s="875"/>
      <c r="W25" s="875"/>
      <c r="X25" s="875"/>
      <c r="Y25" s="875"/>
      <c r="Z25" s="875"/>
    </row>
    <row r="26" spans="1:26" ht="18.75" hidden="1">
      <c r="A26" s="888"/>
      <c r="B26" s="889"/>
      <c r="C26" s="889"/>
      <c r="D26" s="889"/>
      <c r="E26" s="890" t="s">
        <v>19</v>
      </c>
      <c r="F26" s="889"/>
      <c r="G26" s="891"/>
      <c r="H26" s="50" t="s">
        <v>12</v>
      </c>
      <c r="I26" s="892"/>
      <c r="J26" s="892"/>
      <c r="K26" s="893"/>
      <c r="L26" s="893">
        <f t="shared" ca="1" si="15"/>
        <v>46000</v>
      </c>
      <c r="M26" s="893">
        <f t="shared" ca="1" si="15"/>
        <v>46000</v>
      </c>
      <c r="N26" s="893">
        <f t="shared" ca="1" si="15"/>
        <v>46000</v>
      </c>
      <c r="O26" s="893">
        <f t="shared" ca="1" si="9"/>
        <v>100</v>
      </c>
      <c r="P26" s="893">
        <f t="shared" ca="1" si="10"/>
        <v>100</v>
      </c>
      <c r="Q26" s="875"/>
      <c r="R26" s="875"/>
      <c r="S26" s="875"/>
      <c r="T26" s="875"/>
      <c r="U26" s="875"/>
      <c r="V26" s="875"/>
      <c r="W26" s="875"/>
      <c r="X26" s="875"/>
      <c r="Y26" s="875"/>
      <c r="Z26" s="875"/>
    </row>
    <row r="27" spans="1:26" ht="19.5">
      <c r="A27" s="856" t="s">
        <v>23</v>
      </c>
      <c r="B27" s="833"/>
      <c r="C27" s="833"/>
      <c r="D27" s="833"/>
      <c r="E27" s="833"/>
      <c r="F27" s="833"/>
      <c r="G27" s="831"/>
      <c r="H27" s="857"/>
      <c r="I27" s="858"/>
      <c r="J27" s="858"/>
      <c r="K27" s="859"/>
      <c r="L27" s="859"/>
      <c r="M27" s="859"/>
      <c r="N27" s="859"/>
      <c r="O27" s="859"/>
      <c r="P27" s="859"/>
    </row>
    <row r="28" spans="1:26" ht="19.5">
      <c r="A28" s="860"/>
      <c r="B28" s="861"/>
      <c r="C28" s="862" t="s">
        <v>16</v>
      </c>
      <c r="D28" s="863" t="s">
        <v>17</v>
      </c>
      <c r="E28" s="861"/>
      <c r="F28" s="861"/>
      <c r="G28" s="864"/>
      <c r="H28" s="19" t="s">
        <v>12</v>
      </c>
      <c r="I28" s="865"/>
      <c r="J28" s="865"/>
      <c r="K28" s="866"/>
      <c r="L28" s="867">
        <f t="shared" ref="L28:N28" ca="1" si="16">L29+L30</f>
        <v>1699978</v>
      </c>
      <c r="M28" s="867">
        <f t="shared" ca="1" si="16"/>
        <v>1699978</v>
      </c>
      <c r="N28" s="867">
        <f t="shared" si="16"/>
        <v>359744.9</v>
      </c>
      <c r="O28" s="867">
        <f t="shared" ref="O28:O37" ca="1" si="17">IF(L28&gt;0,N28*100/L28,0)</f>
        <v>21.161738563675531</v>
      </c>
      <c r="P28" s="867">
        <f t="shared" ref="P28:P37" ca="1" si="18">IF(M28&gt;0,N28*100/M28,0)</f>
        <v>21.161738563675531</v>
      </c>
      <c r="Q28" s="868"/>
      <c r="R28" s="868"/>
      <c r="S28" s="868"/>
      <c r="T28" s="868"/>
      <c r="U28" s="868"/>
      <c r="V28" s="868"/>
      <c r="W28" s="868"/>
      <c r="X28" s="868"/>
      <c r="Y28" s="868"/>
      <c r="Z28" s="868"/>
    </row>
    <row r="29" spans="1:26" ht="18.75" hidden="1">
      <c r="A29" s="869"/>
      <c r="B29" s="870"/>
      <c r="C29" s="870"/>
      <c r="D29" s="870"/>
      <c r="E29" s="871" t="s">
        <v>18</v>
      </c>
      <c r="F29" s="870"/>
      <c r="G29" s="872"/>
      <c r="H29" s="28" t="s">
        <v>12</v>
      </c>
      <c r="I29" s="873"/>
      <c r="J29" s="873"/>
      <c r="K29" s="874"/>
      <c r="L29" s="874">
        <f t="shared" ref="L29:N30" si="19">L32+L35</f>
        <v>0</v>
      </c>
      <c r="M29" s="874">
        <f t="shared" si="19"/>
        <v>0</v>
      </c>
      <c r="N29" s="874">
        <f t="shared" si="19"/>
        <v>0</v>
      </c>
      <c r="O29" s="874">
        <f t="shared" si="17"/>
        <v>0</v>
      </c>
      <c r="P29" s="874">
        <f t="shared" si="18"/>
        <v>0</v>
      </c>
      <c r="Q29" s="875"/>
      <c r="R29" s="875"/>
      <c r="S29" s="875"/>
      <c r="T29" s="875"/>
      <c r="U29" s="875"/>
      <c r="V29" s="875"/>
      <c r="W29" s="875"/>
      <c r="X29" s="875"/>
      <c r="Y29" s="875"/>
      <c r="Z29" s="875"/>
    </row>
    <row r="30" spans="1:26" ht="18.75" hidden="1">
      <c r="A30" s="869"/>
      <c r="B30" s="870"/>
      <c r="C30" s="870"/>
      <c r="D30" s="870"/>
      <c r="E30" s="871" t="s">
        <v>19</v>
      </c>
      <c r="F30" s="870"/>
      <c r="G30" s="872"/>
      <c r="H30" s="28" t="s">
        <v>12</v>
      </c>
      <c r="I30" s="873"/>
      <c r="J30" s="873"/>
      <c r="K30" s="874"/>
      <c r="L30" s="874">
        <f t="shared" ca="1" si="19"/>
        <v>1699978</v>
      </c>
      <c r="M30" s="874">
        <f t="shared" ca="1" si="19"/>
        <v>1699978</v>
      </c>
      <c r="N30" s="874">
        <f t="shared" si="19"/>
        <v>359744.9</v>
      </c>
      <c r="O30" s="874">
        <f t="shared" ca="1" si="17"/>
        <v>21.161738563675531</v>
      </c>
      <c r="P30" s="874">
        <f t="shared" ca="1" si="18"/>
        <v>21.161738563675531</v>
      </c>
      <c r="Q30" s="875"/>
      <c r="R30" s="875"/>
      <c r="S30" s="875"/>
      <c r="T30" s="875"/>
      <c r="U30" s="875"/>
      <c r="V30" s="875"/>
      <c r="W30" s="875"/>
      <c r="X30" s="875"/>
      <c r="Y30" s="875"/>
      <c r="Z30" s="875"/>
    </row>
    <row r="31" spans="1:26" ht="18.75">
      <c r="A31" s="876"/>
      <c r="B31" s="877"/>
      <c r="C31" s="877"/>
      <c r="D31" s="878" t="s">
        <v>20</v>
      </c>
      <c r="E31" s="877"/>
      <c r="F31" s="877"/>
      <c r="G31" s="879"/>
      <c r="H31" s="622" t="s">
        <v>12</v>
      </c>
      <c r="I31" s="880"/>
      <c r="J31" s="880"/>
      <c r="K31" s="881"/>
      <c r="L31" s="881">
        <f t="shared" ref="L31:N31" ca="1" si="20">L32+L33</f>
        <v>1699978</v>
      </c>
      <c r="M31" s="881">
        <f t="shared" ca="1" si="20"/>
        <v>1699978</v>
      </c>
      <c r="N31" s="881">
        <f t="shared" si="20"/>
        <v>359744.9</v>
      </c>
      <c r="O31" s="881">
        <f t="shared" ca="1" si="17"/>
        <v>21.161738563675531</v>
      </c>
      <c r="P31" s="881">
        <f t="shared" ca="1" si="18"/>
        <v>21.161738563675531</v>
      </c>
      <c r="Q31" s="868"/>
      <c r="R31" s="868"/>
      <c r="S31" s="868"/>
      <c r="T31" s="868"/>
      <c r="U31" s="868"/>
      <c r="V31" s="868"/>
      <c r="W31" s="868"/>
      <c r="X31" s="868"/>
      <c r="Y31" s="868"/>
      <c r="Z31" s="868"/>
    </row>
    <row r="32" spans="1:26" ht="18.75" hidden="1">
      <c r="A32" s="882"/>
      <c r="B32" s="883"/>
      <c r="C32" s="883"/>
      <c r="D32" s="883"/>
      <c r="E32" s="884" t="s">
        <v>18</v>
      </c>
      <c r="F32" s="883"/>
      <c r="G32" s="885"/>
      <c r="H32" s="43" t="s">
        <v>12</v>
      </c>
      <c r="I32" s="886"/>
      <c r="J32" s="886"/>
      <c r="K32" s="887"/>
      <c r="L32" s="887">
        <f t="shared" ref="L32:N33" si="21">L423+L448+L471+L506+L527+L548+L633+L659+L689+L741+L758+L774+L790+L809</f>
        <v>0</v>
      </c>
      <c r="M32" s="887">
        <f t="shared" si="21"/>
        <v>0</v>
      </c>
      <c r="N32" s="887">
        <f t="shared" si="21"/>
        <v>0</v>
      </c>
      <c r="O32" s="887">
        <f t="shared" si="17"/>
        <v>0</v>
      </c>
      <c r="P32" s="887">
        <f t="shared" si="18"/>
        <v>0</v>
      </c>
      <c r="Q32" s="875"/>
      <c r="R32" s="875"/>
      <c r="S32" s="875"/>
      <c r="T32" s="875"/>
      <c r="U32" s="875"/>
      <c r="V32" s="875"/>
      <c r="W32" s="875"/>
      <c r="X32" s="875"/>
      <c r="Y32" s="875"/>
      <c r="Z32" s="875"/>
    </row>
    <row r="33" spans="1:26" ht="18.75" hidden="1">
      <c r="A33" s="882"/>
      <c r="B33" s="883"/>
      <c r="C33" s="883"/>
      <c r="D33" s="883"/>
      <c r="E33" s="884" t="s">
        <v>19</v>
      </c>
      <c r="F33" s="883"/>
      <c r="G33" s="885"/>
      <c r="H33" s="43" t="s">
        <v>12</v>
      </c>
      <c r="I33" s="886"/>
      <c r="J33" s="886"/>
      <c r="K33" s="887"/>
      <c r="L33" s="887">
        <f t="shared" ca="1" si="21"/>
        <v>1699978</v>
      </c>
      <c r="M33" s="887">
        <f t="shared" ca="1" si="21"/>
        <v>1699978</v>
      </c>
      <c r="N33" s="887">
        <f t="shared" si="21"/>
        <v>359744.9</v>
      </c>
      <c r="O33" s="887">
        <f t="shared" ca="1" si="17"/>
        <v>21.161738563675531</v>
      </c>
      <c r="P33" s="887">
        <f t="shared" ca="1" si="18"/>
        <v>21.161738563675531</v>
      </c>
      <c r="Q33" s="875"/>
      <c r="R33" s="875"/>
      <c r="S33" s="875"/>
      <c r="T33" s="875"/>
      <c r="U33" s="875"/>
      <c r="V33" s="875"/>
      <c r="W33" s="875"/>
      <c r="X33" s="875"/>
      <c r="Y33" s="875"/>
      <c r="Z33" s="875"/>
    </row>
    <row r="34" spans="1:26" ht="18.75">
      <c r="A34" s="876"/>
      <c r="B34" s="877"/>
      <c r="C34" s="877"/>
      <c r="D34" s="878" t="s">
        <v>21</v>
      </c>
      <c r="E34" s="877"/>
      <c r="F34" s="877"/>
      <c r="G34" s="879"/>
      <c r="H34" s="622" t="s">
        <v>12</v>
      </c>
      <c r="I34" s="880"/>
      <c r="J34" s="880"/>
      <c r="K34" s="881"/>
      <c r="L34" s="881">
        <f t="shared" ref="L34:N34" ca="1" si="22">L35+L36</f>
        <v>0</v>
      </c>
      <c r="M34" s="881">
        <f t="shared" si="22"/>
        <v>0</v>
      </c>
      <c r="N34" s="881">
        <f t="shared" si="22"/>
        <v>0</v>
      </c>
      <c r="O34" s="881">
        <f t="shared" ca="1" si="17"/>
        <v>0</v>
      </c>
      <c r="P34" s="881">
        <f t="shared" si="18"/>
        <v>0</v>
      </c>
      <c r="Q34" s="868"/>
      <c r="R34" s="868"/>
      <c r="S34" s="868"/>
      <c r="T34" s="868"/>
      <c r="U34" s="868"/>
      <c r="V34" s="868"/>
      <c r="W34" s="868"/>
      <c r="X34" s="868"/>
      <c r="Y34" s="868"/>
      <c r="Z34" s="868"/>
    </row>
    <row r="35" spans="1:26" ht="18.75" hidden="1">
      <c r="A35" s="882"/>
      <c r="B35" s="883"/>
      <c r="C35" s="883"/>
      <c r="D35" s="883"/>
      <c r="E35" s="884" t="s">
        <v>18</v>
      </c>
      <c r="F35" s="883"/>
      <c r="G35" s="885"/>
      <c r="H35" s="43" t="s">
        <v>12</v>
      </c>
      <c r="I35" s="886"/>
      <c r="J35" s="886"/>
      <c r="K35" s="887"/>
      <c r="L35" s="887">
        <f t="shared" ref="L35:N36" si="23">L430+L455+L478+L513+L534+L556+L640+L666+L696+L748+L765+L781+L797+L816</f>
        <v>0</v>
      </c>
      <c r="M35" s="887">
        <f t="shared" si="23"/>
        <v>0</v>
      </c>
      <c r="N35" s="887">
        <f t="shared" si="23"/>
        <v>0</v>
      </c>
      <c r="O35" s="887">
        <f t="shared" si="17"/>
        <v>0</v>
      </c>
      <c r="P35" s="887">
        <f t="shared" si="18"/>
        <v>0</v>
      </c>
      <c r="Q35" s="875"/>
      <c r="R35" s="875"/>
      <c r="S35" s="875"/>
      <c r="T35" s="875"/>
      <c r="U35" s="875"/>
      <c r="V35" s="875"/>
      <c r="W35" s="875"/>
      <c r="X35" s="875"/>
      <c r="Y35" s="875"/>
      <c r="Z35" s="875"/>
    </row>
    <row r="36" spans="1:26" ht="18.75" hidden="1">
      <c r="A36" s="888"/>
      <c r="B36" s="889"/>
      <c r="C36" s="889"/>
      <c r="D36" s="889"/>
      <c r="E36" s="890" t="s">
        <v>19</v>
      </c>
      <c r="F36" s="889"/>
      <c r="G36" s="891"/>
      <c r="H36" s="50" t="s">
        <v>12</v>
      </c>
      <c r="I36" s="892"/>
      <c r="J36" s="892"/>
      <c r="K36" s="893"/>
      <c r="L36" s="893">
        <f t="shared" ca="1" si="23"/>
        <v>0</v>
      </c>
      <c r="M36" s="893">
        <f t="shared" si="23"/>
        <v>0</v>
      </c>
      <c r="N36" s="893">
        <f t="shared" si="23"/>
        <v>0</v>
      </c>
      <c r="O36" s="893">
        <f t="shared" ca="1" si="17"/>
        <v>0</v>
      </c>
      <c r="P36" s="893">
        <f t="shared" si="18"/>
        <v>0</v>
      </c>
      <c r="Q36" s="875"/>
      <c r="R36" s="875"/>
      <c r="S36" s="875"/>
      <c r="T36" s="875"/>
      <c r="U36" s="875"/>
      <c r="V36" s="875"/>
      <c r="W36" s="875"/>
      <c r="X36" s="875"/>
      <c r="Y36" s="875"/>
      <c r="Z36" s="875"/>
    </row>
    <row r="37" spans="1:26" ht="19.5">
      <c r="A37" s="894" t="s">
        <v>24</v>
      </c>
      <c r="B37" s="895"/>
      <c r="C37" s="895"/>
      <c r="D37" s="895"/>
      <c r="E37" s="895"/>
      <c r="F37" s="895"/>
      <c r="G37" s="896"/>
      <c r="H37" s="897"/>
      <c r="I37" s="898"/>
      <c r="J37" s="898"/>
      <c r="K37" s="899"/>
      <c r="L37" s="900">
        <f t="shared" ref="L37:N37" ca="1" si="24">L41+L53+L66+L88+L119+L132+L149+L165+L181+L261+L277+L298+L315+L328+L345+L389+L402</f>
        <v>2215590</v>
      </c>
      <c r="M37" s="900">
        <f t="shared" ca="1" si="24"/>
        <v>1772123</v>
      </c>
      <c r="N37" s="900">
        <f t="shared" ca="1" si="24"/>
        <v>1080733.42</v>
      </c>
      <c r="O37" s="1525">
        <f t="shared" ca="1" si="17"/>
        <v>48.778583582702574</v>
      </c>
      <c r="P37" s="1526">
        <f t="shared" ca="1" si="18"/>
        <v>60.98523748069406</v>
      </c>
    </row>
    <row r="38" spans="1:26" ht="19.5">
      <c r="A38" s="901" t="s">
        <v>25</v>
      </c>
      <c r="B38" s="902"/>
      <c r="C38" s="902"/>
      <c r="D38" s="902"/>
      <c r="E38" s="902"/>
      <c r="F38" s="902"/>
      <c r="G38" s="903"/>
      <c r="H38" s="904"/>
      <c r="I38" s="905"/>
      <c r="J38" s="905"/>
      <c r="K38" s="906"/>
      <c r="L38" s="906"/>
      <c r="M38" s="906"/>
      <c r="N38" s="906"/>
      <c r="O38" s="906"/>
      <c r="P38" s="906"/>
    </row>
    <row r="39" spans="1:26" ht="19.5">
      <c r="A39" s="907"/>
      <c r="B39" s="908" t="s">
        <v>26</v>
      </c>
      <c r="C39" s="909"/>
      <c r="D39" s="909"/>
      <c r="E39" s="909"/>
      <c r="F39" s="909"/>
      <c r="G39" s="910"/>
      <c r="H39" s="911"/>
      <c r="I39" s="912"/>
      <c r="J39" s="912"/>
      <c r="K39" s="913"/>
      <c r="L39" s="913"/>
      <c r="M39" s="913"/>
      <c r="N39" s="913"/>
      <c r="O39" s="913"/>
      <c r="P39" s="913"/>
    </row>
    <row r="40" spans="1:26" ht="19.5">
      <c r="A40" s="914"/>
      <c r="B40" s="915" t="s">
        <v>27</v>
      </c>
      <c r="C40" s="841"/>
      <c r="D40" s="841"/>
      <c r="E40" s="841"/>
      <c r="F40" s="841"/>
      <c r="G40" s="842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82" t="s">
        <v>12</v>
      </c>
      <c r="I41" s="924"/>
      <c r="J41" s="924"/>
      <c r="K41" s="925"/>
      <c r="L41" s="926">
        <f t="shared" ref="L41:N41" ca="1" si="25">L42+L43</f>
        <v>193600</v>
      </c>
      <c r="M41" s="926">
        <f t="shared" ca="1" si="25"/>
        <v>213398</v>
      </c>
      <c r="N41" s="926">
        <f t="shared" ca="1" si="25"/>
        <v>131994</v>
      </c>
      <c r="O41" s="926">
        <f t="shared" ref="O41:O49" ca="1" si="26">IF(L41&gt;0,N41*100/L41,0)</f>
        <v>68.178719008264466</v>
      </c>
      <c r="P41" s="926">
        <f t="shared" ref="P41:P49" ca="1" si="27">IF(M41&gt;0,N41*100/M41,0)</f>
        <v>61.853438176552736</v>
      </c>
      <c r="Q41" s="868"/>
      <c r="R41" s="868"/>
      <c r="S41" s="868"/>
      <c r="T41" s="868"/>
      <c r="U41" s="868"/>
      <c r="V41" s="868"/>
      <c r="W41" s="868"/>
      <c r="X41" s="868"/>
      <c r="Y41" s="868"/>
      <c r="Z41" s="868"/>
    </row>
    <row r="42" spans="1:26" ht="18.75" hidden="1">
      <c r="A42" s="927"/>
      <c r="B42" s="928"/>
      <c r="C42" s="928"/>
      <c r="D42" s="928"/>
      <c r="E42" s="929" t="s">
        <v>18</v>
      </c>
      <c r="F42" s="928"/>
      <c r="G42" s="930"/>
      <c r="H42" s="90" t="s">
        <v>12</v>
      </c>
      <c r="I42" s="931"/>
      <c r="J42" s="931"/>
      <c r="K42" s="932"/>
      <c r="L42" s="932">
        <f t="shared" ref="L42:N43" si="28">L45+L48</f>
        <v>0</v>
      </c>
      <c r="M42" s="932">
        <f t="shared" si="28"/>
        <v>0</v>
      </c>
      <c r="N42" s="932">
        <f t="shared" si="28"/>
        <v>0</v>
      </c>
      <c r="O42" s="932">
        <f t="shared" si="26"/>
        <v>0</v>
      </c>
      <c r="P42" s="932">
        <f t="shared" si="27"/>
        <v>0</v>
      </c>
      <c r="Q42" s="875"/>
      <c r="R42" s="875"/>
      <c r="S42" s="875"/>
      <c r="T42" s="875"/>
      <c r="U42" s="875"/>
      <c r="V42" s="875"/>
      <c r="W42" s="875"/>
      <c r="X42" s="875"/>
      <c r="Y42" s="875"/>
      <c r="Z42" s="875"/>
    </row>
    <row r="43" spans="1:26" ht="18.75" hidden="1">
      <c r="A43" s="927"/>
      <c r="B43" s="928"/>
      <c r="C43" s="928"/>
      <c r="D43" s="928"/>
      <c r="E43" s="929" t="s">
        <v>19</v>
      </c>
      <c r="F43" s="928"/>
      <c r="G43" s="930"/>
      <c r="H43" s="90" t="s">
        <v>12</v>
      </c>
      <c r="I43" s="931"/>
      <c r="J43" s="931"/>
      <c r="K43" s="932"/>
      <c r="L43" s="932">
        <f t="shared" ca="1" si="28"/>
        <v>193600</v>
      </c>
      <c r="M43" s="932">
        <f t="shared" ca="1" si="28"/>
        <v>213398</v>
      </c>
      <c r="N43" s="932">
        <f t="shared" ca="1" si="28"/>
        <v>131994</v>
      </c>
      <c r="O43" s="932">
        <f t="shared" ca="1" si="26"/>
        <v>68.178719008264466</v>
      </c>
      <c r="P43" s="932">
        <f t="shared" ca="1" si="27"/>
        <v>61.853438176552736</v>
      </c>
      <c r="Q43" s="875"/>
      <c r="R43" s="875"/>
      <c r="S43" s="875"/>
      <c r="T43" s="875"/>
      <c r="U43" s="875"/>
      <c r="V43" s="875"/>
      <c r="W43" s="875"/>
      <c r="X43" s="875"/>
      <c r="Y43" s="875"/>
      <c r="Z43" s="875"/>
    </row>
    <row r="44" spans="1:26" ht="18.75">
      <c r="A44" s="876"/>
      <c r="B44" s="877"/>
      <c r="C44" s="877"/>
      <c r="D44" s="878" t="s">
        <v>20</v>
      </c>
      <c r="E44" s="877"/>
      <c r="F44" s="877"/>
      <c r="G44" s="879"/>
      <c r="H44" s="622" t="s">
        <v>12</v>
      </c>
      <c r="I44" s="880"/>
      <c r="J44" s="880"/>
      <c r="K44" s="881"/>
      <c r="L44" s="881">
        <f t="shared" ref="L44:N44" ca="1" si="29">L45+L46</f>
        <v>193600</v>
      </c>
      <c r="M44" s="881">
        <f t="shared" ca="1" si="29"/>
        <v>213398</v>
      </c>
      <c r="N44" s="881">
        <f t="shared" ca="1" si="29"/>
        <v>131994</v>
      </c>
      <c r="O44" s="881">
        <f t="shared" ca="1" si="26"/>
        <v>68.178719008264466</v>
      </c>
      <c r="P44" s="881">
        <f t="shared" ca="1" si="27"/>
        <v>61.853438176552736</v>
      </c>
      <c r="Q44" s="868"/>
      <c r="R44" s="868"/>
      <c r="S44" s="868"/>
      <c r="T44" s="868"/>
      <c r="U44" s="868"/>
      <c r="V44" s="868"/>
      <c r="W44" s="868"/>
      <c r="X44" s="868"/>
      <c r="Y44" s="868"/>
      <c r="Z44" s="868"/>
    </row>
    <row r="45" spans="1:26" ht="18.75" hidden="1">
      <c r="A45" s="882"/>
      <c r="B45" s="883"/>
      <c r="C45" s="883"/>
      <c r="D45" s="883"/>
      <c r="E45" s="884" t="s">
        <v>18</v>
      </c>
      <c r="F45" s="883"/>
      <c r="G45" s="885"/>
      <c r="H45" s="43" t="s">
        <v>12</v>
      </c>
      <c r="I45" s="886"/>
      <c r="J45" s="886"/>
      <c r="K45" s="887"/>
      <c r="L45" s="887">
        <v>0</v>
      </c>
      <c r="M45" s="887">
        <v>0</v>
      </c>
      <c r="N45" s="887">
        <v>0</v>
      </c>
      <c r="O45" s="887">
        <f t="shared" si="26"/>
        <v>0</v>
      </c>
      <c r="P45" s="887">
        <f t="shared" si="27"/>
        <v>0</v>
      </c>
      <c r="Q45" s="875"/>
      <c r="R45" s="875"/>
      <c r="S45" s="875"/>
      <c r="T45" s="875"/>
      <c r="U45" s="875"/>
      <c r="V45" s="875"/>
      <c r="W45" s="875"/>
      <c r="X45" s="875"/>
      <c r="Y45" s="875"/>
      <c r="Z45" s="875"/>
    </row>
    <row r="46" spans="1:26" ht="18.75" hidden="1">
      <c r="A46" s="882"/>
      <c r="B46" s="883"/>
      <c r="C46" s="883"/>
      <c r="D46" s="883"/>
      <c r="E46" s="884" t="s">
        <v>19</v>
      </c>
      <c r="F46" s="883"/>
      <c r="G46" s="885"/>
      <c r="H46" s="43" t="s">
        <v>12</v>
      </c>
      <c r="I46" s="886"/>
      <c r="J46" s="886"/>
      <c r="K46" s="887"/>
      <c r="L46" s="887">
        <f ca="1">IFERROR(__xludf.DUMMYFUNCTION("IMPORTRANGE(""https://docs.google.com/spreadsheets/d/1MeEWN-I1oV_STSDYn1IFDPWt_1FKiwhDph83XaGc0o0/edit?usp=sharing"",""งบพรบ!M85"")"),193600)</f>
        <v>193600</v>
      </c>
      <c r="M46" s="887">
        <f ca="1">IFERROR(__xludf.DUMMYFUNCTION("IMPORTRANGE(""https://docs.google.com/spreadsheets/d/1MeEWN-I1oV_STSDYn1IFDPWt_1FKiwhDph83XaGc0o0/edit?usp=sharing"",""งบพรบ!R85"")"),213398)</f>
        <v>213398</v>
      </c>
      <c r="N46" s="887">
        <f ca="1">IFERROR(__xludf.DUMMYFUNCTION("IMPORTRANGE(""https://docs.google.com/spreadsheets/d/1MeEWN-I1oV_STSDYn1IFDPWt_1FKiwhDph83XaGc0o0/edit?usp=sharing"",""งบพรบ!T85"")"),131994)</f>
        <v>131994</v>
      </c>
      <c r="O46" s="887">
        <f t="shared" ca="1" si="26"/>
        <v>68.178719008264466</v>
      </c>
      <c r="P46" s="887">
        <f t="shared" ca="1" si="27"/>
        <v>61.853438176552736</v>
      </c>
      <c r="Q46" s="875"/>
      <c r="R46" s="875"/>
      <c r="S46" s="875"/>
      <c r="T46" s="875"/>
      <c r="U46" s="875"/>
      <c r="V46" s="875"/>
      <c r="W46" s="875"/>
      <c r="X46" s="875"/>
      <c r="Y46" s="875"/>
      <c r="Z46" s="875"/>
    </row>
    <row r="47" spans="1:26" ht="18.75">
      <c r="A47" s="876"/>
      <c r="B47" s="877"/>
      <c r="C47" s="877"/>
      <c r="D47" s="878" t="s">
        <v>21</v>
      </c>
      <c r="E47" s="877"/>
      <c r="F47" s="877"/>
      <c r="G47" s="879"/>
      <c r="H47" s="622" t="s">
        <v>12</v>
      </c>
      <c r="I47" s="880"/>
      <c r="J47" s="880"/>
      <c r="K47" s="881"/>
      <c r="L47" s="881">
        <f t="shared" ref="L47:N47" ca="1" si="30">L48+L49</f>
        <v>0</v>
      </c>
      <c r="M47" s="881">
        <f t="shared" ca="1" si="30"/>
        <v>0</v>
      </c>
      <c r="N47" s="881">
        <f t="shared" ca="1" si="30"/>
        <v>0</v>
      </c>
      <c r="O47" s="881">
        <f t="shared" ca="1" si="26"/>
        <v>0</v>
      </c>
      <c r="P47" s="881">
        <f t="shared" ca="1" si="27"/>
        <v>0</v>
      </c>
      <c r="Q47" s="868"/>
      <c r="R47" s="868"/>
      <c r="S47" s="868"/>
      <c r="T47" s="868"/>
      <c r="U47" s="868"/>
      <c r="V47" s="868"/>
      <c r="W47" s="868"/>
      <c r="X47" s="868"/>
      <c r="Y47" s="868"/>
      <c r="Z47" s="868"/>
    </row>
    <row r="48" spans="1:26" ht="18.75" hidden="1">
      <c r="A48" s="882"/>
      <c r="B48" s="883"/>
      <c r="C48" s="883"/>
      <c r="D48" s="883"/>
      <c r="E48" s="884" t="s">
        <v>18</v>
      </c>
      <c r="F48" s="883"/>
      <c r="G48" s="885"/>
      <c r="H48" s="43" t="s">
        <v>12</v>
      </c>
      <c r="I48" s="886"/>
      <c r="J48" s="886"/>
      <c r="K48" s="887"/>
      <c r="L48" s="887">
        <v>0</v>
      </c>
      <c r="M48" s="887">
        <v>0</v>
      </c>
      <c r="N48" s="887">
        <v>0</v>
      </c>
      <c r="O48" s="887">
        <f t="shared" si="26"/>
        <v>0</v>
      </c>
      <c r="P48" s="887">
        <f t="shared" si="27"/>
        <v>0</v>
      </c>
      <c r="Q48" s="875"/>
      <c r="R48" s="875"/>
      <c r="S48" s="875"/>
      <c r="T48" s="875"/>
      <c r="U48" s="875"/>
      <c r="V48" s="875"/>
      <c r="W48" s="875"/>
      <c r="X48" s="875"/>
      <c r="Y48" s="875"/>
      <c r="Z48" s="875"/>
    </row>
    <row r="49" spans="1:26" ht="18.75" hidden="1">
      <c r="A49" s="888"/>
      <c r="B49" s="889"/>
      <c r="C49" s="889"/>
      <c r="D49" s="889"/>
      <c r="E49" s="890" t="s">
        <v>19</v>
      </c>
      <c r="F49" s="889"/>
      <c r="G49" s="891"/>
      <c r="H49" s="50" t="s">
        <v>12</v>
      </c>
      <c r="I49" s="892"/>
      <c r="J49" s="892"/>
      <c r="K49" s="893"/>
      <c r="L49" s="893">
        <f ca="1">IFERROR(__xludf.DUMMYFUNCTION("IMPORTRANGE(""https://docs.google.com/spreadsheets/d/1MeEWN-I1oV_STSDYn1IFDPWt_1FKiwhDph83XaGc0o0/edit?usp=sharing"",""งบพรบ!P85"")"),0)</f>
        <v>0</v>
      </c>
      <c r="M49" s="893">
        <f ca="1">IFERROR(__xludf.DUMMYFUNCTION("IMPORTRANGE(""https://docs.google.com/spreadsheets/d/1MeEWN-I1oV_STSDYn1IFDPWt_1FKiwhDph83XaGc0o0/edit?usp=sharing"",""งบพรบ!S85"")"),0)</f>
        <v>0</v>
      </c>
      <c r="N49" s="893">
        <f ca="1">IFERROR(__xludf.DUMMYFUNCTION("IMPORTRANGE(""https://docs.google.com/spreadsheets/d/1MeEWN-I1oV_STSDYn1IFDPWt_1FKiwhDph83XaGc0o0/edit?usp=sharing"",""งบพรบ!U85"")"),0)</f>
        <v>0</v>
      </c>
      <c r="O49" s="893">
        <f t="shared" ca="1" si="26"/>
        <v>0</v>
      </c>
      <c r="P49" s="893">
        <f t="shared" ca="1" si="27"/>
        <v>0</v>
      </c>
      <c r="Q49" s="875"/>
      <c r="R49" s="875"/>
      <c r="S49" s="875"/>
      <c r="T49" s="875"/>
      <c r="U49" s="875"/>
      <c r="V49" s="875"/>
      <c r="W49" s="875"/>
      <c r="X49" s="875"/>
      <c r="Y49" s="875"/>
      <c r="Z49" s="875"/>
    </row>
    <row r="50" spans="1:26" ht="19.5">
      <c r="A50" s="933" t="s">
        <v>28</v>
      </c>
      <c r="B50" s="833"/>
      <c r="C50" s="833"/>
      <c r="D50" s="833"/>
      <c r="E50" s="833"/>
      <c r="F50" s="833"/>
      <c r="G50" s="831"/>
      <c r="H50" s="934"/>
      <c r="I50" s="935"/>
      <c r="J50" s="935"/>
      <c r="K50" s="936"/>
      <c r="L50" s="936"/>
      <c r="M50" s="936"/>
      <c r="N50" s="936"/>
      <c r="O50" s="936"/>
      <c r="P50" s="936"/>
    </row>
    <row r="51" spans="1:26" ht="19.5">
      <c r="A51" s="937"/>
      <c r="B51" s="938" t="s">
        <v>29</v>
      </c>
      <c r="C51" s="841"/>
      <c r="D51" s="841"/>
      <c r="E51" s="841"/>
      <c r="F51" s="841"/>
      <c r="G51" s="842"/>
      <c r="H51" s="939"/>
      <c r="I51" s="940"/>
      <c r="J51" s="940"/>
      <c r="K51" s="941"/>
      <c r="L51" s="941"/>
      <c r="M51" s="941"/>
      <c r="N51" s="941"/>
      <c r="O51" s="941"/>
      <c r="P51" s="941"/>
    </row>
    <row r="52" spans="1:26" ht="19.5">
      <c r="A52" s="942"/>
      <c r="B52" s="943" t="s">
        <v>30</v>
      </c>
      <c r="C52" s="944"/>
      <c r="D52" s="944"/>
      <c r="E52" s="944"/>
      <c r="F52" s="944"/>
      <c r="G52" s="945"/>
      <c r="H52" s="946"/>
      <c r="I52" s="947"/>
      <c r="J52" s="947"/>
      <c r="K52" s="948"/>
      <c r="L52" s="948"/>
      <c r="M52" s="948"/>
      <c r="N52" s="948"/>
      <c r="O52" s="948"/>
      <c r="P52" s="948"/>
    </row>
    <row r="53" spans="1:26" ht="19.5">
      <c r="A53" s="949"/>
      <c r="B53" s="950"/>
      <c r="C53" s="951" t="s">
        <v>16</v>
      </c>
      <c r="D53" s="952" t="s">
        <v>17</v>
      </c>
      <c r="E53" s="950"/>
      <c r="F53" s="950"/>
      <c r="G53" s="953"/>
      <c r="H53" s="113" t="s">
        <v>12</v>
      </c>
      <c r="I53" s="954"/>
      <c r="J53" s="954"/>
      <c r="K53" s="955"/>
      <c r="L53" s="956">
        <f t="shared" ref="L53:N53" ca="1" si="31">L54+L55</f>
        <v>640900</v>
      </c>
      <c r="M53" s="956">
        <f t="shared" ca="1" si="31"/>
        <v>485175</v>
      </c>
      <c r="N53" s="956">
        <f t="shared" ca="1" si="31"/>
        <v>333303.06</v>
      </c>
      <c r="O53" s="956">
        <f t="shared" ref="O53:O61" ca="1" si="32">IF(L53&gt;0,N53*100/L53,0)</f>
        <v>52.00547043220471</v>
      </c>
      <c r="P53" s="956">
        <f t="shared" ref="P53:P61" ca="1" si="33">IF(M53&gt;0,N53*100/M53,0)</f>
        <v>68.697492657288606</v>
      </c>
      <c r="Q53" s="868"/>
      <c r="R53" s="868"/>
      <c r="S53" s="868"/>
      <c r="T53" s="868"/>
      <c r="U53" s="868"/>
      <c r="V53" s="868"/>
      <c r="W53" s="868"/>
      <c r="X53" s="868"/>
      <c r="Y53" s="868"/>
      <c r="Z53" s="868"/>
    </row>
    <row r="54" spans="1:26" ht="18.75" hidden="1">
      <c r="A54" s="957"/>
      <c r="B54" s="958"/>
      <c r="C54" s="958"/>
      <c r="D54" s="958"/>
      <c r="E54" s="959" t="s">
        <v>18</v>
      </c>
      <c r="F54" s="958"/>
      <c r="G54" s="960"/>
      <c r="H54" s="121" t="s">
        <v>12</v>
      </c>
      <c r="I54" s="961"/>
      <c r="J54" s="961"/>
      <c r="K54" s="962"/>
      <c r="L54" s="962">
        <f t="shared" ref="L54:N55" si="34">L57+L60</f>
        <v>0</v>
      </c>
      <c r="M54" s="962">
        <f t="shared" si="34"/>
        <v>0</v>
      </c>
      <c r="N54" s="962">
        <f t="shared" si="34"/>
        <v>0</v>
      </c>
      <c r="O54" s="962">
        <f t="shared" si="32"/>
        <v>0</v>
      </c>
      <c r="P54" s="962">
        <f t="shared" si="33"/>
        <v>0</v>
      </c>
      <c r="Q54" s="875"/>
      <c r="R54" s="875"/>
      <c r="S54" s="875"/>
      <c r="T54" s="875"/>
      <c r="U54" s="875"/>
      <c r="V54" s="875"/>
      <c r="W54" s="875"/>
      <c r="X54" s="875"/>
      <c r="Y54" s="875"/>
      <c r="Z54" s="875"/>
    </row>
    <row r="55" spans="1:26" ht="18.75" hidden="1">
      <c r="A55" s="957"/>
      <c r="B55" s="958"/>
      <c r="C55" s="958"/>
      <c r="D55" s="958"/>
      <c r="E55" s="959" t="s">
        <v>19</v>
      </c>
      <c r="F55" s="958"/>
      <c r="G55" s="960"/>
      <c r="H55" s="121" t="s">
        <v>12</v>
      </c>
      <c r="I55" s="961"/>
      <c r="J55" s="961"/>
      <c r="K55" s="962"/>
      <c r="L55" s="962">
        <f t="shared" ca="1" si="34"/>
        <v>640900</v>
      </c>
      <c r="M55" s="962">
        <f t="shared" ca="1" si="34"/>
        <v>485175</v>
      </c>
      <c r="N55" s="962">
        <f t="shared" ca="1" si="34"/>
        <v>333303.06</v>
      </c>
      <c r="O55" s="962">
        <f t="shared" ca="1" si="32"/>
        <v>52.00547043220471</v>
      </c>
      <c r="P55" s="962">
        <f t="shared" ca="1" si="33"/>
        <v>68.697492657288606</v>
      </c>
      <c r="Q55" s="875"/>
      <c r="R55" s="875"/>
      <c r="S55" s="875"/>
      <c r="T55" s="875"/>
      <c r="U55" s="875"/>
      <c r="V55" s="875"/>
      <c r="W55" s="875"/>
      <c r="X55" s="875"/>
      <c r="Y55" s="875"/>
      <c r="Z55" s="875"/>
    </row>
    <row r="56" spans="1:26" ht="18.75">
      <c r="A56" s="876"/>
      <c r="B56" s="877"/>
      <c r="C56" s="877"/>
      <c r="D56" s="878" t="s">
        <v>20</v>
      </c>
      <c r="E56" s="877"/>
      <c r="F56" s="877"/>
      <c r="G56" s="879"/>
      <c r="H56" s="622" t="s">
        <v>12</v>
      </c>
      <c r="I56" s="880"/>
      <c r="J56" s="880"/>
      <c r="K56" s="881"/>
      <c r="L56" s="881">
        <f t="shared" ref="L56:N56" ca="1" si="35">L57+L58</f>
        <v>640900</v>
      </c>
      <c r="M56" s="881">
        <f t="shared" ca="1" si="35"/>
        <v>485175</v>
      </c>
      <c r="N56" s="881">
        <f t="shared" ca="1" si="35"/>
        <v>333303.06</v>
      </c>
      <c r="O56" s="881">
        <f t="shared" ca="1" si="32"/>
        <v>52.00547043220471</v>
      </c>
      <c r="P56" s="881">
        <f t="shared" ca="1" si="33"/>
        <v>68.697492657288606</v>
      </c>
      <c r="Q56" s="868"/>
      <c r="R56" s="868"/>
      <c r="S56" s="868"/>
      <c r="T56" s="868"/>
      <c r="U56" s="868"/>
      <c r="V56" s="868"/>
      <c r="W56" s="868"/>
      <c r="X56" s="868"/>
      <c r="Y56" s="868"/>
      <c r="Z56" s="868"/>
    </row>
    <row r="57" spans="1:26" ht="18.75" hidden="1">
      <c r="A57" s="882"/>
      <c r="B57" s="883"/>
      <c r="C57" s="883"/>
      <c r="D57" s="883"/>
      <c r="E57" s="884" t="s">
        <v>18</v>
      </c>
      <c r="F57" s="883"/>
      <c r="G57" s="885"/>
      <c r="H57" s="43" t="s">
        <v>12</v>
      </c>
      <c r="I57" s="886"/>
      <c r="J57" s="886"/>
      <c r="K57" s="887"/>
      <c r="L57" s="887">
        <v>0</v>
      </c>
      <c r="M57" s="887">
        <v>0</v>
      </c>
      <c r="N57" s="887">
        <v>0</v>
      </c>
      <c r="O57" s="887">
        <f t="shared" si="32"/>
        <v>0</v>
      </c>
      <c r="P57" s="887">
        <f t="shared" si="33"/>
        <v>0</v>
      </c>
      <c r="Q57" s="875"/>
      <c r="R57" s="875"/>
      <c r="S57" s="875"/>
      <c r="T57" s="875"/>
      <c r="U57" s="875"/>
      <c r="V57" s="875"/>
      <c r="W57" s="875"/>
      <c r="X57" s="875"/>
      <c r="Y57" s="875"/>
      <c r="Z57" s="875"/>
    </row>
    <row r="58" spans="1:26" ht="18.75" hidden="1">
      <c r="A58" s="882"/>
      <c r="B58" s="883"/>
      <c r="C58" s="883"/>
      <c r="D58" s="883"/>
      <c r="E58" s="884" t="s">
        <v>19</v>
      </c>
      <c r="F58" s="883"/>
      <c r="G58" s="885"/>
      <c r="H58" s="43" t="s">
        <v>12</v>
      </c>
      <c r="I58" s="886"/>
      <c r="J58" s="886"/>
      <c r="K58" s="887"/>
      <c r="L58" s="887">
        <f ca="1">IFERROR(__xludf.DUMMYFUNCTION("IMPORTRANGE(""https://docs.google.com/spreadsheets/d/1MeEWN-I1oV_STSDYn1IFDPWt_1FKiwhDph83XaGc0o0/edit?usp=sharing"",""งบพรบ!W85"")"),640900)</f>
        <v>640900</v>
      </c>
      <c r="M58" s="887">
        <f ca="1">IFERROR(__xludf.DUMMYFUNCTION("IMPORTRANGE(""https://docs.google.com/spreadsheets/d/1MeEWN-I1oV_STSDYn1IFDPWt_1FKiwhDph83XaGc0o0/edit?usp=sharing"",""งบพรบ!AB85"")"),485175)</f>
        <v>485175</v>
      </c>
      <c r="N58" s="887">
        <f ca="1">IFERROR(__xludf.DUMMYFUNCTION("IMPORTRANGE(""https://docs.google.com/spreadsheets/d/1MeEWN-I1oV_STSDYn1IFDPWt_1FKiwhDph83XaGc0o0/edit?usp=sharing"",""งบพรบ!AD85"")"),333303.06)</f>
        <v>333303.06</v>
      </c>
      <c r="O58" s="887">
        <f t="shared" ca="1" si="32"/>
        <v>52.00547043220471</v>
      </c>
      <c r="P58" s="887">
        <f t="shared" ca="1" si="33"/>
        <v>68.697492657288606</v>
      </c>
      <c r="Q58" s="875"/>
      <c r="R58" s="875"/>
      <c r="S58" s="875"/>
      <c r="T58" s="875"/>
      <c r="U58" s="875"/>
      <c r="V58" s="875"/>
      <c r="W58" s="875"/>
      <c r="X58" s="875"/>
      <c r="Y58" s="875"/>
      <c r="Z58" s="875"/>
    </row>
    <row r="59" spans="1:26" ht="18.75">
      <c r="A59" s="876"/>
      <c r="B59" s="877"/>
      <c r="C59" s="877"/>
      <c r="D59" s="878" t="s">
        <v>21</v>
      </c>
      <c r="E59" s="877"/>
      <c r="F59" s="877"/>
      <c r="G59" s="879"/>
      <c r="H59" s="622" t="s">
        <v>12</v>
      </c>
      <c r="I59" s="880"/>
      <c r="J59" s="880"/>
      <c r="K59" s="881"/>
      <c r="L59" s="881">
        <f t="shared" ref="L59:N59" ca="1" si="36">L60+L61</f>
        <v>0</v>
      </c>
      <c r="M59" s="881">
        <f t="shared" ca="1" si="36"/>
        <v>0</v>
      </c>
      <c r="N59" s="881">
        <f t="shared" ca="1" si="36"/>
        <v>0</v>
      </c>
      <c r="O59" s="881">
        <f t="shared" ca="1" si="32"/>
        <v>0</v>
      </c>
      <c r="P59" s="881">
        <f t="shared" ca="1" si="33"/>
        <v>0</v>
      </c>
      <c r="Q59" s="868"/>
      <c r="R59" s="868"/>
      <c r="S59" s="868"/>
      <c r="T59" s="868"/>
      <c r="U59" s="868"/>
      <c r="V59" s="868"/>
      <c r="W59" s="868"/>
      <c r="X59" s="868"/>
      <c r="Y59" s="868"/>
      <c r="Z59" s="868"/>
    </row>
    <row r="60" spans="1:26" ht="18.75" hidden="1">
      <c r="A60" s="882"/>
      <c r="B60" s="883"/>
      <c r="C60" s="883"/>
      <c r="D60" s="883"/>
      <c r="E60" s="884" t="s">
        <v>18</v>
      </c>
      <c r="F60" s="883"/>
      <c r="G60" s="885"/>
      <c r="H60" s="43" t="s">
        <v>12</v>
      </c>
      <c r="I60" s="886"/>
      <c r="J60" s="886"/>
      <c r="K60" s="887"/>
      <c r="L60" s="887">
        <v>0</v>
      </c>
      <c r="M60" s="887">
        <v>0</v>
      </c>
      <c r="N60" s="887">
        <v>0</v>
      </c>
      <c r="O60" s="887">
        <f t="shared" si="32"/>
        <v>0</v>
      </c>
      <c r="P60" s="887">
        <f t="shared" si="33"/>
        <v>0</v>
      </c>
      <c r="Q60" s="875"/>
      <c r="R60" s="875"/>
      <c r="S60" s="875"/>
      <c r="T60" s="875"/>
      <c r="U60" s="875"/>
      <c r="V60" s="875"/>
      <c r="W60" s="875"/>
      <c r="X60" s="875"/>
      <c r="Y60" s="875"/>
      <c r="Z60" s="875"/>
    </row>
    <row r="61" spans="1:26" ht="18.75" hidden="1">
      <c r="A61" s="888"/>
      <c r="B61" s="889"/>
      <c r="C61" s="889"/>
      <c r="D61" s="889"/>
      <c r="E61" s="890" t="s">
        <v>19</v>
      </c>
      <c r="F61" s="889"/>
      <c r="G61" s="891"/>
      <c r="H61" s="50" t="s">
        <v>12</v>
      </c>
      <c r="I61" s="892"/>
      <c r="J61" s="892"/>
      <c r="K61" s="893"/>
      <c r="L61" s="893">
        <f ca="1">IFERROR(__xludf.DUMMYFUNCTION("IMPORTRANGE(""https://docs.google.com/spreadsheets/d/1MeEWN-I1oV_STSDYn1IFDPWt_1FKiwhDph83XaGc0o0/edit?usp=sharing"",""งบพรบ!Z85"")"),0)</f>
        <v>0</v>
      </c>
      <c r="M61" s="893">
        <f ca="1">IFERROR(__xludf.DUMMYFUNCTION("IMPORTRANGE(""https://docs.google.com/spreadsheets/d/1MeEWN-I1oV_STSDYn1IFDPWt_1FKiwhDph83XaGc0o0/edit?usp=sharing"",""งบพรบ!AC85"")"),0)</f>
        <v>0</v>
      </c>
      <c r="N61" s="893">
        <f ca="1">IFERROR(__xludf.DUMMYFUNCTION("IMPORTRANGE(""https://docs.google.com/spreadsheets/d/1MeEWN-I1oV_STSDYn1IFDPWt_1FKiwhDph83XaGc0o0/edit?usp=sharing"",""งบพรบ!AE85"")"),0)</f>
        <v>0</v>
      </c>
      <c r="O61" s="893">
        <f t="shared" ca="1" si="32"/>
        <v>0</v>
      </c>
      <c r="P61" s="893">
        <f t="shared" ca="1" si="33"/>
        <v>0</v>
      </c>
      <c r="Q61" s="875"/>
      <c r="R61" s="875"/>
      <c r="S61" s="875"/>
      <c r="T61" s="875"/>
      <c r="U61" s="875"/>
      <c r="V61" s="875"/>
      <c r="W61" s="875"/>
      <c r="X61" s="875"/>
      <c r="Y61" s="875"/>
      <c r="Z61" s="875"/>
    </row>
    <row r="62" spans="1:26" ht="19.5">
      <c r="A62" s="963" t="s">
        <v>31</v>
      </c>
      <c r="B62" s="964"/>
      <c r="C62" s="964"/>
      <c r="D62" s="964"/>
      <c r="E62" s="965"/>
      <c r="F62" s="965"/>
      <c r="G62" s="966"/>
      <c r="H62" s="967"/>
      <c r="I62" s="968"/>
      <c r="J62" s="968"/>
      <c r="K62" s="969"/>
      <c r="L62" s="969"/>
      <c r="M62" s="969"/>
      <c r="N62" s="969"/>
      <c r="O62" s="969"/>
      <c r="P62" s="969"/>
    </row>
    <row r="63" spans="1:26" ht="19.5" hidden="1">
      <c r="A63" s="970" t="s">
        <v>32</v>
      </c>
      <c r="B63" s="971"/>
      <c r="C63" s="972"/>
      <c r="D63" s="971"/>
      <c r="E63" s="971"/>
      <c r="F63" s="971"/>
      <c r="G63" s="973"/>
      <c r="H63" s="974"/>
      <c r="I63" s="975"/>
      <c r="J63" s="975"/>
      <c r="K63" s="976"/>
      <c r="L63" s="976"/>
      <c r="M63" s="976"/>
      <c r="N63" s="976"/>
      <c r="O63" s="976"/>
      <c r="P63" s="976"/>
    </row>
    <row r="64" spans="1:26" ht="19.5" hidden="1">
      <c r="A64" s="977"/>
      <c r="B64" s="978" t="s">
        <v>33</v>
      </c>
      <c r="C64" s="979"/>
      <c r="D64" s="980"/>
      <c r="E64" s="979"/>
      <c r="F64" s="979"/>
      <c r="G64" s="981"/>
      <c r="H64" s="205" t="s">
        <v>34</v>
      </c>
      <c r="I64" s="982">
        <f t="shared" ref="I64:J65" ca="1" si="37">I76</f>
        <v>0</v>
      </c>
      <c r="J64" s="982">
        <f t="shared" si="37"/>
        <v>0</v>
      </c>
      <c r="K64" s="983">
        <f t="shared" ref="K64:K65" ca="1" si="38">IF(I64&gt;0,J64*100/I64,0)</f>
        <v>0</v>
      </c>
      <c r="L64" s="984"/>
      <c r="M64" s="984"/>
      <c r="N64" s="984"/>
      <c r="O64" s="984"/>
      <c r="P64" s="984"/>
    </row>
    <row r="65" spans="1:26" ht="19.5" hidden="1">
      <c r="A65" s="977"/>
      <c r="B65" s="979"/>
      <c r="C65" s="979"/>
      <c r="D65" s="980"/>
      <c r="E65" s="979"/>
      <c r="F65" s="979"/>
      <c r="G65" s="981"/>
      <c r="H65" s="205" t="s">
        <v>35</v>
      </c>
      <c r="I65" s="982">
        <f t="shared" ca="1" si="37"/>
        <v>0</v>
      </c>
      <c r="J65" s="982">
        <f t="shared" si="37"/>
        <v>0</v>
      </c>
      <c r="K65" s="983">
        <f t="shared" ca="1" si="38"/>
        <v>0</v>
      </c>
      <c r="L65" s="984"/>
      <c r="M65" s="984"/>
      <c r="N65" s="984"/>
      <c r="O65" s="984"/>
      <c r="P65" s="984"/>
    </row>
    <row r="66" spans="1:26" ht="19.5" hidden="1">
      <c r="A66" s="985"/>
      <c r="B66" s="986"/>
      <c r="C66" s="987" t="s">
        <v>16</v>
      </c>
      <c r="D66" s="988" t="s">
        <v>17</v>
      </c>
      <c r="E66" s="986"/>
      <c r="F66" s="986"/>
      <c r="G66" s="989"/>
      <c r="H66" s="152" t="s">
        <v>12</v>
      </c>
      <c r="I66" s="990"/>
      <c r="J66" s="990"/>
      <c r="K66" s="991"/>
      <c r="L66" s="992">
        <f t="shared" ref="L66:N66" ca="1" si="39">L67+L68</f>
        <v>0</v>
      </c>
      <c r="M66" s="992">
        <f t="shared" ca="1" si="39"/>
        <v>0</v>
      </c>
      <c r="N66" s="992">
        <f t="shared" ca="1" si="39"/>
        <v>0</v>
      </c>
      <c r="O66" s="992">
        <f t="shared" ref="O66:O74" ca="1" si="40">IF(L66&gt;0,N66*100/L66,0)</f>
        <v>0</v>
      </c>
      <c r="P66" s="992">
        <f t="shared" ref="P66:P74" ca="1" si="41">IF(M66&gt;0,N66*100/M66,0)</f>
        <v>0</v>
      </c>
      <c r="Q66" s="868"/>
      <c r="R66" s="868"/>
      <c r="S66" s="868"/>
      <c r="T66" s="868"/>
      <c r="U66" s="868"/>
      <c r="V66" s="868"/>
      <c r="W66" s="868"/>
      <c r="X66" s="868"/>
      <c r="Y66" s="868"/>
      <c r="Z66" s="868"/>
    </row>
    <row r="67" spans="1:26" ht="18.75" hidden="1">
      <c r="A67" s="993"/>
      <c r="B67" s="883"/>
      <c r="C67" s="883"/>
      <c r="D67" s="883"/>
      <c r="E67" s="884" t="s">
        <v>18</v>
      </c>
      <c r="F67" s="883"/>
      <c r="G67" s="994"/>
      <c r="H67" s="158" t="s">
        <v>12</v>
      </c>
      <c r="I67" s="886"/>
      <c r="J67" s="886"/>
      <c r="K67" s="887"/>
      <c r="L67" s="887">
        <f t="shared" ref="L67:N68" si="42">L70+L73</f>
        <v>0</v>
      </c>
      <c r="M67" s="887">
        <f t="shared" si="42"/>
        <v>0</v>
      </c>
      <c r="N67" s="887">
        <f t="shared" si="42"/>
        <v>0</v>
      </c>
      <c r="O67" s="887">
        <f t="shared" si="40"/>
        <v>0</v>
      </c>
      <c r="P67" s="887">
        <f t="shared" si="41"/>
        <v>0</v>
      </c>
      <c r="Q67" s="875"/>
      <c r="R67" s="875"/>
      <c r="S67" s="875"/>
      <c r="T67" s="875"/>
      <c r="U67" s="875"/>
      <c r="V67" s="875"/>
      <c r="W67" s="875"/>
      <c r="X67" s="875"/>
      <c r="Y67" s="875"/>
      <c r="Z67" s="875"/>
    </row>
    <row r="68" spans="1:26" ht="18.75" hidden="1">
      <c r="A68" s="993"/>
      <c r="B68" s="883"/>
      <c r="C68" s="883"/>
      <c r="D68" s="883"/>
      <c r="E68" s="884" t="s">
        <v>19</v>
      </c>
      <c r="F68" s="883"/>
      <c r="G68" s="994"/>
      <c r="H68" s="158" t="s">
        <v>12</v>
      </c>
      <c r="I68" s="886"/>
      <c r="J68" s="886"/>
      <c r="K68" s="887"/>
      <c r="L68" s="887">
        <f t="shared" ca="1" si="42"/>
        <v>0</v>
      </c>
      <c r="M68" s="887">
        <f t="shared" ca="1" si="42"/>
        <v>0</v>
      </c>
      <c r="N68" s="887">
        <f t="shared" ca="1" si="42"/>
        <v>0</v>
      </c>
      <c r="O68" s="887">
        <f t="shared" ca="1" si="40"/>
        <v>0</v>
      </c>
      <c r="P68" s="887">
        <f t="shared" ca="1" si="41"/>
        <v>0</v>
      </c>
      <c r="Q68" s="875"/>
      <c r="R68" s="875"/>
      <c r="S68" s="875"/>
      <c r="T68" s="875"/>
      <c r="U68" s="875"/>
      <c r="V68" s="875"/>
      <c r="W68" s="875"/>
      <c r="X68" s="875"/>
      <c r="Y68" s="875"/>
      <c r="Z68" s="875"/>
    </row>
    <row r="69" spans="1:26" ht="18.75" hidden="1">
      <c r="A69" s="995"/>
      <c r="B69" s="877"/>
      <c r="C69" s="996"/>
      <c r="D69" s="878" t="s">
        <v>20</v>
      </c>
      <c r="E69" s="877"/>
      <c r="F69" s="877"/>
      <c r="G69" s="879"/>
      <c r="H69" s="161" t="s">
        <v>12</v>
      </c>
      <c r="I69" s="997"/>
      <c r="J69" s="997"/>
      <c r="K69" s="998"/>
      <c r="L69" s="881">
        <f t="shared" ref="L69:N69" ca="1" si="43">L70+L71</f>
        <v>0</v>
      </c>
      <c r="M69" s="881">
        <f t="shared" ca="1" si="43"/>
        <v>0</v>
      </c>
      <c r="N69" s="881">
        <f t="shared" ca="1" si="43"/>
        <v>0</v>
      </c>
      <c r="O69" s="881">
        <f t="shared" ca="1" si="40"/>
        <v>0</v>
      </c>
      <c r="P69" s="881">
        <f t="shared" ca="1" si="41"/>
        <v>0</v>
      </c>
      <c r="Q69" s="868"/>
      <c r="R69" s="868"/>
      <c r="S69" s="868"/>
      <c r="T69" s="868"/>
      <c r="U69" s="868"/>
      <c r="V69" s="868"/>
      <c r="W69" s="868"/>
      <c r="X69" s="868"/>
      <c r="Y69" s="868"/>
      <c r="Z69" s="868"/>
    </row>
    <row r="70" spans="1:26" ht="19.5" hidden="1">
      <c r="A70" s="993"/>
      <c r="B70" s="883"/>
      <c r="C70" s="999"/>
      <c r="D70" s="883"/>
      <c r="E70" s="884" t="s">
        <v>36</v>
      </c>
      <c r="F70" s="883"/>
      <c r="G70" s="994"/>
      <c r="H70" s="165" t="s">
        <v>12</v>
      </c>
      <c r="I70" s="1000"/>
      <c r="J70" s="1000"/>
      <c r="K70" s="1001"/>
      <c r="L70" s="887">
        <v>0</v>
      </c>
      <c r="M70" s="887">
        <v>0</v>
      </c>
      <c r="N70" s="887">
        <v>0</v>
      </c>
      <c r="O70" s="887">
        <f t="shared" si="40"/>
        <v>0</v>
      </c>
      <c r="P70" s="887">
        <f t="shared" si="41"/>
        <v>0</v>
      </c>
      <c r="Q70" s="875"/>
      <c r="R70" s="875"/>
      <c r="S70" s="875"/>
      <c r="T70" s="875"/>
      <c r="U70" s="875"/>
      <c r="V70" s="875"/>
      <c r="W70" s="875"/>
      <c r="X70" s="875"/>
      <c r="Y70" s="875"/>
      <c r="Z70" s="875"/>
    </row>
    <row r="71" spans="1:26" ht="19.5" hidden="1">
      <c r="A71" s="993"/>
      <c r="B71" s="883"/>
      <c r="C71" s="999"/>
      <c r="D71" s="883"/>
      <c r="E71" s="884" t="s">
        <v>37</v>
      </c>
      <c r="F71" s="883"/>
      <c r="G71" s="994"/>
      <c r="H71" s="165" t="s">
        <v>12</v>
      </c>
      <c r="I71" s="1000"/>
      <c r="J71" s="1000"/>
      <c r="K71" s="1001"/>
      <c r="L71" s="887">
        <f ca="1">IFERROR(__xludf.DUMMYFUNCTION("IMPORTRANGE(""https://docs.google.com/spreadsheets/d/1MeEWN-I1oV_STSDYn1IFDPWt_1FKiwhDph83XaGc0o0/edit?usp=sharing"",""งบพรบ!AG85"")"),0)</f>
        <v>0</v>
      </c>
      <c r="M71" s="887">
        <f ca="1">IFERROR(__xludf.DUMMYFUNCTION("IMPORTRANGE(""https://docs.google.com/spreadsheets/d/1MeEWN-I1oV_STSDYn1IFDPWt_1FKiwhDph83XaGc0o0/edit?usp=sharing"",""งบพรบ!AL85"")"),0)</f>
        <v>0</v>
      </c>
      <c r="N71" s="887">
        <f ca="1">IFERROR(__xludf.DUMMYFUNCTION("IMPORTRANGE(""https://docs.google.com/spreadsheets/d/1MeEWN-I1oV_STSDYn1IFDPWt_1FKiwhDph83XaGc0o0/edit?usp=sharing"",""งบพรบ!AN85"")"),0)</f>
        <v>0</v>
      </c>
      <c r="O71" s="887">
        <f t="shared" ca="1" si="40"/>
        <v>0</v>
      </c>
      <c r="P71" s="887">
        <f t="shared" ca="1" si="41"/>
        <v>0</v>
      </c>
      <c r="Q71" s="875"/>
      <c r="R71" s="875"/>
      <c r="S71" s="875"/>
      <c r="T71" s="875"/>
      <c r="U71" s="875"/>
      <c r="V71" s="875"/>
      <c r="W71" s="875"/>
      <c r="X71" s="875"/>
      <c r="Y71" s="875"/>
      <c r="Z71" s="875"/>
    </row>
    <row r="72" spans="1:26" ht="18.75" hidden="1">
      <c r="A72" s="995"/>
      <c r="B72" s="877"/>
      <c r="C72" s="996"/>
      <c r="D72" s="878" t="s">
        <v>21</v>
      </c>
      <c r="E72" s="877"/>
      <c r="F72" s="877"/>
      <c r="G72" s="879"/>
      <c r="H72" s="168" t="s">
        <v>12</v>
      </c>
      <c r="I72" s="997"/>
      <c r="J72" s="997"/>
      <c r="K72" s="998"/>
      <c r="L72" s="881">
        <f t="shared" ref="L72:N72" ca="1" si="44">L73+L74</f>
        <v>0</v>
      </c>
      <c r="M72" s="881">
        <f t="shared" ca="1" si="44"/>
        <v>0</v>
      </c>
      <c r="N72" s="881">
        <f t="shared" ca="1" si="44"/>
        <v>0</v>
      </c>
      <c r="O72" s="881">
        <f t="shared" ca="1" si="40"/>
        <v>0</v>
      </c>
      <c r="P72" s="881">
        <f t="shared" ca="1" si="41"/>
        <v>0</v>
      </c>
      <c r="Q72" s="868"/>
      <c r="R72" s="868"/>
      <c r="S72" s="868"/>
      <c r="T72" s="868"/>
      <c r="U72" s="868"/>
      <c r="V72" s="868"/>
      <c r="W72" s="868"/>
      <c r="X72" s="868"/>
      <c r="Y72" s="868"/>
      <c r="Z72" s="868"/>
    </row>
    <row r="73" spans="1:26" ht="19.5" hidden="1">
      <c r="A73" s="993"/>
      <c r="B73" s="883"/>
      <c r="C73" s="999"/>
      <c r="D73" s="883"/>
      <c r="E73" s="884" t="s">
        <v>18</v>
      </c>
      <c r="F73" s="883"/>
      <c r="G73" s="994"/>
      <c r="H73" s="165" t="s">
        <v>12</v>
      </c>
      <c r="I73" s="1000"/>
      <c r="J73" s="1000"/>
      <c r="K73" s="1001"/>
      <c r="L73" s="887">
        <v>0</v>
      </c>
      <c r="M73" s="887"/>
      <c r="N73" s="887"/>
      <c r="O73" s="887">
        <f t="shared" si="40"/>
        <v>0</v>
      </c>
      <c r="P73" s="887">
        <f t="shared" si="41"/>
        <v>0</v>
      </c>
      <c r="Q73" s="875"/>
      <c r="R73" s="875"/>
      <c r="S73" s="875"/>
      <c r="T73" s="875"/>
      <c r="U73" s="875"/>
      <c r="V73" s="875"/>
      <c r="W73" s="875"/>
      <c r="X73" s="875"/>
      <c r="Y73" s="875"/>
      <c r="Z73" s="875"/>
    </row>
    <row r="74" spans="1:26" ht="19.5" hidden="1">
      <c r="A74" s="993"/>
      <c r="B74" s="883"/>
      <c r="C74" s="999"/>
      <c r="D74" s="883"/>
      <c r="E74" s="884" t="s">
        <v>19</v>
      </c>
      <c r="F74" s="883"/>
      <c r="G74" s="994"/>
      <c r="H74" s="169" t="s">
        <v>12</v>
      </c>
      <c r="I74" s="1000"/>
      <c r="J74" s="1000"/>
      <c r="K74" s="1001"/>
      <c r="L74" s="887">
        <f ca="1">IFERROR(__xludf.DUMMYFUNCTION("IMPORTRANGE(""https://docs.google.com/spreadsheets/d/1MeEWN-I1oV_STSDYn1IFDPWt_1FKiwhDph83XaGc0o0/edit?usp=sharing"",""งบพรบ!AJ85"")"),0)</f>
        <v>0</v>
      </c>
      <c r="M74" s="887">
        <f ca="1">IFERROR(__xludf.DUMMYFUNCTION("IMPORTRANGE(""https://docs.google.com/spreadsheets/d/1MeEWN-I1oV_STSDYn1IFDPWt_1FKiwhDph83XaGc0o0/edit?usp=sharing"",""งบพรบ!AM85"")"),0)</f>
        <v>0</v>
      </c>
      <c r="N74" s="887">
        <f ca="1">IFERROR(__xludf.DUMMYFUNCTION("IMPORTRANGE(""https://docs.google.com/spreadsheets/d/1MeEWN-I1oV_STSDYn1IFDPWt_1FKiwhDph83XaGc0o0/edit?usp=sharing"",""งบพรบ!AO85"")"),0)</f>
        <v>0</v>
      </c>
      <c r="O74" s="887">
        <f t="shared" ca="1" si="40"/>
        <v>0</v>
      </c>
      <c r="P74" s="887">
        <f t="shared" ca="1" si="41"/>
        <v>0</v>
      </c>
      <c r="Q74" s="875"/>
      <c r="R74" s="875"/>
      <c r="S74" s="875"/>
      <c r="T74" s="875"/>
      <c r="U74" s="875"/>
      <c r="V74" s="875"/>
      <c r="W74" s="875"/>
      <c r="X74" s="875"/>
      <c r="Y74" s="875"/>
      <c r="Z74" s="875"/>
    </row>
    <row r="75" spans="1:26" ht="19.5" hidden="1">
      <c r="A75" s="1002"/>
      <c r="B75" s="1003"/>
      <c r="C75" s="999" t="s">
        <v>16</v>
      </c>
      <c r="D75" s="1004" t="s">
        <v>38</v>
      </c>
      <c r="E75" s="1005"/>
      <c r="F75" s="1005"/>
      <c r="G75" s="1006"/>
      <c r="H75" s="1007"/>
      <c r="I75" s="997"/>
      <c r="J75" s="997"/>
      <c r="K75" s="998"/>
      <c r="L75" s="998"/>
      <c r="M75" s="998"/>
      <c r="N75" s="998"/>
      <c r="O75" s="998"/>
      <c r="P75" s="998"/>
    </row>
    <row r="76" spans="1:26" ht="19.5" hidden="1">
      <c r="A76" s="1002"/>
      <c r="B76" s="1003"/>
      <c r="C76" s="1003"/>
      <c r="D76" s="1008" t="s">
        <v>39</v>
      </c>
      <c r="E76" s="1009"/>
      <c r="F76" s="1010"/>
      <c r="G76" s="1011"/>
      <c r="H76" s="180" t="s">
        <v>34</v>
      </c>
      <c r="I76" s="880">
        <f t="shared" ref="I76:J77" ca="1" si="45">I78+I80+I82</f>
        <v>0</v>
      </c>
      <c r="J76" s="880">
        <f t="shared" si="45"/>
        <v>0</v>
      </c>
      <c r="K76" s="998">
        <f t="shared" ref="K76:K84" ca="1" si="46">IF(I76&gt;0,J76*100/I76,0)</f>
        <v>0</v>
      </c>
      <c r="L76" s="998"/>
      <c r="M76" s="998"/>
      <c r="N76" s="998"/>
      <c r="O76" s="998"/>
      <c r="P76" s="998"/>
    </row>
    <row r="77" spans="1:26" ht="19.5" hidden="1">
      <c r="A77" s="1002"/>
      <c r="B77" s="1003"/>
      <c r="C77" s="1003"/>
      <c r="D77" s="1003"/>
      <c r="E77" s="1010"/>
      <c r="F77" s="1010"/>
      <c r="G77" s="1011"/>
      <c r="H77" s="180" t="s">
        <v>35</v>
      </c>
      <c r="I77" s="880">
        <f t="shared" ca="1" si="45"/>
        <v>0</v>
      </c>
      <c r="J77" s="880">
        <f t="shared" si="45"/>
        <v>0</v>
      </c>
      <c r="K77" s="998">
        <f t="shared" ca="1" si="46"/>
        <v>0</v>
      </c>
      <c r="L77" s="998"/>
      <c r="M77" s="998"/>
      <c r="N77" s="998"/>
      <c r="O77" s="998"/>
      <c r="P77" s="998"/>
    </row>
    <row r="78" spans="1:26" ht="18.75" hidden="1">
      <c r="A78" s="1002"/>
      <c r="B78" s="1003"/>
      <c r="C78" s="1003"/>
      <c r="D78" s="1003"/>
      <c r="E78" s="1009" t="s">
        <v>40</v>
      </c>
      <c r="F78" s="1009"/>
      <c r="G78" s="1011"/>
      <c r="H78" s="762" t="s">
        <v>34</v>
      </c>
      <c r="I78" s="997">
        <f ca="1">IFERROR(__xludf.DUMMYFUNCTION("IMPORTRANGE(""https://docs.google.com/spreadsheets/d/1QqKyyYR6Q21VydFLVH3TRQUabQu_ym0Zz7PgGX0-kHA/edit?usp=sharing"",""แผน!H85"")"),0)</f>
        <v>0</v>
      </c>
      <c r="J78" s="1012">
        <v>0</v>
      </c>
      <c r="K78" s="998">
        <f t="shared" ca="1" si="46"/>
        <v>0</v>
      </c>
      <c r="L78" s="998"/>
      <c r="M78" s="998"/>
      <c r="N78" s="998"/>
      <c r="O78" s="998"/>
      <c r="P78" s="998"/>
    </row>
    <row r="79" spans="1:26" ht="18.75" hidden="1">
      <c r="A79" s="1002"/>
      <c r="B79" s="1003"/>
      <c r="C79" s="1003"/>
      <c r="D79" s="1003"/>
      <c r="E79" s="1010"/>
      <c r="F79" s="1010"/>
      <c r="G79" s="1011"/>
      <c r="H79" s="762" t="s">
        <v>35</v>
      </c>
      <c r="I79" s="997">
        <f ca="1">IFERROR(__xludf.DUMMYFUNCTION("IMPORTRANGE(""https://docs.google.com/spreadsheets/d/1QqKyyYR6Q21VydFLVH3TRQUabQu_ym0Zz7PgGX0-kHA/edit?usp=sharing"",""แผน!I85"")"),0)</f>
        <v>0</v>
      </c>
      <c r="J79" s="1012">
        <v>0</v>
      </c>
      <c r="K79" s="998">
        <f t="shared" ca="1" si="46"/>
        <v>0</v>
      </c>
      <c r="L79" s="998"/>
      <c r="M79" s="998"/>
      <c r="N79" s="998"/>
      <c r="O79" s="998"/>
      <c r="P79" s="998"/>
    </row>
    <row r="80" spans="1:26" ht="18.75" hidden="1">
      <c r="A80" s="1002"/>
      <c r="B80" s="1003"/>
      <c r="C80" s="1003"/>
      <c r="D80" s="1003"/>
      <c r="E80" s="1009" t="s">
        <v>41</v>
      </c>
      <c r="F80" s="1009"/>
      <c r="G80" s="1011"/>
      <c r="H80" s="762" t="s">
        <v>34</v>
      </c>
      <c r="I80" s="997">
        <f ca="1">IFERROR(__xludf.DUMMYFUNCTION("IMPORTRANGE(""https://docs.google.com/spreadsheets/d/1QqKyyYR6Q21VydFLVH3TRQUabQu_ym0Zz7PgGX0-kHA/edit?usp=sharing"",""แผน!F85"")"),0)</f>
        <v>0</v>
      </c>
      <c r="J80" s="1012">
        <v>0</v>
      </c>
      <c r="K80" s="998">
        <f t="shared" ca="1" si="46"/>
        <v>0</v>
      </c>
      <c r="L80" s="998"/>
      <c r="M80" s="998"/>
      <c r="N80" s="998"/>
      <c r="O80" s="998"/>
      <c r="P80" s="998"/>
    </row>
    <row r="81" spans="1:26" ht="18.75" hidden="1">
      <c r="A81" s="1002"/>
      <c r="B81" s="1003"/>
      <c r="C81" s="1003"/>
      <c r="D81" s="1003"/>
      <c r="E81" s="1010"/>
      <c r="F81" s="1010"/>
      <c r="G81" s="1011"/>
      <c r="H81" s="762" t="s">
        <v>35</v>
      </c>
      <c r="I81" s="997">
        <f ca="1">IFERROR(__xludf.DUMMYFUNCTION("IMPORTRANGE(""https://docs.google.com/spreadsheets/d/1QqKyyYR6Q21VydFLVH3TRQUabQu_ym0Zz7PgGX0-kHA/edit?usp=sharing"",""แผน!G85"")"),0)</f>
        <v>0</v>
      </c>
      <c r="J81" s="1012">
        <v>0</v>
      </c>
      <c r="K81" s="998">
        <f t="shared" ca="1" si="46"/>
        <v>0</v>
      </c>
      <c r="L81" s="998"/>
      <c r="M81" s="998"/>
      <c r="N81" s="998"/>
      <c r="O81" s="998"/>
      <c r="P81" s="998"/>
    </row>
    <row r="82" spans="1:26" ht="18.75" hidden="1">
      <c r="A82" s="1002"/>
      <c r="B82" s="1003"/>
      <c r="C82" s="1003"/>
      <c r="D82" s="1003"/>
      <c r="E82" s="1009" t="s">
        <v>42</v>
      </c>
      <c r="F82" s="1009"/>
      <c r="G82" s="1011"/>
      <c r="H82" s="762" t="s">
        <v>34</v>
      </c>
      <c r="I82" s="997">
        <f ca="1">IFERROR(__xludf.DUMMYFUNCTION("IMPORTRANGE(""https://docs.google.com/spreadsheets/d/1QqKyyYR6Q21VydFLVH3TRQUabQu_ym0Zz7PgGX0-kHA/edit?usp=sharing"",""แผน!D85"")"),0)</f>
        <v>0</v>
      </c>
      <c r="J82" s="1012">
        <v>0</v>
      </c>
      <c r="K82" s="998">
        <f t="shared" ca="1" si="46"/>
        <v>0</v>
      </c>
      <c r="L82" s="998"/>
      <c r="M82" s="998"/>
      <c r="N82" s="998"/>
      <c r="O82" s="998"/>
      <c r="P82" s="998"/>
    </row>
    <row r="83" spans="1:26" ht="18.75" hidden="1">
      <c r="A83" s="1002"/>
      <c r="B83" s="1003"/>
      <c r="C83" s="1003"/>
      <c r="D83" s="1003"/>
      <c r="E83" s="1010"/>
      <c r="F83" s="1010"/>
      <c r="G83" s="1011"/>
      <c r="H83" s="762" t="s">
        <v>35</v>
      </c>
      <c r="I83" s="997">
        <f ca="1">IFERROR(__xludf.DUMMYFUNCTION("IMPORTRANGE(""https://docs.google.com/spreadsheets/d/1QqKyyYR6Q21VydFLVH3TRQUabQu_ym0Zz7PgGX0-kHA/edit?usp=sharing"",""แผน!E85"")"),0)</f>
        <v>0</v>
      </c>
      <c r="J83" s="1012">
        <v>0</v>
      </c>
      <c r="K83" s="998">
        <f t="shared" ca="1" si="46"/>
        <v>0</v>
      </c>
      <c r="L83" s="998"/>
      <c r="M83" s="998"/>
      <c r="N83" s="998"/>
      <c r="O83" s="998"/>
      <c r="P83" s="998"/>
    </row>
    <row r="84" spans="1:26" ht="18.75" hidden="1">
      <c r="A84" s="1002"/>
      <c r="B84" s="1003"/>
      <c r="C84" s="1003"/>
      <c r="D84" s="1008" t="s">
        <v>43</v>
      </c>
      <c r="E84" s="1009"/>
      <c r="F84" s="1010"/>
      <c r="G84" s="1011"/>
      <c r="H84" s="185" t="s">
        <v>34</v>
      </c>
      <c r="I84" s="997">
        <f ca="1">IFERROR(__xludf.DUMMYFUNCTION("IMPORTRANGE(""https://docs.google.com/spreadsheets/d/1QqKyyYR6Q21VydFLVH3TRQUabQu_ym0Zz7PgGX0-kHA/edit?usp=sharing"",""แผน!J85"")"),0)</f>
        <v>0</v>
      </c>
      <c r="J84" s="1012">
        <v>0</v>
      </c>
      <c r="K84" s="998">
        <f t="shared" ca="1" si="46"/>
        <v>0</v>
      </c>
      <c r="L84" s="998"/>
      <c r="M84" s="998"/>
      <c r="N84" s="998"/>
      <c r="O84" s="998"/>
      <c r="P84" s="998"/>
    </row>
    <row r="85" spans="1:26" ht="19.5">
      <c r="A85" s="970" t="s">
        <v>44</v>
      </c>
      <c r="B85" s="971"/>
      <c r="C85" s="972"/>
      <c r="D85" s="971"/>
      <c r="E85" s="971"/>
      <c r="F85" s="971"/>
      <c r="G85" s="973"/>
      <c r="H85" s="974"/>
      <c r="I85" s="975"/>
      <c r="J85" s="975"/>
      <c r="K85" s="976"/>
      <c r="L85" s="976"/>
      <c r="M85" s="976"/>
      <c r="N85" s="976"/>
      <c r="O85" s="976"/>
      <c r="P85" s="976"/>
    </row>
    <row r="86" spans="1:26" ht="19.5">
      <c r="A86" s="977"/>
      <c r="B86" s="978" t="s">
        <v>45</v>
      </c>
      <c r="C86" s="979"/>
      <c r="D86" s="980"/>
      <c r="E86" s="979"/>
      <c r="F86" s="979"/>
      <c r="G86" s="981"/>
      <c r="H86" s="205" t="s">
        <v>46</v>
      </c>
      <c r="I86" s="982">
        <f t="shared" ref="I86:J87" ca="1" si="47">I98</f>
        <v>30</v>
      </c>
      <c r="J86" s="982">
        <f t="shared" si="47"/>
        <v>30</v>
      </c>
      <c r="K86" s="983">
        <f t="shared" ref="K86:K87" ca="1" si="48">IF(I86&gt;0,J86*100/I86,0)</f>
        <v>100</v>
      </c>
      <c r="L86" s="984"/>
      <c r="M86" s="984"/>
      <c r="N86" s="984"/>
      <c r="O86" s="984"/>
      <c r="P86" s="984"/>
    </row>
    <row r="87" spans="1:26" ht="19.5">
      <c r="A87" s="977"/>
      <c r="B87" s="979"/>
      <c r="C87" s="979"/>
      <c r="D87" s="980"/>
      <c r="E87" s="979"/>
      <c r="F87" s="979"/>
      <c r="G87" s="981"/>
      <c r="H87" s="205" t="s">
        <v>35</v>
      </c>
      <c r="I87" s="982">
        <f t="shared" ca="1" si="47"/>
        <v>10</v>
      </c>
      <c r="J87" s="982">
        <f t="shared" si="47"/>
        <v>10</v>
      </c>
      <c r="K87" s="983">
        <f t="shared" ca="1" si="48"/>
        <v>100</v>
      </c>
      <c r="L87" s="984"/>
      <c r="M87" s="984"/>
      <c r="N87" s="984"/>
      <c r="O87" s="984"/>
      <c r="P87" s="984"/>
    </row>
    <row r="88" spans="1:26" ht="19.5">
      <c r="A88" s="985"/>
      <c r="B88" s="986"/>
      <c r="C88" s="987" t="s">
        <v>16</v>
      </c>
      <c r="D88" s="988" t="s">
        <v>17</v>
      </c>
      <c r="E88" s="986"/>
      <c r="F88" s="986"/>
      <c r="G88" s="989"/>
      <c r="H88" s="152" t="s">
        <v>12</v>
      </c>
      <c r="I88" s="990"/>
      <c r="J88" s="990"/>
      <c r="K88" s="991"/>
      <c r="L88" s="992">
        <f t="shared" ref="L88:N88" ca="1" si="49">L89+L90</f>
        <v>376140</v>
      </c>
      <c r="M88" s="992">
        <f t="shared" ca="1" si="49"/>
        <v>296890</v>
      </c>
      <c r="N88" s="992">
        <f t="shared" ca="1" si="49"/>
        <v>148639</v>
      </c>
      <c r="O88" s="992">
        <f t="shared" ref="O88:O96" ca="1" si="50">IF(L88&gt;0,N88*100/L88,0)</f>
        <v>39.516935183708192</v>
      </c>
      <c r="P88" s="992">
        <f t="shared" ref="P88:P96" ca="1" si="51">IF(M88&gt;0,N88*100/M88,0)</f>
        <v>50.0653440668261</v>
      </c>
      <c r="Q88" s="868"/>
      <c r="R88" s="868"/>
      <c r="S88" s="868"/>
      <c r="T88" s="868"/>
      <c r="U88" s="868"/>
      <c r="V88" s="868"/>
      <c r="W88" s="868"/>
      <c r="X88" s="868"/>
      <c r="Y88" s="868"/>
      <c r="Z88" s="868"/>
    </row>
    <row r="89" spans="1:26" ht="18.75" hidden="1">
      <c r="A89" s="993"/>
      <c r="B89" s="883"/>
      <c r="C89" s="883"/>
      <c r="D89" s="883"/>
      <c r="E89" s="884" t="s">
        <v>18</v>
      </c>
      <c r="F89" s="883"/>
      <c r="G89" s="994"/>
      <c r="H89" s="158" t="s">
        <v>12</v>
      </c>
      <c r="I89" s="886"/>
      <c r="J89" s="886"/>
      <c r="K89" s="887"/>
      <c r="L89" s="887">
        <f t="shared" ref="L89:N90" si="52">L92+L95</f>
        <v>0</v>
      </c>
      <c r="M89" s="887">
        <f t="shared" si="52"/>
        <v>0</v>
      </c>
      <c r="N89" s="887">
        <f t="shared" si="52"/>
        <v>0</v>
      </c>
      <c r="O89" s="887">
        <f t="shared" si="50"/>
        <v>0</v>
      </c>
      <c r="P89" s="887">
        <f t="shared" si="51"/>
        <v>0</v>
      </c>
      <c r="Q89" s="875"/>
      <c r="R89" s="875"/>
      <c r="S89" s="875"/>
      <c r="T89" s="875"/>
      <c r="U89" s="875"/>
      <c r="V89" s="875"/>
      <c r="W89" s="875"/>
      <c r="X89" s="875"/>
      <c r="Y89" s="875"/>
      <c r="Z89" s="875"/>
    </row>
    <row r="90" spans="1:26" ht="18.75" hidden="1">
      <c r="A90" s="993"/>
      <c r="B90" s="883"/>
      <c r="C90" s="883"/>
      <c r="D90" s="883"/>
      <c r="E90" s="884" t="s">
        <v>19</v>
      </c>
      <c r="F90" s="883"/>
      <c r="G90" s="994"/>
      <c r="H90" s="158" t="s">
        <v>12</v>
      </c>
      <c r="I90" s="886"/>
      <c r="J90" s="886"/>
      <c r="K90" s="887"/>
      <c r="L90" s="887">
        <f t="shared" ca="1" si="52"/>
        <v>376140</v>
      </c>
      <c r="M90" s="887">
        <f t="shared" ca="1" si="52"/>
        <v>296890</v>
      </c>
      <c r="N90" s="887">
        <f t="shared" ca="1" si="52"/>
        <v>148639</v>
      </c>
      <c r="O90" s="887">
        <f t="shared" ca="1" si="50"/>
        <v>39.516935183708192</v>
      </c>
      <c r="P90" s="887">
        <f t="shared" ca="1" si="51"/>
        <v>50.0653440668261</v>
      </c>
      <c r="Q90" s="875"/>
      <c r="R90" s="875"/>
      <c r="S90" s="875"/>
      <c r="T90" s="875"/>
      <c r="U90" s="875"/>
      <c r="V90" s="875"/>
      <c r="W90" s="875"/>
      <c r="X90" s="875"/>
      <c r="Y90" s="875"/>
      <c r="Z90" s="875"/>
    </row>
    <row r="91" spans="1:26" ht="18.75">
      <c r="A91" s="995"/>
      <c r="B91" s="877"/>
      <c r="C91" s="996"/>
      <c r="D91" s="878" t="s">
        <v>20</v>
      </c>
      <c r="E91" s="877"/>
      <c r="F91" s="877"/>
      <c r="G91" s="879"/>
      <c r="H91" s="161" t="s">
        <v>12</v>
      </c>
      <c r="I91" s="997"/>
      <c r="J91" s="997"/>
      <c r="K91" s="998"/>
      <c r="L91" s="881">
        <f t="shared" ref="L91:N91" ca="1" si="53">L92+L93</f>
        <v>376140</v>
      </c>
      <c r="M91" s="881">
        <f t="shared" ca="1" si="53"/>
        <v>296890</v>
      </c>
      <c r="N91" s="881">
        <f t="shared" ca="1" si="53"/>
        <v>148639</v>
      </c>
      <c r="O91" s="881">
        <f t="shared" ca="1" si="50"/>
        <v>39.516935183708192</v>
      </c>
      <c r="P91" s="881">
        <f t="shared" ca="1" si="51"/>
        <v>50.0653440668261</v>
      </c>
      <c r="Q91" s="868"/>
      <c r="R91" s="868"/>
      <c r="S91" s="868"/>
      <c r="T91" s="868"/>
      <c r="U91" s="868"/>
      <c r="V91" s="868"/>
      <c r="W91" s="868"/>
      <c r="X91" s="868"/>
      <c r="Y91" s="868"/>
      <c r="Z91" s="868"/>
    </row>
    <row r="92" spans="1:26" ht="19.5" hidden="1">
      <c r="A92" s="993"/>
      <c r="B92" s="883"/>
      <c r="C92" s="999"/>
      <c r="D92" s="883"/>
      <c r="E92" s="884" t="s">
        <v>36</v>
      </c>
      <c r="F92" s="883"/>
      <c r="G92" s="994"/>
      <c r="H92" s="165" t="s">
        <v>12</v>
      </c>
      <c r="I92" s="1000"/>
      <c r="J92" s="1000"/>
      <c r="K92" s="1001"/>
      <c r="L92" s="887">
        <v>0</v>
      </c>
      <c r="M92" s="887">
        <v>0</v>
      </c>
      <c r="N92" s="887">
        <v>0</v>
      </c>
      <c r="O92" s="887">
        <f t="shared" si="50"/>
        <v>0</v>
      </c>
      <c r="P92" s="887">
        <f t="shared" si="51"/>
        <v>0</v>
      </c>
      <c r="Q92" s="875"/>
      <c r="R92" s="875"/>
      <c r="S92" s="875"/>
      <c r="T92" s="875"/>
      <c r="U92" s="875"/>
      <c r="V92" s="875"/>
      <c r="W92" s="875"/>
      <c r="X92" s="875"/>
      <c r="Y92" s="875"/>
      <c r="Z92" s="875"/>
    </row>
    <row r="93" spans="1:26" ht="19.5" hidden="1">
      <c r="A93" s="993"/>
      <c r="B93" s="883"/>
      <c r="C93" s="999"/>
      <c r="D93" s="883"/>
      <c r="E93" s="884" t="s">
        <v>37</v>
      </c>
      <c r="F93" s="883"/>
      <c r="G93" s="994"/>
      <c r="H93" s="165" t="s">
        <v>12</v>
      </c>
      <c r="I93" s="1000"/>
      <c r="J93" s="1000"/>
      <c r="K93" s="1001"/>
      <c r="L93" s="887">
        <f ca="1">IFERROR(__xludf.DUMMYFUNCTION("IMPORTRANGE(""https://docs.google.com/spreadsheets/d/1MeEWN-I1oV_STSDYn1IFDPWt_1FKiwhDph83XaGc0o0/edit?usp=sharing"",""งบพรบ!AQ85"")"),376140)</f>
        <v>376140</v>
      </c>
      <c r="M93" s="887">
        <f ca="1">IFERROR(__xludf.DUMMYFUNCTION("IMPORTRANGE(""https://docs.google.com/spreadsheets/d/1MeEWN-I1oV_STSDYn1IFDPWt_1FKiwhDph83XaGc0o0/edit?usp=sharing"",""งบพรบ!AV85"")"),296890)</f>
        <v>296890</v>
      </c>
      <c r="N93" s="887">
        <f ca="1">IFERROR(__xludf.DUMMYFUNCTION("IMPORTRANGE(""https://docs.google.com/spreadsheets/d/1MeEWN-I1oV_STSDYn1IFDPWt_1FKiwhDph83XaGc0o0/edit?usp=sharing"",""งบพรบ!AX85"")"),148639)</f>
        <v>148639</v>
      </c>
      <c r="O93" s="887">
        <f t="shared" ca="1" si="50"/>
        <v>39.516935183708192</v>
      </c>
      <c r="P93" s="887">
        <f t="shared" ca="1" si="51"/>
        <v>50.0653440668261</v>
      </c>
      <c r="Q93" s="875"/>
      <c r="R93" s="875"/>
      <c r="S93" s="875"/>
      <c r="T93" s="875"/>
      <c r="U93" s="875"/>
      <c r="V93" s="875"/>
      <c r="W93" s="875"/>
      <c r="X93" s="875"/>
      <c r="Y93" s="875"/>
      <c r="Z93" s="875"/>
    </row>
    <row r="94" spans="1:26" ht="18.75">
      <c r="A94" s="995"/>
      <c r="B94" s="877"/>
      <c r="C94" s="996"/>
      <c r="D94" s="878" t="s">
        <v>21</v>
      </c>
      <c r="E94" s="877"/>
      <c r="F94" s="877"/>
      <c r="G94" s="879"/>
      <c r="H94" s="168" t="s">
        <v>12</v>
      </c>
      <c r="I94" s="997"/>
      <c r="J94" s="997"/>
      <c r="K94" s="998"/>
      <c r="L94" s="881">
        <f t="shared" ref="L94:N94" ca="1" si="54">L95+L96</f>
        <v>0</v>
      </c>
      <c r="M94" s="881">
        <f t="shared" ca="1" si="54"/>
        <v>0</v>
      </c>
      <c r="N94" s="881">
        <f t="shared" ca="1" si="54"/>
        <v>0</v>
      </c>
      <c r="O94" s="881">
        <f t="shared" ca="1" si="50"/>
        <v>0</v>
      </c>
      <c r="P94" s="881">
        <f t="shared" ca="1" si="51"/>
        <v>0</v>
      </c>
      <c r="Q94" s="868"/>
      <c r="R94" s="868"/>
      <c r="S94" s="868"/>
      <c r="T94" s="868"/>
      <c r="U94" s="868"/>
      <c r="V94" s="868"/>
      <c r="W94" s="868"/>
      <c r="X94" s="868"/>
      <c r="Y94" s="868"/>
      <c r="Z94" s="868"/>
    </row>
    <row r="95" spans="1:26" ht="19.5" hidden="1">
      <c r="A95" s="993"/>
      <c r="B95" s="883"/>
      <c r="C95" s="999"/>
      <c r="D95" s="883"/>
      <c r="E95" s="884" t="s">
        <v>18</v>
      </c>
      <c r="F95" s="883"/>
      <c r="G95" s="994"/>
      <c r="H95" s="165" t="s">
        <v>12</v>
      </c>
      <c r="I95" s="1000"/>
      <c r="J95" s="1000"/>
      <c r="K95" s="1001"/>
      <c r="L95" s="887">
        <v>0</v>
      </c>
      <c r="M95" s="887">
        <v>0</v>
      </c>
      <c r="N95" s="887">
        <v>0</v>
      </c>
      <c r="O95" s="887">
        <f t="shared" si="50"/>
        <v>0</v>
      </c>
      <c r="P95" s="887">
        <f t="shared" si="51"/>
        <v>0</v>
      </c>
      <c r="Q95" s="875"/>
      <c r="R95" s="875"/>
      <c r="S95" s="875"/>
      <c r="T95" s="875"/>
      <c r="U95" s="875"/>
      <c r="V95" s="875"/>
      <c r="W95" s="875"/>
      <c r="X95" s="875"/>
      <c r="Y95" s="875"/>
      <c r="Z95" s="875"/>
    </row>
    <row r="96" spans="1:26" ht="19.5" hidden="1">
      <c r="A96" s="993"/>
      <c r="B96" s="883"/>
      <c r="C96" s="999"/>
      <c r="D96" s="883"/>
      <c r="E96" s="884" t="s">
        <v>19</v>
      </c>
      <c r="F96" s="883"/>
      <c r="G96" s="994"/>
      <c r="H96" s="169" t="s">
        <v>12</v>
      </c>
      <c r="I96" s="1000"/>
      <c r="J96" s="1000"/>
      <c r="K96" s="1001"/>
      <c r="L96" s="887">
        <f ca="1">IFERROR(__xludf.DUMMYFUNCTION("IMPORTRANGE(""https://docs.google.com/spreadsheets/d/1MeEWN-I1oV_STSDYn1IFDPWt_1FKiwhDph83XaGc0o0/edit?usp=sharing"",""งบพรบ!AT85"")"),0)</f>
        <v>0</v>
      </c>
      <c r="M96" s="887">
        <f ca="1">IFERROR(__xludf.DUMMYFUNCTION("IMPORTRANGE(""https://docs.google.com/spreadsheets/d/1MeEWN-I1oV_STSDYn1IFDPWt_1FKiwhDph83XaGc0o0/edit?usp=sharing"",""งบพรบ!AW85"")"),0)</f>
        <v>0</v>
      </c>
      <c r="N96" s="887">
        <f ca="1">IFERROR(__xludf.DUMMYFUNCTION("IMPORTRANGE(""https://docs.google.com/spreadsheets/d/1MeEWN-I1oV_STSDYn1IFDPWt_1FKiwhDph83XaGc0o0/edit?usp=sharing"",""งบพรบ!AY85"")"),0)</f>
        <v>0</v>
      </c>
      <c r="O96" s="887">
        <f t="shared" ca="1" si="50"/>
        <v>0</v>
      </c>
      <c r="P96" s="887">
        <f t="shared" ca="1" si="51"/>
        <v>0</v>
      </c>
      <c r="Q96" s="875"/>
      <c r="R96" s="875"/>
      <c r="S96" s="875"/>
      <c r="T96" s="875"/>
      <c r="U96" s="875"/>
      <c r="V96" s="875"/>
      <c r="W96" s="875"/>
      <c r="X96" s="875"/>
      <c r="Y96" s="875"/>
      <c r="Z96" s="875"/>
    </row>
    <row r="97" spans="1:16" ht="19.5">
      <c r="A97" s="1002"/>
      <c r="B97" s="1003"/>
      <c r="C97" s="999" t="s">
        <v>16</v>
      </c>
      <c r="D97" s="1004" t="s">
        <v>38</v>
      </c>
      <c r="E97" s="1005"/>
      <c r="F97" s="1005"/>
      <c r="G97" s="1006"/>
      <c r="H97" s="1007"/>
      <c r="I97" s="997"/>
      <c r="J97" s="880"/>
      <c r="K97" s="881"/>
      <c r="L97" s="881"/>
      <c r="M97" s="881"/>
      <c r="N97" s="881"/>
      <c r="O97" s="998"/>
      <c r="P97" s="998"/>
    </row>
    <row r="98" spans="1:16" ht="18.75">
      <c r="A98" s="1002"/>
      <c r="B98" s="1003"/>
      <c r="C98" s="1003"/>
      <c r="D98" s="1009" t="s">
        <v>47</v>
      </c>
      <c r="E98" s="1009"/>
      <c r="F98" s="1010"/>
      <c r="G98" s="1011"/>
      <c r="H98" s="622" t="s">
        <v>46</v>
      </c>
      <c r="I98" s="880">
        <f ca="1">IFERROR(__xludf.DUMMYFUNCTION("IMPORTRANGE(""https://docs.google.com/spreadsheets/d/1QqKyyYR6Q21VydFLVH3TRQUabQu_ym0Zz7PgGX0-kHA/edit?usp=sharing"",""แผน!K85"")"),30)</f>
        <v>30</v>
      </c>
      <c r="J98" s="880">
        <f>J102</f>
        <v>30</v>
      </c>
      <c r="K98" s="881">
        <f t="shared" ref="K98:K100" ca="1" si="55">IF(I98&gt;0,J98*100/I98,0)</f>
        <v>100</v>
      </c>
      <c r="L98" s="881"/>
      <c r="M98" s="881"/>
      <c r="N98" s="881"/>
      <c r="O98" s="998"/>
      <c r="P98" s="998"/>
    </row>
    <row r="99" spans="1:16" ht="18.75">
      <c r="A99" s="1002"/>
      <c r="B99" s="1003"/>
      <c r="C99" s="1003"/>
      <c r="D99" s="1009" t="s">
        <v>48</v>
      </c>
      <c r="E99" s="1009"/>
      <c r="F99" s="1010"/>
      <c r="G99" s="1011"/>
      <c r="H99" s="622" t="s">
        <v>35</v>
      </c>
      <c r="I99" s="880">
        <f ca="1">IFERROR(__xludf.DUMMYFUNCTION("IMPORTRANGE(""https://docs.google.com/spreadsheets/d/1QqKyyYR6Q21VydFLVH3TRQUabQu_ym0Zz7PgGX0-kHA/edit?usp=sharing"",""แผน!L85"")"),10)</f>
        <v>10</v>
      </c>
      <c r="J99" s="880">
        <f>J104</f>
        <v>10</v>
      </c>
      <c r="K99" s="881">
        <f t="shared" ca="1" si="55"/>
        <v>100</v>
      </c>
      <c r="L99" s="881"/>
      <c r="M99" s="881"/>
      <c r="N99" s="881"/>
      <c r="O99" s="998"/>
      <c r="P99" s="998"/>
    </row>
    <row r="100" spans="1:16" ht="18.75">
      <c r="A100" s="1002"/>
      <c r="B100" s="1003"/>
      <c r="C100" s="1003"/>
      <c r="D100" s="1003"/>
      <c r="E100" s="1010"/>
      <c r="F100" s="1010"/>
      <c r="G100" s="1011"/>
      <c r="H100" s="622" t="s">
        <v>49</v>
      </c>
      <c r="I100" s="880">
        <f ca="1">IFERROR(__xludf.DUMMYFUNCTION("IMPORTRANGE(""https://docs.google.com/spreadsheets/d/1QqKyyYR6Q21VydFLVH3TRQUabQu_ym0Zz7PgGX0-kHA/edit?usp=sharing"",""แผน!M85"")"),2)</f>
        <v>2</v>
      </c>
      <c r="J100" s="880">
        <f>J107+J110</f>
        <v>1</v>
      </c>
      <c r="K100" s="881">
        <f t="shared" ca="1" si="55"/>
        <v>50</v>
      </c>
      <c r="L100" s="881"/>
      <c r="M100" s="881"/>
      <c r="N100" s="881"/>
      <c r="O100" s="998"/>
      <c r="P100" s="998"/>
    </row>
    <row r="101" spans="1:16" ht="19.5">
      <c r="A101" s="1002"/>
      <c r="B101" s="1003"/>
      <c r="C101" s="1003"/>
      <c r="D101" s="1010"/>
      <c r="E101" s="1013" t="s">
        <v>50</v>
      </c>
      <c r="F101" s="1010"/>
      <c r="G101" s="1011"/>
      <c r="H101" s="622"/>
      <c r="I101" s="880"/>
      <c r="J101" s="880"/>
      <c r="K101" s="881"/>
      <c r="L101" s="881"/>
      <c r="M101" s="881"/>
      <c r="N101" s="881"/>
      <c r="O101" s="998"/>
      <c r="P101" s="998"/>
    </row>
    <row r="102" spans="1:16" ht="18.75">
      <c r="A102" s="1002"/>
      <c r="B102" s="1003"/>
      <c r="C102" s="1003"/>
      <c r="D102" s="1010"/>
      <c r="E102" s="1014" t="s">
        <v>47</v>
      </c>
      <c r="F102" s="1010"/>
      <c r="G102" s="1011"/>
      <c r="H102" s="622" t="s">
        <v>46</v>
      </c>
      <c r="I102" s="880">
        <f ca="1">IFERROR(__xludf.DUMMYFUNCTION("IMPORTRANGE(""https://docs.google.com/spreadsheets/d/1QqKyyYR6Q21VydFLVH3TRQUabQu_ym0Zz7PgGX0-kHA/edit?usp=sharing"",""แผน!N85"")"),30)</f>
        <v>30</v>
      </c>
      <c r="J102" s="1012">
        <v>30</v>
      </c>
      <c r="K102" s="881">
        <f t="shared" ref="K102:K104" ca="1" si="56">IF(I102&gt;0,J102*100/I102,0)</f>
        <v>100</v>
      </c>
      <c r="L102" s="881"/>
      <c r="M102" s="881"/>
      <c r="N102" s="881"/>
      <c r="O102" s="998"/>
      <c r="P102" s="998"/>
    </row>
    <row r="103" spans="1:16" ht="19.5">
      <c r="A103" s="1002"/>
      <c r="B103" s="1003"/>
      <c r="C103" s="1003"/>
      <c r="D103" s="1010"/>
      <c r="E103" s="1009" t="s">
        <v>51</v>
      </c>
      <c r="F103" s="1010"/>
      <c r="G103" s="1011"/>
      <c r="H103" s="622" t="s">
        <v>35</v>
      </c>
      <c r="I103" s="880">
        <f ca="1">IFERROR(__xludf.DUMMYFUNCTION("IMPORTRANGE(""https://docs.google.com/spreadsheets/d/1QqKyyYR6Q21VydFLVH3TRQUabQu_ym0Zz7PgGX0-kHA/edit?usp=sharing"",""แผน!O85"")"),10)</f>
        <v>10</v>
      </c>
      <c r="J103" s="1012">
        <v>10</v>
      </c>
      <c r="K103" s="881">
        <f t="shared" ca="1" si="56"/>
        <v>100</v>
      </c>
      <c r="L103" s="881"/>
      <c r="M103" s="881"/>
      <c r="N103" s="881"/>
      <c r="O103" s="998"/>
      <c r="P103" s="998"/>
    </row>
    <row r="104" spans="1:16" ht="18.75">
      <c r="A104" s="1002"/>
      <c r="B104" s="1003"/>
      <c r="C104" s="1003"/>
      <c r="D104" s="1010"/>
      <c r="E104" s="1015" t="s">
        <v>52</v>
      </c>
      <c r="F104" s="1010"/>
      <c r="G104" s="1011"/>
      <c r="H104" s="622" t="s">
        <v>35</v>
      </c>
      <c r="I104" s="880">
        <f ca="1">IFERROR(__xludf.DUMMYFUNCTION("IMPORTRANGE(""https://docs.google.com/spreadsheets/d/1QqKyyYR6Q21VydFLVH3TRQUabQu_ym0Zz7PgGX0-kHA/edit?usp=sharing"",""แผน!O85"")"),10)</f>
        <v>10</v>
      </c>
      <c r="J104" s="1012">
        <v>10</v>
      </c>
      <c r="K104" s="881">
        <f t="shared" ca="1" si="56"/>
        <v>100</v>
      </c>
      <c r="L104" s="881"/>
      <c r="M104" s="881"/>
      <c r="N104" s="881"/>
      <c r="O104" s="998"/>
      <c r="P104" s="998"/>
    </row>
    <row r="105" spans="1:16" ht="19.5">
      <c r="A105" s="1002"/>
      <c r="B105" s="1003"/>
      <c r="C105" s="1003"/>
      <c r="D105" s="1010"/>
      <c r="E105" s="1013" t="s">
        <v>53</v>
      </c>
      <c r="F105" s="1010"/>
      <c r="G105" s="1011"/>
      <c r="H105" s="1016"/>
      <c r="I105" s="880"/>
      <c r="J105" s="880"/>
      <c r="K105" s="881"/>
      <c r="L105" s="881"/>
      <c r="M105" s="881"/>
      <c r="N105" s="881"/>
      <c r="O105" s="998"/>
      <c r="P105" s="998"/>
    </row>
    <row r="106" spans="1:16" ht="19.5">
      <c r="A106" s="1002"/>
      <c r="B106" s="1003"/>
      <c r="C106" s="1003"/>
      <c r="D106" s="1010"/>
      <c r="E106" s="1009" t="s">
        <v>54</v>
      </c>
      <c r="F106" s="1010"/>
      <c r="G106" s="1011"/>
      <c r="H106" s="622" t="s">
        <v>49</v>
      </c>
      <c r="I106" s="880">
        <f ca="1">IFERROR(__xludf.DUMMYFUNCTION("IMPORTRANGE(""https://docs.google.com/spreadsheets/d/1QqKyyYR6Q21VydFLVH3TRQUabQu_ym0Zz7PgGX0-kHA/edit?usp=sharing"",""แผน!P85"")"),1)</f>
        <v>1</v>
      </c>
      <c r="J106" s="1012">
        <v>1</v>
      </c>
      <c r="K106" s="881">
        <f t="shared" ref="K106:K107" ca="1" si="57">IF(I106&gt;0,J106*100/I106,0)</f>
        <v>100</v>
      </c>
      <c r="L106" s="881"/>
      <c r="M106" s="881"/>
      <c r="N106" s="881"/>
      <c r="O106" s="998"/>
      <c r="P106" s="998"/>
    </row>
    <row r="107" spans="1:16" ht="18.75">
      <c r="A107" s="1002"/>
      <c r="B107" s="1003"/>
      <c r="C107" s="1003"/>
      <c r="D107" s="1010"/>
      <c r="E107" s="1015" t="s">
        <v>55</v>
      </c>
      <c r="F107" s="1010"/>
      <c r="G107" s="1011"/>
      <c r="H107" s="622" t="s">
        <v>49</v>
      </c>
      <c r="I107" s="880">
        <f ca="1">IFERROR(__xludf.DUMMYFUNCTION("IMPORTRANGE(""https://docs.google.com/spreadsheets/d/1QqKyyYR6Q21VydFLVH3TRQUabQu_ym0Zz7PgGX0-kHA/edit?usp=sharing"",""แผน!P85"")"),1)</f>
        <v>1</v>
      </c>
      <c r="J107" s="1012">
        <v>1</v>
      </c>
      <c r="K107" s="881">
        <f t="shared" ca="1" si="57"/>
        <v>100</v>
      </c>
      <c r="L107" s="881"/>
      <c r="M107" s="881"/>
      <c r="N107" s="881"/>
      <c r="O107" s="998"/>
      <c r="P107" s="998"/>
    </row>
    <row r="108" spans="1:16" ht="19.5">
      <c r="A108" s="1002"/>
      <c r="B108" s="1003"/>
      <c r="C108" s="1003"/>
      <c r="D108" s="1010"/>
      <c r="E108" s="1013" t="s">
        <v>56</v>
      </c>
      <c r="F108" s="1010"/>
      <c r="G108" s="1011"/>
      <c r="H108" s="1016"/>
      <c r="I108" s="880"/>
      <c r="J108" s="880"/>
      <c r="K108" s="881"/>
      <c r="L108" s="881"/>
      <c r="M108" s="881"/>
      <c r="N108" s="881"/>
      <c r="O108" s="998"/>
      <c r="P108" s="998"/>
    </row>
    <row r="109" spans="1:16" ht="19.5">
      <c r="A109" s="1002"/>
      <c r="B109" s="1003"/>
      <c r="C109" s="1003"/>
      <c r="D109" s="1010"/>
      <c r="E109" s="1009" t="s">
        <v>57</v>
      </c>
      <c r="F109" s="1010"/>
      <c r="G109" s="1011"/>
      <c r="H109" s="622" t="s">
        <v>49</v>
      </c>
      <c r="I109" s="880">
        <f ca="1">IFERROR(__xludf.DUMMYFUNCTION("IMPORTRANGE(""https://docs.google.com/spreadsheets/d/1QqKyyYR6Q21VydFLVH3TRQUabQu_ym0Zz7PgGX0-kHA/edit?usp=sharing"",""แผน!Q85"")"),1)</f>
        <v>1</v>
      </c>
      <c r="J109" s="1012">
        <v>0</v>
      </c>
      <c r="K109" s="881">
        <f t="shared" ref="K109:K116" ca="1" si="58">IF(I109&gt;0,J109*100/I109,0)</f>
        <v>0</v>
      </c>
      <c r="L109" s="881"/>
      <c r="M109" s="881"/>
      <c r="N109" s="881"/>
      <c r="O109" s="998"/>
      <c r="P109" s="998"/>
    </row>
    <row r="110" spans="1:16" ht="18.75">
      <c r="A110" s="1002"/>
      <c r="B110" s="1003"/>
      <c r="C110" s="1003"/>
      <c r="D110" s="1010"/>
      <c r="E110" s="1017" t="s">
        <v>58</v>
      </c>
      <c r="F110" s="1010"/>
      <c r="G110" s="1011"/>
      <c r="H110" s="622" t="s">
        <v>49</v>
      </c>
      <c r="I110" s="880">
        <f ca="1">IFERROR(__xludf.DUMMYFUNCTION("IMPORTRANGE(""https://docs.google.com/spreadsheets/d/1QqKyyYR6Q21VydFLVH3TRQUabQu_ym0Zz7PgGX0-kHA/edit?usp=sharing"",""แผน!Q85"")"),1)</f>
        <v>1</v>
      </c>
      <c r="J110" s="1012">
        <v>0</v>
      </c>
      <c r="K110" s="881">
        <f t="shared" ca="1" si="58"/>
        <v>0</v>
      </c>
      <c r="L110" s="881"/>
      <c r="M110" s="881"/>
      <c r="N110" s="881"/>
      <c r="O110" s="998"/>
      <c r="P110" s="998"/>
    </row>
    <row r="111" spans="1:16" ht="19.5">
      <c r="A111" s="1002"/>
      <c r="B111" s="1003"/>
      <c r="C111" s="1003"/>
      <c r="D111" s="1013" t="s">
        <v>59</v>
      </c>
      <c r="E111" s="1013"/>
      <c r="F111" s="1010"/>
      <c r="G111" s="1011"/>
      <c r="H111" s="765" t="s">
        <v>35</v>
      </c>
      <c r="I111" s="1018">
        <f ca="1">IFERROR(__xludf.DUMMYFUNCTION("IMPORTRANGE(""https://docs.google.com/spreadsheets/d/1QqKyyYR6Q21VydFLVH3TRQUabQu_ym0Zz7PgGX0-kHA/edit?usp=sharing"",""แผน!R85"")"),10)</f>
        <v>10</v>
      </c>
      <c r="J111" s="1019">
        <f>J114</f>
        <v>10</v>
      </c>
      <c r="K111" s="1020">
        <f t="shared" ca="1" si="58"/>
        <v>100</v>
      </c>
      <c r="L111" s="881"/>
      <c r="M111" s="881"/>
      <c r="N111" s="881"/>
      <c r="O111" s="998"/>
      <c r="P111" s="998"/>
    </row>
    <row r="112" spans="1:16" ht="19.5">
      <c r="A112" s="1002"/>
      <c r="B112" s="1003"/>
      <c r="C112" s="1003"/>
      <c r="D112" s="1003"/>
      <c r="E112" s="1010"/>
      <c r="F112" s="1010"/>
      <c r="G112" s="1011"/>
      <c r="H112" s="196" t="s">
        <v>49</v>
      </c>
      <c r="I112" s="1018">
        <f t="shared" ref="I112:J112" ca="1" si="59">I115+I116</f>
        <v>2</v>
      </c>
      <c r="J112" s="1019">
        <f t="shared" si="59"/>
        <v>0</v>
      </c>
      <c r="K112" s="1020">
        <f t="shared" ca="1" si="58"/>
        <v>0</v>
      </c>
      <c r="L112" s="881"/>
      <c r="M112" s="881"/>
      <c r="N112" s="881"/>
      <c r="O112" s="998"/>
      <c r="P112" s="998"/>
    </row>
    <row r="113" spans="1:26" ht="19.5">
      <c r="A113" s="1002"/>
      <c r="B113" s="1003"/>
      <c r="C113" s="1003"/>
      <c r="D113" s="1003"/>
      <c r="E113" s="1021" t="s">
        <v>60</v>
      </c>
      <c r="F113" s="1010"/>
      <c r="G113" s="1011"/>
      <c r="H113" s="198" t="s">
        <v>35</v>
      </c>
      <c r="I113" s="997">
        <f ca="1">IFERROR(__xludf.DUMMYFUNCTION("IMPORTRANGE(""https://docs.google.com/spreadsheets/d/1QqKyyYR6Q21VydFLVH3TRQUabQu_ym0Zz7PgGX0-kHA/edit?usp=sharing"",""แผน!R85"")"),10)</f>
        <v>10</v>
      </c>
      <c r="J113" s="1012">
        <v>10</v>
      </c>
      <c r="K113" s="881">
        <f t="shared" ca="1" si="58"/>
        <v>100</v>
      </c>
      <c r="L113" s="881"/>
      <c r="M113" s="881"/>
      <c r="N113" s="881"/>
      <c r="O113" s="998"/>
      <c r="P113" s="998"/>
    </row>
    <row r="114" spans="1:26" ht="19.5">
      <c r="A114" s="1002"/>
      <c r="B114" s="1003"/>
      <c r="C114" s="1003"/>
      <c r="D114" s="1003"/>
      <c r="E114" s="1009" t="s">
        <v>61</v>
      </c>
      <c r="F114" s="1010"/>
      <c r="G114" s="1011"/>
      <c r="H114" s="199" t="s">
        <v>35</v>
      </c>
      <c r="I114" s="997">
        <f ca="1">IFERROR(__xludf.DUMMYFUNCTION("IMPORTRANGE(""https://docs.google.com/spreadsheets/d/1QqKyyYR6Q21VydFLVH3TRQUabQu_ym0Zz7PgGX0-kHA/edit?usp=sharing"",""แผน!R85"")"),10)</f>
        <v>10</v>
      </c>
      <c r="J114" s="1012">
        <v>10</v>
      </c>
      <c r="K114" s="881">
        <f t="shared" ca="1" si="58"/>
        <v>100</v>
      </c>
      <c r="L114" s="881"/>
      <c r="M114" s="881"/>
      <c r="N114" s="881"/>
      <c r="O114" s="998"/>
      <c r="P114" s="998"/>
    </row>
    <row r="115" spans="1:26" ht="18.75">
      <c r="A115" s="1002"/>
      <c r="B115" s="1003"/>
      <c r="C115" s="1003"/>
      <c r="D115" s="1003"/>
      <c r="E115" s="1009" t="s">
        <v>62</v>
      </c>
      <c r="F115" s="1010"/>
      <c r="G115" s="1011"/>
      <c r="H115" s="199" t="s">
        <v>49</v>
      </c>
      <c r="I115" s="997">
        <f ca="1">IFERROR(__xludf.DUMMYFUNCTION("IMPORTRANGE(""https://docs.google.com/spreadsheets/d/1QqKyyYR6Q21VydFLVH3TRQUabQu_ym0Zz7PgGX0-kHA/edit?usp=sharing"",""แผน!S85"")"),1)</f>
        <v>1</v>
      </c>
      <c r="J115" s="1012">
        <v>0</v>
      </c>
      <c r="K115" s="881">
        <f t="shared" ca="1" si="58"/>
        <v>0</v>
      </c>
      <c r="L115" s="881"/>
      <c r="M115" s="881"/>
      <c r="N115" s="881"/>
      <c r="O115" s="998"/>
      <c r="P115" s="998"/>
    </row>
    <row r="116" spans="1:26" ht="18.75">
      <c r="A116" s="1002"/>
      <c r="B116" s="1003"/>
      <c r="C116" s="1003"/>
      <c r="D116" s="1003"/>
      <c r="E116" s="1009" t="s">
        <v>63</v>
      </c>
      <c r="F116" s="1010"/>
      <c r="G116" s="1011"/>
      <c r="H116" s="199" t="s">
        <v>49</v>
      </c>
      <c r="I116" s="997">
        <f ca="1">IFERROR(__xludf.DUMMYFUNCTION("IMPORTRANGE(""https://docs.google.com/spreadsheets/d/1QqKyyYR6Q21VydFLVH3TRQUabQu_ym0Zz7PgGX0-kHA/edit?usp=sharing"",""แผน!T85"")"),1)</f>
        <v>1</v>
      </c>
      <c r="J116" s="1012">
        <v>0</v>
      </c>
      <c r="K116" s="881">
        <f t="shared" ca="1" si="58"/>
        <v>0</v>
      </c>
      <c r="L116" s="881"/>
      <c r="M116" s="881"/>
      <c r="N116" s="881"/>
      <c r="O116" s="998"/>
      <c r="P116" s="998"/>
    </row>
    <row r="117" spans="1:26" ht="19.5" hidden="1">
      <c r="A117" s="970" t="s">
        <v>64</v>
      </c>
      <c r="B117" s="971"/>
      <c r="C117" s="1022"/>
      <c r="D117" s="971"/>
      <c r="E117" s="971"/>
      <c r="F117" s="971"/>
      <c r="G117" s="971"/>
      <c r="H117" s="1023"/>
      <c r="I117" s="1024"/>
      <c r="J117" s="1024"/>
      <c r="K117" s="1025"/>
      <c r="L117" s="976"/>
      <c r="M117" s="976"/>
      <c r="N117" s="976"/>
      <c r="O117" s="976"/>
      <c r="P117" s="976"/>
    </row>
    <row r="118" spans="1:26" ht="19.5" hidden="1">
      <c r="A118" s="977"/>
      <c r="B118" s="978" t="s">
        <v>65</v>
      </c>
      <c r="C118" s="1026"/>
      <c r="D118" s="980"/>
      <c r="E118" s="979"/>
      <c r="F118" s="979"/>
      <c r="G118" s="981"/>
      <c r="H118" s="205"/>
      <c r="I118" s="1027"/>
      <c r="J118" s="1027"/>
      <c r="K118" s="984"/>
      <c r="L118" s="984"/>
      <c r="M118" s="984"/>
      <c r="N118" s="984"/>
      <c r="O118" s="984"/>
      <c r="P118" s="984"/>
    </row>
    <row r="119" spans="1:26" ht="19.5" hidden="1">
      <c r="A119" s="985"/>
      <c r="B119" s="986"/>
      <c r="C119" s="987" t="s">
        <v>16</v>
      </c>
      <c r="D119" s="988" t="s">
        <v>17</v>
      </c>
      <c r="E119" s="986"/>
      <c r="F119" s="986"/>
      <c r="G119" s="989"/>
      <c r="H119" s="152" t="s">
        <v>12</v>
      </c>
      <c r="I119" s="990"/>
      <c r="J119" s="990"/>
      <c r="K119" s="991"/>
      <c r="L119" s="992">
        <f t="shared" ref="L119:N119" ca="1" si="60">L120+L121</f>
        <v>0</v>
      </c>
      <c r="M119" s="992">
        <f t="shared" ca="1" si="60"/>
        <v>0</v>
      </c>
      <c r="N119" s="992">
        <f t="shared" ca="1" si="60"/>
        <v>0</v>
      </c>
      <c r="O119" s="992">
        <f t="shared" ref="O119:O127" ca="1" si="61">IF(L119&gt;0,N119*100/L119,0)</f>
        <v>0</v>
      </c>
      <c r="P119" s="992">
        <f t="shared" ref="P119:P127" ca="1" si="62">IF(M119&gt;0,N119*100/M119,0)</f>
        <v>0</v>
      </c>
      <c r="Q119" s="868"/>
      <c r="R119" s="868"/>
      <c r="S119" s="868"/>
      <c r="T119" s="868"/>
      <c r="U119" s="868"/>
      <c r="V119" s="868"/>
      <c r="W119" s="868"/>
      <c r="X119" s="868"/>
      <c r="Y119" s="868"/>
      <c r="Z119" s="868"/>
    </row>
    <row r="120" spans="1:26" ht="18.75" hidden="1">
      <c r="A120" s="993"/>
      <c r="B120" s="883"/>
      <c r="C120" s="883"/>
      <c r="D120" s="883"/>
      <c r="E120" s="884" t="s">
        <v>18</v>
      </c>
      <c r="F120" s="883"/>
      <c r="G120" s="994"/>
      <c r="H120" s="158" t="s">
        <v>12</v>
      </c>
      <c r="I120" s="886"/>
      <c r="J120" s="886"/>
      <c r="K120" s="887"/>
      <c r="L120" s="887">
        <f t="shared" ref="L120:N121" si="63">L123+L126</f>
        <v>0</v>
      </c>
      <c r="M120" s="887">
        <f t="shared" si="63"/>
        <v>0</v>
      </c>
      <c r="N120" s="887">
        <f t="shared" si="63"/>
        <v>0</v>
      </c>
      <c r="O120" s="887">
        <f t="shared" si="61"/>
        <v>0</v>
      </c>
      <c r="P120" s="887">
        <f t="shared" si="62"/>
        <v>0</v>
      </c>
      <c r="Q120" s="875"/>
      <c r="R120" s="875"/>
      <c r="S120" s="875"/>
      <c r="T120" s="875"/>
      <c r="U120" s="875"/>
      <c r="V120" s="875"/>
      <c r="W120" s="875"/>
      <c r="X120" s="875"/>
      <c r="Y120" s="875"/>
      <c r="Z120" s="875"/>
    </row>
    <row r="121" spans="1:26" ht="18.75" hidden="1">
      <c r="A121" s="993"/>
      <c r="B121" s="883"/>
      <c r="C121" s="883"/>
      <c r="D121" s="883"/>
      <c r="E121" s="884" t="s">
        <v>19</v>
      </c>
      <c r="F121" s="883"/>
      <c r="G121" s="994"/>
      <c r="H121" s="158" t="s">
        <v>12</v>
      </c>
      <c r="I121" s="886"/>
      <c r="J121" s="886"/>
      <c r="K121" s="887"/>
      <c r="L121" s="887">
        <f t="shared" ca="1" si="63"/>
        <v>0</v>
      </c>
      <c r="M121" s="887">
        <f t="shared" ca="1" si="63"/>
        <v>0</v>
      </c>
      <c r="N121" s="887">
        <f t="shared" ca="1" si="63"/>
        <v>0</v>
      </c>
      <c r="O121" s="887">
        <f t="shared" ca="1" si="61"/>
        <v>0</v>
      </c>
      <c r="P121" s="887">
        <f t="shared" ca="1" si="62"/>
        <v>0</v>
      </c>
      <c r="Q121" s="875"/>
      <c r="R121" s="875"/>
      <c r="S121" s="875"/>
      <c r="T121" s="875"/>
      <c r="U121" s="875"/>
      <c r="V121" s="875"/>
      <c r="W121" s="875"/>
      <c r="X121" s="875"/>
      <c r="Y121" s="875"/>
      <c r="Z121" s="875"/>
    </row>
    <row r="122" spans="1:26" ht="18.75" hidden="1">
      <c r="A122" s="995"/>
      <c r="B122" s="877"/>
      <c r="C122" s="996"/>
      <c r="D122" s="878" t="s">
        <v>20</v>
      </c>
      <c r="E122" s="877"/>
      <c r="F122" s="877"/>
      <c r="G122" s="879"/>
      <c r="H122" s="161" t="s">
        <v>12</v>
      </c>
      <c r="I122" s="997"/>
      <c r="J122" s="997"/>
      <c r="K122" s="998"/>
      <c r="L122" s="881">
        <f t="shared" ref="L122:N122" ca="1" si="64">L123+L124</f>
        <v>0</v>
      </c>
      <c r="M122" s="881">
        <f t="shared" ca="1" si="64"/>
        <v>0</v>
      </c>
      <c r="N122" s="881">
        <f t="shared" ca="1" si="64"/>
        <v>0</v>
      </c>
      <c r="O122" s="881">
        <f t="shared" ca="1" si="61"/>
        <v>0</v>
      </c>
      <c r="P122" s="881">
        <f t="shared" ca="1" si="62"/>
        <v>0</v>
      </c>
      <c r="Q122" s="868"/>
      <c r="R122" s="868"/>
      <c r="S122" s="868"/>
      <c r="T122" s="868"/>
      <c r="U122" s="868"/>
      <c r="V122" s="868"/>
      <c r="W122" s="868"/>
      <c r="X122" s="868"/>
      <c r="Y122" s="868"/>
      <c r="Z122" s="868"/>
    </row>
    <row r="123" spans="1:26" ht="18.75" hidden="1">
      <c r="A123" s="993"/>
      <c r="B123" s="883"/>
      <c r="C123" s="884"/>
      <c r="D123" s="883"/>
      <c r="E123" s="884" t="s">
        <v>36</v>
      </c>
      <c r="F123" s="883"/>
      <c r="G123" s="994"/>
      <c r="H123" s="165" t="s">
        <v>12</v>
      </c>
      <c r="I123" s="1000"/>
      <c r="J123" s="1000"/>
      <c r="K123" s="1001"/>
      <c r="L123" s="887">
        <v>0</v>
      </c>
      <c r="M123" s="887">
        <v>0</v>
      </c>
      <c r="N123" s="887">
        <v>0</v>
      </c>
      <c r="O123" s="887">
        <f t="shared" si="61"/>
        <v>0</v>
      </c>
      <c r="P123" s="887">
        <f t="shared" si="62"/>
        <v>0</v>
      </c>
      <c r="Q123" s="875"/>
      <c r="R123" s="875"/>
      <c r="S123" s="875"/>
      <c r="T123" s="875"/>
      <c r="U123" s="875"/>
      <c r="V123" s="875"/>
      <c r="W123" s="875"/>
      <c r="X123" s="875"/>
      <c r="Y123" s="875"/>
      <c r="Z123" s="875"/>
    </row>
    <row r="124" spans="1:26" ht="18.75" hidden="1">
      <c r="A124" s="993"/>
      <c r="B124" s="883"/>
      <c r="C124" s="884"/>
      <c r="D124" s="883"/>
      <c r="E124" s="884" t="s">
        <v>37</v>
      </c>
      <c r="F124" s="883"/>
      <c r="G124" s="994"/>
      <c r="H124" s="165" t="s">
        <v>12</v>
      </c>
      <c r="I124" s="1000"/>
      <c r="J124" s="1000"/>
      <c r="K124" s="1001"/>
      <c r="L124" s="887">
        <f ca="1">IFERROR(__xludf.DUMMYFUNCTION("IMPORTRANGE(""https://docs.google.com/spreadsheets/d/1MeEWN-I1oV_STSDYn1IFDPWt_1FKiwhDph83XaGc0o0/edit?usp=sharing"",""งบพรบ!BA85"")"),0)</f>
        <v>0</v>
      </c>
      <c r="M124" s="887">
        <f ca="1">IFERROR(__xludf.DUMMYFUNCTION("IMPORTRANGE(""https://docs.google.com/spreadsheets/d/1MeEWN-I1oV_STSDYn1IFDPWt_1FKiwhDph83XaGc0o0/edit?usp=sharing"",""งบพรบ!BF85"")"),0)</f>
        <v>0</v>
      </c>
      <c r="N124" s="887">
        <f ca="1">IFERROR(__xludf.DUMMYFUNCTION("IMPORTRANGE(""https://docs.google.com/spreadsheets/d/1MeEWN-I1oV_STSDYn1IFDPWt_1FKiwhDph83XaGc0o0/edit?usp=sharing"",""งบพรบ!BH85"")"),0)</f>
        <v>0</v>
      </c>
      <c r="O124" s="887">
        <f t="shared" ca="1" si="61"/>
        <v>0</v>
      </c>
      <c r="P124" s="887">
        <f t="shared" ca="1" si="62"/>
        <v>0</v>
      </c>
      <c r="Q124" s="875"/>
      <c r="R124" s="875"/>
      <c r="S124" s="875"/>
      <c r="T124" s="875"/>
      <c r="U124" s="875"/>
      <c r="V124" s="875"/>
      <c r="W124" s="875"/>
      <c r="X124" s="875"/>
      <c r="Y124" s="875"/>
      <c r="Z124" s="875"/>
    </row>
    <row r="125" spans="1:26" ht="18.75" hidden="1">
      <c r="A125" s="995"/>
      <c r="B125" s="877"/>
      <c r="C125" s="996"/>
      <c r="D125" s="878" t="s">
        <v>21</v>
      </c>
      <c r="E125" s="877"/>
      <c r="F125" s="877"/>
      <c r="G125" s="879"/>
      <c r="H125" s="168" t="s">
        <v>12</v>
      </c>
      <c r="I125" s="997"/>
      <c r="J125" s="997"/>
      <c r="K125" s="998"/>
      <c r="L125" s="881">
        <f t="shared" ref="L125:N125" ca="1" si="65">L126+L127</f>
        <v>0</v>
      </c>
      <c r="M125" s="881">
        <f t="shared" ca="1" si="65"/>
        <v>0</v>
      </c>
      <c r="N125" s="881">
        <f t="shared" ca="1" si="65"/>
        <v>0</v>
      </c>
      <c r="O125" s="881">
        <f t="shared" ca="1" si="61"/>
        <v>0</v>
      </c>
      <c r="P125" s="881">
        <f t="shared" ca="1" si="62"/>
        <v>0</v>
      </c>
      <c r="Q125" s="868"/>
      <c r="R125" s="868"/>
      <c r="S125" s="868"/>
      <c r="T125" s="868"/>
      <c r="U125" s="868"/>
      <c r="V125" s="868"/>
      <c r="W125" s="868"/>
      <c r="X125" s="868"/>
      <c r="Y125" s="868"/>
      <c r="Z125" s="868"/>
    </row>
    <row r="126" spans="1:26" ht="19.5" hidden="1">
      <c r="A126" s="993"/>
      <c r="B126" s="883"/>
      <c r="C126" s="999"/>
      <c r="D126" s="883"/>
      <c r="E126" s="884" t="s">
        <v>18</v>
      </c>
      <c r="F126" s="883"/>
      <c r="G126" s="994"/>
      <c r="H126" s="165" t="s">
        <v>12</v>
      </c>
      <c r="I126" s="1000"/>
      <c r="J126" s="1000"/>
      <c r="K126" s="1001"/>
      <c r="L126" s="887">
        <v>0</v>
      </c>
      <c r="M126" s="887">
        <v>0</v>
      </c>
      <c r="N126" s="887">
        <v>0</v>
      </c>
      <c r="O126" s="887">
        <f t="shared" si="61"/>
        <v>0</v>
      </c>
      <c r="P126" s="887">
        <f t="shared" si="62"/>
        <v>0</v>
      </c>
      <c r="Q126" s="875"/>
      <c r="R126" s="875"/>
      <c r="S126" s="875"/>
      <c r="T126" s="875"/>
      <c r="U126" s="875"/>
      <c r="V126" s="875"/>
      <c r="W126" s="875"/>
      <c r="X126" s="875"/>
      <c r="Y126" s="875"/>
      <c r="Z126" s="875"/>
    </row>
    <row r="127" spans="1:26" ht="19.5" hidden="1">
      <c r="A127" s="993"/>
      <c r="B127" s="883"/>
      <c r="C127" s="999"/>
      <c r="D127" s="883"/>
      <c r="E127" s="884" t="s">
        <v>19</v>
      </c>
      <c r="F127" s="883"/>
      <c r="G127" s="994"/>
      <c r="H127" s="169" t="s">
        <v>12</v>
      </c>
      <c r="I127" s="1000"/>
      <c r="J127" s="1000"/>
      <c r="K127" s="1001"/>
      <c r="L127" s="887">
        <f ca="1">IFERROR(__xludf.DUMMYFUNCTION("IMPORTRANGE(""https://docs.google.com/spreadsheets/d/1MeEWN-I1oV_STSDYn1IFDPWt_1FKiwhDph83XaGc0o0/edit?usp=sharing"",""งบพรบ!BD85"")"),0)</f>
        <v>0</v>
      </c>
      <c r="M127" s="887">
        <f ca="1">IFERROR(__xludf.DUMMYFUNCTION("IMPORTRANGE(""https://docs.google.com/spreadsheets/d/1MeEWN-I1oV_STSDYn1IFDPWt_1FKiwhDph83XaGc0o0/edit?usp=sharing"",""งบพรบ!BG85"")"),0)</f>
        <v>0</v>
      </c>
      <c r="N127" s="887">
        <f ca="1">IFERROR(__xludf.DUMMYFUNCTION("IMPORTRANGE(""https://docs.google.com/spreadsheets/d/1MeEWN-I1oV_STSDYn1IFDPWt_1FKiwhDph83XaGc0o0/edit?usp=sharing"",""งบพรบ!BI85"")"),0)</f>
        <v>0</v>
      </c>
      <c r="O127" s="887">
        <f t="shared" ca="1" si="61"/>
        <v>0</v>
      </c>
      <c r="P127" s="887">
        <f t="shared" ca="1" si="62"/>
        <v>0</v>
      </c>
      <c r="Q127" s="875"/>
      <c r="R127" s="875"/>
      <c r="S127" s="875"/>
      <c r="T127" s="875"/>
      <c r="U127" s="875"/>
      <c r="V127" s="875"/>
      <c r="W127" s="875"/>
      <c r="X127" s="875"/>
      <c r="Y127" s="875"/>
      <c r="Z127" s="875"/>
    </row>
    <row r="128" spans="1:26" ht="19.5" hidden="1">
      <c r="A128" s="970" t="s">
        <v>67</v>
      </c>
      <c r="B128" s="971"/>
      <c r="C128" s="1022"/>
      <c r="D128" s="971"/>
      <c r="E128" s="971"/>
      <c r="F128" s="971"/>
      <c r="G128" s="971"/>
      <c r="H128" s="1023"/>
      <c r="I128" s="1024"/>
      <c r="J128" s="1024"/>
      <c r="K128" s="1025"/>
      <c r="L128" s="976"/>
      <c r="M128" s="976"/>
      <c r="N128" s="976"/>
      <c r="O128" s="976"/>
      <c r="P128" s="976"/>
    </row>
    <row r="129" spans="1:26" ht="19.5" hidden="1">
      <c r="A129" s="977"/>
      <c r="B129" s="978" t="s">
        <v>68</v>
      </c>
      <c r="C129" s="1026"/>
      <c r="D129" s="980"/>
      <c r="E129" s="979"/>
      <c r="F129" s="979"/>
      <c r="G129" s="979"/>
      <c r="H129" s="207"/>
      <c r="I129" s="1027"/>
      <c r="J129" s="1027"/>
      <c r="K129" s="984"/>
      <c r="L129" s="984"/>
      <c r="M129" s="984"/>
      <c r="N129" s="984"/>
      <c r="O129" s="984"/>
      <c r="P129" s="984"/>
    </row>
    <row r="130" spans="1:26" ht="19.5" hidden="1">
      <c r="A130" s="977"/>
      <c r="B130" s="978"/>
      <c r="C130" s="1028" t="s">
        <v>69</v>
      </c>
      <c r="D130" s="980"/>
      <c r="E130" s="979"/>
      <c r="F130" s="979"/>
      <c r="G130" s="981"/>
      <c r="H130" s="205" t="s">
        <v>66</v>
      </c>
      <c r="I130" s="982">
        <f t="shared" ref="I130:J130" ca="1" si="66">I146</f>
        <v>0</v>
      </c>
      <c r="J130" s="982">
        <f t="shared" si="66"/>
        <v>0</v>
      </c>
      <c r="K130" s="983">
        <f t="shared" ref="K130:K131" ca="1" si="67">IF(I130&gt;0,J130*100/I130,0)</f>
        <v>0</v>
      </c>
      <c r="L130" s="984"/>
      <c r="M130" s="984"/>
      <c r="N130" s="984"/>
      <c r="O130" s="984"/>
      <c r="P130" s="984"/>
    </row>
    <row r="131" spans="1:26" ht="19.5" hidden="1">
      <c r="A131" s="977"/>
      <c r="B131" s="978"/>
      <c r="C131" s="1028" t="s">
        <v>70</v>
      </c>
      <c r="D131" s="980"/>
      <c r="E131" s="979"/>
      <c r="F131" s="979"/>
      <c r="G131" s="981"/>
      <c r="H131" s="205" t="s">
        <v>35</v>
      </c>
      <c r="I131" s="982">
        <f t="shared" ref="I131:J131" ca="1" si="68">I143</f>
        <v>0</v>
      </c>
      <c r="J131" s="982">
        <f t="shared" ca="1" si="68"/>
        <v>0</v>
      </c>
      <c r="K131" s="983">
        <f t="shared" ca="1" si="67"/>
        <v>0</v>
      </c>
      <c r="L131" s="984"/>
      <c r="M131" s="984"/>
      <c r="N131" s="984"/>
      <c r="O131" s="984"/>
      <c r="P131" s="984"/>
    </row>
    <row r="132" spans="1:26" ht="19.5" hidden="1">
      <c r="A132" s="985"/>
      <c r="B132" s="986"/>
      <c r="C132" s="987" t="s">
        <v>16</v>
      </c>
      <c r="D132" s="988" t="s">
        <v>17</v>
      </c>
      <c r="E132" s="986"/>
      <c r="F132" s="986"/>
      <c r="G132" s="989"/>
      <c r="H132" s="152" t="s">
        <v>12</v>
      </c>
      <c r="I132" s="990"/>
      <c r="J132" s="990"/>
      <c r="K132" s="991"/>
      <c r="L132" s="992">
        <f t="shared" ref="L132:N132" ca="1" si="69">L133+L134</f>
        <v>0</v>
      </c>
      <c r="M132" s="992">
        <f t="shared" ca="1" si="69"/>
        <v>0</v>
      </c>
      <c r="N132" s="992">
        <f t="shared" ca="1" si="69"/>
        <v>0</v>
      </c>
      <c r="O132" s="992">
        <f t="shared" ref="O132:O140" ca="1" si="70">IF(L132&gt;0,N132*100/L132,0)</f>
        <v>0</v>
      </c>
      <c r="P132" s="992">
        <f t="shared" ref="P132:P140" ca="1" si="71">IF(M132&gt;0,N132*100/M132,0)</f>
        <v>0</v>
      </c>
      <c r="Q132" s="868"/>
      <c r="R132" s="868"/>
      <c r="S132" s="868"/>
      <c r="T132" s="868"/>
      <c r="U132" s="868"/>
      <c r="V132" s="868"/>
      <c r="W132" s="868"/>
      <c r="X132" s="868"/>
      <c r="Y132" s="868"/>
      <c r="Z132" s="868"/>
    </row>
    <row r="133" spans="1:26" ht="18.75" hidden="1">
      <c r="A133" s="993"/>
      <c r="B133" s="883"/>
      <c r="C133" s="883"/>
      <c r="D133" s="883"/>
      <c r="E133" s="884" t="s">
        <v>18</v>
      </c>
      <c r="F133" s="883"/>
      <c r="G133" s="994"/>
      <c r="H133" s="158" t="s">
        <v>12</v>
      </c>
      <c r="I133" s="886"/>
      <c r="J133" s="886"/>
      <c r="K133" s="887"/>
      <c r="L133" s="887">
        <f t="shared" ref="L133:N134" si="72">L136+L139</f>
        <v>0</v>
      </c>
      <c r="M133" s="887">
        <f t="shared" si="72"/>
        <v>0</v>
      </c>
      <c r="N133" s="887">
        <f t="shared" si="72"/>
        <v>0</v>
      </c>
      <c r="O133" s="887">
        <f t="shared" si="70"/>
        <v>0</v>
      </c>
      <c r="P133" s="887">
        <f t="shared" si="71"/>
        <v>0</v>
      </c>
      <c r="Q133" s="875"/>
      <c r="R133" s="875"/>
      <c r="S133" s="875"/>
      <c r="T133" s="875"/>
      <c r="U133" s="875"/>
      <c r="V133" s="875"/>
      <c r="W133" s="875"/>
      <c r="X133" s="875"/>
      <c r="Y133" s="875"/>
      <c r="Z133" s="875"/>
    </row>
    <row r="134" spans="1:26" ht="18.75" hidden="1">
      <c r="A134" s="993"/>
      <c r="B134" s="883"/>
      <c r="C134" s="883"/>
      <c r="D134" s="883"/>
      <c r="E134" s="884" t="s">
        <v>19</v>
      </c>
      <c r="F134" s="883"/>
      <c r="G134" s="994"/>
      <c r="H134" s="158" t="s">
        <v>12</v>
      </c>
      <c r="I134" s="886"/>
      <c r="J134" s="886"/>
      <c r="K134" s="887"/>
      <c r="L134" s="887">
        <f t="shared" ca="1" si="72"/>
        <v>0</v>
      </c>
      <c r="M134" s="887">
        <f t="shared" ca="1" si="72"/>
        <v>0</v>
      </c>
      <c r="N134" s="887">
        <f t="shared" ca="1" si="72"/>
        <v>0</v>
      </c>
      <c r="O134" s="887">
        <f t="shared" ca="1" si="70"/>
        <v>0</v>
      </c>
      <c r="P134" s="887">
        <f t="shared" ca="1" si="71"/>
        <v>0</v>
      </c>
      <c r="Q134" s="875"/>
      <c r="R134" s="875"/>
      <c r="S134" s="875"/>
      <c r="T134" s="875"/>
      <c r="U134" s="875"/>
      <c r="V134" s="875"/>
      <c r="W134" s="875"/>
      <c r="X134" s="875"/>
      <c r="Y134" s="875"/>
      <c r="Z134" s="875"/>
    </row>
    <row r="135" spans="1:26" ht="18.75" hidden="1">
      <c r="A135" s="995"/>
      <c r="B135" s="877"/>
      <c r="C135" s="996"/>
      <c r="D135" s="878" t="s">
        <v>20</v>
      </c>
      <c r="E135" s="877"/>
      <c r="F135" s="877"/>
      <c r="G135" s="879"/>
      <c r="H135" s="161" t="s">
        <v>12</v>
      </c>
      <c r="I135" s="997"/>
      <c r="J135" s="997"/>
      <c r="K135" s="998"/>
      <c r="L135" s="881">
        <f t="shared" ref="L135:N135" ca="1" si="73">L136+L137</f>
        <v>0</v>
      </c>
      <c r="M135" s="881">
        <f t="shared" ca="1" si="73"/>
        <v>0</v>
      </c>
      <c r="N135" s="881">
        <f t="shared" ca="1" si="73"/>
        <v>0</v>
      </c>
      <c r="O135" s="881">
        <f t="shared" ca="1" si="70"/>
        <v>0</v>
      </c>
      <c r="P135" s="881">
        <f t="shared" ca="1" si="71"/>
        <v>0</v>
      </c>
      <c r="Q135" s="868"/>
      <c r="R135" s="868"/>
      <c r="S135" s="868"/>
      <c r="T135" s="868"/>
      <c r="U135" s="868"/>
      <c r="V135" s="868"/>
      <c r="W135" s="868"/>
      <c r="X135" s="868"/>
      <c r="Y135" s="868"/>
      <c r="Z135" s="868"/>
    </row>
    <row r="136" spans="1:26" ht="19.5" hidden="1">
      <c r="A136" s="993"/>
      <c r="B136" s="883"/>
      <c r="C136" s="999"/>
      <c r="D136" s="883"/>
      <c r="E136" s="884" t="s">
        <v>36</v>
      </c>
      <c r="F136" s="883"/>
      <c r="G136" s="994"/>
      <c r="H136" s="165" t="s">
        <v>12</v>
      </c>
      <c r="I136" s="1000"/>
      <c r="J136" s="1000"/>
      <c r="K136" s="1001"/>
      <c r="L136" s="887">
        <v>0</v>
      </c>
      <c r="M136" s="887">
        <v>0</v>
      </c>
      <c r="N136" s="887">
        <v>0</v>
      </c>
      <c r="O136" s="887">
        <f t="shared" si="70"/>
        <v>0</v>
      </c>
      <c r="P136" s="887">
        <f t="shared" si="71"/>
        <v>0</v>
      </c>
      <c r="Q136" s="875"/>
      <c r="R136" s="875"/>
      <c r="S136" s="875"/>
      <c r="T136" s="875"/>
      <c r="U136" s="875"/>
      <c r="V136" s="875"/>
      <c r="W136" s="875"/>
      <c r="X136" s="875"/>
      <c r="Y136" s="875"/>
      <c r="Z136" s="875"/>
    </row>
    <row r="137" spans="1:26" ht="19.5" hidden="1">
      <c r="A137" s="993"/>
      <c r="B137" s="883"/>
      <c r="C137" s="999"/>
      <c r="D137" s="883"/>
      <c r="E137" s="884" t="s">
        <v>37</v>
      </c>
      <c r="F137" s="883"/>
      <c r="G137" s="994"/>
      <c r="H137" s="165" t="s">
        <v>12</v>
      </c>
      <c r="I137" s="1000"/>
      <c r="J137" s="1000"/>
      <c r="K137" s="1001"/>
      <c r="L137" s="887">
        <f ca="1">IFERROR(__xludf.DUMMYFUNCTION("IMPORTRANGE(""https://docs.google.com/spreadsheets/d/1MeEWN-I1oV_STSDYn1IFDPWt_1FKiwhDph83XaGc0o0/edit?usp=sharing"",""งบพรบ!BK85"")"),0)</f>
        <v>0</v>
      </c>
      <c r="M137" s="887">
        <f ca="1">IFERROR(__xludf.DUMMYFUNCTION("IMPORTRANGE(""https://docs.google.com/spreadsheets/d/1MeEWN-I1oV_STSDYn1IFDPWt_1FKiwhDph83XaGc0o0/edit?usp=sharing"",""งบพรบ!BP85"")"),0)</f>
        <v>0</v>
      </c>
      <c r="N137" s="887">
        <f ca="1">IFERROR(__xludf.DUMMYFUNCTION("IMPORTRANGE(""https://docs.google.com/spreadsheets/d/1MeEWN-I1oV_STSDYn1IFDPWt_1FKiwhDph83XaGc0o0/edit?usp=sharing"",""งบพรบ!BR85"")"),0)</f>
        <v>0</v>
      </c>
      <c r="O137" s="887">
        <f t="shared" ca="1" si="70"/>
        <v>0</v>
      </c>
      <c r="P137" s="887">
        <f t="shared" ca="1" si="71"/>
        <v>0</v>
      </c>
      <c r="Q137" s="875"/>
      <c r="R137" s="875"/>
      <c r="S137" s="875"/>
      <c r="T137" s="875"/>
      <c r="U137" s="875"/>
      <c r="V137" s="875"/>
      <c r="W137" s="875"/>
      <c r="X137" s="875"/>
      <c r="Y137" s="875"/>
      <c r="Z137" s="875"/>
    </row>
    <row r="138" spans="1:26" ht="18.75" hidden="1">
      <c r="A138" s="995"/>
      <c r="B138" s="877"/>
      <c r="C138" s="996"/>
      <c r="D138" s="878" t="s">
        <v>21</v>
      </c>
      <c r="E138" s="877"/>
      <c r="F138" s="877"/>
      <c r="G138" s="879"/>
      <c r="H138" s="168" t="s">
        <v>12</v>
      </c>
      <c r="I138" s="997"/>
      <c r="J138" s="997"/>
      <c r="K138" s="998"/>
      <c r="L138" s="881">
        <f t="shared" ref="L138:N138" ca="1" si="74">L139+L140</f>
        <v>0</v>
      </c>
      <c r="M138" s="881">
        <f t="shared" ca="1" si="74"/>
        <v>0</v>
      </c>
      <c r="N138" s="881">
        <f t="shared" ca="1" si="74"/>
        <v>0</v>
      </c>
      <c r="O138" s="881">
        <f t="shared" ca="1" si="70"/>
        <v>0</v>
      </c>
      <c r="P138" s="881">
        <f t="shared" ca="1" si="71"/>
        <v>0</v>
      </c>
      <c r="Q138" s="868"/>
      <c r="R138" s="868"/>
      <c r="S138" s="868"/>
      <c r="T138" s="868"/>
      <c r="U138" s="868"/>
      <c r="V138" s="868"/>
      <c r="W138" s="868"/>
      <c r="X138" s="868"/>
      <c r="Y138" s="868"/>
      <c r="Z138" s="868"/>
    </row>
    <row r="139" spans="1:26" ht="19.5" hidden="1">
      <c r="A139" s="993"/>
      <c r="B139" s="883"/>
      <c r="C139" s="999"/>
      <c r="D139" s="883"/>
      <c r="E139" s="884" t="s">
        <v>18</v>
      </c>
      <c r="F139" s="883"/>
      <c r="G139" s="994"/>
      <c r="H139" s="165" t="s">
        <v>12</v>
      </c>
      <c r="I139" s="1000"/>
      <c r="J139" s="1000"/>
      <c r="K139" s="1001"/>
      <c r="L139" s="887">
        <v>0</v>
      </c>
      <c r="M139" s="887">
        <v>0</v>
      </c>
      <c r="N139" s="887">
        <v>0</v>
      </c>
      <c r="O139" s="887">
        <f t="shared" si="70"/>
        <v>0</v>
      </c>
      <c r="P139" s="887">
        <f t="shared" si="71"/>
        <v>0</v>
      </c>
      <c r="Q139" s="875"/>
      <c r="R139" s="875"/>
      <c r="S139" s="875"/>
      <c r="T139" s="875"/>
      <c r="U139" s="875"/>
      <c r="V139" s="875"/>
      <c r="W139" s="875"/>
      <c r="X139" s="875"/>
      <c r="Y139" s="875"/>
      <c r="Z139" s="875"/>
    </row>
    <row r="140" spans="1:26" ht="19.5" hidden="1">
      <c r="A140" s="993"/>
      <c r="B140" s="883"/>
      <c r="C140" s="999"/>
      <c r="D140" s="883"/>
      <c r="E140" s="884" t="s">
        <v>19</v>
      </c>
      <c r="F140" s="883"/>
      <c r="G140" s="994"/>
      <c r="H140" s="169" t="s">
        <v>12</v>
      </c>
      <c r="I140" s="1000"/>
      <c r="J140" s="1000"/>
      <c r="K140" s="1001"/>
      <c r="L140" s="887">
        <f ca="1">IFERROR(__xludf.DUMMYFUNCTION("IMPORTRANGE(""https://docs.google.com/spreadsheets/d/1MeEWN-I1oV_STSDYn1IFDPWt_1FKiwhDph83XaGc0o0/edit?usp=sharing"",""งบพรบ!BN85"")"),0)</f>
        <v>0</v>
      </c>
      <c r="M140" s="887">
        <f ca="1">IFERROR(__xludf.DUMMYFUNCTION("IMPORTRANGE(""https://docs.google.com/spreadsheets/d/1MeEWN-I1oV_STSDYn1IFDPWt_1FKiwhDph83XaGc0o0/edit?usp=sharing"",""งบพรบ!BQ85"")"),0)</f>
        <v>0</v>
      </c>
      <c r="N140" s="887">
        <f ca="1">IFERROR(__xludf.DUMMYFUNCTION("IMPORTRANGE(""https://docs.google.com/spreadsheets/d/1MeEWN-I1oV_STSDYn1IFDPWt_1FKiwhDph83XaGc0o0/edit?usp=sharing"",""งบพรบ!BS85"")"),0)</f>
        <v>0</v>
      </c>
      <c r="O140" s="887">
        <f t="shared" ca="1" si="70"/>
        <v>0</v>
      </c>
      <c r="P140" s="887">
        <f t="shared" ca="1" si="71"/>
        <v>0</v>
      </c>
      <c r="Q140" s="875"/>
      <c r="R140" s="875"/>
      <c r="S140" s="875"/>
      <c r="T140" s="875"/>
      <c r="U140" s="875"/>
      <c r="V140" s="875"/>
      <c r="W140" s="875"/>
      <c r="X140" s="875"/>
      <c r="Y140" s="875"/>
      <c r="Z140" s="875"/>
    </row>
    <row r="141" spans="1:26" ht="19.5" hidden="1">
      <c r="A141" s="1002"/>
      <c r="B141" s="1003"/>
      <c r="C141" s="987" t="s">
        <v>16</v>
      </c>
      <c r="D141" s="1004" t="s">
        <v>38</v>
      </c>
      <c r="E141" s="1005"/>
      <c r="F141" s="1005"/>
      <c r="G141" s="1006"/>
      <c r="H141" s="168"/>
      <c r="I141" s="880"/>
      <c r="J141" s="880"/>
      <c r="K141" s="881"/>
      <c r="L141" s="881"/>
      <c r="M141" s="881"/>
      <c r="N141" s="881"/>
      <c r="O141" s="881"/>
      <c r="P141" s="881"/>
    </row>
    <row r="142" spans="1:26" ht="19.5" hidden="1">
      <c r="A142" s="995"/>
      <c r="B142" s="877"/>
      <c r="C142" s="1029"/>
      <c r="D142" s="996" t="s">
        <v>71</v>
      </c>
      <c r="E142" s="878"/>
      <c r="F142" s="877"/>
      <c r="G142" s="1030"/>
      <c r="H142" s="168"/>
      <c r="I142" s="880"/>
      <c r="J142" s="1012">
        <v>0</v>
      </c>
      <c r="K142" s="881"/>
      <c r="L142" s="881"/>
      <c r="M142" s="881"/>
      <c r="N142" s="881"/>
      <c r="O142" s="881"/>
      <c r="P142" s="881"/>
    </row>
    <row r="143" spans="1:26" ht="19.5" hidden="1">
      <c r="A143" s="995"/>
      <c r="B143" s="877"/>
      <c r="C143" s="1029"/>
      <c r="D143" s="996" t="s">
        <v>72</v>
      </c>
      <c r="E143" s="878"/>
      <c r="F143" s="877"/>
      <c r="G143" s="1030"/>
      <c r="H143" s="168" t="s">
        <v>35</v>
      </c>
      <c r="I143" s="880">
        <f ca="1">I145</f>
        <v>0</v>
      </c>
      <c r="J143" s="880">
        <f ca="1">IF(AND(J144&gt;=I144,J145&gt;=I145),J145,0)</f>
        <v>0</v>
      </c>
      <c r="K143" s="881">
        <f t="shared" ref="K143:K146" ca="1" si="75">IF(I143&gt;0,J143*100/I143,0)</f>
        <v>0</v>
      </c>
      <c r="L143" s="881"/>
      <c r="M143" s="881"/>
      <c r="N143" s="881"/>
      <c r="O143" s="881"/>
      <c r="P143" s="881"/>
    </row>
    <row r="144" spans="1:26" ht="19.5" hidden="1">
      <c r="A144" s="995"/>
      <c r="B144" s="877"/>
      <c r="C144" s="1029"/>
      <c r="D144" s="1010"/>
      <c r="E144" s="996" t="s">
        <v>73</v>
      </c>
      <c r="F144" s="877"/>
      <c r="G144" s="1030"/>
      <c r="H144" s="168" t="s">
        <v>35</v>
      </c>
      <c r="I144" s="880">
        <f ca="1">IFERROR(__xludf.DUMMYFUNCTION("IMPORTRANGE(""https://docs.google.com/spreadsheets/d/1QqKyyYR6Q21VydFLVH3TRQUabQu_ym0Zz7PgGX0-kHA/edit?usp=sharing"",""แผน!U85"")"),0)</f>
        <v>0</v>
      </c>
      <c r="J144" s="1012">
        <v>0</v>
      </c>
      <c r="K144" s="881">
        <f t="shared" ca="1" si="75"/>
        <v>0</v>
      </c>
      <c r="L144" s="881"/>
      <c r="M144" s="881"/>
      <c r="N144" s="881"/>
      <c r="O144" s="881"/>
      <c r="P144" s="881"/>
    </row>
    <row r="145" spans="1:26" ht="19.5" hidden="1">
      <c r="A145" s="995"/>
      <c r="B145" s="877"/>
      <c r="C145" s="1029"/>
      <c r="D145" s="1010"/>
      <c r="E145" s="996" t="s">
        <v>74</v>
      </c>
      <c r="F145" s="877"/>
      <c r="G145" s="1030"/>
      <c r="H145" s="168" t="s">
        <v>35</v>
      </c>
      <c r="I145" s="880">
        <f ca="1">IFERROR(__xludf.DUMMYFUNCTION("IMPORTRANGE(""https://docs.google.com/spreadsheets/d/1QqKyyYR6Q21VydFLVH3TRQUabQu_ym0Zz7PgGX0-kHA/edit?usp=sharing"",""แผน!V85"")"),0)</f>
        <v>0</v>
      </c>
      <c r="J145" s="1012">
        <v>0</v>
      </c>
      <c r="K145" s="881">
        <f t="shared" ca="1" si="75"/>
        <v>0</v>
      </c>
      <c r="L145" s="881"/>
      <c r="M145" s="881"/>
      <c r="N145" s="881"/>
      <c r="O145" s="881"/>
      <c r="P145" s="881"/>
    </row>
    <row r="146" spans="1:26" ht="19.5" hidden="1">
      <c r="A146" s="995"/>
      <c r="B146" s="877"/>
      <c r="C146" s="1029"/>
      <c r="D146" s="996" t="s">
        <v>75</v>
      </c>
      <c r="E146" s="878"/>
      <c r="F146" s="877"/>
      <c r="G146" s="1030"/>
      <c r="H146" s="168" t="s">
        <v>66</v>
      </c>
      <c r="I146" s="880">
        <f ca="1">IFERROR(__xludf.DUMMYFUNCTION("IMPORTRANGE(""https://docs.google.com/spreadsheets/d/1QqKyyYR6Q21VydFLVH3TRQUabQu_ym0Zz7PgGX0-kHA/edit?usp=sharing"",""แผน!W85"")"),0)</f>
        <v>0</v>
      </c>
      <c r="J146" s="1012">
        <v>0</v>
      </c>
      <c r="K146" s="881">
        <f t="shared" ca="1" si="75"/>
        <v>0</v>
      </c>
      <c r="L146" s="881"/>
      <c r="M146" s="881"/>
      <c r="N146" s="881"/>
      <c r="O146" s="881"/>
      <c r="P146" s="881"/>
    </row>
    <row r="147" spans="1:26" ht="19.5" hidden="1">
      <c r="A147" s="970" t="s">
        <v>76</v>
      </c>
      <c r="B147" s="971"/>
      <c r="C147" s="1022"/>
      <c r="D147" s="971"/>
      <c r="E147" s="971"/>
      <c r="F147" s="971"/>
      <c r="G147" s="971"/>
      <c r="H147" s="1023"/>
      <c r="I147" s="1024"/>
      <c r="J147" s="1024"/>
      <c r="K147" s="1025"/>
      <c r="L147" s="976"/>
      <c r="M147" s="976"/>
      <c r="N147" s="976"/>
      <c r="O147" s="976"/>
      <c r="P147" s="976"/>
    </row>
    <row r="148" spans="1:26" ht="19.5" hidden="1">
      <c r="A148" s="1031"/>
      <c r="B148" s="978" t="s">
        <v>77</v>
      </c>
      <c r="C148" s="978"/>
      <c r="D148" s="978"/>
      <c r="E148" s="1032"/>
      <c r="F148" s="1033"/>
      <c r="G148" s="1034"/>
      <c r="H148" s="221" t="s">
        <v>35</v>
      </c>
      <c r="I148" s="982">
        <f t="shared" ref="I148:J148" ca="1" si="76">I159</f>
        <v>0</v>
      </c>
      <c r="J148" s="982">
        <f t="shared" si="76"/>
        <v>0</v>
      </c>
      <c r="K148" s="983">
        <f ca="1">IF(I148&gt;0,J148*100/I148,0)</f>
        <v>0</v>
      </c>
      <c r="L148" s="983"/>
      <c r="M148" s="983"/>
      <c r="N148" s="983"/>
      <c r="O148" s="983"/>
      <c r="P148" s="98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85"/>
      <c r="B149" s="986"/>
      <c r="C149" s="987" t="s">
        <v>16</v>
      </c>
      <c r="D149" s="988" t="s">
        <v>17</v>
      </c>
      <c r="E149" s="986"/>
      <c r="F149" s="986"/>
      <c r="G149" s="989"/>
      <c r="H149" s="152" t="s">
        <v>12</v>
      </c>
      <c r="I149" s="990"/>
      <c r="J149" s="990"/>
      <c r="K149" s="991"/>
      <c r="L149" s="992">
        <f t="shared" ref="L149:N149" ca="1" si="77">L150+L151</f>
        <v>0</v>
      </c>
      <c r="M149" s="992">
        <f t="shared" ca="1" si="77"/>
        <v>0</v>
      </c>
      <c r="N149" s="992">
        <f t="shared" ca="1" si="77"/>
        <v>0</v>
      </c>
      <c r="O149" s="992">
        <f t="shared" ref="O149:O157" ca="1" si="78">IF(L149&gt;0,N149*100/L149,0)</f>
        <v>0</v>
      </c>
      <c r="P149" s="992">
        <f t="shared" ref="P149:P157" ca="1" si="79">IF(M149&gt;0,N149*100/M149,0)</f>
        <v>0</v>
      </c>
      <c r="Q149" s="868"/>
      <c r="R149" s="868"/>
      <c r="S149" s="868"/>
      <c r="T149" s="868"/>
      <c r="U149" s="868"/>
      <c r="V149" s="868"/>
      <c r="W149" s="868"/>
      <c r="X149" s="868"/>
      <c r="Y149" s="868"/>
      <c r="Z149" s="868"/>
    </row>
    <row r="150" spans="1:26" ht="18.75" hidden="1">
      <c r="A150" s="993"/>
      <c r="B150" s="883"/>
      <c r="C150" s="883"/>
      <c r="D150" s="883"/>
      <c r="E150" s="884" t="s">
        <v>18</v>
      </c>
      <c r="F150" s="883"/>
      <c r="G150" s="994"/>
      <c r="H150" s="158" t="s">
        <v>12</v>
      </c>
      <c r="I150" s="886"/>
      <c r="J150" s="886"/>
      <c r="K150" s="887"/>
      <c r="L150" s="887">
        <f t="shared" ref="L150:N151" si="80">L153+L156</f>
        <v>0</v>
      </c>
      <c r="M150" s="887">
        <f t="shared" si="80"/>
        <v>0</v>
      </c>
      <c r="N150" s="887">
        <f t="shared" si="80"/>
        <v>0</v>
      </c>
      <c r="O150" s="887">
        <f t="shared" si="78"/>
        <v>0</v>
      </c>
      <c r="P150" s="887">
        <f t="shared" si="79"/>
        <v>0</v>
      </c>
      <c r="Q150" s="875"/>
      <c r="R150" s="875"/>
      <c r="S150" s="875"/>
      <c r="T150" s="875"/>
      <c r="U150" s="875"/>
      <c r="V150" s="875"/>
      <c r="W150" s="875"/>
      <c r="X150" s="875"/>
      <c r="Y150" s="875"/>
      <c r="Z150" s="875"/>
    </row>
    <row r="151" spans="1:26" ht="18.75" hidden="1">
      <c r="A151" s="993"/>
      <c r="B151" s="883"/>
      <c r="C151" s="883"/>
      <c r="D151" s="883"/>
      <c r="E151" s="884" t="s">
        <v>19</v>
      </c>
      <c r="F151" s="883"/>
      <c r="G151" s="994"/>
      <c r="H151" s="158" t="s">
        <v>12</v>
      </c>
      <c r="I151" s="886"/>
      <c r="J151" s="886"/>
      <c r="K151" s="887"/>
      <c r="L151" s="887">
        <f t="shared" ca="1" si="80"/>
        <v>0</v>
      </c>
      <c r="M151" s="887">
        <f t="shared" ca="1" si="80"/>
        <v>0</v>
      </c>
      <c r="N151" s="887">
        <f t="shared" ca="1" si="80"/>
        <v>0</v>
      </c>
      <c r="O151" s="887">
        <f t="shared" ca="1" si="78"/>
        <v>0</v>
      </c>
      <c r="P151" s="887">
        <f t="shared" ca="1" si="79"/>
        <v>0</v>
      </c>
      <c r="Q151" s="875"/>
      <c r="R151" s="875"/>
      <c r="S151" s="875"/>
      <c r="T151" s="875"/>
      <c r="U151" s="875"/>
      <c r="V151" s="875"/>
      <c r="W151" s="875"/>
      <c r="X151" s="875"/>
      <c r="Y151" s="875"/>
      <c r="Z151" s="875"/>
    </row>
    <row r="152" spans="1:26" ht="18.75" hidden="1">
      <c r="A152" s="995"/>
      <c r="B152" s="877"/>
      <c r="C152" s="996"/>
      <c r="D152" s="878" t="s">
        <v>20</v>
      </c>
      <c r="E152" s="877"/>
      <c r="F152" s="877"/>
      <c r="G152" s="879"/>
      <c r="H152" s="161" t="s">
        <v>12</v>
      </c>
      <c r="I152" s="997"/>
      <c r="J152" s="997"/>
      <c r="K152" s="998"/>
      <c r="L152" s="881">
        <f t="shared" ref="L152:N152" ca="1" si="81">L153+L154</f>
        <v>0</v>
      </c>
      <c r="M152" s="881">
        <f t="shared" ca="1" si="81"/>
        <v>0</v>
      </c>
      <c r="N152" s="881">
        <f t="shared" ca="1" si="81"/>
        <v>0</v>
      </c>
      <c r="O152" s="881">
        <f t="shared" ca="1" si="78"/>
        <v>0</v>
      </c>
      <c r="P152" s="881">
        <f t="shared" ca="1" si="79"/>
        <v>0</v>
      </c>
      <c r="Q152" s="868"/>
      <c r="R152" s="868"/>
      <c r="S152" s="868"/>
      <c r="T152" s="868"/>
      <c r="U152" s="868"/>
      <c r="V152" s="868"/>
      <c r="W152" s="868"/>
      <c r="X152" s="868"/>
      <c r="Y152" s="868"/>
      <c r="Z152" s="868"/>
    </row>
    <row r="153" spans="1:26" ht="19.5" hidden="1">
      <c r="A153" s="993"/>
      <c r="B153" s="883"/>
      <c r="C153" s="999"/>
      <c r="D153" s="883"/>
      <c r="E153" s="884" t="s">
        <v>36</v>
      </c>
      <c r="F153" s="883"/>
      <c r="G153" s="994"/>
      <c r="H153" s="165" t="s">
        <v>12</v>
      </c>
      <c r="I153" s="1000"/>
      <c r="J153" s="1000"/>
      <c r="K153" s="1001"/>
      <c r="L153" s="887">
        <v>0</v>
      </c>
      <c r="M153" s="887">
        <v>0</v>
      </c>
      <c r="N153" s="887">
        <v>0</v>
      </c>
      <c r="O153" s="887">
        <f t="shared" si="78"/>
        <v>0</v>
      </c>
      <c r="P153" s="887">
        <f t="shared" si="79"/>
        <v>0</v>
      </c>
      <c r="Q153" s="875"/>
      <c r="R153" s="875"/>
      <c r="S153" s="875"/>
      <c r="T153" s="875"/>
      <c r="U153" s="875"/>
      <c r="V153" s="875"/>
      <c r="W153" s="875"/>
      <c r="X153" s="875"/>
      <c r="Y153" s="875"/>
      <c r="Z153" s="875"/>
    </row>
    <row r="154" spans="1:26" ht="19.5" hidden="1">
      <c r="A154" s="993"/>
      <c r="B154" s="883"/>
      <c r="C154" s="999"/>
      <c r="D154" s="883"/>
      <c r="E154" s="884" t="s">
        <v>37</v>
      </c>
      <c r="F154" s="883"/>
      <c r="G154" s="994"/>
      <c r="H154" s="165" t="s">
        <v>12</v>
      </c>
      <c r="I154" s="1000"/>
      <c r="J154" s="1000"/>
      <c r="K154" s="1001"/>
      <c r="L154" s="887">
        <f ca="1">IFERROR(__xludf.DUMMYFUNCTION("IMPORTRANGE(""https://docs.google.com/spreadsheets/d/1MeEWN-I1oV_STSDYn1IFDPWt_1FKiwhDph83XaGc0o0/edit?usp=sharing"",""งบพรบ!BU85"")"),0)</f>
        <v>0</v>
      </c>
      <c r="M154" s="887">
        <f ca="1">IFERROR(__xludf.DUMMYFUNCTION("IMPORTRANGE(""https://docs.google.com/spreadsheets/d/1MeEWN-I1oV_STSDYn1IFDPWt_1FKiwhDph83XaGc0o0/edit?usp=sharing"",""งบพรบ!BZ85"")"),0)</f>
        <v>0</v>
      </c>
      <c r="N154" s="887">
        <f ca="1">IFERROR(__xludf.DUMMYFUNCTION("IMPORTRANGE(""https://docs.google.com/spreadsheets/d/1MeEWN-I1oV_STSDYn1IFDPWt_1FKiwhDph83XaGc0o0/edit?usp=sharing"",""งบพรบ!CB85"")"),0)</f>
        <v>0</v>
      </c>
      <c r="O154" s="887">
        <f t="shared" ca="1" si="78"/>
        <v>0</v>
      </c>
      <c r="P154" s="887">
        <f t="shared" ca="1" si="79"/>
        <v>0</v>
      </c>
      <c r="Q154" s="875"/>
      <c r="R154" s="875"/>
      <c r="S154" s="875"/>
      <c r="T154" s="875"/>
      <c r="U154" s="875"/>
      <c r="V154" s="875"/>
      <c r="W154" s="875"/>
      <c r="X154" s="875"/>
      <c r="Y154" s="875"/>
      <c r="Z154" s="875"/>
    </row>
    <row r="155" spans="1:26" ht="18.75" hidden="1">
      <c r="A155" s="995"/>
      <c r="B155" s="877"/>
      <c r="C155" s="996"/>
      <c r="D155" s="878" t="s">
        <v>21</v>
      </c>
      <c r="E155" s="877"/>
      <c r="F155" s="877"/>
      <c r="G155" s="879"/>
      <c r="H155" s="168" t="s">
        <v>12</v>
      </c>
      <c r="I155" s="997"/>
      <c r="J155" s="997"/>
      <c r="K155" s="998"/>
      <c r="L155" s="881">
        <f t="shared" ref="L155:N155" ca="1" si="82">L156+L157</f>
        <v>0</v>
      </c>
      <c r="M155" s="881">
        <f t="shared" ca="1" si="82"/>
        <v>0</v>
      </c>
      <c r="N155" s="881">
        <f t="shared" ca="1" si="82"/>
        <v>0</v>
      </c>
      <c r="O155" s="881">
        <f t="shared" ca="1" si="78"/>
        <v>0</v>
      </c>
      <c r="P155" s="881">
        <f t="shared" ca="1" si="79"/>
        <v>0</v>
      </c>
      <c r="Q155" s="868"/>
      <c r="R155" s="868"/>
      <c r="S155" s="868"/>
      <c r="T155" s="868"/>
      <c r="U155" s="868"/>
      <c r="V155" s="868"/>
      <c r="W155" s="868"/>
      <c r="X155" s="868"/>
      <c r="Y155" s="868"/>
      <c r="Z155" s="868"/>
    </row>
    <row r="156" spans="1:26" ht="19.5" hidden="1">
      <c r="A156" s="993"/>
      <c r="B156" s="883"/>
      <c r="C156" s="999"/>
      <c r="D156" s="883"/>
      <c r="E156" s="884" t="s">
        <v>18</v>
      </c>
      <c r="F156" s="883"/>
      <c r="G156" s="994"/>
      <c r="H156" s="165" t="s">
        <v>12</v>
      </c>
      <c r="I156" s="1000"/>
      <c r="J156" s="1000"/>
      <c r="K156" s="1001"/>
      <c r="L156" s="887">
        <v>0</v>
      </c>
      <c r="M156" s="887">
        <v>0</v>
      </c>
      <c r="N156" s="887">
        <v>0</v>
      </c>
      <c r="O156" s="887">
        <f t="shared" si="78"/>
        <v>0</v>
      </c>
      <c r="P156" s="887">
        <f t="shared" si="79"/>
        <v>0</v>
      </c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</row>
    <row r="157" spans="1:26" ht="19.5" hidden="1">
      <c r="A157" s="993"/>
      <c r="B157" s="883"/>
      <c r="C157" s="999"/>
      <c r="D157" s="883"/>
      <c r="E157" s="884" t="s">
        <v>19</v>
      </c>
      <c r="F157" s="883"/>
      <c r="G157" s="994"/>
      <c r="H157" s="169" t="s">
        <v>12</v>
      </c>
      <c r="I157" s="1000"/>
      <c r="J157" s="1000"/>
      <c r="K157" s="1001"/>
      <c r="L157" s="887">
        <f ca="1">IFERROR(__xludf.DUMMYFUNCTION("IMPORTRANGE(""https://docs.google.com/spreadsheets/d/1MeEWN-I1oV_STSDYn1IFDPWt_1FKiwhDph83XaGc0o0/edit?usp=sharing"",""งบพรบ!BX85"")"),0)</f>
        <v>0</v>
      </c>
      <c r="M157" s="887">
        <f ca="1">IFERROR(__xludf.DUMMYFUNCTION("IMPORTRANGE(""https://docs.google.com/spreadsheets/d/1MeEWN-I1oV_STSDYn1IFDPWt_1FKiwhDph83XaGc0o0/edit?usp=sharing"",""งบพรบ!CA85"")"),0)</f>
        <v>0</v>
      </c>
      <c r="N157" s="887">
        <f ca="1">IFERROR(__xludf.DUMMYFUNCTION("IMPORTRANGE(""https://docs.google.com/spreadsheets/d/1MeEWN-I1oV_STSDYn1IFDPWt_1FKiwhDph83XaGc0o0/edit?usp=sharing"",""งบพรบ!CC85"")"),0)</f>
        <v>0</v>
      </c>
      <c r="O157" s="887">
        <f t="shared" ca="1" si="78"/>
        <v>0</v>
      </c>
      <c r="P157" s="887">
        <f t="shared" ca="1" si="79"/>
        <v>0</v>
      </c>
      <c r="Q157" s="875"/>
      <c r="R157" s="875"/>
      <c r="S157" s="875"/>
      <c r="T157" s="875"/>
      <c r="U157" s="875"/>
      <c r="V157" s="875"/>
      <c r="W157" s="875"/>
      <c r="X157" s="875"/>
      <c r="Y157" s="875"/>
      <c r="Z157" s="875"/>
    </row>
    <row r="158" spans="1:26" ht="19.5" hidden="1">
      <c r="A158" s="1002"/>
      <c r="B158" s="1003"/>
      <c r="C158" s="999" t="s">
        <v>16</v>
      </c>
      <c r="D158" s="1004" t="s">
        <v>38</v>
      </c>
      <c r="E158" s="1005"/>
      <c r="F158" s="1005"/>
      <c r="G158" s="1006"/>
      <c r="H158" s="168"/>
      <c r="I158" s="880"/>
      <c r="J158" s="880"/>
      <c r="K158" s="881"/>
      <c r="L158" s="881"/>
      <c r="M158" s="881"/>
      <c r="N158" s="881"/>
      <c r="O158" s="881"/>
      <c r="P158" s="881"/>
    </row>
    <row r="159" spans="1:26" ht="19.5" hidden="1">
      <c r="A159" s="995"/>
      <c r="B159" s="877"/>
      <c r="C159" s="1029"/>
      <c r="D159" s="996" t="s">
        <v>78</v>
      </c>
      <c r="E159" s="878"/>
      <c r="F159" s="877"/>
      <c r="G159" s="1030"/>
      <c r="H159" s="168" t="s">
        <v>35</v>
      </c>
      <c r="I159" s="880">
        <f ca="1">IFERROR(__xludf.DUMMYFUNCTION("IMPORTRANGE(""https://docs.google.com/spreadsheets/d/1QqKyyYR6Q21VydFLVH3TRQUabQu_ym0Zz7PgGX0-kHA/edit?usp=sharing"",""แผน!X85"")"),0)</f>
        <v>0</v>
      </c>
      <c r="J159" s="1012">
        <v>0</v>
      </c>
      <c r="K159" s="881">
        <f ca="1">IF(I159&gt;0,J159*100/I159,0)</f>
        <v>0</v>
      </c>
      <c r="L159" s="881"/>
      <c r="M159" s="881"/>
      <c r="N159" s="881"/>
      <c r="O159" s="881"/>
      <c r="P159" s="881"/>
    </row>
    <row r="160" spans="1:26" ht="19.5" hidden="1">
      <c r="A160" s="993"/>
      <c r="B160" s="883"/>
      <c r="C160" s="999"/>
      <c r="D160" s="884" t="s">
        <v>79</v>
      </c>
      <c r="E160" s="1035"/>
      <c r="F160" s="883"/>
      <c r="G160" s="994"/>
      <c r="H160" s="169" t="s">
        <v>35</v>
      </c>
      <c r="I160" s="886"/>
      <c r="J160" s="886"/>
      <c r="K160" s="887"/>
      <c r="L160" s="887"/>
      <c r="M160" s="887"/>
      <c r="N160" s="887"/>
      <c r="O160" s="887"/>
      <c r="P160" s="88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232" t="s">
        <v>35</v>
      </c>
      <c r="I161" s="1042"/>
      <c r="J161" s="1042"/>
      <c r="K161" s="1043"/>
      <c r="L161" s="1043"/>
      <c r="M161" s="1043"/>
      <c r="N161" s="1043"/>
      <c r="O161" s="1043"/>
      <c r="P161" s="104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44" t="s">
        <v>81</v>
      </c>
      <c r="B162" s="1045"/>
      <c r="C162" s="1045"/>
      <c r="D162" s="1045"/>
      <c r="E162" s="1046"/>
      <c r="F162" s="1046"/>
      <c r="G162" s="1047"/>
      <c r="H162" s="1048"/>
      <c r="I162" s="1049"/>
      <c r="J162" s="1049"/>
      <c r="K162" s="1050"/>
      <c r="L162" s="1050"/>
      <c r="M162" s="1050"/>
      <c r="N162" s="1050"/>
      <c r="O162" s="1050"/>
      <c r="P162" s="1050"/>
    </row>
    <row r="163" spans="1:26" ht="19.5">
      <c r="A163" s="1051" t="s">
        <v>82</v>
      </c>
      <c r="B163" s="1052"/>
      <c r="C163" s="1052"/>
      <c r="D163" s="1053"/>
      <c r="E163" s="1053"/>
      <c r="F163" s="1053"/>
      <c r="G163" s="1054"/>
      <c r="H163" s="1055"/>
      <c r="I163" s="1056"/>
      <c r="J163" s="1056"/>
      <c r="K163" s="1057"/>
      <c r="L163" s="1057"/>
      <c r="M163" s="1057"/>
      <c r="N163" s="1057"/>
      <c r="O163" s="1057"/>
      <c r="P163" s="1057"/>
    </row>
    <row r="164" spans="1:26" ht="19.5">
      <c r="A164" s="1058"/>
      <c r="B164" s="1059" t="s">
        <v>83</v>
      </c>
      <c r="C164" s="1060"/>
      <c r="D164" s="1005"/>
      <c r="E164" s="1005"/>
      <c r="F164" s="1005"/>
      <c r="G164" s="1006"/>
      <c r="H164" s="252" t="s">
        <v>35</v>
      </c>
      <c r="I164" s="1075">
        <f t="shared" ref="I164:J164" ca="1" si="83">I174+I177</f>
        <v>10</v>
      </c>
      <c r="J164" s="1075">
        <f t="shared" si="83"/>
        <v>10</v>
      </c>
      <c r="K164" s="1076">
        <f ca="1">IF(I164&gt;0,J164*100/I164,0)</f>
        <v>100</v>
      </c>
      <c r="L164" s="1062"/>
      <c r="M164" s="1062"/>
      <c r="N164" s="1062"/>
      <c r="O164" s="1062"/>
      <c r="P164" s="1062"/>
    </row>
    <row r="165" spans="1:26" ht="19.5">
      <c r="A165" s="985"/>
      <c r="B165" s="986"/>
      <c r="C165" s="987" t="s">
        <v>16</v>
      </c>
      <c r="D165" s="988" t="s">
        <v>17</v>
      </c>
      <c r="E165" s="986"/>
      <c r="F165" s="986"/>
      <c r="G165" s="989"/>
      <c r="H165" s="152" t="s">
        <v>12</v>
      </c>
      <c r="I165" s="990"/>
      <c r="J165" s="990"/>
      <c r="K165" s="991"/>
      <c r="L165" s="992">
        <f t="shared" ref="L165:N165" ca="1" si="84">L166+L167</f>
        <v>21050</v>
      </c>
      <c r="M165" s="992">
        <f t="shared" ca="1" si="84"/>
        <v>36610</v>
      </c>
      <c r="N165" s="992">
        <f t="shared" ca="1" si="84"/>
        <v>33569</v>
      </c>
      <c r="O165" s="992">
        <f t="shared" ref="O165:O173" ca="1" si="85">IF(L165&gt;0,N165*100/L165,0)</f>
        <v>159.47268408551068</v>
      </c>
      <c r="P165" s="992">
        <f t="shared" ref="P165:P173" ca="1" si="86">IF(M165&gt;0,N165*100/M165,0)</f>
        <v>91.693526358918334</v>
      </c>
      <c r="Q165" s="868"/>
      <c r="R165" s="868"/>
      <c r="S165" s="868"/>
      <c r="T165" s="868"/>
      <c r="U165" s="868"/>
      <c r="V165" s="868"/>
      <c r="W165" s="868"/>
      <c r="X165" s="868"/>
      <c r="Y165" s="868"/>
      <c r="Z165" s="868"/>
    </row>
    <row r="166" spans="1:26" ht="18.75" hidden="1">
      <c r="A166" s="993"/>
      <c r="B166" s="883"/>
      <c r="C166" s="883"/>
      <c r="D166" s="883"/>
      <c r="E166" s="884" t="s">
        <v>18</v>
      </c>
      <c r="F166" s="883"/>
      <c r="G166" s="994"/>
      <c r="H166" s="158" t="s">
        <v>12</v>
      </c>
      <c r="I166" s="886"/>
      <c r="J166" s="886"/>
      <c r="K166" s="887"/>
      <c r="L166" s="887">
        <f t="shared" ref="L166:N167" si="87">L169+L172</f>
        <v>0</v>
      </c>
      <c r="M166" s="887">
        <f t="shared" si="87"/>
        <v>0</v>
      </c>
      <c r="N166" s="887">
        <f t="shared" si="87"/>
        <v>0</v>
      </c>
      <c r="O166" s="887">
        <f t="shared" si="85"/>
        <v>0</v>
      </c>
      <c r="P166" s="887">
        <f t="shared" si="86"/>
        <v>0</v>
      </c>
      <c r="Q166" s="875"/>
      <c r="R166" s="875"/>
      <c r="S166" s="875"/>
      <c r="T166" s="875"/>
      <c r="U166" s="875"/>
      <c r="V166" s="875"/>
      <c r="W166" s="875"/>
      <c r="X166" s="875"/>
      <c r="Y166" s="875"/>
      <c r="Z166" s="875"/>
    </row>
    <row r="167" spans="1:26" ht="18.75" hidden="1">
      <c r="A167" s="993"/>
      <c r="B167" s="883"/>
      <c r="C167" s="883"/>
      <c r="D167" s="883"/>
      <c r="E167" s="884" t="s">
        <v>19</v>
      </c>
      <c r="F167" s="883"/>
      <c r="G167" s="994"/>
      <c r="H167" s="158" t="s">
        <v>12</v>
      </c>
      <c r="I167" s="886"/>
      <c r="J167" s="886"/>
      <c r="K167" s="887"/>
      <c r="L167" s="887">
        <f t="shared" ca="1" si="87"/>
        <v>21050</v>
      </c>
      <c r="M167" s="887">
        <f t="shared" ca="1" si="87"/>
        <v>36610</v>
      </c>
      <c r="N167" s="887">
        <f t="shared" ca="1" si="87"/>
        <v>33569</v>
      </c>
      <c r="O167" s="887">
        <f t="shared" ca="1" si="85"/>
        <v>159.47268408551068</v>
      </c>
      <c r="P167" s="887">
        <f t="shared" ca="1" si="86"/>
        <v>91.693526358918334</v>
      </c>
      <c r="Q167" s="875"/>
      <c r="R167" s="875"/>
      <c r="S167" s="875"/>
      <c r="T167" s="875"/>
      <c r="U167" s="875"/>
      <c r="V167" s="875"/>
      <c r="W167" s="875"/>
      <c r="X167" s="875"/>
      <c r="Y167" s="875"/>
      <c r="Z167" s="875"/>
    </row>
    <row r="168" spans="1:26" ht="18.75">
      <c r="A168" s="995"/>
      <c r="B168" s="877"/>
      <c r="C168" s="996"/>
      <c r="D168" s="878" t="s">
        <v>20</v>
      </c>
      <c r="E168" s="877"/>
      <c r="F168" s="877"/>
      <c r="G168" s="879"/>
      <c r="H168" s="161" t="s">
        <v>12</v>
      </c>
      <c r="I168" s="997"/>
      <c r="J168" s="997"/>
      <c r="K168" s="998"/>
      <c r="L168" s="881">
        <f t="shared" ref="L168:N168" ca="1" si="88">L169+L170</f>
        <v>21050</v>
      </c>
      <c r="M168" s="881">
        <f t="shared" ca="1" si="88"/>
        <v>36610</v>
      </c>
      <c r="N168" s="881">
        <f t="shared" ca="1" si="88"/>
        <v>33569</v>
      </c>
      <c r="O168" s="881">
        <f t="shared" ca="1" si="85"/>
        <v>159.47268408551068</v>
      </c>
      <c r="P168" s="881">
        <f t="shared" ca="1" si="86"/>
        <v>91.693526358918334</v>
      </c>
      <c r="Q168" s="868"/>
      <c r="R168" s="868"/>
      <c r="S168" s="868"/>
      <c r="T168" s="868"/>
      <c r="U168" s="868"/>
      <c r="V168" s="868"/>
      <c r="W168" s="868"/>
      <c r="X168" s="868"/>
      <c r="Y168" s="868"/>
      <c r="Z168" s="868"/>
    </row>
    <row r="169" spans="1:26" ht="19.5" hidden="1">
      <c r="A169" s="993"/>
      <c r="B169" s="883"/>
      <c r="C169" s="999"/>
      <c r="D169" s="883"/>
      <c r="E169" s="884" t="s">
        <v>36</v>
      </c>
      <c r="F169" s="883"/>
      <c r="G169" s="994"/>
      <c r="H169" s="165" t="s">
        <v>12</v>
      </c>
      <c r="I169" s="1000"/>
      <c r="J169" s="1000"/>
      <c r="K169" s="1001"/>
      <c r="L169" s="887">
        <v>0</v>
      </c>
      <c r="M169" s="887">
        <v>0</v>
      </c>
      <c r="N169" s="887">
        <v>0</v>
      </c>
      <c r="O169" s="887">
        <f t="shared" si="85"/>
        <v>0</v>
      </c>
      <c r="P169" s="887">
        <f t="shared" si="86"/>
        <v>0</v>
      </c>
      <c r="Q169" s="875"/>
      <c r="R169" s="875"/>
      <c r="S169" s="875"/>
      <c r="T169" s="875"/>
      <c r="U169" s="875"/>
      <c r="V169" s="875"/>
      <c r="W169" s="875"/>
      <c r="X169" s="875"/>
      <c r="Y169" s="875"/>
      <c r="Z169" s="875"/>
    </row>
    <row r="170" spans="1:26" ht="19.5" hidden="1">
      <c r="A170" s="993"/>
      <c r="B170" s="883"/>
      <c r="C170" s="999"/>
      <c r="D170" s="883"/>
      <c r="E170" s="884" t="s">
        <v>37</v>
      </c>
      <c r="F170" s="883"/>
      <c r="G170" s="994"/>
      <c r="H170" s="165" t="s">
        <v>12</v>
      </c>
      <c r="I170" s="1000"/>
      <c r="J170" s="1000"/>
      <c r="K170" s="1001"/>
      <c r="L170" s="887">
        <f ca="1">IFERROR(__xludf.DUMMYFUNCTION("IMPORTRANGE(""https://docs.google.com/spreadsheets/d/1MeEWN-I1oV_STSDYn1IFDPWt_1FKiwhDph83XaGc0o0/edit?usp=sharing"",""งบพรบ!CE85"")"),21050)</f>
        <v>21050</v>
      </c>
      <c r="M170" s="887">
        <f ca="1">IFERROR(__xludf.DUMMYFUNCTION("IMPORTRANGE(""https://docs.google.com/spreadsheets/d/1MeEWN-I1oV_STSDYn1IFDPWt_1FKiwhDph83XaGc0o0/edit?usp=sharing"",""งบพรบ!CJ85"")"),36610)</f>
        <v>36610</v>
      </c>
      <c r="N170" s="887">
        <f ca="1">IFERROR(__xludf.DUMMYFUNCTION("IMPORTRANGE(""https://docs.google.com/spreadsheets/d/1MeEWN-I1oV_STSDYn1IFDPWt_1FKiwhDph83XaGc0o0/edit?usp=sharing"",""งบพรบ!CL85"")"),33569)</f>
        <v>33569</v>
      </c>
      <c r="O170" s="887">
        <f t="shared" ca="1" si="85"/>
        <v>159.47268408551068</v>
      </c>
      <c r="P170" s="887">
        <f t="shared" ca="1" si="86"/>
        <v>91.693526358918334</v>
      </c>
      <c r="Q170" s="875"/>
      <c r="R170" s="875"/>
      <c r="S170" s="875"/>
      <c r="T170" s="875"/>
      <c r="U170" s="875"/>
      <c r="V170" s="875"/>
      <c r="W170" s="875"/>
      <c r="X170" s="875"/>
      <c r="Y170" s="875"/>
      <c r="Z170" s="875"/>
    </row>
    <row r="171" spans="1:26" ht="18.75">
      <c r="A171" s="995"/>
      <c r="B171" s="877"/>
      <c r="C171" s="996"/>
      <c r="D171" s="878" t="s">
        <v>21</v>
      </c>
      <c r="E171" s="877"/>
      <c r="F171" s="877"/>
      <c r="G171" s="879"/>
      <c r="H171" s="168" t="s">
        <v>12</v>
      </c>
      <c r="I171" s="997"/>
      <c r="J171" s="997"/>
      <c r="K171" s="998"/>
      <c r="L171" s="881">
        <f t="shared" ref="L171:N171" ca="1" si="89">L172+L173</f>
        <v>0</v>
      </c>
      <c r="M171" s="881">
        <f t="shared" ca="1" si="89"/>
        <v>0</v>
      </c>
      <c r="N171" s="881">
        <f t="shared" ca="1" si="89"/>
        <v>0</v>
      </c>
      <c r="O171" s="881">
        <f t="shared" ca="1" si="85"/>
        <v>0</v>
      </c>
      <c r="P171" s="881">
        <f t="shared" ca="1" si="86"/>
        <v>0</v>
      </c>
      <c r="Q171" s="868"/>
      <c r="R171" s="868"/>
      <c r="S171" s="868"/>
      <c r="T171" s="868"/>
      <c r="U171" s="868"/>
      <c r="V171" s="868"/>
      <c r="W171" s="868"/>
      <c r="X171" s="868"/>
      <c r="Y171" s="868"/>
      <c r="Z171" s="868"/>
    </row>
    <row r="172" spans="1:26" ht="19.5" hidden="1">
      <c r="A172" s="993"/>
      <c r="B172" s="883"/>
      <c r="C172" s="999"/>
      <c r="D172" s="883"/>
      <c r="E172" s="884" t="s">
        <v>18</v>
      </c>
      <c r="F172" s="883"/>
      <c r="G172" s="994"/>
      <c r="H172" s="165" t="s">
        <v>12</v>
      </c>
      <c r="I172" s="1000"/>
      <c r="J172" s="1000"/>
      <c r="K172" s="1001"/>
      <c r="L172" s="887">
        <v>0</v>
      </c>
      <c r="M172" s="887">
        <v>0</v>
      </c>
      <c r="N172" s="887">
        <v>0</v>
      </c>
      <c r="O172" s="887">
        <f t="shared" si="85"/>
        <v>0</v>
      </c>
      <c r="P172" s="887">
        <f t="shared" si="86"/>
        <v>0</v>
      </c>
      <c r="Q172" s="875"/>
      <c r="R172" s="875"/>
      <c r="S172" s="875"/>
      <c r="T172" s="875"/>
      <c r="U172" s="875"/>
      <c r="V172" s="875"/>
      <c r="W172" s="875"/>
      <c r="X172" s="875"/>
      <c r="Y172" s="875"/>
      <c r="Z172" s="875"/>
    </row>
    <row r="173" spans="1:26" ht="19.5" hidden="1">
      <c r="A173" s="993"/>
      <c r="B173" s="883"/>
      <c r="C173" s="999"/>
      <c r="D173" s="883"/>
      <c r="E173" s="884" t="s">
        <v>19</v>
      </c>
      <c r="F173" s="883"/>
      <c r="G173" s="994"/>
      <c r="H173" s="169" t="s">
        <v>12</v>
      </c>
      <c r="I173" s="1000"/>
      <c r="J173" s="1000"/>
      <c r="K173" s="1001"/>
      <c r="L173" s="887">
        <f ca="1">IFERROR(__xludf.DUMMYFUNCTION("IMPORTRANGE(""https://docs.google.com/spreadsheets/d/1MeEWN-I1oV_STSDYn1IFDPWt_1FKiwhDph83XaGc0o0/edit?usp=sharing"",""งบพรบ!CH85"")"),0)</f>
        <v>0</v>
      </c>
      <c r="M173" s="887">
        <f ca="1">IFERROR(__xludf.DUMMYFUNCTION("IMPORTRANGE(""https://docs.google.com/spreadsheets/d/1MeEWN-I1oV_STSDYn1IFDPWt_1FKiwhDph83XaGc0o0/edit?usp=sharing"",""งบพรบ!CK85"")"),0)</f>
        <v>0</v>
      </c>
      <c r="N173" s="887">
        <f ca="1">IFERROR(__xludf.DUMMYFUNCTION("IMPORTRANGE(""https://docs.google.com/spreadsheets/d/1MeEWN-I1oV_STSDYn1IFDPWt_1FKiwhDph83XaGc0o0/edit?usp=sharing"",""งบพรบ!CM85"")"),0)</f>
        <v>0</v>
      </c>
      <c r="O173" s="887">
        <f t="shared" ca="1" si="85"/>
        <v>0</v>
      </c>
      <c r="P173" s="887">
        <f t="shared" ca="1" si="86"/>
        <v>0</v>
      </c>
      <c r="Q173" s="875"/>
      <c r="R173" s="875"/>
      <c r="S173" s="875"/>
      <c r="T173" s="875"/>
      <c r="U173" s="875"/>
      <c r="V173" s="875"/>
      <c r="W173" s="875"/>
      <c r="X173" s="875"/>
      <c r="Y173" s="875"/>
      <c r="Z173" s="875"/>
    </row>
    <row r="174" spans="1:26" ht="19.5">
      <c r="A174" s="1063"/>
      <c r="B174" s="1064"/>
      <c r="C174" s="1065" t="s">
        <v>84</v>
      </c>
      <c r="D174" s="1064"/>
      <c r="E174" s="1064"/>
      <c r="F174" s="1064"/>
      <c r="G174" s="1066"/>
      <c r="H174" s="260" t="s">
        <v>35</v>
      </c>
      <c r="I174" s="1067">
        <f t="shared" ref="I174:J174" ca="1" si="90">I176</f>
        <v>10</v>
      </c>
      <c r="J174" s="1067">
        <f t="shared" si="90"/>
        <v>10</v>
      </c>
      <c r="K174" s="1068">
        <f ca="1">IF(I174&gt;0,J174*100/I174,0)</f>
        <v>100</v>
      </c>
      <c r="L174" s="1068"/>
      <c r="M174" s="1068"/>
      <c r="N174" s="1068"/>
      <c r="O174" s="1068"/>
      <c r="P174" s="1068"/>
    </row>
    <row r="175" spans="1:26" ht="19.5">
      <c r="A175" s="1002"/>
      <c r="B175" s="1003"/>
      <c r="C175" s="999" t="s">
        <v>16</v>
      </c>
      <c r="D175" s="1004" t="s">
        <v>38</v>
      </c>
      <c r="E175" s="1005"/>
      <c r="F175" s="1005"/>
      <c r="G175" s="1006"/>
      <c r="H175" s="1007"/>
      <c r="I175" s="997"/>
      <c r="J175" s="997"/>
      <c r="K175" s="998"/>
      <c r="L175" s="998"/>
      <c r="M175" s="998"/>
      <c r="N175" s="998"/>
      <c r="O175" s="998"/>
      <c r="P175" s="998"/>
    </row>
    <row r="176" spans="1:26" ht="18.75">
      <c r="A176" s="1002"/>
      <c r="B176" s="1003"/>
      <c r="C176" s="1003"/>
      <c r="D176" s="1069" t="s">
        <v>85</v>
      </c>
      <c r="E176" s="1010"/>
      <c r="F176" s="1010"/>
      <c r="G176" s="1011"/>
      <c r="H176" s="622" t="s">
        <v>35</v>
      </c>
      <c r="I176" s="880">
        <f ca="1">IFERROR(__xludf.DUMMYFUNCTION("IMPORTRANGE(""https://docs.google.com/spreadsheets/d/1QqKyyYR6Q21VydFLVH3TRQUabQu_ym0Zz7PgGX0-kHA/edit?usp=sharing"",""แผน!Y85"")"),10)</f>
        <v>10</v>
      </c>
      <c r="J176" s="1012">
        <v>10</v>
      </c>
      <c r="K176" s="998">
        <f ca="1">IF(I176&gt;0,J176*100/I176,0)</f>
        <v>100</v>
      </c>
      <c r="L176" s="998"/>
      <c r="M176" s="998"/>
      <c r="N176" s="998"/>
      <c r="O176" s="998"/>
      <c r="P176" s="998"/>
    </row>
    <row r="177" spans="1:26" ht="19.5" hidden="1">
      <c r="A177" s="1063"/>
      <c r="B177" s="1070"/>
      <c r="C177" s="1071" t="s">
        <v>86</v>
      </c>
      <c r="D177" s="1070"/>
      <c r="E177" s="1064"/>
      <c r="F177" s="1064"/>
      <c r="G177" s="1066"/>
      <c r="H177" s="266" t="s">
        <v>35</v>
      </c>
      <c r="I177" s="1067"/>
      <c r="J177" s="1067">
        <f>J179</f>
        <v>0</v>
      </c>
      <c r="K177" s="1068"/>
      <c r="L177" s="1068"/>
      <c r="M177" s="1068"/>
      <c r="N177" s="1068"/>
      <c r="O177" s="1068"/>
      <c r="P177" s="1068"/>
    </row>
    <row r="178" spans="1:26" ht="19.5" hidden="1">
      <c r="A178" s="1002"/>
      <c r="B178" s="1003"/>
      <c r="C178" s="999" t="s">
        <v>16</v>
      </c>
      <c r="D178" s="1072" t="s">
        <v>38</v>
      </c>
      <c r="E178" s="1005"/>
      <c r="F178" s="1005"/>
      <c r="G178" s="1006"/>
      <c r="H178" s="1007"/>
      <c r="I178" s="997"/>
      <c r="J178" s="997"/>
      <c r="K178" s="998"/>
      <c r="L178" s="998"/>
      <c r="M178" s="998"/>
      <c r="N178" s="998"/>
      <c r="O178" s="998"/>
      <c r="P178" s="998"/>
    </row>
    <row r="179" spans="1:26" ht="18.75" hidden="1">
      <c r="A179" s="1002"/>
      <c r="B179" s="1003"/>
      <c r="C179" s="1003"/>
      <c r="D179" s="1073" t="s">
        <v>87</v>
      </c>
      <c r="E179" s="1010"/>
      <c r="F179" s="1074"/>
      <c r="G179" s="1011"/>
      <c r="H179" s="43" t="s">
        <v>35</v>
      </c>
      <c r="I179" s="880"/>
      <c r="J179" s="880"/>
      <c r="K179" s="998"/>
      <c r="L179" s="998"/>
      <c r="M179" s="998"/>
      <c r="N179" s="998"/>
      <c r="O179" s="998"/>
      <c r="P179" s="998"/>
    </row>
    <row r="180" spans="1:26" ht="19.5">
      <c r="A180" s="1058"/>
      <c r="B180" s="1059" t="s">
        <v>88</v>
      </c>
      <c r="C180" s="1060"/>
      <c r="D180" s="1005"/>
      <c r="E180" s="1005"/>
      <c r="F180" s="1005"/>
      <c r="G180" s="1006"/>
      <c r="H180" s="252" t="s">
        <v>35</v>
      </c>
      <c r="I180" s="1075" t="e">
        <f t="shared" ref="I180:J180" ca="1" si="91">I225+I226</f>
        <v>#VALUE!</v>
      </c>
      <c r="J180" s="1075">
        <f t="shared" si="91"/>
        <v>0</v>
      </c>
      <c r="K180" s="1076" t="e">
        <f ca="1">IF(I180&gt;0,J180*100/I180,0)</f>
        <v>#VALUE!</v>
      </c>
      <c r="L180" s="1062"/>
      <c r="M180" s="1062"/>
      <c r="N180" s="1062"/>
      <c r="O180" s="1062"/>
      <c r="P180" s="1062"/>
    </row>
    <row r="181" spans="1:26" ht="19.5">
      <c r="A181" s="985"/>
      <c r="B181" s="986"/>
      <c r="C181" s="987" t="s">
        <v>16</v>
      </c>
      <c r="D181" s="988" t="s">
        <v>17</v>
      </c>
      <c r="E181" s="986"/>
      <c r="F181" s="986"/>
      <c r="G181" s="989"/>
      <c r="H181" s="152" t="s">
        <v>12</v>
      </c>
      <c r="I181" s="990"/>
      <c r="J181" s="990"/>
      <c r="K181" s="991"/>
      <c r="L181" s="992">
        <f t="shared" ref="L181:N181" ca="1" si="92">L182+L183</f>
        <v>182100</v>
      </c>
      <c r="M181" s="992">
        <f t="shared" ca="1" si="92"/>
        <v>137500</v>
      </c>
      <c r="N181" s="992">
        <f t="shared" ca="1" si="92"/>
        <v>44132</v>
      </c>
      <c r="O181" s="992">
        <f t="shared" ref="O181:O189" ca="1" si="93">IF(L181&gt;0,N181*100/L181,0)</f>
        <v>24.235035694673257</v>
      </c>
      <c r="P181" s="992">
        <f t="shared" ref="P181:P189" ca="1" si="94">IF(M181&gt;0,N181*100/M181,0)</f>
        <v>32.095999999999997</v>
      </c>
      <c r="Q181" s="868"/>
      <c r="R181" s="868"/>
      <c r="S181" s="868"/>
      <c r="T181" s="868"/>
      <c r="U181" s="868"/>
      <c r="V181" s="868"/>
      <c r="W181" s="868"/>
      <c r="X181" s="868"/>
      <c r="Y181" s="868"/>
      <c r="Z181" s="868"/>
    </row>
    <row r="182" spans="1:26" ht="18.75" hidden="1">
      <c r="A182" s="993"/>
      <c r="B182" s="883"/>
      <c r="C182" s="883"/>
      <c r="D182" s="883"/>
      <c r="E182" s="884" t="s">
        <v>18</v>
      </c>
      <c r="F182" s="883"/>
      <c r="G182" s="994"/>
      <c r="H182" s="158" t="s">
        <v>12</v>
      </c>
      <c r="I182" s="886"/>
      <c r="J182" s="886"/>
      <c r="K182" s="887"/>
      <c r="L182" s="887">
        <f t="shared" ref="L182:N183" si="95">L185+L188</f>
        <v>0</v>
      </c>
      <c r="M182" s="887">
        <f t="shared" si="95"/>
        <v>0</v>
      </c>
      <c r="N182" s="887">
        <f t="shared" si="95"/>
        <v>0</v>
      </c>
      <c r="O182" s="887">
        <f t="shared" si="93"/>
        <v>0</v>
      </c>
      <c r="P182" s="887">
        <f t="shared" si="94"/>
        <v>0</v>
      </c>
      <c r="Q182" s="875"/>
      <c r="R182" s="875"/>
      <c r="S182" s="875"/>
      <c r="T182" s="875"/>
      <c r="U182" s="875"/>
      <c r="V182" s="875"/>
      <c r="W182" s="875"/>
      <c r="X182" s="875"/>
      <c r="Y182" s="875"/>
      <c r="Z182" s="875"/>
    </row>
    <row r="183" spans="1:26" ht="18.75" hidden="1">
      <c r="A183" s="993"/>
      <c r="B183" s="883"/>
      <c r="C183" s="883"/>
      <c r="D183" s="883"/>
      <c r="E183" s="884" t="s">
        <v>19</v>
      </c>
      <c r="F183" s="883"/>
      <c r="G183" s="994"/>
      <c r="H183" s="158" t="s">
        <v>12</v>
      </c>
      <c r="I183" s="886"/>
      <c r="J183" s="886"/>
      <c r="K183" s="887"/>
      <c r="L183" s="887">
        <f t="shared" ca="1" si="95"/>
        <v>182100</v>
      </c>
      <c r="M183" s="887">
        <f t="shared" ca="1" si="95"/>
        <v>137500</v>
      </c>
      <c r="N183" s="887">
        <f t="shared" ca="1" si="95"/>
        <v>44132</v>
      </c>
      <c r="O183" s="887">
        <f t="shared" ca="1" si="93"/>
        <v>24.235035694673257</v>
      </c>
      <c r="P183" s="887">
        <f t="shared" ca="1" si="94"/>
        <v>32.095999999999997</v>
      </c>
      <c r="Q183" s="875"/>
      <c r="R183" s="875"/>
      <c r="S183" s="875"/>
      <c r="T183" s="875"/>
      <c r="U183" s="875"/>
      <c r="V183" s="875"/>
      <c r="W183" s="875"/>
      <c r="X183" s="875"/>
      <c r="Y183" s="875"/>
      <c r="Z183" s="875"/>
    </row>
    <row r="184" spans="1:26" ht="18.75">
      <c r="A184" s="995"/>
      <c r="B184" s="877"/>
      <c r="C184" s="996"/>
      <c r="D184" s="878" t="s">
        <v>20</v>
      </c>
      <c r="E184" s="877"/>
      <c r="F184" s="877"/>
      <c r="G184" s="879"/>
      <c r="H184" s="161" t="s">
        <v>12</v>
      </c>
      <c r="I184" s="997"/>
      <c r="J184" s="997"/>
      <c r="K184" s="998"/>
      <c r="L184" s="881">
        <f t="shared" ref="L184:N184" ca="1" si="96">L185+L186</f>
        <v>182100</v>
      </c>
      <c r="M184" s="881">
        <f t="shared" ca="1" si="96"/>
        <v>137500</v>
      </c>
      <c r="N184" s="881">
        <f t="shared" ca="1" si="96"/>
        <v>44132</v>
      </c>
      <c r="O184" s="881">
        <f t="shared" ca="1" si="93"/>
        <v>24.235035694673257</v>
      </c>
      <c r="P184" s="881">
        <f t="shared" ca="1" si="94"/>
        <v>32.095999999999997</v>
      </c>
      <c r="Q184" s="868"/>
      <c r="R184" s="868"/>
      <c r="S184" s="868"/>
      <c r="T184" s="868"/>
      <c r="U184" s="868"/>
      <c r="V184" s="868"/>
      <c r="W184" s="868"/>
      <c r="X184" s="868"/>
      <c r="Y184" s="868"/>
      <c r="Z184" s="868"/>
    </row>
    <row r="185" spans="1:26" ht="19.5" hidden="1">
      <c r="A185" s="993"/>
      <c r="B185" s="883"/>
      <c r="C185" s="999"/>
      <c r="D185" s="883"/>
      <c r="E185" s="884" t="s">
        <v>36</v>
      </c>
      <c r="F185" s="883"/>
      <c r="G185" s="994"/>
      <c r="H185" s="165" t="s">
        <v>12</v>
      </c>
      <c r="I185" s="1000"/>
      <c r="J185" s="1000"/>
      <c r="K185" s="1001"/>
      <c r="L185" s="887">
        <v>0</v>
      </c>
      <c r="M185" s="887">
        <v>0</v>
      </c>
      <c r="N185" s="887">
        <v>0</v>
      </c>
      <c r="O185" s="887">
        <f t="shared" si="93"/>
        <v>0</v>
      </c>
      <c r="P185" s="887">
        <f t="shared" si="94"/>
        <v>0</v>
      </c>
      <c r="Q185" s="875"/>
      <c r="R185" s="875"/>
      <c r="S185" s="875"/>
      <c r="T185" s="875"/>
      <c r="U185" s="875"/>
      <c r="V185" s="875"/>
      <c r="W185" s="875"/>
      <c r="X185" s="875"/>
      <c r="Y185" s="875"/>
      <c r="Z185" s="875"/>
    </row>
    <row r="186" spans="1:26" ht="19.5" hidden="1">
      <c r="A186" s="993"/>
      <c r="B186" s="883"/>
      <c r="C186" s="999"/>
      <c r="D186" s="883"/>
      <c r="E186" s="884" t="s">
        <v>37</v>
      </c>
      <c r="F186" s="883"/>
      <c r="G186" s="994"/>
      <c r="H186" s="165" t="s">
        <v>12</v>
      </c>
      <c r="I186" s="1000"/>
      <c r="J186" s="1000"/>
      <c r="K186" s="1001"/>
      <c r="L186" s="887">
        <f ca="1">IFERROR(__xludf.DUMMYFUNCTION("IMPORTRANGE(""https://docs.google.com/spreadsheets/d/1MeEWN-I1oV_STSDYn1IFDPWt_1FKiwhDph83XaGc0o0/edit?usp=sharing"",""งบพรบ!CO85"")"),182100)</f>
        <v>182100</v>
      </c>
      <c r="M186" s="887">
        <f ca="1">IFERROR(__xludf.DUMMYFUNCTION("IMPORTRANGE(""https://docs.google.com/spreadsheets/d/1MeEWN-I1oV_STSDYn1IFDPWt_1FKiwhDph83XaGc0o0/edit?usp=sharing"",""งบพรบ!CT85"")"),137500)</f>
        <v>137500</v>
      </c>
      <c r="N186" s="887">
        <f ca="1">IFERROR(__xludf.DUMMYFUNCTION("IMPORTRANGE(""https://docs.google.com/spreadsheets/d/1MeEWN-I1oV_STSDYn1IFDPWt_1FKiwhDph83XaGc0o0/edit?usp=sharing"",""งบพรบ!CV85"")"),44132)</f>
        <v>44132</v>
      </c>
      <c r="O186" s="887">
        <f t="shared" ca="1" si="93"/>
        <v>24.235035694673257</v>
      </c>
      <c r="P186" s="887">
        <f t="shared" ca="1" si="94"/>
        <v>32.095999999999997</v>
      </c>
      <c r="Q186" s="875"/>
      <c r="R186" s="875"/>
      <c r="S186" s="875"/>
      <c r="T186" s="875"/>
      <c r="U186" s="875"/>
      <c r="V186" s="875"/>
      <c r="W186" s="875"/>
      <c r="X186" s="875"/>
      <c r="Y186" s="875"/>
      <c r="Z186" s="875"/>
    </row>
    <row r="187" spans="1:26" ht="18.75">
      <c r="A187" s="995"/>
      <c r="B187" s="877"/>
      <c r="C187" s="996"/>
      <c r="D187" s="878" t="s">
        <v>21</v>
      </c>
      <c r="E187" s="877"/>
      <c r="F187" s="877"/>
      <c r="G187" s="879"/>
      <c r="H187" s="168" t="s">
        <v>12</v>
      </c>
      <c r="I187" s="997"/>
      <c r="J187" s="997"/>
      <c r="K187" s="998"/>
      <c r="L187" s="881">
        <f t="shared" ref="L187:N187" ca="1" si="97">L188+L189</f>
        <v>0</v>
      </c>
      <c r="M187" s="881">
        <f t="shared" ca="1" si="97"/>
        <v>0</v>
      </c>
      <c r="N187" s="881">
        <f t="shared" ca="1" si="97"/>
        <v>0</v>
      </c>
      <c r="O187" s="881">
        <f t="shared" ca="1" si="93"/>
        <v>0</v>
      </c>
      <c r="P187" s="881">
        <f t="shared" ca="1" si="94"/>
        <v>0</v>
      </c>
      <c r="Q187" s="868"/>
      <c r="R187" s="868"/>
      <c r="S187" s="868"/>
      <c r="T187" s="868"/>
      <c r="U187" s="868"/>
      <c r="V187" s="868"/>
      <c r="W187" s="868"/>
      <c r="X187" s="868"/>
      <c r="Y187" s="868"/>
      <c r="Z187" s="868"/>
    </row>
    <row r="188" spans="1:26" ht="19.5" hidden="1">
      <c r="A188" s="993"/>
      <c r="B188" s="883"/>
      <c r="C188" s="999"/>
      <c r="D188" s="883"/>
      <c r="E188" s="884" t="s">
        <v>18</v>
      </c>
      <c r="F188" s="883"/>
      <c r="G188" s="994"/>
      <c r="H188" s="165" t="s">
        <v>12</v>
      </c>
      <c r="I188" s="1000"/>
      <c r="J188" s="1000"/>
      <c r="K188" s="1001"/>
      <c r="L188" s="887">
        <v>0</v>
      </c>
      <c r="M188" s="887">
        <v>0</v>
      </c>
      <c r="N188" s="887">
        <v>0</v>
      </c>
      <c r="O188" s="887">
        <f t="shared" si="93"/>
        <v>0</v>
      </c>
      <c r="P188" s="887">
        <f t="shared" si="94"/>
        <v>0</v>
      </c>
      <c r="Q188" s="875"/>
      <c r="R188" s="875"/>
      <c r="S188" s="875"/>
      <c r="T188" s="875"/>
      <c r="U188" s="875"/>
      <c r="V188" s="875"/>
      <c r="W188" s="875"/>
      <c r="X188" s="875"/>
      <c r="Y188" s="875"/>
      <c r="Z188" s="875"/>
    </row>
    <row r="189" spans="1:26" ht="19.5" hidden="1">
      <c r="A189" s="993"/>
      <c r="B189" s="883"/>
      <c r="C189" s="999"/>
      <c r="D189" s="883"/>
      <c r="E189" s="884" t="s">
        <v>19</v>
      </c>
      <c r="F189" s="883"/>
      <c r="G189" s="994"/>
      <c r="H189" s="169" t="s">
        <v>12</v>
      </c>
      <c r="I189" s="1000"/>
      <c r="J189" s="1000"/>
      <c r="K189" s="1001"/>
      <c r="L189" s="887">
        <f ca="1">IFERROR(__xludf.DUMMYFUNCTION("IMPORTRANGE(""https://docs.google.com/spreadsheets/d/1MeEWN-I1oV_STSDYn1IFDPWt_1FKiwhDph83XaGc0o0/edit?usp=sharing"",""งบพรบ!CR85"")"),0)</f>
        <v>0</v>
      </c>
      <c r="M189" s="887">
        <f ca="1">IFERROR(__xludf.DUMMYFUNCTION("IMPORTRANGE(""https://docs.google.com/spreadsheets/d/1MeEWN-I1oV_STSDYn1IFDPWt_1FKiwhDph83XaGc0o0/edit?usp=sharing"",""งบพรบ!CU85"")"),0)</f>
        <v>0</v>
      </c>
      <c r="N189" s="887">
        <f ca="1">IFERROR(__xludf.DUMMYFUNCTION("IMPORTRANGE(""https://docs.google.com/spreadsheets/d/1MeEWN-I1oV_STSDYn1IFDPWt_1FKiwhDph83XaGc0o0/edit?usp=sharing"",""งบพรบ!CW85"")"),0)</f>
        <v>0</v>
      </c>
      <c r="O189" s="887">
        <f t="shared" ca="1" si="93"/>
        <v>0</v>
      </c>
      <c r="P189" s="887">
        <f t="shared" ca="1" si="94"/>
        <v>0</v>
      </c>
      <c r="Q189" s="875"/>
      <c r="R189" s="875"/>
      <c r="S189" s="875"/>
      <c r="T189" s="875"/>
      <c r="U189" s="875"/>
      <c r="V189" s="875"/>
      <c r="W189" s="875"/>
      <c r="X189" s="875"/>
      <c r="Y189" s="875"/>
      <c r="Z189" s="875"/>
    </row>
    <row r="190" spans="1:26" ht="19.5">
      <c r="A190" s="1063"/>
      <c r="B190" s="1070"/>
      <c r="C190" s="1077" t="s">
        <v>89</v>
      </c>
      <c r="D190" s="1064"/>
      <c r="E190" s="1064"/>
      <c r="F190" s="1064"/>
      <c r="G190" s="1066"/>
      <c r="H190" s="260" t="s">
        <v>90</v>
      </c>
      <c r="I190" s="1078">
        <f t="shared" ref="I190:J190" ca="1" si="98">I193</f>
        <v>4</v>
      </c>
      <c r="J190" s="1078">
        <f t="shared" si="98"/>
        <v>2</v>
      </c>
      <c r="K190" s="1079">
        <f ca="1">IF(I190&gt;0,J190*100/I190,0)</f>
        <v>50</v>
      </c>
      <c r="L190" s="1068"/>
      <c r="M190" s="1068"/>
      <c r="N190" s="1068"/>
      <c r="O190" s="1068"/>
      <c r="P190" s="1068"/>
    </row>
    <row r="191" spans="1:26" ht="19.5">
      <c r="A191" s="985"/>
      <c r="B191" s="986"/>
      <c r="C191" s="987" t="s">
        <v>16</v>
      </c>
      <c r="D191" s="1080" t="s">
        <v>17</v>
      </c>
      <c r="E191" s="986"/>
      <c r="F191" s="986"/>
      <c r="G191" s="989"/>
      <c r="H191" s="275" t="s">
        <v>12</v>
      </c>
      <c r="I191" s="990"/>
      <c r="J191" s="990"/>
      <c r="K191" s="991"/>
      <c r="L191" s="992">
        <f ca="1">IFERROR(__xludf.DUMMYFUNCTION("IMPORTRANGE(""https://docs.google.com/spreadsheets/d/1QqKyyYR6Q21VydFLVH3TRQUabQu_ym0Zz7PgGX0-kHA/edit?usp=sharing"",""แผน!Z85"")"),6000)</f>
        <v>6000</v>
      </c>
      <c r="M191" s="992"/>
      <c r="N191" s="1081">
        <v>3000</v>
      </c>
      <c r="O191" s="992">
        <f ca="1">IF(L191&gt;0,N191*100/L191,0)</f>
        <v>50</v>
      </c>
      <c r="P191" s="992">
        <f>IF(M191&gt;0,N191*100/M191,0)</f>
        <v>0</v>
      </c>
      <c r="Q191" s="868"/>
      <c r="R191" s="868"/>
      <c r="S191" s="868"/>
      <c r="T191" s="868"/>
      <c r="U191" s="868"/>
      <c r="V191" s="868"/>
      <c r="W191" s="868"/>
      <c r="X191" s="868"/>
      <c r="Y191" s="868"/>
      <c r="Z191" s="868"/>
    </row>
    <row r="192" spans="1:26" ht="19.5">
      <c r="A192" s="1002"/>
      <c r="B192" s="1003"/>
      <c r="C192" s="1029" t="s">
        <v>16</v>
      </c>
      <c r="D192" s="1004" t="s">
        <v>38</v>
      </c>
      <c r="E192" s="1005"/>
      <c r="F192" s="1005"/>
      <c r="G192" s="1006"/>
      <c r="H192" s="1007"/>
      <c r="I192" s="880"/>
      <c r="J192" s="880"/>
      <c r="K192" s="881"/>
      <c r="L192" s="881"/>
      <c r="M192" s="881"/>
      <c r="N192" s="881"/>
      <c r="O192" s="881"/>
      <c r="P192" s="881"/>
      <c r="Q192" s="868"/>
      <c r="R192" s="868"/>
      <c r="S192" s="868"/>
      <c r="T192" s="868"/>
      <c r="U192" s="868"/>
      <c r="V192" s="868"/>
      <c r="W192" s="868"/>
      <c r="X192" s="868"/>
      <c r="Y192" s="868"/>
      <c r="Z192" s="868"/>
    </row>
    <row r="193" spans="1:26" ht="18.75">
      <c r="A193" s="1002"/>
      <c r="B193" s="1003"/>
      <c r="C193" s="1003"/>
      <c r="D193" s="1009" t="s">
        <v>91</v>
      </c>
      <c r="E193" s="1010"/>
      <c r="F193" s="1010"/>
      <c r="G193" s="1011"/>
      <c r="H193" s="762" t="s">
        <v>90</v>
      </c>
      <c r="I193" s="880">
        <f ca="1">IFERROR(__xludf.DUMMYFUNCTION("IMPORTRANGE(""https://docs.google.com/spreadsheets/d/1QqKyyYR6Q21VydFLVH3TRQUabQu_ym0Zz7PgGX0-kHA/edit?usp=sharing"",""แผน!AC85"")"),4)</f>
        <v>4</v>
      </c>
      <c r="J193" s="1012">
        <v>2</v>
      </c>
      <c r="K193" s="881">
        <f ca="1">IF(I193&gt;0,J193*100/I193,0)</f>
        <v>50</v>
      </c>
      <c r="L193" s="881"/>
      <c r="M193" s="881"/>
      <c r="N193" s="881"/>
      <c r="O193" s="881"/>
      <c r="P193" s="881"/>
      <c r="Q193" s="868"/>
      <c r="R193" s="868"/>
      <c r="S193" s="868"/>
      <c r="T193" s="868"/>
      <c r="U193" s="868"/>
      <c r="V193" s="868"/>
      <c r="W193" s="868"/>
      <c r="X193" s="868"/>
      <c r="Y193" s="868"/>
      <c r="Z193" s="868"/>
    </row>
    <row r="194" spans="1:26" ht="18.75">
      <c r="A194" s="1002"/>
      <c r="B194" s="1003"/>
      <c r="C194" s="1003"/>
      <c r="D194" s="1009" t="s">
        <v>92</v>
      </c>
      <c r="E194" s="1010"/>
      <c r="F194" s="1010"/>
      <c r="G194" s="1011"/>
      <c r="H194" s="277" t="s">
        <v>35</v>
      </c>
      <c r="I194" s="880"/>
      <c r="J194" s="880">
        <f>J195+J196</f>
        <v>85</v>
      </c>
      <c r="K194" s="881"/>
      <c r="L194" s="881"/>
      <c r="M194" s="881"/>
      <c r="N194" s="881"/>
      <c r="O194" s="881"/>
      <c r="P194" s="881"/>
      <c r="Q194" s="868"/>
      <c r="R194" s="868"/>
      <c r="S194" s="868"/>
      <c r="T194" s="868"/>
      <c r="U194" s="868"/>
      <c r="V194" s="868"/>
      <c r="W194" s="868"/>
      <c r="X194" s="868"/>
      <c r="Y194" s="868"/>
      <c r="Z194" s="868"/>
    </row>
    <row r="195" spans="1:26" ht="18.75">
      <c r="A195" s="1002"/>
      <c r="B195" s="1003"/>
      <c r="C195" s="1003"/>
      <c r="D195" s="1003"/>
      <c r="E195" s="1009" t="s">
        <v>93</v>
      </c>
      <c r="F195" s="1010"/>
      <c r="G195" s="1011"/>
      <c r="H195" s="277" t="s">
        <v>35</v>
      </c>
      <c r="I195" s="880"/>
      <c r="J195" s="1012">
        <v>85</v>
      </c>
      <c r="K195" s="881"/>
      <c r="L195" s="881"/>
      <c r="M195" s="881"/>
      <c r="N195" s="881"/>
      <c r="O195" s="881"/>
      <c r="P195" s="881"/>
      <c r="Q195" s="868"/>
      <c r="R195" s="868"/>
      <c r="S195" s="868"/>
      <c r="T195" s="868"/>
      <c r="U195" s="868"/>
      <c r="V195" s="868"/>
      <c r="W195" s="868"/>
      <c r="X195" s="868"/>
      <c r="Y195" s="868"/>
      <c r="Z195" s="868"/>
    </row>
    <row r="196" spans="1:26" ht="18.75">
      <c r="A196" s="1002"/>
      <c r="B196" s="1003"/>
      <c r="C196" s="1003"/>
      <c r="D196" s="1003"/>
      <c r="E196" s="1009" t="s">
        <v>94</v>
      </c>
      <c r="F196" s="1010"/>
      <c r="G196" s="1011"/>
      <c r="H196" s="277" t="s">
        <v>35</v>
      </c>
      <c r="I196" s="880"/>
      <c r="J196" s="1012">
        <v>0</v>
      </c>
      <c r="K196" s="881"/>
      <c r="L196" s="881"/>
      <c r="M196" s="881"/>
      <c r="N196" s="881"/>
      <c r="O196" s="881"/>
      <c r="P196" s="881"/>
      <c r="Q196" s="868"/>
      <c r="R196" s="868"/>
      <c r="S196" s="868"/>
      <c r="T196" s="868"/>
      <c r="U196" s="868"/>
      <c r="V196" s="868"/>
      <c r="W196" s="868"/>
      <c r="X196" s="868"/>
      <c r="Y196" s="868"/>
      <c r="Z196" s="868"/>
    </row>
    <row r="197" spans="1:26" ht="19.5">
      <c r="A197" s="1063"/>
      <c r="B197" s="1070"/>
      <c r="C197" s="1077" t="s">
        <v>95</v>
      </c>
      <c r="D197" s="1064"/>
      <c r="E197" s="1064"/>
      <c r="F197" s="1064"/>
      <c r="G197" s="1066"/>
      <c r="H197" s="278" t="s">
        <v>96</v>
      </c>
      <c r="I197" s="1078">
        <f t="shared" ref="I197:J197" ca="1" si="99">I204</f>
        <v>2</v>
      </c>
      <c r="J197" s="1078">
        <f t="shared" si="99"/>
        <v>2</v>
      </c>
      <c r="K197" s="1079">
        <f ca="1">IF(I197&gt;0,J197*100/I197,0)</f>
        <v>100</v>
      </c>
      <c r="L197" s="1068"/>
      <c r="M197" s="1068"/>
      <c r="N197" s="1068"/>
      <c r="O197" s="1068"/>
      <c r="P197" s="1068"/>
    </row>
    <row r="198" spans="1:26" ht="19.5">
      <c r="A198" s="985"/>
      <c r="B198" s="986"/>
      <c r="C198" s="987" t="s">
        <v>16</v>
      </c>
      <c r="D198" s="1080" t="s">
        <v>17</v>
      </c>
      <c r="E198" s="986"/>
      <c r="F198" s="986"/>
      <c r="G198" s="989"/>
      <c r="H198" s="275" t="s">
        <v>12</v>
      </c>
      <c r="I198" s="1082"/>
      <c r="J198" s="1082"/>
      <c r="K198" s="1083"/>
      <c r="L198" s="992">
        <f ca="1">L199+L200+L201+L202</f>
        <v>26000</v>
      </c>
      <c r="M198" s="992"/>
      <c r="N198" s="992">
        <f>N199+N200+N201+N202</f>
        <v>15535</v>
      </c>
      <c r="O198" s="992">
        <f ca="1">IF(L198&gt;0,N198*100/L198,0)</f>
        <v>59.75</v>
      </c>
      <c r="P198" s="992">
        <f>IF(M198&gt;0,N198*100/M198,0)</f>
        <v>0</v>
      </c>
      <c r="Q198" s="868"/>
      <c r="R198" s="868"/>
      <c r="S198" s="868"/>
      <c r="T198" s="868"/>
      <c r="U198" s="868"/>
      <c r="V198" s="868"/>
      <c r="W198" s="868"/>
      <c r="X198" s="868"/>
      <c r="Y198" s="868"/>
      <c r="Z198" s="868"/>
    </row>
    <row r="199" spans="1:26" ht="18.75">
      <c r="A199" s="995"/>
      <c r="B199" s="1084"/>
      <c r="C199" s="877"/>
      <c r="D199" s="996" t="s">
        <v>97</v>
      </c>
      <c r="E199" s="877"/>
      <c r="F199" s="877"/>
      <c r="G199" s="879"/>
      <c r="H199" s="161" t="s">
        <v>12</v>
      </c>
      <c r="I199" s="997"/>
      <c r="J199" s="997"/>
      <c r="K199" s="998"/>
      <c r="L199" s="881">
        <f ca="1">IFERROR(__xludf.DUMMYFUNCTION("IMPORTRANGE(""https://docs.google.com/spreadsheets/d/1QqKyyYR6Q21VydFLVH3TRQUabQu_ym0Zz7PgGX0-kHA/edit?usp=sharing"",""แผน!AE85"")"),2000)</f>
        <v>2000</v>
      </c>
      <c r="M199" s="881"/>
      <c r="N199" s="1085">
        <v>0</v>
      </c>
      <c r="O199" s="881"/>
      <c r="P199" s="881"/>
      <c r="Q199" s="868"/>
      <c r="R199" s="868"/>
      <c r="S199" s="868"/>
      <c r="T199" s="868"/>
      <c r="U199" s="868"/>
      <c r="V199" s="868"/>
      <c r="W199" s="868"/>
      <c r="X199" s="868"/>
      <c r="Y199" s="868"/>
      <c r="Z199" s="868"/>
    </row>
    <row r="200" spans="1:26" ht="19.5">
      <c r="A200" s="1086"/>
      <c r="B200" s="1084"/>
      <c r="C200" s="1029"/>
      <c r="D200" s="996" t="s">
        <v>98</v>
      </c>
      <c r="E200" s="877"/>
      <c r="F200" s="877"/>
      <c r="G200" s="879"/>
      <c r="H200" s="622" t="s">
        <v>12</v>
      </c>
      <c r="I200" s="880"/>
      <c r="J200" s="880"/>
      <c r="K200" s="881"/>
      <c r="L200" s="881">
        <f ca="1">IFERROR(__xludf.DUMMYFUNCTION("IMPORTRANGE(""https://docs.google.com/spreadsheets/d/1QqKyyYR6Q21VydFLVH3TRQUabQu_ym0Zz7PgGX0-kHA/edit?usp=sharing"",""แผน!AF85"")"),16000)</f>
        <v>16000</v>
      </c>
      <c r="M200" s="881"/>
      <c r="N200" s="1085">
        <v>15535</v>
      </c>
      <c r="O200" s="881"/>
      <c r="P200" s="881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</row>
    <row r="201" spans="1:26" ht="19.5">
      <c r="A201" s="1086"/>
      <c r="B201" s="1084"/>
      <c r="C201" s="1029"/>
      <c r="D201" s="996" t="s">
        <v>99</v>
      </c>
      <c r="E201" s="877"/>
      <c r="F201" s="877"/>
      <c r="G201" s="879"/>
      <c r="H201" s="622" t="s">
        <v>12</v>
      </c>
      <c r="I201" s="880"/>
      <c r="J201" s="880"/>
      <c r="K201" s="881"/>
      <c r="L201" s="881">
        <f ca="1">IFERROR(__xludf.DUMMYFUNCTION("IMPORTRANGE(""https://docs.google.com/spreadsheets/d/1QqKyyYR6Q21VydFLVH3TRQUabQu_ym0Zz7PgGX0-kHA/edit?usp=sharing"",""แผน!AG85"")"),8000)</f>
        <v>8000</v>
      </c>
      <c r="M201" s="881"/>
      <c r="N201" s="1085">
        <v>0</v>
      </c>
      <c r="O201" s="881"/>
      <c r="P201" s="881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</row>
    <row r="202" spans="1:26" ht="19.5">
      <c r="A202" s="1086"/>
      <c r="B202" s="1084"/>
      <c r="C202" s="1029"/>
      <c r="D202" s="996" t="s">
        <v>100</v>
      </c>
      <c r="E202" s="877"/>
      <c r="F202" s="877"/>
      <c r="G202" s="879"/>
      <c r="H202" s="622" t="s">
        <v>12</v>
      </c>
      <c r="I202" s="880"/>
      <c r="J202" s="880"/>
      <c r="K202" s="881"/>
      <c r="L202" s="881">
        <f ca="1">IFERROR(__xludf.DUMMYFUNCTION("IMPORTRANGE(""https://docs.google.com/spreadsheets/d/1QqKyyYR6Q21VydFLVH3TRQUabQu_ym0Zz7PgGX0-kHA/edit?usp=sharing"",""แผน!AH85"")"),0)</f>
        <v>0</v>
      </c>
      <c r="M202" s="881"/>
      <c r="N202" s="1085">
        <v>0</v>
      </c>
      <c r="O202" s="881"/>
      <c r="P202" s="881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</row>
    <row r="203" spans="1:26" ht="19.5">
      <c r="A203" s="1002"/>
      <c r="B203" s="1003"/>
      <c r="C203" s="1029" t="s">
        <v>16</v>
      </c>
      <c r="D203" s="1004" t="s">
        <v>38</v>
      </c>
      <c r="E203" s="1005"/>
      <c r="F203" s="1005"/>
      <c r="G203" s="1006"/>
      <c r="H203" s="1007"/>
      <c r="I203" s="997"/>
      <c r="J203" s="997"/>
      <c r="K203" s="998"/>
      <c r="L203" s="998"/>
      <c r="M203" s="998"/>
      <c r="N203" s="998"/>
      <c r="O203" s="998"/>
      <c r="P203" s="99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</row>
    <row r="204" spans="1:26" ht="18.75">
      <c r="A204" s="1002"/>
      <c r="B204" s="1003"/>
      <c r="C204" s="1003"/>
      <c r="D204" s="1008" t="s">
        <v>101</v>
      </c>
      <c r="E204" s="1010"/>
      <c r="F204" s="1010"/>
      <c r="G204" s="1011"/>
      <c r="H204" s="1007" t="s">
        <v>96</v>
      </c>
      <c r="I204" s="880">
        <f ca="1">IFERROR(__xludf.DUMMYFUNCTION("IMPORTRANGE(""https://docs.google.com/spreadsheets/d/1QqKyyYR6Q21VydFLVH3TRQUabQu_ym0Zz7PgGX0-kHA/edit?usp=sharing"",""แผน!AI85"")"),2)</f>
        <v>2</v>
      </c>
      <c r="J204" s="1012">
        <v>2</v>
      </c>
      <c r="K204" s="998">
        <f ca="1">IF(I204&gt;0,J204*100/I204,0)</f>
        <v>100</v>
      </c>
      <c r="L204" s="881"/>
      <c r="M204" s="881"/>
      <c r="N204" s="881"/>
      <c r="O204" s="881"/>
      <c r="P204" s="881"/>
      <c r="Q204" s="868"/>
      <c r="R204" s="868"/>
      <c r="S204" s="868"/>
      <c r="T204" s="868"/>
      <c r="U204" s="868"/>
      <c r="V204" s="868"/>
      <c r="W204" s="868"/>
      <c r="X204" s="868"/>
      <c r="Y204" s="868"/>
      <c r="Z204" s="868"/>
    </row>
    <row r="205" spans="1:26" ht="18.75">
      <c r="A205" s="1002"/>
      <c r="B205" s="1003"/>
      <c r="C205" s="1003"/>
      <c r="D205" s="1009" t="s">
        <v>59</v>
      </c>
      <c r="E205" s="1010"/>
      <c r="F205" s="1010"/>
      <c r="G205" s="1011"/>
      <c r="H205" s="1007"/>
      <c r="I205" s="880"/>
      <c r="J205" s="880"/>
      <c r="K205" s="998"/>
      <c r="L205" s="881"/>
      <c r="M205" s="881"/>
      <c r="N205" s="881"/>
      <c r="O205" s="881"/>
      <c r="P205" s="881"/>
      <c r="Q205" s="868"/>
      <c r="R205" s="868"/>
      <c r="S205" s="868"/>
      <c r="T205" s="868"/>
      <c r="U205" s="868"/>
      <c r="V205" s="868"/>
      <c r="W205" s="868"/>
      <c r="X205" s="868"/>
      <c r="Y205" s="868"/>
      <c r="Z205" s="868"/>
    </row>
    <row r="206" spans="1:26" ht="18.75">
      <c r="A206" s="1002"/>
      <c r="B206" s="1003"/>
      <c r="C206" s="1003"/>
      <c r="D206" s="1010"/>
      <c r="E206" s="1021" t="s">
        <v>102</v>
      </c>
      <c r="F206" s="1088"/>
      <c r="G206" s="1089"/>
      <c r="H206" s="1090" t="s">
        <v>96</v>
      </c>
      <c r="I206" s="880">
        <v>2</v>
      </c>
      <c r="J206" s="1012">
        <v>0</v>
      </c>
      <c r="K206" s="998">
        <f t="shared" ref="K206:K208" si="100">IF(I206&gt;0,J206*100/I206,0)</f>
        <v>0</v>
      </c>
      <c r="L206" s="881"/>
      <c r="M206" s="881"/>
      <c r="N206" s="881"/>
      <c r="O206" s="881"/>
      <c r="P206" s="881"/>
      <c r="Q206" s="868"/>
      <c r="R206" s="868"/>
      <c r="S206" s="868"/>
      <c r="T206" s="868"/>
      <c r="U206" s="868"/>
      <c r="V206" s="868"/>
      <c r="W206" s="868"/>
      <c r="X206" s="868"/>
      <c r="Y206" s="868"/>
      <c r="Z206" s="868"/>
    </row>
    <row r="207" spans="1:26" ht="18.75">
      <c r="A207" s="1002"/>
      <c r="B207" s="1003"/>
      <c r="C207" s="1003"/>
      <c r="D207" s="1009"/>
      <c r="E207" s="1009" t="s">
        <v>103</v>
      </c>
      <c r="F207" s="1010"/>
      <c r="G207" s="1010"/>
      <c r="H207" s="290" t="s">
        <v>104</v>
      </c>
      <c r="I207" s="880">
        <v>0</v>
      </c>
      <c r="J207" s="1012">
        <v>0</v>
      </c>
      <c r="K207" s="998">
        <f t="shared" si="100"/>
        <v>0</v>
      </c>
      <c r="L207" s="881"/>
      <c r="M207" s="881"/>
      <c r="N207" s="881"/>
      <c r="O207" s="881"/>
      <c r="P207" s="881"/>
      <c r="Q207" s="868"/>
      <c r="R207" s="868"/>
      <c r="S207" s="868"/>
      <c r="T207" s="868"/>
      <c r="U207" s="868"/>
      <c r="V207" s="868"/>
      <c r="W207" s="868"/>
      <c r="X207" s="868"/>
      <c r="Y207" s="868"/>
      <c r="Z207" s="868"/>
    </row>
    <row r="208" spans="1:26" ht="19.5" hidden="1">
      <c r="A208" s="1063"/>
      <c r="B208" s="1070"/>
      <c r="C208" s="1077" t="s">
        <v>105</v>
      </c>
      <c r="D208" s="1064"/>
      <c r="E208" s="1064"/>
      <c r="F208" s="1091"/>
      <c r="G208" s="1066"/>
      <c r="H208" s="278" t="s">
        <v>96</v>
      </c>
      <c r="I208" s="1078">
        <f t="shared" ref="I208:J208" ca="1" si="101">I215</f>
        <v>0</v>
      </c>
      <c r="J208" s="1078">
        <f t="shared" si="101"/>
        <v>0</v>
      </c>
      <c r="K208" s="1079">
        <f t="shared" ca="1" si="100"/>
        <v>0</v>
      </c>
      <c r="L208" s="1068"/>
      <c r="M208" s="1068"/>
      <c r="N208" s="1068"/>
      <c r="O208" s="1068"/>
      <c r="P208" s="1068"/>
    </row>
    <row r="209" spans="1:26" ht="19.5" hidden="1">
      <c r="A209" s="985"/>
      <c r="B209" s="986"/>
      <c r="C209" s="987" t="s">
        <v>16</v>
      </c>
      <c r="D209" s="1080" t="s">
        <v>17</v>
      </c>
      <c r="E209" s="986"/>
      <c r="F209" s="986"/>
      <c r="G209" s="989"/>
      <c r="H209" s="275" t="s">
        <v>12</v>
      </c>
      <c r="I209" s="1082"/>
      <c r="J209" s="1082"/>
      <c r="K209" s="1083"/>
      <c r="L209" s="992">
        <f ca="1">L210+L211+L212</f>
        <v>0</v>
      </c>
      <c r="M209" s="992"/>
      <c r="N209" s="992">
        <f>N210+N211+N212</f>
        <v>0</v>
      </c>
      <c r="O209" s="992">
        <f ca="1">IF(L209&gt;0,N209*100/L209,0)</f>
        <v>0</v>
      </c>
      <c r="P209" s="992">
        <f>IF(M209&gt;0,N209*100/M209,0)</f>
        <v>0</v>
      </c>
      <c r="Q209" s="868"/>
      <c r="R209" s="868"/>
      <c r="S209" s="868"/>
      <c r="T209" s="868"/>
      <c r="U209" s="868"/>
      <c r="V209" s="868"/>
      <c r="W209" s="868"/>
      <c r="X209" s="868"/>
      <c r="Y209" s="868"/>
      <c r="Z209" s="868"/>
    </row>
    <row r="210" spans="1:26" ht="18.75" hidden="1">
      <c r="A210" s="995"/>
      <c r="B210" s="1084"/>
      <c r="C210" s="877"/>
      <c r="D210" s="996" t="s">
        <v>97</v>
      </c>
      <c r="E210" s="877"/>
      <c r="F210" s="877"/>
      <c r="G210" s="879"/>
      <c r="H210" s="161" t="s">
        <v>12</v>
      </c>
      <c r="I210" s="997"/>
      <c r="J210" s="997"/>
      <c r="K210" s="998"/>
      <c r="L210" s="881">
        <f ca="1">IFERROR(__xludf.DUMMYFUNCTION("IMPORTRANGE(""https://docs.google.com/spreadsheets/d/1QqKyyYR6Q21VydFLVH3TRQUabQu_ym0Zz7PgGX0-kHA/edit?usp=sharing"",""แผน!AK85"")"),0)</f>
        <v>0</v>
      </c>
      <c r="M210" s="881"/>
      <c r="N210" s="1085">
        <v>0</v>
      </c>
      <c r="O210" s="881"/>
      <c r="P210" s="881"/>
      <c r="Q210" s="868"/>
      <c r="R210" s="868"/>
      <c r="S210" s="868"/>
      <c r="T210" s="868"/>
      <c r="U210" s="868"/>
      <c r="V210" s="868"/>
      <c r="W210" s="868"/>
      <c r="X210" s="868"/>
      <c r="Y210" s="868"/>
      <c r="Z210" s="868"/>
    </row>
    <row r="211" spans="1:26" ht="19.5" hidden="1">
      <c r="A211" s="1086"/>
      <c r="B211" s="1084"/>
      <c r="C211" s="1092"/>
      <c r="D211" s="996" t="s">
        <v>99</v>
      </c>
      <c r="E211" s="877"/>
      <c r="F211" s="877"/>
      <c r="G211" s="879"/>
      <c r="H211" s="161" t="s">
        <v>12</v>
      </c>
      <c r="I211" s="880"/>
      <c r="J211" s="880"/>
      <c r="K211" s="881"/>
      <c r="L211" s="881">
        <f ca="1">IFERROR(__xludf.DUMMYFUNCTION("IMPORTRANGE(""https://docs.google.com/spreadsheets/d/1QqKyyYR6Q21VydFLVH3TRQUabQu_ym0Zz7PgGX0-kHA/edit?usp=sharing"",""แผน!AL85"")"),0)</f>
        <v>0</v>
      </c>
      <c r="M211" s="881"/>
      <c r="N211" s="1085">
        <v>0</v>
      </c>
      <c r="O211" s="881"/>
      <c r="P211" s="881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</row>
    <row r="212" spans="1:26" ht="19.5" hidden="1">
      <c r="A212" s="1086"/>
      <c r="B212" s="1084"/>
      <c r="C212" s="1092"/>
      <c r="D212" s="996" t="s">
        <v>98</v>
      </c>
      <c r="E212" s="877"/>
      <c r="F212" s="877"/>
      <c r="G212" s="879"/>
      <c r="H212" s="161" t="s">
        <v>12</v>
      </c>
      <c r="I212" s="880"/>
      <c r="J212" s="880"/>
      <c r="K212" s="881"/>
      <c r="L212" s="881">
        <f ca="1">IFERROR(__xludf.DUMMYFUNCTION("IMPORTRANGE(""https://docs.google.com/spreadsheets/d/1QqKyyYR6Q21VydFLVH3TRQUabQu_ym0Zz7PgGX0-kHA/edit?usp=sharing"",""แผน!AM85"")"),0)</f>
        <v>0</v>
      </c>
      <c r="M212" s="881"/>
      <c r="N212" s="1085">
        <v>0</v>
      </c>
      <c r="O212" s="881"/>
      <c r="P212" s="881"/>
      <c r="Q212" s="1087"/>
      <c r="R212" s="1087"/>
      <c r="S212" s="1087"/>
      <c r="T212" s="1087"/>
      <c r="U212" s="1087"/>
      <c r="V212" s="1087"/>
      <c r="W212" s="1087"/>
      <c r="X212" s="1087"/>
      <c r="Y212" s="1087"/>
      <c r="Z212" s="1087"/>
    </row>
    <row r="213" spans="1:26" ht="19.5" hidden="1">
      <c r="A213" s="1002"/>
      <c r="B213" s="1003"/>
      <c r="C213" s="1092" t="s">
        <v>16</v>
      </c>
      <c r="D213" s="1004" t="s">
        <v>38</v>
      </c>
      <c r="E213" s="1005"/>
      <c r="F213" s="1005"/>
      <c r="G213" s="1006"/>
      <c r="H213" s="1007"/>
      <c r="I213" s="997"/>
      <c r="J213" s="880"/>
      <c r="K213" s="881"/>
      <c r="L213" s="881"/>
      <c r="M213" s="881"/>
      <c r="N213" s="881"/>
      <c r="O213" s="998"/>
      <c r="P213" s="998"/>
      <c r="Q213" s="868"/>
      <c r="R213" s="868"/>
      <c r="S213" s="868"/>
      <c r="T213" s="868"/>
      <c r="U213" s="868"/>
      <c r="V213" s="868"/>
      <c r="W213" s="868"/>
      <c r="X213" s="868"/>
      <c r="Y213" s="868"/>
      <c r="Z213" s="868"/>
    </row>
    <row r="214" spans="1:26" ht="18.75" hidden="1">
      <c r="A214" s="1002"/>
      <c r="B214" s="1003"/>
      <c r="C214" s="1003"/>
      <c r="D214" s="1008" t="s">
        <v>106</v>
      </c>
      <c r="E214" s="1010"/>
      <c r="F214" s="1010"/>
      <c r="G214" s="1011"/>
      <c r="H214" s="1007" t="s">
        <v>96</v>
      </c>
      <c r="I214" s="880">
        <f ca="1">IFERROR(__xludf.DUMMYFUNCTION("IMPORTRANGE(""https://docs.google.com/spreadsheets/d/1QqKyyYR6Q21VydFLVH3TRQUabQu_ym0Zz7PgGX0-kHA/edit?usp=sharing"",""แผน!AN85"")"),0)</f>
        <v>0</v>
      </c>
      <c r="J214" s="1012">
        <v>0</v>
      </c>
      <c r="K214" s="881">
        <f t="shared" ref="K214:K216" ca="1" si="102">IF(I214&gt;0,J214*100/I214,0)</f>
        <v>0</v>
      </c>
      <c r="L214" s="881"/>
      <c r="M214" s="881"/>
      <c r="N214" s="881"/>
      <c r="O214" s="881"/>
      <c r="P214" s="881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</row>
    <row r="215" spans="1:26" ht="18.75" hidden="1">
      <c r="A215" s="1002"/>
      <c r="B215" s="1003"/>
      <c r="C215" s="1003"/>
      <c r="D215" s="1008" t="s">
        <v>107</v>
      </c>
      <c r="E215" s="1010"/>
      <c r="F215" s="1010"/>
      <c r="G215" s="1011"/>
      <c r="H215" s="1007" t="s">
        <v>96</v>
      </c>
      <c r="I215" s="880">
        <f ca="1">IFERROR(__xludf.DUMMYFUNCTION("IMPORTRANGE(""https://docs.google.com/spreadsheets/d/1QqKyyYR6Q21VydFLVH3TRQUabQu_ym0Zz7PgGX0-kHA/edit?usp=sharing"",""แผน!AN85"")"),0)</f>
        <v>0</v>
      </c>
      <c r="J215" s="1012">
        <v>0</v>
      </c>
      <c r="K215" s="881">
        <f t="shared" ca="1" si="102"/>
        <v>0</v>
      </c>
      <c r="L215" s="881"/>
      <c r="M215" s="881"/>
      <c r="N215" s="881"/>
      <c r="O215" s="881"/>
      <c r="P215" s="881"/>
      <c r="Q215" s="868"/>
      <c r="R215" s="868"/>
      <c r="S215" s="868"/>
      <c r="T215" s="868"/>
      <c r="U215" s="868"/>
      <c r="V215" s="868"/>
      <c r="W215" s="868"/>
      <c r="X215" s="868"/>
      <c r="Y215" s="868"/>
      <c r="Z215" s="868"/>
    </row>
    <row r="216" spans="1:26" ht="19.5">
      <c r="A216" s="1063"/>
      <c r="B216" s="1070"/>
      <c r="C216" s="1077" t="s">
        <v>108</v>
      </c>
      <c r="D216" s="1064"/>
      <c r="E216" s="1064"/>
      <c r="F216" s="1091"/>
      <c r="G216" s="1066"/>
      <c r="H216" s="260" t="s">
        <v>109</v>
      </c>
      <c r="I216" s="1078">
        <f t="shared" ref="I216:J216" ca="1" si="103">I224</f>
        <v>12800</v>
      </c>
      <c r="J216" s="1078">
        <f t="shared" si="103"/>
        <v>0</v>
      </c>
      <c r="K216" s="1079">
        <f t="shared" ca="1" si="102"/>
        <v>0</v>
      </c>
      <c r="L216" s="1068"/>
      <c r="M216" s="1068"/>
      <c r="N216" s="1068"/>
      <c r="O216" s="1068"/>
      <c r="P216" s="1068"/>
    </row>
    <row r="217" spans="1:26" ht="19.5">
      <c r="A217" s="985"/>
      <c r="B217" s="986"/>
      <c r="C217" s="987" t="s">
        <v>16</v>
      </c>
      <c r="D217" s="1080" t="s">
        <v>17</v>
      </c>
      <c r="E217" s="986"/>
      <c r="F217" s="986"/>
      <c r="G217" s="989"/>
      <c r="H217" s="275" t="s">
        <v>12</v>
      </c>
      <c r="I217" s="1082"/>
      <c r="J217" s="1082"/>
      <c r="K217" s="1083"/>
      <c r="L217" s="992">
        <f ca="1">L218+L219+L220</f>
        <v>7100</v>
      </c>
      <c r="M217" s="992"/>
      <c r="N217" s="992">
        <f>N218+N219+N220</f>
        <v>0</v>
      </c>
      <c r="O217" s="992">
        <f ca="1">IF(L217&gt;0,N217*100/L217,0)</f>
        <v>0</v>
      </c>
      <c r="P217" s="992">
        <f>IF(M217&gt;0,N217*100/M217,0)</f>
        <v>0</v>
      </c>
      <c r="Q217" s="868"/>
      <c r="R217" s="868"/>
      <c r="S217" s="868"/>
      <c r="T217" s="868"/>
      <c r="U217" s="868"/>
      <c r="V217" s="868"/>
      <c r="W217" s="868"/>
      <c r="X217" s="868"/>
      <c r="Y217" s="868"/>
      <c r="Z217" s="868"/>
    </row>
    <row r="218" spans="1:26" ht="18.75">
      <c r="A218" s="995"/>
      <c r="B218" s="1084"/>
      <c r="C218" s="877"/>
      <c r="D218" s="996" t="s">
        <v>97</v>
      </c>
      <c r="E218" s="877"/>
      <c r="F218" s="877"/>
      <c r="G218" s="879"/>
      <c r="H218" s="161" t="s">
        <v>12</v>
      </c>
      <c r="I218" s="997"/>
      <c r="J218" s="997"/>
      <c r="K218" s="998"/>
      <c r="L218" s="881">
        <f ca="1">IFERROR(__xludf.DUMMYFUNCTION("IMPORTRANGE(""https://docs.google.com/spreadsheets/d/1QqKyyYR6Q21VydFLVH3TRQUabQu_ym0Zz7PgGX0-kHA/edit?usp=sharing"",""แผน!AP85"")"),3000)</f>
        <v>3000</v>
      </c>
      <c r="M218" s="881"/>
      <c r="N218" s="1085">
        <v>0</v>
      </c>
      <c r="O218" s="881"/>
      <c r="P218" s="881"/>
      <c r="Q218" s="868"/>
      <c r="R218" s="868"/>
      <c r="S218" s="868"/>
      <c r="T218" s="868"/>
      <c r="U218" s="868"/>
      <c r="V218" s="868"/>
      <c r="W218" s="868"/>
      <c r="X218" s="868"/>
      <c r="Y218" s="868"/>
      <c r="Z218" s="868"/>
    </row>
    <row r="219" spans="1:26" ht="19.5">
      <c r="A219" s="1086"/>
      <c r="B219" s="1084"/>
      <c r="C219" s="1092"/>
      <c r="D219" s="996" t="s">
        <v>110</v>
      </c>
      <c r="E219" s="877"/>
      <c r="F219" s="877"/>
      <c r="G219" s="879"/>
      <c r="H219" s="161" t="s">
        <v>12</v>
      </c>
      <c r="I219" s="880"/>
      <c r="J219" s="880"/>
      <c r="K219" s="881"/>
      <c r="L219" s="881">
        <f ca="1">IFERROR(__xludf.DUMMYFUNCTION("IMPORTRANGE(""https://docs.google.com/spreadsheets/d/1QqKyyYR6Q21VydFLVH3TRQUabQu_ym0Zz7PgGX0-kHA/edit?usp=sharing"",""แผน!AQ85"")"),4100)</f>
        <v>4100</v>
      </c>
      <c r="M219" s="881"/>
      <c r="N219" s="1085">
        <v>0</v>
      </c>
      <c r="O219" s="881"/>
      <c r="P219" s="881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</row>
    <row r="220" spans="1:26" ht="19.5">
      <c r="A220" s="1086"/>
      <c r="B220" s="1084"/>
      <c r="C220" s="1092"/>
      <c r="D220" s="996" t="s">
        <v>98</v>
      </c>
      <c r="E220" s="877"/>
      <c r="F220" s="877"/>
      <c r="G220" s="879"/>
      <c r="H220" s="161" t="s">
        <v>12</v>
      </c>
      <c r="I220" s="880"/>
      <c r="J220" s="880"/>
      <c r="K220" s="881"/>
      <c r="L220" s="881">
        <f ca="1">IFERROR(__xludf.DUMMYFUNCTION("IMPORTRANGE(""https://docs.google.com/spreadsheets/d/1QqKyyYR6Q21VydFLVH3TRQUabQu_ym0Zz7PgGX0-kHA/edit?usp=sharing"",""แผน!AR85"")"),0)</f>
        <v>0</v>
      </c>
      <c r="M220" s="881"/>
      <c r="N220" s="1085">
        <v>0</v>
      </c>
      <c r="O220" s="881"/>
      <c r="P220" s="881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</row>
    <row r="221" spans="1:26" ht="19.5">
      <c r="A221" s="1002"/>
      <c r="B221" s="1003"/>
      <c r="C221" s="1092" t="s">
        <v>16</v>
      </c>
      <c r="D221" s="1004" t="s">
        <v>38</v>
      </c>
      <c r="E221" s="1005"/>
      <c r="F221" s="1005"/>
      <c r="G221" s="1006"/>
      <c r="H221" s="1007"/>
      <c r="I221" s="997"/>
      <c r="J221" s="997"/>
      <c r="K221" s="998"/>
      <c r="L221" s="998"/>
      <c r="M221" s="998"/>
      <c r="N221" s="998"/>
      <c r="O221" s="998"/>
      <c r="P221" s="99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8"/>
    </row>
    <row r="222" spans="1:26" ht="18.75">
      <c r="A222" s="1002"/>
      <c r="B222" s="1003"/>
      <c r="C222" s="1003"/>
      <c r="D222" s="996" t="s">
        <v>111</v>
      </c>
      <c r="E222" s="1010"/>
      <c r="F222" s="1010"/>
      <c r="G222" s="1011"/>
      <c r="H222" s="1007"/>
      <c r="I222" s="880"/>
      <c r="J222" s="880"/>
      <c r="K222" s="998"/>
      <c r="L222" s="998"/>
      <c r="M222" s="998"/>
      <c r="N222" s="998"/>
      <c r="O222" s="998"/>
      <c r="P222" s="998"/>
      <c r="Q222" s="868"/>
      <c r="R222" s="868"/>
      <c r="S222" s="868"/>
      <c r="T222" s="868"/>
      <c r="U222" s="868"/>
      <c r="V222" s="868"/>
      <c r="W222" s="868"/>
      <c r="X222" s="868"/>
      <c r="Y222" s="868"/>
      <c r="Z222" s="868"/>
    </row>
    <row r="223" spans="1:26" ht="18.75">
      <c r="A223" s="1002"/>
      <c r="B223" s="1003"/>
      <c r="C223" s="1003"/>
      <c r="D223" s="1003"/>
      <c r="E223" s="1008" t="s">
        <v>112</v>
      </c>
      <c r="F223" s="1010"/>
      <c r="G223" s="1011"/>
      <c r="H223" s="762" t="s">
        <v>109</v>
      </c>
      <c r="I223" s="880">
        <f ca="1">IFERROR(__xludf.DUMMYFUNCTION("IMPORTRANGE(""https://docs.google.com/spreadsheets/d/1QqKyyYR6Q21VydFLVH3TRQUabQu_ym0Zz7PgGX0-kHA/edit?usp=sharing"",""แผน!AT85"")"),12800)</f>
        <v>12800</v>
      </c>
      <c r="J223" s="1012">
        <v>0</v>
      </c>
      <c r="K223" s="998">
        <f t="shared" ref="K223:K226" ca="1" si="104">IF(I223&gt;0,J223*100/I223,0)</f>
        <v>0</v>
      </c>
      <c r="L223" s="998"/>
      <c r="M223" s="998"/>
      <c r="N223" s="998"/>
      <c r="O223" s="998"/>
      <c r="P223" s="998"/>
      <c r="Q223" s="868"/>
      <c r="R223" s="868"/>
      <c r="S223" s="868"/>
      <c r="T223" s="868"/>
      <c r="U223" s="868"/>
      <c r="V223" s="868"/>
      <c r="W223" s="868"/>
      <c r="X223" s="868"/>
      <c r="Y223" s="868"/>
      <c r="Z223" s="868"/>
    </row>
    <row r="224" spans="1:26" ht="18.75">
      <c r="A224" s="1002"/>
      <c r="B224" s="1003"/>
      <c r="C224" s="1003"/>
      <c r="D224" s="1003"/>
      <c r="E224" s="1008" t="s">
        <v>113</v>
      </c>
      <c r="F224" s="1010"/>
      <c r="G224" s="1011"/>
      <c r="H224" s="762" t="s">
        <v>109</v>
      </c>
      <c r="I224" s="880">
        <f ca="1">IFERROR(__xludf.DUMMYFUNCTION("IMPORTRANGE(""https://docs.google.com/spreadsheets/d/1QqKyyYR6Q21VydFLVH3TRQUabQu_ym0Zz7PgGX0-kHA/edit?usp=sharing"",""แผน!AT85"")"),12800)</f>
        <v>12800</v>
      </c>
      <c r="J224" s="1012">
        <v>0</v>
      </c>
      <c r="K224" s="998">
        <f t="shared" ca="1" si="104"/>
        <v>0</v>
      </c>
      <c r="L224" s="881"/>
      <c r="M224" s="881"/>
      <c r="N224" s="881"/>
      <c r="O224" s="881"/>
      <c r="P224" s="881"/>
      <c r="Q224" s="868"/>
      <c r="R224" s="868"/>
      <c r="S224" s="868"/>
      <c r="T224" s="868"/>
      <c r="U224" s="868"/>
      <c r="V224" s="868"/>
      <c r="W224" s="868"/>
      <c r="X224" s="868"/>
      <c r="Y224" s="868"/>
      <c r="Z224" s="868"/>
    </row>
    <row r="225" spans="1:26" ht="18.75">
      <c r="A225" s="1002"/>
      <c r="B225" s="1003"/>
      <c r="C225" s="1003"/>
      <c r="D225" s="996" t="s">
        <v>114</v>
      </c>
      <c r="E225" s="1010"/>
      <c r="F225" s="1010"/>
      <c r="G225" s="1011"/>
      <c r="H225" s="762" t="s">
        <v>35</v>
      </c>
      <c r="I225" s="880">
        <f ca="1">IFERROR(__xludf.DUMMYFUNCTION("IMPORTRANGE(""https://docs.google.com/spreadsheets/d/1QqKyyYR6Q21VydFLVH3TRQUabQu_ym0Zz7PgGX0-kHA/edit?usp=sharing"",""แผน!AS85"")"),0)</f>
        <v>0</v>
      </c>
      <c r="J225" s="1012">
        <v>0</v>
      </c>
      <c r="K225" s="998">
        <f t="shared" ca="1" si="104"/>
        <v>0</v>
      </c>
      <c r="L225" s="881"/>
      <c r="M225" s="881"/>
      <c r="N225" s="881"/>
      <c r="O225" s="881"/>
      <c r="P225" s="881"/>
      <c r="Q225" s="868"/>
      <c r="R225" s="868"/>
      <c r="S225" s="868"/>
      <c r="T225" s="868"/>
      <c r="U225" s="868"/>
      <c r="V225" s="868"/>
      <c r="W225" s="868"/>
      <c r="X225" s="868"/>
      <c r="Y225" s="868"/>
      <c r="Z225" s="868"/>
    </row>
    <row r="226" spans="1:26" ht="19.5" hidden="1">
      <c r="A226" s="1063"/>
      <c r="B226" s="1070"/>
      <c r="C226" s="1093" t="s">
        <v>115</v>
      </c>
      <c r="D226" s="1064"/>
      <c r="E226" s="1064"/>
      <c r="F226" s="1064"/>
      <c r="G226" s="1066"/>
      <c r="H226" s="266" t="s">
        <v>35</v>
      </c>
      <c r="I226" s="1094" t="e">
        <f t="shared" ref="I226:J226" ca="1" si="105">I237+I248</f>
        <v>#VALUE!</v>
      </c>
      <c r="J226" s="1094">
        <f t="shared" si="105"/>
        <v>0</v>
      </c>
      <c r="K226" s="1095" t="e">
        <f t="shared" ca="1" si="104"/>
        <v>#VALUE!</v>
      </c>
      <c r="L226" s="1068"/>
      <c r="M226" s="1068"/>
      <c r="N226" s="1068"/>
      <c r="O226" s="1068"/>
      <c r="P226" s="1068"/>
    </row>
    <row r="227" spans="1:26" ht="19.5" hidden="1">
      <c r="A227" s="1096"/>
      <c r="B227" s="1097"/>
      <c r="C227" s="1098" t="s">
        <v>16</v>
      </c>
      <c r="D227" s="1099" t="s">
        <v>17</v>
      </c>
      <c r="E227" s="1097"/>
      <c r="F227" s="1097"/>
      <c r="G227" s="1100"/>
      <c r="H227" s="353" t="s">
        <v>12</v>
      </c>
      <c r="I227" s="1101"/>
      <c r="J227" s="1101"/>
      <c r="K227" s="1102"/>
      <c r="L227" s="1103">
        <f t="shared" ref="L227:L231" ca="1" si="106">L238+L249</f>
        <v>0</v>
      </c>
      <c r="M227" s="1103"/>
      <c r="N227" s="1103">
        <f t="shared" ref="N227:N231" si="107">N238+N249</f>
        <v>0</v>
      </c>
      <c r="O227" s="1104"/>
      <c r="P227" s="1104"/>
      <c r="Q227" s="875"/>
      <c r="R227" s="875"/>
      <c r="S227" s="875"/>
      <c r="T227" s="875"/>
      <c r="U227" s="875"/>
      <c r="V227" s="875"/>
      <c r="W227" s="875"/>
      <c r="X227" s="875"/>
      <c r="Y227" s="875"/>
      <c r="Z227" s="875"/>
    </row>
    <row r="228" spans="1:26" ht="18.75" hidden="1">
      <c r="A228" s="993"/>
      <c r="B228" s="1105"/>
      <c r="C228" s="883"/>
      <c r="D228" s="884" t="s">
        <v>97</v>
      </c>
      <c r="E228" s="883"/>
      <c r="F228" s="883"/>
      <c r="G228" s="885"/>
      <c r="H228" s="165" t="s">
        <v>12</v>
      </c>
      <c r="I228" s="1000"/>
      <c r="J228" s="1000"/>
      <c r="K228" s="1001"/>
      <c r="L228" s="887">
        <f t="shared" ca="1" si="106"/>
        <v>0</v>
      </c>
      <c r="M228" s="887"/>
      <c r="N228" s="887">
        <f t="shared" si="107"/>
        <v>0</v>
      </c>
      <c r="O228" s="887"/>
      <c r="P228" s="887"/>
      <c r="Q228" s="875"/>
      <c r="R228" s="875"/>
      <c r="S228" s="875"/>
      <c r="T228" s="875"/>
      <c r="U228" s="875"/>
      <c r="V228" s="875"/>
      <c r="W228" s="875"/>
      <c r="X228" s="875"/>
      <c r="Y228" s="875"/>
      <c r="Z228" s="875"/>
    </row>
    <row r="229" spans="1:26" ht="19.5" hidden="1">
      <c r="A229" s="1106"/>
      <c r="B229" s="1105"/>
      <c r="C229" s="1107"/>
      <c r="D229" s="884" t="s">
        <v>98</v>
      </c>
      <c r="E229" s="883"/>
      <c r="F229" s="883"/>
      <c r="G229" s="885"/>
      <c r="H229" s="165" t="s">
        <v>12</v>
      </c>
      <c r="I229" s="886"/>
      <c r="J229" s="886"/>
      <c r="K229" s="887"/>
      <c r="L229" s="887">
        <f t="shared" ca="1" si="106"/>
        <v>0</v>
      </c>
      <c r="M229" s="887"/>
      <c r="N229" s="887">
        <f t="shared" si="107"/>
        <v>0</v>
      </c>
      <c r="O229" s="887"/>
      <c r="P229" s="887"/>
      <c r="Q229" s="1108"/>
      <c r="R229" s="1108"/>
      <c r="S229" s="1108"/>
      <c r="T229" s="1108"/>
      <c r="U229" s="1108"/>
      <c r="V229" s="1108"/>
      <c r="W229" s="1108"/>
      <c r="X229" s="1108"/>
      <c r="Y229" s="1108"/>
      <c r="Z229" s="1108"/>
    </row>
    <row r="230" spans="1:26" ht="19.5" hidden="1">
      <c r="A230" s="1106"/>
      <c r="B230" s="1105"/>
      <c r="C230" s="1107"/>
      <c r="D230" s="884" t="s">
        <v>116</v>
      </c>
      <c r="E230" s="883"/>
      <c r="F230" s="883"/>
      <c r="G230" s="885"/>
      <c r="H230" s="165" t="s">
        <v>12</v>
      </c>
      <c r="I230" s="886"/>
      <c r="J230" s="886"/>
      <c r="K230" s="887"/>
      <c r="L230" s="887">
        <f t="shared" ca="1" si="106"/>
        <v>0</v>
      </c>
      <c r="M230" s="887"/>
      <c r="N230" s="887">
        <f t="shared" si="107"/>
        <v>0</v>
      </c>
      <c r="O230" s="887"/>
      <c r="P230" s="887"/>
      <c r="Q230" s="1108"/>
      <c r="R230" s="1108"/>
      <c r="S230" s="1108"/>
      <c r="T230" s="1108"/>
      <c r="U230" s="1108"/>
      <c r="V230" s="1108"/>
      <c r="W230" s="1108"/>
      <c r="X230" s="1108"/>
      <c r="Y230" s="1108"/>
      <c r="Z230" s="1108"/>
    </row>
    <row r="231" spans="1:26" ht="19.5" hidden="1">
      <c r="A231" s="1106"/>
      <c r="B231" s="1105"/>
      <c r="C231" s="1107"/>
      <c r="D231" s="884" t="s">
        <v>100</v>
      </c>
      <c r="E231" s="883"/>
      <c r="F231" s="883"/>
      <c r="G231" s="885"/>
      <c r="H231" s="165" t="s">
        <v>12</v>
      </c>
      <c r="I231" s="886"/>
      <c r="J231" s="886"/>
      <c r="K231" s="887"/>
      <c r="L231" s="887">
        <f t="shared" ca="1" si="106"/>
        <v>0</v>
      </c>
      <c r="M231" s="887"/>
      <c r="N231" s="887">
        <f t="shared" si="107"/>
        <v>0</v>
      </c>
      <c r="O231" s="887"/>
      <c r="P231" s="887"/>
      <c r="Q231" s="1108"/>
      <c r="R231" s="1108"/>
      <c r="S231" s="1108"/>
      <c r="T231" s="1108"/>
      <c r="U231" s="1108"/>
      <c r="V231" s="1108"/>
      <c r="W231" s="1108"/>
      <c r="X231" s="1108"/>
      <c r="Y231" s="1108"/>
      <c r="Z231" s="1108"/>
    </row>
    <row r="232" spans="1:26" ht="19.5" hidden="1">
      <c r="A232" s="1109"/>
      <c r="B232" s="1110"/>
      <c r="C232" s="1107" t="s">
        <v>16</v>
      </c>
      <c r="D232" s="1072" t="s">
        <v>38</v>
      </c>
      <c r="E232" s="1111"/>
      <c r="F232" s="1111"/>
      <c r="G232" s="1112"/>
      <c r="H232" s="1113"/>
      <c r="I232" s="1000"/>
      <c r="J232" s="886"/>
      <c r="K232" s="887"/>
      <c r="L232" s="887"/>
      <c r="M232" s="887"/>
      <c r="N232" s="887"/>
      <c r="O232" s="1001"/>
      <c r="P232" s="1001"/>
      <c r="Q232" s="875"/>
      <c r="R232" s="875"/>
      <c r="S232" s="875"/>
      <c r="T232" s="875"/>
      <c r="U232" s="875"/>
      <c r="V232" s="875"/>
      <c r="W232" s="875"/>
      <c r="X232" s="875"/>
      <c r="Y232" s="875"/>
      <c r="Z232" s="875"/>
    </row>
    <row r="233" spans="1:26" ht="18.75" hidden="1">
      <c r="A233" s="1109"/>
      <c r="B233" s="1110"/>
      <c r="C233" s="1110"/>
      <c r="D233" s="1074" t="s">
        <v>117</v>
      </c>
      <c r="E233" s="1114"/>
      <c r="F233" s="1114"/>
      <c r="G233" s="1115"/>
      <c r="H233" s="370" t="s">
        <v>35</v>
      </c>
      <c r="I233" s="886" t="e">
        <f t="shared" ref="I233:J233" ca="1" si="108">I244+I255</f>
        <v>#VALUE!</v>
      </c>
      <c r="J233" s="886">
        <f t="shared" si="108"/>
        <v>0</v>
      </c>
      <c r="K233" s="887" t="e">
        <f ca="1">IF(I233&gt;0,J233*100/I233,0)</f>
        <v>#VALUE!</v>
      </c>
      <c r="L233" s="887"/>
      <c r="M233" s="887"/>
      <c r="N233" s="887"/>
      <c r="O233" s="887"/>
      <c r="P233" s="887"/>
      <c r="Q233" s="875"/>
      <c r="R233" s="875"/>
      <c r="S233" s="875"/>
      <c r="T233" s="875"/>
      <c r="U233" s="875"/>
      <c r="V233" s="875"/>
      <c r="W233" s="875"/>
      <c r="X233" s="875"/>
      <c r="Y233" s="875"/>
      <c r="Z233" s="875"/>
    </row>
    <row r="234" spans="1:26" ht="18.75" hidden="1">
      <c r="A234" s="1109"/>
      <c r="B234" s="1110"/>
      <c r="C234" s="1110"/>
      <c r="D234" s="1116" t="s">
        <v>43</v>
      </c>
      <c r="E234" s="1114"/>
      <c r="F234" s="1114"/>
      <c r="G234" s="1115"/>
      <c r="H234" s="370"/>
      <c r="I234" s="886"/>
      <c r="J234" s="886"/>
      <c r="K234" s="887"/>
      <c r="L234" s="887"/>
      <c r="M234" s="887"/>
      <c r="N234" s="887"/>
      <c r="O234" s="1001"/>
      <c r="P234" s="1001"/>
      <c r="Q234" s="875"/>
      <c r="R234" s="875"/>
      <c r="S234" s="875"/>
      <c r="T234" s="875"/>
      <c r="U234" s="875"/>
      <c r="V234" s="875"/>
      <c r="W234" s="875"/>
      <c r="X234" s="875"/>
      <c r="Y234" s="875"/>
      <c r="Z234" s="875"/>
    </row>
    <row r="235" spans="1:26" ht="18.75" hidden="1">
      <c r="A235" s="1109"/>
      <c r="B235" s="1110"/>
      <c r="C235" s="1110"/>
      <c r="D235" s="1110"/>
      <c r="E235" s="1073" t="s">
        <v>118</v>
      </c>
      <c r="F235" s="1114"/>
      <c r="G235" s="1115"/>
      <c r="H235" s="370" t="s">
        <v>35</v>
      </c>
      <c r="I235" s="886">
        <f t="shared" ref="I235:J236" si="109">I246+I257</f>
        <v>0</v>
      </c>
      <c r="J235" s="886">
        <f t="shared" si="109"/>
        <v>0</v>
      </c>
      <c r="K235" s="887">
        <f t="shared" ref="K235:K237" si="110">IF(I235&gt;0,J235*100/I235,0)</f>
        <v>0</v>
      </c>
      <c r="L235" s="887"/>
      <c r="M235" s="887"/>
      <c r="N235" s="887"/>
      <c r="O235" s="887"/>
      <c r="P235" s="887"/>
      <c r="Q235" s="875"/>
      <c r="R235" s="875"/>
      <c r="S235" s="875"/>
      <c r="T235" s="875"/>
      <c r="U235" s="875"/>
      <c r="V235" s="875"/>
      <c r="W235" s="875"/>
      <c r="X235" s="875"/>
      <c r="Y235" s="875"/>
      <c r="Z235" s="875"/>
    </row>
    <row r="236" spans="1:26" ht="18.75" hidden="1">
      <c r="A236" s="1109"/>
      <c r="B236" s="1110"/>
      <c r="C236" s="1110"/>
      <c r="D236" s="1110"/>
      <c r="E236" s="1073" t="s">
        <v>119</v>
      </c>
      <c r="F236" s="1114"/>
      <c r="G236" s="1115"/>
      <c r="H236" s="370" t="s">
        <v>66</v>
      </c>
      <c r="I236" s="886">
        <f t="shared" si="109"/>
        <v>0</v>
      </c>
      <c r="J236" s="886">
        <f t="shared" si="109"/>
        <v>0</v>
      </c>
      <c r="K236" s="887">
        <f t="shared" si="110"/>
        <v>0</v>
      </c>
      <c r="L236" s="887"/>
      <c r="M236" s="887"/>
      <c r="N236" s="887"/>
      <c r="O236" s="887"/>
      <c r="P236" s="887"/>
      <c r="Q236" s="875"/>
      <c r="R236" s="875"/>
      <c r="S236" s="875"/>
      <c r="T236" s="875"/>
      <c r="U236" s="875"/>
      <c r="V236" s="875"/>
      <c r="W236" s="875"/>
      <c r="X236" s="875"/>
      <c r="Y236" s="875"/>
      <c r="Z236" s="875"/>
    </row>
    <row r="237" spans="1:26" ht="19.5" hidden="1">
      <c r="A237" s="1063"/>
      <c r="B237" s="1070"/>
      <c r="C237" s="1077" t="s">
        <v>332</v>
      </c>
      <c r="D237" s="1064"/>
      <c r="E237" s="1064"/>
      <c r="F237" s="1064"/>
      <c r="G237" s="1066"/>
      <c r="H237" s="260" t="s">
        <v>35</v>
      </c>
      <c r="I237" s="1078">
        <f t="shared" ref="I237:J237" ca="1" si="111">I244</f>
        <v>0</v>
      </c>
      <c r="J237" s="1078">
        <f t="shared" si="111"/>
        <v>0</v>
      </c>
      <c r="K237" s="1079">
        <f t="shared" ca="1" si="110"/>
        <v>0</v>
      </c>
      <c r="L237" s="1068"/>
      <c r="M237" s="1068"/>
      <c r="N237" s="1068"/>
      <c r="O237" s="1068"/>
      <c r="P237" s="1068"/>
    </row>
    <row r="238" spans="1:26" ht="19.5" hidden="1">
      <c r="A238" s="985"/>
      <c r="B238" s="986"/>
      <c r="C238" s="987" t="s">
        <v>16</v>
      </c>
      <c r="D238" s="988" t="s">
        <v>17</v>
      </c>
      <c r="E238" s="986"/>
      <c r="F238" s="986"/>
      <c r="G238" s="989"/>
      <c r="H238" s="275" t="s">
        <v>12</v>
      </c>
      <c r="I238" s="1082"/>
      <c r="J238" s="1082"/>
      <c r="K238" s="1083"/>
      <c r="L238" s="992">
        <f ca="1">L239+L240+L241+L242</f>
        <v>0</v>
      </c>
      <c r="M238" s="992"/>
      <c r="N238" s="992">
        <f>N239+N240+N241+N242</f>
        <v>0</v>
      </c>
      <c r="O238" s="992">
        <f ca="1">IF(L238&gt;0,N238*100/L238,0)</f>
        <v>0</v>
      </c>
      <c r="P238" s="992">
        <f>IF(M238&gt;0,N238*100/M238,0)</f>
        <v>0</v>
      </c>
      <c r="Q238" s="868"/>
      <c r="R238" s="868"/>
      <c r="S238" s="868"/>
      <c r="T238" s="868"/>
      <c r="U238" s="868"/>
      <c r="V238" s="868"/>
      <c r="W238" s="868"/>
      <c r="X238" s="868"/>
      <c r="Y238" s="868"/>
      <c r="Z238" s="868"/>
    </row>
    <row r="239" spans="1:26" ht="18.75" hidden="1">
      <c r="A239" s="1117"/>
      <c r="B239" s="1118"/>
      <c r="C239" s="1119"/>
      <c r="D239" s="1120" t="s">
        <v>97</v>
      </c>
      <c r="E239" s="1119"/>
      <c r="F239" s="1119"/>
      <c r="G239" s="1121"/>
      <c r="H239" s="319" t="s">
        <v>12</v>
      </c>
      <c r="I239" s="1122"/>
      <c r="J239" s="1122"/>
      <c r="K239" s="1123"/>
      <c r="L239" s="1124">
        <f ca="1">IFERROR(__xludf.DUMMYFUNCTION("IMPORTRANGE(""https://docs.google.com/spreadsheets/d/1QqKyyYR6Q21VydFLVH3TRQUabQu_ym0Zz7PgGX0-kHA/edit?usp=sharing"",""แผน!AV85"")"),0)</f>
        <v>0</v>
      </c>
      <c r="M239" s="1124"/>
      <c r="N239" s="1125">
        <v>0</v>
      </c>
      <c r="O239" s="1124"/>
      <c r="P239" s="1124"/>
      <c r="Q239" s="1126"/>
      <c r="R239" s="1126"/>
      <c r="S239" s="1126"/>
      <c r="T239" s="1126"/>
      <c r="U239" s="1126"/>
      <c r="V239" s="1126"/>
      <c r="W239" s="1126"/>
      <c r="X239" s="1126"/>
      <c r="Y239" s="1126"/>
      <c r="Z239" s="1126"/>
    </row>
    <row r="240" spans="1:26" ht="19.5" hidden="1">
      <c r="A240" s="1127"/>
      <c r="B240" s="1118"/>
      <c r="C240" s="1128"/>
      <c r="D240" s="1120" t="s">
        <v>98</v>
      </c>
      <c r="E240" s="1119"/>
      <c r="F240" s="1119"/>
      <c r="G240" s="1121"/>
      <c r="H240" s="319" t="s">
        <v>12</v>
      </c>
      <c r="I240" s="1129"/>
      <c r="J240" s="1129"/>
      <c r="K240" s="1124"/>
      <c r="L240" s="1124">
        <f ca="1">IFERROR(__xludf.DUMMYFUNCTION("IMPORTRANGE(""https://docs.google.com/spreadsheets/d/1QqKyyYR6Q21VydFLVH3TRQUabQu_ym0Zz7PgGX0-kHA/edit?usp=sharing"",""แผน!AW85"")"),0)</f>
        <v>0</v>
      </c>
      <c r="M240" s="1124"/>
      <c r="N240" s="1125">
        <v>0</v>
      </c>
      <c r="O240" s="1124"/>
      <c r="P240" s="1124"/>
      <c r="Q240" s="1130"/>
      <c r="R240" s="1130"/>
      <c r="S240" s="1130"/>
      <c r="T240" s="1130"/>
      <c r="U240" s="1130"/>
      <c r="V240" s="1130"/>
      <c r="W240" s="1130"/>
      <c r="X240" s="1130"/>
      <c r="Y240" s="1130"/>
      <c r="Z240" s="1130"/>
    </row>
    <row r="241" spans="1:26" ht="19.5" hidden="1">
      <c r="A241" s="1127"/>
      <c r="B241" s="1118"/>
      <c r="C241" s="1128"/>
      <c r="D241" s="1120" t="s">
        <v>116</v>
      </c>
      <c r="E241" s="1119"/>
      <c r="F241" s="1119"/>
      <c r="G241" s="1121"/>
      <c r="H241" s="319" t="s">
        <v>12</v>
      </c>
      <c r="I241" s="1129"/>
      <c r="J241" s="1129"/>
      <c r="K241" s="1124"/>
      <c r="L241" s="1124">
        <f ca="1">IFERROR(__xludf.DUMMYFUNCTION("IMPORTRANGE(""https://docs.google.com/spreadsheets/d/1QqKyyYR6Q21VydFLVH3TRQUabQu_ym0Zz7PgGX0-kHA/edit?usp=sharing"",""แผน!AX85"")"),0)</f>
        <v>0</v>
      </c>
      <c r="M241" s="1124"/>
      <c r="N241" s="1125">
        <v>0</v>
      </c>
      <c r="O241" s="1124"/>
      <c r="P241" s="1124"/>
      <c r="Q241" s="1130"/>
      <c r="R241" s="1130"/>
      <c r="S241" s="1130"/>
      <c r="T241" s="1130"/>
      <c r="U241" s="1130"/>
      <c r="V241" s="1130"/>
      <c r="W241" s="1130"/>
      <c r="X241" s="1130"/>
      <c r="Y241" s="1130"/>
      <c r="Z241" s="1130"/>
    </row>
    <row r="242" spans="1:26" ht="19.5" hidden="1">
      <c r="A242" s="1127"/>
      <c r="B242" s="1118"/>
      <c r="C242" s="1128"/>
      <c r="D242" s="1120" t="s">
        <v>100</v>
      </c>
      <c r="E242" s="1119"/>
      <c r="F242" s="1119"/>
      <c r="G242" s="1121"/>
      <c r="H242" s="319" t="s">
        <v>12</v>
      </c>
      <c r="I242" s="1129"/>
      <c r="J242" s="1129"/>
      <c r="K242" s="1124"/>
      <c r="L242" s="1124">
        <f ca="1">IFERROR(__xludf.DUMMYFUNCTION("IMPORTRANGE(""https://docs.google.com/spreadsheets/d/1QqKyyYR6Q21VydFLVH3TRQUabQu_ym0Zz7PgGX0-kHA/edit?usp=sharing"",""แผน!AY85"")"),0)</f>
        <v>0</v>
      </c>
      <c r="M242" s="1124"/>
      <c r="N242" s="1125">
        <v>0</v>
      </c>
      <c r="O242" s="1124"/>
      <c r="P242" s="1124"/>
      <c r="Q242" s="1130"/>
      <c r="R242" s="1130"/>
      <c r="S242" s="1130"/>
      <c r="T242" s="1130"/>
      <c r="U242" s="1130"/>
      <c r="V242" s="1130"/>
      <c r="W242" s="1130"/>
      <c r="X242" s="1130"/>
      <c r="Y242" s="1130"/>
      <c r="Z242" s="1130"/>
    </row>
    <row r="243" spans="1:26" ht="19.5" hidden="1">
      <c r="A243" s="1002"/>
      <c r="B243" s="1003"/>
      <c r="C243" s="1092" t="s">
        <v>16</v>
      </c>
      <c r="D243" s="1004" t="s">
        <v>38</v>
      </c>
      <c r="E243" s="1005"/>
      <c r="F243" s="1005"/>
      <c r="G243" s="1006"/>
      <c r="H243" s="1007"/>
      <c r="I243" s="997"/>
      <c r="J243" s="880"/>
      <c r="K243" s="881"/>
      <c r="L243" s="881"/>
      <c r="M243" s="881"/>
      <c r="N243" s="881"/>
      <c r="O243" s="998"/>
      <c r="P243" s="998"/>
      <c r="Q243" s="868"/>
      <c r="R243" s="868"/>
      <c r="S243" s="868"/>
      <c r="T243" s="868"/>
      <c r="U243" s="868"/>
      <c r="V243" s="868"/>
      <c r="W243" s="868"/>
      <c r="X243" s="868"/>
      <c r="Y243" s="868"/>
      <c r="Z243" s="868"/>
    </row>
    <row r="244" spans="1:26" ht="18.75" hidden="1">
      <c r="A244" s="1002"/>
      <c r="B244" s="1003"/>
      <c r="C244" s="1003"/>
      <c r="D244" s="1009" t="s">
        <v>117</v>
      </c>
      <c r="E244" s="1010"/>
      <c r="F244" s="1010"/>
      <c r="G244" s="1011"/>
      <c r="H244" s="762" t="s">
        <v>35</v>
      </c>
      <c r="I244" s="880">
        <f ca="1">IFERROR(__xludf.DUMMYFUNCTION("IMPORTRANGE(""https://docs.google.com/spreadsheets/d/1QqKyyYR6Q21VydFLVH3TRQUabQu_ym0Zz7PgGX0-kHA/edit?usp=sharing"",""แผน!BE85"")"),0)</f>
        <v>0</v>
      </c>
      <c r="J244" s="1012">
        <v>0</v>
      </c>
      <c r="K244" s="881">
        <f ca="1">IF(I244&gt;0,J244*100/I244,0)</f>
        <v>0</v>
      </c>
      <c r="L244" s="881"/>
      <c r="M244" s="881"/>
      <c r="N244" s="881"/>
      <c r="O244" s="881"/>
      <c r="P244" s="881"/>
      <c r="Q244" s="868"/>
      <c r="R244" s="868"/>
      <c r="S244" s="868"/>
      <c r="T244" s="868"/>
      <c r="U244" s="868"/>
      <c r="V244" s="868"/>
      <c r="W244" s="868"/>
      <c r="X244" s="868"/>
      <c r="Y244" s="868"/>
      <c r="Z244" s="868"/>
    </row>
    <row r="245" spans="1:26" ht="18.75" hidden="1">
      <c r="A245" s="1002"/>
      <c r="B245" s="1003"/>
      <c r="C245" s="1003"/>
      <c r="D245" s="1131" t="s">
        <v>43</v>
      </c>
      <c r="E245" s="1010"/>
      <c r="F245" s="1010"/>
      <c r="G245" s="1011"/>
      <c r="H245" s="762"/>
      <c r="I245" s="880"/>
      <c r="J245" s="880"/>
      <c r="K245" s="881"/>
      <c r="L245" s="881"/>
      <c r="M245" s="881"/>
      <c r="N245" s="881"/>
      <c r="O245" s="998"/>
      <c r="P245" s="998"/>
      <c r="Q245" s="868"/>
      <c r="R245" s="868"/>
      <c r="S245" s="868"/>
      <c r="T245" s="868"/>
      <c r="U245" s="868"/>
      <c r="V245" s="868"/>
      <c r="W245" s="868"/>
      <c r="X245" s="868"/>
      <c r="Y245" s="868"/>
      <c r="Z245" s="868"/>
    </row>
    <row r="246" spans="1:26" ht="18.75" hidden="1">
      <c r="A246" s="1002"/>
      <c r="B246" s="1003"/>
      <c r="C246" s="1003"/>
      <c r="D246" s="1003"/>
      <c r="E246" s="1008" t="s">
        <v>118</v>
      </c>
      <c r="F246" s="1010"/>
      <c r="G246" s="1011"/>
      <c r="H246" s="762" t="s">
        <v>35</v>
      </c>
      <c r="I246" s="880"/>
      <c r="J246" s="1012">
        <v>0</v>
      </c>
      <c r="K246" s="881">
        <f t="shared" ref="K246:K248" si="112">IF(I246&gt;0,J246*100/I246,0)</f>
        <v>0</v>
      </c>
      <c r="L246" s="881"/>
      <c r="M246" s="881"/>
      <c r="N246" s="881"/>
      <c r="O246" s="881"/>
      <c r="P246" s="881"/>
      <c r="Q246" s="868"/>
      <c r="R246" s="868"/>
      <c r="S246" s="868"/>
      <c r="T246" s="868"/>
      <c r="U246" s="868"/>
      <c r="V246" s="868"/>
      <c r="W246" s="868"/>
      <c r="X246" s="868"/>
      <c r="Y246" s="868"/>
      <c r="Z246" s="868"/>
    </row>
    <row r="247" spans="1:26" ht="18.75" hidden="1">
      <c r="A247" s="1002"/>
      <c r="B247" s="1003"/>
      <c r="C247" s="1003"/>
      <c r="D247" s="1003"/>
      <c r="E247" s="1008" t="s">
        <v>119</v>
      </c>
      <c r="F247" s="1010"/>
      <c r="G247" s="1011"/>
      <c r="H247" s="762" t="s">
        <v>66</v>
      </c>
      <c r="I247" s="880"/>
      <c r="J247" s="1012">
        <v>0</v>
      </c>
      <c r="K247" s="881">
        <f t="shared" si="112"/>
        <v>0</v>
      </c>
      <c r="L247" s="881"/>
      <c r="M247" s="881"/>
      <c r="N247" s="881"/>
      <c r="O247" s="881"/>
      <c r="P247" s="881"/>
      <c r="Q247" s="868"/>
      <c r="R247" s="868"/>
      <c r="S247" s="868"/>
      <c r="T247" s="868"/>
      <c r="U247" s="868"/>
      <c r="V247" s="868"/>
      <c r="W247" s="868"/>
      <c r="X247" s="868"/>
      <c r="Y247" s="868"/>
      <c r="Z247" s="868"/>
    </row>
    <row r="248" spans="1:26" ht="19.5" hidden="1">
      <c r="A248" s="1063"/>
      <c r="B248" s="1070"/>
      <c r="C248" s="1077" t="s">
        <v>333</v>
      </c>
      <c r="D248" s="1064"/>
      <c r="E248" s="1064"/>
      <c r="F248" s="1064"/>
      <c r="G248" s="1066"/>
      <c r="H248" s="260" t="s">
        <v>35</v>
      </c>
      <c r="I248" s="1078" t="str">
        <f t="shared" ref="I248:J248" ca="1" si="113">I255</f>
        <v/>
      </c>
      <c r="J248" s="1078">
        <f t="shared" si="113"/>
        <v>0</v>
      </c>
      <c r="K248" s="1079" t="e">
        <f t="shared" ca="1" si="112"/>
        <v>#VALUE!</v>
      </c>
      <c r="L248" s="1068"/>
      <c r="M248" s="1068"/>
      <c r="N248" s="1068"/>
      <c r="O248" s="1068"/>
      <c r="P248" s="1068"/>
    </row>
    <row r="249" spans="1:26" ht="19.5" hidden="1">
      <c r="A249" s="985"/>
      <c r="B249" s="986"/>
      <c r="C249" s="987" t="s">
        <v>16</v>
      </c>
      <c r="D249" s="1080" t="s">
        <v>17</v>
      </c>
      <c r="E249" s="986"/>
      <c r="F249" s="986"/>
      <c r="G249" s="989"/>
      <c r="H249" s="275" t="s">
        <v>12</v>
      </c>
      <c r="I249" s="1082"/>
      <c r="J249" s="1082"/>
      <c r="K249" s="1083"/>
      <c r="L249" s="992">
        <f ca="1">L250+L251+L252+L253</f>
        <v>0</v>
      </c>
      <c r="M249" s="992"/>
      <c r="N249" s="992">
        <f>N250+N251+N252+N253</f>
        <v>0</v>
      </c>
      <c r="O249" s="992">
        <f ca="1">IF(L249&gt;0,N249*100/L249,0)</f>
        <v>0</v>
      </c>
      <c r="P249" s="992">
        <f>IF(M249&gt;0,N249*100/M249,0)</f>
        <v>0</v>
      </c>
      <c r="Q249" s="868"/>
      <c r="R249" s="868"/>
      <c r="S249" s="868"/>
      <c r="T249" s="868"/>
      <c r="U249" s="868"/>
      <c r="V249" s="868"/>
      <c r="W249" s="868"/>
      <c r="X249" s="868"/>
      <c r="Y249" s="868"/>
      <c r="Z249" s="868"/>
    </row>
    <row r="250" spans="1:26" ht="18.75" hidden="1">
      <c r="A250" s="1117"/>
      <c r="B250" s="1118"/>
      <c r="C250" s="1119"/>
      <c r="D250" s="1120" t="s">
        <v>97</v>
      </c>
      <c r="E250" s="1119"/>
      <c r="F250" s="1119"/>
      <c r="G250" s="1121"/>
      <c r="H250" s="319" t="s">
        <v>12</v>
      </c>
      <c r="I250" s="1122"/>
      <c r="J250" s="1122"/>
      <c r="K250" s="1123"/>
      <c r="L250" s="1124">
        <f ca="1">IFERROR(__xludf.DUMMYFUNCTION("IMPORTRANGE(""https://docs.google.com/spreadsheets/d/1QqKyyYR6Q21VydFLVH3TRQUabQu_ym0Zz7PgGX0-kHA/edit?usp=sharing"",""แผน!AZ85"")"),0)</f>
        <v>0</v>
      </c>
      <c r="M250" s="1124"/>
      <c r="N250" s="1125">
        <v>0</v>
      </c>
      <c r="O250" s="1124"/>
      <c r="P250" s="1124"/>
      <c r="Q250" s="1126"/>
      <c r="R250" s="1126"/>
      <c r="S250" s="1126"/>
      <c r="T250" s="1126"/>
      <c r="U250" s="1126"/>
      <c r="V250" s="1126"/>
      <c r="W250" s="1126"/>
      <c r="X250" s="1126"/>
      <c r="Y250" s="1126"/>
      <c r="Z250" s="1126"/>
    </row>
    <row r="251" spans="1:26" ht="19.5" hidden="1">
      <c r="A251" s="1127"/>
      <c r="B251" s="1118"/>
      <c r="C251" s="1128"/>
      <c r="D251" s="1120" t="s">
        <v>98</v>
      </c>
      <c r="E251" s="1119"/>
      <c r="F251" s="1119"/>
      <c r="G251" s="1121"/>
      <c r="H251" s="319" t="s">
        <v>12</v>
      </c>
      <c r="I251" s="1129"/>
      <c r="J251" s="1129"/>
      <c r="K251" s="1124"/>
      <c r="L251" s="1124">
        <f ca="1">IFERROR(__xludf.DUMMYFUNCTION("IMPORTRANGE(""https://docs.google.com/spreadsheets/d/1QqKyyYR6Q21VydFLVH3TRQUabQu_ym0Zz7PgGX0-kHA/edit?usp=sharing"",""แผน!BA85"")"),0)</f>
        <v>0</v>
      </c>
      <c r="M251" s="1124"/>
      <c r="N251" s="1125">
        <v>0</v>
      </c>
      <c r="O251" s="1124"/>
      <c r="P251" s="1124"/>
      <c r="Q251" s="1130"/>
      <c r="R251" s="1130"/>
      <c r="S251" s="1130"/>
      <c r="T251" s="1130"/>
      <c r="U251" s="1130"/>
      <c r="V251" s="1130"/>
      <c r="W251" s="1130"/>
      <c r="X251" s="1130"/>
      <c r="Y251" s="1130"/>
      <c r="Z251" s="1130"/>
    </row>
    <row r="252" spans="1:26" ht="19.5" hidden="1">
      <c r="A252" s="1127"/>
      <c r="B252" s="1118"/>
      <c r="C252" s="1128"/>
      <c r="D252" s="1120" t="s">
        <v>116</v>
      </c>
      <c r="E252" s="1119"/>
      <c r="F252" s="1119"/>
      <c r="G252" s="1121"/>
      <c r="H252" s="319" t="s">
        <v>12</v>
      </c>
      <c r="I252" s="1129"/>
      <c r="J252" s="1129"/>
      <c r="K252" s="1124"/>
      <c r="L252" s="1124">
        <f ca="1">IFERROR(__xludf.DUMMYFUNCTION("IMPORTRANGE(""https://docs.google.com/spreadsheets/d/1QqKyyYR6Q21VydFLVH3TRQUabQu_ym0Zz7PgGX0-kHA/edit?usp=sharing"",""แผน!BB85"")"),0)</f>
        <v>0</v>
      </c>
      <c r="M252" s="1124"/>
      <c r="N252" s="1125">
        <v>0</v>
      </c>
      <c r="O252" s="1124"/>
      <c r="P252" s="1124"/>
      <c r="Q252" s="1130"/>
      <c r="R252" s="1130"/>
      <c r="S252" s="1130"/>
      <c r="T252" s="1130"/>
      <c r="U252" s="1130"/>
      <c r="V252" s="1130"/>
      <c r="W252" s="1130"/>
      <c r="X252" s="1130"/>
      <c r="Y252" s="1130"/>
      <c r="Z252" s="1130"/>
    </row>
    <row r="253" spans="1:26" ht="19.5" hidden="1">
      <c r="A253" s="1127"/>
      <c r="B253" s="1118"/>
      <c r="C253" s="1128"/>
      <c r="D253" s="1120" t="s">
        <v>100</v>
      </c>
      <c r="E253" s="1119"/>
      <c r="F253" s="1119"/>
      <c r="G253" s="1121"/>
      <c r="H253" s="319" t="s">
        <v>12</v>
      </c>
      <c r="I253" s="1129"/>
      <c r="J253" s="1129"/>
      <c r="K253" s="1124"/>
      <c r="L253" s="1124">
        <f ca="1">IFERROR(__xludf.DUMMYFUNCTION("IMPORTRANGE(""https://docs.google.com/spreadsheets/d/1QqKyyYR6Q21VydFLVH3TRQUabQu_ym0Zz7PgGX0-kHA/edit?usp=sharing"",""แผน!BC85"")"),0)</f>
        <v>0</v>
      </c>
      <c r="M253" s="1124"/>
      <c r="N253" s="1125">
        <v>0</v>
      </c>
      <c r="O253" s="1124"/>
      <c r="P253" s="1124"/>
      <c r="Q253" s="1130"/>
      <c r="R253" s="1130"/>
      <c r="S253" s="1130"/>
      <c r="T253" s="1130"/>
      <c r="U253" s="1130"/>
      <c r="V253" s="1130"/>
      <c r="W253" s="1130"/>
      <c r="X253" s="1130"/>
      <c r="Y253" s="1130"/>
      <c r="Z253" s="1130"/>
    </row>
    <row r="254" spans="1:26" ht="19.5" hidden="1">
      <c r="A254" s="1002"/>
      <c r="B254" s="1003"/>
      <c r="C254" s="1092" t="s">
        <v>16</v>
      </c>
      <c r="D254" s="1004" t="s">
        <v>38</v>
      </c>
      <c r="E254" s="1005"/>
      <c r="F254" s="1005"/>
      <c r="G254" s="1006"/>
      <c r="H254" s="1007"/>
      <c r="I254" s="997"/>
      <c r="J254" s="880"/>
      <c r="K254" s="881"/>
      <c r="L254" s="881"/>
      <c r="M254" s="881"/>
      <c r="N254" s="881"/>
      <c r="O254" s="998"/>
      <c r="P254" s="998"/>
      <c r="Q254" s="868"/>
      <c r="R254" s="868"/>
      <c r="S254" s="868"/>
      <c r="T254" s="868"/>
      <c r="U254" s="868"/>
      <c r="V254" s="868"/>
      <c r="W254" s="868"/>
      <c r="X254" s="868"/>
      <c r="Y254" s="868"/>
      <c r="Z254" s="868"/>
    </row>
    <row r="255" spans="1:26" ht="18.75" hidden="1">
      <c r="A255" s="1002"/>
      <c r="B255" s="1003"/>
      <c r="C255" s="1003"/>
      <c r="D255" s="1009" t="s">
        <v>117</v>
      </c>
      <c r="E255" s="1010"/>
      <c r="F255" s="1010"/>
      <c r="G255" s="1011"/>
      <c r="H255" s="762" t="s">
        <v>35</v>
      </c>
      <c r="I255" s="880" t="str">
        <f ca="1">IFERROR(__xludf.DUMMYFUNCTION("IMPORTRANGE(""https://docs.google.com/spreadsheets/d/1QqKyyYR6Q21VydFLVH3TRQUabQu_ym0Zz7PgGX0-kHA/edit?usp=sharing"",""แผน!BF85"")"),"")</f>
        <v/>
      </c>
      <c r="J255" s="1012">
        <v>0</v>
      </c>
      <c r="K255" s="881" t="e">
        <f ca="1">IF(I255&gt;0,J255*100/I255,0)</f>
        <v>#VALUE!</v>
      </c>
      <c r="L255" s="881"/>
      <c r="M255" s="881"/>
      <c r="N255" s="881"/>
      <c r="O255" s="881"/>
      <c r="P255" s="881"/>
      <c r="Q255" s="868"/>
      <c r="R255" s="868"/>
      <c r="S255" s="868"/>
      <c r="T255" s="868"/>
      <c r="U255" s="868"/>
      <c r="V255" s="868"/>
      <c r="W255" s="868"/>
      <c r="X255" s="868"/>
      <c r="Y255" s="868"/>
      <c r="Z255" s="868"/>
    </row>
    <row r="256" spans="1:26" ht="18.75" hidden="1">
      <c r="A256" s="1002"/>
      <c r="B256" s="1003"/>
      <c r="C256" s="1003"/>
      <c r="D256" s="1131" t="s">
        <v>43</v>
      </c>
      <c r="E256" s="1010"/>
      <c r="F256" s="1010"/>
      <c r="G256" s="1011"/>
      <c r="H256" s="762"/>
      <c r="I256" s="880"/>
      <c r="J256" s="880"/>
      <c r="K256" s="881"/>
      <c r="L256" s="881"/>
      <c r="M256" s="881"/>
      <c r="N256" s="881"/>
      <c r="O256" s="998"/>
      <c r="P256" s="998"/>
      <c r="Q256" s="868"/>
      <c r="R256" s="868"/>
      <c r="S256" s="868"/>
      <c r="T256" s="868"/>
      <c r="U256" s="868"/>
      <c r="V256" s="868"/>
      <c r="W256" s="868"/>
      <c r="X256" s="868"/>
      <c r="Y256" s="868"/>
      <c r="Z256" s="868"/>
    </row>
    <row r="257" spans="1:26" ht="18.75" hidden="1">
      <c r="A257" s="1002"/>
      <c r="B257" s="1003"/>
      <c r="C257" s="1003"/>
      <c r="D257" s="1003"/>
      <c r="E257" s="1008" t="s">
        <v>118</v>
      </c>
      <c r="F257" s="1010"/>
      <c r="G257" s="1011"/>
      <c r="H257" s="762" t="s">
        <v>35</v>
      </c>
      <c r="I257" s="880"/>
      <c r="J257" s="1012">
        <v>0</v>
      </c>
      <c r="K257" s="881">
        <f t="shared" ref="K257:K258" si="114">IF(I257&gt;0,J257*100/I257,0)</f>
        <v>0</v>
      </c>
      <c r="L257" s="881"/>
      <c r="M257" s="881"/>
      <c r="N257" s="881"/>
      <c r="O257" s="881"/>
      <c r="P257" s="881"/>
      <c r="Q257" s="868"/>
      <c r="R257" s="868"/>
      <c r="S257" s="868"/>
      <c r="T257" s="868"/>
      <c r="U257" s="868"/>
      <c r="V257" s="868"/>
      <c r="W257" s="868"/>
      <c r="X257" s="868"/>
      <c r="Y257" s="868"/>
      <c r="Z257" s="868"/>
    </row>
    <row r="258" spans="1:26" ht="18.75" hidden="1">
      <c r="A258" s="1002"/>
      <c r="B258" s="1003"/>
      <c r="C258" s="1003"/>
      <c r="D258" s="1003"/>
      <c r="E258" s="1008" t="s">
        <v>119</v>
      </c>
      <c r="F258" s="1010"/>
      <c r="G258" s="1011"/>
      <c r="H258" s="762" t="s">
        <v>66</v>
      </c>
      <c r="I258" s="880"/>
      <c r="J258" s="1012">
        <v>0</v>
      </c>
      <c r="K258" s="881">
        <f t="shared" si="114"/>
        <v>0</v>
      </c>
      <c r="L258" s="881"/>
      <c r="M258" s="881"/>
      <c r="N258" s="881"/>
      <c r="O258" s="881"/>
      <c r="P258" s="881"/>
      <c r="Q258" s="868"/>
      <c r="R258" s="868"/>
      <c r="S258" s="868"/>
      <c r="T258" s="868"/>
      <c r="U258" s="868"/>
      <c r="V258" s="868"/>
      <c r="W258" s="868"/>
      <c r="X258" s="868"/>
      <c r="Y258" s="868"/>
      <c r="Z258" s="868"/>
    </row>
    <row r="259" spans="1:26" ht="19.5">
      <c r="A259" s="1051" t="s">
        <v>122</v>
      </c>
      <c r="B259" s="1052"/>
      <c r="C259" s="1052"/>
      <c r="D259" s="1053"/>
      <c r="E259" s="1053"/>
      <c r="F259" s="1053"/>
      <c r="G259" s="1054"/>
      <c r="H259" s="1055"/>
      <c r="I259" s="1056"/>
      <c r="J259" s="1056"/>
      <c r="K259" s="1057"/>
      <c r="L259" s="1057"/>
      <c r="M259" s="1057"/>
      <c r="N259" s="1057"/>
      <c r="O259" s="1057"/>
      <c r="P259" s="1057"/>
    </row>
    <row r="260" spans="1:26" ht="19.5">
      <c r="A260" s="1058"/>
      <c r="B260" s="1059" t="s">
        <v>123</v>
      </c>
      <c r="C260" s="1060"/>
      <c r="D260" s="1005"/>
      <c r="E260" s="1005"/>
      <c r="F260" s="1005"/>
      <c r="G260" s="1006"/>
      <c r="H260" s="252" t="s">
        <v>35</v>
      </c>
      <c r="I260" s="1075">
        <f t="shared" ref="I260:J260" ca="1" si="115">I271</f>
        <v>18</v>
      </c>
      <c r="J260" s="1075">
        <f t="shared" si="115"/>
        <v>0</v>
      </c>
      <c r="K260" s="1076">
        <f ca="1">IF(I260&gt;0,J260*100/I260,0)</f>
        <v>0</v>
      </c>
      <c r="L260" s="1062"/>
      <c r="M260" s="1062"/>
      <c r="N260" s="1062"/>
      <c r="O260" s="1062"/>
      <c r="P260" s="1062"/>
    </row>
    <row r="261" spans="1:26" ht="19.5">
      <c r="A261" s="985"/>
      <c r="B261" s="986"/>
      <c r="C261" s="987" t="s">
        <v>16</v>
      </c>
      <c r="D261" s="988" t="s">
        <v>17</v>
      </c>
      <c r="E261" s="986"/>
      <c r="F261" s="986"/>
      <c r="G261" s="989"/>
      <c r="H261" s="152" t="s">
        <v>12</v>
      </c>
      <c r="I261" s="990"/>
      <c r="J261" s="990"/>
      <c r="K261" s="991"/>
      <c r="L261" s="992">
        <f t="shared" ref="L261:N261" ca="1" si="116">L262+L263</f>
        <v>23100</v>
      </c>
      <c r="M261" s="992">
        <f t="shared" ca="1" si="116"/>
        <v>0</v>
      </c>
      <c r="N261" s="992">
        <f t="shared" ca="1" si="116"/>
        <v>0</v>
      </c>
      <c r="O261" s="992">
        <f t="shared" ref="O261:O269" ca="1" si="117">IF(L261&gt;0,N261*100/L261,0)</f>
        <v>0</v>
      </c>
      <c r="P261" s="992">
        <f t="shared" ref="P261:P269" ca="1" si="118">IF(M261&gt;0,N261*100/M261,0)</f>
        <v>0</v>
      </c>
      <c r="Q261" s="868"/>
      <c r="R261" s="868"/>
      <c r="S261" s="868"/>
      <c r="T261" s="868"/>
      <c r="U261" s="868"/>
      <c r="V261" s="868"/>
      <c r="W261" s="868"/>
      <c r="X261" s="868"/>
      <c r="Y261" s="868"/>
      <c r="Z261" s="868"/>
    </row>
    <row r="262" spans="1:26" ht="18.75" hidden="1">
      <c r="A262" s="993"/>
      <c r="B262" s="883"/>
      <c r="C262" s="883"/>
      <c r="D262" s="883"/>
      <c r="E262" s="884" t="s">
        <v>18</v>
      </c>
      <c r="F262" s="883"/>
      <c r="G262" s="994"/>
      <c r="H262" s="158" t="s">
        <v>12</v>
      </c>
      <c r="I262" s="886"/>
      <c r="J262" s="886"/>
      <c r="K262" s="887"/>
      <c r="L262" s="887">
        <f t="shared" ref="L262:N263" si="119">L265+L268</f>
        <v>0</v>
      </c>
      <c r="M262" s="887">
        <f t="shared" si="119"/>
        <v>0</v>
      </c>
      <c r="N262" s="887">
        <f t="shared" si="119"/>
        <v>0</v>
      </c>
      <c r="O262" s="887">
        <f t="shared" si="117"/>
        <v>0</v>
      </c>
      <c r="P262" s="887">
        <f t="shared" si="118"/>
        <v>0</v>
      </c>
      <c r="Q262" s="875"/>
      <c r="R262" s="875"/>
      <c r="S262" s="875"/>
      <c r="T262" s="875"/>
      <c r="U262" s="875"/>
      <c r="V262" s="875"/>
      <c r="W262" s="875"/>
      <c r="X262" s="875"/>
      <c r="Y262" s="875"/>
      <c r="Z262" s="875"/>
    </row>
    <row r="263" spans="1:26" ht="18.75" hidden="1">
      <c r="A263" s="993"/>
      <c r="B263" s="883"/>
      <c r="C263" s="883"/>
      <c r="D263" s="883"/>
      <c r="E263" s="884" t="s">
        <v>19</v>
      </c>
      <c r="F263" s="883"/>
      <c r="G263" s="994"/>
      <c r="H263" s="158" t="s">
        <v>12</v>
      </c>
      <c r="I263" s="886"/>
      <c r="J263" s="886"/>
      <c r="K263" s="887"/>
      <c r="L263" s="887">
        <f t="shared" ca="1" si="119"/>
        <v>23100</v>
      </c>
      <c r="M263" s="887">
        <f t="shared" ca="1" si="119"/>
        <v>0</v>
      </c>
      <c r="N263" s="887">
        <f t="shared" ca="1" si="119"/>
        <v>0</v>
      </c>
      <c r="O263" s="887">
        <f t="shared" ca="1" si="117"/>
        <v>0</v>
      </c>
      <c r="P263" s="887">
        <f t="shared" ca="1" si="118"/>
        <v>0</v>
      </c>
      <c r="Q263" s="875"/>
      <c r="R263" s="875"/>
      <c r="S263" s="875"/>
      <c r="T263" s="875"/>
      <c r="U263" s="875"/>
      <c r="V263" s="875"/>
      <c r="W263" s="875"/>
      <c r="X263" s="875"/>
      <c r="Y263" s="875"/>
      <c r="Z263" s="875"/>
    </row>
    <row r="264" spans="1:26" ht="18.75">
      <c r="A264" s="995"/>
      <c r="B264" s="877"/>
      <c r="C264" s="996"/>
      <c r="D264" s="878" t="s">
        <v>20</v>
      </c>
      <c r="E264" s="877"/>
      <c r="F264" s="877"/>
      <c r="G264" s="879"/>
      <c r="H264" s="161" t="s">
        <v>12</v>
      </c>
      <c r="I264" s="997"/>
      <c r="J264" s="997"/>
      <c r="K264" s="998"/>
      <c r="L264" s="881">
        <f t="shared" ref="L264:N264" ca="1" si="120">L265+L266</f>
        <v>23100</v>
      </c>
      <c r="M264" s="881">
        <f t="shared" ca="1" si="120"/>
        <v>0</v>
      </c>
      <c r="N264" s="881">
        <f t="shared" ca="1" si="120"/>
        <v>0</v>
      </c>
      <c r="O264" s="881">
        <f t="shared" ca="1" si="117"/>
        <v>0</v>
      </c>
      <c r="P264" s="881">
        <f t="shared" ca="1" si="118"/>
        <v>0</v>
      </c>
      <c r="Q264" s="868"/>
      <c r="R264" s="868"/>
      <c r="S264" s="868"/>
      <c r="T264" s="868"/>
      <c r="U264" s="868"/>
      <c r="V264" s="868"/>
      <c r="W264" s="868"/>
      <c r="X264" s="868"/>
      <c r="Y264" s="868"/>
      <c r="Z264" s="868"/>
    </row>
    <row r="265" spans="1:26" ht="19.5" hidden="1">
      <c r="A265" s="993"/>
      <c r="B265" s="883"/>
      <c r="C265" s="999"/>
      <c r="D265" s="883"/>
      <c r="E265" s="884" t="s">
        <v>36</v>
      </c>
      <c r="F265" s="883"/>
      <c r="G265" s="994"/>
      <c r="H265" s="165" t="s">
        <v>12</v>
      </c>
      <c r="I265" s="1000"/>
      <c r="J265" s="1000"/>
      <c r="K265" s="1001"/>
      <c r="L265" s="887">
        <v>0</v>
      </c>
      <c r="M265" s="887">
        <v>0</v>
      </c>
      <c r="N265" s="887">
        <v>0</v>
      </c>
      <c r="O265" s="887">
        <f t="shared" si="117"/>
        <v>0</v>
      </c>
      <c r="P265" s="887">
        <f t="shared" si="118"/>
        <v>0</v>
      </c>
      <c r="Q265" s="875"/>
      <c r="R265" s="875"/>
      <c r="S265" s="875"/>
      <c r="T265" s="875"/>
      <c r="U265" s="875"/>
      <c r="V265" s="875"/>
      <c r="W265" s="875"/>
      <c r="X265" s="875"/>
      <c r="Y265" s="875"/>
      <c r="Z265" s="875"/>
    </row>
    <row r="266" spans="1:26" ht="19.5" hidden="1">
      <c r="A266" s="993"/>
      <c r="B266" s="883"/>
      <c r="C266" s="999"/>
      <c r="D266" s="883"/>
      <c r="E266" s="884" t="s">
        <v>37</v>
      </c>
      <c r="F266" s="883"/>
      <c r="G266" s="994"/>
      <c r="H266" s="165" t="s">
        <v>12</v>
      </c>
      <c r="I266" s="1000"/>
      <c r="J266" s="1000"/>
      <c r="K266" s="1001"/>
      <c r="L266" s="887">
        <f ca="1">IFERROR(__xludf.DUMMYFUNCTION("IMPORTRANGE(""https://docs.google.com/spreadsheets/d/1MeEWN-I1oV_STSDYn1IFDPWt_1FKiwhDph83XaGc0o0/edit?usp=sharing"",""งบพรบ!CY85"")"),23100)</f>
        <v>23100</v>
      </c>
      <c r="M266" s="887">
        <f ca="1">IFERROR(__xludf.DUMMYFUNCTION("IMPORTRANGE(""https://docs.google.com/spreadsheets/d/1MeEWN-I1oV_STSDYn1IFDPWt_1FKiwhDph83XaGc0o0/edit?usp=sharing"",""งบพรบ!DD85"")"),0)</f>
        <v>0</v>
      </c>
      <c r="N266" s="887">
        <f ca="1">IFERROR(__xludf.DUMMYFUNCTION("IMPORTRANGE(""https://docs.google.com/spreadsheets/d/1MeEWN-I1oV_STSDYn1IFDPWt_1FKiwhDph83XaGc0o0/edit?usp=sharing"",""งบพรบ!DF85"")"),0)</f>
        <v>0</v>
      </c>
      <c r="O266" s="887">
        <f t="shared" ca="1" si="117"/>
        <v>0</v>
      </c>
      <c r="P266" s="887">
        <f t="shared" ca="1" si="118"/>
        <v>0</v>
      </c>
      <c r="Q266" s="875"/>
      <c r="R266" s="875"/>
      <c r="S266" s="875"/>
      <c r="T266" s="875"/>
      <c r="U266" s="875"/>
      <c r="V266" s="875"/>
      <c r="W266" s="875"/>
      <c r="X266" s="875"/>
      <c r="Y266" s="875"/>
      <c r="Z266" s="875"/>
    </row>
    <row r="267" spans="1:26" ht="18.75">
      <c r="A267" s="995"/>
      <c r="B267" s="877"/>
      <c r="C267" s="996"/>
      <c r="D267" s="878" t="s">
        <v>21</v>
      </c>
      <c r="E267" s="877"/>
      <c r="F267" s="877"/>
      <c r="G267" s="879"/>
      <c r="H267" s="168" t="s">
        <v>12</v>
      </c>
      <c r="I267" s="997"/>
      <c r="J267" s="997"/>
      <c r="K267" s="998"/>
      <c r="L267" s="881">
        <f t="shared" ref="L267:N267" ca="1" si="121">L268+L269</f>
        <v>0</v>
      </c>
      <c r="M267" s="881">
        <f t="shared" ca="1" si="121"/>
        <v>0</v>
      </c>
      <c r="N267" s="881">
        <f t="shared" ca="1" si="121"/>
        <v>0</v>
      </c>
      <c r="O267" s="881">
        <f t="shared" ca="1" si="117"/>
        <v>0</v>
      </c>
      <c r="P267" s="881">
        <f t="shared" ca="1" si="118"/>
        <v>0</v>
      </c>
      <c r="Q267" s="868"/>
      <c r="R267" s="868"/>
      <c r="S267" s="868"/>
      <c r="T267" s="868"/>
      <c r="U267" s="868"/>
      <c r="V267" s="868"/>
      <c r="W267" s="868"/>
      <c r="X267" s="868"/>
      <c r="Y267" s="868"/>
      <c r="Z267" s="868"/>
    </row>
    <row r="268" spans="1:26" ht="19.5" hidden="1">
      <c r="A268" s="993"/>
      <c r="B268" s="883"/>
      <c r="C268" s="999"/>
      <c r="D268" s="883"/>
      <c r="E268" s="884" t="s">
        <v>18</v>
      </c>
      <c r="F268" s="883"/>
      <c r="G268" s="994"/>
      <c r="H268" s="165" t="s">
        <v>12</v>
      </c>
      <c r="I268" s="1000"/>
      <c r="J268" s="1000"/>
      <c r="K268" s="1001"/>
      <c r="L268" s="887">
        <v>0</v>
      </c>
      <c r="M268" s="887">
        <v>0</v>
      </c>
      <c r="N268" s="887">
        <v>0</v>
      </c>
      <c r="O268" s="887">
        <f t="shared" si="117"/>
        <v>0</v>
      </c>
      <c r="P268" s="887">
        <f t="shared" si="118"/>
        <v>0</v>
      </c>
      <c r="Q268" s="875"/>
      <c r="R268" s="875"/>
      <c r="S268" s="875"/>
      <c r="T268" s="875"/>
      <c r="U268" s="875"/>
      <c r="V268" s="875"/>
      <c r="W268" s="875"/>
      <c r="X268" s="875"/>
      <c r="Y268" s="875"/>
      <c r="Z268" s="875"/>
    </row>
    <row r="269" spans="1:26" ht="19.5" hidden="1">
      <c r="A269" s="993"/>
      <c r="B269" s="883"/>
      <c r="C269" s="999"/>
      <c r="D269" s="883"/>
      <c r="E269" s="884" t="s">
        <v>19</v>
      </c>
      <c r="F269" s="883"/>
      <c r="G269" s="994"/>
      <c r="H269" s="169" t="s">
        <v>12</v>
      </c>
      <c r="I269" s="1000"/>
      <c r="J269" s="1000"/>
      <c r="K269" s="1001"/>
      <c r="L269" s="887">
        <f ca="1">IFERROR(__xludf.DUMMYFUNCTION("IMPORTRANGE(""https://docs.google.com/spreadsheets/d/1MeEWN-I1oV_STSDYn1IFDPWt_1FKiwhDph83XaGc0o0/edit?usp=sharing"",""งบพรบ!DB85"")"),0)</f>
        <v>0</v>
      </c>
      <c r="M269" s="887">
        <f ca="1">IFERROR(__xludf.DUMMYFUNCTION("IMPORTRANGE(""https://docs.google.com/spreadsheets/d/1MeEWN-I1oV_STSDYn1IFDPWt_1FKiwhDph83XaGc0o0/edit?usp=sharing"",""งบพรบ!DE85"")"),0)</f>
        <v>0</v>
      </c>
      <c r="N269" s="887">
        <f ca="1">IFERROR(__xludf.DUMMYFUNCTION("IMPORTRANGE(""https://docs.google.com/spreadsheets/d/1MeEWN-I1oV_STSDYn1IFDPWt_1FKiwhDph83XaGc0o0/edit?usp=sharing"",""งบพรบ!DG85"")"),0)</f>
        <v>0</v>
      </c>
      <c r="O269" s="887">
        <f t="shared" ca="1" si="117"/>
        <v>0</v>
      </c>
      <c r="P269" s="887">
        <f t="shared" ca="1" si="118"/>
        <v>0</v>
      </c>
      <c r="Q269" s="875"/>
      <c r="R269" s="875"/>
      <c r="S269" s="875"/>
      <c r="T269" s="875"/>
      <c r="U269" s="875"/>
      <c r="V269" s="875"/>
      <c r="W269" s="875"/>
      <c r="X269" s="875"/>
      <c r="Y269" s="875"/>
      <c r="Z269" s="875"/>
    </row>
    <row r="270" spans="1:26" ht="19.5">
      <c r="A270" s="1002"/>
      <c r="B270" s="1003"/>
      <c r="C270" s="996" t="s">
        <v>16</v>
      </c>
      <c r="D270" s="1004" t="s">
        <v>38</v>
      </c>
      <c r="E270" s="1005"/>
      <c r="F270" s="1005"/>
      <c r="G270" s="1006"/>
      <c r="H270" s="1007"/>
      <c r="I270" s="997"/>
      <c r="J270" s="997"/>
      <c r="K270" s="998"/>
      <c r="L270" s="998"/>
      <c r="M270" s="998"/>
      <c r="N270" s="998"/>
      <c r="O270" s="998"/>
      <c r="P270" s="998"/>
    </row>
    <row r="271" spans="1:26" ht="18.75">
      <c r="A271" s="1002"/>
      <c r="B271" s="1003"/>
      <c r="C271" s="1003"/>
      <c r="D271" s="1132" t="s">
        <v>124</v>
      </c>
      <c r="E271" s="1010"/>
      <c r="F271" s="1074"/>
      <c r="G271" s="1011"/>
      <c r="H271" s="377" t="s">
        <v>35</v>
      </c>
      <c r="I271" s="880">
        <f ca="1">IFERROR(__xludf.DUMMYFUNCTION("IMPORTRANGE(""https://docs.google.com/spreadsheets/d/1QqKyyYR6Q21VydFLVH3TRQUabQu_ym0Zz7PgGX0-kHA/edit?usp=sharing"",""แผน!EA85"")"),18)</f>
        <v>18</v>
      </c>
      <c r="J271" s="1012">
        <v>0</v>
      </c>
      <c r="K271" s="998">
        <f ca="1">IF(I271&gt;0,J271*100/I271,0)</f>
        <v>0</v>
      </c>
      <c r="L271" s="998"/>
      <c r="M271" s="998"/>
      <c r="N271" s="998"/>
      <c r="O271" s="998"/>
      <c r="P271" s="998"/>
    </row>
    <row r="272" spans="1:26" ht="18.75" hidden="1">
      <c r="A272" s="1133"/>
      <c r="B272" s="1134"/>
      <c r="C272" s="1134"/>
      <c r="D272" s="1135" t="s">
        <v>125</v>
      </c>
      <c r="E272" s="1136"/>
      <c r="F272" s="1136"/>
      <c r="G272" s="1137"/>
      <c r="H272" s="50" t="s">
        <v>35</v>
      </c>
      <c r="I272" s="1138">
        <v>0</v>
      </c>
      <c r="J272" s="1138">
        <v>0</v>
      </c>
      <c r="K272" s="1139">
        <v>0</v>
      </c>
      <c r="L272" s="1139"/>
      <c r="M272" s="1139"/>
      <c r="N272" s="1139"/>
      <c r="O272" s="1139"/>
      <c r="P272" s="1139"/>
    </row>
    <row r="273" spans="1:26" ht="19.5" hidden="1">
      <c r="A273" s="1140" t="s">
        <v>126</v>
      </c>
      <c r="B273" s="1141"/>
      <c r="C273" s="1141"/>
      <c r="D273" s="1141"/>
      <c r="E273" s="1142"/>
      <c r="F273" s="1142"/>
      <c r="G273" s="1143"/>
      <c r="H273" s="1144"/>
      <c r="I273" s="1145"/>
      <c r="J273" s="1145"/>
      <c r="K273" s="1146"/>
      <c r="L273" s="1146"/>
      <c r="M273" s="1146"/>
      <c r="N273" s="1146"/>
      <c r="O273" s="1146"/>
      <c r="P273" s="1146"/>
    </row>
    <row r="274" spans="1:26" ht="19.5" hidden="1">
      <c r="A274" s="1147" t="s">
        <v>127</v>
      </c>
      <c r="B274" s="1148"/>
      <c r="C274" s="1149"/>
      <c r="D274" s="1148"/>
      <c r="E274" s="1148"/>
      <c r="F274" s="1148"/>
      <c r="G274" s="1148"/>
      <c r="H274" s="1150"/>
      <c r="I274" s="1151"/>
      <c r="J274" s="1152"/>
      <c r="K274" s="1153"/>
      <c r="L274" s="1153"/>
      <c r="M274" s="1153"/>
      <c r="N274" s="1153"/>
      <c r="O274" s="1153"/>
      <c r="P274" s="1153"/>
    </row>
    <row r="275" spans="1:26" ht="19.5" hidden="1">
      <c r="A275" s="1154"/>
      <c r="B275" s="1155" t="s">
        <v>128</v>
      </c>
      <c r="C275" s="1156"/>
      <c r="D275" s="1157"/>
      <c r="E275" s="1156"/>
      <c r="F275" s="1156"/>
      <c r="G275" s="1158"/>
      <c r="H275" s="405" t="s">
        <v>35</v>
      </c>
      <c r="I275" s="1159">
        <f t="shared" ref="I275:J275" ca="1" si="122">I288</f>
        <v>0</v>
      </c>
      <c r="J275" s="1159">
        <f t="shared" ca="1" si="122"/>
        <v>0</v>
      </c>
      <c r="K275" s="1160">
        <f t="shared" ref="K275:K276" ca="1" si="123">IF(I275&gt;0,J275*100/I275,0)</f>
        <v>0</v>
      </c>
      <c r="L275" s="1161"/>
      <c r="M275" s="1161"/>
      <c r="N275" s="1161"/>
      <c r="O275" s="1161"/>
      <c r="P275" s="1161"/>
    </row>
    <row r="276" spans="1:26" ht="19.5" hidden="1">
      <c r="A276" s="1154"/>
      <c r="B276" s="1155"/>
      <c r="C276" s="1156"/>
      <c r="D276" s="1157"/>
      <c r="E276" s="1156"/>
      <c r="F276" s="1156"/>
      <c r="G276" s="1158"/>
      <c r="H276" s="405" t="s">
        <v>46</v>
      </c>
      <c r="I276" s="1493">
        <f t="shared" ref="I276:J276" ca="1" si="124">I287</f>
        <v>0</v>
      </c>
      <c r="J276" s="1493">
        <f t="shared" si="124"/>
        <v>0</v>
      </c>
      <c r="K276" s="1161">
        <f t="shared" ca="1" si="123"/>
        <v>0</v>
      </c>
      <c r="L276" s="1161"/>
      <c r="M276" s="1161"/>
      <c r="N276" s="1161"/>
      <c r="O276" s="1161"/>
      <c r="P276" s="1161"/>
    </row>
    <row r="277" spans="1:26" ht="19.5" hidden="1">
      <c r="A277" s="985"/>
      <c r="B277" s="986"/>
      <c r="C277" s="987" t="s">
        <v>16</v>
      </c>
      <c r="D277" s="988" t="s">
        <v>17</v>
      </c>
      <c r="E277" s="986"/>
      <c r="F277" s="986"/>
      <c r="G277" s="989"/>
      <c r="H277" s="152" t="s">
        <v>12</v>
      </c>
      <c r="I277" s="990"/>
      <c r="J277" s="990"/>
      <c r="K277" s="991"/>
      <c r="L277" s="992">
        <f t="shared" ref="L277:N277" ca="1" si="125">L278+L279</f>
        <v>0</v>
      </c>
      <c r="M277" s="992">
        <f t="shared" ca="1" si="125"/>
        <v>0</v>
      </c>
      <c r="N277" s="992">
        <f t="shared" ca="1" si="125"/>
        <v>0</v>
      </c>
      <c r="O277" s="992">
        <f t="shared" ref="O277:O285" ca="1" si="126">IF(L277&gt;0,N277*100/L277,0)</f>
        <v>0</v>
      </c>
      <c r="P277" s="992">
        <f t="shared" ref="P277:P285" ca="1" si="127">IF(M277&gt;0,N277*100/M277,0)</f>
        <v>0</v>
      </c>
      <c r="Q277" s="868"/>
      <c r="R277" s="868"/>
      <c r="S277" s="868"/>
      <c r="T277" s="868"/>
      <c r="U277" s="868"/>
      <c r="V277" s="868"/>
      <c r="W277" s="868"/>
      <c r="X277" s="868"/>
      <c r="Y277" s="868"/>
      <c r="Z277" s="868"/>
    </row>
    <row r="278" spans="1:26" ht="18.75" hidden="1">
      <c r="A278" s="993"/>
      <c r="B278" s="883"/>
      <c r="C278" s="883"/>
      <c r="D278" s="883"/>
      <c r="E278" s="884" t="s">
        <v>18</v>
      </c>
      <c r="F278" s="883"/>
      <c r="G278" s="994"/>
      <c r="H278" s="158" t="s">
        <v>12</v>
      </c>
      <c r="I278" s="886"/>
      <c r="J278" s="886"/>
      <c r="K278" s="887"/>
      <c r="L278" s="887">
        <f t="shared" ref="L278:N279" si="128">L281+L284</f>
        <v>0</v>
      </c>
      <c r="M278" s="887">
        <f t="shared" si="128"/>
        <v>0</v>
      </c>
      <c r="N278" s="887">
        <f t="shared" si="128"/>
        <v>0</v>
      </c>
      <c r="O278" s="887">
        <f t="shared" si="126"/>
        <v>0</v>
      </c>
      <c r="P278" s="887">
        <f t="shared" si="127"/>
        <v>0</v>
      </c>
      <c r="Q278" s="875"/>
      <c r="R278" s="875"/>
      <c r="S278" s="875"/>
      <c r="T278" s="875"/>
      <c r="U278" s="875"/>
      <c r="V278" s="875"/>
      <c r="W278" s="875"/>
      <c r="X278" s="875"/>
      <c r="Y278" s="875"/>
      <c r="Z278" s="875"/>
    </row>
    <row r="279" spans="1:26" ht="18.75" hidden="1">
      <c r="A279" s="993"/>
      <c r="B279" s="883"/>
      <c r="C279" s="883"/>
      <c r="D279" s="883"/>
      <c r="E279" s="884" t="s">
        <v>19</v>
      </c>
      <c r="F279" s="883"/>
      <c r="G279" s="994"/>
      <c r="H279" s="158" t="s">
        <v>12</v>
      </c>
      <c r="I279" s="886"/>
      <c r="J279" s="886"/>
      <c r="K279" s="887"/>
      <c r="L279" s="887">
        <f t="shared" ca="1" si="128"/>
        <v>0</v>
      </c>
      <c r="M279" s="887">
        <f t="shared" ca="1" si="128"/>
        <v>0</v>
      </c>
      <c r="N279" s="887">
        <f t="shared" ca="1" si="128"/>
        <v>0</v>
      </c>
      <c r="O279" s="887">
        <f t="shared" ca="1" si="126"/>
        <v>0</v>
      </c>
      <c r="P279" s="887">
        <f t="shared" ca="1" si="127"/>
        <v>0</v>
      </c>
      <c r="Q279" s="875"/>
      <c r="R279" s="875"/>
      <c r="S279" s="875"/>
      <c r="T279" s="875"/>
      <c r="U279" s="875"/>
      <c r="V279" s="875"/>
      <c r="W279" s="875"/>
      <c r="X279" s="875"/>
      <c r="Y279" s="875"/>
      <c r="Z279" s="875"/>
    </row>
    <row r="280" spans="1:26" ht="18.75" hidden="1">
      <c r="A280" s="995"/>
      <c r="B280" s="877"/>
      <c r="C280" s="996"/>
      <c r="D280" s="878" t="s">
        <v>20</v>
      </c>
      <c r="E280" s="877"/>
      <c r="F280" s="877"/>
      <c r="G280" s="879"/>
      <c r="H280" s="161" t="s">
        <v>12</v>
      </c>
      <c r="I280" s="997"/>
      <c r="J280" s="997"/>
      <c r="K280" s="998"/>
      <c r="L280" s="881">
        <f t="shared" ref="L280:N280" ca="1" si="129">L281+L282</f>
        <v>0</v>
      </c>
      <c r="M280" s="881">
        <f t="shared" ca="1" si="129"/>
        <v>0</v>
      </c>
      <c r="N280" s="881">
        <f t="shared" ca="1" si="129"/>
        <v>0</v>
      </c>
      <c r="O280" s="881">
        <f t="shared" ca="1" si="126"/>
        <v>0</v>
      </c>
      <c r="P280" s="881">
        <f t="shared" ca="1" si="127"/>
        <v>0</v>
      </c>
      <c r="Q280" s="868"/>
      <c r="R280" s="868"/>
      <c r="S280" s="868"/>
      <c r="T280" s="868"/>
      <c r="U280" s="868"/>
      <c r="V280" s="868"/>
      <c r="W280" s="868"/>
      <c r="X280" s="868"/>
      <c r="Y280" s="868"/>
      <c r="Z280" s="868"/>
    </row>
    <row r="281" spans="1:26" ht="19.5" hidden="1">
      <c r="A281" s="993"/>
      <c r="B281" s="883"/>
      <c r="C281" s="999"/>
      <c r="D281" s="883"/>
      <c r="E281" s="884" t="s">
        <v>36</v>
      </c>
      <c r="F281" s="883"/>
      <c r="G281" s="994"/>
      <c r="H281" s="165" t="s">
        <v>12</v>
      </c>
      <c r="I281" s="1000"/>
      <c r="J281" s="1000"/>
      <c r="K281" s="1001"/>
      <c r="L281" s="887">
        <v>0</v>
      </c>
      <c r="M281" s="887">
        <v>0</v>
      </c>
      <c r="N281" s="887">
        <v>0</v>
      </c>
      <c r="O281" s="887">
        <f t="shared" si="126"/>
        <v>0</v>
      </c>
      <c r="P281" s="887">
        <f t="shared" si="127"/>
        <v>0</v>
      </c>
      <c r="Q281" s="875"/>
      <c r="R281" s="875"/>
      <c r="S281" s="875"/>
      <c r="T281" s="875"/>
      <c r="U281" s="875"/>
      <c r="V281" s="875"/>
      <c r="W281" s="875"/>
      <c r="X281" s="875"/>
      <c r="Y281" s="875"/>
      <c r="Z281" s="875"/>
    </row>
    <row r="282" spans="1:26" ht="19.5" hidden="1">
      <c r="A282" s="993"/>
      <c r="B282" s="883"/>
      <c r="C282" s="999"/>
      <c r="D282" s="883"/>
      <c r="E282" s="884" t="s">
        <v>37</v>
      </c>
      <c r="F282" s="883"/>
      <c r="G282" s="994"/>
      <c r="H282" s="165" t="s">
        <v>12</v>
      </c>
      <c r="I282" s="1000"/>
      <c r="J282" s="1000"/>
      <c r="K282" s="1001"/>
      <c r="L282" s="887">
        <f ca="1">IFERROR(__xludf.DUMMYFUNCTION("IMPORTRANGE(""https://docs.google.com/spreadsheets/d/1MeEWN-I1oV_STSDYn1IFDPWt_1FKiwhDph83XaGc0o0/edit?usp=sharing"",""งบพรบ!DI85"")"),0)</f>
        <v>0</v>
      </c>
      <c r="M282" s="887">
        <f ca="1">IFERROR(__xludf.DUMMYFUNCTION("IMPORTRANGE(""https://docs.google.com/spreadsheets/d/1MeEWN-I1oV_STSDYn1IFDPWt_1FKiwhDph83XaGc0o0/edit?usp=sharing"",""งบพรบ!DN85"")"),0)</f>
        <v>0</v>
      </c>
      <c r="N282" s="887">
        <f ca="1">IFERROR(__xludf.DUMMYFUNCTION("IMPORTRANGE(""https://docs.google.com/spreadsheets/d/1MeEWN-I1oV_STSDYn1IFDPWt_1FKiwhDph83XaGc0o0/edit?usp=sharing"",""งบพรบ!DP85"")"),0)</f>
        <v>0</v>
      </c>
      <c r="O282" s="887">
        <f t="shared" ca="1" si="126"/>
        <v>0</v>
      </c>
      <c r="P282" s="887">
        <f t="shared" ca="1" si="127"/>
        <v>0</v>
      </c>
      <c r="Q282" s="875"/>
      <c r="R282" s="875"/>
      <c r="S282" s="875"/>
      <c r="T282" s="875"/>
      <c r="U282" s="875"/>
      <c r="V282" s="875"/>
      <c r="W282" s="875"/>
      <c r="X282" s="875"/>
      <c r="Y282" s="875"/>
      <c r="Z282" s="875"/>
    </row>
    <row r="283" spans="1:26" ht="18.75" hidden="1">
      <c r="A283" s="995"/>
      <c r="B283" s="877"/>
      <c r="C283" s="996"/>
      <c r="D283" s="878" t="s">
        <v>21</v>
      </c>
      <c r="E283" s="877"/>
      <c r="F283" s="877"/>
      <c r="G283" s="879"/>
      <c r="H283" s="168" t="s">
        <v>12</v>
      </c>
      <c r="I283" s="997"/>
      <c r="J283" s="997"/>
      <c r="K283" s="998"/>
      <c r="L283" s="881">
        <f t="shared" ref="L283:N283" ca="1" si="130">L284+L285</f>
        <v>0</v>
      </c>
      <c r="M283" s="881">
        <f t="shared" ca="1" si="130"/>
        <v>0</v>
      </c>
      <c r="N283" s="881">
        <f t="shared" ca="1" si="130"/>
        <v>0</v>
      </c>
      <c r="O283" s="881">
        <f t="shared" ca="1" si="126"/>
        <v>0</v>
      </c>
      <c r="P283" s="881">
        <f t="shared" ca="1" si="127"/>
        <v>0</v>
      </c>
      <c r="Q283" s="868"/>
      <c r="R283" s="868"/>
      <c r="S283" s="868"/>
      <c r="T283" s="868"/>
      <c r="U283" s="868"/>
      <c r="V283" s="868"/>
      <c r="W283" s="868"/>
      <c r="X283" s="868"/>
      <c r="Y283" s="868"/>
      <c r="Z283" s="868"/>
    </row>
    <row r="284" spans="1:26" ht="19.5" hidden="1">
      <c r="A284" s="993"/>
      <c r="B284" s="883"/>
      <c r="C284" s="999"/>
      <c r="D284" s="883"/>
      <c r="E284" s="884" t="s">
        <v>18</v>
      </c>
      <c r="F284" s="883"/>
      <c r="G284" s="994"/>
      <c r="H284" s="165" t="s">
        <v>12</v>
      </c>
      <c r="I284" s="1000"/>
      <c r="J284" s="1000"/>
      <c r="K284" s="1001"/>
      <c r="L284" s="887">
        <v>0</v>
      </c>
      <c r="M284" s="887">
        <v>0</v>
      </c>
      <c r="N284" s="887">
        <v>0</v>
      </c>
      <c r="O284" s="887">
        <f t="shared" si="126"/>
        <v>0</v>
      </c>
      <c r="P284" s="887">
        <f t="shared" si="127"/>
        <v>0</v>
      </c>
      <c r="Q284" s="875"/>
      <c r="R284" s="875"/>
      <c r="S284" s="875"/>
      <c r="T284" s="875"/>
      <c r="U284" s="875"/>
      <c r="V284" s="875"/>
      <c r="W284" s="875"/>
      <c r="X284" s="875"/>
      <c r="Y284" s="875"/>
      <c r="Z284" s="875"/>
    </row>
    <row r="285" spans="1:26" ht="19.5" hidden="1">
      <c r="A285" s="993"/>
      <c r="B285" s="883"/>
      <c r="C285" s="999"/>
      <c r="D285" s="883"/>
      <c r="E285" s="884" t="s">
        <v>19</v>
      </c>
      <c r="F285" s="883"/>
      <c r="G285" s="994"/>
      <c r="H285" s="169" t="s">
        <v>12</v>
      </c>
      <c r="I285" s="1000"/>
      <c r="J285" s="1000"/>
      <c r="K285" s="1001"/>
      <c r="L285" s="887">
        <f ca="1">IFERROR(__xludf.DUMMYFUNCTION("IMPORTRANGE(""https://docs.google.com/spreadsheets/d/1MeEWN-I1oV_STSDYn1IFDPWt_1FKiwhDph83XaGc0o0/edit?usp=sharing"",""งบพรบ!DL85"")"),0)</f>
        <v>0</v>
      </c>
      <c r="M285" s="887">
        <f ca="1">IFERROR(__xludf.DUMMYFUNCTION("IMPORTRANGE(""https://docs.google.com/spreadsheets/d/1MeEWN-I1oV_STSDYn1IFDPWt_1FKiwhDph83XaGc0o0/edit?usp=sharing"",""งบพรบ!DO85"")"),0)</f>
        <v>0</v>
      </c>
      <c r="N285" s="887">
        <f ca="1">IFERROR(__xludf.DUMMYFUNCTION("IMPORTRANGE(""https://docs.google.com/spreadsheets/d/1MeEWN-I1oV_STSDYn1IFDPWt_1FKiwhDph83XaGc0o0/edit?usp=sharing"",""งบพรบ!DQ85"")"),0)</f>
        <v>0</v>
      </c>
      <c r="O285" s="887">
        <f t="shared" ca="1" si="126"/>
        <v>0</v>
      </c>
      <c r="P285" s="887">
        <f t="shared" ca="1" si="127"/>
        <v>0</v>
      </c>
      <c r="Q285" s="875"/>
      <c r="R285" s="875"/>
      <c r="S285" s="875"/>
      <c r="T285" s="875"/>
      <c r="U285" s="875"/>
      <c r="V285" s="875"/>
      <c r="W285" s="875"/>
      <c r="X285" s="875"/>
      <c r="Y285" s="875"/>
      <c r="Z285" s="875"/>
    </row>
    <row r="286" spans="1:26" ht="19.5" hidden="1">
      <c r="A286" s="1002"/>
      <c r="B286" s="1003"/>
      <c r="C286" s="999" t="s">
        <v>16</v>
      </c>
      <c r="D286" s="1004" t="s">
        <v>38</v>
      </c>
      <c r="E286" s="1005"/>
      <c r="F286" s="1005"/>
      <c r="G286" s="1006"/>
      <c r="H286" s="1007"/>
      <c r="I286" s="997"/>
      <c r="J286" s="997"/>
      <c r="K286" s="998"/>
      <c r="L286" s="998"/>
      <c r="M286" s="998"/>
      <c r="N286" s="998"/>
      <c r="O286" s="998"/>
      <c r="P286" s="998"/>
    </row>
    <row r="287" spans="1:26" ht="18.75" hidden="1">
      <c r="A287" s="1002"/>
      <c r="B287" s="1003"/>
      <c r="C287" s="1003"/>
      <c r="D287" s="1014" t="s">
        <v>129</v>
      </c>
      <c r="E287" s="1003"/>
      <c r="F287" s="1010"/>
      <c r="G287" s="1011"/>
      <c r="H287" s="185" t="s">
        <v>46</v>
      </c>
      <c r="I287" s="880">
        <f ca="1">IFERROR(__xludf.DUMMYFUNCTION("IMPORTRANGE(""https://docs.google.com/spreadsheets/d/1QqKyyYR6Q21VydFLVH3TRQUabQu_ym0Zz7PgGX0-kHA/edit?usp=sharing"",""แผน!EC85"")"),0)</f>
        <v>0</v>
      </c>
      <c r="J287" s="880">
        <v>0</v>
      </c>
      <c r="K287" s="998">
        <f t="shared" ref="K287:K288" ca="1" si="131">IF(I287&gt;0,J287*100/I287,0)</f>
        <v>0</v>
      </c>
      <c r="L287" s="998"/>
      <c r="M287" s="998"/>
      <c r="N287" s="998"/>
      <c r="O287" s="998"/>
      <c r="P287" s="998"/>
    </row>
    <row r="288" spans="1:26" ht="19.5" hidden="1">
      <c r="A288" s="1002"/>
      <c r="B288" s="1003"/>
      <c r="C288" s="1003"/>
      <c r="D288" s="1014" t="s">
        <v>130</v>
      </c>
      <c r="E288" s="1003"/>
      <c r="F288" s="1010"/>
      <c r="G288" s="1011"/>
      <c r="H288" s="180" t="s">
        <v>35</v>
      </c>
      <c r="I288" s="1019">
        <f ca="1">IFERROR(__xludf.DUMMYFUNCTION("IMPORTRANGE(""https://docs.google.com/spreadsheets/d/1QqKyyYR6Q21VydFLVH3TRQUabQu_ym0Zz7PgGX0-kHA/edit?usp=sharing"",""แผน!EB85"")"),0)</f>
        <v>0</v>
      </c>
      <c r="J288" s="1019">
        <f ca="1">IF(AND(J291&gt;=I288,J294&gt;=I288),J294,0)</f>
        <v>0</v>
      </c>
      <c r="K288" s="1162">
        <f t="shared" ca="1" si="131"/>
        <v>0</v>
      </c>
      <c r="L288" s="998"/>
      <c r="M288" s="998"/>
      <c r="N288" s="998"/>
      <c r="O288" s="998"/>
      <c r="P288" s="998"/>
    </row>
    <row r="289" spans="1:26" ht="19.5" hidden="1">
      <c r="A289" s="1002"/>
      <c r="B289" s="1003"/>
      <c r="C289" s="1003"/>
      <c r="D289" s="1163"/>
      <c r="E289" s="1164" t="s">
        <v>131</v>
      </c>
      <c r="F289" s="1010"/>
      <c r="G289" s="1011"/>
      <c r="H289" s="762"/>
      <c r="I289" s="997"/>
      <c r="J289" s="880"/>
      <c r="K289" s="998"/>
      <c r="L289" s="998"/>
      <c r="M289" s="998"/>
      <c r="N289" s="998"/>
      <c r="O289" s="998"/>
      <c r="P289" s="998"/>
    </row>
    <row r="290" spans="1:26" ht="19.5" hidden="1">
      <c r="A290" s="1002"/>
      <c r="B290" s="1003"/>
      <c r="C290" s="1003"/>
      <c r="D290" s="1163"/>
      <c r="E290" s="1014" t="s">
        <v>132</v>
      </c>
      <c r="F290" s="1010"/>
      <c r="G290" s="1011"/>
      <c r="H290" s="762" t="s">
        <v>35</v>
      </c>
      <c r="I290" s="997">
        <f ca="1">IFERROR(__xludf.DUMMYFUNCTION("IMPORTRANGE(""https://docs.google.com/spreadsheets/d/1QqKyyYR6Q21VydFLVH3TRQUabQu_ym0Zz7PgGX0-kHA/edit?usp=sharing"",""แผน!EB85"")"),0)</f>
        <v>0</v>
      </c>
      <c r="J290" s="1012">
        <v>0</v>
      </c>
      <c r="K290" s="998">
        <f t="shared" ref="K290:K291" ca="1" si="132">IF(I290&gt;0,J290*100/I290,0)</f>
        <v>0</v>
      </c>
      <c r="L290" s="998"/>
      <c r="M290" s="998"/>
      <c r="N290" s="998"/>
      <c r="O290" s="998"/>
      <c r="P290" s="998"/>
    </row>
    <row r="291" spans="1:26" ht="19.5" hidden="1">
      <c r="A291" s="1002"/>
      <c r="B291" s="1003"/>
      <c r="C291" s="1003"/>
      <c r="D291" s="1010"/>
      <c r="E291" s="1014" t="s">
        <v>338</v>
      </c>
      <c r="F291" s="1010"/>
      <c r="G291" s="1011"/>
      <c r="H291" s="762" t="s">
        <v>35</v>
      </c>
      <c r="I291" s="997">
        <f ca="1">IFERROR(__xludf.DUMMYFUNCTION("IMPORTRANGE(""https://docs.google.com/spreadsheets/d/1QqKyyYR6Q21VydFLVH3TRQUabQu_ym0Zz7PgGX0-kHA/edit?usp=sharing"",""แผน!EB85"")"),0)</f>
        <v>0</v>
      </c>
      <c r="J291" s="1012">
        <v>0</v>
      </c>
      <c r="K291" s="998">
        <f t="shared" ca="1" si="132"/>
        <v>0</v>
      </c>
      <c r="L291" s="998"/>
      <c r="M291" s="998"/>
      <c r="N291" s="998"/>
      <c r="O291" s="998"/>
      <c r="P291" s="998"/>
    </row>
    <row r="292" spans="1:26" ht="19.5" hidden="1">
      <c r="A292" s="1165"/>
      <c r="B292" s="1166"/>
      <c r="C292" s="1166"/>
      <c r="D292" s="1167"/>
      <c r="E292" s="1168" t="s">
        <v>134</v>
      </c>
      <c r="F292" s="1088"/>
      <c r="G292" s="1089"/>
      <c r="H292" s="419"/>
      <c r="I292" s="1082"/>
      <c r="J292" s="990"/>
      <c r="K292" s="1083"/>
      <c r="L292" s="1083"/>
      <c r="M292" s="1083"/>
      <c r="N292" s="1083"/>
      <c r="O292" s="1083"/>
      <c r="P292" s="1083"/>
    </row>
    <row r="293" spans="1:26" ht="19.5" hidden="1">
      <c r="A293" s="1002"/>
      <c r="B293" s="1003"/>
      <c r="C293" s="1003"/>
      <c r="D293" s="1163"/>
      <c r="E293" s="1014" t="s">
        <v>132</v>
      </c>
      <c r="F293" s="1010"/>
      <c r="G293" s="1011"/>
      <c r="H293" s="762" t="s">
        <v>35</v>
      </c>
      <c r="I293" s="997">
        <f ca="1">IFERROR(__xludf.DUMMYFUNCTION("IMPORTRANGE(""https://docs.google.com/spreadsheets/d/1QqKyyYR6Q21VydFLVH3TRQUabQu_ym0Zz7PgGX0-kHA/edit?usp=sharing"",""แผน!EB85"")"),0)</f>
        <v>0</v>
      </c>
      <c r="J293" s="1012">
        <v>0</v>
      </c>
      <c r="K293" s="998">
        <f t="shared" ref="K293:K294" ca="1" si="133">IF(I293&gt;0,J293*100/I293,0)</f>
        <v>0</v>
      </c>
      <c r="L293" s="998"/>
      <c r="M293" s="998"/>
      <c r="N293" s="998"/>
      <c r="O293" s="998"/>
      <c r="P293" s="998"/>
    </row>
    <row r="294" spans="1:26" ht="19.5" hidden="1">
      <c r="A294" s="1133"/>
      <c r="B294" s="1134"/>
      <c r="C294" s="1134"/>
      <c r="D294" s="1136"/>
      <c r="E294" s="1169" t="s">
        <v>338</v>
      </c>
      <c r="F294" s="1136"/>
      <c r="G294" s="1137"/>
      <c r="H294" s="423" t="s">
        <v>35</v>
      </c>
      <c r="I294" s="1170">
        <f ca="1">IFERROR(__xludf.DUMMYFUNCTION("IMPORTRANGE(""https://docs.google.com/spreadsheets/d/1QqKyyYR6Q21VydFLVH3TRQUabQu_ym0Zz7PgGX0-kHA/edit?usp=sharing"",""แผน!EB85"")"),0)</f>
        <v>0</v>
      </c>
      <c r="J294" s="1171">
        <v>0</v>
      </c>
      <c r="K294" s="1139">
        <f t="shared" ca="1" si="133"/>
        <v>0</v>
      </c>
      <c r="L294" s="1139"/>
      <c r="M294" s="1139"/>
      <c r="N294" s="1139"/>
      <c r="O294" s="1139"/>
      <c r="P294" s="1139"/>
    </row>
    <row r="295" spans="1:26" ht="19.5">
      <c r="A295" s="1172" t="s">
        <v>137</v>
      </c>
      <c r="B295" s="1173"/>
      <c r="C295" s="1173"/>
      <c r="D295" s="1173"/>
      <c r="E295" s="1174"/>
      <c r="F295" s="1174"/>
      <c r="G295" s="1175"/>
      <c r="H295" s="1176"/>
      <c r="I295" s="1177"/>
      <c r="J295" s="1177"/>
      <c r="K295" s="1178"/>
      <c r="L295" s="1178"/>
      <c r="M295" s="1178"/>
      <c r="N295" s="1178"/>
      <c r="O295" s="1178"/>
      <c r="P295" s="1178"/>
    </row>
    <row r="296" spans="1:26" ht="19.5" hidden="1">
      <c r="A296" s="1179" t="s">
        <v>138</v>
      </c>
      <c r="B296" s="1180"/>
      <c r="C296" s="1180"/>
      <c r="D296" s="1181"/>
      <c r="E296" s="1181"/>
      <c r="F296" s="1181"/>
      <c r="G296" s="1182"/>
      <c r="H296" s="1183"/>
      <c r="I296" s="1184"/>
      <c r="J296" s="1184"/>
      <c r="K296" s="1185"/>
      <c r="L296" s="1185"/>
      <c r="M296" s="1185"/>
      <c r="N296" s="1185"/>
      <c r="O296" s="1185"/>
      <c r="P296" s="1185"/>
    </row>
    <row r="297" spans="1:26" ht="19.5" hidden="1">
      <c r="A297" s="1186"/>
      <c r="B297" s="1187" t="s">
        <v>139</v>
      </c>
      <c r="C297" s="1188"/>
      <c r="D297" s="1188"/>
      <c r="E297" s="1188"/>
      <c r="F297" s="1188"/>
      <c r="G297" s="1189"/>
      <c r="H297" s="444" t="s">
        <v>35</v>
      </c>
      <c r="I297" s="1190">
        <f t="shared" ref="I297:J297" ca="1" si="134">I309</f>
        <v>0</v>
      </c>
      <c r="J297" s="1190">
        <f t="shared" si="134"/>
        <v>0</v>
      </c>
      <c r="K297" s="1191">
        <f ca="1">IF(I297&gt;0,J297*100/I297,0)</f>
        <v>0</v>
      </c>
      <c r="L297" s="1192"/>
      <c r="M297" s="1192"/>
      <c r="N297" s="1192"/>
      <c r="O297" s="1192"/>
      <c r="P297" s="1192"/>
    </row>
    <row r="298" spans="1:26" ht="19.5" hidden="1">
      <c r="A298" s="985"/>
      <c r="B298" s="986"/>
      <c r="C298" s="987" t="s">
        <v>16</v>
      </c>
      <c r="D298" s="988" t="s">
        <v>17</v>
      </c>
      <c r="E298" s="986"/>
      <c r="F298" s="986"/>
      <c r="G298" s="989"/>
      <c r="H298" s="152" t="s">
        <v>12</v>
      </c>
      <c r="I298" s="990"/>
      <c r="J298" s="990"/>
      <c r="K298" s="991"/>
      <c r="L298" s="992">
        <f t="shared" ref="L298:N298" ca="1" si="135">L299+L300</f>
        <v>0</v>
      </c>
      <c r="M298" s="992">
        <f t="shared" ca="1" si="135"/>
        <v>0</v>
      </c>
      <c r="N298" s="992">
        <f t="shared" ca="1" si="135"/>
        <v>0</v>
      </c>
      <c r="O298" s="992">
        <f t="shared" ref="O298:O306" ca="1" si="136">IF(L298&gt;0,N298*100/L298,0)</f>
        <v>0</v>
      </c>
      <c r="P298" s="992">
        <f t="shared" ref="P298:P306" ca="1" si="137">IF(M298&gt;0,N298*100/M298,0)</f>
        <v>0</v>
      </c>
      <c r="Q298" s="868"/>
      <c r="R298" s="868"/>
      <c r="S298" s="868"/>
      <c r="T298" s="868"/>
      <c r="U298" s="868"/>
      <c r="V298" s="868"/>
      <c r="W298" s="868"/>
      <c r="X298" s="868"/>
      <c r="Y298" s="868"/>
      <c r="Z298" s="868"/>
    </row>
    <row r="299" spans="1:26" ht="18.75" hidden="1">
      <c r="A299" s="993"/>
      <c r="B299" s="883"/>
      <c r="C299" s="883"/>
      <c r="D299" s="883"/>
      <c r="E299" s="884" t="s">
        <v>18</v>
      </c>
      <c r="F299" s="883"/>
      <c r="G299" s="994"/>
      <c r="H299" s="158" t="s">
        <v>12</v>
      </c>
      <c r="I299" s="886"/>
      <c r="J299" s="886"/>
      <c r="K299" s="887"/>
      <c r="L299" s="887">
        <f t="shared" ref="L299:N300" si="138">L302+L305</f>
        <v>0</v>
      </c>
      <c r="M299" s="887">
        <f t="shared" si="138"/>
        <v>0</v>
      </c>
      <c r="N299" s="887">
        <f t="shared" si="138"/>
        <v>0</v>
      </c>
      <c r="O299" s="887">
        <f t="shared" si="136"/>
        <v>0</v>
      </c>
      <c r="P299" s="887">
        <f t="shared" si="137"/>
        <v>0</v>
      </c>
      <c r="Q299" s="875"/>
      <c r="R299" s="875"/>
      <c r="S299" s="875"/>
      <c r="T299" s="875"/>
      <c r="U299" s="875"/>
      <c r="V299" s="875"/>
      <c r="W299" s="875"/>
      <c r="X299" s="875"/>
      <c r="Y299" s="875"/>
      <c r="Z299" s="875"/>
    </row>
    <row r="300" spans="1:26" ht="18.75" hidden="1">
      <c r="A300" s="993"/>
      <c r="B300" s="883"/>
      <c r="C300" s="883"/>
      <c r="D300" s="883"/>
      <c r="E300" s="884" t="s">
        <v>19</v>
      </c>
      <c r="F300" s="883"/>
      <c r="G300" s="994"/>
      <c r="H300" s="158" t="s">
        <v>12</v>
      </c>
      <c r="I300" s="886"/>
      <c r="J300" s="886"/>
      <c r="K300" s="887"/>
      <c r="L300" s="887">
        <f t="shared" ca="1" si="138"/>
        <v>0</v>
      </c>
      <c r="M300" s="887">
        <f t="shared" ca="1" si="138"/>
        <v>0</v>
      </c>
      <c r="N300" s="887">
        <f t="shared" ca="1" si="138"/>
        <v>0</v>
      </c>
      <c r="O300" s="887">
        <f t="shared" ca="1" si="136"/>
        <v>0</v>
      </c>
      <c r="P300" s="887">
        <f t="shared" ca="1" si="137"/>
        <v>0</v>
      </c>
      <c r="Q300" s="875"/>
      <c r="R300" s="875"/>
      <c r="S300" s="875"/>
      <c r="T300" s="875"/>
      <c r="U300" s="875"/>
      <c r="V300" s="875"/>
      <c r="W300" s="875"/>
      <c r="X300" s="875"/>
      <c r="Y300" s="875"/>
      <c r="Z300" s="875"/>
    </row>
    <row r="301" spans="1:26" ht="18.75" hidden="1">
      <c r="A301" s="995"/>
      <c r="B301" s="877"/>
      <c r="C301" s="996"/>
      <c r="D301" s="878" t="s">
        <v>20</v>
      </c>
      <c r="E301" s="877"/>
      <c r="F301" s="877"/>
      <c r="G301" s="879"/>
      <c r="H301" s="161" t="s">
        <v>12</v>
      </c>
      <c r="I301" s="997"/>
      <c r="J301" s="997"/>
      <c r="K301" s="998"/>
      <c r="L301" s="881">
        <f t="shared" ref="L301:N301" ca="1" si="139">L302+L303</f>
        <v>0</v>
      </c>
      <c r="M301" s="881">
        <f t="shared" ca="1" si="139"/>
        <v>0</v>
      </c>
      <c r="N301" s="881">
        <f t="shared" ca="1" si="139"/>
        <v>0</v>
      </c>
      <c r="O301" s="881">
        <f t="shared" ca="1" si="136"/>
        <v>0</v>
      </c>
      <c r="P301" s="881">
        <f t="shared" ca="1" si="137"/>
        <v>0</v>
      </c>
      <c r="Q301" s="868"/>
      <c r="R301" s="868"/>
      <c r="S301" s="868"/>
      <c r="T301" s="868"/>
      <c r="U301" s="868"/>
      <c r="V301" s="868"/>
      <c r="W301" s="868"/>
      <c r="X301" s="868"/>
      <c r="Y301" s="868"/>
      <c r="Z301" s="868"/>
    </row>
    <row r="302" spans="1:26" ht="19.5" hidden="1">
      <c r="A302" s="993"/>
      <c r="B302" s="883"/>
      <c r="C302" s="999"/>
      <c r="D302" s="883"/>
      <c r="E302" s="884" t="s">
        <v>36</v>
      </c>
      <c r="F302" s="883"/>
      <c r="G302" s="994"/>
      <c r="H302" s="165" t="s">
        <v>12</v>
      </c>
      <c r="I302" s="1000"/>
      <c r="J302" s="1000"/>
      <c r="K302" s="1001"/>
      <c r="L302" s="887">
        <v>0</v>
      </c>
      <c r="M302" s="887">
        <v>0</v>
      </c>
      <c r="N302" s="887">
        <v>0</v>
      </c>
      <c r="O302" s="887">
        <f t="shared" si="136"/>
        <v>0</v>
      </c>
      <c r="P302" s="887">
        <f t="shared" si="137"/>
        <v>0</v>
      </c>
      <c r="Q302" s="875"/>
      <c r="R302" s="875"/>
      <c r="S302" s="875"/>
      <c r="T302" s="875"/>
      <c r="U302" s="875"/>
      <c r="V302" s="875"/>
      <c r="W302" s="875"/>
      <c r="X302" s="875"/>
      <c r="Y302" s="875"/>
      <c r="Z302" s="875"/>
    </row>
    <row r="303" spans="1:26" ht="19.5" hidden="1">
      <c r="A303" s="993"/>
      <c r="B303" s="883"/>
      <c r="C303" s="999"/>
      <c r="D303" s="883"/>
      <c r="E303" s="884" t="s">
        <v>37</v>
      </c>
      <c r="F303" s="883"/>
      <c r="G303" s="994"/>
      <c r="H303" s="165" t="s">
        <v>12</v>
      </c>
      <c r="I303" s="1000"/>
      <c r="J303" s="1000"/>
      <c r="K303" s="1001"/>
      <c r="L303" s="887">
        <f ca="1">IFERROR(__xludf.DUMMYFUNCTION("IMPORTRANGE(""https://docs.google.com/spreadsheets/d/1MeEWN-I1oV_STSDYn1IFDPWt_1FKiwhDph83XaGc0o0/edit?usp=sharing"",""งบพรบ!DS85"")"),0)</f>
        <v>0</v>
      </c>
      <c r="M303" s="887">
        <f ca="1">IFERROR(__xludf.DUMMYFUNCTION("IMPORTRANGE(""https://docs.google.com/spreadsheets/d/1MeEWN-I1oV_STSDYn1IFDPWt_1FKiwhDph83XaGc0o0/edit?usp=sharing"",""งบพรบ!DX85"")"),0)</f>
        <v>0</v>
      </c>
      <c r="N303" s="887">
        <f ca="1">IFERROR(__xludf.DUMMYFUNCTION("IMPORTRANGE(""https://docs.google.com/spreadsheets/d/1MeEWN-I1oV_STSDYn1IFDPWt_1FKiwhDph83XaGc0o0/edit?usp=sharing"",""งบพรบ!DZ85"")"),0)</f>
        <v>0</v>
      </c>
      <c r="O303" s="887">
        <f t="shared" ca="1" si="136"/>
        <v>0</v>
      </c>
      <c r="P303" s="887">
        <f t="shared" ca="1" si="137"/>
        <v>0</v>
      </c>
      <c r="Q303" s="875"/>
      <c r="R303" s="875"/>
      <c r="S303" s="875"/>
      <c r="T303" s="875"/>
      <c r="U303" s="875"/>
      <c r="V303" s="875"/>
      <c r="W303" s="875"/>
      <c r="X303" s="875"/>
      <c r="Y303" s="875"/>
      <c r="Z303" s="875"/>
    </row>
    <row r="304" spans="1:26" ht="18.75" hidden="1">
      <c r="A304" s="995"/>
      <c r="B304" s="877"/>
      <c r="C304" s="996"/>
      <c r="D304" s="878" t="s">
        <v>21</v>
      </c>
      <c r="E304" s="877"/>
      <c r="F304" s="877"/>
      <c r="G304" s="879"/>
      <c r="H304" s="168" t="s">
        <v>12</v>
      </c>
      <c r="I304" s="997"/>
      <c r="J304" s="997"/>
      <c r="K304" s="998"/>
      <c r="L304" s="881">
        <f t="shared" ref="L304:N304" ca="1" si="140">L305+L306</f>
        <v>0</v>
      </c>
      <c r="M304" s="881">
        <f t="shared" ca="1" si="140"/>
        <v>0</v>
      </c>
      <c r="N304" s="881">
        <f t="shared" ca="1" si="140"/>
        <v>0</v>
      </c>
      <c r="O304" s="881">
        <f t="shared" ca="1" si="136"/>
        <v>0</v>
      </c>
      <c r="P304" s="881">
        <f t="shared" ca="1" si="137"/>
        <v>0</v>
      </c>
      <c r="Q304" s="868"/>
      <c r="R304" s="868"/>
      <c r="S304" s="868"/>
      <c r="T304" s="868"/>
      <c r="U304" s="868"/>
      <c r="V304" s="868"/>
      <c r="W304" s="868"/>
      <c r="X304" s="868"/>
      <c r="Y304" s="868"/>
      <c r="Z304" s="868"/>
    </row>
    <row r="305" spans="1:26" ht="19.5" hidden="1">
      <c r="A305" s="993"/>
      <c r="B305" s="883"/>
      <c r="C305" s="999"/>
      <c r="D305" s="883"/>
      <c r="E305" s="884" t="s">
        <v>18</v>
      </c>
      <c r="F305" s="883"/>
      <c r="G305" s="994"/>
      <c r="H305" s="165" t="s">
        <v>12</v>
      </c>
      <c r="I305" s="1000"/>
      <c r="J305" s="1000"/>
      <c r="K305" s="1001"/>
      <c r="L305" s="887">
        <v>0</v>
      </c>
      <c r="M305" s="887">
        <v>0</v>
      </c>
      <c r="N305" s="887">
        <v>0</v>
      </c>
      <c r="O305" s="887">
        <f t="shared" si="136"/>
        <v>0</v>
      </c>
      <c r="P305" s="887">
        <f t="shared" si="137"/>
        <v>0</v>
      </c>
      <c r="Q305" s="875"/>
      <c r="R305" s="875"/>
      <c r="S305" s="875"/>
      <c r="T305" s="875"/>
      <c r="U305" s="875"/>
      <c r="V305" s="875"/>
      <c r="W305" s="875"/>
      <c r="X305" s="875"/>
      <c r="Y305" s="875"/>
      <c r="Z305" s="875"/>
    </row>
    <row r="306" spans="1:26" ht="19.5" hidden="1">
      <c r="A306" s="993"/>
      <c r="B306" s="883"/>
      <c r="C306" s="999"/>
      <c r="D306" s="883"/>
      <c r="E306" s="884" t="s">
        <v>19</v>
      </c>
      <c r="F306" s="883"/>
      <c r="G306" s="994"/>
      <c r="H306" s="169" t="s">
        <v>12</v>
      </c>
      <c r="I306" s="1000"/>
      <c r="J306" s="1000"/>
      <c r="K306" s="1001"/>
      <c r="L306" s="887">
        <f ca="1">IFERROR(__xludf.DUMMYFUNCTION("IMPORTRANGE(""https://docs.google.com/spreadsheets/d/1MeEWN-I1oV_STSDYn1IFDPWt_1FKiwhDph83XaGc0o0/edit?usp=sharing"",""งบพรบ!DV85"")"),0)</f>
        <v>0</v>
      </c>
      <c r="M306" s="887">
        <f ca="1">IFERROR(__xludf.DUMMYFUNCTION("IMPORTRANGE(""https://docs.google.com/spreadsheets/d/1MeEWN-I1oV_STSDYn1IFDPWt_1FKiwhDph83XaGc0o0/edit?usp=sharing"",""งบพรบ!DY85"")"),0)</f>
        <v>0</v>
      </c>
      <c r="N306" s="887">
        <f ca="1">IFERROR(__xludf.DUMMYFUNCTION("IMPORTRANGE(""https://docs.google.com/spreadsheets/d/1MeEWN-I1oV_STSDYn1IFDPWt_1FKiwhDph83XaGc0o0/edit?usp=sharing"",""งบพรบ!EA85"")"),0)</f>
        <v>0</v>
      </c>
      <c r="O306" s="887">
        <f t="shared" ca="1" si="136"/>
        <v>0</v>
      </c>
      <c r="P306" s="887">
        <f t="shared" ca="1" si="137"/>
        <v>0</v>
      </c>
      <c r="Q306" s="875"/>
      <c r="R306" s="875"/>
      <c r="S306" s="875"/>
      <c r="T306" s="875"/>
      <c r="U306" s="875"/>
      <c r="V306" s="875"/>
      <c r="W306" s="875"/>
      <c r="X306" s="875"/>
      <c r="Y306" s="875"/>
      <c r="Z306" s="875"/>
    </row>
    <row r="307" spans="1:26" ht="19.5" hidden="1">
      <c r="A307" s="1002"/>
      <c r="B307" s="1003"/>
      <c r="C307" s="999" t="s">
        <v>16</v>
      </c>
      <c r="D307" s="1004" t="s">
        <v>38</v>
      </c>
      <c r="E307" s="1005"/>
      <c r="F307" s="1005"/>
      <c r="G307" s="1006"/>
      <c r="H307" s="1007"/>
      <c r="I307" s="880"/>
      <c r="J307" s="880"/>
      <c r="K307" s="881"/>
      <c r="L307" s="881"/>
      <c r="M307" s="881"/>
      <c r="N307" s="881"/>
      <c r="O307" s="881"/>
      <c r="P307" s="881"/>
    </row>
    <row r="308" spans="1:26" ht="18.75" hidden="1">
      <c r="A308" s="1002"/>
      <c r="B308" s="1003"/>
      <c r="C308" s="1003"/>
      <c r="D308" s="1009" t="s">
        <v>140</v>
      </c>
      <c r="E308" s="1009"/>
      <c r="F308" s="1009"/>
      <c r="G308" s="1011"/>
      <c r="H308" s="762"/>
      <c r="I308" s="880"/>
      <c r="J308" s="1012">
        <v>0</v>
      </c>
      <c r="K308" s="881"/>
      <c r="L308" s="881"/>
      <c r="M308" s="881"/>
      <c r="N308" s="881"/>
      <c r="O308" s="881"/>
      <c r="P308" s="881"/>
    </row>
    <row r="309" spans="1:26" ht="18.75" hidden="1">
      <c r="A309" s="1002"/>
      <c r="B309" s="1003"/>
      <c r="C309" s="1003"/>
      <c r="D309" s="1009" t="s">
        <v>141</v>
      </c>
      <c r="E309" s="1009"/>
      <c r="F309" s="1009"/>
      <c r="G309" s="1011"/>
      <c r="H309" s="762" t="s">
        <v>35</v>
      </c>
      <c r="I309" s="880">
        <f ca="1">IFERROR(__xludf.DUMMYFUNCTION("IMPORTRANGE(""https://docs.google.com/spreadsheets/d/1QqKyyYR6Q21VydFLVH3TRQUabQu_ym0Zz7PgGX0-kHA/edit?usp=sharing"",""แผน!ED85"")"),0)</f>
        <v>0</v>
      </c>
      <c r="J309" s="1012">
        <v>0</v>
      </c>
      <c r="K309" s="881">
        <f t="shared" ref="K309:K312" ca="1" si="141">IF(I309&gt;0,J309*100/I309,0)</f>
        <v>0</v>
      </c>
      <c r="L309" s="881"/>
      <c r="M309" s="881"/>
      <c r="N309" s="881"/>
      <c r="O309" s="881"/>
      <c r="P309" s="881"/>
    </row>
    <row r="310" spans="1:26" ht="18.75" hidden="1">
      <c r="A310" s="1002"/>
      <c r="B310" s="1003"/>
      <c r="C310" s="1003"/>
      <c r="D310" s="1009" t="s">
        <v>142</v>
      </c>
      <c r="E310" s="1009"/>
      <c r="F310" s="1009"/>
      <c r="G310" s="1011"/>
      <c r="H310" s="762" t="s">
        <v>35</v>
      </c>
      <c r="I310" s="880">
        <f ca="1">IFERROR(__xludf.DUMMYFUNCTION("IMPORTRANGE(""https://docs.google.com/spreadsheets/d/1QqKyyYR6Q21VydFLVH3TRQUabQu_ym0Zz7PgGX0-kHA/edit?usp=sharing"",""แผน!ED85"")"),0)</f>
        <v>0</v>
      </c>
      <c r="J310" s="1012">
        <v>0</v>
      </c>
      <c r="K310" s="881">
        <f t="shared" ca="1" si="141"/>
        <v>0</v>
      </c>
      <c r="L310" s="881"/>
      <c r="M310" s="881"/>
      <c r="N310" s="881"/>
      <c r="O310" s="881"/>
      <c r="P310" s="881"/>
    </row>
    <row r="311" spans="1:26" ht="18.75" hidden="1">
      <c r="A311" s="1002"/>
      <c r="B311" s="1003"/>
      <c r="C311" s="1003"/>
      <c r="D311" s="1009" t="s">
        <v>59</v>
      </c>
      <c r="E311" s="1009"/>
      <c r="F311" s="1009"/>
      <c r="G311" s="1011"/>
      <c r="H311" s="762" t="s">
        <v>35</v>
      </c>
      <c r="I311" s="880">
        <f ca="1">IFERROR(__xludf.DUMMYFUNCTION("IMPORTRANGE(""https://docs.google.com/spreadsheets/d/1QqKyyYR6Q21VydFLVH3TRQUabQu_ym0Zz7PgGX0-kHA/edit?usp=sharing"",""แผน!ED85"")"),0)</f>
        <v>0</v>
      </c>
      <c r="J311" s="1012">
        <v>0</v>
      </c>
      <c r="K311" s="881">
        <f t="shared" ca="1" si="141"/>
        <v>0</v>
      </c>
      <c r="L311" s="881"/>
      <c r="M311" s="881"/>
      <c r="N311" s="881"/>
      <c r="O311" s="881"/>
      <c r="P311" s="881"/>
    </row>
    <row r="312" spans="1:26" ht="18.75" hidden="1">
      <c r="A312" s="1002"/>
      <c r="B312" s="1003"/>
      <c r="C312" s="1003"/>
      <c r="D312" s="1009" t="s">
        <v>143</v>
      </c>
      <c r="E312" s="1009"/>
      <c r="F312" s="1009"/>
      <c r="G312" s="1011"/>
      <c r="H312" s="762" t="s">
        <v>35</v>
      </c>
      <c r="I312" s="880">
        <f ca="1">IFERROR(__xludf.DUMMYFUNCTION("IMPORTRANGE(""https://docs.google.com/spreadsheets/d/1QqKyyYR6Q21VydFLVH3TRQUabQu_ym0Zz7PgGX0-kHA/edit?usp=sharing"",""แผน!EE85"")"),0)</f>
        <v>0</v>
      </c>
      <c r="J312" s="1012">
        <v>0</v>
      </c>
      <c r="K312" s="881">
        <f t="shared" ca="1" si="141"/>
        <v>0</v>
      </c>
      <c r="L312" s="881"/>
      <c r="M312" s="881"/>
      <c r="N312" s="881"/>
      <c r="O312" s="881"/>
      <c r="P312" s="881"/>
    </row>
    <row r="313" spans="1:26" ht="19.5" hidden="1">
      <c r="A313" s="1179" t="s">
        <v>144</v>
      </c>
      <c r="B313" s="1180"/>
      <c r="C313" s="1180"/>
      <c r="D313" s="1181"/>
      <c r="E313" s="1180"/>
      <c r="F313" s="1180"/>
      <c r="G313" s="1180"/>
      <c r="H313" s="1193"/>
      <c r="I313" s="1184"/>
      <c r="J313" s="1184"/>
      <c r="K313" s="1185"/>
      <c r="L313" s="1185"/>
      <c r="M313" s="1185"/>
      <c r="N313" s="1185"/>
      <c r="O313" s="1185"/>
      <c r="P313" s="1185"/>
    </row>
    <row r="314" spans="1:26" ht="19.5" hidden="1">
      <c r="A314" s="1194"/>
      <c r="B314" s="1187" t="s">
        <v>145</v>
      </c>
      <c r="C314" s="1195"/>
      <c r="D314" s="1196"/>
      <c r="E314" s="1188"/>
      <c r="F314" s="1188"/>
      <c r="G314" s="1189"/>
      <c r="H314" s="444" t="s">
        <v>146</v>
      </c>
      <c r="I314" s="1190">
        <f t="shared" ref="I314:J314" ca="1" si="142">I325</f>
        <v>0</v>
      </c>
      <c r="J314" s="1190">
        <f t="shared" si="142"/>
        <v>0</v>
      </c>
      <c r="K314" s="1191">
        <f ca="1">IF(I314&gt;0,J314*100/I314,0)</f>
        <v>0</v>
      </c>
      <c r="L314" s="1192"/>
      <c r="M314" s="1192"/>
      <c r="N314" s="1192"/>
      <c r="O314" s="1192"/>
      <c r="P314" s="1192"/>
    </row>
    <row r="315" spans="1:26" ht="19.5" hidden="1">
      <c r="A315" s="985"/>
      <c r="B315" s="986"/>
      <c r="C315" s="987" t="s">
        <v>16</v>
      </c>
      <c r="D315" s="988" t="s">
        <v>17</v>
      </c>
      <c r="E315" s="986"/>
      <c r="F315" s="986"/>
      <c r="G315" s="989"/>
      <c r="H315" s="152" t="s">
        <v>12</v>
      </c>
      <c r="I315" s="990"/>
      <c r="J315" s="990"/>
      <c r="K315" s="991"/>
      <c r="L315" s="992">
        <f t="shared" ref="L315:N315" ca="1" si="143">L316+L317</f>
        <v>0</v>
      </c>
      <c r="M315" s="992">
        <f t="shared" ca="1" si="143"/>
        <v>0</v>
      </c>
      <c r="N315" s="992">
        <f t="shared" ca="1" si="143"/>
        <v>0</v>
      </c>
      <c r="O315" s="992">
        <f t="shared" ref="O315:O323" ca="1" si="144">IF(L315&gt;0,N315*100/L315,0)</f>
        <v>0</v>
      </c>
      <c r="P315" s="992">
        <f t="shared" ref="P315:P323" ca="1" si="145">IF(M315&gt;0,N315*100/M315,0)</f>
        <v>0</v>
      </c>
      <c r="Q315" s="868"/>
      <c r="R315" s="868"/>
      <c r="S315" s="868"/>
      <c r="T315" s="868"/>
      <c r="U315" s="868"/>
      <c r="V315" s="868"/>
      <c r="W315" s="868"/>
      <c r="X315" s="868"/>
      <c r="Y315" s="868"/>
      <c r="Z315" s="868"/>
    </row>
    <row r="316" spans="1:26" ht="18.75" hidden="1">
      <c r="A316" s="993"/>
      <c r="B316" s="883"/>
      <c r="C316" s="883"/>
      <c r="D316" s="883"/>
      <c r="E316" s="884" t="s">
        <v>18</v>
      </c>
      <c r="F316" s="883"/>
      <c r="G316" s="994"/>
      <c r="H316" s="158" t="s">
        <v>12</v>
      </c>
      <c r="I316" s="886"/>
      <c r="J316" s="886"/>
      <c r="K316" s="887"/>
      <c r="L316" s="887">
        <f t="shared" ref="L316:N317" si="146">L319+L322</f>
        <v>0</v>
      </c>
      <c r="M316" s="887">
        <f t="shared" si="146"/>
        <v>0</v>
      </c>
      <c r="N316" s="887">
        <f t="shared" si="146"/>
        <v>0</v>
      </c>
      <c r="O316" s="887">
        <f t="shared" si="144"/>
        <v>0</v>
      </c>
      <c r="P316" s="887">
        <f t="shared" si="145"/>
        <v>0</v>
      </c>
      <c r="Q316" s="875"/>
      <c r="R316" s="875"/>
      <c r="S316" s="875"/>
      <c r="T316" s="875"/>
      <c r="U316" s="875"/>
      <c r="V316" s="875"/>
      <c r="W316" s="875"/>
      <c r="X316" s="875"/>
      <c r="Y316" s="875"/>
      <c r="Z316" s="875"/>
    </row>
    <row r="317" spans="1:26" ht="18.75" hidden="1">
      <c r="A317" s="993"/>
      <c r="B317" s="883"/>
      <c r="C317" s="883"/>
      <c r="D317" s="883"/>
      <c r="E317" s="884" t="s">
        <v>19</v>
      </c>
      <c r="F317" s="883"/>
      <c r="G317" s="994"/>
      <c r="H317" s="158" t="s">
        <v>12</v>
      </c>
      <c r="I317" s="886"/>
      <c r="J317" s="886"/>
      <c r="K317" s="887"/>
      <c r="L317" s="887">
        <f t="shared" ca="1" si="146"/>
        <v>0</v>
      </c>
      <c r="M317" s="887">
        <f t="shared" ca="1" si="146"/>
        <v>0</v>
      </c>
      <c r="N317" s="887">
        <f t="shared" ca="1" si="146"/>
        <v>0</v>
      </c>
      <c r="O317" s="887">
        <f t="shared" ca="1" si="144"/>
        <v>0</v>
      </c>
      <c r="P317" s="887">
        <f t="shared" ca="1" si="145"/>
        <v>0</v>
      </c>
      <c r="Q317" s="875"/>
      <c r="R317" s="875"/>
      <c r="S317" s="875"/>
      <c r="T317" s="875"/>
      <c r="U317" s="875"/>
      <c r="V317" s="875"/>
      <c r="W317" s="875"/>
      <c r="X317" s="875"/>
      <c r="Y317" s="875"/>
      <c r="Z317" s="875"/>
    </row>
    <row r="318" spans="1:26" ht="18.75" hidden="1">
      <c r="A318" s="995"/>
      <c r="B318" s="877"/>
      <c r="C318" s="996"/>
      <c r="D318" s="878" t="s">
        <v>20</v>
      </c>
      <c r="E318" s="877"/>
      <c r="F318" s="877"/>
      <c r="G318" s="879"/>
      <c r="H318" s="161" t="s">
        <v>12</v>
      </c>
      <c r="I318" s="997"/>
      <c r="J318" s="997"/>
      <c r="K318" s="998"/>
      <c r="L318" s="881">
        <f t="shared" ref="L318:N318" ca="1" si="147">L319+L320</f>
        <v>0</v>
      </c>
      <c r="M318" s="881">
        <f t="shared" ca="1" si="147"/>
        <v>0</v>
      </c>
      <c r="N318" s="881">
        <f t="shared" ca="1" si="147"/>
        <v>0</v>
      </c>
      <c r="O318" s="881">
        <f t="shared" ca="1" si="144"/>
        <v>0</v>
      </c>
      <c r="P318" s="881">
        <f t="shared" ca="1" si="145"/>
        <v>0</v>
      </c>
      <c r="Q318" s="868"/>
      <c r="R318" s="868"/>
      <c r="S318" s="868"/>
      <c r="T318" s="868"/>
      <c r="U318" s="868"/>
      <c r="V318" s="868"/>
      <c r="W318" s="868"/>
      <c r="X318" s="868"/>
      <c r="Y318" s="868"/>
      <c r="Z318" s="868"/>
    </row>
    <row r="319" spans="1:26" ht="19.5" hidden="1">
      <c r="A319" s="993"/>
      <c r="B319" s="883"/>
      <c r="C319" s="999"/>
      <c r="D319" s="883"/>
      <c r="E319" s="884" t="s">
        <v>36</v>
      </c>
      <c r="F319" s="883"/>
      <c r="G319" s="994"/>
      <c r="H319" s="165" t="s">
        <v>12</v>
      </c>
      <c r="I319" s="1000"/>
      <c r="J319" s="1000"/>
      <c r="K319" s="1001"/>
      <c r="L319" s="887">
        <v>0</v>
      </c>
      <c r="M319" s="887">
        <v>0</v>
      </c>
      <c r="N319" s="887">
        <v>0</v>
      </c>
      <c r="O319" s="887">
        <f t="shared" si="144"/>
        <v>0</v>
      </c>
      <c r="P319" s="887">
        <f t="shared" si="145"/>
        <v>0</v>
      </c>
      <c r="Q319" s="875"/>
      <c r="R319" s="875"/>
      <c r="S319" s="875"/>
      <c r="T319" s="875"/>
      <c r="U319" s="875"/>
      <c r="V319" s="875"/>
      <c r="W319" s="875"/>
      <c r="X319" s="875"/>
      <c r="Y319" s="875"/>
      <c r="Z319" s="875"/>
    </row>
    <row r="320" spans="1:26" ht="19.5" hidden="1">
      <c r="A320" s="993"/>
      <c r="B320" s="883"/>
      <c r="C320" s="999"/>
      <c r="D320" s="883"/>
      <c r="E320" s="884" t="s">
        <v>37</v>
      </c>
      <c r="F320" s="883"/>
      <c r="G320" s="994"/>
      <c r="H320" s="165" t="s">
        <v>12</v>
      </c>
      <c r="I320" s="1000"/>
      <c r="J320" s="1000"/>
      <c r="K320" s="1001"/>
      <c r="L320" s="887">
        <f ca="1">IFERROR(__xludf.DUMMYFUNCTION("IMPORTRANGE(""https://docs.google.com/spreadsheets/d/1MeEWN-I1oV_STSDYn1IFDPWt_1FKiwhDph83XaGc0o0/edit?usp=sharing"",""งบพรบ!EC85"")"),0)</f>
        <v>0</v>
      </c>
      <c r="M320" s="887">
        <f ca="1">IFERROR(__xludf.DUMMYFUNCTION("IMPORTRANGE(""https://docs.google.com/spreadsheets/d/1MeEWN-I1oV_STSDYn1IFDPWt_1FKiwhDph83XaGc0o0/edit?usp=sharing"",""งบพรบ!EH85"")"),0)</f>
        <v>0</v>
      </c>
      <c r="N320" s="887">
        <f ca="1">IFERROR(__xludf.DUMMYFUNCTION("IMPORTRANGE(""https://docs.google.com/spreadsheets/d/1MeEWN-I1oV_STSDYn1IFDPWt_1FKiwhDph83XaGc0o0/edit?usp=sharing"",""งบพรบ!EJ85"")"),0)</f>
        <v>0</v>
      </c>
      <c r="O320" s="887">
        <f t="shared" ca="1" si="144"/>
        <v>0</v>
      </c>
      <c r="P320" s="887">
        <f t="shared" ca="1" si="145"/>
        <v>0</v>
      </c>
      <c r="Q320" s="875"/>
      <c r="R320" s="875"/>
      <c r="S320" s="875"/>
      <c r="T320" s="875"/>
      <c r="U320" s="875"/>
      <c r="V320" s="875"/>
      <c r="W320" s="875"/>
      <c r="X320" s="875"/>
      <c r="Y320" s="875"/>
      <c r="Z320" s="875"/>
    </row>
    <row r="321" spans="1:26" ht="18.75" hidden="1">
      <c r="A321" s="995"/>
      <c r="B321" s="877"/>
      <c r="C321" s="996"/>
      <c r="D321" s="878" t="s">
        <v>21</v>
      </c>
      <c r="E321" s="877"/>
      <c r="F321" s="877"/>
      <c r="G321" s="879"/>
      <c r="H321" s="168" t="s">
        <v>12</v>
      </c>
      <c r="I321" s="997"/>
      <c r="J321" s="997"/>
      <c r="K321" s="998"/>
      <c r="L321" s="881">
        <f t="shared" ref="L321:N321" ca="1" si="148">L322+L323</f>
        <v>0</v>
      </c>
      <c r="M321" s="881">
        <f t="shared" ca="1" si="148"/>
        <v>0</v>
      </c>
      <c r="N321" s="881">
        <f t="shared" ca="1" si="148"/>
        <v>0</v>
      </c>
      <c r="O321" s="881">
        <f t="shared" ca="1" si="144"/>
        <v>0</v>
      </c>
      <c r="P321" s="881">
        <f t="shared" ca="1" si="145"/>
        <v>0</v>
      </c>
      <c r="Q321" s="868"/>
      <c r="R321" s="868"/>
      <c r="S321" s="868"/>
      <c r="T321" s="868"/>
      <c r="U321" s="868"/>
      <c r="V321" s="868"/>
      <c r="W321" s="868"/>
      <c r="X321" s="868"/>
      <c r="Y321" s="868"/>
      <c r="Z321" s="868"/>
    </row>
    <row r="322" spans="1:26" ht="19.5" hidden="1">
      <c r="A322" s="993"/>
      <c r="B322" s="883"/>
      <c r="C322" s="999"/>
      <c r="D322" s="883"/>
      <c r="E322" s="884" t="s">
        <v>18</v>
      </c>
      <c r="F322" s="883"/>
      <c r="G322" s="994"/>
      <c r="H322" s="165" t="s">
        <v>12</v>
      </c>
      <c r="I322" s="1000"/>
      <c r="J322" s="1000"/>
      <c r="K322" s="1001"/>
      <c r="L322" s="887">
        <v>0</v>
      </c>
      <c r="M322" s="887">
        <v>0</v>
      </c>
      <c r="N322" s="887">
        <v>0</v>
      </c>
      <c r="O322" s="887">
        <f t="shared" si="144"/>
        <v>0</v>
      </c>
      <c r="P322" s="887">
        <f t="shared" si="145"/>
        <v>0</v>
      </c>
      <c r="Q322" s="875"/>
      <c r="R322" s="875"/>
      <c r="S322" s="875"/>
      <c r="T322" s="875"/>
      <c r="U322" s="875"/>
      <c r="V322" s="875"/>
      <c r="W322" s="875"/>
      <c r="X322" s="875"/>
      <c r="Y322" s="875"/>
      <c r="Z322" s="875"/>
    </row>
    <row r="323" spans="1:26" ht="19.5" hidden="1">
      <c r="A323" s="993"/>
      <c r="B323" s="883"/>
      <c r="C323" s="999"/>
      <c r="D323" s="883"/>
      <c r="E323" s="884" t="s">
        <v>19</v>
      </c>
      <c r="F323" s="883"/>
      <c r="G323" s="994"/>
      <c r="H323" s="169" t="s">
        <v>12</v>
      </c>
      <c r="I323" s="1000"/>
      <c r="J323" s="1000"/>
      <c r="K323" s="1001"/>
      <c r="L323" s="887">
        <f ca="1">IFERROR(__xludf.DUMMYFUNCTION("IMPORTRANGE(""https://docs.google.com/spreadsheets/d/1MeEWN-I1oV_STSDYn1IFDPWt_1FKiwhDph83XaGc0o0/edit?usp=sharing"",""งบพรบ!EF85"")"),0)</f>
        <v>0</v>
      </c>
      <c r="M323" s="887">
        <f ca="1">IFERROR(__xludf.DUMMYFUNCTION("IMPORTRANGE(""https://docs.google.com/spreadsheets/d/1MeEWN-I1oV_STSDYn1IFDPWt_1FKiwhDph83XaGc0o0/edit?usp=sharing"",""งบพรบ!EI85"")"),0)</f>
        <v>0</v>
      </c>
      <c r="N323" s="887">
        <f ca="1">IFERROR(__xludf.DUMMYFUNCTION("IMPORTRANGE(""https://docs.google.com/spreadsheets/d/1MeEWN-I1oV_STSDYn1IFDPWt_1FKiwhDph83XaGc0o0/edit?usp=sharing"",""งบพรบ!EK85"")"),0)</f>
        <v>0</v>
      </c>
      <c r="O323" s="887">
        <f t="shared" ca="1" si="144"/>
        <v>0</v>
      </c>
      <c r="P323" s="887">
        <f t="shared" ca="1" si="145"/>
        <v>0</v>
      </c>
      <c r="Q323" s="875"/>
      <c r="R323" s="875"/>
      <c r="S323" s="875"/>
      <c r="T323" s="875"/>
      <c r="U323" s="875"/>
      <c r="V323" s="875"/>
      <c r="W323" s="875"/>
      <c r="X323" s="875"/>
      <c r="Y323" s="875"/>
      <c r="Z323" s="875"/>
    </row>
    <row r="324" spans="1:26" ht="19.5" hidden="1">
      <c r="A324" s="1002"/>
      <c r="B324" s="1003"/>
      <c r="C324" s="999" t="s">
        <v>16</v>
      </c>
      <c r="D324" s="1004" t="s">
        <v>38</v>
      </c>
      <c r="E324" s="1005"/>
      <c r="F324" s="1005"/>
      <c r="G324" s="1006"/>
      <c r="H324" s="1007"/>
      <c r="I324" s="997"/>
      <c r="J324" s="880"/>
      <c r="K324" s="881"/>
      <c r="L324" s="881"/>
      <c r="M324" s="881"/>
      <c r="N324" s="881"/>
      <c r="O324" s="998"/>
      <c r="P324" s="998"/>
    </row>
    <row r="325" spans="1:26" ht="18.75" hidden="1">
      <c r="A325" s="1002"/>
      <c r="B325" s="1003"/>
      <c r="C325" s="1003"/>
      <c r="D325" s="1008" t="s">
        <v>147</v>
      </c>
      <c r="E325" s="1010"/>
      <c r="F325" s="1009"/>
      <c r="G325" s="1011"/>
      <c r="H325" s="622" t="s">
        <v>146</v>
      </c>
      <c r="I325" s="880">
        <f ca="1">IFERROR(__xludf.DUMMYFUNCTION("IMPORTRANGE(""https://docs.google.com/spreadsheets/d/1QqKyyYR6Q21VydFLVH3TRQUabQu_ym0Zz7PgGX0-kHA/edit?usp=sharing"",""แผน!EF85"")"),0)</f>
        <v>0</v>
      </c>
      <c r="J325" s="1012">
        <v>0</v>
      </c>
      <c r="K325" s="881">
        <f ca="1">IF(I325&gt;0,J325*100/I325,0)</f>
        <v>0</v>
      </c>
      <c r="L325" s="881"/>
      <c r="M325" s="881"/>
      <c r="N325" s="881"/>
      <c r="O325" s="998"/>
      <c r="P325" s="998"/>
    </row>
    <row r="326" spans="1:26" ht="19.5">
      <c r="A326" s="1179" t="s">
        <v>148</v>
      </c>
      <c r="B326" s="1180"/>
      <c r="C326" s="1180"/>
      <c r="D326" s="1181"/>
      <c r="E326" s="1180"/>
      <c r="F326" s="1180"/>
      <c r="G326" s="1180"/>
      <c r="H326" s="1193"/>
      <c r="I326" s="1184"/>
      <c r="J326" s="1184"/>
      <c r="K326" s="1185"/>
      <c r="L326" s="1185"/>
      <c r="M326" s="1185"/>
      <c r="N326" s="1185"/>
      <c r="O326" s="1185"/>
      <c r="P326" s="1185"/>
    </row>
    <row r="327" spans="1:26" ht="19.5">
      <c r="A327" s="1186"/>
      <c r="B327" s="1187" t="s">
        <v>149</v>
      </c>
      <c r="C327" s="1196"/>
      <c r="D327" s="1188"/>
      <c r="E327" s="1188"/>
      <c r="F327" s="1188"/>
      <c r="G327" s="1189"/>
      <c r="H327" s="444" t="s">
        <v>35</v>
      </c>
      <c r="I327" s="1190">
        <f ca="1">IFERROR(__xludf.DUMMYFUNCTION("IMPORTRANGE(""https://docs.google.com/spreadsheets/d/1QqKyyYR6Q21VydFLVH3TRQUabQu_ym0Zz7PgGX0-kHA/edit?usp=sharing"",""แผน!EG85"")"),500)</f>
        <v>500</v>
      </c>
      <c r="J327" s="1190">
        <f ca="1">J338+J341+J342+J343</f>
        <v>634</v>
      </c>
      <c r="K327" s="1191">
        <f ca="1">IF(I327&gt;0,J327*100/I327,0)</f>
        <v>126.8</v>
      </c>
      <c r="L327" s="1192"/>
      <c r="M327" s="1192"/>
      <c r="N327" s="1192"/>
      <c r="O327" s="1192"/>
      <c r="P327" s="1192"/>
    </row>
    <row r="328" spans="1:26" ht="19.5">
      <c r="A328" s="985"/>
      <c r="B328" s="986"/>
      <c r="C328" s="987" t="s">
        <v>16</v>
      </c>
      <c r="D328" s="988" t="s">
        <v>17</v>
      </c>
      <c r="E328" s="986"/>
      <c r="F328" s="986"/>
      <c r="G328" s="989"/>
      <c r="H328" s="152" t="s">
        <v>12</v>
      </c>
      <c r="I328" s="990"/>
      <c r="J328" s="990"/>
      <c r="K328" s="991"/>
      <c r="L328" s="992">
        <f t="shared" ref="L328:N328" ca="1" si="149">L329+L330</f>
        <v>159000</v>
      </c>
      <c r="M328" s="992">
        <f t="shared" ca="1" si="149"/>
        <v>121750</v>
      </c>
      <c r="N328" s="992">
        <f t="shared" ca="1" si="149"/>
        <v>69126.679999999993</v>
      </c>
      <c r="O328" s="992">
        <f t="shared" ref="O328:O336" ca="1" si="150">IF(L328&gt;0,N328*100/L328,0)</f>
        <v>43.475899371069175</v>
      </c>
      <c r="P328" s="992">
        <f t="shared" ref="P328:P336" ca="1" si="151">IF(M328&gt;0,N328*100/M328,0)</f>
        <v>56.777560574948659</v>
      </c>
      <c r="Q328" s="868"/>
      <c r="R328" s="868"/>
      <c r="S328" s="868"/>
      <c r="T328" s="868"/>
      <c r="U328" s="868"/>
      <c r="V328" s="868"/>
      <c r="W328" s="868"/>
      <c r="X328" s="868"/>
      <c r="Y328" s="868"/>
      <c r="Z328" s="868"/>
    </row>
    <row r="329" spans="1:26" ht="18.75" hidden="1">
      <c r="A329" s="993"/>
      <c r="B329" s="883"/>
      <c r="C329" s="883"/>
      <c r="D329" s="883"/>
      <c r="E329" s="884" t="s">
        <v>18</v>
      </c>
      <c r="F329" s="883"/>
      <c r="G329" s="994"/>
      <c r="H329" s="158" t="s">
        <v>12</v>
      </c>
      <c r="I329" s="886"/>
      <c r="J329" s="886"/>
      <c r="K329" s="887"/>
      <c r="L329" s="887">
        <f t="shared" ref="L329:N330" si="152">L332+L335</f>
        <v>0</v>
      </c>
      <c r="M329" s="887">
        <f t="shared" si="152"/>
        <v>0</v>
      </c>
      <c r="N329" s="887">
        <f t="shared" si="152"/>
        <v>0</v>
      </c>
      <c r="O329" s="887">
        <f t="shared" si="150"/>
        <v>0</v>
      </c>
      <c r="P329" s="887">
        <f t="shared" si="151"/>
        <v>0</v>
      </c>
      <c r="Q329" s="875"/>
      <c r="R329" s="875"/>
      <c r="S329" s="875"/>
      <c r="T329" s="875"/>
      <c r="U329" s="875"/>
      <c r="V329" s="875"/>
      <c r="W329" s="875"/>
      <c r="X329" s="875"/>
      <c r="Y329" s="875"/>
      <c r="Z329" s="875"/>
    </row>
    <row r="330" spans="1:26" ht="18.75" hidden="1">
      <c r="A330" s="993"/>
      <c r="B330" s="883"/>
      <c r="C330" s="883"/>
      <c r="D330" s="883"/>
      <c r="E330" s="884" t="s">
        <v>19</v>
      </c>
      <c r="F330" s="883"/>
      <c r="G330" s="994"/>
      <c r="H330" s="158" t="s">
        <v>12</v>
      </c>
      <c r="I330" s="886"/>
      <c r="J330" s="886"/>
      <c r="K330" s="887"/>
      <c r="L330" s="887">
        <f t="shared" ca="1" si="152"/>
        <v>159000</v>
      </c>
      <c r="M330" s="887">
        <f t="shared" ca="1" si="152"/>
        <v>121750</v>
      </c>
      <c r="N330" s="887">
        <f t="shared" ca="1" si="152"/>
        <v>69126.679999999993</v>
      </c>
      <c r="O330" s="887">
        <f t="shared" ca="1" si="150"/>
        <v>43.475899371069175</v>
      </c>
      <c r="P330" s="887">
        <f t="shared" ca="1" si="151"/>
        <v>56.777560574948659</v>
      </c>
      <c r="Q330" s="875"/>
      <c r="R330" s="875"/>
      <c r="S330" s="875"/>
      <c r="T330" s="875"/>
      <c r="U330" s="875"/>
      <c r="V330" s="875"/>
      <c r="W330" s="875"/>
      <c r="X330" s="875"/>
      <c r="Y330" s="875"/>
      <c r="Z330" s="875"/>
    </row>
    <row r="331" spans="1:26" ht="18.75">
      <c r="A331" s="995"/>
      <c r="B331" s="877"/>
      <c r="C331" s="996"/>
      <c r="D331" s="878" t="s">
        <v>20</v>
      </c>
      <c r="E331" s="877"/>
      <c r="F331" s="877"/>
      <c r="G331" s="879"/>
      <c r="H331" s="161" t="s">
        <v>12</v>
      </c>
      <c r="I331" s="997"/>
      <c r="J331" s="997"/>
      <c r="K331" s="998"/>
      <c r="L331" s="881">
        <f t="shared" ref="L331:N331" ca="1" si="153">L332+L333</f>
        <v>159000</v>
      </c>
      <c r="M331" s="881">
        <f t="shared" ca="1" si="153"/>
        <v>121750</v>
      </c>
      <c r="N331" s="881">
        <f t="shared" ca="1" si="153"/>
        <v>69126.679999999993</v>
      </c>
      <c r="O331" s="881">
        <f t="shared" ca="1" si="150"/>
        <v>43.475899371069175</v>
      </c>
      <c r="P331" s="881">
        <f t="shared" ca="1" si="151"/>
        <v>56.777560574948659</v>
      </c>
      <c r="Q331" s="868"/>
      <c r="R331" s="868"/>
      <c r="S331" s="868"/>
      <c r="T331" s="868"/>
      <c r="U331" s="868"/>
      <c r="V331" s="868"/>
      <c r="W331" s="868"/>
      <c r="X331" s="868"/>
      <c r="Y331" s="868"/>
      <c r="Z331" s="868"/>
    </row>
    <row r="332" spans="1:26" ht="19.5" hidden="1">
      <c r="A332" s="993"/>
      <c r="B332" s="883"/>
      <c r="C332" s="999"/>
      <c r="D332" s="883"/>
      <c r="E332" s="884" t="s">
        <v>36</v>
      </c>
      <c r="F332" s="883"/>
      <c r="G332" s="994"/>
      <c r="H332" s="165" t="s">
        <v>12</v>
      </c>
      <c r="I332" s="1000"/>
      <c r="J332" s="1000"/>
      <c r="K332" s="1001"/>
      <c r="L332" s="887">
        <v>0</v>
      </c>
      <c r="M332" s="887">
        <v>0</v>
      </c>
      <c r="N332" s="887">
        <v>0</v>
      </c>
      <c r="O332" s="887">
        <f t="shared" si="150"/>
        <v>0</v>
      </c>
      <c r="P332" s="887">
        <f t="shared" si="151"/>
        <v>0</v>
      </c>
      <c r="Q332" s="875"/>
      <c r="R332" s="875"/>
      <c r="S332" s="875"/>
      <c r="T332" s="875"/>
      <c r="U332" s="875"/>
      <c r="V332" s="875"/>
      <c r="W332" s="875"/>
      <c r="X332" s="875"/>
      <c r="Y332" s="875"/>
      <c r="Z332" s="875"/>
    </row>
    <row r="333" spans="1:26" ht="19.5" hidden="1">
      <c r="A333" s="993"/>
      <c r="B333" s="883"/>
      <c r="C333" s="999"/>
      <c r="D333" s="883"/>
      <c r="E333" s="884" t="s">
        <v>37</v>
      </c>
      <c r="F333" s="883"/>
      <c r="G333" s="994"/>
      <c r="H333" s="165" t="s">
        <v>12</v>
      </c>
      <c r="I333" s="1000"/>
      <c r="J333" s="1000"/>
      <c r="K333" s="1001"/>
      <c r="L333" s="887">
        <f ca="1">IFERROR(__xludf.DUMMYFUNCTION("IMPORTRANGE(""https://docs.google.com/spreadsheets/d/1MeEWN-I1oV_STSDYn1IFDPWt_1FKiwhDph83XaGc0o0/edit?usp=sharing"",""งบพรบ!EM85"")"),159000)</f>
        <v>159000</v>
      </c>
      <c r="M333" s="887">
        <f ca="1">IFERROR(__xludf.DUMMYFUNCTION("IMPORTRANGE(""https://docs.google.com/spreadsheets/d/1MeEWN-I1oV_STSDYn1IFDPWt_1FKiwhDph83XaGc0o0/edit?usp=sharing"",""งบพรบ!ER85"")"),121750)</f>
        <v>121750</v>
      </c>
      <c r="N333" s="887">
        <f ca="1">IFERROR(__xludf.DUMMYFUNCTION("IMPORTRANGE(""https://docs.google.com/spreadsheets/d/1MeEWN-I1oV_STSDYn1IFDPWt_1FKiwhDph83XaGc0o0/edit?usp=sharing"",""งบพรบ!ET85"")"),69126.68)</f>
        <v>69126.679999999993</v>
      </c>
      <c r="O333" s="887">
        <f t="shared" ca="1" si="150"/>
        <v>43.475899371069175</v>
      </c>
      <c r="P333" s="887">
        <f t="shared" ca="1" si="151"/>
        <v>56.777560574948659</v>
      </c>
      <c r="Q333" s="875"/>
      <c r="R333" s="875"/>
      <c r="S333" s="875"/>
      <c r="T333" s="875"/>
      <c r="U333" s="875"/>
      <c r="V333" s="875"/>
      <c r="W333" s="875"/>
      <c r="X333" s="875"/>
      <c r="Y333" s="875"/>
      <c r="Z333" s="875"/>
    </row>
    <row r="334" spans="1:26" ht="18.75">
      <c r="A334" s="995"/>
      <c r="B334" s="877"/>
      <c r="C334" s="996"/>
      <c r="D334" s="878" t="s">
        <v>21</v>
      </c>
      <c r="E334" s="877"/>
      <c r="F334" s="877"/>
      <c r="G334" s="879"/>
      <c r="H334" s="168" t="s">
        <v>12</v>
      </c>
      <c r="I334" s="997"/>
      <c r="J334" s="997"/>
      <c r="K334" s="998"/>
      <c r="L334" s="881">
        <f t="shared" ref="L334:N334" ca="1" si="154">L335+L336</f>
        <v>0</v>
      </c>
      <c r="M334" s="881">
        <f t="shared" ca="1" si="154"/>
        <v>0</v>
      </c>
      <c r="N334" s="881">
        <f t="shared" ca="1" si="154"/>
        <v>0</v>
      </c>
      <c r="O334" s="881">
        <f t="shared" ca="1" si="150"/>
        <v>0</v>
      </c>
      <c r="P334" s="881">
        <f t="shared" ca="1" si="151"/>
        <v>0</v>
      </c>
      <c r="Q334" s="868"/>
      <c r="R334" s="868"/>
      <c r="S334" s="868"/>
      <c r="T334" s="868"/>
      <c r="U334" s="868"/>
      <c r="V334" s="868"/>
      <c r="W334" s="868"/>
      <c r="X334" s="868"/>
      <c r="Y334" s="868"/>
      <c r="Z334" s="868"/>
    </row>
    <row r="335" spans="1:26" ht="19.5" hidden="1">
      <c r="A335" s="993"/>
      <c r="B335" s="883"/>
      <c r="C335" s="999"/>
      <c r="D335" s="883"/>
      <c r="E335" s="884" t="s">
        <v>18</v>
      </c>
      <c r="F335" s="883"/>
      <c r="G335" s="994"/>
      <c r="H335" s="165" t="s">
        <v>12</v>
      </c>
      <c r="I335" s="1000"/>
      <c r="J335" s="1000"/>
      <c r="K335" s="1001"/>
      <c r="L335" s="887">
        <v>0</v>
      </c>
      <c r="M335" s="887">
        <v>0</v>
      </c>
      <c r="N335" s="887">
        <v>0</v>
      </c>
      <c r="O335" s="887">
        <f t="shared" si="150"/>
        <v>0</v>
      </c>
      <c r="P335" s="887">
        <f t="shared" si="151"/>
        <v>0</v>
      </c>
      <c r="Q335" s="875"/>
      <c r="R335" s="875"/>
      <c r="S335" s="875"/>
      <c r="T335" s="875"/>
      <c r="U335" s="875"/>
      <c r="V335" s="875"/>
      <c r="W335" s="875"/>
      <c r="X335" s="875"/>
      <c r="Y335" s="875"/>
      <c r="Z335" s="875"/>
    </row>
    <row r="336" spans="1:26" ht="19.5" hidden="1">
      <c r="A336" s="993"/>
      <c r="B336" s="883"/>
      <c r="C336" s="999"/>
      <c r="D336" s="883"/>
      <c r="E336" s="884" t="s">
        <v>19</v>
      </c>
      <c r="F336" s="883"/>
      <c r="G336" s="994"/>
      <c r="H336" s="169" t="s">
        <v>12</v>
      </c>
      <c r="I336" s="1000"/>
      <c r="J336" s="1000"/>
      <c r="K336" s="1001"/>
      <c r="L336" s="887">
        <f ca="1">IFERROR(__xludf.DUMMYFUNCTION("IMPORTRANGE(""https://docs.google.com/spreadsheets/d/1MeEWN-I1oV_STSDYn1IFDPWt_1FKiwhDph83XaGc0o0/edit?usp=sharing"",""งบพรบ!EP85"")"),0)</f>
        <v>0</v>
      </c>
      <c r="M336" s="887">
        <f ca="1">IFERROR(__xludf.DUMMYFUNCTION("IMPORTRANGE(""https://docs.google.com/spreadsheets/d/1MeEWN-I1oV_STSDYn1IFDPWt_1FKiwhDph83XaGc0o0/edit?usp=sharing"",""งบพรบ!ES85"")"),0)</f>
        <v>0</v>
      </c>
      <c r="N336" s="887">
        <f ca="1">IFERROR(__xludf.DUMMYFUNCTION("IMPORTRANGE(""https://docs.google.com/spreadsheets/d/1MeEWN-I1oV_STSDYn1IFDPWt_1FKiwhDph83XaGc0o0/edit?usp=sharing"",""งบพรบ!EU85"")"),0)</f>
        <v>0</v>
      </c>
      <c r="O336" s="887">
        <f t="shared" ca="1" si="150"/>
        <v>0</v>
      </c>
      <c r="P336" s="887">
        <f t="shared" ca="1" si="151"/>
        <v>0</v>
      </c>
      <c r="Q336" s="875"/>
      <c r="R336" s="875"/>
      <c r="S336" s="875"/>
      <c r="T336" s="875"/>
      <c r="U336" s="875"/>
      <c r="V336" s="875"/>
      <c r="W336" s="875"/>
      <c r="X336" s="875"/>
      <c r="Y336" s="875"/>
      <c r="Z336" s="875"/>
    </row>
    <row r="337" spans="1:26" ht="19.5">
      <c r="A337" s="1002"/>
      <c r="B337" s="1003"/>
      <c r="C337" s="999" t="s">
        <v>16</v>
      </c>
      <c r="D337" s="1004" t="s">
        <v>38</v>
      </c>
      <c r="E337" s="1005"/>
      <c r="F337" s="1005"/>
      <c r="G337" s="1006"/>
      <c r="H337" s="1007"/>
      <c r="I337" s="997"/>
      <c r="J337" s="880"/>
      <c r="K337" s="881"/>
      <c r="L337" s="881"/>
      <c r="M337" s="881"/>
      <c r="N337" s="881"/>
      <c r="O337" s="998"/>
      <c r="P337" s="998"/>
    </row>
    <row r="338" spans="1:26" ht="18.75">
      <c r="A338" s="1086"/>
      <c r="B338" s="877"/>
      <c r="C338" s="1084"/>
      <c r="D338" s="1009" t="s">
        <v>150</v>
      </c>
      <c r="E338" s="1003"/>
      <c r="F338" s="877"/>
      <c r="G338" s="879"/>
      <c r="H338" s="277" t="s">
        <v>35</v>
      </c>
      <c r="I338" s="880">
        <f ca="1">IFERROR(__xludf.DUMMYFUNCTION("IMPORTRANGE(""https://docs.google.com/spreadsheets/d/1QqKyyYR6Q21VydFLVH3TRQUabQu_ym0Zz7PgGX0-kHA/edit?usp=sharing"",""แผน!EG85"")"),500)</f>
        <v>500</v>
      </c>
      <c r="J338" s="880">
        <f ca="1">IFERROR(__xludf.DUMMYFUNCTION("IMPORTRANGE(""https://docs.google.com/spreadsheets/d/1kVcqe37tkHyjCSG3S0O1AXqVkqjo8mSIZil3BcpIysc/edit?usp=sharing"",""ศูนย์!D85"")"),561)</f>
        <v>561</v>
      </c>
      <c r="K338" s="881">
        <f ca="1">IF(I338&gt;0,J338*100/I338,0)</f>
        <v>112.2</v>
      </c>
      <c r="L338" s="881"/>
      <c r="M338" s="881"/>
      <c r="N338" s="881"/>
      <c r="O338" s="881"/>
      <c r="P338" s="881"/>
    </row>
    <row r="339" spans="1:26" ht="18.75">
      <c r="A339" s="1086"/>
      <c r="B339" s="877"/>
      <c r="C339" s="1084"/>
      <c r="D339" s="1009" t="s">
        <v>151</v>
      </c>
      <c r="E339" s="1003"/>
      <c r="F339" s="877"/>
      <c r="G339" s="879"/>
      <c r="H339" s="277"/>
      <c r="I339" s="880"/>
      <c r="J339" s="880"/>
      <c r="K339" s="881"/>
      <c r="L339" s="881"/>
      <c r="M339" s="881"/>
      <c r="N339" s="881"/>
      <c r="O339" s="881"/>
      <c r="P339" s="881"/>
    </row>
    <row r="340" spans="1:26" ht="18.75">
      <c r="A340" s="1086"/>
      <c r="B340" s="877"/>
      <c r="C340" s="1084"/>
      <c r="D340" s="1010"/>
      <c r="E340" s="1009" t="s">
        <v>152</v>
      </c>
      <c r="F340" s="877"/>
      <c r="G340" s="879"/>
      <c r="H340" s="277" t="s">
        <v>153</v>
      </c>
      <c r="I340" s="880">
        <f ca="1">IFERROR(__xludf.DUMMYFUNCTION("IMPORTRANGE(""https://docs.google.com/spreadsheets/d/1QqKyyYR6Q21VydFLVH3TRQUabQu_ym0Zz7PgGX0-kHA/edit?usp=sharing"",""แผน!EH85"")"),3)</f>
        <v>3</v>
      </c>
      <c r="J340" s="880">
        <f ca="1">IFERROR(__xludf.DUMMYFUNCTION("IMPORTRANGE(""https://docs.google.com/spreadsheets/d/1kVcqe37tkHyjCSG3S0O1AXqVkqjo8mSIZil3BcpIysc/edit?usp=sharing"",""ศูนย์!E85"")"),3)</f>
        <v>3</v>
      </c>
      <c r="K340" s="881">
        <f ca="1">IF(I340&gt;0,J340*100/I340,0)</f>
        <v>100</v>
      </c>
      <c r="L340" s="881"/>
      <c r="M340" s="881"/>
      <c r="N340" s="881"/>
      <c r="O340" s="881"/>
      <c r="P340" s="881"/>
    </row>
    <row r="341" spans="1:26" ht="18.75">
      <c r="A341" s="1086"/>
      <c r="B341" s="877"/>
      <c r="C341" s="1084"/>
      <c r="D341" s="1010"/>
      <c r="E341" s="1009" t="s">
        <v>154</v>
      </c>
      <c r="F341" s="877"/>
      <c r="G341" s="879"/>
      <c r="H341" s="277" t="s">
        <v>35</v>
      </c>
      <c r="I341" s="880"/>
      <c r="J341" s="880">
        <f ca="1">IFERROR(__xludf.DUMMYFUNCTION("IMPORTRANGE(""https://docs.google.com/spreadsheets/d/1kVcqe37tkHyjCSG3S0O1AXqVkqjo8mSIZil3BcpIysc/edit?usp=sharing"",""ศูนย์!F85"")"),73)</f>
        <v>73</v>
      </c>
      <c r="K341" s="881"/>
      <c r="L341" s="881"/>
      <c r="M341" s="881"/>
      <c r="N341" s="881"/>
      <c r="O341" s="881"/>
      <c r="P341" s="881"/>
    </row>
    <row r="342" spans="1:26" ht="18.75">
      <c r="A342" s="1086"/>
      <c r="B342" s="877"/>
      <c r="C342" s="1084"/>
      <c r="D342" s="1009" t="s">
        <v>155</v>
      </c>
      <c r="E342" s="1010"/>
      <c r="F342" s="1010"/>
      <c r="G342" s="879"/>
      <c r="H342" s="277" t="s">
        <v>35</v>
      </c>
      <c r="I342" s="880"/>
      <c r="J342" s="880">
        <f ca="1">IFERROR(__xludf.DUMMYFUNCTION("IMPORTRANGE(""https://docs.google.com/spreadsheets/d/1kVcqe37tkHyjCSG3S0O1AXqVkqjo8mSIZil3BcpIysc/edit?usp=sharing"",""ศูนย์!G85"")"),0)</f>
        <v>0</v>
      </c>
      <c r="K342" s="881"/>
      <c r="L342" s="881"/>
      <c r="M342" s="881"/>
      <c r="N342" s="881"/>
      <c r="O342" s="881"/>
      <c r="P342" s="881"/>
    </row>
    <row r="343" spans="1:26" ht="18.75">
      <c r="A343" s="1086"/>
      <c r="B343" s="877"/>
      <c r="C343" s="1084"/>
      <c r="D343" s="1009" t="s">
        <v>156</v>
      </c>
      <c r="E343" s="1010"/>
      <c r="F343" s="1010"/>
      <c r="G343" s="879"/>
      <c r="H343" s="277" t="s">
        <v>35</v>
      </c>
      <c r="I343" s="880"/>
      <c r="J343" s="880">
        <f ca="1">IFERROR(__xludf.DUMMYFUNCTION("IMPORTRANGE(""https://docs.google.com/spreadsheets/d/1kVcqe37tkHyjCSG3S0O1AXqVkqjo8mSIZil3BcpIysc/edit?usp=sharing"",""ศูนย์!H85"")"),0)</f>
        <v>0</v>
      </c>
      <c r="K343" s="881"/>
      <c r="L343" s="881"/>
      <c r="M343" s="881"/>
      <c r="N343" s="881"/>
      <c r="O343" s="881"/>
      <c r="P343" s="881"/>
    </row>
    <row r="344" spans="1:26" ht="19.5">
      <c r="A344" s="1186"/>
      <c r="B344" s="1187" t="s">
        <v>157</v>
      </c>
      <c r="C344" s="1196"/>
      <c r="D344" s="1188"/>
      <c r="E344" s="1188"/>
      <c r="F344" s="1188"/>
      <c r="G344" s="1189"/>
      <c r="H344" s="444"/>
      <c r="I344" s="1197"/>
      <c r="J344" s="1197"/>
      <c r="K344" s="1192"/>
      <c r="L344" s="1192"/>
      <c r="M344" s="1192"/>
      <c r="N344" s="1192"/>
      <c r="O344" s="1192"/>
      <c r="P344" s="1192"/>
    </row>
    <row r="345" spans="1:26" ht="19.5">
      <c r="A345" s="985"/>
      <c r="B345" s="986"/>
      <c r="C345" s="987" t="s">
        <v>16</v>
      </c>
      <c r="D345" s="988" t="s">
        <v>17</v>
      </c>
      <c r="E345" s="986"/>
      <c r="F345" s="986"/>
      <c r="G345" s="989"/>
      <c r="H345" s="152" t="s">
        <v>12</v>
      </c>
      <c r="I345" s="990"/>
      <c r="J345" s="990"/>
      <c r="K345" s="991"/>
      <c r="L345" s="992">
        <f t="shared" ref="L345:N345" ca="1" si="155">L346+L347</f>
        <v>619700</v>
      </c>
      <c r="M345" s="992">
        <f t="shared" ca="1" si="155"/>
        <v>480800</v>
      </c>
      <c r="N345" s="992">
        <f t="shared" ca="1" si="155"/>
        <v>319969.68</v>
      </c>
      <c r="O345" s="992">
        <f t="shared" ref="O345:O353" ca="1" si="156">IF(L345&gt;0,N345*100/L345,0)</f>
        <v>51.632996611263515</v>
      </c>
      <c r="P345" s="992">
        <f t="shared" ref="P345:P353" ca="1" si="157">IF(M345&gt;0,N345*100/M345,0)</f>
        <v>66.549434276206327</v>
      </c>
      <c r="Q345" s="868"/>
      <c r="R345" s="868"/>
      <c r="S345" s="868"/>
      <c r="T345" s="868"/>
      <c r="U345" s="868"/>
      <c r="V345" s="868"/>
      <c r="W345" s="868"/>
      <c r="X345" s="868"/>
      <c r="Y345" s="868"/>
      <c r="Z345" s="868"/>
    </row>
    <row r="346" spans="1:26" ht="18.75" hidden="1">
      <c r="A346" s="993"/>
      <c r="B346" s="883"/>
      <c r="C346" s="883"/>
      <c r="D346" s="883"/>
      <c r="E346" s="884" t="s">
        <v>18</v>
      </c>
      <c r="F346" s="883"/>
      <c r="G346" s="994"/>
      <c r="H346" s="158" t="s">
        <v>12</v>
      </c>
      <c r="I346" s="886"/>
      <c r="J346" s="886"/>
      <c r="K346" s="887"/>
      <c r="L346" s="887">
        <f t="shared" ref="L346:N347" si="158">L349+L352</f>
        <v>0</v>
      </c>
      <c r="M346" s="887">
        <f t="shared" si="158"/>
        <v>0</v>
      </c>
      <c r="N346" s="887">
        <f t="shared" si="158"/>
        <v>0</v>
      </c>
      <c r="O346" s="887">
        <f t="shared" si="156"/>
        <v>0</v>
      </c>
      <c r="P346" s="887">
        <f t="shared" si="157"/>
        <v>0</v>
      </c>
      <c r="Q346" s="875"/>
      <c r="R346" s="875"/>
      <c r="S346" s="875"/>
      <c r="T346" s="875"/>
      <c r="U346" s="875"/>
      <c r="V346" s="875"/>
      <c r="W346" s="875"/>
      <c r="X346" s="875"/>
      <c r="Y346" s="875"/>
      <c r="Z346" s="875"/>
    </row>
    <row r="347" spans="1:26" ht="18.75" hidden="1">
      <c r="A347" s="993"/>
      <c r="B347" s="883"/>
      <c r="C347" s="883"/>
      <c r="D347" s="883"/>
      <c r="E347" s="884" t="s">
        <v>19</v>
      </c>
      <c r="F347" s="883"/>
      <c r="G347" s="994"/>
      <c r="H347" s="158" t="s">
        <v>12</v>
      </c>
      <c r="I347" s="886"/>
      <c r="J347" s="886"/>
      <c r="K347" s="887"/>
      <c r="L347" s="887">
        <f t="shared" ca="1" si="158"/>
        <v>619700</v>
      </c>
      <c r="M347" s="887">
        <f t="shared" ca="1" si="158"/>
        <v>480800</v>
      </c>
      <c r="N347" s="887">
        <f t="shared" ca="1" si="158"/>
        <v>319969.68</v>
      </c>
      <c r="O347" s="887">
        <f t="shared" ca="1" si="156"/>
        <v>51.632996611263515</v>
      </c>
      <c r="P347" s="887">
        <f t="shared" ca="1" si="157"/>
        <v>66.549434276206327</v>
      </c>
      <c r="Q347" s="875"/>
      <c r="R347" s="875"/>
      <c r="S347" s="875"/>
      <c r="T347" s="875"/>
      <c r="U347" s="875"/>
      <c r="V347" s="875"/>
      <c r="W347" s="875"/>
      <c r="X347" s="875"/>
      <c r="Y347" s="875"/>
      <c r="Z347" s="875"/>
    </row>
    <row r="348" spans="1:26" ht="18.75">
      <c r="A348" s="995"/>
      <c r="B348" s="877"/>
      <c r="C348" s="996"/>
      <c r="D348" s="878" t="s">
        <v>20</v>
      </c>
      <c r="E348" s="877"/>
      <c r="F348" s="877"/>
      <c r="G348" s="879"/>
      <c r="H348" s="161" t="s">
        <v>12</v>
      </c>
      <c r="I348" s="997"/>
      <c r="J348" s="997"/>
      <c r="K348" s="998"/>
      <c r="L348" s="881">
        <f t="shared" ref="L348:N348" ca="1" si="159">L349+L350</f>
        <v>573700</v>
      </c>
      <c r="M348" s="881">
        <f t="shared" ca="1" si="159"/>
        <v>434800</v>
      </c>
      <c r="N348" s="881">
        <f t="shared" ca="1" si="159"/>
        <v>273969.68</v>
      </c>
      <c r="O348" s="881">
        <f t="shared" ca="1" si="156"/>
        <v>47.75486839811748</v>
      </c>
      <c r="P348" s="881">
        <f t="shared" ca="1" si="157"/>
        <v>63.010505979760808</v>
      </c>
      <c r="Q348" s="868"/>
      <c r="R348" s="868"/>
      <c r="S348" s="868"/>
      <c r="T348" s="868"/>
      <c r="U348" s="868"/>
      <c r="V348" s="868"/>
      <c r="W348" s="868"/>
      <c r="X348" s="868"/>
      <c r="Y348" s="868"/>
      <c r="Z348" s="868"/>
    </row>
    <row r="349" spans="1:26" ht="19.5" hidden="1">
      <c r="A349" s="993"/>
      <c r="B349" s="883"/>
      <c r="C349" s="999"/>
      <c r="D349" s="883"/>
      <c r="E349" s="884" t="s">
        <v>36</v>
      </c>
      <c r="F349" s="883"/>
      <c r="G349" s="994"/>
      <c r="H349" s="165" t="s">
        <v>12</v>
      </c>
      <c r="I349" s="1000"/>
      <c r="J349" s="1000"/>
      <c r="K349" s="1001"/>
      <c r="L349" s="887">
        <v>0</v>
      </c>
      <c r="M349" s="887">
        <v>0</v>
      </c>
      <c r="N349" s="887">
        <v>0</v>
      </c>
      <c r="O349" s="887">
        <f t="shared" si="156"/>
        <v>0</v>
      </c>
      <c r="P349" s="887">
        <f t="shared" si="157"/>
        <v>0</v>
      </c>
      <c r="Q349" s="875"/>
      <c r="R349" s="875"/>
      <c r="S349" s="875"/>
      <c r="T349" s="875"/>
      <c r="U349" s="875"/>
      <c r="V349" s="875"/>
      <c r="W349" s="875"/>
      <c r="X349" s="875"/>
      <c r="Y349" s="875"/>
      <c r="Z349" s="875"/>
    </row>
    <row r="350" spans="1:26" ht="19.5" hidden="1">
      <c r="A350" s="993"/>
      <c r="B350" s="883"/>
      <c r="C350" s="999"/>
      <c r="D350" s="883"/>
      <c r="E350" s="884" t="s">
        <v>37</v>
      </c>
      <c r="F350" s="883"/>
      <c r="G350" s="994"/>
      <c r="H350" s="165" t="s">
        <v>12</v>
      </c>
      <c r="I350" s="1000"/>
      <c r="J350" s="1000"/>
      <c r="K350" s="1001"/>
      <c r="L350" s="887">
        <f ca="1">IFERROR(__xludf.DUMMYFUNCTION("IMPORTRANGE(""https://docs.google.com/spreadsheets/d/1MeEWN-I1oV_STSDYn1IFDPWt_1FKiwhDph83XaGc0o0/edit?usp=sharing"",""งบพรบ!EW85"")"),573700)</f>
        <v>573700</v>
      </c>
      <c r="M350" s="887">
        <f ca="1">IFERROR(__xludf.DUMMYFUNCTION("IMPORTRANGE(""https://docs.google.com/spreadsheets/d/1MeEWN-I1oV_STSDYn1IFDPWt_1FKiwhDph83XaGc0o0/edit?usp=sharing"",""งบพรบ!FB85"")"),434800)</f>
        <v>434800</v>
      </c>
      <c r="N350" s="887">
        <f ca="1">IFERROR(__xludf.DUMMYFUNCTION("IMPORTRANGE(""https://docs.google.com/spreadsheets/d/1MeEWN-I1oV_STSDYn1IFDPWt_1FKiwhDph83XaGc0o0/edit?usp=sharing"",""งบพรบ!FD85"")"),273969.68)</f>
        <v>273969.68</v>
      </c>
      <c r="O350" s="887">
        <f t="shared" ca="1" si="156"/>
        <v>47.75486839811748</v>
      </c>
      <c r="P350" s="887">
        <f t="shared" ca="1" si="157"/>
        <v>63.010505979760808</v>
      </c>
      <c r="Q350" s="875"/>
      <c r="R350" s="875"/>
      <c r="S350" s="875"/>
      <c r="T350" s="875"/>
      <c r="U350" s="875"/>
      <c r="V350" s="875"/>
      <c r="W350" s="875"/>
      <c r="X350" s="875"/>
      <c r="Y350" s="875"/>
      <c r="Z350" s="875"/>
    </row>
    <row r="351" spans="1:26" ht="18.75">
      <c r="A351" s="995"/>
      <c r="B351" s="877"/>
      <c r="C351" s="996"/>
      <c r="D351" s="878" t="s">
        <v>21</v>
      </c>
      <c r="E351" s="877"/>
      <c r="F351" s="877"/>
      <c r="G351" s="879"/>
      <c r="H351" s="168" t="s">
        <v>12</v>
      </c>
      <c r="I351" s="997"/>
      <c r="J351" s="997"/>
      <c r="K351" s="998"/>
      <c r="L351" s="881">
        <f t="shared" ref="L351:N351" ca="1" si="160">L352+L353</f>
        <v>46000</v>
      </c>
      <c r="M351" s="881">
        <f t="shared" ca="1" si="160"/>
        <v>46000</v>
      </c>
      <c r="N351" s="881">
        <f t="shared" ca="1" si="160"/>
        <v>46000</v>
      </c>
      <c r="O351" s="881">
        <f t="shared" ca="1" si="156"/>
        <v>100</v>
      </c>
      <c r="P351" s="881">
        <f t="shared" ca="1" si="157"/>
        <v>100</v>
      </c>
      <c r="Q351" s="868"/>
      <c r="R351" s="868"/>
      <c r="S351" s="868"/>
      <c r="T351" s="868"/>
      <c r="U351" s="868"/>
      <c r="V351" s="868"/>
      <c r="W351" s="868"/>
      <c r="X351" s="868"/>
      <c r="Y351" s="868"/>
      <c r="Z351" s="868"/>
    </row>
    <row r="352" spans="1:26" ht="19.5" hidden="1">
      <c r="A352" s="993"/>
      <c r="B352" s="883"/>
      <c r="C352" s="999"/>
      <c r="D352" s="883"/>
      <c r="E352" s="884" t="s">
        <v>18</v>
      </c>
      <c r="F352" s="883"/>
      <c r="G352" s="994"/>
      <c r="H352" s="165" t="s">
        <v>12</v>
      </c>
      <c r="I352" s="1000"/>
      <c r="J352" s="1000"/>
      <c r="K352" s="1001"/>
      <c r="L352" s="887">
        <v>0</v>
      </c>
      <c r="M352" s="887">
        <v>0</v>
      </c>
      <c r="N352" s="887">
        <v>0</v>
      </c>
      <c r="O352" s="887">
        <f t="shared" si="156"/>
        <v>0</v>
      </c>
      <c r="P352" s="887">
        <f t="shared" si="157"/>
        <v>0</v>
      </c>
      <c r="Q352" s="875"/>
      <c r="R352" s="875"/>
      <c r="S352" s="875"/>
      <c r="T352" s="875"/>
      <c r="U352" s="875"/>
      <c r="V352" s="875"/>
      <c r="W352" s="875"/>
      <c r="X352" s="875"/>
      <c r="Y352" s="875"/>
      <c r="Z352" s="875"/>
    </row>
    <row r="353" spans="1:26" ht="19.5" hidden="1">
      <c r="A353" s="993"/>
      <c r="B353" s="883"/>
      <c r="C353" s="999"/>
      <c r="D353" s="883"/>
      <c r="E353" s="884" t="s">
        <v>19</v>
      </c>
      <c r="F353" s="883"/>
      <c r="G353" s="994"/>
      <c r="H353" s="169" t="s">
        <v>12</v>
      </c>
      <c r="I353" s="1000"/>
      <c r="J353" s="1000"/>
      <c r="K353" s="1001"/>
      <c r="L353" s="887">
        <f ca="1">IFERROR(__xludf.DUMMYFUNCTION("IMPORTRANGE(""https://docs.google.com/spreadsheets/d/1MeEWN-I1oV_STSDYn1IFDPWt_1FKiwhDph83XaGc0o0/edit?usp=sharing"",""งบพรบ!EZ85"")"),46000)</f>
        <v>46000</v>
      </c>
      <c r="M353" s="887">
        <f ca="1">IFERROR(__xludf.DUMMYFUNCTION("IMPORTRANGE(""https://docs.google.com/spreadsheets/d/1MeEWN-I1oV_STSDYn1IFDPWt_1FKiwhDph83XaGc0o0/edit?usp=sharing"",""งบพรบ!FC85"")"),46000)</f>
        <v>46000</v>
      </c>
      <c r="N353" s="887">
        <f ca="1">IFERROR(__xludf.DUMMYFUNCTION("IMPORTRANGE(""https://docs.google.com/spreadsheets/d/1MeEWN-I1oV_STSDYn1IFDPWt_1FKiwhDph83XaGc0o0/edit?usp=sharing"",""งบพรบ!FE85"")"),46000)</f>
        <v>46000</v>
      </c>
      <c r="O353" s="887">
        <f t="shared" ca="1" si="156"/>
        <v>100</v>
      </c>
      <c r="P353" s="887">
        <f t="shared" ca="1" si="157"/>
        <v>100</v>
      </c>
      <c r="Q353" s="875"/>
      <c r="R353" s="875"/>
      <c r="S353" s="875"/>
      <c r="T353" s="875"/>
      <c r="U353" s="875"/>
      <c r="V353" s="875"/>
      <c r="W353" s="875"/>
      <c r="X353" s="875"/>
      <c r="Y353" s="875"/>
      <c r="Z353" s="875"/>
    </row>
    <row r="354" spans="1:26" ht="19.5">
      <c r="A354" s="1063"/>
      <c r="B354" s="1070"/>
      <c r="C354" s="1064"/>
      <c r="D354" s="1198" t="s">
        <v>158</v>
      </c>
      <c r="E354" s="1064"/>
      <c r="F354" s="1064"/>
      <c r="G354" s="1066"/>
      <c r="H354" s="1199"/>
      <c r="I354" s="1067"/>
      <c r="J354" s="1067"/>
      <c r="K354" s="1068"/>
      <c r="L354" s="1068"/>
      <c r="M354" s="1068"/>
      <c r="N354" s="1068"/>
      <c r="O354" s="1068"/>
      <c r="P354" s="1068"/>
    </row>
    <row r="355" spans="1:26" ht="19.5">
      <c r="A355" s="1200"/>
      <c r="B355" s="1201"/>
      <c r="C355" s="1202"/>
      <c r="D355" s="1203" t="s">
        <v>159</v>
      </c>
      <c r="E355" s="1204"/>
      <c r="F355" s="1204"/>
      <c r="G355" s="1205"/>
      <c r="H355" s="463" t="s">
        <v>35</v>
      </c>
      <c r="I355" s="1206">
        <f ca="1">IFERROR(__xludf.DUMMYFUNCTION("IMPORTRANGE(""https://docs.google.com/spreadsheets/d/1QqKyyYR6Q21VydFLVH3TRQUabQu_ym0Zz7PgGX0-kHA/edit?usp=sharing"",""แผน!EP85"")"),60)</f>
        <v>60</v>
      </c>
      <c r="J355" s="1206">
        <f ca="1">J362</f>
        <v>27</v>
      </c>
      <c r="K355" s="1207">
        <f ca="1">IF(I355&gt;0,J355*100/I355,0)</f>
        <v>45</v>
      </c>
      <c r="L355" s="1208"/>
      <c r="M355" s="1208"/>
      <c r="N355" s="1208"/>
      <c r="O355" s="1208"/>
      <c r="P355" s="1208"/>
    </row>
    <row r="356" spans="1:26" ht="19.5">
      <c r="A356" s="1200"/>
      <c r="B356" s="1201"/>
      <c r="C356" s="1202"/>
      <c r="D356" s="1209" t="s">
        <v>160</v>
      </c>
      <c r="E356" s="1204"/>
      <c r="F356" s="1204"/>
      <c r="G356" s="1205"/>
      <c r="H356" s="1210"/>
      <c r="I356" s="1211"/>
      <c r="J356" s="1211"/>
      <c r="K356" s="1208"/>
      <c r="L356" s="1208"/>
      <c r="M356" s="1208"/>
      <c r="N356" s="1208"/>
      <c r="O356" s="1208"/>
      <c r="P356" s="1208"/>
    </row>
    <row r="357" spans="1:26" ht="19.5">
      <c r="A357" s="1002"/>
      <c r="B357" s="1003"/>
      <c r="C357" s="999" t="s">
        <v>16</v>
      </c>
      <c r="D357" s="1004" t="s">
        <v>38</v>
      </c>
      <c r="E357" s="1005"/>
      <c r="F357" s="1005"/>
      <c r="G357" s="1006"/>
      <c r="H357" s="1007"/>
      <c r="I357" s="880"/>
      <c r="J357" s="880"/>
      <c r="K357" s="881"/>
      <c r="L357" s="998"/>
      <c r="M357" s="998"/>
      <c r="N357" s="998"/>
      <c r="O357" s="998"/>
      <c r="P357" s="998"/>
    </row>
    <row r="358" spans="1:26" ht="18.75">
      <c r="A358" s="1002"/>
      <c r="B358" s="1010"/>
      <c r="C358" s="1003"/>
      <c r="D358" s="1010"/>
      <c r="E358" s="1008" t="s">
        <v>161</v>
      </c>
      <c r="F358" s="1010"/>
      <c r="G358" s="1011"/>
      <c r="H358" s="185" t="s">
        <v>35</v>
      </c>
      <c r="I358" s="880">
        <v>0</v>
      </c>
      <c r="J358" s="880">
        <f ca="1">IFERROR(__xludf.DUMMYFUNCTION("IMPORTRANGE(""https://docs.google.com/spreadsheets/d/1XWAQStnk-4SwqDmLtmXYiTMKHgktTP8We1SCoS47DrQ/edit?usp=sharing"",""จัดที่ดิน!W85"")"),63)</f>
        <v>63</v>
      </c>
      <c r="K358" s="881">
        <f t="shared" ref="K358:K365" si="161">IF(I358&gt;0,J358*100/I358,0)</f>
        <v>0</v>
      </c>
      <c r="L358" s="998"/>
      <c r="M358" s="998"/>
      <c r="N358" s="998"/>
      <c r="O358" s="998"/>
      <c r="P358" s="998"/>
    </row>
    <row r="359" spans="1:26" ht="18.75">
      <c r="A359" s="1002"/>
      <c r="B359" s="1010"/>
      <c r="C359" s="1003"/>
      <c r="D359" s="1010"/>
      <c r="E359" s="1010"/>
      <c r="F359" s="1010"/>
      <c r="G359" s="1011"/>
      <c r="H359" s="185" t="s">
        <v>46</v>
      </c>
      <c r="I359" s="880">
        <f ca="1">IFERROR(__xludf.DUMMYFUNCTION("IMPORTRANGE(""https://docs.google.com/spreadsheets/d/1QqKyyYR6Q21VydFLVH3TRQUabQu_ym0Zz7PgGX0-kHA/edit?usp=sharing"",""แผน!EO85"")"),450)</f>
        <v>450</v>
      </c>
      <c r="J359" s="880">
        <f ca="1">IFERROR(__xludf.DUMMYFUNCTION("IMPORTRANGE(""https://docs.google.com/spreadsheets/d/1XWAQStnk-4SwqDmLtmXYiTMKHgktTP8We1SCoS47DrQ/edit?usp=sharing"",""จัดที่ดิน!X85"")"),316.23)</f>
        <v>316.23</v>
      </c>
      <c r="K359" s="881">
        <f t="shared" ca="1" si="161"/>
        <v>70.273333333333326</v>
      </c>
      <c r="L359" s="998"/>
      <c r="M359" s="998"/>
      <c r="N359" s="998"/>
      <c r="O359" s="998"/>
      <c r="P359" s="998"/>
    </row>
    <row r="360" spans="1:26" ht="18.75">
      <c r="A360" s="1002"/>
      <c r="B360" s="1010"/>
      <c r="C360" s="1003"/>
      <c r="D360" s="1010"/>
      <c r="E360" s="1008" t="s">
        <v>162</v>
      </c>
      <c r="F360" s="1010"/>
      <c r="G360" s="1011"/>
      <c r="H360" s="762" t="s">
        <v>35</v>
      </c>
      <c r="I360" s="880">
        <f ca="1">IFERROR(__xludf.DUMMYFUNCTION("IMPORTRANGE(""https://docs.google.com/spreadsheets/d/1QqKyyYR6Q21VydFLVH3TRQUabQu_ym0Zz7PgGX0-kHA/edit?usp=sharing"",""แผน!EP85"")"),60)</f>
        <v>60</v>
      </c>
      <c r="J360" s="880">
        <f ca="1">IFERROR(__xludf.DUMMYFUNCTION("IMPORTRANGE(""https://docs.google.com/spreadsheets/d/1XWAQStnk-4SwqDmLtmXYiTMKHgktTP8We1SCoS47DrQ/edit?usp=sharing"",""จัดที่ดิน!Y85"")"),40)</f>
        <v>40</v>
      </c>
      <c r="K360" s="881">
        <f t="shared" ca="1" si="161"/>
        <v>66.666666666666671</v>
      </c>
      <c r="L360" s="998"/>
      <c r="M360" s="998"/>
      <c r="N360" s="998"/>
      <c r="O360" s="998"/>
      <c r="P360" s="998"/>
    </row>
    <row r="361" spans="1:26" ht="18.75">
      <c r="A361" s="1002"/>
      <c r="B361" s="1010"/>
      <c r="C361" s="1003"/>
      <c r="D361" s="1010"/>
      <c r="E361" s="1010"/>
      <c r="F361" s="1010"/>
      <c r="G361" s="1011"/>
      <c r="H361" s="762" t="s">
        <v>46</v>
      </c>
      <c r="I361" s="880">
        <v>0</v>
      </c>
      <c r="J361" s="880">
        <f ca="1">IFERROR(__xludf.DUMMYFUNCTION("IMPORTRANGE(""https://docs.google.com/spreadsheets/d/1XWAQStnk-4SwqDmLtmXYiTMKHgktTP8We1SCoS47DrQ/edit?usp=sharing"",""จัดที่ดิน!Z85"")"),218.1)</f>
        <v>218.1</v>
      </c>
      <c r="K361" s="881">
        <f t="shared" si="161"/>
        <v>0</v>
      </c>
      <c r="L361" s="998"/>
      <c r="M361" s="998"/>
      <c r="N361" s="998"/>
      <c r="O361" s="998"/>
      <c r="P361" s="998"/>
    </row>
    <row r="362" spans="1:26" ht="18.75">
      <c r="A362" s="1002"/>
      <c r="B362" s="1010"/>
      <c r="C362" s="1003"/>
      <c r="D362" s="1010"/>
      <c r="E362" s="1008" t="s">
        <v>163</v>
      </c>
      <c r="F362" s="1010"/>
      <c r="G362" s="1011"/>
      <c r="H362" s="762" t="s">
        <v>35</v>
      </c>
      <c r="I362" s="880">
        <f ca="1">IFERROR(__xludf.DUMMYFUNCTION("IMPORTRANGE(""https://docs.google.com/spreadsheets/d/1QqKyyYR6Q21VydFLVH3TRQUabQu_ym0Zz7PgGX0-kHA/edit?usp=sharing"",""แผน!EP85"")"),60)</f>
        <v>60</v>
      </c>
      <c r="J362" s="880">
        <f ca="1">IFERROR(__xludf.DUMMYFUNCTION("IMPORTRANGE(""https://docs.google.com/spreadsheets/d/1XWAQStnk-4SwqDmLtmXYiTMKHgktTP8We1SCoS47DrQ/edit?usp=sharing"",""จัดที่ดิน!AA85"")"),27)</f>
        <v>27</v>
      </c>
      <c r="K362" s="881">
        <f t="shared" ca="1" si="161"/>
        <v>45</v>
      </c>
      <c r="L362" s="998"/>
      <c r="M362" s="998"/>
      <c r="N362" s="998"/>
      <c r="O362" s="998"/>
      <c r="P362" s="998"/>
    </row>
    <row r="363" spans="1:26" ht="18.75">
      <c r="A363" s="1212" t="s">
        <v>164</v>
      </c>
      <c r="B363" s="1010"/>
      <c r="C363" s="1003"/>
      <c r="D363" s="1010"/>
      <c r="E363" s="1009"/>
      <c r="F363" s="1010"/>
      <c r="G363" s="1011"/>
      <c r="H363" s="762" t="s">
        <v>46</v>
      </c>
      <c r="I363" s="880">
        <v>0</v>
      </c>
      <c r="J363" s="880">
        <f ca="1">IFERROR(__xludf.DUMMYFUNCTION("IMPORTRANGE(""https://docs.google.com/spreadsheets/d/1XWAQStnk-4SwqDmLtmXYiTMKHgktTP8We1SCoS47DrQ/edit?usp=sharing"",""จัดที่ดิน!AB85"")"),154.7)</f>
        <v>154.69999999999999</v>
      </c>
      <c r="K363" s="881">
        <f t="shared" si="161"/>
        <v>0</v>
      </c>
      <c r="L363" s="998"/>
      <c r="M363" s="998"/>
      <c r="N363" s="998"/>
      <c r="O363" s="998"/>
      <c r="P363" s="998"/>
    </row>
    <row r="364" spans="1:26" ht="19.5">
      <c r="A364" s="1213"/>
      <c r="B364" s="1214"/>
      <c r="C364" s="1215"/>
      <c r="D364" s="1216" t="s">
        <v>165</v>
      </c>
      <c r="E364" s="1217"/>
      <c r="F364" s="1217"/>
      <c r="G364" s="1218"/>
      <c r="H364" s="478" t="s">
        <v>35</v>
      </c>
      <c r="I364" s="1219">
        <f t="shared" ref="I364:J364" ca="1" si="162">I365+I374</f>
        <v>110</v>
      </c>
      <c r="J364" s="1219">
        <f t="shared" ca="1" si="162"/>
        <v>55</v>
      </c>
      <c r="K364" s="1220">
        <f t="shared" ca="1" si="161"/>
        <v>50</v>
      </c>
      <c r="L364" s="1221"/>
      <c r="M364" s="1221"/>
      <c r="N364" s="1221"/>
      <c r="O364" s="1221"/>
      <c r="P364" s="122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222"/>
      <c r="B365" s="1223"/>
      <c r="C365" s="1224"/>
      <c r="D365" s="1224" t="s">
        <v>166</v>
      </c>
      <c r="E365" s="1225"/>
      <c r="F365" s="1225"/>
      <c r="G365" s="1226"/>
      <c r="H365" s="489" t="s">
        <v>35</v>
      </c>
      <c r="I365" s="1227">
        <f ca="1">IFERROR(__xludf.DUMMYFUNCTION("IMPORTRANGE(""https://docs.google.com/spreadsheets/d/1QqKyyYR6Q21VydFLVH3TRQUabQu_ym0Zz7PgGX0-kHA/edit?usp=sharing"",""แผน!EJ85"")"),30)</f>
        <v>30</v>
      </c>
      <c r="J365" s="1227">
        <f ca="1">J372</f>
        <v>12</v>
      </c>
      <c r="K365" s="1228">
        <f t="shared" ca="1" si="161"/>
        <v>40</v>
      </c>
      <c r="L365" s="1229"/>
      <c r="M365" s="1229"/>
      <c r="N365" s="1229"/>
      <c r="O365" s="1229"/>
      <c r="P365" s="1229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222"/>
      <c r="B366" s="1223"/>
      <c r="C366" s="1224"/>
      <c r="D366" s="1230" t="s">
        <v>167</v>
      </c>
      <c r="E366" s="1225"/>
      <c r="F366" s="1225"/>
      <c r="G366" s="1226"/>
      <c r="H366" s="1231"/>
      <c r="I366" s="1232"/>
      <c r="J366" s="1232"/>
      <c r="K366" s="1229"/>
      <c r="L366" s="1229"/>
      <c r="M366" s="1229"/>
      <c r="N366" s="1229"/>
      <c r="O366" s="1229"/>
      <c r="P366" s="1229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002"/>
      <c r="B367" s="1003"/>
      <c r="C367" s="999" t="s">
        <v>16</v>
      </c>
      <c r="D367" s="1004" t="s">
        <v>38</v>
      </c>
      <c r="E367" s="1005"/>
      <c r="F367" s="1005"/>
      <c r="G367" s="1006"/>
      <c r="H367" s="1007"/>
      <c r="I367" s="880"/>
      <c r="J367" s="880"/>
      <c r="K367" s="881"/>
      <c r="L367" s="998"/>
      <c r="M367" s="998"/>
      <c r="N367" s="998"/>
      <c r="O367" s="998"/>
      <c r="P367" s="998"/>
    </row>
    <row r="368" spans="1:26" ht="18.75">
      <c r="A368" s="1002"/>
      <c r="B368" s="1010"/>
      <c r="C368" s="1003"/>
      <c r="D368" s="1010"/>
      <c r="E368" s="1008" t="s">
        <v>161</v>
      </c>
      <c r="F368" s="1010"/>
      <c r="G368" s="1011"/>
      <c r="H368" s="185" t="s">
        <v>35</v>
      </c>
      <c r="I368" s="880">
        <v>0</v>
      </c>
      <c r="J368" s="880">
        <f ca="1">IFERROR(__xludf.DUMMYFUNCTION("IMPORTRANGE(""https://docs.google.com/spreadsheets/d/1XWAQStnk-4SwqDmLtmXYiTMKHgktTP8We1SCoS47DrQ/edit?usp=sharing"",""จัดที่ดิน!E85"")"),42)</f>
        <v>42</v>
      </c>
      <c r="K368" s="881">
        <f t="shared" ref="K368:K374" si="163">IF(I368&gt;0,J368*100/I368,0)</f>
        <v>0</v>
      </c>
      <c r="L368" s="998"/>
      <c r="M368" s="998"/>
      <c r="N368" s="998"/>
      <c r="O368" s="998"/>
      <c r="P368" s="998"/>
    </row>
    <row r="369" spans="1:26" ht="18.75">
      <c r="A369" s="1002"/>
      <c r="B369" s="1010"/>
      <c r="C369" s="1003"/>
      <c r="D369" s="1010"/>
      <c r="E369" s="1010"/>
      <c r="F369" s="1010"/>
      <c r="G369" s="1011"/>
      <c r="H369" s="185" t="s">
        <v>46</v>
      </c>
      <c r="I369" s="880">
        <f ca="1">IFERROR(__xludf.DUMMYFUNCTION("IMPORTRANGE(""https://docs.google.com/spreadsheets/d/1QqKyyYR6Q21VydFLVH3TRQUabQu_ym0Zz7PgGX0-kHA/edit?usp=sharing"",""แผน!EI85"")"),300)</f>
        <v>300</v>
      </c>
      <c r="J369" s="880">
        <f ca="1">IFERROR(__xludf.DUMMYFUNCTION("IMPORTRANGE(""https://docs.google.com/spreadsheets/d/1XWAQStnk-4SwqDmLtmXYiTMKHgktTP8We1SCoS47DrQ/edit?usp=sharing"",""จัดที่ดิน!F85"")"),238.92)</f>
        <v>238.92</v>
      </c>
      <c r="K369" s="881">
        <f t="shared" ca="1" si="163"/>
        <v>79.64</v>
      </c>
      <c r="L369" s="998"/>
      <c r="M369" s="998"/>
      <c r="N369" s="998"/>
      <c r="O369" s="998"/>
      <c r="P369" s="998"/>
    </row>
    <row r="370" spans="1:26" ht="18.75">
      <c r="A370" s="1002"/>
      <c r="B370" s="1010"/>
      <c r="C370" s="1003"/>
      <c r="D370" s="1010"/>
      <c r="E370" s="1008" t="s">
        <v>162</v>
      </c>
      <c r="F370" s="1010"/>
      <c r="G370" s="1011"/>
      <c r="H370" s="762" t="s">
        <v>35</v>
      </c>
      <c r="I370" s="880">
        <f ca="1">IFERROR(__xludf.DUMMYFUNCTION("IMPORTRANGE(""https://docs.google.com/spreadsheets/d/1QqKyyYR6Q21VydFLVH3TRQUabQu_ym0Zz7PgGX0-kHA/edit?usp=sharing"",""แผน!EJ85"")"),30)</f>
        <v>30</v>
      </c>
      <c r="J370" s="880">
        <f ca="1">IFERROR(__xludf.DUMMYFUNCTION("IMPORTRANGE(""https://docs.google.com/spreadsheets/d/1XWAQStnk-4SwqDmLtmXYiTMKHgktTP8We1SCoS47DrQ/edit?usp=sharing"",""จัดที่ดิน!G85"")"),25)</f>
        <v>25</v>
      </c>
      <c r="K370" s="881">
        <f t="shared" ca="1" si="163"/>
        <v>83.333333333333329</v>
      </c>
      <c r="L370" s="998"/>
      <c r="M370" s="998"/>
      <c r="N370" s="998"/>
      <c r="O370" s="998"/>
      <c r="P370" s="998"/>
    </row>
    <row r="371" spans="1:26" ht="18.75">
      <c r="A371" s="1002"/>
      <c r="B371" s="1010"/>
      <c r="C371" s="1003"/>
      <c r="D371" s="1010"/>
      <c r="E371" s="1010"/>
      <c r="F371" s="1010"/>
      <c r="G371" s="1011"/>
      <c r="H371" s="762" t="s">
        <v>46</v>
      </c>
      <c r="I371" s="880">
        <v>0</v>
      </c>
      <c r="J371" s="880">
        <f ca="1">IFERROR(__xludf.DUMMYFUNCTION("IMPORTRANGE(""https://docs.google.com/spreadsheets/d/1XWAQStnk-4SwqDmLtmXYiTMKHgktTP8We1SCoS47DrQ/edit?usp=sharing"",""จัดที่ดิน!H85"")"),163.07)</f>
        <v>163.07</v>
      </c>
      <c r="K371" s="881">
        <f t="shared" si="163"/>
        <v>0</v>
      </c>
      <c r="L371" s="998"/>
      <c r="M371" s="998"/>
      <c r="N371" s="998"/>
      <c r="O371" s="998"/>
      <c r="P371" s="998"/>
    </row>
    <row r="372" spans="1:26" ht="18.75">
      <c r="A372" s="1002"/>
      <c r="B372" s="1010"/>
      <c r="C372" s="1003"/>
      <c r="D372" s="1010"/>
      <c r="E372" s="1008" t="s">
        <v>163</v>
      </c>
      <c r="F372" s="1010"/>
      <c r="G372" s="1011"/>
      <c r="H372" s="762" t="s">
        <v>35</v>
      </c>
      <c r="I372" s="880">
        <f ca="1">IFERROR(__xludf.DUMMYFUNCTION("IMPORTRANGE(""https://docs.google.com/spreadsheets/d/1QqKyyYR6Q21VydFLVH3TRQUabQu_ym0Zz7PgGX0-kHA/edit?usp=sharing"",""แผน!EJ85"")"),30)</f>
        <v>30</v>
      </c>
      <c r="J372" s="880">
        <f ca="1">IFERROR(__xludf.DUMMYFUNCTION("IMPORTRANGE(""https://docs.google.com/spreadsheets/d/1XWAQStnk-4SwqDmLtmXYiTMKHgktTP8We1SCoS47DrQ/edit?usp=sharing"",""จัดที่ดิน!I85"")"),12)</f>
        <v>12</v>
      </c>
      <c r="K372" s="881">
        <f t="shared" ca="1" si="163"/>
        <v>40</v>
      </c>
      <c r="L372" s="998"/>
      <c r="M372" s="998"/>
      <c r="N372" s="998"/>
      <c r="O372" s="998"/>
      <c r="P372" s="998"/>
    </row>
    <row r="373" spans="1:26" ht="18.75">
      <c r="A373" s="1212" t="s">
        <v>164</v>
      </c>
      <c r="B373" s="1010"/>
      <c r="C373" s="1003"/>
      <c r="D373" s="1010"/>
      <c r="E373" s="1009"/>
      <c r="F373" s="1010"/>
      <c r="G373" s="1011"/>
      <c r="H373" s="762" t="s">
        <v>46</v>
      </c>
      <c r="I373" s="880">
        <v>0</v>
      </c>
      <c r="J373" s="880">
        <f ca="1">IFERROR(__xludf.DUMMYFUNCTION("IMPORTRANGE(""https://docs.google.com/spreadsheets/d/1XWAQStnk-4SwqDmLtmXYiTMKHgktTP8We1SCoS47DrQ/edit?usp=sharing"",""จัดที่ดิน!J85"")"),107.42)</f>
        <v>107.42</v>
      </c>
      <c r="K373" s="881">
        <f t="shared" si="163"/>
        <v>0</v>
      </c>
      <c r="L373" s="998"/>
      <c r="M373" s="998"/>
      <c r="N373" s="998"/>
      <c r="O373" s="998"/>
      <c r="P373" s="998"/>
    </row>
    <row r="374" spans="1:26" ht="19.5">
      <c r="A374" s="1222"/>
      <c r="B374" s="1223"/>
      <c r="C374" s="1224"/>
      <c r="D374" s="1224" t="s">
        <v>168</v>
      </c>
      <c r="E374" s="1225"/>
      <c r="F374" s="1225"/>
      <c r="G374" s="1226"/>
      <c r="H374" s="489" t="s">
        <v>35</v>
      </c>
      <c r="I374" s="1233">
        <f ca="1">IFERROR(__xludf.DUMMYFUNCTION("IMPORTRANGE(""https://docs.google.com/spreadsheets/d/1QqKyyYR6Q21VydFLVH3TRQUabQu_ym0Zz7PgGX0-kHA/edit?usp=sharing"",""แผน!EU85"")"),80)</f>
        <v>80</v>
      </c>
      <c r="J374" s="1227">
        <f ca="1">J381</f>
        <v>43</v>
      </c>
      <c r="K374" s="1228">
        <f t="shared" ca="1" si="163"/>
        <v>53.75</v>
      </c>
      <c r="L374" s="1229"/>
      <c r="M374" s="1229"/>
      <c r="N374" s="1229"/>
      <c r="O374" s="1229"/>
      <c r="P374" s="1229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222"/>
      <c r="B375" s="1223"/>
      <c r="C375" s="1224"/>
      <c r="D375" s="1230" t="s">
        <v>169</v>
      </c>
      <c r="E375" s="1225"/>
      <c r="F375" s="1225"/>
      <c r="G375" s="1226"/>
      <c r="H375" s="1231"/>
      <c r="I375" s="1232"/>
      <c r="J375" s="1232"/>
      <c r="K375" s="1229"/>
      <c r="L375" s="1229"/>
      <c r="M375" s="1229"/>
      <c r="N375" s="1229"/>
      <c r="O375" s="1229"/>
      <c r="P375" s="1229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002"/>
      <c r="B376" s="1003"/>
      <c r="C376" s="999" t="s">
        <v>16</v>
      </c>
      <c r="D376" s="1004" t="s">
        <v>38</v>
      </c>
      <c r="E376" s="1005"/>
      <c r="F376" s="1005"/>
      <c r="G376" s="1006"/>
      <c r="H376" s="1007"/>
      <c r="I376" s="880"/>
      <c r="J376" s="880"/>
      <c r="K376" s="881"/>
      <c r="L376" s="998"/>
      <c r="M376" s="998"/>
      <c r="N376" s="998"/>
      <c r="O376" s="998"/>
      <c r="P376" s="998"/>
    </row>
    <row r="377" spans="1:26" ht="18.75">
      <c r="A377" s="1002"/>
      <c r="B377" s="1010"/>
      <c r="C377" s="1003"/>
      <c r="D377" s="1010"/>
      <c r="E377" s="1008" t="s">
        <v>161</v>
      </c>
      <c r="F377" s="1010"/>
      <c r="G377" s="1011"/>
      <c r="H377" s="185" t="s">
        <v>35</v>
      </c>
      <c r="I377" s="880">
        <v>0</v>
      </c>
      <c r="J377" s="880">
        <f ca="1">IFERROR(__xludf.DUMMYFUNCTION("IMPORTRANGE(""https://docs.google.com/spreadsheets/d/1XWAQStnk-4SwqDmLtmXYiTMKHgktTP8We1SCoS47DrQ/edit?usp=sharing"",""จัดที่ดิน!AH85"")"),21)</f>
        <v>21</v>
      </c>
      <c r="K377" s="881">
        <f t="shared" ref="K377:K382" si="164">IF(I377&gt;0,J377*100/I377,0)</f>
        <v>0</v>
      </c>
      <c r="L377" s="998"/>
      <c r="M377" s="998"/>
      <c r="N377" s="998"/>
      <c r="O377" s="998"/>
      <c r="P377" s="998"/>
    </row>
    <row r="378" spans="1:26" ht="18.75">
      <c r="A378" s="1002"/>
      <c r="B378" s="1010"/>
      <c r="C378" s="1003"/>
      <c r="D378" s="1010"/>
      <c r="E378" s="1010"/>
      <c r="F378" s="1010"/>
      <c r="G378" s="1011"/>
      <c r="H378" s="185" t="s">
        <v>46</v>
      </c>
      <c r="I378" s="880">
        <f ca="1">IFERROR(__xludf.DUMMYFUNCTION("IMPORTRANGE(""https://docs.google.com/spreadsheets/d/1QqKyyYR6Q21VydFLVH3TRQUabQu_ym0Zz7PgGX0-kHA/edit?usp=sharing"",""แผน!ET85"")"),150)</f>
        <v>150</v>
      </c>
      <c r="J378" s="880">
        <f ca="1">IFERROR(__xludf.DUMMYFUNCTION("IMPORTRANGE(""https://docs.google.com/spreadsheets/d/1XWAQStnk-4SwqDmLtmXYiTMKHgktTP8We1SCoS47DrQ/edit?usp=sharing"",""จัดที่ดิน!AI85"")"),77.31)</f>
        <v>77.31</v>
      </c>
      <c r="K378" s="881">
        <f t="shared" ca="1" si="164"/>
        <v>51.54</v>
      </c>
      <c r="L378" s="998"/>
      <c r="M378" s="998"/>
      <c r="N378" s="998"/>
      <c r="O378" s="998"/>
      <c r="P378" s="998"/>
    </row>
    <row r="379" spans="1:26" ht="18.75">
      <c r="A379" s="1002"/>
      <c r="B379" s="1010"/>
      <c r="C379" s="1003"/>
      <c r="D379" s="1010"/>
      <c r="E379" s="1008" t="s">
        <v>162</v>
      </c>
      <c r="F379" s="1010"/>
      <c r="G379" s="1011"/>
      <c r="H379" s="762" t="s">
        <v>35</v>
      </c>
      <c r="I379" s="880">
        <f ca="1">IFERROR(__xludf.DUMMYFUNCTION("IMPORTRANGE(""https://docs.google.com/spreadsheets/d/1QqKyyYR6Q21VydFLVH3TRQUabQu_ym0Zz7PgGX0-kHA/edit?usp=sharing"",""แผน!EU85"")"),80)</f>
        <v>80</v>
      </c>
      <c r="J379" s="880">
        <f ca="1">IFERROR(__xludf.DUMMYFUNCTION("IMPORTRANGE(""https://docs.google.com/spreadsheets/d/1XWAQStnk-4SwqDmLtmXYiTMKHgktTP8We1SCoS47DrQ/edit?usp=sharing"",""จัดที่ดิน!AJ85"")"),57)</f>
        <v>57</v>
      </c>
      <c r="K379" s="881">
        <f t="shared" ca="1" si="164"/>
        <v>71.25</v>
      </c>
      <c r="L379" s="998"/>
      <c r="M379" s="998"/>
      <c r="N379" s="998"/>
      <c r="O379" s="998"/>
      <c r="P379" s="998"/>
    </row>
    <row r="380" spans="1:26" ht="18.75">
      <c r="A380" s="1002"/>
      <c r="B380" s="1010"/>
      <c r="C380" s="1003"/>
      <c r="D380" s="1010"/>
      <c r="E380" s="1010"/>
      <c r="F380" s="1010"/>
      <c r="G380" s="1011"/>
      <c r="H380" s="762" t="s">
        <v>46</v>
      </c>
      <c r="I380" s="880">
        <v>0</v>
      </c>
      <c r="J380" s="880">
        <f ca="1">IFERROR(__xludf.DUMMYFUNCTION("IMPORTRANGE(""https://docs.google.com/spreadsheets/d/1XWAQStnk-4SwqDmLtmXYiTMKHgktTP8We1SCoS47DrQ/edit?usp=sharing"",""จัดที่ดิน!AK85"")"),752.39)</f>
        <v>752.39</v>
      </c>
      <c r="K380" s="881">
        <f t="shared" si="164"/>
        <v>0</v>
      </c>
      <c r="L380" s="998"/>
      <c r="M380" s="998"/>
      <c r="N380" s="998"/>
      <c r="O380" s="998"/>
      <c r="P380" s="998"/>
    </row>
    <row r="381" spans="1:26" ht="18.75">
      <c r="A381" s="1002"/>
      <c r="B381" s="1010"/>
      <c r="C381" s="1003"/>
      <c r="D381" s="1010"/>
      <c r="E381" s="1008" t="s">
        <v>163</v>
      </c>
      <c r="F381" s="1010"/>
      <c r="G381" s="1011"/>
      <c r="H381" s="762" t="s">
        <v>35</v>
      </c>
      <c r="I381" s="880">
        <f ca="1">IFERROR(__xludf.DUMMYFUNCTION("IMPORTRANGE(""https://docs.google.com/spreadsheets/d/1QqKyyYR6Q21VydFLVH3TRQUabQu_ym0Zz7PgGX0-kHA/edit?usp=sharing"",""แผน!EU85"")"),80)</f>
        <v>80</v>
      </c>
      <c r="J381" s="880">
        <f ca="1">IFERROR(__xludf.DUMMYFUNCTION("IMPORTRANGE(""https://docs.google.com/spreadsheets/d/1XWAQStnk-4SwqDmLtmXYiTMKHgktTP8We1SCoS47DrQ/edit?usp=sharing"",""จัดที่ดิน!AL85"")"),43)</f>
        <v>43</v>
      </c>
      <c r="K381" s="881">
        <f t="shared" ca="1" si="164"/>
        <v>53.75</v>
      </c>
      <c r="L381" s="998"/>
      <c r="M381" s="998"/>
      <c r="N381" s="998"/>
      <c r="O381" s="998"/>
      <c r="P381" s="998"/>
    </row>
    <row r="382" spans="1:26" ht="18.75">
      <c r="A382" s="1212" t="s">
        <v>164</v>
      </c>
      <c r="B382" s="1010"/>
      <c r="C382" s="1003"/>
      <c r="D382" s="1010"/>
      <c r="E382" s="1009"/>
      <c r="F382" s="1010"/>
      <c r="G382" s="1011"/>
      <c r="H382" s="762" t="s">
        <v>46</v>
      </c>
      <c r="I382" s="880">
        <v>0</v>
      </c>
      <c r="J382" s="880">
        <f ca="1">IFERROR(__xludf.DUMMYFUNCTION("IMPORTRANGE(""https://docs.google.com/spreadsheets/d/1XWAQStnk-4SwqDmLtmXYiTMKHgktTP8We1SCoS47DrQ/edit?usp=sharing"",""จัดที่ดิน!AM85"")"),416.94)</f>
        <v>416.94</v>
      </c>
      <c r="K382" s="881">
        <f t="shared" si="164"/>
        <v>0</v>
      </c>
      <c r="L382" s="998"/>
      <c r="M382" s="998"/>
      <c r="N382" s="998"/>
      <c r="O382" s="998"/>
      <c r="P382" s="998"/>
    </row>
    <row r="383" spans="1:26" ht="19.5">
      <c r="A383" s="1234"/>
      <c r="B383" s="1235"/>
      <c r="C383" s="1091"/>
      <c r="D383" s="1236" t="s">
        <v>170</v>
      </c>
      <c r="E383" s="1091"/>
      <c r="F383" s="1091"/>
      <c r="G383" s="1237"/>
      <c r="H383" s="1199"/>
      <c r="I383" s="1067"/>
      <c r="J383" s="1067"/>
      <c r="K383" s="1068"/>
      <c r="L383" s="1068"/>
      <c r="M383" s="1068"/>
      <c r="N383" s="1068"/>
      <c r="O383" s="1068"/>
      <c r="P383" s="1068"/>
    </row>
    <row r="384" spans="1:26" ht="19.5">
      <c r="A384" s="1002"/>
      <c r="B384" s="1003"/>
      <c r="C384" s="877" t="s">
        <v>16</v>
      </c>
      <c r="D384" s="1004" t="s">
        <v>38</v>
      </c>
      <c r="E384" s="1005"/>
      <c r="F384" s="1005"/>
      <c r="G384" s="1006"/>
      <c r="H384" s="1007"/>
      <c r="I384" s="880"/>
      <c r="J384" s="880"/>
      <c r="K384" s="881"/>
      <c r="L384" s="998"/>
      <c r="M384" s="998"/>
      <c r="N384" s="998"/>
      <c r="O384" s="998"/>
      <c r="P384" s="998"/>
    </row>
    <row r="385" spans="1:26" ht="18.75">
      <c r="A385" s="1133"/>
      <c r="B385" s="1136"/>
      <c r="C385" s="1134"/>
      <c r="D385" s="1136"/>
      <c r="E385" s="1238" t="s">
        <v>171</v>
      </c>
      <c r="F385" s="1136"/>
      <c r="G385" s="1137"/>
      <c r="H385" s="504" t="s">
        <v>35</v>
      </c>
      <c r="I385" s="1138">
        <f ca="1">IFERROR(__xludf.DUMMYFUNCTION("IMPORTRANGE(""https://docs.google.com/spreadsheets/d/1QqKyyYR6Q21VydFLVH3TRQUabQu_ym0Zz7PgGX0-kHA/edit?usp=sharing"",""แผน!EW85"")"),10)</f>
        <v>10</v>
      </c>
      <c r="J385" s="1138">
        <f ca="1">IFERROR(__xludf.DUMMYFUNCTION("IMPORTRANGE(""https://docs.google.com/spreadsheets/d/1XWAQStnk-4SwqDmLtmXYiTMKHgktTP8We1SCoS47DrQ/edit?usp=sharing"",""จัดที่ดิน!AP85"")"),0)</f>
        <v>0</v>
      </c>
      <c r="K385" s="1239">
        <f ca="1">IF(I385&gt;0,J385*100/I385,0)</f>
        <v>0</v>
      </c>
      <c r="L385" s="1139"/>
      <c r="M385" s="1139"/>
      <c r="N385" s="1139"/>
      <c r="O385" s="1139"/>
      <c r="P385" s="1139"/>
    </row>
    <row r="386" spans="1:26" ht="19.5" hidden="1">
      <c r="A386" s="1240" t="s">
        <v>172</v>
      </c>
      <c r="B386" s="1241"/>
      <c r="C386" s="1241"/>
      <c r="D386" s="1241"/>
      <c r="E386" s="1242"/>
      <c r="F386" s="1242"/>
      <c r="G386" s="1243"/>
      <c r="H386" s="1244"/>
      <c r="I386" s="1245"/>
      <c r="J386" s="1245"/>
      <c r="K386" s="1246"/>
      <c r="L386" s="1246"/>
      <c r="M386" s="1246"/>
      <c r="N386" s="1246"/>
      <c r="O386" s="1246"/>
      <c r="P386" s="1246"/>
    </row>
    <row r="387" spans="1:26" ht="19.5" hidden="1">
      <c r="A387" s="1247" t="s">
        <v>173</v>
      </c>
      <c r="B387" s="1248"/>
      <c r="C387" s="1248"/>
      <c r="D387" s="1249"/>
      <c r="E387" s="1248"/>
      <c r="F387" s="1248"/>
      <c r="G387" s="1248"/>
      <c r="H387" s="1250"/>
      <c r="I387" s="1251"/>
      <c r="J387" s="1251"/>
      <c r="K387" s="1252"/>
      <c r="L387" s="1252"/>
      <c r="M387" s="1252"/>
      <c r="N387" s="1252"/>
      <c r="O387" s="1252"/>
      <c r="P387" s="1252"/>
    </row>
    <row r="388" spans="1:26" ht="19.5" hidden="1">
      <c r="A388" s="1253"/>
      <c r="B388" s="1254" t="s">
        <v>174</v>
      </c>
      <c r="C388" s="1255"/>
      <c r="D388" s="1256"/>
      <c r="E388" s="1256"/>
      <c r="F388" s="1256"/>
      <c r="G388" s="1257"/>
      <c r="H388" s="525" t="s">
        <v>66</v>
      </c>
      <c r="I388" s="1258">
        <f t="shared" ref="I388:J388" si="165">I400</f>
        <v>0</v>
      </c>
      <c r="J388" s="1258">
        <f t="shared" si="165"/>
        <v>0</v>
      </c>
      <c r="K388" s="1259">
        <f>IF(I388&gt;0,J388*100/I388,0)</f>
        <v>0</v>
      </c>
      <c r="L388" s="1260"/>
      <c r="M388" s="1260"/>
      <c r="N388" s="1260"/>
      <c r="O388" s="1260"/>
      <c r="P388" s="1260"/>
    </row>
    <row r="389" spans="1:26" ht="19.5" hidden="1">
      <c r="A389" s="985"/>
      <c r="B389" s="986"/>
      <c r="C389" s="987" t="s">
        <v>16</v>
      </c>
      <c r="D389" s="988" t="s">
        <v>17</v>
      </c>
      <c r="E389" s="986"/>
      <c r="F389" s="986"/>
      <c r="G389" s="989"/>
      <c r="H389" s="152" t="s">
        <v>12</v>
      </c>
      <c r="I389" s="990"/>
      <c r="J389" s="990"/>
      <c r="K389" s="991"/>
      <c r="L389" s="992">
        <f t="shared" ref="L389:N389" ca="1" si="166">L390+L391</f>
        <v>0</v>
      </c>
      <c r="M389" s="992">
        <f t="shared" ca="1" si="166"/>
        <v>0</v>
      </c>
      <c r="N389" s="992">
        <f t="shared" ca="1" si="166"/>
        <v>0</v>
      </c>
      <c r="O389" s="992">
        <f t="shared" ref="O389:O397" ca="1" si="167">IF(L389&gt;0,N389*100/L389,0)</f>
        <v>0</v>
      </c>
      <c r="P389" s="992">
        <f t="shared" ref="P389:P397" ca="1" si="168">IF(M389&gt;0,N389*100/M389,0)</f>
        <v>0</v>
      </c>
      <c r="Q389" s="868"/>
      <c r="R389" s="868"/>
      <c r="S389" s="868"/>
      <c r="T389" s="868"/>
      <c r="U389" s="868"/>
      <c r="V389" s="868"/>
      <c r="W389" s="868"/>
      <c r="X389" s="868"/>
      <c r="Y389" s="868"/>
      <c r="Z389" s="868"/>
    </row>
    <row r="390" spans="1:26" ht="18.75" hidden="1">
      <c r="A390" s="993"/>
      <c r="B390" s="883"/>
      <c r="C390" s="883"/>
      <c r="D390" s="883"/>
      <c r="E390" s="884" t="s">
        <v>18</v>
      </c>
      <c r="F390" s="883"/>
      <c r="G390" s="994"/>
      <c r="H390" s="158" t="s">
        <v>12</v>
      </c>
      <c r="I390" s="886"/>
      <c r="J390" s="886"/>
      <c r="K390" s="887"/>
      <c r="L390" s="887">
        <f t="shared" ref="L390:N391" si="169">L393+L396</f>
        <v>0</v>
      </c>
      <c r="M390" s="887">
        <f t="shared" si="169"/>
        <v>0</v>
      </c>
      <c r="N390" s="887">
        <f t="shared" si="169"/>
        <v>0</v>
      </c>
      <c r="O390" s="887">
        <f t="shared" si="167"/>
        <v>0</v>
      </c>
      <c r="P390" s="887">
        <f t="shared" si="168"/>
        <v>0</v>
      </c>
      <c r="Q390" s="875"/>
      <c r="R390" s="875"/>
      <c r="S390" s="875"/>
      <c r="T390" s="875"/>
      <c r="U390" s="875"/>
      <c r="V390" s="875"/>
      <c r="W390" s="875"/>
      <c r="X390" s="875"/>
      <c r="Y390" s="875"/>
      <c r="Z390" s="875"/>
    </row>
    <row r="391" spans="1:26" ht="18.75" hidden="1">
      <c r="A391" s="993"/>
      <c r="B391" s="883"/>
      <c r="C391" s="883"/>
      <c r="D391" s="883"/>
      <c r="E391" s="884" t="s">
        <v>19</v>
      </c>
      <c r="F391" s="883"/>
      <c r="G391" s="994"/>
      <c r="H391" s="158" t="s">
        <v>12</v>
      </c>
      <c r="I391" s="886"/>
      <c r="J391" s="886"/>
      <c r="K391" s="887"/>
      <c r="L391" s="887">
        <f t="shared" ca="1" si="169"/>
        <v>0</v>
      </c>
      <c r="M391" s="887">
        <f t="shared" ca="1" si="169"/>
        <v>0</v>
      </c>
      <c r="N391" s="887">
        <f t="shared" ca="1" si="169"/>
        <v>0</v>
      </c>
      <c r="O391" s="887">
        <f t="shared" ca="1" si="167"/>
        <v>0</v>
      </c>
      <c r="P391" s="887">
        <f t="shared" ca="1" si="168"/>
        <v>0</v>
      </c>
      <c r="Q391" s="875"/>
      <c r="R391" s="875"/>
      <c r="S391" s="875"/>
      <c r="T391" s="875"/>
      <c r="U391" s="875"/>
      <c r="V391" s="875"/>
      <c r="W391" s="875"/>
      <c r="X391" s="875"/>
      <c r="Y391" s="875"/>
      <c r="Z391" s="875"/>
    </row>
    <row r="392" spans="1:26" ht="18.75" hidden="1">
      <c r="A392" s="995"/>
      <c r="B392" s="877"/>
      <c r="C392" s="996"/>
      <c r="D392" s="878" t="s">
        <v>20</v>
      </c>
      <c r="E392" s="877"/>
      <c r="F392" s="877"/>
      <c r="G392" s="879"/>
      <c r="H392" s="161" t="s">
        <v>12</v>
      </c>
      <c r="I392" s="997"/>
      <c r="J392" s="997"/>
      <c r="K392" s="998"/>
      <c r="L392" s="881">
        <f t="shared" ref="L392:N392" ca="1" si="170">L393+L394</f>
        <v>0</v>
      </c>
      <c r="M392" s="881">
        <f t="shared" ca="1" si="170"/>
        <v>0</v>
      </c>
      <c r="N392" s="881">
        <f t="shared" ca="1" si="170"/>
        <v>0</v>
      </c>
      <c r="O392" s="881">
        <f t="shared" ca="1" si="167"/>
        <v>0</v>
      </c>
      <c r="P392" s="881">
        <f t="shared" ca="1" si="168"/>
        <v>0</v>
      </c>
      <c r="Q392" s="868"/>
      <c r="R392" s="868"/>
      <c r="S392" s="868"/>
      <c r="T392" s="868"/>
      <c r="U392" s="868"/>
      <c r="V392" s="868"/>
      <c r="W392" s="868"/>
      <c r="X392" s="868"/>
      <c r="Y392" s="868"/>
      <c r="Z392" s="868"/>
    </row>
    <row r="393" spans="1:26" ht="19.5" hidden="1">
      <c r="A393" s="993"/>
      <c r="B393" s="883"/>
      <c r="C393" s="999"/>
      <c r="D393" s="883"/>
      <c r="E393" s="884" t="s">
        <v>36</v>
      </c>
      <c r="F393" s="883"/>
      <c r="G393" s="994"/>
      <c r="H393" s="165" t="s">
        <v>12</v>
      </c>
      <c r="I393" s="1000"/>
      <c r="J393" s="1000"/>
      <c r="K393" s="1001"/>
      <c r="L393" s="887">
        <v>0</v>
      </c>
      <c r="M393" s="887">
        <v>0</v>
      </c>
      <c r="N393" s="887">
        <v>0</v>
      </c>
      <c r="O393" s="887">
        <f t="shared" si="167"/>
        <v>0</v>
      </c>
      <c r="P393" s="887">
        <f t="shared" si="168"/>
        <v>0</v>
      </c>
      <c r="Q393" s="875"/>
      <c r="R393" s="875"/>
      <c r="S393" s="875"/>
      <c r="T393" s="875"/>
      <c r="U393" s="875"/>
      <c r="V393" s="875"/>
      <c r="W393" s="875"/>
      <c r="X393" s="875"/>
      <c r="Y393" s="875"/>
      <c r="Z393" s="875"/>
    </row>
    <row r="394" spans="1:26" ht="19.5" hidden="1">
      <c r="A394" s="993"/>
      <c r="B394" s="883"/>
      <c r="C394" s="999"/>
      <c r="D394" s="883"/>
      <c r="E394" s="884" t="s">
        <v>37</v>
      </c>
      <c r="F394" s="883"/>
      <c r="G394" s="994"/>
      <c r="H394" s="165" t="s">
        <v>12</v>
      </c>
      <c r="I394" s="1000"/>
      <c r="J394" s="1000"/>
      <c r="K394" s="1001"/>
      <c r="L394" s="887">
        <f ca="1">IFERROR(__xludf.DUMMYFUNCTION("IMPORTRANGE(""https://docs.google.com/spreadsheets/d/1MeEWN-I1oV_STSDYn1IFDPWt_1FKiwhDph83XaGc0o0/edit?usp=sharing"",""งบพรบ!FG85"")"),0)</f>
        <v>0</v>
      </c>
      <c r="M394" s="887">
        <f ca="1">IFERROR(__xludf.DUMMYFUNCTION("IMPORTRANGE(""https://docs.google.com/spreadsheets/d/1MeEWN-I1oV_STSDYn1IFDPWt_1FKiwhDph83XaGc0o0/edit?usp=sharing"",""งบพรบ!FL85"")"),0)</f>
        <v>0</v>
      </c>
      <c r="N394" s="887">
        <f ca="1">IFERROR(__xludf.DUMMYFUNCTION("IMPORTRANGE(""https://docs.google.com/spreadsheets/d/1MeEWN-I1oV_STSDYn1IFDPWt_1FKiwhDph83XaGc0o0/edit?usp=sharing"",""งบพรบ!FN85"")"),0)</f>
        <v>0</v>
      </c>
      <c r="O394" s="887">
        <f t="shared" ca="1" si="167"/>
        <v>0</v>
      </c>
      <c r="P394" s="887">
        <f t="shared" ca="1" si="168"/>
        <v>0</v>
      </c>
      <c r="Q394" s="875"/>
      <c r="R394" s="875"/>
      <c r="S394" s="875"/>
      <c r="T394" s="875"/>
      <c r="U394" s="875"/>
      <c r="V394" s="875"/>
      <c r="W394" s="875"/>
      <c r="X394" s="875"/>
      <c r="Y394" s="875"/>
      <c r="Z394" s="875"/>
    </row>
    <row r="395" spans="1:26" ht="18.75" hidden="1">
      <c r="A395" s="995"/>
      <c r="B395" s="877"/>
      <c r="C395" s="996"/>
      <c r="D395" s="878" t="s">
        <v>21</v>
      </c>
      <c r="E395" s="877"/>
      <c r="F395" s="877"/>
      <c r="G395" s="879"/>
      <c r="H395" s="168" t="s">
        <v>12</v>
      </c>
      <c r="I395" s="997"/>
      <c r="J395" s="997"/>
      <c r="K395" s="998"/>
      <c r="L395" s="881">
        <f t="shared" ref="L395:N395" ca="1" si="171">L396+L397</f>
        <v>0</v>
      </c>
      <c r="M395" s="881">
        <f t="shared" ca="1" si="171"/>
        <v>0</v>
      </c>
      <c r="N395" s="881">
        <f t="shared" ca="1" si="171"/>
        <v>0</v>
      </c>
      <c r="O395" s="881">
        <f t="shared" ca="1" si="167"/>
        <v>0</v>
      </c>
      <c r="P395" s="881">
        <f t="shared" ca="1" si="168"/>
        <v>0</v>
      </c>
      <c r="Q395" s="868"/>
      <c r="R395" s="868"/>
      <c r="S395" s="868"/>
      <c r="T395" s="868"/>
      <c r="U395" s="868"/>
      <c r="V395" s="868"/>
      <c r="W395" s="868"/>
      <c r="X395" s="868"/>
      <c r="Y395" s="868"/>
      <c r="Z395" s="868"/>
    </row>
    <row r="396" spans="1:26" ht="19.5" hidden="1">
      <c r="A396" s="993"/>
      <c r="B396" s="883"/>
      <c r="C396" s="999"/>
      <c r="D396" s="883"/>
      <c r="E396" s="884" t="s">
        <v>18</v>
      </c>
      <c r="F396" s="883"/>
      <c r="G396" s="994"/>
      <c r="H396" s="165" t="s">
        <v>12</v>
      </c>
      <c r="I396" s="1000"/>
      <c r="J396" s="1000"/>
      <c r="K396" s="1001"/>
      <c r="L396" s="887">
        <v>0</v>
      </c>
      <c r="M396" s="887">
        <v>0</v>
      </c>
      <c r="N396" s="887">
        <v>0</v>
      </c>
      <c r="O396" s="887">
        <f t="shared" si="167"/>
        <v>0</v>
      </c>
      <c r="P396" s="887">
        <f t="shared" si="168"/>
        <v>0</v>
      </c>
      <c r="Q396" s="875"/>
      <c r="R396" s="875"/>
      <c r="S396" s="875"/>
      <c r="T396" s="875"/>
      <c r="U396" s="875"/>
      <c r="V396" s="875"/>
      <c r="W396" s="875"/>
      <c r="X396" s="875"/>
      <c r="Y396" s="875"/>
      <c r="Z396" s="875"/>
    </row>
    <row r="397" spans="1:26" ht="19.5" hidden="1">
      <c r="A397" s="993"/>
      <c r="B397" s="883"/>
      <c r="C397" s="999"/>
      <c r="D397" s="883"/>
      <c r="E397" s="884" t="s">
        <v>19</v>
      </c>
      <c r="F397" s="883"/>
      <c r="G397" s="994"/>
      <c r="H397" s="169" t="s">
        <v>12</v>
      </c>
      <c r="I397" s="1000"/>
      <c r="J397" s="1000"/>
      <c r="K397" s="1001"/>
      <c r="L397" s="887">
        <f ca="1">IFERROR(__xludf.DUMMYFUNCTION("IMPORTRANGE(""https://docs.google.com/spreadsheets/d/1MeEWN-I1oV_STSDYn1IFDPWt_1FKiwhDph83XaGc0o0/edit?usp=sharing"",""งบพรบ!FJ85"")"),0)</f>
        <v>0</v>
      </c>
      <c r="M397" s="887">
        <f ca="1">IFERROR(__xludf.DUMMYFUNCTION("IMPORTRANGE(""https://docs.google.com/spreadsheets/d/1MeEWN-I1oV_STSDYn1IFDPWt_1FKiwhDph83XaGc0o0/edit?usp=sharing"",""งบพรบ!FM85"")"),0)</f>
        <v>0</v>
      </c>
      <c r="N397" s="887">
        <f ca="1">IFERROR(__xludf.DUMMYFUNCTION("IMPORTRANGE(""https://docs.google.com/spreadsheets/d/1MeEWN-I1oV_STSDYn1IFDPWt_1FKiwhDph83XaGc0o0/edit?usp=sharing"",""งบพรบ!FO85"")"),0)</f>
        <v>0</v>
      </c>
      <c r="O397" s="887">
        <f t="shared" ca="1" si="167"/>
        <v>0</v>
      </c>
      <c r="P397" s="887">
        <f t="shared" ca="1" si="168"/>
        <v>0</v>
      </c>
      <c r="Q397" s="875"/>
      <c r="R397" s="875"/>
      <c r="S397" s="875"/>
      <c r="T397" s="875"/>
      <c r="U397" s="875"/>
      <c r="V397" s="875"/>
      <c r="W397" s="875"/>
      <c r="X397" s="875"/>
      <c r="Y397" s="875"/>
      <c r="Z397" s="875"/>
    </row>
    <row r="398" spans="1:26" ht="19.5" hidden="1">
      <c r="A398" s="1002"/>
      <c r="B398" s="1003"/>
      <c r="C398" s="999" t="s">
        <v>16</v>
      </c>
      <c r="D398" s="1004" t="s">
        <v>38</v>
      </c>
      <c r="E398" s="1005"/>
      <c r="F398" s="1005"/>
      <c r="G398" s="1006"/>
      <c r="H398" s="1007"/>
      <c r="I398" s="997"/>
      <c r="J398" s="880"/>
      <c r="K398" s="881"/>
      <c r="L398" s="881"/>
      <c r="M398" s="881"/>
      <c r="N398" s="881"/>
      <c r="O398" s="998"/>
      <c r="P398" s="998"/>
    </row>
    <row r="399" spans="1:26" ht="18.75" hidden="1">
      <c r="A399" s="1261"/>
      <c r="B399" s="986"/>
      <c r="C399" s="1262"/>
      <c r="D399" s="1021" t="s">
        <v>175</v>
      </c>
      <c r="E399" s="1166"/>
      <c r="F399" s="986"/>
      <c r="G399" s="989"/>
      <c r="H399" s="532" t="s">
        <v>9</v>
      </c>
      <c r="I399" s="880">
        <v>0</v>
      </c>
      <c r="J399" s="1012">
        <v>0</v>
      </c>
      <c r="K399" s="881">
        <f t="shared" ref="K399:K401" si="172">IF(I399&gt;0,J399*100/I399,0)</f>
        <v>0</v>
      </c>
      <c r="L399" s="1263"/>
      <c r="M399" s="1263"/>
      <c r="N399" s="1263"/>
      <c r="O399" s="1263"/>
      <c r="P399" s="1263"/>
      <c r="Q399" s="868"/>
      <c r="R399" s="868"/>
      <c r="S399" s="868"/>
      <c r="T399" s="868"/>
      <c r="U399" s="868"/>
      <c r="V399" s="868"/>
      <c r="W399" s="868"/>
      <c r="X399" s="868"/>
      <c r="Y399" s="868"/>
      <c r="Z399" s="868"/>
    </row>
    <row r="400" spans="1:26" ht="18.75" hidden="1">
      <c r="A400" s="1086"/>
      <c r="B400" s="877"/>
      <c r="C400" s="1084"/>
      <c r="D400" s="1009" t="s">
        <v>176</v>
      </c>
      <c r="E400" s="1003"/>
      <c r="F400" s="877"/>
      <c r="G400" s="879"/>
      <c r="H400" s="277" t="s">
        <v>66</v>
      </c>
      <c r="I400" s="880">
        <v>0</v>
      </c>
      <c r="J400" s="1012">
        <v>0</v>
      </c>
      <c r="K400" s="881">
        <f t="shared" si="172"/>
        <v>0</v>
      </c>
      <c r="L400" s="881"/>
      <c r="M400" s="881"/>
      <c r="N400" s="881"/>
      <c r="O400" s="881"/>
      <c r="P400" s="881"/>
    </row>
    <row r="401" spans="1:26" ht="19.5" hidden="1">
      <c r="A401" s="1253"/>
      <c r="B401" s="1254" t="s">
        <v>177</v>
      </c>
      <c r="C401" s="1255"/>
      <c r="D401" s="1256"/>
      <c r="E401" s="1256"/>
      <c r="F401" s="1256"/>
      <c r="G401" s="1257"/>
      <c r="H401" s="525" t="s">
        <v>66</v>
      </c>
      <c r="I401" s="1258">
        <f t="shared" ref="I401:J401" si="173">I412</f>
        <v>0</v>
      </c>
      <c r="J401" s="1258">
        <f t="shared" si="173"/>
        <v>0</v>
      </c>
      <c r="K401" s="1259">
        <f t="shared" si="172"/>
        <v>0</v>
      </c>
      <c r="L401" s="1260"/>
      <c r="M401" s="1260"/>
      <c r="N401" s="1260"/>
      <c r="O401" s="1260"/>
      <c r="P401" s="1260"/>
    </row>
    <row r="402" spans="1:26" ht="19.5" hidden="1">
      <c r="A402" s="985"/>
      <c r="B402" s="986"/>
      <c r="C402" s="987" t="s">
        <v>16</v>
      </c>
      <c r="D402" s="988" t="s">
        <v>17</v>
      </c>
      <c r="E402" s="986"/>
      <c r="F402" s="986"/>
      <c r="G402" s="989"/>
      <c r="H402" s="152" t="s">
        <v>12</v>
      </c>
      <c r="I402" s="990"/>
      <c r="J402" s="990"/>
      <c r="K402" s="991"/>
      <c r="L402" s="992">
        <f t="shared" ref="L402:N402" ca="1" si="174">L403+L404</f>
        <v>0</v>
      </c>
      <c r="M402" s="992">
        <f t="shared" ca="1" si="174"/>
        <v>0</v>
      </c>
      <c r="N402" s="992">
        <f t="shared" ca="1" si="174"/>
        <v>0</v>
      </c>
      <c r="O402" s="992">
        <f t="shared" ref="O402:O410" ca="1" si="175">IF(L402&gt;0,N402*100/L402,0)</f>
        <v>0</v>
      </c>
      <c r="P402" s="992">
        <f t="shared" ref="P402:P410" ca="1" si="176">IF(M402&gt;0,N402*100/M402,0)</f>
        <v>0</v>
      </c>
      <c r="Q402" s="868"/>
      <c r="R402" s="868"/>
      <c r="S402" s="868"/>
      <c r="T402" s="868"/>
      <c r="U402" s="868"/>
      <c r="V402" s="868"/>
      <c r="W402" s="868"/>
      <c r="X402" s="868"/>
      <c r="Y402" s="868"/>
      <c r="Z402" s="868"/>
    </row>
    <row r="403" spans="1:26" ht="18.75" hidden="1">
      <c r="A403" s="993"/>
      <c r="B403" s="883"/>
      <c r="C403" s="883"/>
      <c r="D403" s="883"/>
      <c r="E403" s="884" t="s">
        <v>18</v>
      </c>
      <c r="F403" s="883"/>
      <c r="G403" s="994"/>
      <c r="H403" s="158" t="s">
        <v>12</v>
      </c>
      <c r="I403" s="886"/>
      <c r="J403" s="886"/>
      <c r="K403" s="887"/>
      <c r="L403" s="887">
        <f t="shared" ref="L403:N404" si="177">L406+L409</f>
        <v>0</v>
      </c>
      <c r="M403" s="887">
        <f t="shared" si="177"/>
        <v>0</v>
      </c>
      <c r="N403" s="887">
        <f t="shared" si="177"/>
        <v>0</v>
      </c>
      <c r="O403" s="887">
        <f t="shared" si="175"/>
        <v>0</v>
      </c>
      <c r="P403" s="887">
        <f t="shared" si="176"/>
        <v>0</v>
      </c>
      <c r="Q403" s="875"/>
      <c r="R403" s="875"/>
      <c r="S403" s="875"/>
      <c r="T403" s="875"/>
      <c r="U403" s="875"/>
      <c r="V403" s="875"/>
      <c r="W403" s="875"/>
      <c r="X403" s="875"/>
      <c r="Y403" s="875"/>
      <c r="Z403" s="875"/>
    </row>
    <row r="404" spans="1:26" ht="18.75" hidden="1">
      <c r="A404" s="993"/>
      <c r="B404" s="883"/>
      <c r="C404" s="883"/>
      <c r="D404" s="883"/>
      <c r="E404" s="884" t="s">
        <v>19</v>
      </c>
      <c r="F404" s="883"/>
      <c r="G404" s="994"/>
      <c r="H404" s="158" t="s">
        <v>12</v>
      </c>
      <c r="I404" s="886"/>
      <c r="J404" s="886"/>
      <c r="K404" s="887"/>
      <c r="L404" s="887">
        <f t="shared" ca="1" si="177"/>
        <v>0</v>
      </c>
      <c r="M404" s="887">
        <f t="shared" ca="1" si="177"/>
        <v>0</v>
      </c>
      <c r="N404" s="887">
        <f t="shared" ca="1" si="177"/>
        <v>0</v>
      </c>
      <c r="O404" s="887">
        <f t="shared" ca="1" si="175"/>
        <v>0</v>
      </c>
      <c r="P404" s="887">
        <f t="shared" ca="1" si="176"/>
        <v>0</v>
      </c>
      <c r="Q404" s="875"/>
      <c r="R404" s="875"/>
      <c r="S404" s="875"/>
      <c r="T404" s="875"/>
      <c r="U404" s="875"/>
      <c r="V404" s="875"/>
      <c r="W404" s="875"/>
      <c r="X404" s="875"/>
      <c r="Y404" s="875"/>
      <c r="Z404" s="875"/>
    </row>
    <row r="405" spans="1:26" ht="18.75" hidden="1">
      <c r="A405" s="995"/>
      <c r="B405" s="877"/>
      <c r="C405" s="996"/>
      <c r="D405" s="878" t="s">
        <v>20</v>
      </c>
      <c r="E405" s="877"/>
      <c r="F405" s="877"/>
      <c r="G405" s="879"/>
      <c r="H405" s="161" t="s">
        <v>12</v>
      </c>
      <c r="I405" s="997"/>
      <c r="J405" s="997"/>
      <c r="K405" s="998"/>
      <c r="L405" s="881">
        <f t="shared" ref="L405:N405" ca="1" si="178">L406+L407</f>
        <v>0</v>
      </c>
      <c r="M405" s="881">
        <f t="shared" ca="1" si="178"/>
        <v>0</v>
      </c>
      <c r="N405" s="881">
        <f t="shared" ca="1" si="178"/>
        <v>0</v>
      </c>
      <c r="O405" s="881">
        <f t="shared" ca="1" si="175"/>
        <v>0</v>
      </c>
      <c r="P405" s="881">
        <f t="shared" ca="1" si="176"/>
        <v>0</v>
      </c>
      <c r="Q405" s="868"/>
      <c r="R405" s="868"/>
      <c r="S405" s="868"/>
      <c r="T405" s="868"/>
      <c r="U405" s="868"/>
      <c r="V405" s="868"/>
      <c r="W405" s="868"/>
      <c r="X405" s="868"/>
      <c r="Y405" s="868"/>
      <c r="Z405" s="868"/>
    </row>
    <row r="406" spans="1:26" ht="19.5" hidden="1">
      <c r="A406" s="993"/>
      <c r="B406" s="883"/>
      <c r="C406" s="999"/>
      <c r="D406" s="883"/>
      <c r="E406" s="884" t="s">
        <v>36</v>
      </c>
      <c r="F406" s="883"/>
      <c r="G406" s="994"/>
      <c r="H406" s="165" t="s">
        <v>12</v>
      </c>
      <c r="I406" s="1000"/>
      <c r="J406" s="1000"/>
      <c r="K406" s="1001"/>
      <c r="L406" s="887">
        <v>0</v>
      </c>
      <c r="M406" s="887">
        <v>0</v>
      </c>
      <c r="N406" s="887">
        <v>0</v>
      </c>
      <c r="O406" s="887">
        <f t="shared" si="175"/>
        <v>0</v>
      </c>
      <c r="P406" s="887">
        <f t="shared" si="176"/>
        <v>0</v>
      </c>
      <c r="Q406" s="875"/>
      <c r="R406" s="875"/>
      <c r="S406" s="875"/>
      <c r="T406" s="875"/>
      <c r="U406" s="875"/>
      <c r="V406" s="875"/>
      <c r="W406" s="875"/>
      <c r="X406" s="875"/>
      <c r="Y406" s="875"/>
      <c r="Z406" s="875"/>
    </row>
    <row r="407" spans="1:26" ht="19.5" hidden="1">
      <c r="A407" s="993"/>
      <c r="B407" s="883"/>
      <c r="C407" s="999"/>
      <c r="D407" s="883"/>
      <c r="E407" s="884" t="s">
        <v>37</v>
      </c>
      <c r="F407" s="883"/>
      <c r="G407" s="994"/>
      <c r="H407" s="165" t="s">
        <v>12</v>
      </c>
      <c r="I407" s="1000"/>
      <c r="J407" s="1000"/>
      <c r="K407" s="1001"/>
      <c r="L407" s="887">
        <f ca="1">IFERROR(__xludf.DUMMYFUNCTION("IMPORTRANGE(""https://docs.google.com/spreadsheets/d/1MeEWN-I1oV_STSDYn1IFDPWt_1FKiwhDph83XaGc0o0/edit?usp=sharing"",""งบพรบ!FQ85"")"),0)</f>
        <v>0</v>
      </c>
      <c r="M407" s="887">
        <f ca="1">IFERROR(__xludf.DUMMYFUNCTION("IMPORTRANGE(""https://docs.google.com/spreadsheets/d/1MeEWN-I1oV_STSDYn1IFDPWt_1FKiwhDph83XaGc0o0/edit?usp=sharing"",""งบพรบ!FV85"")"),0)</f>
        <v>0</v>
      </c>
      <c r="N407" s="887">
        <f ca="1">IFERROR(__xludf.DUMMYFUNCTION("IMPORTRANGE(""https://docs.google.com/spreadsheets/d/1MeEWN-I1oV_STSDYn1IFDPWt_1FKiwhDph83XaGc0o0/edit?usp=sharing"",""งบพรบ!FX85"")"),0)</f>
        <v>0</v>
      </c>
      <c r="O407" s="887">
        <f t="shared" ca="1" si="175"/>
        <v>0</v>
      </c>
      <c r="P407" s="887">
        <f t="shared" ca="1" si="176"/>
        <v>0</v>
      </c>
      <c r="Q407" s="875"/>
      <c r="R407" s="875"/>
      <c r="S407" s="875"/>
      <c r="T407" s="875"/>
      <c r="U407" s="875"/>
      <c r="V407" s="875"/>
      <c r="W407" s="875"/>
      <c r="X407" s="875"/>
      <c r="Y407" s="875"/>
      <c r="Z407" s="875"/>
    </row>
    <row r="408" spans="1:26" ht="18.75" hidden="1">
      <c r="A408" s="995"/>
      <c r="B408" s="877"/>
      <c r="C408" s="996"/>
      <c r="D408" s="878" t="s">
        <v>21</v>
      </c>
      <c r="E408" s="877"/>
      <c r="F408" s="877"/>
      <c r="G408" s="879"/>
      <c r="H408" s="168" t="s">
        <v>12</v>
      </c>
      <c r="I408" s="997"/>
      <c r="J408" s="997"/>
      <c r="K408" s="998"/>
      <c r="L408" s="881">
        <f t="shared" ref="L408:N408" ca="1" si="179">L409+L410</f>
        <v>0</v>
      </c>
      <c r="M408" s="881">
        <f t="shared" ca="1" si="179"/>
        <v>0</v>
      </c>
      <c r="N408" s="881">
        <f t="shared" ca="1" si="179"/>
        <v>0</v>
      </c>
      <c r="O408" s="881">
        <f t="shared" ca="1" si="175"/>
        <v>0</v>
      </c>
      <c r="P408" s="881">
        <f t="shared" ca="1" si="176"/>
        <v>0</v>
      </c>
      <c r="Q408" s="868"/>
      <c r="R408" s="868"/>
      <c r="S408" s="868"/>
      <c r="T408" s="868"/>
      <c r="U408" s="868"/>
      <c r="V408" s="868"/>
      <c r="W408" s="868"/>
      <c r="X408" s="868"/>
      <c r="Y408" s="868"/>
      <c r="Z408" s="868"/>
    </row>
    <row r="409" spans="1:26" ht="19.5" hidden="1">
      <c r="A409" s="993"/>
      <c r="B409" s="883"/>
      <c r="C409" s="999"/>
      <c r="D409" s="883"/>
      <c r="E409" s="884" t="s">
        <v>18</v>
      </c>
      <c r="F409" s="883"/>
      <c r="G409" s="994"/>
      <c r="H409" s="165" t="s">
        <v>12</v>
      </c>
      <c r="I409" s="1000"/>
      <c r="J409" s="1000"/>
      <c r="K409" s="1001"/>
      <c r="L409" s="887">
        <v>0</v>
      </c>
      <c r="M409" s="887">
        <v>0</v>
      </c>
      <c r="N409" s="887">
        <v>0</v>
      </c>
      <c r="O409" s="887">
        <f t="shared" si="175"/>
        <v>0</v>
      </c>
      <c r="P409" s="887">
        <f t="shared" si="176"/>
        <v>0</v>
      </c>
      <c r="Q409" s="875"/>
      <c r="R409" s="875"/>
      <c r="S409" s="875"/>
      <c r="T409" s="875"/>
      <c r="U409" s="875"/>
      <c r="V409" s="875"/>
      <c r="W409" s="875"/>
      <c r="X409" s="875"/>
      <c r="Y409" s="875"/>
      <c r="Z409" s="875"/>
    </row>
    <row r="410" spans="1:26" ht="19.5" hidden="1">
      <c r="A410" s="993"/>
      <c r="B410" s="883"/>
      <c r="C410" s="999"/>
      <c r="D410" s="883"/>
      <c r="E410" s="884" t="s">
        <v>19</v>
      </c>
      <c r="F410" s="883"/>
      <c r="G410" s="994"/>
      <c r="H410" s="169" t="s">
        <v>12</v>
      </c>
      <c r="I410" s="1000"/>
      <c r="J410" s="1000"/>
      <c r="K410" s="1001"/>
      <c r="L410" s="887">
        <f ca="1">IFERROR(__xludf.DUMMYFUNCTION("IMPORTRANGE(""https://docs.google.com/spreadsheets/d/1MeEWN-I1oV_STSDYn1IFDPWt_1FKiwhDph83XaGc0o0/edit?usp=sharing"",""งบพรบ!FT85"")"),0)</f>
        <v>0</v>
      </c>
      <c r="M410" s="887">
        <f ca="1">IFERROR(__xludf.DUMMYFUNCTION("IMPORTRANGE(""https://docs.google.com/spreadsheets/d/1MeEWN-I1oV_STSDYn1IFDPWt_1FKiwhDph83XaGc0o0/edit?usp=sharing"",""งบพรบ!FW85"")"),0)</f>
        <v>0</v>
      </c>
      <c r="N410" s="887">
        <f ca="1">IFERROR(__xludf.DUMMYFUNCTION("IMPORTRANGE(""https://docs.google.com/spreadsheets/d/1MeEWN-I1oV_STSDYn1IFDPWt_1FKiwhDph83XaGc0o0/edit?usp=sharing"",""งบพรบ!FY85"")"),0)</f>
        <v>0</v>
      </c>
      <c r="O410" s="887">
        <f t="shared" ca="1" si="175"/>
        <v>0</v>
      </c>
      <c r="P410" s="887">
        <f t="shared" ca="1" si="176"/>
        <v>0</v>
      </c>
      <c r="Q410" s="875"/>
      <c r="R410" s="875"/>
      <c r="S410" s="875"/>
      <c r="T410" s="875"/>
      <c r="U410" s="875"/>
      <c r="V410" s="875"/>
      <c r="W410" s="875"/>
      <c r="X410" s="875"/>
      <c r="Y410" s="875"/>
      <c r="Z410" s="875"/>
    </row>
    <row r="411" spans="1:26" ht="19.5" hidden="1">
      <c r="A411" s="1002"/>
      <c r="B411" s="1003"/>
      <c r="C411" s="999" t="s">
        <v>16</v>
      </c>
      <c r="D411" s="1264" t="s">
        <v>38</v>
      </c>
      <c r="E411" s="1265"/>
      <c r="F411" s="1265"/>
      <c r="G411" s="1266"/>
      <c r="H411" s="1007"/>
      <c r="I411" s="880"/>
      <c r="J411" s="880"/>
      <c r="K411" s="881"/>
      <c r="L411" s="998"/>
      <c r="M411" s="998"/>
      <c r="N411" s="998"/>
      <c r="O411" s="998"/>
      <c r="P411" s="998"/>
    </row>
    <row r="412" spans="1:26" ht="18.75" hidden="1">
      <c r="A412" s="1002"/>
      <c r="B412" s="1010"/>
      <c r="C412" s="1010"/>
      <c r="D412" s="1009" t="s">
        <v>178</v>
      </c>
      <c r="E412" s="1010"/>
      <c r="F412" s="1010"/>
      <c r="G412" s="1011"/>
      <c r="H412" s="537" t="s">
        <v>66</v>
      </c>
      <c r="I412" s="880">
        <v>0</v>
      </c>
      <c r="J412" s="1012">
        <v>0</v>
      </c>
      <c r="K412" s="881">
        <f t="shared" ref="K412:K413" si="180">IF(I412&gt;0,J412*100/I412,0)</f>
        <v>0</v>
      </c>
      <c r="L412" s="998"/>
      <c r="M412" s="998"/>
      <c r="N412" s="998"/>
      <c r="O412" s="998"/>
      <c r="P412" s="998"/>
    </row>
    <row r="413" spans="1:26" ht="19.5" hidden="1" thickBot="1">
      <c r="A413" s="1267"/>
      <c r="B413" s="1268"/>
      <c r="C413" s="1268"/>
      <c r="D413" s="1269" t="s">
        <v>179</v>
      </c>
      <c r="E413" s="1268"/>
      <c r="F413" s="1268"/>
      <c r="G413" s="1270"/>
      <c r="H413" s="542" t="s">
        <v>180</v>
      </c>
      <c r="I413" s="1271">
        <v>0</v>
      </c>
      <c r="J413" s="1272">
        <v>0</v>
      </c>
      <c r="K413" s="1273">
        <f t="shared" si="180"/>
        <v>0</v>
      </c>
      <c r="L413" s="1274"/>
      <c r="M413" s="1274"/>
      <c r="N413" s="1274"/>
      <c r="O413" s="1274"/>
      <c r="P413" s="1274"/>
    </row>
    <row r="414" spans="1:26" ht="19.5">
      <c r="A414" s="1275" t="s">
        <v>181</v>
      </c>
      <c r="B414" s="1276"/>
      <c r="C414" s="1276"/>
      <c r="D414" s="1276"/>
      <c r="E414" s="1276"/>
      <c r="F414" s="1276"/>
      <c r="G414" s="1277"/>
      <c r="H414" s="1278"/>
      <c r="I414" s="1279"/>
      <c r="J414" s="1279"/>
      <c r="K414" s="1280"/>
      <c r="L414" s="1281">
        <f t="shared" ref="L414:N414" ca="1" si="181">L419+L444+L467+L502+L523+L544+L629+L655+L685+L737+L754+L770+L786+L805</f>
        <v>1699978</v>
      </c>
      <c r="M414" s="1281">
        <f t="shared" ca="1" si="181"/>
        <v>1699978</v>
      </c>
      <c r="N414" s="1281">
        <f t="shared" si="181"/>
        <v>359744.9</v>
      </c>
      <c r="O414" s="1281">
        <f ca="1">IF(L414&gt;0,N414*100/L414,0)</f>
        <v>21.161738563675531</v>
      </c>
      <c r="P414" s="1281">
        <f ca="1">IF(M414&gt;0,N414*100/M414,0)</f>
        <v>21.161738563675531</v>
      </c>
    </row>
    <row r="415" spans="1:26" ht="19.5">
      <c r="A415" s="1282" t="s">
        <v>182</v>
      </c>
      <c r="B415" s="1283"/>
      <c r="C415" s="1283"/>
      <c r="D415" s="1283"/>
      <c r="E415" s="1283"/>
      <c r="F415" s="1283"/>
      <c r="G415" s="1283"/>
      <c r="H415" s="1284"/>
      <c r="I415" s="1285"/>
      <c r="J415" s="1285"/>
      <c r="K415" s="1286"/>
      <c r="L415" s="1287"/>
      <c r="M415" s="1287"/>
      <c r="N415" s="1287"/>
      <c r="O415" s="1287"/>
      <c r="P415" s="1287"/>
    </row>
    <row r="416" spans="1:26" ht="19.5">
      <c r="A416" s="1282" t="s">
        <v>183</v>
      </c>
      <c r="B416" s="1283"/>
      <c r="C416" s="1283"/>
      <c r="D416" s="1283"/>
      <c r="E416" s="1283"/>
      <c r="F416" s="1283"/>
      <c r="G416" s="1288"/>
      <c r="H416" s="1289"/>
      <c r="I416" s="1290"/>
      <c r="J416" s="1290"/>
      <c r="K416" s="1287"/>
      <c r="L416" s="1287"/>
      <c r="M416" s="1287"/>
      <c r="N416" s="1287"/>
      <c r="O416" s="1287"/>
      <c r="P416" s="1287"/>
    </row>
    <row r="417" spans="1:26" ht="39">
      <c r="A417" s="563">
        <v>1</v>
      </c>
      <c r="B417" s="1291" t="s">
        <v>184</v>
      </c>
      <c r="C417" s="1291"/>
      <c r="D417" s="1292"/>
      <c r="E417" s="1292"/>
      <c r="F417" s="1292"/>
      <c r="G417" s="1293"/>
      <c r="H417" s="568" t="s">
        <v>35</v>
      </c>
      <c r="I417" s="1294">
        <f t="shared" ref="I417:J418" ca="1" si="182">I433</f>
        <v>15</v>
      </c>
      <c r="J417" s="1294">
        <f t="shared" ca="1" si="182"/>
        <v>15</v>
      </c>
      <c r="K417" s="1295">
        <f t="shared" ref="K417:K418" ca="1" si="183">IF(I417&gt;0,J417*100/I417,0)</f>
        <v>100</v>
      </c>
      <c r="L417" s="1296"/>
      <c r="M417" s="1296"/>
      <c r="N417" s="1296"/>
      <c r="O417" s="1296"/>
      <c r="P417" s="1296"/>
    </row>
    <row r="418" spans="1:26" ht="19.5">
      <c r="A418" s="1297"/>
      <c r="B418" s="563"/>
      <c r="C418" s="1291"/>
      <c r="D418" s="1292"/>
      <c r="E418" s="1292"/>
      <c r="F418" s="1292"/>
      <c r="G418" s="1293"/>
      <c r="H418" s="568" t="s">
        <v>49</v>
      </c>
      <c r="I418" s="1294">
        <f t="shared" ca="1" si="182"/>
        <v>1</v>
      </c>
      <c r="J418" s="1294">
        <f t="shared" si="182"/>
        <v>1</v>
      </c>
      <c r="K418" s="1295">
        <f t="shared" ca="1" si="183"/>
        <v>100</v>
      </c>
      <c r="L418" s="1296"/>
      <c r="M418" s="1296"/>
      <c r="N418" s="1296"/>
      <c r="O418" s="1296"/>
      <c r="P418" s="1296"/>
    </row>
    <row r="419" spans="1:26" ht="19.5">
      <c r="A419" s="985"/>
      <c r="B419" s="986"/>
      <c r="C419" s="986" t="s">
        <v>16</v>
      </c>
      <c r="D419" s="1298" t="s">
        <v>17</v>
      </c>
      <c r="E419" s="846"/>
      <c r="F419" s="846"/>
      <c r="G419" s="989"/>
      <c r="H419" s="275" t="s">
        <v>12</v>
      </c>
      <c r="I419" s="990"/>
      <c r="J419" s="990"/>
      <c r="K419" s="991"/>
      <c r="L419" s="992">
        <f t="shared" ref="L419:N419" ca="1" si="184">L420+L421</f>
        <v>66560</v>
      </c>
      <c r="M419" s="992">
        <f t="shared" ca="1" si="184"/>
        <v>66560</v>
      </c>
      <c r="N419" s="992">
        <f t="shared" si="184"/>
        <v>42003.18</v>
      </c>
      <c r="O419" s="992">
        <f t="shared" ref="O419:O424" ca="1" si="185">IF(L419&gt;0,N419*100/L419,0)</f>
        <v>63.105739182692311</v>
      </c>
      <c r="P419" s="992">
        <f t="shared" ref="P419:P424" ca="1" si="186">IF(M419&gt;0,N419*100/M419,0)</f>
        <v>63.105739182692311</v>
      </c>
      <c r="Q419" s="868"/>
      <c r="R419" s="868"/>
      <c r="S419" s="868"/>
      <c r="T419" s="868"/>
      <c r="U419" s="868"/>
      <c r="V419" s="868"/>
      <c r="W419" s="868"/>
      <c r="X419" s="868"/>
      <c r="Y419" s="868"/>
      <c r="Z419" s="868"/>
    </row>
    <row r="420" spans="1:26" ht="18.75" hidden="1">
      <c r="A420" s="993"/>
      <c r="B420" s="883"/>
      <c r="C420" s="883"/>
      <c r="D420" s="1114"/>
      <c r="E420" s="884" t="s">
        <v>185</v>
      </c>
      <c r="F420" s="883"/>
      <c r="G420" s="994"/>
      <c r="H420" s="165" t="s">
        <v>12</v>
      </c>
      <c r="I420" s="886"/>
      <c r="J420" s="886"/>
      <c r="K420" s="887"/>
      <c r="L420" s="887">
        <f t="shared" ref="L420:N421" si="187">L423+L430</f>
        <v>0</v>
      </c>
      <c r="M420" s="887">
        <f t="shared" si="187"/>
        <v>0</v>
      </c>
      <c r="N420" s="887">
        <f t="shared" si="187"/>
        <v>0</v>
      </c>
      <c r="O420" s="887">
        <f t="shared" si="185"/>
        <v>0</v>
      </c>
      <c r="P420" s="887">
        <f t="shared" si="186"/>
        <v>0</v>
      </c>
      <c r="Q420" s="875"/>
      <c r="R420" s="875"/>
      <c r="S420" s="875"/>
      <c r="T420" s="875"/>
      <c r="U420" s="875"/>
      <c r="V420" s="875"/>
      <c r="W420" s="875"/>
      <c r="X420" s="875"/>
      <c r="Y420" s="875"/>
      <c r="Z420" s="875"/>
    </row>
    <row r="421" spans="1:26" ht="18.75" hidden="1">
      <c r="A421" s="993"/>
      <c r="B421" s="883"/>
      <c r="C421" s="883"/>
      <c r="D421" s="1114"/>
      <c r="E421" s="884" t="s">
        <v>186</v>
      </c>
      <c r="F421" s="883"/>
      <c r="G421" s="994"/>
      <c r="H421" s="165" t="s">
        <v>12</v>
      </c>
      <c r="I421" s="886"/>
      <c r="J421" s="886"/>
      <c r="K421" s="887"/>
      <c r="L421" s="887">
        <f t="shared" ca="1" si="187"/>
        <v>66560</v>
      </c>
      <c r="M421" s="887">
        <f t="shared" ca="1" si="187"/>
        <v>66560</v>
      </c>
      <c r="N421" s="887">
        <f t="shared" si="187"/>
        <v>42003.18</v>
      </c>
      <c r="O421" s="887">
        <f t="shared" ca="1" si="185"/>
        <v>63.105739182692311</v>
      </c>
      <c r="P421" s="887">
        <f t="shared" ca="1" si="186"/>
        <v>63.105739182692311</v>
      </c>
      <c r="Q421" s="875"/>
      <c r="R421" s="875"/>
      <c r="S421" s="875"/>
      <c r="T421" s="875"/>
      <c r="U421" s="875"/>
      <c r="V421" s="875"/>
      <c r="W421" s="875"/>
      <c r="X421" s="875"/>
      <c r="Y421" s="875"/>
      <c r="Z421" s="875"/>
    </row>
    <row r="422" spans="1:26" ht="18.75">
      <c r="A422" s="995"/>
      <c r="B422" s="1084"/>
      <c r="C422" s="877"/>
      <c r="D422" s="878" t="s">
        <v>20</v>
      </c>
      <c r="E422" s="877"/>
      <c r="F422" s="877"/>
      <c r="G422" s="879"/>
      <c r="H422" s="161" t="s">
        <v>12</v>
      </c>
      <c r="I422" s="997"/>
      <c r="J422" s="997"/>
      <c r="K422" s="998"/>
      <c r="L422" s="881">
        <f t="shared" ref="L422:N422" ca="1" si="188">L423+L424</f>
        <v>66560</v>
      </c>
      <c r="M422" s="881">
        <f t="shared" ca="1" si="188"/>
        <v>66560</v>
      </c>
      <c r="N422" s="881">
        <f t="shared" si="188"/>
        <v>42003.18</v>
      </c>
      <c r="O422" s="881">
        <f t="shared" ca="1" si="185"/>
        <v>63.105739182692311</v>
      </c>
      <c r="P422" s="881">
        <f t="shared" ca="1" si="186"/>
        <v>63.105739182692311</v>
      </c>
      <c r="Q422" s="868"/>
      <c r="R422" s="868"/>
      <c r="S422" s="868"/>
      <c r="T422" s="868"/>
      <c r="U422" s="868"/>
      <c r="V422" s="868"/>
      <c r="W422" s="868"/>
      <c r="X422" s="868"/>
      <c r="Y422" s="868"/>
      <c r="Z422" s="868"/>
    </row>
    <row r="423" spans="1:26" ht="18.75" hidden="1">
      <c r="A423" s="993"/>
      <c r="B423" s="883"/>
      <c r="C423" s="883"/>
      <c r="D423" s="1114"/>
      <c r="E423" s="884" t="s">
        <v>185</v>
      </c>
      <c r="F423" s="883"/>
      <c r="G423" s="994"/>
      <c r="H423" s="165" t="s">
        <v>12</v>
      </c>
      <c r="I423" s="886"/>
      <c r="J423" s="886"/>
      <c r="K423" s="887"/>
      <c r="L423" s="887">
        <v>0</v>
      </c>
      <c r="M423" s="887">
        <v>0</v>
      </c>
      <c r="N423" s="887">
        <v>0</v>
      </c>
      <c r="O423" s="887">
        <f t="shared" si="185"/>
        <v>0</v>
      </c>
      <c r="P423" s="887">
        <f t="shared" si="186"/>
        <v>0</v>
      </c>
      <c r="Q423" s="875"/>
      <c r="R423" s="875"/>
      <c r="S423" s="875"/>
      <c r="T423" s="875"/>
      <c r="U423" s="875"/>
      <c r="V423" s="875"/>
      <c r="W423" s="875"/>
      <c r="X423" s="875"/>
      <c r="Y423" s="875"/>
      <c r="Z423" s="875"/>
    </row>
    <row r="424" spans="1:26" ht="18.75" hidden="1">
      <c r="A424" s="993"/>
      <c r="B424" s="883"/>
      <c r="C424" s="883"/>
      <c r="D424" s="1114"/>
      <c r="E424" s="884" t="s">
        <v>186</v>
      </c>
      <c r="F424" s="883"/>
      <c r="G424" s="994"/>
      <c r="H424" s="165" t="s">
        <v>12</v>
      </c>
      <c r="I424" s="886"/>
      <c r="J424" s="886"/>
      <c r="K424" s="887"/>
      <c r="L424" s="887">
        <f ca="1">IFERROR(__xludf.DUMMYFUNCTION("IMPORTRANGE(""https://docs.google.com/spreadsheets/d/1QqKyyYR6Q21VydFLVH3TRQUabQu_ym0Zz7PgGX0-kHA/edit?usp=sharing"",""แผน!EY85"")"),66560)</f>
        <v>66560</v>
      </c>
      <c r="M424" s="887">
        <f ca="1">L424</f>
        <v>66560</v>
      </c>
      <c r="N424" s="887">
        <f>N425+N426+N427+N428</f>
        <v>42003.18</v>
      </c>
      <c r="O424" s="887">
        <f t="shared" ca="1" si="185"/>
        <v>63.105739182692311</v>
      </c>
      <c r="P424" s="887">
        <f t="shared" ca="1" si="186"/>
        <v>63.105739182692311</v>
      </c>
      <c r="Q424" s="875"/>
      <c r="R424" s="875"/>
      <c r="S424" s="875"/>
      <c r="T424" s="875"/>
      <c r="U424" s="875"/>
      <c r="V424" s="875"/>
      <c r="W424" s="875"/>
      <c r="X424" s="875"/>
      <c r="Y424" s="875"/>
      <c r="Z424" s="875"/>
    </row>
    <row r="425" spans="1:26" ht="18.75">
      <c r="A425" s="1299"/>
      <c r="B425" s="1300"/>
      <c r="C425" s="1301"/>
      <c r="D425" s="1301"/>
      <c r="E425" s="1301"/>
      <c r="F425" s="1301" t="s">
        <v>187</v>
      </c>
      <c r="G425" s="1016"/>
      <c r="H425" s="161" t="s">
        <v>12</v>
      </c>
      <c r="I425" s="880"/>
      <c r="J425" s="880"/>
      <c r="K425" s="881"/>
      <c r="L425" s="881"/>
      <c r="M425" s="881"/>
      <c r="N425" s="1085">
        <v>25125</v>
      </c>
      <c r="O425" s="881"/>
      <c r="P425" s="881"/>
      <c r="Q425" s="1302"/>
      <c r="R425" s="1302"/>
      <c r="S425" s="1302"/>
      <c r="T425" s="1302"/>
      <c r="U425" s="1302"/>
      <c r="V425" s="1302"/>
      <c r="W425" s="1302"/>
      <c r="X425" s="1302"/>
      <c r="Y425" s="1302"/>
      <c r="Z425" s="1302"/>
    </row>
    <row r="426" spans="1:26" ht="18.75">
      <c r="A426" s="1299"/>
      <c r="B426" s="1300"/>
      <c r="C426" s="1301"/>
      <c r="D426" s="1301"/>
      <c r="E426" s="1301"/>
      <c r="F426" s="1301" t="s">
        <v>188</v>
      </c>
      <c r="G426" s="1016"/>
      <c r="H426" s="161" t="s">
        <v>12</v>
      </c>
      <c r="I426" s="880"/>
      <c r="J426" s="880"/>
      <c r="K426" s="881"/>
      <c r="L426" s="881"/>
      <c r="M426" s="881"/>
      <c r="N426" s="1085">
        <v>0</v>
      </c>
      <c r="O426" s="881"/>
      <c r="P426" s="881"/>
      <c r="Q426" s="1302"/>
      <c r="R426" s="1302"/>
      <c r="S426" s="1302"/>
      <c r="T426" s="1302"/>
      <c r="U426" s="1302"/>
      <c r="V426" s="1302"/>
      <c r="W426" s="1302"/>
      <c r="X426" s="1302"/>
      <c r="Y426" s="1302"/>
      <c r="Z426" s="1302"/>
    </row>
    <row r="427" spans="1:26" ht="18.75">
      <c r="A427" s="1299"/>
      <c r="B427" s="1300"/>
      <c r="C427" s="1301"/>
      <c r="D427" s="1301"/>
      <c r="E427" s="1301"/>
      <c r="F427" s="1301" t="s">
        <v>189</v>
      </c>
      <c r="G427" s="1016"/>
      <c r="H427" s="161" t="s">
        <v>12</v>
      </c>
      <c r="I427" s="880"/>
      <c r="J427" s="880"/>
      <c r="K427" s="881"/>
      <c r="L427" s="881"/>
      <c r="M427" s="881"/>
      <c r="N427" s="1085">
        <v>0</v>
      </c>
      <c r="O427" s="881"/>
      <c r="P427" s="881"/>
      <c r="Q427" s="1302"/>
      <c r="R427" s="1302"/>
      <c r="S427" s="1302"/>
      <c r="T427" s="1302"/>
      <c r="U427" s="1302"/>
      <c r="V427" s="1302"/>
      <c r="W427" s="1302"/>
      <c r="X427" s="1302"/>
      <c r="Y427" s="1302"/>
      <c r="Z427" s="1302"/>
    </row>
    <row r="428" spans="1:26" ht="18.75">
      <c r="A428" s="1086"/>
      <c r="B428" s="1084"/>
      <c r="C428" s="877"/>
      <c r="D428" s="877"/>
      <c r="E428" s="877"/>
      <c r="F428" s="996" t="s">
        <v>190</v>
      </c>
      <c r="G428" s="1030"/>
      <c r="H428" s="161" t="s">
        <v>12</v>
      </c>
      <c r="I428" s="880"/>
      <c r="J428" s="880"/>
      <c r="K428" s="881"/>
      <c r="L428" s="881"/>
      <c r="M428" s="881"/>
      <c r="N428" s="1085">
        <v>16878.18</v>
      </c>
      <c r="O428" s="881"/>
      <c r="P428" s="881"/>
      <c r="Q428" s="868"/>
      <c r="R428" s="868"/>
      <c r="S428" s="868"/>
      <c r="T428" s="868"/>
      <c r="U428" s="868"/>
      <c r="V428" s="868"/>
      <c r="W428" s="868"/>
      <c r="X428" s="868"/>
      <c r="Y428" s="868"/>
      <c r="Z428" s="868"/>
    </row>
    <row r="429" spans="1:26" ht="18.75">
      <c r="A429" s="995"/>
      <c r="B429" s="1084"/>
      <c r="C429" s="877"/>
      <c r="D429" s="878" t="s">
        <v>21</v>
      </c>
      <c r="E429" s="877"/>
      <c r="F429" s="877"/>
      <c r="G429" s="879"/>
      <c r="H429" s="168" t="s">
        <v>12</v>
      </c>
      <c r="I429" s="997"/>
      <c r="J429" s="997"/>
      <c r="K429" s="998"/>
      <c r="L429" s="881">
        <f t="shared" ref="L429:N429" ca="1" si="189">L430+L431</f>
        <v>0</v>
      </c>
      <c r="M429" s="881">
        <f t="shared" si="189"/>
        <v>0</v>
      </c>
      <c r="N429" s="881">
        <f t="shared" si="189"/>
        <v>0</v>
      </c>
      <c r="O429" s="881">
        <f t="shared" ref="O429:O431" ca="1" si="190">IF(L429&gt;0,N429*100/L429,0)</f>
        <v>0</v>
      </c>
      <c r="P429" s="881">
        <f t="shared" ref="P429:P431" si="191">IF(M429&gt;0,N429*100/M429,0)</f>
        <v>0</v>
      </c>
      <c r="Q429" s="868"/>
      <c r="R429" s="868"/>
      <c r="S429" s="868"/>
      <c r="T429" s="868"/>
      <c r="U429" s="868"/>
      <c r="V429" s="868"/>
      <c r="W429" s="868"/>
      <c r="X429" s="868"/>
      <c r="Y429" s="868"/>
      <c r="Z429" s="868"/>
    </row>
    <row r="430" spans="1:26" ht="18.75" hidden="1">
      <c r="A430" s="993"/>
      <c r="B430" s="1105"/>
      <c r="C430" s="883"/>
      <c r="D430" s="883"/>
      <c r="E430" s="884" t="s">
        <v>18</v>
      </c>
      <c r="F430" s="883"/>
      <c r="G430" s="885"/>
      <c r="H430" s="165" t="s">
        <v>12</v>
      </c>
      <c r="I430" s="1000"/>
      <c r="J430" s="1000"/>
      <c r="K430" s="1001"/>
      <c r="L430" s="887">
        <v>0</v>
      </c>
      <c r="M430" s="887">
        <v>0</v>
      </c>
      <c r="N430" s="887">
        <v>0</v>
      </c>
      <c r="O430" s="887">
        <f t="shared" si="190"/>
        <v>0</v>
      </c>
      <c r="P430" s="887">
        <f t="shared" si="191"/>
        <v>0</v>
      </c>
      <c r="Q430" s="875"/>
      <c r="R430" s="875"/>
      <c r="S430" s="875"/>
      <c r="T430" s="875"/>
      <c r="U430" s="875"/>
      <c r="V430" s="875"/>
      <c r="W430" s="875"/>
      <c r="X430" s="875"/>
      <c r="Y430" s="875"/>
      <c r="Z430" s="875"/>
    </row>
    <row r="431" spans="1:26" ht="18.75" hidden="1">
      <c r="A431" s="993"/>
      <c r="B431" s="1105"/>
      <c r="C431" s="883"/>
      <c r="D431" s="883"/>
      <c r="E431" s="884" t="s">
        <v>19</v>
      </c>
      <c r="F431" s="883"/>
      <c r="G431" s="885"/>
      <c r="H431" s="169" t="s">
        <v>12</v>
      </c>
      <c r="I431" s="1000"/>
      <c r="J431" s="1000"/>
      <c r="K431" s="1001"/>
      <c r="L431" s="887">
        <f ca="1">IFERROR(__xludf.DUMMYFUNCTION("IMPORTRANGE(""https://docs.google.com/spreadsheets/d/1QqKyyYR6Q21VydFLVH3TRQUabQu_ym0Zz7PgGX0-kHA/edit?usp=sharing"",""แผน!FB85"")"),0)</f>
        <v>0</v>
      </c>
      <c r="M431" s="887">
        <v>0</v>
      </c>
      <c r="N431" s="887">
        <v>0</v>
      </c>
      <c r="O431" s="887">
        <f t="shared" ca="1" si="190"/>
        <v>0</v>
      </c>
      <c r="P431" s="887">
        <f t="shared" si="191"/>
        <v>0</v>
      </c>
      <c r="Q431" s="875"/>
      <c r="R431" s="875"/>
      <c r="S431" s="875"/>
      <c r="T431" s="875"/>
      <c r="U431" s="875"/>
      <c r="V431" s="875"/>
      <c r="W431" s="875"/>
      <c r="X431" s="875"/>
      <c r="Y431" s="875"/>
      <c r="Z431" s="875"/>
    </row>
    <row r="432" spans="1:26" ht="19.5">
      <c r="A432" s="1165"/>
      <c r="B432" s="1166"/>
      <c r="C432" s="986" t="s">
        <v>16</v>
      </c>
      <c r="D432" s="1303" t="s">
        <v>38</v>
      </c>
      <c r="E432" s="1304"/>
      <c r="F432" s="1304"/>
      <c r="G432" s="1305"/>
      <c r="H432" s="1306"/>
      <c r="I432" s="990"/>
      <c r="J432" s="990"/>
      <c r="K432" s="991"/>
      <c r="L432" s="991"/>
      <c r="M432" s="991"/>
      <c r="N432" s="991"/>
      <c r="O432" s="991"/>
      <c r="P432" s="991"/>
      <c r="Q432" s="868"/>
      <c r="R432" s="868"/>
      <c r="S432" s="868"/>
      <c r="T432" s="868"/>
      <c r="U432" s="868"/>
      <c r="V432" s="868"/>
      <c r="W432" s="868"/>
      <c r="X432" s="868"/>
      <c r="Y432" s="868"/>
      <c r="Z432" s="868"/>
    </row>
    <row r="433" spans="1:26" ht="19.5">
      <c r="A433" s="1002"/>
      <c r="B433" s="1003"/>
      <c r="C433" s="1003"/>
      <c r="D433" s="1013" t="s">
        <v>191</v>
      </c>
      <c r="E433" s="1010"/>
      <c r="F433" s="1010"/>
      <c r="G433" s="1011"/>
      <c r="H433" s="196" t="s">
        <v>35</v>
      </c>
      <c r="I433" s="1019">
        <f ca="1">I435</f>
        <v>15</v>
      </c>
      <c r="J433" s="1019">
        <f ca="1">IF(AND(J435=I435,J437=I437,J439=I439),I437+I439,IF(AND(J435=I437,J437=I437),I437,IF(AND(J435=I439,J439=I439),I439,0)))</f>
        <v>15</v>
      </c>
      <c r="K433" s="1020">
        <f t="shared" ref="K433:K435" ca="1" si="192">IF(I433&gt;0,J433*100/I433,0)</f>
        <v>100</v>
      </c>
      <c r="L433" s="881"/>
      <c r="M433" s="881"/>
      <c r="N433" s="881"/>
      <c r="O433" s="881"/>
      <c r="P433" s="881"/>
      <c r="Q433" s="868"/>
      <c r="R433" s="868"/>
      <c r="S433" s="868"/>
      <c r="T433" s="868"/>
      <c r="U433" s="868"/>
      <c r="V433" s="868"/>
      <c r="W433" s="868"/>
      <c r="X433" s="868"/>
      <c r="Y433" s="868"/>
      <c r="Z433" s="868"/>
    </row>
    <row r="434" spans="1:26" ht="19.5">
      <c r="A434" s="1002"/>
      <c r="B434" s="1003"/>
      <c r="C434" s="1003"/>
      <c r="D434" s="1013" t="s">
        <v>192</v>
      </c>
      <c r="E434" s="1010"/>
      <c r="F434" s="1010"/>
      <c r="G434" s="1011"/>
      <c r="H434" s="196" t="s">
        <v>49</v>
      </c>
      <c r="I434" s="1019">
        <f t="shared" ref="I434:J434" ca="1" si="193">I438+I440</f>
        <v>1</v>
      </c>
      <c r="J434" s="1019">
        <f t="shared" si="193"/>
        <v>1</v>
      </c>
      <c r="K434" s="1020">
        <f t="shared" ca="1" si="192"/>
        <v>100</v>
      </c>
      <c r="L434" s="881"/>
      <c r="M434" s="881"/>
      <c r="N434" s="881"/>
      <c r="O434" s="881"/>
      <c r="P434" s="881"/>
      <c r="Q434" s="868"/>
      <c r="R434" s="868"/>
      <c r="S434" s="868"/>
      <c r="T434" s="868"/>
      <c r="U434" s="868"/>
      <c r="V434" s="868"/>
      <c r="W434" s="868"/>
      <c r="X434" s="868"/>
      <c r="Y434" s="868"/>
      <c r="Z434" s="868"/>
    </row>
    <row r="435" spans="1:26" ht="18.75">
      <c r="A435" s="1002"/>
      <c r="B435" s="1003"/>
      <c r="C435" s="1003"/>
      <c r="D435" s="1009" t="s">
        <v>193</v>
      </c>
      <c r="E435" s="1010"/>
      <c r="F435" s="1010"/>
      <c r="G435" s="1011"/>
      <c r="H435" s="622" t="s">
        <v>35</v>
      </c>
      <c r="I435" s="582">
        <f ca="1">IFERROR(__xludf.DUMMYFUNCTION("IMPORTRANGE(""https://docs.google.com/spreadsheets/d/1QqKyyYR6Q21VydFLVH3TRQUabQu_ym0Zz7PgGX0-kHA/edit?usp=sharing"",""แผน!FC85"")"),15)</f>
        <v>15</v>
      </c>
      <c r="J435" s="583">
        <v>15</v>
      </c>
      <c r="K435" s="881">
        <f t="shared" ca="1" si="192"/>
        <v>100</v>
      </c>
      <c r="L435" s="881"/>
      <c r="M435" s="881"/>
      <c r="N435" s="881"/>
      <c r="O435" s="881"/>
      <c r="P435" s="881"/>
      <c r="Q435" s="868"/>
      <c r="R435" s="868"/>
      <c r="S435" s="868"/>
      <c r="T435" s="868"/>
      <c r="U435" s="868"/>
      <c r="V435" s="868"/>
      <c r="W435" s="868"/>
      <c r="X435" s="868"/>
      <c r="Y435" s="868"/>
      <c r="Z435" s="868"/>
    </row>
    <row r="436" spans="1:26" ht="18.75">
      <c r="A436" s="1002"/>
      <c r="B436" s="1003"/>
      <c r="C436" s="1003"/>
      <c r="D436" s="1009" t="s">
        <v>194</v>
      </c>
      <c r="E436" s="1010"/>
      <c r="F436" s="1010"/>
      <c r="G436" s="1011"/>
      <c r="H436" s="622"/>
      <c r="I436" s="880"/>
      <c r="J436" s="880"/>
      <c r="K436" s="881"/>
      <c r="L436" s="881"/>
      <c r="M436" s="881"/>
      <c r="N436" s="881"/>
      <c r="O436" s="881"/>
      <c r="P436" s="881"/>
      <c r="Q436" s="868"/>
      <c r="R436" s="868"/>
      <c r="S436" s="868"/>
      <c r="T436" s="868"/>
      <c r="U436" s="868"/>
      <c r="V436" s="868"/>
      <c r="W436" s="868"/>
      <c r="X436" s="868"/>
      <c r="Y436" s="868"/>
      <c r="Z436" s="868"/>
    </row>
    <row r="437" spans="1:26" ht="18.75">
      <c r="A437" s="1002"/>
      <c r="B437" s="1003"/>
      <c r="C437" s="1003"/>
      <c r="D437" s="1009" t="s">
        <v>195</v>
      </c>
      <c r="E437" s="1010"/>
      <c r="F437" s="1010"/>
      <c r="G437" s="1011"/>
      <c r="H437" s="622" t="s">
        <v>35</v>
      </c>
      <c r="I437" s="582">
        <f ca="1">IFERROR(__xludf.DUMMYFUNCTION("IMPORTRANGE(""https://docs.google.com/spreadsheets/d/1QqKyyYR6Q21VydFLVH3TRQUabQu_ym0Zz7PgGX0-kHA/edit?usp=sharing"",""แผน!FD85"")"),0)</f>
        <v>0</v>
      </c>
      <c r="J437" s="583">
        <v>0</v>
      </c>
      <c r="K437" s="881">
        <f t="shared" ref="K437:K443" ca="1" si="194">IF(I437&gt;0,J437*100/I437,0)</f>
        <v>0</v>
      </c>
      <c r="L437" s="881"/>
      <c r="M437" s="881"/>
      <c r="N437" s="881"/>
      <c r="O437" s="881"/>
      <c r="P437" s="881"/>
      <c r="Q437" s="868"/>
      <c r="R437" s="868"/>
      <c r="S437" s="868"/>
      <c r="T437" s="868"/>
      <c r="U437" s="868"/>
      <c r="V437" s="868"/>
      <c r="W437" s="868"/>
      <c r="X437" s="868"/>
      <c r="Y437" s="868"/>
      <c r="Z437" s="868"/>
    </row>
    <row r="438" spans="1:26" ht="18.75">
      <c r="A438" s="1002"/>
      <c r="B438" s="1003"/>
      <c r="C438" s="1003"/>
      <c r="D438" s="1009" t="s">
        <v>196</v>
      </c>
      <c r="E438" s="1010"/>
      <c r="F438" s="1010"/>
      <c r="G438" s="1011"/>
      <c r="H438" s="622" t="s">
        <v>49</v>
      </c>
      <c r="I438" s="880">
        <f ca="1">IFERROR(__xludf.DUMMYFUNCTION("IMPORTRANGE(""https://docs.google.com/spreadsheets/d/1QqKyyYR6Q21VydFLVH3TRQUabQu_ym0Zz7PgGX0-kHA/edit?usp=sharing"",""แผน!FE85"")"),0)</f>
        <v>0</v>
      </c>
      <c r="J438" s="1012">
        <v>0</v>
      </c>
      <c r="K438" s="881">
        <f t="shared" ca="1" si="194"/>
        <v>0</v>
      </c>
      <c r="L438" s="881"/>
      <c r="M438" s="881"/>
      <c r="N438" s="881"/>
      <c r="O438" s="881"/>
      <c r="P438" s="881"/>
      <c r="Q438" s="868"/>
      <c r="R438" s="868"/>
      <c r="S438" s="868"/>
      <c r="T438" s="868"/>
      <c r="U438" s="868"/>
      <c r="V438" s="868"/>
      <c r="W438" s="868"/>
      <c r="X438" s="868"/>
      <c r="Y438" s="868"/>
      <c r="Z438" s="868"/>
    </row>
    <row r="439" spans="1:26" ht="18.75">
      <c r="A439" s="1002"/>
      <c r="B439" s="1003"/>
      <c r="C439" s="1003"/>
      <c r="D439" s="1009" t="s">
        <v>197</v>
      </c>
      <c r="E439" s="1010"/>
      <c r="F439" s="1010"/>
      <c r="G439" s="1011"/>
      <c r="H439" s="622" t="s">
        <v>35</v>
      </c>
      <c r="I439" s="582">
        <f ca="1">IFERROR(__xludf.DUMMYFUNCTION("IMPORTRANGE(""https://docs.google.com/spreadsheets/d/1QqKyyYR6Q21VydFLVH3TRQUabQu_ym0Zz7PgGX0-kHA/edit?usp=sharing"",""แผน!FF85"")"),15)</f>
        <v>15</v>
      </c>
      <c r="J439" s="583">
        <v>15</v>
      </c>
      <c r="K439" s="881">
        <f t="shared" ca="1" si="194"/>
        <v>100</v>
      </c>
      <c r="L439" s="881"/>
      <c r="M439" s="881"/>
      <c r="N439" s="881"/>
      <c r="O439" s="881"/>
      <c r="P439" s="881"/>
      <c r="Q439" s="868"/>
      <c r="R439" s="868"/>
      <c r="S439" s="868"/>
      <c r="T439" s="868"/>
      <c r="U439" s="868"/>
      <c r="V439" s="868"/>
      <c r="W439" s="868"/>
      <c r="X439" s="868"/>
      <c r="Y439" s="868"/>
      <c r="Z439" s="868"/>
    </row>
    <row r="440" spans="1:26" ht="18.75">
      <c r="A440" s="1002"/>
      <c r="B440" s="1003"/>
      <c r="C440" s="1003"/>
      <c r="D440" s="1009" t="s">
        <v>198</v>
      </c>
      <c r="E440" s="1010"/>
      <c r="F440" s="1010"/>
      <c r="G440" s="1011"/>
      <c r="H440" s="622" t="s">
        <v>49</v>
      </c>
      <c r="I440" s="880">
        <f ca="1">IFERROR(__xludf.DUMMYFUNCTION("IMPORTRANGE(""https://docs.google.com/spreadsheets/d/1QqKyyYR6Q21VydFLVH3TRQUabQu_ym0Zz7PgGX0-kHA/edit?usp=sharing"",""แผน!FG85"")"),1)</f>
        <v>1</v>
      </c>
      <c r="J440" s="1012">
        <v>1</v>
      </c>
      <c r="K440" s="881">
        <f t="shared" ca="1" si="194"/>
        <v>100</v>
      </c>
      <c r="L440" s="881"/>
      <c r="M440" s="881"/>
      <c r="N440" s="881"/>
      <c r="O440" s="881"/>
      <c r="P440" s="881"/>
      <c r="Q440" s="868"/>
      <c r="R440" s="868"/>
      <c r="S440" s="868"/>
      <c r="T440" s="868"/>
      <c r="U440" s="868"/>
      <c r="V440" s="868"/>
      <c r="W440" s="868"/>
      <c r="X440" s="868"/>
      <c r="Y440" s="868"/>
      <c r="Z440" s="868"/>
    </row>
    <row r="441" spans="1:26" ht="18.75">
      <c r="A441" s="1002"/>
      <c r="B441" s="1003"/>
      <c r="C441" s="1003"/>
      <c r="D441" s="1009" t="s">
        <v>199</v>
      </c>
      <c r="E441" s="1010"/>
      <c r="F441" s="1010"/>
      <c r="G441" s="1011"/>
      <c r="H441" s="622" t="s">
        <v>35</v>
      </c>
      <c r="I441" s="880">
        <f ca="1">IFERROR(__xludf.DUMMYFUNCTION("IMPORTRANGE(""https://docs.google.com/spreadsheets/d/1QqKyyYR6Q21VydFLVH3TRQUabQu_ym0Zz7PgGX0-kHA/edit?usp=sharing"",""แผน!FH85"")"),0)</f>
        <v>0</v>
      </c>
      <c r="J441" s="880">
        <v>0</v>
      </c>
      <c r="K441" s="881">
        <f t="shared" ca="1" si="194"/>
        <v>0</v>
      </c>
      <c r="L441" s="881"/>
      <c r="M441" s="881"/>
      <c r="N441" s="881"/>
      <c r="O441" s="881"/>
      <c r="P441" s="881"/>
      <c r="Q441" s="868"/>
      <c r="R441" s="868"/>
      <c r="S441" s="868"/>
      <c r="T441" s="868"/>
      <c r="U441" s="868"/>
      <c r="V441" s="868"/>
      <c r="W441" s="868"/>
      <c r="X441" s="868"/>
      <c r="Y441" s="868"/>
      <c r="Z441" s="868"/>
    </row>
    <row r="442" spans="1:26" ht="19.5">
      <c r="A442" s="584">
        <v>2</v>
      </c>
      <c r="B442" s="1307" t="s">
        <v>200</v>
      </c>
      <c r="C442" s="1308"/>
      <c r="D442" s="1308"/>
      <c r="E442" s="1308"/>
      <c r="F442" s="1308"/>
      <c r="G442" s="1309"/>
      <c r="H442" s="588" t="s">
        <v>35</v>
      </c>
      <c r="I442" s="1310">
        <f t="shared" ref="I442:J442" ca="1" si="195">I460</f>
        <v>20</v>
      </c>
      <c r="J442" s="1310">
        <f t="shared" si="195"/>
        <v>20</v>
      </c>
      <c r="K442" s="1311">
        <f t="shared" ca="1" si="194"/>
        <v>100</v>
      </c>
      <c r="L442" s="1312"/>
      <c r="M442" s="1312"/>
      <c r="N442" s="1312"/>
      <c r="O442" s="1312"/>
      <c r="P442" s="1312"/>
      <c r="Q442" s="1302"/>
      <c r="R442" s="1302"/>
      <c r="S442" s="1302"/>
      <c r="T442" s="1302"/>
      <c r="U442" s="1302"/>
      <c r="V442" s="1302"/>
      <c r="W442" s="1302"/>
      <c r="X442" s="1302"/>
      <c r="Y442" s="1302"/>
      <c r="Z442" s="1302"/>
    </row>
    <row r="443" spans="1:26" ht="19.5">
      <c r="A443" s="1313"/>
      <c r="B443" s="1314"/>
      <c r="C443" s="1315"/>
      <c r="D443" s="1315"/>
      <c r="E443" s="1315"/>
      <c r="F443" s="1315"/>
      <c r="G443" s="1316"/>
      <c r="H443" s="568" t="s">
        <v>46</v>
      </c>
      <c r="I443" s="1294">
        <f t="shared" ref="I443:J443" ca="1" si="196">I462</f>
        <v>20</v>
      </c>
      <c r="J443" s="1294">
        <f t="shared" si="196"/>
        <v>20</v>
      </c>
      <c r="K443" s="1295">
        <f t="shared" ca="1" si="194"/>
        <v>100</v>
      </c>
      <c r="L443" s="1296"/>
      <c r="M443" s="1296"/>
      <c r="N443" s="1296"/>
      <c r="O443" s="1296"/>
      <c r="P443" s="1296"/>
      <c r="Q443" s="1302"/>
      <c r="R443" s="1302"/>
      <c r="S443" s="1302"/>
      <c r="T443" s="1302"/>
      <c r="U443" s="1302"/>
      <c r="V443" s="1302"/>
      <c r="W443" s="1302"/>
      <c r="X443" s="1302"/>
      <c r="Y443" s="1302"/>
      <c r="Z443" s="1302"/>
    </row>
    <row r="444" spans="1:26" ht="19.5">
      <c r="A444" s="1317"/>
      <c r="B444" s="1301"/>
      <c r="C444" s="1301" t="s">
        <v>16</v>
      </c>
      <c r="D444" s="1318" t="s">
        <v>17</v>
      </c>
      <c r="E444" s="841"/>
      <c r="F444" s="841"/>
      <c r="G444" s="1016"/>
      <c r="H444" s="597" t="s">
        <v>12</v>
      </c>
      <c r="I444" s="880"/>
      <c r="J444" s="880"/>
      <c r="K444" s="881"/>
      <c r="L444" s="1020">
        <f t="shared" ref="L444:N444" ca="1" si="197">L445+L446</f>
        <v>78360</v>
      </c>
      <c r="M444" s="1020">
        <f t="shared" ca="1" si="197"/>
        <v>78360</v>
      </c>
      <c r="N444" s="1020">
        <f t="shared" si="197"/>
        <v>15520</v>
      </c>
      <c r="O444" s="1020">
        <f t="shared" ref="O444:O449" ca="1" si="198">IF(L444&gt;0,N444*100/L444,0)</f>
        <v>19.806023481368044</v>
      </c>
      <c r="P444" s="1020">
        <f t="shared" ref="P444:P449" ca="1" si="199">IF(M444&gt;0,N444*100/M444,0)</f>
        <v>19.806023481368044</v>
      </c>
      <c r="Q444" s="1302"/>
      <c r="R444" s="1302"/>
      <c r="S444" s="1302"/>
      <c r="T444" s="1302"/>
      <c r="U444" s="1302"/>
      <c r="V444" s="1302"/>
      <c r="W444" s="1302"/>
      <c r="X444" s="1302"/>
      <c r="Y444" s="1302"/>
      <c r="Z444" s="1302"/>
    </row>
    <row r="445" spans="1:26" ht="18.75" hidden="1">
      <c r="A445" s="1319"/>
      <c r="B445" s="1320"/>
      <c r="C445" s="1320"/>
      <c r="D445" s="1321"/>
      <c r="E445" s="1320" t="s">
        <v>185</v>
      </c>
      <c r="F445" s="1320"/>
      <c r="G445" s="1322"/>
      <c r="H445" s="165" t="s">
        <v>12</v>
      </c>
      <c r="I445" s="886"/>
      <c r="J445" s="886"/>
      <c r="K445" s="887"/>
      <c r="L445" s="887">
        <f t="shared" ref="L445:N446" si="200">L448+L455</f>
        <v>0</v>
      </c>
      <c r="M445" s="887">
        <f t="shared" si="200"/>
        <v>0</v>
      </c>
      <c r="N445" s="887">
        <f t="shared" si="200"/>
        <v>0</v>
      </c>
      <c r="O445" s="887">
        <f t="shared" si="198"/>
        <v>0</v>
      </c>
      <c r="P445" s="887">
        <f t="shared" si="199"/>
        <v>0</v>
      </c>
      <c r="Q445" s="1323"/>
      <c r="R445" s="1323"/>
      <c r="S445" s="1323"/>
      <c r="T445" s="1323"/>
      <c r="U445" s="1323"/>
      <c r="V445" s="1323"/>
      <c r="W445" s="1323"/>
      <c r="X445" s="1323"/>
      <c r="Y445" s="1323"/>
      <c r="Z445" s="1323"/>
    </row>
    <row r="446" spans="1:26" ht="18.75" hidden="1">
      <c r="A446" s="1319"/>
      <c r="B446" s="1324"/>
      <c r="C446" s="1320"/>
      <c r="D446" s="1321"/>
      <c r="E446" s="1320" t="s">
        <v>186</v>
      </c>
      <c r="F446" s="1320"/>
      <c r="G446" s="1322"/>
      <c r="H446" s="165" t="s">
        <v>12</v>
      </c>
      <c r="I446" s="886"/>
      <c r="J446" s="886"/>
      <c r="K446" s="887"/>
      <c r="L446" s="887">
        <f t="shared" ca="1" si="200"/>
        <v>78360</v>
      </c>
      <c r="M446" s="887">
        <f t="shared" ca="1" si="200"/>
        <v>78360</v>
      </c>
      <c r="N446" s="887">
        <f t="shared" si="200"/>
        <v>15520</v>
      </c>
      <c r="O446" s="887">
        <f t="shared" ca="1" si="198"/>
        <v>19.806023481368044</v>
      </c>
      <c r="P446" s="887">
        <f t="shared" ca="1" si="199"/>
        <v>19.806023481368044</v>
      </c>
      <c r="Q446" s="1323"/>
      <c r="R446" s="1323"/>
      <c r="S446" s="1323"/>
      <c r="T446" s="1323"/>
      <c r="U446" s="1323"/>
      <c r="V446" s="1323"/>
      <c r="W446" s="1323"/>
      <c r="X446" s="1323"/>
      <c r="Y446" s="1323"/>
      <c r="Z446" s="1323"/>
    </row>
    <row r="447" spans="1:26" ht="18.75">
      <c r="A447" s="1317"/>
      <c r="B447" s="1300"/>
      <c r="C447" s="1301"/>
      <c r="D447" s="1325" t="s">
        <v>20</v>
      </c>
      <c r="E447" s="1301"/>
      <c r="F447" s="1301"/>
      <c r="G447" s="1016"/>
      <c r="H447" s="161" t="s">
        <v>12</v>
      </c>
      <c r="I447" s="997"/>
      <c r="J447" s="997"/>
      <c r="K447" s="998"/>
      <c r="L447" s="881">
        <f t="shared" ref="L447:N447" ca="1" si="201">L448+L449</f>
        <v>78360</v>
      </c>
      <c r="M447" s="881">
        <f t="shared" ca="1" si="201"/>
        <v>78360</v>
      </c>
      <c r="N447" s="881">
        <f t="shared" si="201"/>
        <v>15520</v>
      </c>
      <c r="O447" s="881">
        <f t="shared" ca="1" si="198"/>
        <v>19.806023481368044</v>
      </c>
      <c r="P447" s="881">
        <f t="shared" ca="1" si="199"/>
        <v>19.806023481368044</v>
      </c>
      <c r="Q447" s="1302"/>
      <c r="R447" s="1302"/>
      <c r="S447" s="1302"/>
      <c r="T447" s="1302"/>
      <c r="U447" s="1302"/>
      <c r="V447" s="1302"/>
      <c r="W447" s="1302"/>
      <c r="X447" s="1302"/>
      <c r="Y447" s="1302"/>
      <c r="Z447" s="1302"/>
    </row>
    <row r="448" spans="1:26" ht="18.75" hidden="1">
      <c r="A448" s="1319"/>
      <c r="B448" s="1324"/>
      <c r="C448" s="1320"/>
      <c r="D448" s="1321"/>
      <c r="E448" s="1320" t="s">
        <v>185</v>
      </c>
      <c r="F448" s="1320"/>
      <c r="G448" s="1322"/>
      <c r="H448" s="165" t="s">
        <v>12</v>
      </c>
      <c r="I448" s="886"/>
      <c r="J448" s="886"/>
      <c r="K448" s="887"/>
      <c r="L448" s="887">
        <v>0</v>
      </c>
      <c r="M448" s="887">
        <v>0</v>
      </c>
      <c r="N448" s="887">
        <v>0</v>
      </c>
      <c r="O448" s="887">
        <f t="shared" si="198"/>
        <v>0</v>
      </c>
      <c r="P448" s="887">
        <f t="shared" si="199"/>
        <v>0</v>
      </c>
      <c r="Q448" s="1323"/>
      <c r="R448" s="1323"/>
      <c r="S448" s="1323"/>
      <c r="T448" s="1323"/>
      <c r="U448" s="1323"/>
      <c r="V448" s="1323"/>
      <c r="W448" s="1323"/>
      <c r="X448" s="1323"/>
      <c r="Y448" s="1323"/>
      <c r="Z448" s="1323"/>
    </row>
    <row r="449" spans="1:26" ht="18.75" hidden="1">
      <c r="A449" s="1319"/>
      <c r="B449" s="1324"/>
      <c r="C449" s="1320"/>
      <c r="D449" s="1321"/>
      <c r="E449" s="1320" t="s">
        <v>186</v>
      </c>
      <c r="F449" s="1320"/>
      <c r="G449" s="1322"/>
      <c r="H449" s="165" t="s">
        <v>12</v>
      </c>
      <c r="I449" s="886"/>
      <c r="J449" s="886"/>
      <c r="K449" s="887"/>
      <c r="L449" s="887">
        <f ca="1">IFERROR(__xludf.DUMMYFUNCTION("IMPORTRANGE(""https://docs.google.com/spreadsheets/d/1QqKyyYR6Q21VydFLVH3TRQUabQu_ym0Zz7PgGX0-kHA/edit?usp=sharing"",""แผน!FJ85"")"),78360)</f>
        <v>78360</v>
      </c>
      <c r="M449" s="887">
        <f ca="1">L449</f>
        <v>78360</v>
      </c>
      <c r="N449" s="887">
        <f>N450+N451+N452+N453</f>
        <v>15520</v>
      </c>
      <c r="O449" s="887">
        <f t="shared" ca="1" si="198"/>
        <v>19.806023481368044</v>
      </c>
      <c r="P449" s="887">
        <f t="shared" ca="1" si="199"/>
        <v>19.806023481368044</v>
      </c>
      <c r="Q449" s="1323"/>
      <c r="R449" s="1323"/>
      <c r="S449" s="1323"/>
      <c r="T449" s="1323"/>
      <c r="U449" s="1323"/>
      <c r="V449" s="1323"/>
      <c r="W449" s="1323"/>
      <c r="X449" s="1323"/>
      <c r="Y449" s="1323"/>
      <c r="Z449" s="1323"/>
    </row>
    <row r="450" spans="1:26" ht="18.75">
      <c r="A450" s="1299"/>
      <c r="B450" s="1300"/>
      <c r="C450" s="1301"/>
      <c r="D450" s="1301"/>
      <c r="E450" s="1301"/>
      <c r="F450" s="1301" t="s">
        <v>187</v>
      </c>
      <c r="G450" s="1016"/>
      <c r="H450" s="161" t="s">
        <v>12</v>
      </c>
      <c r="I450" s="880"/>
      <c r="J450" s="880"/>
      <c r="K450" s="881"/>
      <c r="L450" s="881"/>
      <c r="M450" s="881"/>
      <c r="N450" s="1085">
        <v>15520</v>
      </c>
      <c r="O450" s="881"/>
      <c r="P450" s="881"/>
      <c r="Q450" s="1302"/>
      <c r="R450" s="1302"/>
      <c r="S450" s="1302"/>
      <c r="T450" s="1302"/>
      <c r="U450" s="1302"/>
      <c r="V450" s="1302"/>
      <c r="W450" s="1302"/>
      <c r="X450" s="1302"/>
      <c r="Y450" s="1302"/>
      <c r="Z450" s="1302"/>
    </row>
    <row r="451" spans="1:26" ht="18.75">
      <c r="A451" s="1299"/>
      <c r="B451" s="1300"/>
      <c r="C451" s="1301"/>
      <c r="D451" s="1301"/>
      <c r="E451" s="1301"/>
      <c r="F451" s="1301" t="s">
        <v>188</v>
      </c>
      <c r="G451" s="1016"/>
      <c r="H451" s="161" t="s">
        <v>12</v>
      </c>
      <c r="I451" s="880"/>
      <c r="J451" s="880"/>
      <c r="K451" s="881"/>
      <c r="L451" s="881"/>
      <c r="M451" s="881"/>
      <c r="N451" s="1085">
        <v>0</v>
      </c>
      <c r="O451" s="881"/>
      <c r="P451" s="881"/>
      <c r="Q451" s="1302"/>
      <c r="R451" s="1302"/>
      <c r="S451" s="1302"/>
      <c r="T451" s="1302"/>
      <c r="U451" s="1302"/>
      <c r="V451" s="1302"/>
      <c r="W451" s="1302"/>
      <c r="X451" s="1302"/>
      <c r="Y451" s="1302"/>
      <c r="Z451" s="1302"/>
    </row>
    <row r="452" spans="1:26" ht="18.75">
      <c r="A452" s="1299"/>
      <c r="B452" s="1300"/>
      <c r="C452" s="1300"/>
      <c r="D452" s="1300"/>
      <c r="E452" s="1300"/>
      <c r="F452" s="1301" t="s">
        <v>189</v>
      </c>
      <c r="G452" s="1016"/>
      <c r="H452" s="161" t="s">
        <v>12</v>
      </c>
      <c r="I452" s="880"/>
      <c r="J452" s="880"/>
      <c r="K452" s="881"/>
      <c r="L452" s="881"/>
      <c r="M452" s="881"/>
      <c r="N452" s="1085">
        <v>0</v>
      </c>
      <c r="O452" s="881"/>
      <c r="P452" s="881"/>
      <c r="Q452" s="1302"/>
      <c r="R452" s="1302"/>
      <c r="S452" s="1302"/>
      <c r="T452" s="1302"/>
      <c r="U452" s="1302"/>
      <c r="V452" s="1302"/>
      <c r="W452" s="1302"/>
      <c r="X452" s="1302"/>
      <c r="Y452" s="1302"/>
      <c r="Z452" s="1302"/>
    </row>
    <row r="453" spans="1:26" ht="18.75">
      <c r="A453" s="1299"/>
      <c r="B453" s="1300"/>
      <c r="C453" s="1300"/>
      <c r="D453" s="1300"/>
      <c r="E453" s="1300"/>
      <c r="F453" s="1301" t="s">
        <v>190</v>
      </c>
      <c r="G453" s="1016"/>
      <c r="H453" s="161" t="s">
        <v>12</v>
      </c>
      <c r="I453" s="880"/>
      <c r="J453" s="880"/>
      <c r="K453" s="881"/>
      <c r="L453" s="881"/>
      <c r="M453" s="881"/>
      <c r="N453" s="1085">
        <v>0</v>
      </c>
      <c r="O453" s="881"/>
      <c r="P453" s="881"/>
      <c r="Q453" s="1302"/>
      <c r="R453" s="1302"/>
      <c r="S453" s="1302"/>
      <c r="T453" s="1302"/>
      <c r="U453" s="1302"/>
      <c r="V453" s="1302"/>
      <c r="W453" s="1302"/>
      <c r="X453" s="1302"/>
      <c r="Y453" s="1302"/>
      <c r="Z453" s="1302"/>
    </row>
    <row r="454" spans="1:26" ht="18.75">
      <c r="A454" s="1317"/>
      <c r="B454" s="1300"/>
      <c r="C454" s="1300"/>
      <c r="D454" s="1325" t="s">
        <v>21</v>
      </c>
      <c r="E454" s="1300"/>
      <c r="F454" s="1301"/>
      <c r="G454" s="1016"/>
      <c r="H454" s="168" t="s">
        <v>12</v>
      </c>
      <c r="I454" s="997"/>
      <c r="J454" s="997"/>
      <c r="K454" s="998"/>
      <c r="L454" s="881">
        <f t="shared" ref="L454:N454" ca="1" si="202">L455+L456</f>
        <v>0</v>
      </c>
      <c r="M454" s="881">
        <f t="shared" si="202"/>
        <v>0</v>
      </c>
      <c r="N454" s="881">
        <f t="shared" si="202"/>
        <v>0</v>
      </c>
      <c r="O454" s="881">
        <f t="shared" ref="O454:O456" ca="1" si="203">IF(L454&gt;0,N454*100/L454,0)</f>
        <v>0</v>
      </c>
      <c r="P454" s="881">
        <f t="shared" ref="P454:P456" si="204">IF(M454&gt;0,N454*100/M454,0)</f>
        <v>0</v>
      </c>
      <c r="Q454" s="1302"/>
      <c r="R454" s="1302"/>
      <c r="S454" s="1302"/>
      <c r="T454" s="1302"/>
      <c r="U454" s="1302"/>
      <c r="V454" s="1302"/>
      <c r="W454" s="1302"/>
      <c r="X454" s="1302"/>
      <c r="Y454" s="1302"/>
      <c r="Z454" s="1302"/>
    </row>
    <row r="455" spans="1:26" ht="18.75" hidden="1">
      <c r="A455" s="1319"/>
      <c r="B455" s="1324"/>
      <c r="C455" s="1324"/>
      <c r="D455" s="1324"/>
      <c r="E455" s="1324" t="s">
        <v>18</v>
      </c>
      <c r="F455" s="1320"/>
      <c r="G455" s="1322"/>
      <c r="H455" s="165" t="s">
        <v>12</v>
      </c>
      <c r="I455" s="1000"/>
      <c r="J455" s="1000"/>
      <c r="K455" s="1001"/>
      <c r="L455" s="887">
        <v>0</v>
      </c>
      <c r="M455" s="887">
        <v>0</v>
      </c>
      <c r="N455" s="887">
        <v>0</v>
      </c>
      <c r="O455" s="887">
        <f t="shared" si="203"/>
        <v>0</v>
      </c>
      <c r="P455" s="887">
        <f t="shared" si="204"/>
        <v>0</v>
      </c>
      <c r="Q455" s="1323"/>
      <c r="R455" s="1323"/>
      <c r="S455" s="1323"/>
      <c r="T455" s="1323"/>
      <c r="U455" s="1323"/>
      <c r="V455" s="1323"/>
      <c r="W455" s="1323"/>
      <c r="X455" s="1323"/>
      <c r="Y455" s="1323"/>
      <c r="Z455" s="1323"/>
    </row>
    <row r="456" spans="1:26" ht="18.75" hidden="1">
      <c r="A456" s="1319"/>
      <c r="B456" s="1324"/>
      <c r="C456" s="1324"/>
      <c r="D456" s="1324"/>
      <c r="E456" s="1324" t="s">
        <v>19</v>
      </c>
      <c r="F456" s="1320"/>
      <c r="G456" s="1322"/>
      <c r="H456" s="169" t="s">
        <v>12</v>
      </c>
      <c r="I456" s="1000"/>
      <c r="J456" s="1000"/>
      <c r="K456" s="1001"/>
      <c r="L456" s="887">
        <f ca="1">IFERROR(__xludf.DUMMYFUNCTION("IMPORTRANGE(""https://docs.google.com/spreadsheets/d/1QqKyyYR6Q21VydFLVH3TRQUabQu_ym0Zz7PgGX0-kHA/edit?usp=sharing"",""แผน!FM85"")"),0)</f>
        <v>0</v>
      </c>
      <c r="M456" s="887">
        <v>0</v>
      </c>
      <c r="N456" s="887">
        <v>0</v>
      </c>
      <c r="O456" s="887">
        <f t="shared" ca="1" si="203"/>
        <v>0</v>
      </c>
      <c r="P456" s="887">
        <f t="shared" si="204"/>
        <v>0</v>
      </c>
      <c r="Q456" s="1323"/>
      <c r="R456" s="1323"/>
      <c r="S456" s="1323"/>
      <c r="T456" s="1323"/>
      <c r="U456" s="1323"/>
      <c r="V456" s="1323"/>
      <c r="W456" s="1323"/>
      <c r="X456" s="1323"/>
      <c r="Y456" s="1323"/>
      <c r="Z456" s="1323"/>
    </row>
    <row r="457" spans="1:26" ht="19.5">
      <c r="A457" s="1326"/>
      <c r="B457" s="1327"/>
      <c r="C457" s="1300" t="s">
        <v>16</v>
      </c>
      <c r="D457" s="1328" t="s">
        <v>38</v>
      </c>
      <c r="E457" s="1329"/>
      <c r="F457" s="1330"/>
      <c r="G457" s="1331"/>
      <c r="H457" s="1007"/>
      <c r="I457" s="880"/>
      <c r="J457" s="880"/>
      <c r="K457" s="881"/>
      <c r="L457" s="881"/>
      <c r="M457" s="881"/>
      <c r="N457" s="881"/>
      <c r="O457" s="881"/>
      <c r="P457" s="881"/>
      <c r="Q457" s="1302"/>
      <c r="R457" s="1302"/>
      <c r="S457" s="1302"/>
      <c r="T457" s="1302"/>
      <c r="U457" s="1302"/>
      <c r="V457" s="1302"/>
      <c r="W457" s="1302"/>
      <c r="X457" s="1302"/>
      <c r="Y457" s="1302"/>
      <c r="Z457" s="1302"/>
    </row>
    <row r="458" spans="1:26" ht="18.75" hidden="1">
      <c r="A458" s="1332"/>
      <c r="B458" s="1333"/>
      <c r="C458" s="1333"/>
      <c r="D458" s="1333" t="s">
        <v>201</v>
      </c>
      <c r="E458" s="1333"/>
      <c r="F458" s="1321"/>
      <c r="G458" s="1113"/>
      <c r="H458" s="370" t="s">
        <v>35</v>
      </c>
      <c r="I458" s="886">
        <v>0</v>
      </c>
      <c r="J458" s="886">
        <v>0</v>
      </c>
      <c r="K458" s="887">
        <f>IF(I458&gt;0,J458*100/I458,0)</f>
        <v>0</v>
      </c>
      <c r="L458" s="887"/>
      <c r="M458" s="887"/>
      <c r="N458" s="887"/>
      <c r="O458" s="887"/>
      <c r="P458" s="887"/>
      <c r="Q458" s="1323"/>
      <c r="R458" s="1323"/>
      <c r="S458" s="1323"/>
      <c r="T458" s="1323"/>
      <c r="U458" s="1323"/>
      <c r="V458" s="1323"/>
      <c r="W458" s="1323"/>
      <c r="X458" s="1323"/>
      <c r="Y458" s="1323"/>
      <c r="Z458" s="1323"/>
    </row>
    <row r="459" spans="1:26" ht="18.75" hidden="1">
      <c r="A459" s="1332"/>
      <c r="B459" s="1333"/>
      <c r="C459" s="1333"/>
      <c r="D459" s="1333" t="s">
        <v>202</v>
      </c>
      <c r="E459" s="1333"/>
      <c r="F459" s="1321"/>
      <c r="G459" s="1113"/>
      <c r="H459" s="370"/>
      <c r="I459" s="886"/>
      <c r="J459" s="886"/>
      <c r="K459" s="887"/>
      <c r="L459" s="887"/>
      <c r="M459" s="887"/>
      <c r="N459" s="887"/>
      <c r="O459" s="887"/>
      <c r="P459" s="887"/>
      <c r="Q459" s="1323"/>
      <c r="R459" s="1323"/>
      <c r="S459" s="1323"/>
      <c r="T459" s="1323"/>
      <c r="U459" s="1323"/>
      <c r="V459" s="1323"/>
      <c r="W459" s="1323"/>
      <c r="X459" s="1323"/>
      <c r="Y459" s="1323"/>
      <c r="Z459" s="1323"/>
    </row>
    <row r="460" spans="1:26" ht="18.75">
      <c r="A460" s="1326"/>
      <c r="B460" s="1327"/>
      <c r="C460" s="1327"/>
      <c r="D460" s="1327" t="s">
        <v>203</v>
      </c>
      <c r="E460" s="1327"/>
      <c r="F460" s="1014"/>
      <c r="G460" s="1007"/>
      <c r="H460" s="762" t="s">
        <v>35</v>
      </c>
      <c r="I460" s="880">
        <f ca="1">IFERROR(__xludf.DUMMYFUNCTION("IMPORTRANGE(""https://docs.google.com/spreadsheets/d/1QqKyyYR6Q21VydFLVH3TRQUabQu_ym0Zz7PgGX0-kHA/edit?usp=sharing"",""แผน!FN85"")"),20)</f>
        <v>20</v>
      </c>
      <c r="J460" s="1012">
        <v>20</v>
      </c>
      <c r="K460" s="881">
        <f ca="1">IF(I460&gt;0,J460*100/I460,0)</f>
        <v>100</v>
      </c>
      <c r="L460" s="881"/>
      <c r="M460" s="881"/>
      <c r="N460" s="881"/>
      <c r="O460" s="881"/>
      <c r="P460" s="881"/>
      <c r="Q460" s="1302"/>
      <c r="R460" s="1302"/>
      <c r="S460" s="1302"/>
      <c r="T460" s="1302"/>
      <c r="U460" s="1302"/>
      <c r="V460" s="1302"/>
      <c r="W460" s="1302"/>
      <c r="X460" s="1302"/>
      <c r="Y460" s="1302"/>
      <c r="Z460" s="1302"/>
    </row>
    <row r="461" spans="1:26" ht="18.75">
      <c r="A461" s="1326"/>
      <c r="B461" s="1327"/>
      <c r="C461" s="1327"/>
      <c r="D461" s="1327" t="s">
        <v>204</v>
      </c>
      <c r="E461" s="1014"/>
      <c r="F461" s="1014"/>
      <c r="G461" s="1007"/>
      <c r="H461" s="762"/>
      <c r="I461" s="880"/>
      <c r="J461" s="880"/>
      <c r="K461" s="881"/>
      <c r="L461" s="881"/>
      <c r="M461" s="881"/>
      <c r="N461" s="881"/>
      <c r="O461" s="881"/>
      <c r="P461" s="881"/>
      <c r="Q461" s="1302"/>
      <c r="R461" s="1302"/>
      <c r="S461" s="1302"/>
      <c r="T461" s="1302"/>
      <c r="U461" s="1302"/>
      <c r="V461" s="1302"/>
      <c r="W461" s="1302"/>
      <c r="X461" s="1302"/>
      <c r="Y461" s="1302"/>
      <c r="Z461" s="1302"/>
    </row>
    <row r="462" spans="1:26" ht="18.75">
      <c r="A462" s="1326"/>
      <c r="B462" s="1327"/>
      <c r="C462" s="1327"/>
      <c r="D462" s="1327" t="s">
        <v>205</v>
      </c>
      <c r="E462" s="1014"/>
      <c r="F462" s="1014"/>
      <c r="G462" s="1007"/>
      <c r="H462" s="762" t="s">
        <v>46</v>
      </c>
      <c r="I462" s="880">
        <f ca="1">IFERROR(__xludf.DUMMYFUNCTION("IMPORTRANGE(""https://docs.google.com/spreadsheets/d/1QqKyyYR6Q21VydFLVH3TRQUabQu_ym0Zz7PgGX0-kHA/edit?usp=sharing"",""แผน!FO85"")"),20)</f>
        <v>20</v>
      </c>
      <c r="J462" s="1012">
        <v>20</v>
      </c>
      <c r="K462" s="881">
        <f ca="1">IF(I462&gt;0,J462*100/I462,0)</f>
        <v>100</v>
      </c>
      <c r="L462" s="881"/>
      <c r="M462" s="881"/>
      <c r="N462" s="881"/>
      <c r="O462" s="881"/>
      <c r="P462" s="881"/>
      <c r="Q462" s="1302"/>
      <c r="R462" s="1302"/>
      <c r="S462" s="1302"/>
      <c r="T462" s="1302"/>
      <c r="U462" s="1302"/>
      <c r="V462" s="1302"/>
      <c r="W462" s="1302"/>
      <c r="X462" s="1302"/>
      <c r="Y462" s="1302"/>
      <c r="Z462" s="1302"/>
    </row>
    <row r="463" spans="1:26" ht="18.75">
      <c r="A463" s="1326"/>
      <c r="B463" s="1327"/>
      <c r="C463" s="1327"/>
      <c r="D463" s="1327" t="s">
        <v>59</v>
      </c>
      <c r="E463" s="1014"/>
      <c r="F463" s="1301"/>
      <c r="G463" s="1016"/>
      <c r="H463" s="762" t="s">
        <v>46</v>
      </c>
      <c r="I463" s="880">
        <f ca="1">IFERROR(__xludf.DUMMYFUNCTION("IMPORTRANGE(""https://docs.google.com/spreadsheets/d/1QqKyyYR6Q21VydFLVH3TRQUabQu_ym0Zz7PgGX0-kHA/edit?usp=sharing"",""แผน!FO85"")"),20)</f>
        <v>20</v>
      </c>
      <c r="J463" s="1012">
        <v>0</v>
      </c>
      <c r="K463" s="881"/>
      <c r="L463" s="881"/>
      <c r="M463" s="881"/>
      <c r="N463" s="881"/>
      <c r="O463" s="881"/>
      <c r="P463" s="881"/>
      <c r="Q463" s="1302"/>
      <c r="R463" s="1302"/>
      <c r="S463" s="1302"/>
      <c r="T463" s="1302"/>
      <c r="U463" s="1302"/>
      <c r="V463" s="1302"/>
      <c r="W463" s="1302"/>
      <c r="X463" s="1302"/>
      <c r="Y463" s="1302"/>
      <c r="Z463" s="1302"/>
    </row>
    <row r="464" spans="1:26" ht="19.5">
      <c r="A464" s="1326"/>
      <c r="B464" s="1327"/>
      <c r="C464" s="1327"/>
      <c r="D464" s="1327"/>
      <c r="E464" s="1014"/>
      <c r="F464" s="1014"/>
      <c r="G464" s="1334"/>
      <c r="H464" s="762" t="s">
        <v>35</v>
      </c>
      <c r="I464" s="880">
        <f ca="1">IFERROR(__xludf.DUMMYFUNCTION("IMPORTRANGE(""https://docs.google.com/spreadsheets/d/1QqKyyYR6Q21VydFLVH3TRQUabQu_ym0Zz7PgGX0-kHA/edit?usp=sharing"",""แผน!FN85"")"),20)</f>
        <v>20</v>
      </c>
      <c r="J464" s="1012">
        <v>0</v>
      </c>
      <c r="K464" s="881"/>
      <c r="L464" s="881"/>
      <c r="M464" s="881"/>
      <c r="N464" s="881"/>
      <c r="O464" s="881"/>
      <c r="P464" s="881"/>
      <c r="Q464" s="1302"/>
      <c r="R464" s="1302"/>
      <c r="S464" s="1302"/>
      <c r="T464" s="1302"/>
      <c r="U464" s="1302"/>
      <c r="V464" s="1302"/>
      <c r="W464" s="1302"/>
      <c r="X464" s="1302"/>
      <c r="Y464" s="1302"/>
      <c r="Z464" s="1302"/>
    </row>
    <row r="465" spans="1:26" ht="19.5">
      <c r="A465" s="584">
        <v>3</v>
      </c>
      <c r="B465" s="1307" t="s">
        <v>206</v>
      </c>
      <c r="C465" s="1308"/>
      <c r="D465" s="1308"/>
      <c r="E465" s="1308"/>
      <c r="F465" s="1308"/>
      <c r="G465" s="1309"/>
      <c r="H465" s="588" t="s">
        <v>35</v>
      </c>
      <c r="I465" s="1310">
        <f ca="1">IFERROR(__xludf.DUMMYFUNCTION("IMPORTRANGE(""https://docs.google.com/spreadsheets/d/1QqKyyYR6Q21VydFLVH3TRQUabQu_ym0Zz7PgGX0-kHA/edit?usp=sharing"",""แผน!FX85"")"),131)</f>
        <v>131</v>
      </c>
      <c r="J465" s="1310">
        <f>J485+J489+J492</f>
        <v>131</v>
      </c>
      <c r="K465" s="1311">
        <f t="shared" ref="K465:K466" ca="1" si="205">IF(I465&gt;0,J465*100/I465,0)</f>
        <v>100</v>
      </c>
      <c r="L465" s="1312"/>
      <c r="M465" s="1312"/>
      <c r="N465" s="1312"/>
      <c r="O465" s="1312"/>
      <c r="P465" s="1312"/>
      <c r="Q465" s="1302"/>
      <c r="R465" s="1302"/>
      <c r="S465" s="1302"/>
      <c r="T465" s="1302"/>
      <c r="U465" s="1302"/>
      <c r="V465" s="1302"/>
      <c r="W465" s="1302"/>
      <c r="X465" s="1302"/>
      <c r="Y465" s="1302"/>
      <c r="Z465" s="1302"/>
    </row>
    <row r="466" spans="1:26" ht="19.5">
      <c r="A466" s="1313"/>
      <c r="B466" s="1314"/>
      <c r="C466" s="1315"/>
      <c r="D466" s="1315"/>
      <c r="E466" s="1315"/>
      <c r="F466" s="1315"/>
      <c r="G466" s="1316"/>
      <c r="H466" s="568" t="s">
        <v>46</v>
      </c>
      <c r="I466" s="1294">
        <f ca="1">IFERROR(__xludf.DUMMYFUNCTION("IMPORTRANGE(""https://docs.google.com/spreadsheets/d/1QqKyyYR6Q21VydFLVH3TRQUabQu_ym0Zz7PgGX0-kHA/edit?usp=sharing"",""แผน!FW85"")"),1300)</f>
        <v>1300</v>
      </c>
      <c r="J466" s="1294">
        <f>J495+J498</f>
        <v>0</v>
      </c>
      <c r="K466" s="1295">
        <f t="shared" ca="1" si="205"/>
        <v>0</v>
      </c>
      <c r="L466" s="1296"/>
      <c r="M466" s="1296"/>
      <c r="N466" s="1296"/>
      <c r="O466" s="1296"/>
      <c r="P466" s="1296"/>
      <c r="Q466" s="1302"/>
      <c r="R466" s="1302"/>
      <c r="S466" s="1302"/>
      <c r="T466" s="1302"/>
      <c r="U466" s="1302"/>
      <c r="V466" s="1302"/>
      <c r="W466" s="1302"/>
      <c r="X466" s="1302"/>
      <c r="Y466" s="1302"/>
      <c r="Z466" s="1302"/>
    </row>
    <row r="467" spans="1:26" ht="19.5">
      <c r="A467" s="1317"/>
      <c r="B467" s="1301"/>
      <c r="C467" s="1301" t="s">
        <v>16</v>
      </c>
      <c r="D467" s="1318" t="s">
        <v>17</v>
      </c>
      <c r="E467" s="841"/>
      <c r="F467" s="841"/>
      <c r="G467" s="1016"/>
      <c r="H467" s="597" t="s">
        <v>12</v>
      </c>
      <c r="I467" s="880"/>
      <c r="J467" s="880"/>
      <c r="K467" s="881"/>
      <c r="L467" s="1020">
        <f t="shared" ref="L467:N467" ca="1" si="206">L468+L469</f>
        <v>1172908</v>
      </c>
      <c r="M467" s="1020">
        <f t="shared" ca="1" si="206"/>
        <v>1172908</v>
      </c>
      <c r="N467" s="1020">
        <f t="shared" si="206"/>
        <v>249094.72</v>
      </c>
      <c r="O467" s="1020">
        <f t="shared" ref="O467:O472" ca="1" si="207">IF(L467&gt;0,N467*100/L467,0)</f>
        <v>21.237362180153941</v>
      </c>
      <c r="P467" s="1020">
        <f t="shared" ref="P467:P472" ca="1" si="208">IF(M467&gt;0,N467*100/M467,0)</f>
        <v>21.237362180153941</v>
      </c>
      <c r="Q467" s="1302"/>
      <c r="R467" s="1302"/>
      <c r="S467" s="1302"/>
      <c r="T467" s="1302"/>
      <c r="U467" s="1302"/>
      <c r="V467" s="1302"/>
      <c r="W467" s="1302"/>
      <c r="X467" s="1302"/>
      <c r="Y467" s="1302"/>
      <c r="Z467" s="1302"/>
    </row>
    <row r="468" spans="1:26" ht="18.75" hidden="1">
      <c r="A468" s="1319"/>
      <c r="B468" s="1320"/>
      <c r="C468" s="1320"/>
      <c r="D468" s="1321"/>
      <c r="E468" s="1320" t="s">
        <v>185</v>
      </c>
      <c r="F468" s="1320"/>
      <c r="G468" s="1322"/>
      <c r="H468" s="165" t="s">
        <v>12</v>
      </c>
      <c r="I468" s="886"/>
      <c r="J468" s="886"/>
      <c r="K468" s="887"/>
      <c r="L468" s="887">
        <f t="shared" ref="L468:N469" si="209">L471+L478</f>
        <v>0</v>
      </c>
      <c r="M468" s="887">
        <f t="shared" si="209"/>
        <v>0</v>
      </c>
      <c r="N468" s="887">
        <f t="shared" si="209"/>
        <v>0</v>
      </c>
      <c r="O468" s="887">
        <f t="shared" si="207"/>
        <v>0</v>
      </c>
      <c r="P468" s="887">
        <f t="shared" si="208"/>
        <v>0</v>
      </c>
      <c r="Q468" s="1323"/>
      <c r="R468" s="1323"/>
      <c r="S468" s="1323"/>
      <c r="T468" s="1323"/>
      <c r="U468" s="1323"/>
      <c r="V468" s="1323"/>
      <c r="W468" s="1323"/>
      <c r="X468" s="1323"/>
      <c r="Y468" s="1323"/>
      <c r="Z468" s="1323"/>
    </row>
    <row r="469" spans="1:26" ht="18.75" hidden="1">
      <c r="A469" s="1319"/>
      <c r="B469" s="1324"/>
      <c r="C469" s="1320"/>
      <c r="D469" s="1321"/>
      <c r="E469" s="1320" t="s">
        <v>186</v>
      </c>
      <c r="F469" s="1320"/>
      <c r="G469" s="1322"/>
      <c r="H469" s="165" t="s">
        <v>12</v>
      </c>
      <c r="I469" s="886"/>
      <c r="J469" s="886"/>
      <c r="K469" s="887"/>
      <c r="L469" s="887">
        <f t="shared" ca="1" si="209"/>
        <v>1172908</v>
      </c>
      <c r="M469" s="887">
        <f t="shared" ca="1" si="209"/>
        <v>1172908</v>
      </c>
      <c r="N469" s="887">
        <f t="shared" si="209"/>
        <v>249094.72</v>
      </c>
      <c r="O469" s="887">
        <f t="shared" ca="1" si="207"/>
        <v>21.237362180153941</v>
      </c>
      <c r="P469" s="887">
        <f t="shared" ca="1" si="208"/>
        <v>21.237362180153941</v>
      </c>
      <c r="Q469" s="1323"/>
      <c r="R469" s="1323"/>
      <c r="S469" s="1323"/>
      <c r="T469" s="1323"/>
      <c r="U469" s="1323"/>
      <c r="V469" s="1323"/>
      <c r="W469" s="1323"/>
      <c r="X469" s="1323"/>
      <c r="Y469" s="1323"/>
      <c r="Z469" s="1323"/>
    </row>
    <row r="470" spans="1:26" ht="18.75">
      <c r="A470" s="1317"/>
      <c r="B470" s="1300"/>
      <c r="C470" s="1301"/>
      <c r="D470" s="1325" t="s">
        <v>20</v>
      </c>
      <c r="E470" s="1301"/>
      <c r="F470" s="1301"/>
      <c r="G470" s="1016"/>
      <c r="H470" s="161" t="s">
        <v>12</v>
      </c>
      <c r="I470" s="997"/>
      <c r="J470" s="997"/>
      <c r="K470" s="998"/>
      <c r="L470" s="881">
        <f t="shared" ref="L470:N470" ca="1" si="210">L471+L472</f>
        <v>1172908</v>
      </c>
      <c r="M470" s="881">
        <f t="shared" ca="1" si="210"/>
        <v>1172908</v>
      </c>
      <c r="N470" s="881">
        <f t="shared" si="210"/>
        <v>249094.72</v>
      </c>
      <c r="O470" s="881">
        <f t="shared" ca="1" si="207"/>
        <v>21.237362180153941</v>
      </c>
      <c r="P470" s="881">
        <f t="shared" ca="1" si="208"/>
        <v>21.237362180153941</v>
      </c>
      <c r="Q470" s="1302"/>
      <c r="R470" s="1302"/>
      <c r="S470" s="1302"/>
      <c r="T470" s="1302"/>
      <c r="U470" s="1302"/>
      <c r="V470" s="1302"/>
      <c r="W470" s="1302"/>
      <c r="X470" s="1302"/>
      <c r="Y470" s="1302"/>
      <c r="Z470" s="1302"/>
    </row>
    <row r="471" spans="1:26" ht="18.75" hidden="1">
      <c r="A471" s="1319"/>
      <c r="B471" s="1324"/>
      <c r="C471" s="1320"/>
      <c r="D471" s="1321"/>
      <c r="E471" s="1320" t="s">
        <v>185</v>
      </c>
      <c r="F471" s="1320"/>
      <c r="G471" s="1322"/>
      <c r="H471" s="165" t="s">
        <v>12</v>
      </c>
      <c r="I471" s="886"/>
      <c r="J471" s="886"/>
      <c r="K471" s="887"/>
      <c r="L471" s="887">
        <v>0</v>
      </c>
      <c r="M471" s="887">
        <v>0</v>
      </c>
      <c r="N471" s="887">
        <v>0</v>
      </c>
      <c r="O471" s="887">
        <f t="shared" si="207"/>
        <v>0</v>
      </c>
      <c r="P471" s="887">
        <f t="shared" si="208"/>
        <v>0</v>
      </c>
      <c r="Q471" s="1323"/>
      <c r="R471" s="1323"/>
      <c r="S471" s="1323"/>
      <c r="T471" s="1323"/>
      <c r="U471" s="1323"/>
      <c r="V471" s="1323"/>
      <c r="W471" s="1323"/>
      <c r="X471" s="1323"/>
      <c r="Y471" s="1323"/>
      <c r="Z471" s="1323"/>
    </row>
    <row r="472" spans="1:26" ht="18.75" hidden="1">
      <c r="A472" s="1319"/>
      <c r="B472" s="1324"/>
      <c r="C472" s="1320"/>
      <c r="D472" s="1321"/>
      <c r="E472" s="1320" t="s">
        <v>186</v>
      </c>
      <c r="F472" s="1320"/>
      <c r="G472" s="1322"/>
      <c r="H472" s="165" t="s">
        <v>12</v>
      </c>
      <c r="I472" s="886"/>
      <c r="J472" s="886"/>
      <c r="K472" s="887"/>
      <c r="L472" s="887">
        <f ca="1">IFERROR(__xludf.DUMMYFUNCTION("IMPORTRANGE(""https://docs.google.com/spreadsheets/d/1QqKyyYR6Q21VydFLVH3TRQUabQu_ym0Zz7PgGX0-kHA/edit?usp=sharing"",""แผน!FS85"")"),1172908)</f>
        <v>1172908</v>
      </c>
      <c r="M472" s="887">
        <f ca="1">L472</f>
        <v>1172908</v>
      </c>
      <c r="N472" s="887">
        <f>N473+N474+N475+N476</f>
        <v>249094.72</v>
      </c>
      <c r="O472" s="887">
        <f t="shared" ca="1" si="207"/>
        <v>21.237362180153941</v>
      </c>
      <c r="P472" s="887">
        <f t="shared" ca="1" si="208"/>
        <v>21.237362180153941</v>
      </c>
      <c r="Q472" s="1323"/>
      <c r="R472" s="1323"/>
      <c r="S472" s="1323"/>
      <c r="T472" s="1323"/>
      <c r="U472" s="1323"/>
      <c r="V472" s="1323"/>
      <c r="W472" s="1323"/>
      <c r="X472" s="1323"/>
      <c r="Y472" s="1323"/>
      <c r="Z472" s="1323"/>
    </row>
    <row r="473" spans="1:26" ht="18.75">
      <c r="A473" s="1299"/>
      <c r="B473" s="1300"/>
      <c r="C473" s="1301"/>
      <c r="D473" s="1301"/>
      <c r="E473" s="1301"/>
      <c r="F473" s="1301" t="s">
        <v>187</v>
      </c>
      <c r="G473" s="1016"/>
      <c r="H473" s="161" t="s">
        <v>12</v>
      </c>
      <c r="I473" s="880"/>
      <c r="J473" s="880"/>
      <c r="K473" s="881"/>
      <c r="L473" s="881"/>
      <c r="M473" s="881"/>
      <c r="N473" s="1085">
        <v>161485</v>
      </c>
      <c r="O473" s="881"/>
      <c r="P473" s="881"/>
      <c r="Q473" s="1302"/>
      <c r="R473" s="1302"/>
      <c r="S473" s="1302"/>
      <c r="T473" s="1302"/>
      <c r="U473" s="1302"/>
      <c r="V473" s="1302"/>
      <c r="W473" s="1302"/>
      <c r="X473" s="1302"/>
      <c r="Y473" s="1302"/>
      <c r="Z473" s="1302"/>
    </row>
    <row r="474" spans="1:26" ht="18.75">
      <c r="A474" s="1299"/>
      <c r="B474" s="1300"/>
      <c r="C474" s="1301"/>
      <c r="D474" s="1301"/>
      <c r="E474" s="1301"/>
      <c r="F474" s="1301" t="s">
        <v>188</v>
      </c>
      <c r="G474" s="1016"/>
      <c r="H474" s="161" t="s">
        <v>12</v>
      </c>
      <c r="I474" s="880"/>
      <c r="J474" s="880"/>
      <c r="K474" s="881"/>
      <c r="L474" s="881"/>
      <c r="M474" s="881"/>
      <c r="N474" s="1085">
        <v>0</v>
      </c>
      <c r="O474" s="881"/>
      <c r="P474" s="881"/>
      <c r="Q474" s="1302"/>
      <c r="R474" s="1302"/>
      <c r="S474" s="1302"/>
      <c r="T474" s="1302"/>
      <c r="U474" s="1302"/>
      <c r="V474" s="1302"/>
      <c r="W474" s="1302"/>
      <c r="X474" s="1302"/>
      <c r="Y474" s="1302"/>
      <c r="Z474" s="1302"/>
    </row>
    <row r="475" spans="1:26" ht="18.75">
      <c r="A475" s="1299"/>
      <c r="B475" s="1300"/>
      <c r="C475" s="1300"/>
      <c r="D475" s="1300"/>
      <c r="E475" s="1300"/>
      <c r="F475" s="1301" t="s">
        <v>189</v>
      </c>
      <c r="G475" s="1016"/>
      <c r="H475" s="161" t="s">
        <v>12</v>
      </c>
      <c r="I475" s="880"/>
      <c r="J475" s="880"/>
      <c r="K475" s="881"/>
      <c r="L475" s="881"/>
      <c r="M475" s="881"/>
      <c r="N475" s="1085">
        <v>65000</v>
      </c>
      <c r="O475" s="881"/>
      <c r="P475" s="881"/>
      <c r="Q475" s="1302"/>
      <c r="R475" s="1302"/>
      <c r="S475" s="1302"/>
      <c r="T475" s="1302"/>
      <c r="U475" s="1302"/>
      <c r="V475" s="1302"/>
      <c r="W475" s="1302"/>
      <c r="X475" s="1302"/>
      <c r="Y475" s="1302"/>
      <c r="Z475" s="1302"/>
    </row>
    <row r="476" spans="1:26" ht="18.75">
      <c r="A476" s="1299"/>
      <c r="B476" s="1300"/>
      <c r="C476" s="1300"/>
      <c r="D476" s="1300"/>
      <c r="E476" s="1300"/>
      <c r="F476" s="1301" t="s">
        <v>190</v>
      </c>
      <c r="G476" s="1016"/>
      <c r="H476" s="161" t="s">
        <v>12</v>
      </c>
      <c r="I476" s="880"/>
      <c r="J476" s="880"/>
      <c r="K476" s="881"/>
      <c r="L476" s="881"/>
      <c r="M476" s="881"/>
      <c r="N476" s="1085">
        <v>22609.72</v>
      </c>
      <c r="O476" s="881"/>
      <c r="P476" s="881"/>
      <c r="Q476" s="1302"/>
      <c r="R476" s="1302"/>
      <c r="S476" s="1302"/>
      <c r="T476" s="1302"/>
      <c r="U476" s="1302"/>
      <c r="V476" s="1302"/>
      <c r="W476" s="1302"/>
      <c r="X476" s="1302"/>
      <c r="Y476" s="1302"/>
      <c r="Z476" s="1302"/>
    </row>
    <row r="477" spans="1:26" ht="18.75">
      <c r="A477" s="1317"/>
      <c r="B477" s="1300"/>
      <c r="C477" s="1300"/>
      <c r="D477" s="1325" t="s">
        <v>21</v>
      </c>
      <c r="E477" s="1300"/>
      <c r="F477" s="1300"/>
      <c r="G477" s="1016"/>
      <c r="H477" s="168" t="s">
        <v>12</v>
      </c>
      <c r="I477" s="997"/>
      <c r="J477" s="997"/>
      <c r="K477" s="998"/>
      <c r="L477" s="881">
        <f t="shared" ref="L477:N477" ca="1" si="211">L478+L479</f>
        <v>0</v>
      </c>
      <c r="M477" s="881">
        <f t="shared" si="211"/>
        <v>0</v>
      </c>
      <c r="N477" s="881">
        <f t="shared" si="211"/>
        <v>0</v>
      </c>
      <c r="O477" s="881">
        <f t="shared" ref="O477:O479" ca="1" si="212">IF(L477&gt;0,N477*100/L477,0)</f>
        <v>0</v>
      </c>
      <c r="P477" s="881">
        <f t="shared" ref="P477:P479" si="213">IF(M477&gt;0,N477*100/M477,0)</f>
        <v>0</v>
      </c>
      <c r="Q477" s="1302"/>
      <c r="R477" s="1302"/>
      <c r="S477" s="1302"/>
      <c r="T477" s="1302"/>
      <c r="U477" s="1302"/>
      <c r="V477" s="1302"/>
      <c r="W477" s="1302"/>
      <c r="X477" s="1302"/>
      <c r="Y477" s="1302"/>
      <c r="Z477" s="1302"/>
    </row>
    <row r="478" spans="1:26" ht="18.75" hidden="1">
      <c r="A478" s="1319"/>
      <c r="B478" s="1324"/>
      <c r="C478" s="1324"/>
      <c r="D478" s="1324"/>
      <c r="E478" s="1324" t="s">
        <v>18</v>
      </c>
      <c r="F478" s="1324"/>
      <c r="G478" s="1322"/>
      <c r="H478" s="165" t="s">
        <v>12</v>
      </c>
      <c r="I478" s="1000"/>
      <c r="J478" s="1000"/>
      <c r="K478" s="1001"/>
      <c r="L478" s="887">
        <v>0</v>
      </c>
      <c r="M478" s="887">
        <v>0</v>
      </c>
      <c r="N478" s="887">
        <v>0</v>
      </c>
      <c r="O478" s="887">
        <f t="shared" si="212"/>
        <v>0</v>
      </c>
      <c r="P478" s="887">
        <f t="shared" si="213"/>
        <v>0</v>
      </c>
      <c r="Q478" s="1323"/>
      <c r="R478" s="1323"/>
      <c r="S478" s="1323"/>
      <c r="T478" s="1323"/>
      <c r="U478" s="1323"/>
      <c r="V478" s="1323"/>
      <c r="W478" s="1323"/>
      <c r="X478" s="1323"/>
      <c r="Y478" s="1323"/>
      <c r="Z478" s="1323"/>
    </row>
    <row r="479" spans="1:26" ht="18.75" hidden="1">
      <c r="A479" s="1319"/>
      <c r="B479" s="1324"/>
      <c r="C479" s="1324"/>
      <c r="D479" s="1324"/>
      <c r="E479" s="1324" t="s">
        <v>19</v>
      </c>
      <c r="F479" s="1324"/>
      <c r="G479" s="1322"/>
      <c r="H479" s="169" t="s">
        <v>12</v>
      </c>
      <c r="I479" s="1000"/>
      <c r="J479" s="1000"/>
      <c r="K479" s="1001"/>
      <c r="L479" s="887">
        <f ca="1">IFERROR(__xludf.DUMMYFUNCTION("IMPORTRANGE(""https://docs.google.com/spreadsheets/d/1QqKyyYR6Q21VydFLVH3TRQUabQu_ym0Zz7PgGX0-kHA/edit?usp=sharing"",""แผน!FV85"")"),0)</f>
        <v>0</v>
      </c>
      <c r="M479" s="887">
        <v>0</v>
      </c>
      <c r="N479" s="887">
        <v>0</v>
      </c>
      <c r="O479" s="887">
        <f t="shared" ca="1" si="212"/>
        <v>0</v>
      </c>
      <c r="P479" s="887">
        <f t="shared" si="213"/>
        <v>0</v>
      </c>
      <c r="Q479" s="1323"/>
      <c r="R479" s="1323"/>
      <c r="S479" s="1323"/>
      <c r="T479" s="1323"/>
      <c r="U479" s="1323"/>
      <c r="V479" s="1323"/>
      <c r="W479" s="1323"/>
      <c r="X479" s="1323"/>
      <c r="Y479" s="1323"/>
      <c r="Z479" s="1323"/>
    </row>
    <row r="480" spans="1:26" ht="19.5">
      <c r="A480" s="1326"/>
      <c r="B480" s="1327"/>
      <c r="C480" s="1300" t="s">
        <v>16</v>
      </c>
      <c r="D480" s="1335" t="s">
        <v>38</v>
      </c>
      <c r="E480" s="1329"/>
      <c r="F480" s="1330"/>
      <c r="G480" s="1331"/>
      <c r="H480" s="1007"/>
      <c r="I480" s="880"/>
      <c r="J480" s="880"/>
      <c r="K480" s="881"/>
      <c r="L480" s="881"/>
      <c r="M480" s="881"/>
      <c r="N480" s="881"/>
      <c r="O480" s="881"/>
      <c r="P480" s="881"/>
      <c r="Q480" s="1302"/>
      <c r="R480" s="1302"/>
      <c r="S480" s="1302"/>
      <c r="T480" s="1302"/>
      <c r="U480" s="1302"/>
      <c r="V480" s="1302"/>
      <c r="W480" s="1302"/>
      <c r="X480" s="1302"/>
      <c r="Y480" s="1302"/>
      <c r="Z480" s="1302"/>
    </row>
    <row r="481" spans="1:26" ht="19.5">
      <c r="A481" s="1326"/>
      <c r="B481" s="1327"/>
      <c r="C481" s="1327"/>
      <c r="D481" s="1336" t="s">
        <v>207</v>
      </c>
      <c r="E481" s="1327"/>
      <c r="F481" s="1327"/>
      <c r="G481" s="1007"/>
      <c r="H481" s="1016"/>
      <c r="I481" s="880"/>
      <c r="J481" s="880"/>
      <c r="K481" s="881"/>
      <c r="L481" s="881"/>
      <c r="M481" s="881"/>
      <c r="N481" s="881"/>
      <c r="O481" s="881"/>
      <c r="P481" s="881"/>
      <c r="Q481" s="1302"/>
      <c r="R481" s="1302"/>
      <c r="S481" s="1302"/>
      <c r="T481" s="1302"/>
      <c r="U481" s="1302"/>
      <c r="V481" s="1302"/>
      <c r="W481" s="1302"/>
      <c r="X481" s="1302"/>
      <c r="Y481" s="1302"/>
      <c r="Z481" s="1302"/>
    </row>
    <row r="482" spans="1:26" ht="18.75">
      <c r="A482" s="1326"/>
      <c r="B482" s="1327"/>
      <c r="C482" s="1327"/>
      <c r="D482" s="1327"/>
      <c r="E482" s="1327" t="s">
        <v>208</v>
      </c>
      <c r="F482" s="1327"/>
      <c r="G482" s="1007"/>
      <c r="H482" s="1016"/>
      <c r="I482" s="880"/>
      <c r="J482" s="880"/>
      <c r="K482" s="881"/>
      <c r="L482" s="881"/>
      <c r="M482" s="881"/>
      <c r="N482" s="881"/>
      <c r="O482" s="881"/>
      <c r="P482" s="881"/>
      <c r="Q482" s="1302"/>
      <c r="R482" s="1302"/>
      <c r="S482" s="1302"/>
      <c r="T482" s="1302"/>
      <c r="U482" s="1302"/>
      <c r="V482" s="1302"/>
      <c r="W482" s="1302"/>
      <c r="X482" s="1302"/>
      <c r="Y482" s="1302"/>
      <c r="Z482" s="1302"/>
    </row>
    <row r="483" spans="1:26" ht="18.75">
      <c r="A483" s="1326"/>
      <c r="B483" s="1327"/>
      <c r="C483" s="1327"/>
      <c r="D483" s="1327"/>
      <c r="E483" s="1327"/>
      <c r="F483" s="1327" t="s">
        <v>209</v>
      </c>
      <c r="G483" s="1007"/>
      <c r="H483" s="622" t="s">
        <v>46</v>
      </c>
      <c r="I483" s="880">
        <f ca="1">IFERROR(__xludf.DUMMYFUNCTION("IMPORTRANGE(""https://docs.google.com/spreadsheets/d/1QqKyyYR6Q21VydFLVH3TRQUabQu_ym0Zz7PgGX0-kHA/edit?usp=sharing"",""แผน!FY85"")"),1170)</f>
        <v>1170</v>
      </c>
      <c r="J483" s="1012">
        <v>1455</v>
      </c>
      <c r="K483" s="881">
        <f ca="1">IF(I483&gt;0,J483*100/I483,0)</f>
        <v>124.35897435897436</v>
      </c>
      <c r="L483" s="881"/>
      <c r="M483" s="881"/>
      <c r="N483" s="881"/>
      <c r="O483" s="881"/>
      <c r="P483" s="881"/>
      <c r="Q483" s="1302"/>
      <c r="R483" s="1302"/>
      <c r="S483" s="1302"/>
      <c r="T483" s="1302"/>
      <c r="U483" s="1302"/>
      <c r="V483" s="1302"/>
      <c r="W483" s="1302"/>
      <c r="X483" s="1302"/>
      <c r="Y483" s="1302"/>
      <c r="Z483" s="1302"/>
    </row>
    <row r="484" spans="1:26" ht="18.75">
      <c r="A484" s="1326"/>
      <c r="B484" s="1327"/>
      <c r="C484" s="1327"/>
      <c r="D484" s="1327"/>
      <c r="E484" s="1327"/>
      <c r="F484" s="1327" t="s">
        <v>210</v>
      </c>
      <c r="G484" s="1007"/>
      <c r="H484" s="622" t="s">
        <v>35</v>
      </c>
      <c r="I484" s="880"/>
      <c r="J484" s="1012">
        <v>0</v>
      </c>
      <c r="K484" s="881"/>
      <c r="L484" s="881"/>
      <c r="M484" s="881"/>
      <c r="N484" s="881"/>
      <c r="O484" s="881"/>
      <c r="P484" s="881"/>
      <c r="Q484" s="1302"/>
      <c r="R484" s="1302"/>
      <c r="S484" s="1302"/>
      <c r="T484" s="1302"/>
      <c r="U484" s="1302"/>
      <c r="V484" s="1302"/>
      <c r="W484" s="1302"/>
      <c r="X484" s="1302"/>
      <c r="Y484" s="1302"/>
      <c r="Z484" s="1302"/>
    </row>
    <row r="485" spans="1:26" ht="18.75">
      <c r="A485" s="1326"/>
      <c r="B485" s="1327"/>
      <c r="C485" s="1327"/>
      <c r="D485" s="1327"/>
      <c r="E485" s="1327"/>
      <c r="F485" s="1327" t="s">
        <v>211</v>
      </c>
      <c r="G485" s="1007"/>
      <c r="H485" s="622" t="s">
        <v>35</v>
      </c>
      <c r="I485" s="880">
        <f ca="1">IFERROR(__xludf.DUMMYFUNCTION("IMPORTRANGE(""https://docs.google.com/spreadsheets/d/1QqKyyYR6Q21VydFLVH3TRQUabQu_ym0Zz7PgGX0-kHA/edit?usp=sharing"",""แผน!FZ85"")"),117)</f>
        <v>117</v>
      </c>
      <c r="J485" s="1012">
        <v>117</v>
      </c>
      <c r="K485" s="881">
        <f ca="1">IF(I485&gt;0,J485*100/I485,0)</f>
        <v>100</v>
      </c>
      <c r="L485" s="881"/>
      <c r="M485" s="881"/>
      <c r="N485" s="881"/>
      <c r="O485" s="881"/>
      <c r="P485" s="881"/>
      <c r="Q485" s="1302"/>
      <c r="R485" s="1302"/>
      <c r="S485" s="1302"/>
      <c r="T485" s="1302"/>
      <c r="U485" s="1302"/>
      <c r="V485" s="1302"/>
      <c r="W485" s="1302"/>
      <c r="X485" s="1302"/>
      <c r="Y485" s="1302"/>
      <c r="Z485" s="1302"/>
    </row>
    <row r="486" spans="1:26" ht="18.75">
      <c r="A486" s="1326"/>
      <c r="B486" s="1327"/>
      <c r="C486" s="1327"/>
      <c r="D486" s="1327"/>
      <c r="E486" s="1327" t="s">
        <v>62</v>
      </c>
      <c r="F486" s="1327"/>
      <c r="G486" s="1007"/>
      <c r="H486" s="622"/>
      <c r="I486" s="880"/>
      <c r="J486" s="880"/>
      <c r="K486" s="881"/>
      <c r="L486" s="881"/>
      <c r="M486" s="881"/>
      <c r="N486" s="881"/>
      <c r="O486" s="881"/>
      <c r="P486" s="881"/>
      <c r="Q486" s="1302"/>
      <c r="R486" s="1302"/>
      <c r="S486" s="1302"/>
      <c r="T486" s="1302"/>
      <c r="U486" s="1302"/>
      <c r="V486" s="1302"/>
      <c r="W486" s="1302"/>
      <c r="X486" s="1302"/>
      <c r="Y486" s="1302"/>
      <c r="Z486" s="1302"/>
    </row>
    <row r="487" spans="1:26" ht="18.75">
      <c r="A487" s="1326"/>
      <c r="B487" s="1327"/>
      <c r="C487" s="1327"/>
      <c r="D487" s="1327"/>
      <c r="E487" s="1327"/>
      <c r="F487" s="1327" t="s">
        <v>209</v>
      </c>
      <c r="G487" s="1007"/>
      <c r="H487" s="622" t="s">
        <v>46</v>
      </c>
      <c r="I487" s="880">
        <f ca="1">IFERROR(__xludf.DUMMYFUNCTION("IMPORTRANGE(""https://docs.google.com/spreadsheets/d/1QqKyyYR6Q21VydFLVH3TRQUabQu_ym0Zz7PgGX0-kHA/edit?usp=sharing"",""แผน!GA85"")"),130)</f>
        <v>130</v>
      </c>
      <c r="J487" s="1012">
        <v>159</v>
      </c>
      <c r="K487" s="881">
        <f ca="1">IF(I487&gt;0,J487*100/I487,0)</f>
        <v>122.30769230769231</v>
      </c>
      <c r="L487" s="881"/>
      <c r="M487" s="881"/>
      <c r="N487" s="881"/>
      <c r="O487" s="881"/>
      <c r="P487" s="881"/>
      <c r="Q487" s="1302"/>
      <c r="R487" s="1302"/>
      <c r="S487" s="1302"/>
      <c r="T487" s="1302"/>
      <c r="U487" s="1302"/>
      <c r="V487" s="1302"/>
      <c r="W487" s="1302"/>
      <c r="X487" s="1302"/>
      <c r="Y487" s="1302"/>
      <c r="Z487" s="1302"/>
    </row>
    <row r="488" spans="1:26" ht="18.75">
      <c r="A488" s="1326"/>
      <c r="B488" s="1327"/>
      <c r="C488" s="1327"/>
      <c r="D488" s="1327"/>
      <c r="E488" s="1327"/>
      <c r="F488" s="1327" t="s">
        <v>212</v>
      </c>
      <c r="G488" s="1007"/>
      <c r="H488" s="622" t="s">
        <v>35</v>
      </c>
      <c r="I488" s="880"/>
      <c r="J488" s="1012">
        <v>0</v>
      </c>
      <c r="K488" s="881"/>
      <c r="L488" s="881"/>
      <c r="M488" s="881"/>
      <c r="N488" s="881"/>
      <c r="O488" s="881"/>
      <c r="P488" s="881"/>
      <c r="Q488" s="1302"/>
      <c r="R488" s="1302"/>
      <c r="S488" s="1302"/>
      <c r="T488" s="1302"/>
      <c r="U488" s="1302"/>
      <c r="V488" s="1302"/>
      <c r="W488" s="1302"/>
      <c r="X488" s="1302"/>
      <c r="Y488" s="1302"/>
      <c r="Z488" s="1302"/>
    </row>
    <row r="489" spans="1:26" ht="18.75">
      <c r="A489" s="1326"/>
      <c r="B489" s="1327"/>
      <c r="C489" s="1327"/>
      <c r="D489" s="1327"/>
      <c r="E489" s="1327"/>
      <c r="F489" s="1327" t="s">
        <v>213</v>
      </c>
      <c r="G489" s="1007"/>
      <c r="H489" s="622" t="s">
        <v>35</v>
      </c>
      <c r="I489" s="880">
        <f ca="1">IFERROR(__xludf.DUMMYFUNCTION("IMPORTRANGE(""https://docs.google.com/spreadsheets/d/1QqKyyYR6Q21VydFLVH3TRQUabQu_ym0Zz7PgGX0-kHA/edit?usp=sharing"",""แผน!GB85"")"),13)</f>
        <v>13</v>
      </c>
      <c r="J489" s="1012">
        <v>13</v>
      </c>
      <c r="K489" s="881">
        <f ca="1">IF(I489&gt;0,J489*100/I489,0)</f>
        <v>100</v>
      </c>
      <c r="L489" s="881"/>
      <c r="M489" s="881"/>
      <c r="N489" s="881"/>
      <c r="O489" s="881"/>
      <c r="P489" s="881"/>
      <c r="Q489" s="1302"/>
      <c r="R489" s="1302"/>
      <c r="S489" s="1302"/>
      <c r="T489" s="1302"/>
      <c r="U489" s="1302"/>
      <c r="V489" s="1302"/>
      <c r="W489" s="1302"/>
      <c r="X489" s="1302"/>
      <c r="Y489" s="1302"/>
      <c r="Z489" s="1302"/>
    </row>
    <row r="490" spans="1:26" ht="18.75">
      <c r="A490" s="1326"/>
      <c r="B490" s="1327"/>
      <c r="C490" s="1327"/>
      <c r="D490" s="1327"/>
      <c r="E490" s="1327" t="s">
        <v>63</v>
      </c>
      <c r="F490" s="1014"/>
      <c r="G490" s="1007"/>
      <c r="H490" s="622"/>
      <c r="I490" s="880"/>
      <c r="J490" s="880"/>
      <c r="K490" s="881"/>
      <c r="L490" s="881"/>
      <c r="M490" s="881"/>
      <c r="N490" s="881"/>
      <c r="O490" s="881"/>
      <c r="P490" s="881"/>
      <c r="Q490" s="1302"/>
      <c r="R490" s="1302"/>
      <c r="S490" s="1302"/>
      <c r="T490" s="1302"/>
      <c r="U490" s="1302"/>
      <c r="V490" s="1302"/>
      <c r="W490" s="1302"/>
      <c r="X490" s="1302"/>
      <c r="Y490" s="1302"/>
      <c r="Z490" s="1302"/>
    </row>
    <row r="491" spans="1:26" ht="18.75">
      <c r="A491" s="1326"/>
      <c r="B491" s="1327"/>
      <c r="C491" s="1327"/>
      <c r="D491" s="1327"/>
      <c r="E491" s="1327"/>
      <c r="F491" s="1327" t="s">
        <v>214</v>
      </c>
      <c r="G491" s="1007"/>
      <c r="H491" s="622" t="s">
        <v>35</v>
      </c>
      <c r="I491" s="880"/>
      <c r="J491" s="1012">
        <v>1</v>
      </c>
      <c r="K491" s="881"/>
      <c r="L491" s="881"/>
      <c r="M491" s="881"/>
      <c r="N491" s="881"/>
      <c r="O491" s="881"/>
      <c r="P491" s="881"/>
      <c r="Q491" s="1302"/>
      <c r="R491" s="1302"/>
      <c r="S491" s="1302"/>
      <c r="T491" s="1302"/>
      <c r="U491" s="1302"/>
      <c r="V491" s="1302"/>
      <c r="W491" s="1302"/>
      <c r="X491" s="1302"/>
      <c r="Y491" s="1302"/>
      <c r="Z491" s="1302"/>
    </row>
    <row r="492" spans="1:26" ht="18.75">
      <c r="A492" s="1326"/>
      <c r="B492" s="1327"/>
      <c r="C492" s="1327"/>
      <c r="D492" s="1327"/>
      <c r="E492" s="1327"/>
      <c r="F492" s="1327" t="s">
        <v>215</v>
      </c>
      <c r="G492" s="1007"/>
      <c r="H492" s="622" t="s">
        <v>35</v>
      </c>
      <c r="I492" s="880">
        <f ca="1">IFERROR(__xludf.DUMMYFUNCTION("IMPORTRANGE(""https://docs.google.com/spreadsheets/d/1QqKyyYR6Q21VydFLVH3TRQUabQu_ym0Zz7PgGX0-kHA/edit?usp=sharing"",""แผน!GC85"")"),1)</f>
        <v>1</v>
      </c>
      <c r="J492" s="1012">
        <v>1</v>
      </c>
      <c r="K492" s="881">
        <f ca="1">IF(I492&gt;0,J492*100/I492,0)</f>
        <v>100</v>
      </c>
      <c r="L492" s="881"/>
      <c r="M492" s="881"/>
      <c r="N492" s="881"/>
      <c r="O492" s="881"/>
      <c r="P492" s="881"/>
      <c r="Q492" s="1302"/>
      <c r="R492" s="1302"/>
      <c r="S492" s="1302"/>
      <c r="T492" s="1302"/>
      <c r="U492" s="1302"/>
      <c r="V492" s="1302"/>
      <c r="W492" s="1302"/>
      <c r="X492" s="1302"/>
      <c r="Y492" s="1302"/>
      <c r="Z492" s="1302"/>
    </row>
    <row r="493" spans="1:26" ht="19.5">
      <c r="A493" s="1326"/>
      <c r="B493" s="1327"/>
      <c r="C493" s="1327"/>
      <c r="D493" s="1336" t="s">
        <v>59</v>
      </c>
      <c r="E493" s="1327"/>
      <c r="F493" s="1014"/>
      <c r="G493" s="1007"/>
      <c r="H493" s="1016"/>
      <c r="I493" s="880"/>
      <c r="J493" s="880"/>
      <c r="K493" s="881"/>
      <c r="L493" s="881"/>
      <c r="M493" s="881"/>
      <c r="N493" s="881"/>
      <c r="O493" s="881"/>
      <c r="P493" s="881"/>
      <c r="Q493" s="1302"/>
      <c r="R493" s="1302"/>
      <c r="S493" s="1302"/>
      <c r="T493" s="1302"/>
      <c r="U493" s="1302"/>
      <c r="V493" s="1302"/>
      <c r="W493" s="1302"/>
      <c r="X493" s="1302"/>
      <c r="Y493" s="1302"/>
      <c r="Z493" s="1302"/>
    </row>
    <row r="494" spans="1:26" ht="18.75">
      <c r="A494" s="1326"/>
      <c r="B494" s="1327"/>
      <c r="C494" s="1327"/>
      <c r="D494" s="1327"/>
      <c r="E494" s="1327" t="s">
        <v>208</v>
      </c>
      <c r="F494" s="1014"/>
      <c r="G494" s="1007"/>
      <c r="H494" s="1016"/>
      <c r="I494" s="880"/>
      <c r="J494" s="880"/>
      <c r="K494" s="881"/>
      <c r="L494" s="881"/>
      <c r="M494" s="881"/>
      <c r="N494" s="881"/>
      <c r="O494" s="881"/>
      <c r="P494" s="881"/>
      <c r="Q494" s="1302"/>
      <c r="R494" s="1302"/>
      <c r="S494" s="1302"/>
      <c r="T494" s="1302"/>
      <c r="U494" s="1302"/>
      <c r="V494" s="1302"/>
      <c r="W494" s="1302"/>
      <c r="X494" s="1302"/>
      <c r="Y494" s="1302"/>
      <c r="Z494" s="1302"/>
    </row>
    <row r="495" spans="1:26" ht="18.75">
      <c r="A495" s="1326"/>
      <c r="B495" s="1327"/>
      <c r="C495" s="1327"/>
      <c r="D495" s="1327"/>
      <c r="E495" s="1327"/>
      <c r="F495" s="1014" t="s">
        <v>216</v>
      </c>
      <c r="G495" s="1007"/>
      <c r="H495" s="622" t="s">
        <v>46</v>
      </c>
      <c r="I495" s="880">
        <f ca="1">IFERROR(__xludf.DUMMYFUNCTION("IMPORTRANGE(""https://docs.google.com/spreadsheets/d/1QqKyyYR6Q21VydFLVH3TRQUabQu_ym0Zz7PgGX0-kHA/edit?usp=sharing"",""แผน!FY85"")"),1170)</f>
        <v>1170</v>
      </c>
      <c r="J495" s="1012">
        <v>0</v>
      </c>
      <c r="K495" s="881">
        <f ca="1">IF(I495&gt;0,J495*100/I495,0)</f>
        <v>0</v>
      </c>
      <c r="L495" s="881"/>
      <c r="M495" s="881"/>
      <c r="N495" s="881"/>
      <c r="O495" s="881"/>
      <c r="P495" s="881"/>
      <c r="Q495" s="1302"/>
      <c r="R495" s="1302"/>
      <c r="S495" s="1302"/>
      <c r="T495" s="1302"/>
      <c r="U495" s="1302"/>
      <c r="V495" s="1302"/>
      <c r="W495" s="1302"/>
      <c r="X495" s="1302"/>
      <c r="Y495" s="1302"/>
      <c r="Z495" s="1302"/>
    </row>
    <row r="496" spans="1:26" ht="18.75">
      <c r="A496" s="1326"/>
      <c r="B496" s="1327"/>
      <c r="C496" s="1327"/>
      <c r="D496" s="1327"/>
      <c r="E496" s="1327"/>
      <c r="F496" s="1014" t="s">
        <v>217</v>
      </c>
      <c r="G496" s="1007"/>
      <c r="H496" s="622" t="s">
        <v>46</v>
      </c>
      <c r="I496" s="880"/>
      <c r="J496" s="1012">
        <v>0</v>
      </c>
      <c r="K496" s="881"/>
      <c r="L496" s="881"/>
      <c r="M496" s="881"/>
      <c r="N496" s="881"/>
      <c r="O496" s="881"/>
      <c r="P496" s="881"/>
      <c r="Q496" s="1302"/>
      <c r="R496" s="1302"/>
      <c r="S496" s="1302"/>
      <c r="T496" s="1302"/>
      <c r="U496" s="1302"/>
      <c r="V496" s="1302"/>
      <c r="W496" s="1302"/>
      <c r="X496" s="1302"/>
      <c r="Y496" s="1302"/>
      <c r="Z496" s="1302"/>
    </row>
    <row r="497" spans="1:26" ht="18.75">
      <c r="A497" s="1326"/>
      <c r="B497" s="1327"/>
      <c r="C497" s="1327"/>
      <c r="D497" s="1327"/>
      <c r="E497" s="1327" t="s">
        <v>62</v>
      </c>
      <c r="F497" s="1014"/>
      <c r="G497" s="1007"/>
      <c r="H497" s="1016"/>
      <c r="I497" s="880"/>
      <c r="J497" s="880"/>
      <c r="K497" s="881"/>
      <c r="L497" s="881"/>
      <c r="M497" s="881"/>
      <c r="N497" s="881"/>
      <c r="O497" s="881"/>
      <c r="P497" s="881"/>
      <c r="Q497" s="1302"/>
      <c r="R497" s="1302"/>
      <c r="S497" s="1302"/>
      <c r="T497" s="1302"/>
      <c r="U497" s="1302"/>
      <c r="V497" s="1302"/>
      <c r="W497" s="1302"/>
      <c r="X497" s="1302"/>
      <c r="Y497" s="1302"/>
      <c r="Z497" s="1302"/>
    </row>
    <row r="498" spans="1:26" ht="18.75">
      <c r="A498" s="1326"/>
      <c r="B498" s="1327"/>
      <c r="C498" s="1327"/>
      <c r="D498" s="1327"/>
      <c r="E498" s="1014"/>
      <c r="F498" s="1014" t="s">
        <v>218</v>
      </c>
      <c r="G498" s="1007"/>
      <c r="H498" s="622" t="s">
        <v>46</v>
      </c>
      <c r="I498" s="880">
        <f ca="1">IFERROR(__xludf.DUMMYFUNCTION("IMPORTRANGE(""https://docs.google.com/spreadsheets/d/1QqKyyYR6Q21VydFLVH3TRQUabQu_ym0Zz7PgGX0-kHA/edit?usp=sharing"",""แผน!GA85"")"),130)</f>
        <v>130</v>
      </c>
      <c r="J498" s="1012">
        <v>0</v>
      </c>
      <c r="K498" s="881">
        <f ca="1">IF(I498&gt;0,J498*100/I498,0)</f>
        <v>0</v>
      </c>
      <c r="L498" s="881"/>
      <c r="M498" s="881"/>
      <c r="N498" s="881"/>
      <c r="O498" s="881"/>
      <c r="P498" s="881"/>
      <c r="Q498" s="1302"/>
      <c r="R498" s="1302"/>
      <c r="S498" s="1302"/>
      <c r="T498" s="1302"/>
      <c r="U498" s="1302"/>
      <c r="V498" s="1302"/>
      <c r="W498" s="1302"/>
      <c r="X498" s="1302"/>
      <c r="Y498" s="1302"/>
      <c r="Z498" s="1302"/>
    </row>
    <row r="499" spans="1:26" ht="18.75">
      <c r="A499" s="1326"/>
      <c r="B499" s="1327"/>
      <c r="C499" s="1327"/>
      <c r="D499" s="1327"/>
      <c r="E499" s="1014"/>
      <c r="F499" s="1014" t="s">
        <v>219</v>
      </c>
      <c r="G499" s="1007"/>
      <c r="H499" s="622" t="s">
        <v>46</v>
      </c>
      <c r="I499" s="880"/>
      <c r="J499" s="1012">
        <v>0</v>
      </c>
      <c r="K499" s="881"/>
      <c r="L499" s="881"/>
      <c r="M499" s="881"/>
      <c r="N499" s="881"/>
      <c r="O499" s="881"/>
      <c r="P499" s="881"/>
      <c r="Q499" s="1302"/>
      <c r="R499" s="1302"/>
      <c r="S499" s="1302"/>
      <c r="T499" s="1302"/>
      <c r="U499" s="1302"/>
      <c r="V499" s="1302"/>
      <c r="W499" s="1302"/>
      <c r="X499" s="1302"/>
      <c r="Y499" s="1302"/>
      <c r="Z499" s="1302"/>
    </row>
    <row r="500" spans="1:26" ht="19.5" hidden="1">
      <c r="A500" s="626">
        <v>4</v>
      </c>
      <c r="B500" s="1337" t="s">
        <v>220</v>
      </c>
      <c r="C500" s="1338"/>
      <c r="D500" s="1339"/>
      <c r="E500" s="1339"/>
      <c r="F500" s="1339"/>
      <c r="G500" s="1340"/>
      <c r="H500" s="631" t="s">
        <v>109</v>
      </c>
      <c r="I500" s="1341"/>
      <c r="J500" s="1341">
        <f t="shared" ref="J500:J501" si="214">J516</f>
        <v>0</v>
      </c>
      <c r="K500" s="1342">
        <f t="shared" ref="K500:K501" si="215">IF(I500&gt;0,J500*100/I500,0)</f>
        <v>0</v>
      </c>
      <c r="L500" s="1343"/>
      <c r="M500" s="1343"/>
      <c r="N500" s="1343"/>
      <c r="O500" s="1343"/>
      <c r="P500" s="1343"/>
      <c r="Q500" s="1323"/>
      <c r="R500" s="1323"/>
      <c r="S500" s="1323"/>
      <c r="T500" s="1323"/>
      <c r="U500" s="1323"/>
      <c r="V500" s="1323"/>
      <c r="W500" s="1323"/>
      <c r="X500" s="1323"/>
      <c r="Y500" s="1323"/>
      <c r="Z500" s="1323"/>
    </row>
    <row r="501" spans="1:26" ht="19.5" hidden="1">
      <c r="A501" s="1344"/>
      <c r="B501" s="1345" t="s">
        <v>221</v>
      </c>
      <c r="C501" s="1345"/>
      <c r="D501" s="1346"/>
      <c r="E501" s="1346"/>
      <c r="F501" s="1346"/>
      <c r="G501" s="1347"/>
      <c r="H501" s="640" t="s">
        <v>35</v>
      </c>
      <c r="I501" s="1348"/>
      <c r="J501" s="1348">
        <f t="shared" si="214"/>
        <v>0</v>
      </c>
      <c r="K501" s="1349">
        <f t="shared" si="215"/>
        <v>0</v>
      </c>
      <c r="L501" s="1350"/>
      <c r="M501" s="1350"/>
      <c r="N501" s="1350"/>
      <c r="O501" s="1350"/>
      <c r="P501" s="1350"/>
      <c r="Q501" s="1323"/>
      <c r="R501" s="1323"/>
      <c r="S501" s="1323"/>
      <c r="T501" s="1323"/>
      <c r="U501" s="1323"/>
      <c r="V501" s="1323"/>
      <c r="W501" s="1323"/>
      <c r="X501" s="1323"/>
      <c r="Y501" s="1323"/>
      <c r="Z501" s="1323"/>
    </row>
    <row r="502" spans="1:26" ht="19.5" hidden="1">
      <c r="A502" s="1319"/>
      <c r="B502" s="1320"/>
      <c r="C502" s="1320" t="s">
        <v>16</v>
      </c>
      <c r="D502" s="1351" t="s">
        <v>17</v>
      </c>
      <c r="E502" s="841"/>
      <c r="F502" s="841"/>
      <c r="G502" s="1322"/>
      <c r="H502" s="644" t="s">
        <v>12</v>
      </c>
      <c r="I502" s="886"/>
      <c r="J502" s="886"/>
      <c r="K502" s="887"/>
      <c r="L502" s="1352">
        <f t="shared" ref="L502:N502" si="216">L503+L504</f>
        <v>0</v>
      </c>
      <c r="M502" s="1352">
        <f t="shared" si="216"/>
        <v>0</v>
      </c>
      <c r="N502" s="1352">
        <f t="shared" si="216"/>
        <v>0</v>
      </c>
      <c r="O502" s="1352">
        <f t="shared" ref="O502:O507" si="217">IF(L502&gt;0,N502*100/L502,0)</f>
        <v>0</v>
      </c>
      <c r="P502" s="1352">
        <f t="shared" ref="P502:P507" si="218">IF(M502&gt;0,N502*100/M502,0)</f>
        <v>0</v>
      </c>
      <c r="Q502" s="1323"/>
      <c r="R502" s="1323"/>
      <c r="S502" s="1323"/>
      <c r="T502" s="1323"/>
      <c r="U502" s="1323"/>
      <c r="V502" s="1323"/>
      <c r="W502" s="1323"/>
      <c r="X502" s="1323"/>
      <c r="Y502" s="1323"/>
      <c r="Z502" s="1323"/>
    </row>
    <row r="503" spans="1:26" ht="18.75" hidden="1">
      <c r="A503" s="1319"/>
      <c r="B503" s="1320"/>
      <c r="C503" s="1320"/>
      <c r="D503" s="1321"/>
      <c r="E503" s="1320" t="s">
        <v>185</v>
      </c>
      <c r="F503" s="1320"/>
      <c r="G503" s="1322"/>
      <c r="H503" s="165" t="s">
        <v>12</v>
      </c>
      <c r="I503" s="886"/>
      <c r="J503" s="886"/>
      <c r="K503" s="887"/>
      <c r="L503" s="887">
        <f t="shared" ref="L503:N504" si="219">L506+L513</f>
        <v>0</v>
      </c>
      <c r="M503" s="887">
        <f t="shared" si="219"/>
        <v>0</v>
      </c>
      <c r="N503" s="887">
        <f t="shared" si="219"/>
        <v>0</v>
      </c>
      <c r="O503" s="887">
        <f t="shared" si="217"/>
        <v>0</v>
      </c>
      <c r="P503" s="887">
        <f t="shared" si="218"/>
        <v>0</v>
      </c>
      <c r="Q503" s="1323"/>
      <c r="R503" s="1323"/>
      <c r="S503" s="1323"/>
      <c r="T503" s="1323"/>
      <c r="U503" s="1323"/>
      <c r="V503" s="1323"/>
      <c r="W503" s="1323"/>
      <c r="X503" s="1323"/>
      <c r="Y503" s="1323"/>
      <c r="Z503" s="1323"/>
    </row>
    <row r="504" spans="1:26" ht="18.75" hidden="1">
      <c r="A504" s="1319"/>
      <c r="B504" s="1324"/>
      <c r="C504" s="1320"/>
      <c r="D504" s="1321"/>
      <c r="E504" s="1320" t="s">
        <v>186</v>
      </c>
      <c r="F504" s="1320"/>
      <c r="G504" s="1322"/>
      <c r="H504" s="165" t="s">
        <v>12</v>
      </c>
      <c r="I504" s="886"/>
      <c r="J504" s="886"/>
      <c r="K504" s="887"/>
      <c r="L504" s="887">
        <f t="shared" si="219"/>
        <v>0</v>
      </c>
      <c r="M504" s="887">
        <f t="shared" si="219"/>
        <v>0</v>
      </c>
      <c r="N504" s="887">
        <f t="shared" si="219"/>
        <v>0</v>
      </c>
      <c r="O504" s="887">
        <f t="shared" si="217"/>
        <v>0</v>
      </c>
      <c r="P504" s="887">
        <f t="shared" si="218"/>
        <v>0</v>
      </c>
      <c r="Q504" s="1323"/>
      <c r="R504" s="1323"/>
      <c r="S504" s="1323"/>
      <c r="T504" s="1323"/>
      <c r="U504" s="1323"/>
      <c r="V504" s="1323"/>
      <c r="W504" s="1323"/>
      <c r="X504" s="1323"/>
      <c r="Y504" s="1323"/>
      <c r="Z504" s="1323"/>
    </row>
    <row r="505" spans="1:26" ht="18.75" hidden="1">
      <c r="A505" s="1319"/>
      <c r="B505" s="1324"/>
      <c r="C505" s="1320"/>
      <c r="D505" s="1353" t="s">
        <v>20</v>
      </c>
      <c r="E505" s="1320"/>
      <c r="F505" s="1320"/>
      <c r="G505" s="1322"/>
      <c r="H505" s="165" t="s">
        <v>12</v>
      </c>
      <c r="I505" s="1000"/>
      <c r="J505" s="1000"/>
      <c r="K505" s="1001"/>
      <c r="L505" s="887">
        <f t="shared" ref="L505:N505" si="220">L506+L507</f>
        <v>0</v>
      </c>
      <c r="M505" s="887">
        <f t="shared" si="220"/>
        <v>0</v>
      </c>
      <c r="N505" s="887">
        <f t="shared" si="220"/>
        <v>0</v>
      </c>
      <c r="O505" s="887">
        <f t="shared" si="217"/>
        <v>0</v>
      </c>
      <c r="P505" s="887">
        <f t="shared" si="218"/>
        <v>0</v>
      </c>
      <c r="Q505" s="1323"/>
      <c r="R505" s="1323"/>
      <c r="S505" s="1323"/>
      <c r="T505" s="1323"/>
      <c r="U505" s="1323"/>
      <c r="V505" s="1323"/>
      <c r="W505" s="1323"/>
      <c r="X505" s="1323"/>
      <c r="Y505" s="1323"/>
      <c r="Z505" s="1323"/>
    </row>
    <row r="506" spans="1:26" ht="18.75" hidden="1">
      <c r="A506" s="1319"/>
      <c r="B506" s="1324"/>
      <c r="C506" s="1320"/>
      <c r="D506" s="1321"/>
      <c r="E506" s="1320" t="s">
        <v>185</v>
      </c>
      <c r="F506" s="1320"/>
      <c r="G506" s="1322"/>
      <c r="H506" s="165" t="s">
        <v>12</v>
      </c>
      <c r="I506" s="886"/>
      <c r="J506" s="886"/>
      <c r="K506" s="887"/>
      <c r="L506" s="887">
        <v>0</v>
      </c>
      <c r="M506" s="887">
        <v>0</v>
      </c>
      <c r="N506" s="887">
        <v>0</v>
      </c>
      <c r="O506" s="887">
        <f t="shared" si="217"/>
        <v>0</v>
      </c>
      <c r="P506" s="887">
        <f t="shared" si="218"/>
        <v>0</v>
      </c>
      <c r="Q506" s="1323"/>
      <c r="R506" s="1323"/>
      <c r="S506" s="1323"/>
      <c r="T506" s="1323"/>
      <c r="U506" s="1323"/>
      <c r="V506" s="1323"/>
      <c r="W506" s="1323"/>
      <c r="X506" s="1323"/>
      <c r="Y506" s="1323"/>
      <c r="Z506" s="1323"/>
    </row>
    <row r="507" spans="1:26" ht="18.75" hidden="1">
      <c r="A507" s="1319"/>
      <c r="B507" s="1324"/>
      <c r="C507" s="1320"/>
      <c r="D507" s="1321"/>
      <c r="E507" s="1320" t="s">
        <v>186</v>
      </c>
      <c r="F507" s="1320"/>
      <c r="G507" s="1322"/>
      <c r="H507" s="165" t="s">
        <v>12</v>
      </c>
      <c r="I507" s="886"/>
      <c r="J507" s="886"/>
      <c r="K507" s="887"/>
      <c r="L507" s="887">
        <v>0</v>
      </c>
      <c r="M507" s="887">
        <v>0</v>
      </c>
      <c r="N507" s="887">
        <f>N508+N509+N510+N511</f>
        <v>0</v>
      </c>
      <c r="O507" s="887">
        <f t="shared" si="217"/>
        <v>0</v>
      </c>
      <c r="P507" s="887">
        <f t="shared" si="218"/>
        <v>0</v>
      </c>
      <c r="Q507" s="1323"/>
      <c r="R507" s="1323"/>
      <c r="S507" s="1323"/>
      <c r="T507" s="1323"/>
      <c r="U507" s="1323"/>
      <c r="V507" s="1323"/>
      <c r="W507" s="1323"/>
      <c r="X507" s="1323"/>
      <c r="Y507" s="1323"/>
      <c r="Z507" s="1323"/>
    </row>
    <row r="508" spans="1:26" ht="18.75" hidden="1">
      <c r="A508" s="1354"/>
      <c r="B508" s="1324"/>
      <c r="C508" s="1320"/>
      <c r="D508" s="1320"/>
      <c r="E508" s="1320"/>
      <c r="F508" s="1320" t="s">
        <v>187</v>
      </c>
      <c r="G508" s="1322"/>
      <c r="H508" s="165" t="s">
        <v>12</v>
      </c>
      <c r="I508" s="886"/>
      <c r="J508" s="886"/>
      <c r="K508" s="887"/>
      <c r="L508" s="887"/>
      <c r="M508" s="887"/>
      <c r="N508" s="887">
        <v>0</v>
      </c>
      <c r="O508" s="887"/>
      <c r="P508" s="887"/>
      <c r="Q508" s="1323"/>
      <c r="R508" s="1323"/>
      <c r="S508" s="1323"/>
      <c r="T508" s="1323"/>
      <c r="U508" s="1323"/>
      <c r="V508" s="1323"/>
      <c r="W508" s="1323"/>
      <c r="X508" s="1323"/>
      <c r="Y508" s="1323"/>
      <c r="Z508" s="1323"/>
    </row>
    <row r="509" spans="1:26" ht="18.75" hidden="1">
      <c r="A509" s="1354"/>
      <c r="B509" s="1324"/>
      <c r="C509" s="1320"/>
      <c r="D509" s="1320"/>
      <c r="E509" s="1320"/>
      <c r="F509" s="1320" t="s">
        <v>188</v>
      </c>
      <c r="G509" s="1322"/>
      <c r="H509" s="165" t="s">
        <v>12</v>
      </c>
      <c r="I509" s="886"/>
      <c r="J509" s="886"/>
      <c r="K509" s="887"/>
      <c r="L509" s="887"/>
      <c r="M509" s="887"/>
      <c r="N509" s="887">
        <v>0</v>
      </c>
      <c r="O509" s="887"/>
      <c r="P509" s="887"/>
      <c r="Q509" s="1323"/>
      <c r="R509" s="1323"/>
      <c r="S509" s="1323"/>
      <c r="T509" s="1323"/>
      <c r="U509" s="1323"/>
      <c r="V509" s="1323"/>
      <c r="W509" s="1323"/>
      <c r="X509" s="1323"/>
      <c r="Y509" s="1323"/>
      <c r="Z509" s="1323"/>
    </row>
    <row r="510" spans="1:26" ht="18.75" hidden="1">
      <c r="A510" s="1354"/>
      <c r="B510" s="1324"/>
      <c r="C510" s="1324"/>
      <c r="D510" s="1324"/>
      <c r="E510" s="1320"/>
      <c r="F510" s="1320" t="s">
        <v>189</v>
      </c>
      <c r="G510" s="1322"/>
      <c r="H510" s="165" t="s">
        <v>12</v>
      </c>
      <c r="I510" s="886"/>
      <c r="J510" s="886"/>
      <c r="K510" s="887"/>
      <c r="L510" s="887"/>
      <c r="M510" s="887"/>
      <c r="N510" s="887">
        <v>0</v>
      </c>
      <c r="O510" s="887"/>
      <c r="P510" s="887"/>
      <c r="Q510" s="1323"/>
      <c r="R510" s="1323"/>
      <c r="S510" s="1323"/>
      <c r="T510" s="1323"/>
      <c r="U510" s="1323"/>
      <c r="V510" s="1323"/>
      <c r="W510" s="1323"/>
      <c r="X510" s="1323"/>
      <c r="Y510" s="1323"/>
      <c r="Z510" s="1323"/>
    </row>
    <row r="511" spans="1:26" ht="18.75" hidden="1">
      <c r="A511" s="1354"/>
      <c r="B511" s="1324"/>
      <c r="C511" s="1324"/>
      <c r="D511" s="1324"/>
      <c r="E511" s="1320"/>
      <c r="F511" s="1320" t="s">
        <v>190</v>
      </c>
      <c r="G511" s="1322"/>
      <c r="H511" s="165" t="s">
        <v>12</v>
      </c>
      <c r="I511" s="886"/>
      <c r="J511" s="886"/>
      <c r="K511" s="887"/>
      <c r="L511" s="887"/>
      <c r="M511" s="887"/>
      <c r="N511" s="887">
        <v>0</v>
      </c>
      <c r="O511" s="887"/>
      <c r="P511" s="887"/>
      <c r="Q511" s="1323"/>
      <c r="R511" s="1323"/>
      <c r="S511" s="1323"/>
      <c r="T511" s="1323"/>
      <c r="U511" s="1323"/>
      <c r="V511" s="1323"/>
      <c r="W511" s="1323"/>
      <c r="X511" s="1323"/>
      <c r="Y511" s="1323"/>
      <c r="Z511" s="1323"/>
    </row>
    <row r="512" spans="1:26" ht="18.75" hidden="1">
      <c r="A512" s="1319"/>
      <c r="B512" s="1324"/>
      <c r="C512" s="1324"/>
      <c r="D512" s="1353" t="s">
        <v>21</v>
      </c>
      <c r="E512" s="1324"/>
      <c r="F512" s="1320"/>
      <c r="G512" s="1322"/>
      <c r="H512" s="169" t="s">
        <v>12</v>
      </c>
      <c r="I512" s="1000"/>
      <c r="J512" s="1000"/>
      <c r="K512" s="1001"/>
      <c r="L512" s="887">
        <f t="shared" ref="L512:N512" si="221">L513+L514</f>
        <v>0</v>
      </c>
      <c r="M512" s="887">
        <f t="shared" si="221"/>
        <v>0</v>
      </c>
      <c r="N512" s="887">
        <f t="shared" si="221"/>
        <v>0</v>
      </c>
      <c r="O512" s="887">
        <f t="shared" ref="O512:O514" si="222">IF(L512&gt;0,N512*100/L512,0)</f>
        <v>0</v>
      </c>
      <c r="P512" s="887">
        <f t="shared" ref="P512:P514" si="223">IF(M512&gt;0,N512*100/M512,0)</f>
        <v>0</v>
      </c>
      <c r="Q512" s="1323"/>
      <c r="R512" s="1323"/>
      <c r="S512" s="1323"/>
      <c r="T512" s="1323"/>
      <c r="U512" s="1323"/>
      <c r="V512" s="1323"/>
      <c r="W512" s="1323"/>
      <c r="X512" s="1323"/>
      <c r="Y512" s="1323"/>
      <c r="Z512" s="1323"/>
    </row>
    <row r="513" spans="1:26" ht="18.75" hidden="1">
      <c r="A513" s="1319"/>
      <c r="B513" s="1324"/>
      <c r="C513" s="1324"/>
      <c r="D513" s="1324"/>
      <c r="E513" s="1324" t="s">
        <v>18</v>
      </c>
      <c r="F513" s="1320"/>
      <c r="G513" s="1322"/>
      <c r="H513" s="165" t="s">
        <v>12</v>
      </c>
      <c r="I513" s="1000"/>
      <c r="J513" s="1000"/>
      <c r="K513" s="1001"/>
      <c r="L513" s="887">
        <v>0</v>
      </c>
      <c r="M513" s="887">
        <v>0</v>
      </c>
      <c r="N513" s="887">
        <v>0</v>
      </c>
      <c r="O513" s="887">
        <f t="shared" si="222"/>
        <v>0</v>
      </c>
      <c r="P513" s="887">
        <f t="shared" si="223"/>
        <v>0</v>
      </c>
      <c r="Q513" s="1323"/>
      <c r="R513" s="1323"/>
      <c r="S513" s="1323"/>
      <c r="T513" s="1323"/>
      <c r="U513" s="1323"/>
      <c r="V513" s="1323"/>
      <c r="W513" s="1323"/>
      <c r="X513" s="1323"/>
      <c r="Y513" s="1323"/>
      <c r="Z513" s="1323"/>
    </row>
    <row r="514" spans="1:26" ht="18.75" hidden="1">
      <c r="A514" s="1319"/>
      <c r="B514" s="1324"/>
      <c r="C514" s="1324"/>
      <c r="D514" s="1320"/>
      <c r="E514" s="1324" t="s">
        <v>19</v>
      </c>
      <c r="F514" s="1320"/>
      <c r="G514" s="1322"/>
      <c r="H514" s="169" t="s">
        <v>12</v>
      </c>
      <c r="I514" s="1000"/>
      <c r="J514" s="1000"/>
      <c r="K514" s="1001"/>
      <c r="L514" s="887">
        <v>0</v>
      </c>
      <c r="M514" s="887">
        <v>0</v>
      </c>
      <c r="N514" s="887">
        <v>0</v>
      </c>
      <c r="O514" s="887">
        <f t="shared" si="222"/>
        <v>0</v>
      </c>
      <c r="P514" s="887">
        <f t="shared" si="223"/>
        <v>0</v>
      </c>
      <c r="Q514" s="1323"/>
      <c r="R514" s="1323"/>
      <c r="S514" s="1323"/>
      <c r="T514" s="1323"/>
      <c r="U514" s="1323"/>
      <c r="V514" s="1323"/>
      <c r="W514" s="1323"/>
      <c r="X514" s="1323"/>
      <c r="Y514" s="1323"/>
      <c r="Z514" s="1323"/>
    </row>
    <row r="515" spans="1:26" ht="19.5" hidden="1">
      <c r="A515" s="1332"/>
      <c r="B515" s="1333"/>
      <c r="C515" s="1324" t="s">
        <v>16</v>
      </c>
      <c r="D515" s="1355" t="s">
        <v>38</v>
      </c>
      <c r="E515" s="1356"/>
      <c r="F515" s="1356"/>
      <c r="G515" s="1357"/>
      <c r="H515" s="1113"/>
      <c r="I515" s="1000"/>
      <c r="J515" s="1000"/>
      <c r="K515" s="1001"/>
      <c r="L515" s="1001"/>
      <c r="M515" s="1001"/>
      <c r="N515" s="1001"/>
      <c r="O515" s="1001"/>
      <c r="P515" s="1001"/>
      <c r="Q515" s="1323"/>
      <c r="R515" s="1323"/>
      <c r="S515" s="1323"/>
      <c r="T515" s="1323"/>
      <c r="U515" s="1323"/>
      <c r="V515" s="1323"/>
      <c r="W515" s="1323"/>
      <c r="X515" s="1323"/>
      <c r="Y515" s="1323"/>
      <c r="Z515" s="1323"/>
    </row>
    <row r="516" spans="1:26" ht="18.75" hidden="1">
      <c r="A516" s="1332"/>
      <c r="B516" s="1333"/>
      <c r="C516" s="1333"/>
      <c r="D516" s="1333" t="s">
        <v>222</v>
      </c>
      <c r="E516" s="1321"/>
      <c r="F516" s="1321"/>
      <c r="G516" s="1113"/>
      <c r="H516" s="651" t="s">
        <v>109</v>
      </c>
      <c r="I516" s="886"/>
      <c r="J516" s="886">
        <v>0</v>
      </c>
      <c r="K516" s="1001">
        <f t="shared" ref="K516:K517" si="224">IF(I516&gt;0,J516*100/I516,0)</f>
        <v>0</v>
      </c>
      <c r="L516" s="1001"/>
      <c r="M516" s="1001"/>
      <c r="N516" s="1001"/>
      <c r="O516" s="1001"/>
      <c r="P516" s="1001"/>
      <c r="Q516" s="1323"/>
      <c r="R516" s="1323"/>
      <c r="S516" s="1323"/>
      <c r="T516" s="1323"/>
      <c r="U516" s="1323"/>
      <c r="V516" s="1323"/>
      <c r="W516" s="1323"/>
      <c r="X516" s="1323"/>
      <c r="Y516" s="1323"/>
      <c r="Z516" s="1323"/>
    </row>
    <row r="517" spans="1:26" ht="19.5" hidden="1">
      <c r="A517" s="1332"/>
      <c r="B517" s="1333"/>
      <c r="C517" s="1333"/>
      <c r="D517" s="1333" t="s">
        <v>223</v>
      </c>
      <c r="E517" s="1321"/>
      <c r="F517" s="1321"/>
      <c r="G517" s="1113"/>
      <c r="H517" s="652" t="s">
        <v>35</v>
      </c>
      <c r="I517" s="1358"/>
      <c r="J517" s="1358">
        <f>J518+J519</f>
        <v>0</v>
      </c>
      <c r="K517" s="1359">
        <f t="shared" si="224"/>
        <v>0</v>
      </c>
      <c r="L517" s="1001"/>
      <c r="M517" s="1001"/>
      <c r="N517" s="1001"/>
      <c r="O517" s="1001"/>
      <c r="P517" s="1001"/>
      <c r="Q517" s="1323"/>
      <c r="R517" s="1323"/>
      <c r="S517" s="1323"/>
      <c r="T517" s="1323"/>
      <c r="U517" s="1323"/>
      <c r="V517" s="1323"/>
      <c r="W517" s="1323"/>
      <c r="X517" s="1323"/>
      <c r="Y517" s="1323"/>
      <c r="Z517" s="1323"/>
    </row>
    <row r="518" spans="1:26" ht="18.75" hidden="1">
      <c r="A518" s="1332"/>
      <c r="B518" s="1333"/>
      <c r="C518" s="1333"/>
      <c r="D518" s="1333"/>
      <c r="E518" s="1333" t="s">
        <v>224</v>
      </c>
      <c r="F518" s="1321"/>
      <c r="G518" s="1113"/>
      <c r="H518" s="370" t="s">
        <v>35</v>
      </c>
      <c r="I518" s="886"/>
      <c r="J518" s="886"/>
      <c r="K518" s="1001"/>
      <c r="L518" s="1001"/>
      <c r="M518" s="1001"/>
      <c r="N518" s="1001"/>
      <c r="O518" s="1001"/>
      <c r="P518" s="1001"/>
      <c r="Q518" s="1323"/>
      <c r="R518" s="1323"/>
      <c r="S518" s="1323"/>
      <c r="T518" s="1323"/>
      <c r="U518" s="1323"/>
      <c r="V518" s="1323"/>
      <c r="W518" s="1323"/>
      <c r="X518" s="1323"/>
      <c r="Y518" s="1323"/>
      <c r="Z518" s="1323"/>
    </row>
    <row r="519" spans="1:26" ht="18.75" hidden="1">
      <c r="A519" s="1332"/>
      <c r="B519" s="1333"/>
      <c r="C519" s="1333"/>
      <c r="D519" s="1333"/>
      <c r="E519" s="1333" t="s">
        <v>225</v>
      </c>
      <c r="F519" s="1321"/>
      <c r="G519" s="1113"/>
      <c r="H519" s="651" t="s">
        <v>35</v>
      </c>
      <c r="I519" s="886"/>
      <c r="J519" s="886"/>
      <c r="K519" s="1001"/>
      <c r="L519" s="1001"/>
      <c r="M519" s="1001"/>
      <c r="N519" s="1001"/>
      <c r="O519" s="1001"/>
      <c r="P519" s="1001"/>
      <c r="Q519" s="1323"/>
      <c r="R519" s="1323"/>
      <c r="S519" s="1323"/>
      <c r="T519" s="1323"/>
      <c r="U519" s="1323"/>
      <c r="V519" s="1323"/>
      <c r="W519" s="1323"/>
      <c r="X519" s="1323"/>
      <c r="Y519" s="1323"/>
      <c r="Z519" s="1323"/>
    </row>
    <row r="520" spans="1:26" ht="19.5">
      <c r="A520" s="1360" t="s">
        <v>137</v>
      </c>
      <c r="B520" s="1361"/>
      <c r="C520" s="1361"/>
      <c r="D520" s="1362"/>
      <c r="E520" s="1362"/>
      <c r="F520" s="1362"/>
      <c r="G520" s="1363"/>
      <c r="H520" s="1364"/>
      <c r="I520" s="1365"/>
      <c r="J520" s="1365"/>
      <c r="K520" s="1366"/>
      <c r="L520" s="1366"/>
      <c r="M520" s="1366"/>
      <c r="N520" s="1366"/>
      <c r="O520" s="1366"/>
      <c r="P520" s="1366"/>
    </row>
    <row r="521" spans="1:26" ht="19.5" hidden="1">
      <c r="A521" s="662">
        <v>5</v>
      </c>
      <c r="B521" s="1367" t="s">
        <v>226</v>
      </c>
      <c r="C521" s="1368"/>
      <c r="D521" s="1369"/>
      <c r="E521" s="1369"/>
      <c r="F521" s="1369"/>
      <c r="G521" s="1369"/>
      <c r="H521" s="1370"/>
      <c r="I521" s="1371"/>
      <c r="J521" s="1371"/>
      <c r="K521" s="1372"/>
      <c r="L521" s="1372"/>
      <c r="M521" s="1372"/>
      <c r="N521" s="1372"/>
      <c r="O521" s="1372"/>
      <c r="P521" s="1372"/>
      <c r="Q521" s="1302"/>
      <c r="R521" s="1302"/>
      <c r="S521" s="1302"/>
      <c r="T521" s="1302"/>
      <c r="U521" s="1302"/>
      <c r="V521" s="1302"/>
      <c r="W521" s="1302"/>
      <c r="X521" s="1302"/>
      <c r="Y521" s="1302"/>
      <c r="Z521" s="1302"/>
    </row>
    <row r="522" spans="1:26" ht="19.5" hidden="1">
      <c r="A522" s="1373"/>
      <c r="B522" s="1374" t="s">
        <v>227</v>
      </c>
      <c r="C522" s="1375"/>
      <c r="D522" s="1375"/>
      <c r="E522" s="1375"/>
      <c r="F522" s="1375"/>
      <c r="G522" s="1376"/>
      <c r="H522" s="673" t="s">
        <v>35</v>
      </c>
      <c r="I522" s="1377">
        <f t="shared" ref="I522:J522" ca="1" si="225">I537</f>
        <v>0</v>
      </c>
      <c r="J522" s="1377">
        <f t="shared" ca="1" si="225"/>
        <v>0</v>
      </c>
      <c r="K522" s="1378">
        <f ca="1">IF(I522&gt;0,J522*100/I522,0)</f>
        <v>0</v>
      </c>
      <c r="L522" s="1379"/>
      <c r="M522" s="1379"/>
      <c r="N522" s="1379"/>
      <c r="O522" s="1379"/>
      <c r="P522" s="1379"/>
      <c r="Q522" s="1302"/>
      <c r="R522" s="1302"/>
      <c r="S522" s="1302"/>
      <c r="T522" s="1302"/>
      <c r="U522" s="1302"/>
      <c r="V522" s="1302"/>
      <c r="W522" s="1302"/>
      <c r="X522" s="1302"/>
      <c r="Y522" s="1302"/>
      <c r="Z522" s="1302"/>
    </row>
    <row r="523" spans="1:26" ht="19.5" hidden="1">
      <c r="A523" s="1317"/>
      <c r="B523" s="1301"/>
      <c r="C523" s="1301" t="s">
        <v>16</v>
      </c>
      <c r="D523" s="1318" t="s">
        <v>17</v>
      </c>
      <c r="E523" s="841"/>
      <c r="F523" s="841"/>
      <c r="G523" s="1016"/>
      <c r="H523" s="597" t="s">
        <v>12</v>
      </c>
      <c r="I523" s="880"/>
      <c r="J523" s="880"/>
      <c r="K523" s="881"/>
      <c r="L523" s="1020">
        <f t="shared" ref="L523:N523" ca="1" si="226">L524+L525</f>
        <v>0</v>
      </c>
      <c r="M523" s="1020">
        <f t="shared" si="226"/>
        <v>0</v>
      </c>
      <c r="N523" s="1020">
        <f t="shared" si="226"/>
        <v>0</v>
      </c>
      <c r="O523" s="1020">
        <f t="shared" ref="O523:O528" ca="1" si="227">IF(L523&gt;0,N523*100/L523,0)</f>
        <v>0</v>
      </c>
      <c r="P523" s="1020">
        <f t="shared" ref="P523:P528" si="228">IF(M523&gt;0,N523*100/M523,0)</f>
        <v>0</v>
      </c>
      <c r="Q523" s="1302"/>
      <c r="R523" s="1302"/>
      <c r="S523" s="1302"/>
      <c r="T523" s="1302"/>
      <c r="U523" s="1302"/>
      <c r="V523" s="1302"/>
      <c r="W523" s="1302"/>
      <c r="X523" s="1302"/>
      <c r="Y523" s="1302"/>
      <c r="Z523" s="1302"/>
    </row>
    <row r="524" spans="1:26" ht="18.75" hidden="1">
      <c r="A524" s="1319"/>
      <c r="B524" s="1320"/>
      <c r="C524" s="1320"/>
      <c r="D524" s="1321"/>
      <c r="E524" s="1320" t="s">
        <v>185</v>
      </c>
      <c r="F524" s="1320"/>
      <c r="G524" s="1322"/>
      <c r="H524" s="165" t="s">
        <v>12</v>
      </c>
      <c r="I524" s="886"/>
      <c r="J524" s="886"/>
      <c r="K524" s="887"/>
      <c r="L524" s="887">
        <f t="shared" ref="L524:N525" si="229">L527+L534</f>
        <v>0</v>
      </c>
      <c r="M524" s="887">
        <f t="shared" si="229"/>
        <v>0</v>
      </c>
      <c r="N524" s="887">
        <f t="shared" si="229"/>
        <v>0</v>
      </c>
      <c r="O524" s="887">
        <f t="shared" si="227"/>
        <v>0</v>
      </c>
      <c r="P524" s="887">
        <f t="shared" si="228"/>
        <v>0</v>
      </c>
      <c r="Q524" s="1323"/>
      <c r="R524" s="1323"/>
      <c r="S524" s="1323"/>
      <c r="T524" s="1323"/>
      <c r="U524" s="1323"/>
      <c r="V524" s="1323"/>
      <c r="W524" s="1323"/>
      <c r="X524" s="1323"/>
      <c r="Y524" s="1323"/>
      <c r="Z524" s="1323"/>
    </row>
    <row r="525" spans="1:26" ht="18.75" hidden="1">
      <c r="A525" s="1319"/>
      <c r="B525" s="1324"/>
      <c r="C525" s="1320"/>
      <c r="D525" s="1321"/>
      <c r="E525" s="1320" t="s">
        <v>186</v>
      </c>
      <c r="F525" s="1320"/>
      <c r="G525" s="1322"/>
      <c r="H525" s="165" t="s">
        <v>12</v>
      </c>
      <c r="I525" s="886"/>
      <c r="J525" s="886"/>
      <c r="K525" s="887"/>
      <c r="L525" s="887">
        <f t="shared" ca="1" si="229"/>
        <v>0</v>
      </c>
      <c r="M525" s="887">
        <f t="shared" si="229"/>
        <v>0</v>
      </c>
      <c r="N525" s="887">
        <f t="shared" si="229"/>
        <v>0</v>
      </c>
      <c r="O525" s="887">
        <f t="shared" ca="1" si="227"/>
        <v>0</v>
      </c>
      <c r="P525" s="887">
        <f t="shared" si="228"/>
        <v>0</v>
      </c>
      <c r="Q525" s="1323"/>
      <c r="R525" s="1323"/>
      <c r="S525" s="1323"/>
      <c r="T525" s="1323"/>
      <c r="U525" s="1323"/>
      <c r="V525" s="1323"/>
      <c r="W525" s="1323"/>
      <c r="X525" s="1323"/>
      <c r="Y525" s="1323"/>
      <c r="Z525" s="1323"/>
    </row>
    <row r="526" spans="1:26" ht="18.75" hidden="1">
      <c r="A526" s="1317"/>
      <c r="B526" s="1300"/>
      <c r="C526" s="1301"/>
      <c r="D526" s="1325" t="s">
        <v>20</v>
      </c>
      <c r="E526" s="1301"/>
      <c r="F526" s="1301"/>
      <c r="G526" s="1016"/>
      <c r="H526" s="161" t="s">
        <v>12</v>
      </c>
      <c r="I526" s="997"/>
      <c r="J526" s="997"/>
      <c r="K526" s="998"/>
      <c r="L526" s="881">
        <f t="shared" ref="L526:N526" ca="1" si="230">L527+L528</f>
        <v>0</v>
      </c>
      <c r="M526" s="881">
        <f t="shared" si="230"/>
        <v>0</v>
      </c>
      <c r="N526" s="881">
        <f t="shared" si="230"/>
        <v>0</v>
      </c>
      <c r="O526" s="881">
        <f t="shared" ca="1" si="227"/>
        <v>0</v>
      </c>
      <c r="P526" s="881">
        <f t="shared" si="228"/>
        <v>0</v>
      </c>
      <c r="Q526" s="1302"/>
      <c r="R526" s="1302"/>
      <c r="S526" s="1302"/>
      <c r="T526" s="1302"/>
      <c r="U526" s="1302"/>
      <c r="V526" s="1302"/>
      <c r="W526" s="1302"/>
      <c r="X526" s="1302"/>
      <c r="Y526" s="1302"/>
      <c r="Z526" s="1302"/>
    </row>
    <row r="527" spans="1:26" ht="18.75" hidden="1">
      <c r="A527" s="1319"/>
      <c r="B527" s="1324"/>
      <c r="C527" s="1320"/>
      <c r="D527" s="1321"/>
      <c r="E527" s="1320" t="s">
        <v>185</v>
      </c>
      <c r="F527" s="1320"/>
      <c r="G527" s="1322"/>
      <c r="H527" s="165" t="s">
        <v>12</v>
      </c>
      <c r="I527" s="886"/>
      <c r="J527" s="886"/>
      <c r="K527" s="887"/>
      <c r="L527" s="887">
        <v>0</v>
      </c>
      <c r="M527" s="887">
        <v>0</v>
      </c>
      <c r="N527" s="887">
        <v>0</v>
      </c>
      <c r="O527" s="887">
        <f t="shared" si="227"/>
        <v>0</v>
      </c>
      <c r="P527" s="887">
        <f t="shared" si="228"/>
        <v>0</v>
      </c>
      <c r="Q527" s="1323"/>
      <c r="R527" s="1323"/>
      <c r="S527" s="1323"/>
      <c r="T527" s="1323"/>
      <c r="U527" s="1323"/>
      <c r="V527" s="1323"/>
      <c r="W527" s="1323"/>
      <c r="X527" s="1323"/>
      <c r="Y527" s="1323"/>
      <c r="Z527" s="1323"/>
    </row>
    <row r="528" spans="1:26" ht="18.75" hidden="1">
      <c r="A528" s="1319"/>
      <c r="B528" s="1324"/>
      <c r="C528" s="1320"/>
      <c r="D528" s="1321"/>
      <c r="E528" s="1320" t="s">
        <v>186</v>
      </c>
      <c r="F528" s="1320"/>
      <c r="G528" s="1322"/>
      <c r="H528" s="165" t="s">
        <v>12</v>
      </c>
      <c r="I528" s="886"/>
      <c r="J528" s="886"/>
      <c r="K528" s="887"/>
      <c r="L528" s="887">
        <f ca="1">IFERROR(__xludf.DUMMYFUNCTION("IMPORTRANGE(""https://docs.google.com/spreadsheets/d/1QqKyyYR6Q21VydFLVH3TRQUabQu_ym0Zz7PgGX0-kHA/edit?usp=sharing"",""แผน!GQ85"")"),0)</f>
        <v>0</v>
      </c>
      <c r="M528" s="887">
        <v>0</v>
      </c>
      <c r="N528" s="887">
        <f>N529+N530+N531+N532</f>
        <v>0</v>
      </c>
      <c r="O528" s="887">
        <f t="shared" ca="1" si="227"/>
        <v>0</v>
      </c>
      <c r="P528" s="887">
        <f t="shared" si="228"/>
        <v>0</v>
      </c>
      <c r="Q528" s="1323"/>
      <c r="R528" s="1323"/>
      <c r="S528" s="1323"/>
      <c r="T528" s="1323"/>
      <c r="U528" s="1323"/>
      <c r="V528" s="1323"/>
      <c r="W528" s="1323"/>
      <c r="X528" s="1323"/>
      <c r="Y528" s="1323"/>
      <c r="Z528" s="1323"/>
    </row>
    <row r="529" spans="1:26" ht="18.75" hidden="1">
      <c r="A529" s="1299"/>
      <c r="B529" s="1300"/>
      <c r="C529" s="1301"/>
      <c r="D529" s="1301"/>
      <c r="E529" s="1301"/>
      <c r="F529" s="1301" t="s">
        <v>187</v>
      </c>
      <c r="G529" s="1016"/>
      <c r="H529" s="161" t="s">
        <v>12</v>
      </c>
      <c r="I529" s="880"/>
      <c r="J529" s="880"/>
      <c r="K529" s="881"/>
      <c r="L529" s="881"/>
      <c r="M529" s="881"/>
      <c r="N529" s="1085">
        <v>0</v>
      </c>
      <c r="O529" s="881"/>
      <c r="P529" s="881"/>
      <c r="Q529" s="1302"/>
      <c r="R529" s="1302"/>
      <c r="S529" s="1302"/>
      <c r="T529" s="1302"/>
      <c r="U529" s="1302"/>
      <c r="V529" s="1302"/>
      <c r="W529" s="1302"/>
      <c r="X529" s="1302"/>
      <c r="Y529" s="1302"/>
      <c r="Z529" s="1302"/>
    </row>
    <row r="530" spans="1:26" ht="18.75" hidden="1">
      <c r="A530" s="1299"/>
      <c r="B530" s="1300"/>
      <c r="C530" s="1301"/>
      <c r="D530" s="1301"/>
      <c r="E530" s="1301"/>
      <c r="F530" s="1301" t="s">
        <v>188</v>
      </c>
      <c r="G530" s="1016"/>
      <c r="H530" s="161" t="s">
        <v>12</v>
      </c>
      <c r="I530" s="880"/>
      <c r="J530" s="880"/>
      <c r="K530" s="881"/>
      <c r="L530" s="881"/>
      <c r="M530" s="881"/>
      <c r="N530" s="1085">
        <v>0</v>
      </c>
      <c r="O530" s="881"/>
      <c r="P530" s="881"/>
      <c r="Q530" s="1302"/>
      <c r="R530" s="1302"/>
      <c r="S530" s="1302"/>
      <c r="T530" s="1302"/>
      <c r="U530" s="1302"/>
      <c r="V530" s="1302"/>
      <c r="W530" s="1302"/>
      <c r="X530" s="1302"/>
      <c r="Y530" s="1302"/>
      <c r="Z530" s="1302"/>
    </row>
    <row r="531" spans="1:26" ht="18.75" hidden="1">
      <c r="A531" s="1299"/>
      <c r="B531" s="1300"/>
      <c r="C531" s="1301"/>
      <c r="D531" s="1301"/>
      <c r="E531" s="1301"/>
      <c r="F531" s="1301" t="s">
        <v>189</v>
      </c>
      <c r="G531" s="1016"/>
      <c r="H531" s="161" t="s">
        <v>12</v>
      </c>
      <c r="I531" s="880"/>
      <c r="J531" s="880"/>
      <c r="K531" s="881"/>
      <c r="L531" s="881"/>
      <c r="M531" s="881"/>
      <c r="N531" s="1085">
        <v>0</v>
      </c>
      <c r="O531" s="881"/>
      <c r="P531" s="881"/>
      <c r="Q531" s="1302"/>
      <c r="R531" s="1302"/>
      <c r="S531" s="1302"/>
      <c r="T531" s="1302"/>
      <c r="U531" s="1302"/>
      <c r="V531" s="1302"/>
      <c r="W531" s="1302"/>
      <c r="X531" s="1302"/>
      <c r="Y531" s="1302"/>
      <c r="Z531" s="1302"/>
    </row>
    <row r="532" spans="1:26" ht="18.75" hidden="1">
      <c r="A532" s="1299"/>
      <c r="B532" s="1300"/>
      <c r="C532" s="1301"/>
      <c r="D532" s="1301"/>
      <c r="E532" s="1301"/>
      <c r="F532" s="1301" t="s">
        <v>190</v>
      </c>
      <c r="G532" s="1016"/>
      <c r="H532" s="161" t="s">
        <v>12</v>
      </c>
      <c r="I532" s="880"/>
      <c r="J532" s="880"/>
      <c r="K532" s="881"/>
      <c r="L532" s="881"/>
      <c r="M532" s="881"/>
      <c r="N532" s="1085">
        <v>0</v>
      </c>
      <c r="O532" s="881"/>
      <c r="P532" s="881"/>
      <c r="Q532" s="1302"/>
      <c r="R532" s="1302"/>
      <c r="S532" s="1302"/>
      <c r="T532" s="1302"/>
      <c r="U532" s="1302"/>
      <c r="V532" s="1302"/>
      <c r="W532" s="1302"/>
      <c r="X532" s="1302"/>
      <c r="Y532" s="1302"/>
      <c r="Z532" s="1302"/>
    </row>
    <row r="533" spans="1:26" ht="18.75" hidden="1">
      <c r="A533" s="1317"/>
      <c r="B533" s="1300"/>
      <c r="C533" s="1301"/>
      <c r="D533" s="1325" t="s">
        <v>21</v>
      </c>
      <c r="E533" s="1301"/>
      <c r="F533" s="1301"/>
      <c r="G533" s="1016"/>
      <c r="H533" s="168" t="s">
        <v>12</v>
      </c>
      <c r="I533" s="997"/>
      <c r="J533" s="997"/>
      <c r="K533" s="998"/>
      <c r="L533" s="881">
        <f t="shared" ref="L533:N533" ca="1" si="231">L534+L535</f>
        <v>0</v>
      </c>
      <c r="M533" s="881">
        <f t="shared" si="231"/>
        <v>0</v>
      </c>
      <c r="N533" s="881">
        <f t="shared" si="231"/>
        <v>0</v>
      </c>
      <c r="O533" s="881">
        <f t="shared" ref="O533:O535" ca="1" si="232">IF(L533&gt;0,N533*100/L533,0)</f>
        <v>0</v>
      </c>
      <c r="P533" s="881">
        <f t="shared" ref="P533:P535" si="233">IF(M533&gt;0,N533*100/M533,0)</f>
        <v>0</v>
      </c>
      <c r="Q533" s="1302"/>
      <c r="R533" s="1302"/>
      <c r="S533" s="1302"/>
      <c r="T533" s="1302"/>
      <c r="U533" s="1302"/>
      <c r="V533" s="1302"/>
      <c r="W533" s="1302"/>
      <c r="X533" s="1302"/>
      <c r="Y533" s="1302"/>
      <c r="Z533" s="1302"/>
    </row>
    <row r="534" spans="1:26" ht="18.75" hidden="1">
      <c r="A534" s="1319"/>
      <c r="B534" s="1324"/>
      <c r="C534" s="1320"/>
      <c r="D534" s="1320"/>
      <c r="E534" s="1320" t="s">
        <v>18</v>
      </c>
      <c r="F534" s="1320"/>
      <c r="G534" s="1322"/>
      <c r="H534" s="165" t="s">
        <v>12</v>
      </c>
      <c r="I534" s="1000"/>
      <c r="J534" s="1000"/>
      <c r="K534" s="1001"/>
      <c r="L534" s="887">
        <v>0</v>
      </c>
      <c r="M534" s="887">
        <v>0</v>
      </c>
      <c r="N534" s="887">
        <v>0</v>
      </c>
      <c r="O534" s="887">
        <f t="shared" si="232"/>
        <v>0</v>
      </c>
      <c r="P534" s="887">
        <f t="shared" si="233"/>
        <v>0</v>
      </c>
      <c r="Q534" s="1323"/>
      <c r="R534" s="1323"/>
      <c r="S534" s="1323"/>
      <c r="T534" s="1323"/>
      <c r="U534" s="1323"/>
      <c r="V534" s="1323"/>
      <c r="W534" s="1323"/>
      <c r="X534" s="1323"/>
      <c r="Y534" s="1323"/>
      <c r="Z534" s="1323"/>
    </row>
    <row r="535" spans="1:26" ht="18.75" hidden="1">
      <c r="A535" s="1319"/>
      <c r="B535" s="1324"/>
      <c r="C535" s="1320"/>
      <c r="D535" s="1320"/>
      <c r="E535" s="1320" t="s">
        <v>19</v>
      </c>
      <c r="F535" s="1320"/>
      <c r="G535" s="1322"/>
      <c r="H535" s="169" t="s">
        <v>12</v>
      </c>
      <c r="I535" s="1000"/>
      <c r="J535" s="1000"/>
      <c r="K535" s="1001"/>
      <c r="L535" s="887">
        <f ca="1">IFERROR(__xludf.DUMMYFUNCTION("IMPORTRANGE(""https://docs.google.com/spreadsheets/d/1QqKyyYR6Q21VydFLVH3TRQUabQu_ym0Zz7PgGX0-kHA/edit?usp=sharing"",""แผน!GT85"")"),0)</f>
        <v>0</v>
      </c>
      <c r="M535" s="887">
        <v>0</v>
      </c>
      <c r="N535" s="887">
        <v>0</v>
      </c>
      <c r="O535" s="887">
        <f t="shared" ca="1" si="232"/>
        <v>0</v>
      </c>
      <c r="P535" s="887">
        <f t="shared" si="233"/>
        <v>0</v>
      </c>
      <c r="Q535" s="1323"/>
      <c r="R535" s="1323"/>
      <c r="S535" s="1323"/>
      <c r="T535" s="1323"/>
      <c r="U535" s="1323"/>
      <c r="V535" s="1323"/>
      <c r="W535" s="1323"/>
      <c r="X535" s="1323"/>
      <c r="Y535" s="1323"/>
      <c r="Z535" s="1323"/>
    </row>
    <row r="536" spans="1:26" ht="19.5" hidden="1">
      <c r="A536" s="1326"/>
      <c r="B536" s="1327"/>
      <c r="C536" s="1301" t="s">
        <v>16</v>
      </c>
      <c r="D536" s="1380" t="s">
        <v>38</v>
      </c>
      <c r="E536" s="1330"/>
      <c r="F536" s="1330"/>
      <c r="G536" s="1331"/>
      <c r="H536" s="1007"/>
      <c r="I536" s="997"/>
      <c r="J536" s="997"/>
      <c r="K536" s="998"/>
      <c r="L536" s="998"/>
      <c r="M536" s="998"/>
      <c r="N536" s="998"/>
      <c r="O536" s="998"/>
      <c r="P536" s="998"/>
      <c r="Q536" s="1302"/>
      <c r="R536" s="1302"/>
      <c r="S536" s="1302"/>
      <c r="T536" s="1302"/>
      <c r="U536" s="1302"/>
      <c r="V536" s="1302"/>
      <c r="W536" s="1302"/>
      <c r="X536" s="1302"/>
      <c r="Y536" s="1302"/>
      <c r="Z536" s="1302"/>
    </row>
    <row r="537" spans="1:26" ht="19.5" hidden="1">
      <c r="A537" s="1299"/>
      <c r="B537" s="1300"/>
      <c r="C537" s="1301"/>
      <c r="D537" s="1301" t="s">
        <v>228</v>
      </c>
      <c r="E537" s="1301"/>
      <c r="F537" s="1301"/>
      <c r="G537" s="1016"/>
      <c r="H537" s="622" t="s">
        <v>35</v>
      </c>
      <c r="I537" s="1019">
        <f ca="1">IFERROR(__xludf.DUMMYFUNCTION("IMPORTRANGE(""https://docs.google.com/spreadsheets/d/1QqKyyYR6Q21VydFLVH3TRQUabQu_ym0Zz7PgGX0-kHA/edit?usp=sharing"",""แผน!GU85"")"),0)</f>
        <v>0</v>
      </c>
      <c r="J537" s="1019">
        <f ca="1">IF(AND(J538=I538,J539=I539,J540=I540,J541=I541),I537,0)</f>
        <v>0</v>
      </c>
      <c r="K537" s="881">
        <f t="shared" ref="K537:K543" ca="1" si="234">IF(I537&gt;0,J537*100/I537,0)</f>
        <v>0</v>
      </c>
      <c r="L537" s="881"/>
      <c r="M537" s="881"/>
      <c r="N537" s="881"/>
      <c r="O537" s="881"/>
      <c r="P537" s="881"/>
      <c r="Q537" s="1381"/>
      <c r="R537" s="1381"/>
      <c r="S537" s="1381"/>
      <c r="T537" s="1381"/>
      <c r="U537" s="1381"/>
      <c r="V537" s="1381"/>
      <c r="W537" s="1381"/>
      <c r="X537" s="1381"/>
      <c r="Y537" s="1381"/>
      <c r="Z537" s="1381"/>
    </row>
    <row r="538" spans="1:26" ht="18.75" hidden="1">
      <c r="A538" s="1299"/>
      <c r="B538" s="1300"/>
      <c r="C538" s="1301"/>
      <c r="D538" s="1301"/>
      <c r="E538" s="1301" t="s">
        <v>229</v>
      </c>
      <c r="F538" s="1301"/>
      <c r="G538" s="1016"/>
      <c r="H538" s="622" t="s">
        <v>35</v>
      </c>
      <c r="I538" s="880">
        <f ca="1">IFERROR(__xludf.DUMMYFUNCTION("IMPORTRANGE(""https://docs.google.com/spreadsheets/d/1QqKyyYR6Q21VydFLVH3TRQUabQu_ym0Zz7PgGX0-kHA/edit?usp=sharing"",""แผน!GV85"")"),0)</f>
        <v>0</v>
      </c>
      <c r="J538" s="1012">
        <v>0</v>
      </c>
      <c r="K538" s="881">
        <f t="shared" ca="1" si="234"/>
        <v>0</v>
      </c>
      <c r="L538" s="881"/>
      <c r="M538" s="881"/>
      <c r="N538" s="881"/>
      <c r="O538" s="881"/>
      <c r="P538" s="881"/>
      <c r="Q538" s="1381"/>
      <c r="R538" s="1381"/>
      <c r="S538" s="1381"/>
      <c r="T538" s="1381"/>
      <c r="U538" s="1381"/>
      <c r="V538" s="1381"/>
      <c r="W538" s="1381"/>
      <c r="X538" s="1381"/>
      <c r="Y538" s="1381"/>
      <c r="Z538" s="1381"/>
    </row>
    <row r="539" spans="1:26" ht="18.75" hidden="1">
      <c r="A539" s="1299"/>
      <c r="B539" s="1300"/>
      <c r="C539" s="1301"/>
      <c r="D539" s="1301"/>
      <c r="E539" s="1301" t="s">
        <v>230</v>
      </c>
      <c r="F539" s="1301"/>
      <c r="G539" s="1016"/>
      <c r="H539" s="622" t="s">
        <v>35</v>
      </c>
      <c r="I539" s="880">
        <f ca="1">IFERROR(__xludf.DUMMYFUNCTION("IMPORTRANGE(""https://docs.google.com/spreadsheets/d/1QqKyyYR6Q21VydFLVH3TRQUabQu_ym0Zz7PgGX0-kHA/edit?usp=sharing"",""แผน!GW85"")"),0)</f>
        <v>0</v>
      </c>
      <c r="J539" s="1012">
        <v>0</v>
      </c>
      <c r="K539" s="881">
        <f t="shared" ca="1" si="234"/>
        <v>0</v>
      </c>
      <c r="L539" s="881"/>
      <c r="M539" s="881"/>
      <c r="N539" s="881"/>
      <c r="O539" s="881"/>
      <c r="P539" s="881"/>
      <c r="Q539" s="1381"/>
      <c r="R539" s="1381"/>
      <c r="S539" s="1381"/>
      <c r="T539" s="1381"/>
      <c r="U539" s="1381"/>
      <c r="V539" s="1381"/>
      <c r="W539" s="1381"/>
      <c r="X539" s="1381"/>
      <c r="Y539" s="1381"/>
      <c r="Z539" s="1381"/>
    </row>
    <row r="540" spans="1:26" ht="18.75" hidden="1">
      <c r="A540" s="1299"/>
      <c r="B540" s="1300"/>
      <c r="C540" s="1301"/>
      <c r="D540" s="1301"/>
      <c r="E540" s="1301" t="s">
        <v>231</v>
      </c>
      <c r="F540" s="1301"/>
      <c r="G540" s="1016"/>
      <c r="H540" s="622" t="s">
        <v>35</v>
      </c>
      <c r="I540" s="880">
        <f ca="1">IFERROR(__xludf.DUMMYFUNCTION("IMPORTRANGE(""https://docs.google.com/spreadsheets/d/1QqKyyYR6Q21VydFLVH3TRQUabQu_ym0Zz7PgGX0-kHA/edit?usp=sharing"",""แผน!GX85"")"),0)</f>
        <v>0</v>
      </c>
      <c r="J540" s="1012">
        <v>0</v>
      </c>
      <c r="K540" s="881">
        <f t="shared" ca="1" si="234"/>
        <v>0</v>
      </c>
      <c r="L540" s="881"/>
      <c r="M540" s="881"/>
      <c r="N540" s="881"/>
      <c r="O540" s="881"/>
      <c r="P540" s="881"/>
      <c r="Q540" s="1381"/>
      <c r="R540" s="1381"/>
      <c r="S540" s="1381"/>
      <c r="T540" s="1381"/>
      <c r="U540" s="1381"/>
      <c r="V540" s="1381"/>
      <c r="W540" s="1381"/>
      <c r="X540" s="1381"/>
      <c r="Y540" s="1381"/>
      <c r="Z540" s="1381"/>
    </row>
    <row r="541" spans="1:26" ht="18.75" hidden="1">
      <c r="A541" s="1299"/>
      <c r="B541" s="1300"/>
      <c r="C541" s="1301"/>
      <c r="D541" s="1301"/>
      <c r="E541" s="1382" t="s">
        <v>232</v>
      </c>
      <c r="F541" s="1301"/>
      <c r="G541" s="1016"/>
      <c r="H541" s="622" t="s">
        <v>35</v>
      </c>
      <c r="I541" s="880">
        <f ca="1">IFERROR(__xludf.DUMMYFUNCTION("IMPORTRANGE(""https://docs.google.com/spreadsheets/d/1QqKyyYR6Q21VydFLVH3TRQUabQu_ym0Zz7PgGX0-kHA/edit?usp=sharing"",""แผน!GY85"")"),0)</f>
        <v>0</v>
      </c>
      <c r="J541" s="1012">
        <v>0</v>
      </c>
      <c r="K541" s="881">
        <f t="shared" ca="1" si="234"/>
        <v>0</v>
      </c>
      <c r="L541" s="881"/>
      <c r="M541" s="881"/>
      <c r="N541" s="881"/>
      <c r="O541" s="881"/>
      <c r="P541" s="881"/>
      <c r="Q541" s="1381"/>
      <c r="R541" s="1381"/>
      <c r="S541" s="1381"/>
      <c r="T541" s="1381"/>
      <c r="U541" s="1381"/>
      <c r="V541" s="1381"/>
      <c r="W541" s="1381"/>
      <c r="X541" s="1381"/>
      <c r="Y541" s="1381"/>
      <c r="Z541" s="1381"/>
    </row>
    <row r="542" spans="1:26" ht="18.75" hidden="1">
      <c r="A542" s="1299"/>
      <c r="B542" s="1300"/>
      <c r="C542" s="1301"/>
      <c r="D542" s="1301" t="s">
        <v>59</v>
      </c>
      <c r="E542" s="1301"/>
      <c r="F542" s="1301"/>
      <c r="G542" s="1016"/>
      <c r="H542" s="622" t="s">
        <v>35</v>
      </c>
      <c r="I542" s="880">
        <f ca="1">IFERROR(__xludf.DUMMYFUNCTION("IMPORTRANGE(""https://docs.google.com/spreadsheets/d/1QqKyyYR6Q21VydFLVH3TRQUabQu_ym0Zz7PgGX0-kHA/edit?usp=sharing"",""แผน!GZ85"")"),0)</f>
        <v>0</v>
      </c>
      <c r="J542" s="1012">
        <v>0</v>
      </c>
      <c r="K542" s="881">
        <f t="shared" ca="1" si="234"/>
        <v>0</v>
      </c>
      <c r="L542" s="881"/>
      <c r="M542" s="881"/>
      <c r="N542" s="881"/>
      <c r="O542" s="881"/>
      <c r="P542" s="881"/>
      <c r="Q542" s="1381"/>
      <c r="R542" s="1381"/>
      <c r="S542" s="1381"/>
      <c r="T542" s="1381"/>
      <c r="U542" s="1381"/>
      <c r="V542" s="1381"/>
      <c r="W542" s="1381"/>
      <c r="X542" s="1381"/>
      <c r="Y542" s="1381"/>
      <c r="Z542" s="1381"/>
    </row>
    <row r="543" spans="1:26" ht="19.5">
      <c r="A543" s="662">
        <v>6</v>
      </c>
      <c r="B543" s="1383" t="s">
        <v>233</v>
      </c>
      <c r="C543" s="1369"/>
      <c r="D543" s="1369"/>
      <c r="E543" s="1369"/>
      <c r="F543" s="1369"/>
      <c r="G543" s="1370"/>
      <c r="H543" s="684" t="s">
        <v>46</v>
      </c>
      <c r="I543" s="1384">
        <f t="shared" ref="I543:J543" ca="1" si="235">I559</f>
        <v>0</v>
      </c>
      <c r="J543" s="1384">
        <f t="shared" si="235"/>
        <v>0</v>
      </c>
      <c r="K543" s="1385">
        <f t="shared" ca="1" si="234"/>
        <v>0</v>
      </c>
      <c r="L543" s="1372"/>
      <c r="M543" s="1372"/>
      <c r="N543" s="1372"/>
      <c r="O543" s="1372"/>
      <c r="P543" s="1372"/>
      <c r="Q543" s="1302"/>
      <c r="R543" s="1302"/>
      <c r="S543" s="1302"/>
      <c r="T543" s="1302"/>
      <c r="U543" s="1302"/>
      <c r="V543" s="1302"/>
      <c r="W543" s="1302"/>
      <c r="X543" s="1302"/>
      <c r="Y543" s="1302"/>
      <c r="Z543" s="1302"/>
    </row>
    <row r="544" spans="1:26" ht="19.5">
      <c r="A544" s="1386"/>
      <c r="B544" s="1387"/>
      <c r="C544" s="1387" t="s">
        <v>16</v>
      </c>
      <c r="D544" s="1388" t="s">
        <v>17</v>
      </c>
      <c r="E544" s="846"/>
      <c r="F544" s="846"/>
      <c r="G544" s="1389"/>
      <c r="H544" s="275" t="s">
        <v>12</v>
      </c>
      <c r="I544" s="990"/>
      <c r="J544" s="990"/>
      <c r="K544" s="991"/>
      <c r="L544" s="992">
        <f t="shared" ref="L544:N544" ca="1" si="236">L545+L546</f>
        <v>218100</v>
      </c>
      <c r="M544" s="992">
        <f t="shared" ca="1" si="236"/>
        <v>218100</v>
      </c>
      <c r="N544" s="992">
        <f t="shared" si="236"/>
        <v>26687</v>
      </c>
      <c r="O544" s="992">
        <f t="shared" ref="O544:O549" ca="1" si="237">IF(L544&gt;0,N544*100/L544,0)</f>
        <v>12.236130215497479</v>
      </c>
      <c r="P544" s="992">
        <f t="shared" ref="P544:P549" ca="1" si="238">IF(M544&gt;0,N544*100/M544,0)</f>
        <v>12.236130215497479</v>
      </c>
      <c r="Q544" s="1302"/>
      <c r="R544" s="1302"/>
      <c r="S544" s="1302"/>
      <c r="T544" s="1302"/>
      <c r="U544" s="1302"/>
      <c r="V544" s="1302"/>
      <c r="W544" s="1302"/>
      <c r="X544" s="1302"/>
      <c r="Y544" s="1302"/>
      <c r="Z544" s="1302"/>
    </row>
    <row r="545" spans="1:26" ht="18.75" hidden="1">
      <c r="A545" s="1319"/>
      <c r="B545" s="1320"/>
      <c r="C545" s="1320"/>
      <c r="D545" s="1320"/>
      <c r="E545" s="1320" t="s">
        <v>185</v>
      </c>
      <c r="F545" s="1320"/>
      <c r="G545" s="1322"/>
      <c r="H545" s="165" t="s">
        <v>12</v>
      </c>
      <c r="I545" s="886"/>
      <c r="J545" s="886"/>
      <c r="K545" s="887"/>
      <c r="L545" s="887">
        <f t="shared" ref="L545:L546" si="239">L548+L556</f>
        <v>0</v>
      </c>
      <c r="M545" s="887">
        <f t="shared" ref="M545:N546" si="240">M548+M555</f>
        <v>0</v>
      </c>
      <c r="N545" s="887">
        <f t="shared" si="240"/>
        <v>0</v>
      </c>
      <c r="O545" s="887">
        <f t="shared" si="237"/>
        <v>0</v>
      </c>
      <c r="P545" s="887">
        <f t="shared" si="238"/>
        <v>0</v>
      </c>
      <c r="Q545" s="1323"/>
      <c r="R545" s="1323"/>
      <c r="S545" s="1323"/>
      <c r="T545" s="1323"/>
      <c r="U545" s="1323"/>
      <c r="V545" s="1323"/>
      <c r="W545" s="1323"/>
      <c r="X545" s="1323"/>
      <c r="Y545" s="1323"/>
      <c r="Z545" s="1323"/>
    </row>
    <row r="546" spans="1:26" ht="18.75" hidden="1">
      <c r="A546" s="1319"/>
      <c r="B546" s="1324"/>
      <c r="C546" s="1320"/>
      <c r="D546" s="1320"/>
      <c r="E546" s="1320" t="s">
        <v>186</v>
      </c>
      <c r="F546" s="1320"/>
      <c r="G546" s="1322"/>
      <c r="H546" s="165" t="s">
        <v>12</v>
      </c>
      <c r="I546" s="886"/>
      <c r="J546" s="886"/>
      <c r="K546" s="887"/>
      <c r="L546" s="887">
        <f t="shared" ca="1" si="239"/>
        <v>218100</v>
      </c>
      <c r="M546" s="887">
        <f t="shared" ca="1" si="240"/>
        <v>218100</v>
      </c>
      <c r="N546" s="887">
        <f t="shared" si="240"/>
        <v>26687</v>
      </c>
      <c r="O546" s="887">
        <f t="shared" ca="1" si="237"/>
        <v>12.236130215497479</v>
      </c>
      <c r="P546" s="887">
        <f t="shared" ca="1" si="238"/>
        <v>12.236130215497479</v>
      </c>
      <c r="Q546" s="1323"/>
      <c r="R546" s="1323"/>
      <c r="S546" s="1323"/>
      <c r="T546" s="1323"/>
      <c r="U546" s="1323"/>
      <c r="V546" s="1323"/>
      <c r="W546" s="1323"/>
      <c r="X546" s="1323"/>
      <c r="Y546" s="1323"/>
      <c r="Z546" s="1323"/>
    </row>
    <row r="547" spans="1:26" ht="18.75">
      <c r="A547" s="1317"/>
      <c r="B547" s="1300"/>
      <c r="C547" s="1301"/>
      <c r="D547" s="1325" t="s">
        <v>20</v>
      </c>
      <c r="E547" s="1301"/>
      <c r="F547" s="1301"/>
      <c r="G547" s="1016"/>
      <c r="H547" s="161" t="s">
        <v>12</v>
      </c>
      <c r="I547" s="997"/>
      <c r="J547" s="997"/>
      <c r="K547" s="998"/>
      <c r="L547" s="881">
        <f t="shared" ref="L547:N547" ca="1" si="241">L548+L549</f>
        <v>218100</v>
      </c>
      <c r="M547" s="881">
        <f t="shared" ca="1" si="241"/>
        <v>218100</v>
      </c>
      <c r="N547" s="881">
        <f t="shared" si="241"/>
        <v>26687</v>
      </c>
      <c r="O547" s="881">
        <f t="shared" ca="1" si="237"/>
        <v>12.236130215497479</v>
      </c>
      <c r="P547" s="881">
        <f t="shared" ca="1" si="238"/>
        <v>12.236130215497479</v>
      </c>
      <c r="Q547" s="1302"/>
      <c r="R547" s="1302"/>
      <c r="S547" s="1302"/>
      <c r="T547" s="1302"/>
      <c r="U547" s="1302"/>
      <c r="V547" s="1302"/>
      <c r="W547" s="1302"/>
      <c r="X547" s="1302"/>
      <c r="Y547" s="1302"/>
      <c r="Z547" s="1302"/>
    </row>
    <row r="548" spans="1:26" ht="18.75" hidden="1">
      <c r="A548" s="1319"/>
      <c r="B548" s="1324"/>
      <c r="C548" s="1320"/>
      <c r="D548" s="1321"/>
      <c r="E548" s="1320" t="s">
        <v>185</v>
      </c>
      <c r="F548" s="1320"/>
      <c r="G548" s="1322"/>
      <c r="H548" s="165" t="s">
        <v>12</v>
      </c>
      <c r="I548" s="886"/>
      <c r="J548" s="886"/>
      <c r="K548" s="887"/>
      <c r="L548" s="887">
        <v>0</v>
      </c>
      <c r="M548" s="887">
        <v>0</v>
      </c>
      <c r="N548" s="887">
        <v>0</v>
      </c>
      <c r="O548" s="887">
        <f t="shared" si="237"/>
        <v>0</v>
      </c>
      <c r="P548" s="887">
        <f t="shared" si="238"/>
        <v>0</v>
      </c>
      <c r="Q548" s="1323"/>
      <c r="R548" s="1323"/>
      <c r="S548" s="1323"/>
      <c r="T548" s="1323"/>
      <c r="U548" s="1323"/>
      <c r="V548" s="1323"/>
      <c r="W548" s="1323"/>
      <c r="X548" s="1323"/>
      <c r="Y548" s="1323"/>
      <c r="Z548" s="1323"/>
    </row>
    <row r="549" spans="1:26" ht="18.75" hidden="1">
      <c r="A549" s="1319"/>
      <c r="B549" s="1324"/>
      <c r="C549" s="1320"/>
      <c r="D549" s="1321"/>
      <c r="E549" s="1320" t="s">
        <v>186</v>
      </c>
      <c r="F549" s="1320"/>
      <c r="G549" s="1322"/>
      <c r="H549" s="165" t="s">
        <v>12</v>
      </c>
      <c r="I549" s="886"/>
      <c r="J549" s="886"/>
      <c r="K549" s="887"/>
      <c r="L549" s="887">
        <f ca="1">IFERROR(__xludf.DUMMYFUNCTION("IMPORTRANGE(""https://docs.google.com/spreadsheets/d/1QqKyyYR6Q21VydFLVH3TRQUabQu_ym0Zz7PgGX0-kHA/edit?usp=sharing"",""แผน!HB85"")"),218100)</f>
        <v>218100</v>
      </c>
      <c r="M549" s="887">
        <f ca="1">L549</f>
        <v>218100</v>
      </c>
      <c r="N549" s="887">
        <f>N550+N551+N552+N553+N554</f>
        <v>26687</v>
      </c>
      <c r="O549" s="887">
        <f t="shared" ca="1" si="237"/>
        <v>12.236130215497479</v>
      </c>
      <c r="P549" s="887">
        <f t="shared" ca="1" si="238"/>
        <v>12.236130215497479</v>
      </c>
      <c r="Q549" s="1323"/>
      <c r="R549" s="1323"/>
      <c r="S549" s="1323"/>
      <c r="T549" s="1323"/>
      <c r="U549" s="1323"/>
      <c r="V549" s="1323"/>
      <c r="W549" s="1323"/>
      <c r="X549" s="1323"/>
      <c r="Y549" s="1323"/>
      <c r="Z549" s="1323"/>
    </row>
    <row r="550" spans="1:26" ht="18.75">
      <c r="A550" s="1299"/>
      <c r="B550" s="1300"/>
      <c r="C550" s="1301"/>
      <c r="D550" s="1301"/>
      <c r="E550" s="1301"/>
      <c r="F550" s="1301" t="s">
        <v>187</v>
      </c>
      <c r="G550" s="1016"/>
      <c r="H550" s="161" t="s">
        <v>12</v>
      </c>
      <c r="I550" s="880"/>
      <c r="J550" s="880"/>
      <c r="K550" s="881"/>
      <c r="L550" s="881"/>
      <c r="M550" s="881"/>
      <c r="N550" s="1085">
        <v>0</v>
      </c>
      <c r="O550" s="881"/>
      <c r="P550" s="881"/>
      <c r="Q550" s="1302"/>
      <c r="R550" s="1302"/>
      <c r="S550" s="1302"/>
      <c r="T550" s="1302"/>
      <c r="U550" s="1302"/>
      <c r="V550" s="1302"/>
      <c r="W550" s="1302"/>
      <c r="X550" s="1302"/>
      <c r="Y550" s="1302"/>
      <c r="Z550" s="1302"/>
    </row>
    <row r="551" spans="1:26" ht="18.75">
      <c r="A551" s="1299"/>
      <c r="B551" s="1300"/>
      <c r="C551" s="1300"/>
      <c r="D551" s="1300"/>
      <c r="E551" s="1301"/>
      <c r="F551" s="1301" t="s">
        <v>188</v>
      </c>
      <c r="G551" s="1016"/>
      <c r="H551" s="161" t="s">
        <v>12</v>
      </c>
      <c r="I551" s="880"/>
      <c r="J551" s="880"/>
      <c r="K551" s="881"/>
      <c r="L551" s="881"/>
      <c r="M551" s="881"/>
      <c r="N551" s="1085">
        <v>0</v>
      </c>
      <c r="O551" s="881"/>
      <c r="P551" s="881"/>
      <c r="Q551" s="1302"/>
      <c r="R551" s="1302"/>
      <c r="S551" s="1302"/>
      <c r="T551" s="1302"/>
      <c r="U551" s="1302"/>
      <c r="V551" s="1302"/>
      <c r="W551" s="1302"/>
      <c r="X551" s="1302"/>
      <c r="Y551" s="1302"/>
      <c r="Z551" s="1302"/>
    </row>
    <row r="552" spans="1:26" ht="18.75">
      <c r="A552" s="1299"/>
      <c r="B552" s="1300"/>
      <c r="C552" s="1301"/>
      <c r="D552" s="1301"/>
      <c r="E552" s="1301"/>
      <c r="F552" s="1301" t="s">
        <v>189</v>
      </c>
      <c r="G552" s="1016"/>
      <c r="H552" s="161" t="s">
        <v>12</v>
      </c>
      <c r="I552" s="880"/>
      <c r="J552" s="880"/>
      <c r="K552" s="881"/>
      <c r="L552" s="881"/>
      <c r="M552" s="881"/>
      <c r="N552" s="1085">
        <v>0</v>
      </c>
      <c r="O552" s="881"/>
      <c r="P552" s="881"/>
      <c r="Q552" s="1302"/>
      <c r="R552" s="1302"/>
      <c r="S552" s="1302"/>
      <c r="T552" s="1302"/>
      <c r="U552" s="1302"/>
      <c r="V552" s="1302"/>
      <c r="W552" s="1302"/>
      <c r="X552" s="1302"/>
      <c r="Y552" s="1302"/>
      <c r="Z552" s="1302"/>
    </row>
    <row r="553" spans="1:26" ht="18.75">
      <c r="A553" s="1299"/>
      <c r="B553" s="1300"/>
      <c r="C553" s="1300"/>
      <c r="D553" s="1300"/>
      <c r="E553" s="1301"/>
      <c r="F553" s="1301" t="s">
        <v>190</v>
      </c>
      <c r="G553" s="1016"/>
      <c r="H553" s="161" t="s">
        <v>12</v>
      </c>
      <c r="I553" s="880"/>
      <c r="J553" s="880"/>
      <c r="K553" s="881"/>
      <c r="L553" s="881"/>
      <c r="M553" s="881"/>
      <c r="N553" s="1085">
        <v>17187</v>
      </c>
      <c r="O553" s="881"/>
      <c r="P553" s="881"/>
      <c r="Q553" s="1302"/>
      <c r="R553" s="1302"/>
      <c r="S553" s="1302"/>
      <c r="T553" s="1302"/>
      <c r="U553" s="1302"/>
      <c r="V553" s="1302"/>
      <c r="W553" s="1302"/>
      <c r="X553" s="1302"/>
      <c r="Y553" s="1302"/>
      <c r="Z553" s="1302"/>
    </row>
    <row r="554" spans="1:26" ht="18.75">
      <c r="A554" s="1299"/>
      <c r="B554" s="1300"/>
      <c r="C554" s="1300"/>
      <c r="D554" s="1300"/>
      <c r="E554" s="1301"/>
      <c r="F554" s="1301" t="s">
        <v>234</v>
      </c>
      <c r="G554" s="1016"/>
      <c r="H554" s="161" t="s">
        <v>12</v>
      </c>
      <c r="I554" s="880"/>
      <c r="J554" s="880"/>
      <c r="K554" s="881"/>
      <c r="L554" s="881"/>
      <c r="M554" s="881"/>
      <c r="N554" s="1085">
        <v>9500</v>
      </c>
      <c r="O554" s="881"/>
      <c r="P554" s="881"/>
      <c r="Q554" s="1302"/>
      <c r="R554" s="1302"/>
      <c r="S554" s="1302"/>
      <c r="T554" s="1302"/>
      <c r="U554" s="1302"/>
      <c r="V554" s="1302"/>
      <c r="W554" s="1302"/>
      <c r="X554" s="1302"/>
      <c r="Y554" s="1302"/>
      <c r="Z554" s="1302"/>
    </row>
    <row r="555" spans="1:26" ht="18.75">
      <c r="A555" s="1317"/>
      <c r="B555" s="1300"/>
      <c r="C555" s="1300"/>
      <c r="D555" s="1325" t="s">
        <v>21</v>
      </c>
      <c r="E555" s="1301"/>
      <c r="F555" s="1301"/>
      <c r="G555" s="1016"/>
      <c r="H555" s="168" t="s">
        <v>12</v>
      </c>
      <c r="I555" s="997"/>
      <c r="J555" s="997"/>
      <c r="K555" s="998"/>
      <c r="L555" s="881">
        <f t="shared" ref="L555:N555" ca="1" si="242">L556+L557</f>
        <v>0</v>
      </c>
      <c r="M555" s="881">
        <f t="shared" si="242"/>
        <v>0</v>
      </c>
      <c r="N555" s="881">
        <f t="shared" si="242"/>
        <v>0</v>
      </c>
      <c r="O555" s="881">
        <f t="shared" ref="O555:O557" ca="1" si="243">IF(L555&gt;0,N555*100/L555,0)</f>
        <v>0</v>
      </c>
      <c r="P555" s="881">
        <f t="shared" ref="P555:P557" si="244">IF(M555&gt;0,N555*100/M555,0)</f>
        <v>0</v>
      </c>
      <c r="Q555" s="1302"/>
      <c r="R555" s="1302"/>
      <c r="S555" s="1302"/>
      <c r="T555" s="1302"/>
      <c r="U555" s="1302"/>
      <c r="V555" s="1302"/>
      <c r="W555" s="1302"/>
      <c r="X555" s="1302"/>
      <c r="Y555" s="1302"/>
      <c r="Z555" s="1302"/>
    </row>
    <row r="556" spans="1:26" ht="18.75" hidden="1">
      <c r="A556" s="1319"/>
      <c r="B556" s="1324"/>
      <c r="C556" s="1324"/>
      <c r="D556" s="1320"/>
      <c r="E556" s="1320" t="s">
        <v>18</v>
      </c>
      <c r="F556" s="1320"/>
      <c r="G556" s="1322"/>
      <c r="H556" s="165" t="s">
        <v>12</v>
      </c>
      <c r="I556" s="1000"/>
      <c r="J556" s="1000"/>
      <c r="K556" s="1001"/>
      <c r="L556" s="887">
        <v>0</v>
      </c>
      <c r="M556" s="887">
        <v>0</v>
      </c>
      <c r="N556" s="887">
        <v>0</v>
      </c>
      <c r="O556" s="887">
        <f t="shared" si="243"/>
        <v>0</v>
      </c>
      <c r="P556" s="887">
        <f t="shared" si="244"/>
        <v>0</v>
      </c>
      <c r="Q556" s="1323"/>
      <c r="R556" s="1323"/>
      <c r="S556" s="1323"/>
      <c r="T556" s="1323"/>
      <c r="U556" s="1323"/>
      <c r="V556" s="1323"/>
      <c r="W556" s="1323"/>
      <c r="X556" s="1323"/>
      <c r="Y556" s="1323"/>
      <c r="Z556" s="1323"/>
    </row>
    <row r="557" spans="1:26" ht="18.75" hidden="1">
      <c r="A557" s="1319"/>
      <c r="B557" s="1324"/>
      <c r="C557" s="1324"/>
      <c r="D557" s="1320"/>
      <c r="E557" s="1320" t="s">
        <v>19</v>
      </c>
      <c r="F557" s="1320"/>
      <c r="G557" s="1322"/>
      <c r="H557" s="169" t="s">
        <v>12</v>
      </c>
      <c r="I557" s="1000"/>
      <c r="J557" s="1000"/>
      <c r="K557" s="1001"/>
      <c r="L557" s="887">
        <f ca="1">IFERROR(__xludf.DUMMYFUNCTION("IMPORTRANGE(""https://docs.google.com/spreadsheets/d/1QqKyyYR6Q21VydFLVH3TRQUabQu_ym0Zz7PgGX0-kHA/edit?usp=sharing"",""แผน!HF85"")"),0)</f>
        <v>0</v>
      </c>
      <c r="M557" s="887">
        <v>0</v>
      </c>
      <c r="N557" s="887">
        <v>0</v>
      </c>
      <c r="O557" s="887">
        <f t="shared" ca="1" si="243"/>
        <v>0</v>
      </c>
      <c r="P557" s="887">
        <f t="shared" si="244"/>
        <v>0</v>
      </c>
      <c r="Q557" s="1323"/>
      <c r="R557" s="1323"/>
      <c r="S557" s="1323"/>
      <c r="T557" s="1323"/>
      <c r="U557" s="1323"/>
      <c r="V557" s="1323"/>
      <c r="W557" s="1323"/>
      <c r="X557" s="1323"/>
      <c r="Y557" s="1323"/>
      <c r="Z557" s="1323"/>
    </row>
    <row r="558" spans="1:26" ht="19.5" hidden="1">
      <c r="A558" s="1326"/>
      <c r="B558" s="1327"/>
      <c r="C558" s="1300" t="s">
        <v>16</v>
      </c>
      <c r="D558" s="1380" t="s">
        <v>38</v>
      </c>
      <c r="E558" s="1330"/>
      <c r="F558" s="1330"/>
      <c r="G558" s="1331"/>
      <c r="H558" s="1007"/>
      <c r="I558" s="997"/>
      <c r="J558" s="997"/>
      <c r="K558" s="998"/>
      <c r="L558" s="998"/>
      <c r="M558" s="998"/>
      <c r="N558" s="998"/>
      <c r="O558" s="998"/>
      <c r="P558" s="998"/>
      <c r="Q558" s="1302"/>
      <c r="R558" s="1302"/>
      <c r="S558" s="1302"/>
      <c r="T558" s="1302"/>
      <c r="U558" s="1302"/>
      <c r="V558" s="1302"/>
      <c r="W558" s="1302"/>
      <c r="X558" s="1302"/>
      <c r="Y558" s="1302"/>
      <c r="Z558" s="1302"/>
    </row>
    <row r="559" spans="1:26" ht="19.5" hidden="1">
      <c r="A559" s="1390"/>
      <c r="B559" s="1391" t="s">
        <v>235</v>
      </c>
      <c r="C559" s="1392"/>
      <c r="D559" s="1392"/>
      <c r="E559" s="1375"/>
      <c r="F559" s="1375"/>
      <c r="G559" s="1376"/>
      <c r="H559" s="693" t="s">
        <v>46</v>
      </c>
      <c r="I559" s="1377">
        <f t="shared" ref="I559:J559" ca="1" si="245">I576</f>
        <v>0</v>
      </c>
      <c r="J559" s="1377">
        <f t="shared" si="245"/>
        <v>0</v>
      </c>
      <c r="K559" s="1378">
        <f t="shared" ref="K559:K561" ca="1" si="246">IF(I559&gt;0,J559*100/I559,0)</f>
        <v>0</v>
      </c>
      <c r="L559" s="1379"/>
      <c r="M559" s="1379"/>
      <c r="N559" s="1379"/>
      <c r="O559" s="1379"/>
      <c r="P559" s="1379"/>
      <c r="Q559" s="1302"/>
      <c r="R559" s="1302"/>
      <c r="S559" s="1302"/>
      <c r="T559" s="1302"/>
      <c r="U559" s="1302"/>
      <c r="V559" s="1302"/>
      <c r="W559" s="1302"/>
      <c r="X559" s="1302"/>
      <c r="Y559" s="1302"/>
      <c r="Z559" s="1302"/>
    </row>
    <row r="560" spans="1:26" ht="19.5" hidden="1">
      <c r="A560" s="1326"/>
      <c r="B560" s="1327"/>
      <c r="C560" s="1336" t="s">
        <v>236</v>
      </c>
      <c r="D560" s="1327"/>
      <c r="E560" s="1014"/>
      <c r="F560" s="1014"/>
      <c r="G560" s="1007"/>
      <c r="H560" s="765" t="s">
        <v>46</v>
      </c>
      <c r="I560" s="1018">
        <f ca="1">IFERROR(__xludf.DUMMYFUNCTION("IMPORTRANGE(""https://docs.google.com/spreadsheets/d/1QqKyyYR6Q21VydFLVH3TRQUabQu_ym0Zz7PgGX0-kHA/edit?usp=sharing"",""แผน!HH85"")"),0)</f>
        <v>0</v>
      </c>
      <c r="J560" s="1018">
        <f t="shared" ref="J560:J561" si="247">J562+J564+J566</f>
        <v>0</v>
      </c>
      <c r="K560" s="1162">
        <f t="shared" ca="1" si="246"/>
        <v>0</v>
      </c>
      <c r="L560" s="998"/>
      <c r="M560" s="998"/>
      <c r="N560" s="998"/>
      <c r="O560" s="998"/>
      <c r="P560" s="998"/>
      <c r="Q560" s="1302"/>
      <c r="R560" s="1302"/>
      <c r="S560" s="1302"/>
      <c r="T560" s="1302"/>
      <c r="U560" s="1302"/>
      <c r="V560" s="1302"/>
      <c r="W560" s="1302"/>
      <c r="X560" s="1302"/>
      <c r="Y560" s="1302"/>
      <c r="Z560" s="1302"/>
    </row>
    <row r="561" spans="1:26" ht="19.5" hidden="1">
      <c r="A561" s="1326"/>
      <c r="B561" s="1327"/>
      <c r="C561" s="1327"/>
      <c r="D561" s="1014"/>
      <c r="E561" s="1014"/>
      <c r="F561" s="1014"/>
      <c r="G561" s="1007"/>
      <c r="H561" s="765" t="s">
        <v>34</v>
      </c>
      <c r="I561" s="1018">
        <f ca="1">IFERROR(__xludf.DUMMYFUNCTION("IMPORTRANGE(""https://docs.google.com/spreadsheets/d/1QqKyyYR6Q21VydFLVH3TRQUabQu_ym0Zz7PgGX0-kHA/edit?usp=sharing"",""แผน!HG85"")"),0)</f>
        <v>0</v>
      </c>
      <c r="J561" s="1018">
        <f t="shared" si="247"/>
        <v>0</v>
      </c>
      <c r="K561" s="1162">
        <f t="shared" ca="1" si="246"/>
        <v>0</v>
      </c>
      <c r="L561" s="998"/>
      <c r="M561" s="998"/>
      <c r="N561" s="998"/>
      <c r="O561" s="998"/>
      <c r="P561" s="998"/>
      <c r="Q561" s="1302"/>
      <c r="R561" s="1302"/>
      <c r="S561" s="1302"/>
      <c r="T561" s="1302"/>
      <c r="U561" s="1302"/>
      <c r="V561" s="1302"/>
      <c r="W561" s="1302"/>
      <c r="X561" s="1302"/>
      <c r="Y561" s="1302"/>
      <c r="Z561" s="1302"/>
    </row>
    <row r="562" spans="1:26" ht="18.75" hidden="1">
      <c r="A562" s="1326"/>
      <c r="B562" s="1327"/>
      <c r="C562" s="1327"/>
      <c r="D562" s="1014" t="s">
        <v>237</v>
      </c>
      <c r="E562" s="1014"/>
      <c r="F562" s="1014"/>
      <c r="G562" s="1007"/>
      <c r="H562" s="762" t="s">
        <v>46</v>
      </c>
      <c r="I562" s="997"/>
      <c r="J562" s="1012">
        <v>0</v>
      </c>
      <c r="K562" s="998"/>
      <c r="L562" s="998"/>
      <c r="M562" s="998"/>
      <c r="N562" s="998"/>
      <c r="O562" s="998"/>
      <c r="P562" s="998"/>
      <c r="Q562" s="1302"/>
      <c r="R562" s="1302"/>
      <c r="S562" s="1302"/>
      <c r="T562" s="1302"/>
      <c r="U562" s="1302"/>
      <c r="V562" s="1302"/>
      <c r="W562" s="1302"/>
      <c r="X562" s="1302"/>
      <c r="Y562" s="1302"/>
      <c r="Z562" s="1302"/>
    </row>
    <row r="563" spans="1:26" ht="18.75" hidden="1">
      <c r="A563" s="1326"/>
      <c r="B563" s="1327"/>
      <c r="C563" s="1327"/>
      <c r="D563" s="1327"/>
      <c r="E563" s="1014"/>
      <c r="F563" s="1014"/>
      <c r="G563" s="1007"/>
      <c r="H563" s="762" t="s">
        <v>34</v>
      </c>
      <c r="I563" s="997"/>
      <c r="J563" s="1012">
        <v>0</v>
      </c>
      <c r="K563" s="998"/>
      <c r="L563" s="998"/>
      <c r="M563" s="998"/>
      <c r="N563" s="998"/>
      <c r="O563" s="998"/>
      <c r="P563" s="998"/>
      <c r="Q563" s="1302"/>
      <c r="R563" s="1302"/>
      <c r="S563" s="1302"/>
      <c r="T563" s="1302"/>
      <c r="U563" s="1302"/>
      <c r="V563" s="1302"/>
      <c r="W563" s="1302"/>
      <c r="X563" s="1302"/>
      <c r="Y563" s="1302"/>
      <c r="Z563" s="1302"/>
    </row>
    <row r="564" spans="1:26" ht="18.75" hidden="1">
      <c r="A564" s="1326"/>
      <c r="B564" s="1327"/>
      <c r="C564" s="1327"/>
      <c r="D564" s="1014" t="s">
        <v>238</v>
      </c>
      <c r="E564" s="1014"/>
      <c r="F564" s="1014"/>
      <c r="G564" s="1007"/>
      <c r="H564" s="762" t="s">
        <v>46</v>
      </c>
      <c r="I564" s="997"/>
      <c r="J564" s="1012">
        <v>0</v>
      </c>
      <c r="K564" s="998"/>
      <c r="L564" s="998"/>
      <c r="M564" s="998"/>
      <c r="N564" s="998"/>
      <c r="O564" s="998"/>
      <c r="P564" s="998"/>
      <c r="Q564" s="1302"/>
      <c r="R564" s="1302"/>
      <c r="S564" s="1302"/>
      <c r="T564" s="1302"/>
      <c r="U564" s="1302"/>
      <c r="V564" s="1302"/>
      <c r="W564" s="1302"/>
      <c r="X564" s="1302"/>
      <c r="Y564" s="1302"/>
      <c r="Z564" s="1302"/>
    </row>
    <row r="565" spans="1:26" ht="18.75" hidden="1">
      <c r="A565" s="1326"/>
      <c r="B565" s="1327"/>
      <c r="C565" s="1327"/>
      <c r="D565" s="1014"/>
      <c r="E565" s="1014"/>
      <c r="F565" s="1014"/>
      <c r="G565" s="1007"/>
      <c r="H565" s="762" t="s">
        <v>34</v>
      </c>
      <c r="I565" s="997"/>
      <c r="J565" s="1012">
        <v>0</v>
      </c>
      <c r="K565" s="998"/>
      <c r="L565" s="998"/>
      <c r="M565" s="998"/>
      <c r="N565" s="998"/>
      <c r="O565" s="998"/>
      <c r="P565" s="998"/>
      <c r="Q565" s="1302"/>
      <c r="R565" s="1302"/>
      <c r="S565" s="1302"/>
      <c r="T565" s="1302"/>
      <c r="U565" s="1302"/>
      <c r="V565" s="1302"/>
      <c r="W565" s="1302"/>
      <c r="X565" s="1302"/>
      <c r="Y565" s="1302"/>
      <c r="Z565" s="1302"/>
    </row>
    <row r="566" spans="1:26" ht="18.75" hidden="1">
      <c r="A566" s="1326"/>
      <c r="B566" s="1327"/>
      <c r="C566" s="1327"/>
      <c r="D566" s="1014" t="s">
        <v>239</v>
      </c>
      <c r="E566" s="1014"/>
      <c r="F566" s="1014"/>
      <c r="G566" s="1007"/>
      <c r="H566" s="762" t="s">
        <v>46</v>
      </c>
      <c r="I566" s="997"/>
      <c r="J566" s="1012">
        <v>0</v>
      </c>
      <c r="K566" s="998"/>
      <c r="L566" s="998"/>
      <c r="M566" s="998"/>
      <c r="N566" s="998"/>
      <c r="O566" s="998"/>
      <c r="P566" s="998"/>
      <c r="Q566" s="1302"/>
      <c r="R566" s="1302"/>
      <c r="S566" s="1302"/>
      <c r="T566" s="1302"/>
      <c r="U566" s="1302"/>
      <c r="V566" s="1302"/>
      <c r="W566" s="1302"/>
      <c r="X566" s="1302"/>
      <c r="Y566" s="1302"/>
      <c r="Z566" s="1302"/>
    </row>
    <row r="567" spans="1:26" ht="18.75" hidden="1">
      <c r="A567" s="1326"/>
      <c r="B567" s="1327"/>
      <c r="C567" s="1327"/>
      <c r="D567" s="1014"/>
      <c r="E567" s="1014"/>
      <c r="F567" s="1014"/>
      <c r="G567" s="1007"/>
      <c r="H567" s="762" t="s">
        <v>34</v>
      </c>
      <c r="I567" s="997"/>
      <c r="J567" s="1012">
        <v>0</v>
      </c>
      <c r="K567" s="998"/>
      <c r="L567" s="998"/>
      <c r="M567" s="998"/>
      <c r="N567" s="998"/>
      <c r="O567" s="998"/>
      <c r="P567" s="998"/>
      <c r="Q567" s="1302"/>
      <c r="R567" s="1302"/>
      <c r="S567" s="1302"/>
      <c r="T567" s="1302"/>
      <c r="U567" s="1302"/>
      <c r="V567" s="1302"/>
      <c r="W567" s="1302"/>
      <c r="X567" s="1302"/>
      <c r="Y567" s="1302"/>
      <c r="Z567" s="1302"/>
    </row>
    <row r="568" spans="1:26" ht="19.5" hidden="1">
      <c r="A568" s="1326"/>
      <c r="B568" s="1327"/>
      <c r="C568" s="1336" t="s">
        <v>240</v>
      </c>
      <c r="D568" s="1014"/>
      <c r="E568" s="1014"/>
      <c r="F568" s="1014"/>
      <c r="G568" s="1007"/>
      <c r="H568" s="765" t="s">
        <v>46</v>
      </c>
      <c r="I568" s="1018">
        <f ca="1">IFERROR(__xludf.DUMMYFUNCTION("IMPORTRANGE(""https://docs.google.com/spreadsheets/d/1QqKyyYR6Q21VydFLVH3TRQUabQu_ym0Zz7PgGX0-kHA/edit?usp=sharing"",""แผน!HH85"")"),0)</f>
        <v>0</v>
      </c>
      <c r="J568" s="1019">
        <f t="shared" ref="J568:J569" si="248">J570+J572+J574</f>
        <v>0</v>
      </c>
      <c r="K568" s="1162">
        <f t="shared" ref="K568:K569" ca="1" si="249">IF(I568&gt;0,J568*100/I568,0)</f>
        <v>0</v>
      </c>
      <c r="L568" s="998"/>
      <c r="M568" s="998"/>
      <c r="N568" s="998"/>
      <c r="O568" s="998"/>
      <c r="P568" s="998"/>
      <c r="Q568" s="1302"/>
      <c r="R568" s="1302"/>
      <c r="S568" s="1302"/>
      <c r="T568" s="1302"/>
      <c r="U568" s="1302"/>
      <c r="V568" s="1302"/>
      <c r="W568" s="1302"/>
      <c r="X568" s="1302"/>
      <c r="Y568" s="1302"/>
      <c r="Z568" s="1302"/>
    </row>
    <row r="569" spans="1:26" ht="19.5" hidden="1">
      <c r="A569" s="1326"/>
      <c r="B569" s="1327"/>
      <c r="C569" s="1327"/>
      <c r="D569" s="1327"/>
      <c r="E569" s="1014"/>
      <c r="F569" s="1014"/>
      <c r="G569" s="1007"/>
      <c r="H569" s="765" t="s">
        <v>34</v>
      </c>
      <c r="I569" s="1018">
        <f ca="1">IFERROR(__xludf.DUMMYFUNCTION("IMPORTRANGE(""https://docs.google.com/spreadsheets/d/1QqKyyYR6Q21VydFLVH3TRQUabQu_ym0Zz7PgGX0-kHA/edit?usp=sharing"",""แผน!HG85"")"),0)</f>
        <v>0</v>
      </c>
      <c r="J569" s="1019">
        <f t="shared" si="248"/>
        <v>0</v>
      </c>
      <c r="K569" s="1162">
        <f t="shared" ca="1" si="249"/>
        <v>0</v>
      </c>
      <c r="L569" s="998"/>
      <c r="M569" s="998"/>
      <c r="N569" s="998"/>
      <c r="O569" s="998"/>
      <c r="P569" s="998"/>
      <c r="Q569" s="1302"/>
      <c r="R569" s="1302"/>
      <c r="S569" s="1302"/>
      <c r="T569" s="1302"/>
      <c r="U569" s="1302"/>
      <c r="V569" s="1302"/>
      <c r="W569" s="1302"/>
      <c r="X569" s="1302"/>
      <c r="Y569" s="1302"/>
      <c r="Z569" s="1302"/>
    </row>
    <row r="570" spans="1:26" ht="18.75" hidden="1">
      <c r="A570" s="1326"/>
      <c r="B570" s="1327"/>
      <c r="C570" s="1327"/>
      <c r="D570" s="1014" t="s">
        <v>241</v>
      </c>
      <c r="E570" s="1327"/>
      <c r="F570" s="1014"/>
      <c r="G570" s="1007"/>
      <c r="H570" s="762" t="s">
        <v>46</v>
      </c>
      <c r="I570" s="997"/>
      <c r="J570" s="1012">
        <v>0</v>
      </c>
      <c r="K570" s="998"/>
      <c r="L570" s="998"/>
      <c r="M570" s="998"/>
      <c r="N570" s="998"/>
      <c r="O570" s="998"/>
      <c r="P570" s="998"/>
      <c r="Q570" s="1302"/>
      <c r="R570" s="1302"/>
      <c r="S570" s="1302"/>
      <c r="T570" s="1302"/>
      <c r="U570" s="1302"/>
      <c r="V570" s="1302"/>
      <c r="W570" s="1302"/>
      <c r="X570" s="1302"/>
      <c r="Y570" s="1302"/>
      <c r="Z570" s="1302"/>
    </row>
    <row r="571" spans="1:26" ht="18.75" hidden="1">
      <c r="A571" s="1326"/>
      <c r="B571" s="1327"/>
      <c r="C571" s="1327"/>
      <c r="D571" s="1327"/>
      <c r="E571" s="1014"/>
      <c r="F571" s="1014"/>
      <c r="G571" s="1007"/>
      <c r="H571" s="762" t="s">
        <v>34</v>
      </c>
      <c r="I571" s="997"/>
      <c r="J571" s="1012">
        <v>0</v>
      </c>
      <c r="K571" s="998"/>
      <c r="L571" s="998"/>
      <c r="M571" s="998"/>
      <c r="N571" s="998"/>
      <c r="O571" s="998"/>
      <c r="P571" s="998"/>
      <c r="Q571" s="1302"/>
      <c r="R571" s="1302"/>
      <c r="S571" s="1302"/>
      <c r="T571" s="1302"/>
      <c r="U571" s="1302"/>
      <c r="V571" s="1302"/>
      <c r="W571" s="1302"/>
      <c r="X571" s="1302"/>
      <c r="Y571" s="1302"/>
      <c r="Z571" s="1302"/>
    </row>
    <row r="572" spans="1:26" ht="18.75" hidden="1">
      <c r="A572" s="1326"/>
      <c r="B572" s="1327"/>
      <c r="C572" s="1327"/>
      <c r="D572" s="1014" t="s">
        <v>242</v>
      </c>
      <c r="E572" s="1014"/>
      <c r="F572" s="1014"/>
      <c r="G572" s="1007"/>
      <c r="H572" s="762" t="s">
        <v>46</v>
      </c>
      <c r="I572" s="997"/>
      <c r="J572" s="1012">
        <v>0</v>
      </c>
      <c r="K572" s="998"/>
      <c r="L572" s="998"/>
      <c r="M572" s="998"/>
      <c r="N572" s="998"/>
      <c r="O572" s="998"/>
      <c r="P572" s="998"/>
      <c r="Q572" s="1302"/>
      <c r="R572" s="1302"/>
      <c r="S572" s="1302"/>
      <c r="T572" s="1302"/>
      <c r="U572" s="1302"/>
      <c r="V572" s="1302"/>
      <c r="W572" s="1302"/>
      <c r="X572" s="1302"/>
      <c r="Y572" s="1302"/>
      <c r="Z572" s="1302"/>
    </row>
    <row r="573" spans="1:26" ht="18.75" hidden="1">
      <c r="A573" s="1326"/>
      <c r="B573" s="1327"/>
      <c r="C573" s="1327"/>
      <c r="D573" s="1014"/>
      <c r="E573" s="1014"/>
      <c r="F573" s="1014"/>
      <c r="G573" s="1007"/>
      <c r="H573" s="762" t="s">
        <v>34</v>
      </c>
      <c r="I573" s="997"/>
      <c r="J573" s="1012">
        <v>0</v>
      </c>
      <c r="K573" s="998"/>
      <c r="L573" s="998"/>
      <c r="M573" s="998"/>
      <c r="N573" s="998"/>
      <c r="O573" s="998"/>
      <c r="P573" s="998"/>
      <c r="Q573" s="1302"/>
      <c r="R573" s="1302"/>
      <c r="S573" s="1302"/>
      <c r="T573" s="1302"/>
      <c r="U573" s="1302"/>
      <c r="V573" s="1302"/>
      <c r="W573" s="1302"/>
      <c r="X573" s="1302"/>
      <c r="Y573" s="1302"/>
      <c r="Z573" s="1302"/>
    </row>
    <row r="574" spans="1:26" ht="18.75" hidden="1">
      <c r="A574" s="1326"/>
      <c r="B574" s="1327"/>
      <c r="C574" s="1327"/>
      <c r="D574" s="1014" t="s">
        <v>243</v>
      </c>
      <c r="E574" s="1014"/>
      <c r="F574" s="1014"/>
      <c r="G574" s="1007"/>
      <c r="H574" s="762" t="s">
        <v>46</v>
      </c>
      <c r="I574" s="997"/>
      <c r="J574" s="1012">
        <v>0</v>
      </c>
      <c r="K574" s="998"/>
      <c r="L574" s="998"/>
      <c r="M574" s="998"/>
      <c r="N574" s="998"/>
      <c r="O574" s="998"/>
      <c r="P574" s="998"/>
      <c r="Q574" s="1302"/>
      <c r="R574" s="1302"/>
      <c r="S574" s="1302"/>
      <c r="T574" s="1302"/>
      <c r="U574" s="1302"/>
      <c r="V574" s="1302"/>
      <c r="W574" s="1302"/>
      <c r="X574" s="1302"/>
      <c r="Y574" s="1302"/>
      <c r="Z574" s="1302"/>
    </row>
    <row r="575" spans="1:26" ht="18.75" hidden="1">
      <c r="A575" s="1326"/>
      <c r="B575" s="1327"/>
      <c r="C575" s="1327"/>
      <c r="D575" s="1327"/>
      <c r="E575" s="1014"/>
      <c r="F575" s="1014"/>
      <c r="G575" s="1007"/>
      <c r="H575" s="762" t="s">
        <v>34</v>
      </c>
      <c r="I575" s="997"/>
      <c r="J575" s="1012">
        <v>0</v>
      </c>
      <c r="K575" s="998"/>
      <c r="L575" s="998"/>
      <c r="M575" s="998"/>
      <c r="N575" s="998"/>
      <c r="O575" s="998"/>
      <c r="P575" s="998"/>
      <c r="Q575" s="1302"/>
      <c r="R575" s="1302"/>
      <c r="S575" s="1302"/>
      <c r="T575" s="1302"/>
      <c r="U575" s="1302"/>
      <c r="V575" s="1302"/>
      <c r="W575" s="1302"/>
      <c r="X575" s="1302"/>
      <c r="Y575" s="1302"/>
      <c r="Z575" s="1302"/>
    </row>
    <row r="576" spans="1:26" ht="19.5" hidden="1">
      <c r="A576" s="1326"/>
      <c r="B576" s="1327"/>
      <c r="C576" s="1336" t="s">
        <v>244</v>
      </c>
      <c r="D576" s="1327"/>
      <c r="E576" s="1327"/>
      <c r="F576" s="1014"/>
      <c r="G576" s="1007"/>
      <c r="H576" s="765" t="s">
        <v>46</v>
      </c>
      <c r="I576" s="1018">
        <f ca="1">IFERROR(__xludf.DUMMYFUNCTION("IMPORTRANGE(""https://docs.google.com/spreadsheets/d/1QqKyyYR6Q21VydFLVH3TRQUabQu_ym0Zz7PgGX0-kHA/edit?usp=sharing"",""แผน!HH85"")"),0)</f>
        <v>0</v>
      </c>
      <c r="J576" s="1019">
        <f t="shared" ref="J576:J577" si="250">J578+J580+J582+J588+J590</f>
        <v>0</v>
      </c>
      <c r="K576" s="1162">
        <f t="shared" ref="K576:K577" ca="1" si="251">IF(I576&gt;0,J576*100/I576,0)</f>
        <v>0</v>
      </c>
      <c r="L576" s="998"/>
      <c r="M576" s="998"/>
      <c r="N576" s="998"/>
      <c r="O576" s="998"/>
      <c r="P576" s="998"/>
      <c r="Q576" s="1302"/>
      <c r="R576" s="1302"/>
      <c r="S576" s="1302"/>
      <c r="T576" s="1302"/>
      <c r="U576" s="1302"/>
      <c r="V576" s="1302"/>
      <c r="W576" s="1302"/>
      <c r="X576" s="1302"/>
      <c r="Y576" s="1302"/>
      <c r="Z576" s="1302"/>
    </row>
    <row r="577" spans="1:26" ht="19.5" hidden="1">
      <c r="A577" s="1326"/>
      <c r="B577" s="1327"/>
      <c r="C577" s="1327"/>
      <c r="D577" s="1327"/>
      <c r="E577" s="1014"/>
      <c r="F577" s="1014"/>
      <c r="G577" s="1007"/>
      <c r="H577" s="765" t="s">
        <v>34</v>
      </c>
      <c r="I577" s="1018">
        <f ca="1">IFERROR(__xludf.DUMMYFUNCTION("IMPORTRANGE(""https://docs.google.com/spreadsheets/d/1QqKyyYR6Q21VydFLVH3TRQUabQu_ym0Zz7PgGX0-kHA/edit?usp=sharing"",""แผน!HG85"")"),0)</f>
        <v>0</v>
      </c>
      <c r="J577" s="1019">
        <f t="shared" si="250"/>
        <v>0</v>
      </c>
      <c r="K577" s="1162">
        <f t="shared" ca="1" si="251"/>
        <v>0</v>
      </c>
      <c r="L577" s="998"/>
      <c r="M577" s="998"/>
      <c r="N577" s="998"/>
      <c r="O577" s="998"/>
      <c r="P577" s="998"/>
      <c r="Q577" s="1302"/>
      <c r="R577" s="1302"/>
      <c r="S577" s="1302"/>
      <c r="T577" s="1302"/>
      <c r="U577" s="1302"/>
      <c r="V577" s="1302"/>
      <c r="W577" s="1302"/>
      <c r="X577" s="1302"/>
      <c r="Y577" s="1302"/>
      <c r="Z577" s="1302"/>
    </row>
    <row r="578" spans="1:26" ht="18.75" hidden="1">
      <c r="A578" s="1326"/>
      <c r="B578" s="1327"/>
      <c r="C578" s="1327"/>
      <c r="D578" s="1014" t="s">
        <v>245</v>
      </c>
      <c r="E578" s="1014"/>
      <c r="F578" s="1014"/>
      <c r="G578" s="1007"/>
      <c r="H578" s="762" t="s">
        <v>46</v>
      </c>
      <c r="I578" s="997"/>
      <c r="J578" s="1012">
        <v>0</v>
      </c>
      <c r="K578" s="998"/>
      <c r="L578" s="998"/>
      <c r="M578" s="998"/>
      <c r="N578" s="998"/>
      <c r="O578" s="998"/>
      <c r="P578" s="998"/>
      <c r="Q578" s="1302"/>
      <c r="R578" s="1302"/>
      <c r="S578" s="1302"/>
      <c r="T578" s="1302"/>
      <c r="U578" s="1302"/>
      <c r="V578" s="1302"/>
      <c r="W578" s="1302"/>
      <c r="X578" s="1302"/>
      <c r="Y578" s="1302"/>
      <c r="Z578" s="1302"/>
    </row>
    <row r="579" spans="1:26" ht="18.75" hidden="1">
      <c r="A579" s="1326"/>
      <c r="B579" s="1327"/>
      <c r="C579" s="1327"/>
      <c r="D579" s="1327"/>
      <c r="E579" s="1014"/>
      <c r="F579" s="1014"/>
      <c r="G579" s="1007"/>
      <c r="H579" s="762" t="s">
        <v>34</v>
      </c>
      <c r="I579" s="997"/>
      <c r="J579" s="1012">
        <v>0</v>
      </c>
      <c r="K579" s="998"/>
      <c r="L579" s="998"/>
      <c r="M579" s="998"/>
      <c r="N579" s="998"/>
      <c r="O579" s="998"/>
      <c r="P579" s="998"/>
      <c r="Q579" s="1302"/>
      <c r="R579" s="1302"/>
      <c r="S579" s="1302"/>
      <c r="T579" s="1302"/>
      <c r="U579" s="1302"/>
      <c r="V579" s="1302"/>
      <c r="W579" s="1302"/>
      <c r="X579" s="1302"/>
      <c r="Y579" s="1302"/>
      <c r="Z579" s="1302"/>
    </row>
    <row r="580" spans="1:26" ht="18.75" hidden="1">
      <c r="A580" s="1326"/>
      <c r="B580" s="1327"/>
      <c r="C580" s="1327"/>
      <c r="D580" s="1014" t="s">
        <v>246</v>
      </c>
      <c r="E580" s="1014"/>
      <c r="F580" s="1014"/>
      <c r="G580" s="1007"/>
      <c r="H580" s="762" t="s">
        <v>46</v>
      </c>
      <c r="I580" s="997"/>
      <c r="J580" s="1012">
        <v>0</v>
      </c>
      <c r="K580" s="998"/>
      <c r="L580" s="998"/>
      <c r="M580" s="998"/>
      <c r="N580" s="998"/>
      <c r="O580" s="998"/>
      <c r="P580" s="998"/>
      <c r="Q580" s="1302"/>
      <c r="R580" s="1302"/>
      <c r="S580" s="1302"/>
      <c r="T580" s="1302"/>
      <c r="U580" s="1302"/>
      <c r="V580" s="1302"/>
      <c r="W580" s="1302"/>
      <c r="X580" s="1302"/>
      <c r="Y580" s="1302"/>
      <c r="Z580" s="1302"/>
    </row>
    <row r="581" spans="1:26" ht="18.75" hidden="1">
      <c r="A581" s="1326"/>
      <c r="B581" s="1327"/>
      <c r="C581" s="1327"/>
      <c r="D581" s="1327"/>
      <c r="E581" s="1014"/>
      <c r="F581" s="1014"/>
      <c r="G581" s="1007"/>
      <c r="H581" s="762" t="s">
        <v>34</v>
      </c>
      <c r="I581" s="997"/>
      <c r="J581" s="1012">
        <v>0</v>
      </c>
      <c r="K581" s="998"/>
      <c r="L581" s="998"/>
      <c r="M581" s="998"/>
      <c r="N581" s="998"/>
      <c r="O581" s="998"/>
      <c r="P581" s="998"/>
      <c r="Q581" s="1302"/>
      <c r="R581" s="1302"/>
      <c r="S581" s="1302"/>
      <c r="T581" s="1302"/>
      <c r="U581" s="1302"/>
      <c r="V581" s="1302"/>
      <c r="W581" s="1302"/>
      <c r="X581" s="1302"/>
      <c r="Y581" s="1302"/>
      <c r="Z581" s="1302"/>
    </row>
    <row r="582" spans="1:26" ht="19.5" hidden="1">
      <c r="A582" s="1326"/>
      <c r="B582" s="1327"/>
      <c r="C582" s="1327"/>
      <c r="D582" s="1014" t="s">
        <v>247</v>
      </c>
      <c r="E582" s="1014"/>
      <c r="F582" s="1014"/>
      <c r="G582" s="1007"/>
      <c r="H582" s="762" t="s">
        <v>46</v>
      </c>
      <c r="I582" s="997"/>
      <c r="J582" s="1019">
        <f t="shared" ref="J582:J583" si="252">J584+J586</f>
        <v>0</v>
      </c>
      <c r="K582" s="1162"/>
      <c r="L582" s="998"/>
      <c r="M582" s="998"/>
      <c r="N582" s="998"/>
      <c r="O582" s="998"/>
      <c r="P582" s="998"/>
      <c r="Q582" s="1302"/>
      <c r="R582" s="1302"/>
      <c r="S582" s="1302"/>
      <c r="T582" s="1302"/>
      <c r="U582" s="1302"/>
      <c r="V582" s="1302"/>
      <c r="W582" s="1302"/>
      <c r="X582" s="1302"/>
      <c r="Y582" s="1302"/>
      <c r="Z582" s="1302"/>
    </row>
    <row r="583" spans="1:26" ht="19.5" hidden="1">
      <c r="A583" s="1326"/>
      <c r="B583" s="1327"/>
      <c r="C583" s="1327"/>
      <c r="D583" s="1327"/>
      <c r="E583" s="1014"/>
      <c r="F583" s="1014"/>
      <c r="G583" s="1007"/>
      <c r="H583" s="762" t="s">
        <v>34</v>
      </c>
      <c r="I583" s="997"/>
      <c r="J583" s="1019">
        <f t="shared" si="252"/>
        <v>0</v>
      </c>
      <c r="K583" s="1162"/>
      <c r="L583" s="998"/>
      <c r="M583" s="998"/>
      <c r="N583" s="998"/>
      <c r="O583" s="998"/>
      <c r="P583" s="998"/>
      <c r="Q583" s="1302"/>
      <c r="R583" s="1302"/>
      <c r="S583" s="1302"/>
      <c r="T583" s="1302"/>
      <c r="U583" s="1302"/>
      <c r="V583" s="1302"/>
      <c r="W583" s="1302"/>
      <c r="X583" s="1302"/>
      <c r="Y583" s="1302"/>
      <c r="Z583" s="1302"/>
    </row>
    <row r="584" spans="1:26" ht="18.75" hidden="1">
      <c r="A584" s="1326"/>
      <c r="B584" s="1327"/>
      <c r="C584" s="1327"/>
      <c r="D584" s="1327"/>
      <c r="E584" s="1014" t="s">
        <v>248</v>
      </c>
      <c r="F584" s="1014"/>
      <c r="G584" s="1007"/>
      <c r="H584" s="762" t="s">
        <v>46</v>
      </c>
      <c r="I584" s="997"/>
      <c r="J584" s="1012">
        <v>0</v>
      </c>
      <c r="K584" s="998"/>
      <c r="L584" s="998"/>
      <c r="M584" s="998"/>
      <c r="N584" s="998"/>
      <c r="O584" s="998"/>
      <c r="P584" s="998"/>
      <c r="Q584" s="1302"/>
      <c r="R584" s="1302"/>
      <c r="S584" s="1302"/>
      <c r="T584" s="1302"/>
      <c r="U584" s="1302"/>
      <c r="V584" s="1302"/>
      <c r="W584" s="1302"/>
      <c r="X584" s="1302"/>
      <c r="Y584" s="1302"/>
      <c r="Z584" s="1302"/>
    </row>
    <row r="585" spans="1:26" ht="18.75" hidden="1">
      <c r="A585" s="1326"/>
      <c r="B585" s="1327"/>
      <c r="C585" s="1327"/>
      <c r="D585" s="1327"/>
      <c r="E585" s="1014"/>
      <c r="F585" s="1014"/>
      <c r="G585" s="1007"/>
      <c r="H585" s="762" t="s">
        <v>34</v>
      </c>
      <c r="I585" s="997"/>
      <c r="J585" s="1012">
        <v>0</v>
      </c>
      <c r="K585" s="998"/>
      <c r="L585" s="998"/>
      <c r="M585" s="998"/>
      <c r="N585" s="998"/>
      <c r="O585" s="998"/>
      <c r="P585" s="998"/>
      <c r="Q585" s="1302"/>
      <c r="R585" s="1302"/>
      <c r="S585" s="1302"/>
      <c r="T585" s="1302"/>
      <c r="U585" s="1302"/>
      <c r="V585" s="1302"/>
      <c r="W585" s="1302"/>
      <c r="X585" s="1302"/>
      <c r="Y585" s="1302"/>
      <c r="Z585" s="1302"/>
    </row>
    <row r="586" spans="1:26" ht="18.75" hidden="1">
      <c r="A586" s="1326"/>
      <c r="B586" s="1327"/>
      <c r="C586" s="1327"/>
      <c r="D586" s="1327"/>
      <c r="E586" s="1014" t="s">
        <v>249</v>
      </c>
      <c r="F586" s="1014"/>
      <c r="G586" s="1007"/>
      <c r="H586" s="762" t="s">
        <v>46</v>
      </c>
      <c r="I586" s="997"/>
      <c r="J586" s="1012">
        <v>0</v>
      </c>
      <c r="K586" s="998"/>
      <c r="L586" s="998"/>
      <c r="M586" s="998"/>
      <c r="N586" s="998"/>
      <c r="O586" s="998"/>
      <c r="P586" s="998"/>
      <c r="Q586" s="1302"/>
      <c r="R586" s="1302"/>
      <c r="S586" s="1302"/>
      <c r="T586" s="1302"/>
      <c r="U586" s="1302"/>
      <c r="V586" s="1302"/>
      <c r="W586" s="1302"/>
      <c r="X586" s="1302"/>
      <c r="Y586" s="1302"/>
      <c r="Z586" s="1302"/>
    </row>
    <row r="587" spans="1:26" ht="18.75" hidden="1">
      <c r="A587" s="1326"/>
      <c r="B587" s="1327"/>
      <c r="C587" s="1327"/>
      <c r="D587" s="1327"/>
      <c r="E587" s="1327"/>
      <c r="F587" s="1014"/>
      <c r="G587" s="1007"/>
      <c r="H587" s="762" t="s">
        <v>34</v>
      </c>
      <c r="I587" s="997"/>
      <c r="J587" s="1012">
        <v>0</v>
      </c>
      <c r="K587" s="998"/>
      <c r="L587" s="998"/>
      <c r="M587" s="998"/>
      <c r="N587" s="998"/>
      <c r="O587" s="998"/>
      <c r="P587" s="998"/>
      <c r="Q587" s="1302"/>
      <c r="R587" s="1302"/>
      <c r="S587" s="1302"/>
      <c r="T587" s="1302"/>
      <c r="U587" s="1302"/>
      <c r="V587" s="1302"/>
      <c r="W587" s="1302"/>
      <c r="X587" s="1302"/>
      <c r="Y587" s="1302"/>
      <c r="Z587" s="1302"/>
    </row>
    <row r="588" spans="1:26" ht="18.75" hidden="1">
      <c r="A588" s="1326"/>
      <c r="B588" s="1327"/>
      <c r="C588" s="1327"/>
      <c r="D588" s="1014" t="s">
        <v>250</v>
      </c>
      <c r="E588" s="1014"/>
      <c r="F588" s="1014"/>
      <c r="G588" s="1007"/>
      <c r="H588" s="762" t="s">
        <v>46</v>
      </c>
      <c r="I588" s="997"/>
      <c r="J588" s="1012">
        <v>0</v>
      </c>
      <c r="K588" s="998"/>
      <c r="L588" s="998"/>
      <c r="M588" s="998"/>
      <c r="N588" s="998"/>
      <c r="O588" s="998"/>
      <c r="P588" s="998"/>
      <c r="Q588" s="1302"/>
      <c r="R588" s="1302"/>
      <c r="S588" s="1302"/>
      <c r="T588" s="1302"/>
      <c r="U588" s="1302"/>
      <c r="V588" s="1302"/>
      <c r="W588" s="1302"/>
      <c r="X588" s="1302"/>
      <c r="Y588" s="1302"/>
      <c r="Z588" s="1302"/>
    </row>
    <row r="589" spans="1:26" ht="18.75" hidden="1">
      <c r="A589" s="1326"/>
      <c r="B589" s="1327"/>
      <c r="C589" s="1327"/>
      <c r="D589" s="1327"/>
      <c r="E589" s="1327"/>
      <c r="F589" s="1014"/>
      <c r="G589" s="1007"/>
      <c r="H589" s="762" t="s">
        <v>34</v>
      </c>
      <c r="I589" s="997"/>
      <c r="J589" s="1012">
        <v>0</v>
      </c>
      <c r="K589" s="998"/>
      <c r="L589" s="998"/>
      <c r="M589" s="998"/>
      <c r="N589" s="998"/>
      <c r="O589" s="998"/>
      <c r="P589" s="998"/>
      <c r="Q589" s="1302"/>
      <c r="R589" s="1302"/>
      <c r="S589" s="1302"/>
      <c r="T589" s="1302"/>
      <c r="U589" s="1302"/>
      <c r="V589" s="1302"/>
      <c r="W589" s="1302"/>
      <c r="X589" s="1302"/>
      <c r="Y589" s="1302"/>
      <c r="Z589" s="1302"/>
    </row>
    <row r="590" spans="1:26" ht="18.75" hidden="1">
      <c r="A590" s="1326"/>
      <c r="B590" s="1327"/>
      <c r="C590" s="1327"/>
      <c r="D590" s="1014" t="s">
        <v>251</v>
      </c>
      <c r="E590" s="1014"/>
      <c r="F590" s="1014"/>
      <c r="G590" s="1007"/>
      <c r="H590" s="762" t="s">
        <v>46</v>
      </c>
      <c r="I590" s="997"/>
      <c r="J590" s="1012">
        <v>0</v>
      </c>
      <c r="K590" s="998"/>
      <c r="L590" s="998"/>
      <c r="M590" s="998"/>
      <c r="N590" s="998"/>
      <c r="O590" s="998"/>
      <c r="P590" s="998"/>
      <c r="Q590" s="1302"/>
      <c r="R590" s="1302"/>
      <c r="S590" s="1302"/>
      <c r="T590" s="1302"/>
      <c r="U590" s="1302"/>
      <c r="V590" s="1302"/>
      <c r="W590" s="1302"/>
      <c r="X590" s="1302"/>
      <c r="Y590" s="1302"/>
      <c r="Z590" s="1302"/>
    </row>
    <row r="591" spans="1:26" ht="18.75" hidden="1">
      <c r="A591" s="1393"/>
      <c r="B591" s="1394"/>
      <c r="C591" s="1394"/>
      <c r="D591" s="1394"/>
      <c r="E591" s="1302"/>
      <c r="F591" s="1302"/>
      <c r="G591" s="1395"/>
      <c r="H591" s="697" t="s">
        <v>34</v>
      </c>
      <c r="I591" s="1396"/>
      <c r="J591" s="1397">
        <v>0</v>
      </c>
      <c r="K591" s="1398"/>
      <c r="L591" s="1398"/>
      <c r="M591" s="1398"/>
      <c r="N591" s="1398"/>
      <c r="O591" s="1398"/>
      <c r="P591" s="1398"/>
      <c r="Q591" s="1302"/>
      <c r="R591" s="1302"/>
      <c r="S591" s="1302"/>
      <c r="T591" s="1302"/>
      <c r="U591" s="1302"/>
      <c r="V591" s="1302"/>
      <c r="W591" s="1302"/>
      <c r="X591" s="1302"/>
      <c r="Y591" s="1302"/>
      <c r="Z591" s="1302"/>
    </row>
    <row r="592" spans="1:26" ht="19.5">
      <c r="A592" s="1390"/>
      <c r="B592" s="1391" t="s">
        <v>252</v>
      </c>
      <c r="C592" s="1392"/>
      <c r="D592" s="1392"/>
      <c r="E592" s="1375"/>
      <c r="F592" s="1375"/>
      <c r="G592" s="1376"/>
      <c r="H592" s="693" t="s">
        <v>46</v>
      </c>
      <c r="I592" s="1399">
        <f t="shared" ref="I592:J592" ca="1" si="253">I593</f>
        <v>5413.65</v>
      </c>
      <c r="J592" s="1377">
        <f t="shared" si="253"/>
        <v>0</v>
      </c>
      <c r="K592" s="1378">
        <f t="shared" ref="K592:K594" ca="1" si="254">IF(I592&gt;0,J592*100/I592,0)</f>
        <v>0</v>
      </c>
      <c r="L592" s="1379"/>
      <c r="M592" s="1379"/>
      <c r="N592" s="1379"/>
      <c r="O592" s="1379"/>
      <c r="P592" s="1379"/>
      <c r="Q592" s="1302"/>
      <c r="R592" s="1302"/>
      <c r="S592" s="1302"/>
      <c r="T592" s="1302"/>
      <c r="U592" s="1302"/>
      <c r="V592" s="1302"/>
      <c r="W592" s="1302"/>
      <c r="X592" s="1302"/>
      <c r="Y592" s="1302"/>
      <c r="Z592" s="1302"/>
    </row>
    <row r="593" spans="1:26" ht="19.5">
      <c r="A593" s="1326"/>
      <c r="B593" s="1327"/>
      <c r="C593" s="1336" t="s">
        <v>253</v>
      </c>
      <c r="D593" s="1327"/>
      <c r="E593" s="1327"/>
      <c r="F593" s="1014"/>
      <c r="G593" s="1007"/>
      <c r="H593" s="765" t="s">
        <v>46</v>
      </c>
      <c r="I593" s="1400">
        <f ca="1">IFERROR(__xludf.DUMMYFUNCTION("IMPORTRANGE(""https://docs.google.com/spreadsheets/d/1QqKyyYR6Q21VydFLVH3TRQUabQu_ym0Zz7PgGX0-kHA/edit?usp=sharing"",""แผน!HJ85"")"),5413.65)</f>
        <v>5413.65</v>
      </c>
      <c r="J593" s="1018">
        <f t="shared" ref="J593:J594" si="255">J595+J603+J609</f>
        <v>0</v>
      </c>
      <c r="K593" s="1162">
        <f t="shared" ca="1" si="254"/>
        <v>0</v>
      </c>
      <c r="L593" s="998"/>
      <c r="M593" s="998"/>
      <c r="N593" s="998"/>
      <c r="O593" s="998"/>
      <c r="P593" s="998"/>
      <c r="Q593" s="1302"/>
      <c r="R593" s="1302"/>
      <c r="S593" s="1302"/>
      <c r="T593" s="1302"/>
      <c r="U593" s="1302"/>
      <c r="V593" s="1302"/>
      <c r="W593" s="1302"/>
      <c r="X593" s="1302"/>
      <c r="Y593" s="1302"/>
      <c r="Z593" s="1302"/>
    </row>
    <row r="594" spans="1:26" ht="19.5">
      <c r="A594" s="1326"/>
      <c r="B594" s="1327"/>
      <c r="C594" s="1327"/>
      <c r="D594" s="1327"/>
      <c r="E594" s="1014"/>
      <c r="F594" s="1014"/>
      <c r="G594" s="1007"/>
      <c r="H594" s="765" t="s">
        <v>34</v>
      </c>
      <c r="I594" s="1018">
        <f ca="1">IFERROR(__xludf.DUMMYFUNCTION("IMPORTRANGE(""https://docs.google.com/spreadsheets/d/1QqKyyYR6Q21VydFLVH3TRQUabQu_ym0Zz7PgGX0-kHA/edit?usp=sharing"",""แผน!HI85"")"),507)</f>
        <v>507</v>
      </c>
      <c r="J594" s="1018">
        <f t="shared" si="255"/>
        <v>0</v>
      </c>
      <c r="K594" s="1162">
        <f t="shared" ca="1" si="254"/>
        <v>0</v>
      </c>
      <c r="L594" s="998"/>
      <c r="M594" s="998"/>
      <c r="N594" s="998"/>
      <c r="O594" s="998"/>
      <c r="P594" s="998"/>
      <c r="Q594" s="1302"/>
      <c r="R594" s="1302"/>
      <c r="S594" s="1302"/>
      <c r="T594" s="1302"/>
      <c r="U594" s="1302"/>
      <c r="V594" s="1302"/>
      <c r="W594" s="1302"/>
      <c r="X594" s="1302"/>
      <c r="Y594" s="1302"/>
      <c r="Z594" s="1302"/>
    </row>
    <row r="595" spans="1:26" ht="18.75">
      <c r="A595" s="1326"/>
      <c r="B595" s="1327"/>
      <c r="C595" s="1327" t="s">
        <v>254</v>
      </c>
      <c r="D595" s="1327"/>
      <c r="E595" s="1327"/>
      <c r="F595" s="1014"/>
      <c r="G595" s="1007"/>
      <c r="H595" s="762" t="s">
        <v>46</v>
      </c>
      <c r="I595" s="997"/>
      <c r="J595" s="997">
        <f t="shared" ref="J595:J596" si="256">J597+J599</f>
        <v>0</v>
      </c>
      <c r="K595" s="998"/>
      <c r="L595" s="998"/>
      <c r="M595" s="998"/>
      <c r="N595" s="998"/>
      <c r="O595" s="998"/>
      <c r="P595" s="998"/>
      <c r="Q595" s="1302"/>
      <c r="R595" s="1302"/>
      <c r="S595" s="1302"/>
      <c r="T595" s="1302"/>
      <c r="U595" s="1302"/>
      <c r="V595" s="1302"/>
      <c r="W595" s="1302"/>
      <c r="X595" s="1302"/>
      <c r="Y595" s="1302"/>
      <c r="Z595" s="1302"/>
    </row>
    <row r="596" spans="1:26" ht="18.75">
      <c r="A596" s="1326"/>
      <c r="B596" s="1327"/>
      <c r="C596" s="1327"/>
      <c r="D596" s="1327"/>
      <c r="E596" s="1014"/>
      <c r="F596" s="1014"/>
      <c r="G596" s="1007"/>
      <c r="H596" s="762" t="s">
        <v>34</v>
      </c>
      <c r="I596" s="997"/>
      <c r="J596" s="997">
        <f t="shared" si="256"/>
        <v>0</v>
      </c>
      <c r="K596" s="998"/>
      <c r="L596" s="998"/>
      <c r="M596" s="998"/>
      <c r="N596" s="998"/>
      <c r="O596" s="998"/>
      <c r="P596" s="998"/>
      <c r="Q596" s="1302"/>
      <c r="R596" s="1302"/>
      <c r="S596" s="1302"/>
      <c r="T596" s="1302"/>
      <c r="U596" s="1302"/>
      <c r="V596" s="1302"/>
      <c r="W596" s="1302"/>
      <c r="X596" s="1302"/>
      <c r="Y596" s="1302"/>
      <c r="Z596" s="1302"/>
    </row>
    <row r="597" spans="1:26" ht="18.75">
      <c r="A597" s="1326"/>
      <c r="B597" s="1327"/>
      <c r="C597" s="1327"/>
      <c r="D597" s="1069" t="s">
        <v>255</v>
      </c>
      <c r="E597" s="1014"/>
      <c r="F597" s="1014"/>
      <c r="G597" s="1007"/>
      <c r="H597" s="762" t="s">
        <v>46</v>
      </c>
      <c r="I597" s="997"/>
      <c r="J597" s="1012">
        <v>0</v>
      </c>
      <c r="K597" s="998"/>
      <c r="L597" s="998"/>
      <c r="M597" s="998"/>
      <c r="N597" s="998"/>
      <c r="O597" s="998"/>
      <c r="P597" s="998"/>
      <c r="Q597" s="1302"/>
      <c r="R597" s="1302"/>
      <c r="S597" s="1302"/>
      <c r="T597" s="1302"/>
      <c r="U597" s="1302"/>
      <c r="V597" s="1302"/>
      <c r="W597" s="1302"/>
      <c r="X597" s="1302"/>
      <c r="Y597" s="1302"/>
      <c r="Z597" s="1302"/>
    </row>
    <row r="598" spans="1:26" ht="18.75">
      <c r="A598" s="1326"/>
      <c r="B598" s="1327"/>
      <c r="C598" s="1327"/>
      <c r="D598" s="1327"/>
      <c r="E598" s="1014"/>
      <c r="F598" s="1014"/>
      <c r="G598" s="1007"/>
      <c r="H598" s="762" t="s">
        <v>34</v>
      </c>
      <c r="I598" s="880"/>
      <c r="J598" s="1012">
        <v>0</v>
      </c>
      <c r="K598" s="998"/>
      <c r="L598" s="998"/>
      <c r="M598" s="998"/>
      <c r="N598" s="998"/>
      <c r="O598" s="998"/>
      <c r="P598" s="998"/>
      <c r="Q598" s="1302"/>
      <c r="R598" s="1302"/>
      <c r="S598" s="1302"/>
      <c r="T598" s="1302"/>
      <c r="U598" s="1302"/>
      <c r="V598" s="1302"/>
      <c r="W598" s="1302"/>
      <c r="X598" s="1302"/>
      <c r="Y598" s="1302"/>
      <c r="Z598" s="1302"/>
    </row>
    <row r="599" spans="1:26" ht="18.75">
      <c r="A599" s="1326"/>
      <c r="B599" s="1327"/>
      <c r="C599" s="1327"/>
      <c r="D599" s="1069" t="s">
        <v>256</v>
      </c>
      <c r="E599" s="1014"/>
      <c r="F599" s="1014"/>
      <c r="G599" s="1007"/>
      <c r="H599" s="762" t="s">
        <v>46</v>
      </c>
      <c r="I599" s="880"/>
      <c r="J599" s="1012">
        <v>0</v>
      </c>
      <c r="K599" s="998"/>
      <c r="L599" s="998"/>
      <c r="M599" s="998"/>
      <c r="N599" s="998"/>
      <c r="O599" s="998"/>
      <c r="P599" s="998"/>
      <c r="Q599" s="1302"/>
      <c r="R599" s="1302"/>
      <c r="S599" s="1302"/>
      <c r="T599" s="1302"/>
      <c r="U599" s="1302"/>
      <c r="V599" s="1302"/>
      <c r="W599" s="1302"/>
      <c r="X599" s="1302"/>
      <c r="Y599" s="1302"/>
      <c r="Z599" s="1302"/>
    </row>
    <row r="600" spans="1:26" ht="18.75">
      <c r="A600" s="1326"/>
      <c r="B600" s="1327"/>
      <c r="C600" s="1327"/>
      <c r="D600" s="1327"/>
      <c r="E600" s="1014"/>
      <c r="F600" s="1014"/>
      <c r="G600" s="1007"/>
      <c r="H600" s="762" t="s">
        <v>34</v>
      </c>
      <c r="I600" s="880"/>
      <c r="J600" s="1012">
        <v>0</v>
      </c>
      <c r="K600" s="998"/>
      <c r="L600" s="998"/>
      <c r="M600" s="998"/>
      <c r="N600" s="998"/>
      <c r="O600" s="998"/>
      <c r="P600" s="998"/>
      <c r="Q600" s="1302"/>
      <c r="R600" s="1302"/>
      <c r="S600" s="1302"/>
      <c r="T600" s="1302"/>
      <c r="U600" s="1302"/>
      <c r="V600" s="1302"/>
      <c r="W600" s="1302"/>
      <c r="X600" s="1302"/>
      <c r="Y600" s="1302"/>
      <c r="Z600" s="1302"/>
    </row>
    <row r="601" spans="1:26" ht="18.75">
      <c r="A601" s="1326"/>
      <c r="B601" s="1327"/>
      <c r="C601" s="1327"/>
      <c r="D601" s="1069" t="s">
        <v>257</v>
      </c>
      <c r="E601" s="1014"/>
      <c r="F601" s="1014"/>
      <c r="G601" s="1007"/>
      <c r="H601" s="762" t="s">
        <v>46</v>
      </c>
      <c r="I601" s="880"/>
      <c r="J601" s="1012">
        <v>0</v>
      </c>
      <c r="K601" s="998"/>
      <c r="L601" s="998"/>
      <c r="M601" s="998"/>
      <c r="N601" s="998"/>
      <c r="O601" s="998"/>
      <c r="P601" s="998"/>
      <c r="Q601" s="1302"/>
      <c r="R601" s="1302"/>
      <c r="S601" s="1302"/>
      <c r="T601" s="1302"/>
      <c r="U601" s="1302"/>
      <c r="V601" s="1302"/>
      <c r="W601" s="1302"/>
      <c r="X601" s="1302"/>
      <c r="Y601" s="1302"/>
      <c r="Z601" s="1302"/>
    </row>
    <row r="602" spans="1:26" ht="18.75">
      <c r="A602" s="1326"/>
      <c r="B602" s="1327"/>
      <c r="C602" s="1327"/>
      <c r="D602" s="1327"/>
      <c r="E602" s="1014"/>
      <c r="F602" s="1014"/>
      <c r="G602" s="1007"/>
      <c r="H602" s="762" t="s">
        <v>34</v>
      </c>
      <c r="I602" s="880"/>
      <c r="J602" s="1012">
        <v>0</v>
      </c>
      <c r="K602" s="998"/>
      <c r="L602" s="998"/>
      <c r="M602" s="998"/>
      <c r="N602" s="998"/>
      <c r="O602" s="998"/>
      <c r="P602" s="998"/>
      <c r="Q602" s="1302"/>
      <c r="R602" s="1302"/>
      <c r="S602" s="1302"/>
      <c r="T602" s="1302"/>
      <c r="U602" s="1302"/>
      <c r="V602" s="1302"/>
      <c r="W602" s="1302"/>
      <c r="X602" s="1302"/>
      <c r="Y602" s="1302"/>
      <c r="Z602" s="1302"/>
    </row>
    <row r="603" spans="1:26" ht="18.75">
      <c r="A603" s="1326"/>
      <c r="B603" s="1327"/>
      <c r="C603" s="1401" t="s">
        <v>258</v>
      </c>
      <c r="D603" s="1327"/>
      <c r="E603" s="1327"/>
      <c r="F603" s="1014"/>
      <c r="G603" s="1007"/>
      <c r="H603" s="762" t="s">
        <v>46</v>
      </c>
      <c r="I603" s="880"/>
      <c r="J603" s="880">
        <f t="shared" ref="J603:J604" si="257">J605+J607</f>
        <v>0</v>
      </c>
      <c r="K603" s="998"/>
      <c r="L603" s="998"/>
      <c r="M603" s="998"/>
      <c r="N603" s="998"/>
      <c r="O603" s="998"/>
      <c r="P603" s="998"/>
      <c r="Q603" s="1302"/>
      <c r="R603" s="1302"/>
      <c r="S603" s="1302"/>
      <c r="T603" s="1302"/>
      <c r="U603" s="1302"/>
      <c r="V603" s="1302"/>
      <c r="W603" s="1302"/>
      <c r="X603" s="1302"/>
      <c r="Y603" s="1302"/>
      <c r="Z603" s="1302"/>
    </row>
    <row r="604" spans="1:26" ht="18.75">
      <c r="A604" s="1326"/>
      <c r="B604" s="1327"/>
      <c r="C604" s="1327"/>
      <c r="D604" s="1327"/>
      <c r="E604" s="1014"/>
      <c r="F604" s="1014"/>
      <c r="G604" s="1007"/>
      <c r="H604" s="762" t="s">
        <v>34</v>
      </c>
      <c r="I604" s="880"/>
      <c r="J604" s="880">
        <f t="shared" si="257"/>
        <v>0</v>
      </c>
      <c r="K604" s="998"/>
      <c r="L604" s="998"/>
      <c r="M604" s="998"/>
      <c r="N604" s="998"/>
      <c r="O604" s="998"/>
      <c r="P604" s="998"/>
      <c r="Q604" s="1302"/>
      <c r="R604" s="1302"/>
      <c r="S604" s="1302"/>
      <c r="T604" s="1302"/>
      <c r="U604" s="1302"/>
      <c r="V604" s="1302"/>
      <c r="W604" s="1302"/>
      <c r="X604" s="1302"/>
      <c r="Y604" s="1302"/>
      <c r="Z604" s="1302"/>
    </row>
    <row r="605" spans="1:26" ht="18.75">
      <c r="A605" s="1326"/>
      <c r="B605" s="1327"/>
      <c r="C605" s="1327"/>
      <c r="D605" s="1401" t="s">
        <v>259</v>
      </c>
      <c r="E605" s="1014"/>
      <c r="F605" s="1014"/>
      <c r="G605" s="1007"/>
      <c r="H605" s="762" t="s">
        <v>46</v>
      </c>
      <c r="I605" s="880"/>
      <c r="J605" s="1012">
        <v>0</v>
      </c>
      <c r="K605" s="998"/>
      <c r="L605" s="998"/>
      <c r="M605" s="998"/>
      <c r="N605" s="998"/>
      <c r="O605" s="998"/>
      <c r="P605" s="998"/>
      <c r="Q605" s="1302"/>
      <c r="R605" s="1302"/>
      <c r="S605" s="1302"/>
      <c r="T605" s="1302"/>
      <c r="U605" s="1302"/>
      <c r="V605" s="1302"/>
      <c r="W605" s="1302"/>
      <c r="X605" s="1302"/>
      <c r="Y605" s="1302"/>
      <c r="Z605" s="1302"/>
    </row>
    <row r="606" spans="1:26" ht="18.75">
      <c r="A606" s="1326"/>
      <c r="B606" s="1327"/>
      <c r="C606" s="1327"/>
      <c r="D606" s="1327"/>
      <c r="E606" s="1327"/>
      <c r="F606" s="1014"/>
      <c r="G606" s="1007"/>
      <c r="H606" s="762" t="s">
        <v>34</v>
      </c>
      <c r="I606" s="880"/>
      <c r="J606" s="1012">
        <v>0</v>
      </c>
      <c r="K606" s="998"/>
      <c r="L606" s="998"/>
      <c r="M606" s="998"/>
      <c r="N606" s="998"/>
      <c r="O606" s="998"/>
      <c r="P606" s="998"/>
      <c r="Q606" s="1302"/>
      <c r="R606" s="1302"/>
      <c r="S606" s="1302"/>
      <c r="T606" s="1302"/>
      <c r="U606" s="1302"/>
      <c r="V606" s="1302"/>
      <c r="W606" s="1302"/>
      <c r="X606" s="1302"/>
      <c r="Y606" s="1302"/>
      <c r="Z606" s="1302"/>
    </row>
    <row r="607" spans="1:26" ht="18.75">
      <c r="A607" s="1326"/>
      <c r="B607" s="1327"/>
      <c r="C607" s="1327"/>
      <c r="D607" s="1401" t="s">
        <v>260</v>
      </c>
      <c r="E607" s="1327"/>
      <c r="F607" s="1014"/>
      <c r="G607" s="1007"/>
      <c r="H607" s="762" t="s">
        <v>46</v>
      </c>
      <c r="I607" s="880"/>
      <c r="J607" s="1012">
        <v>0</v>
      </c>
      <c r="K607" s="998"/>
      <c r="L607" s="998"/>
      <c r="M607" s="998"/>
      <c r="N607" s="998"/>
      <c r="O607" s="998"/>
      <c r="P607" s="998"/>
      <c r="Q607" s="1302"/>
      <c r="R607" s="1302"/>
      <c r="S607" s="1302"/>
      <c r="T607" s="1302"/>
      <c r="U607" s="1302"/>
      <c r="V607" s="1302"/>
      <c r="W607" s="1302"/>
      <c r="X607" s="1302"/>
      <c r="Y607" s="1302"/>
      <c r="Z607" s="1302"/>
    </row>
    <row r="608" spans="1:26" ht="18.75">
      <c r="A608" s="1326"/>
      <c r="B608" s="1327"/>
      <c r="C608" s="1327"/>
      <c r="D608" s="1327"/>
      <c r="E608" s="1014"/>
      <c r="F608" s="1014"/>
      <c r="G608" s="1007"/>
      <c r="H608" s="762" t="s">
        <v>34</v>
      </c>
      <c r="I608" s="880"/>
      <c r="J608" s="1012">
        <v>0</v>
      </c>
      <c r="K608" s="998"/>
      <c r="L608" s="998"/>
      <c r="M608" s="998"/>
      <c r="N608" s="998"/>
      <c r="O608" s="998"/>
      <c r="P608" s="998"/>
      <c r="Q608" s="1302"/>
      <c r="R608" s="1302"/>
      <c r="S608" s="1302"/>
      <c r="T608" s="1302"/>
      <c r="U608" s="1302"/>
      <c r="V608" s="1302"/>
      <c r="W608" s="1302"/>
      <c r="X608" s="1302"/>
      <c r="Y608" s="1302"/>
      <c r="Z608" s="1302"/>
    </row>
    <row r="609" spans="1:26" ht="18.75">
      <c r="A609" s="1326"/>
      <c r="B609" s="1327"/>
      <c r="C609" s="1327" t="s">
        <v>261</v>
      </c>
      <c r="D609" s="1327"/>
      <c r="E609" s="1327"/>
      <c r="F609" s="1014"/>
      <c r="G609" s="1007"/>
      <c r="H609" s="762" t="s">
        <v>46</v>
      </c>
      <c r="I609" s="880"/>
      <c r="J609" s="1012">
        <v>0</v>
      </c>
      <c r="K609" s="998"/>
      <c r="L609" s="998"/>
      <c r="M609" s="998"/>
      <c r="N609" s="998"/>
      <c r="O609" s="998"/>
      <c r="P609" s="998"/>
      <c r="Q609" s="1302"/>
      <c r="R609" s="1302"/>
      <c r="S609" s="1302"/>
      <c r="T609" s="1302"/>
      <c r="U609" s="1302"/>
      <c r="V609" s="1302"/>
      <c r="W609" s="1302"/>
      <c r="X609" s="1302"/>
      <c r="Y609" s="1302"/>
      <c r="Z609" s="1302"/>
    </row>
    <row r="610" spans="1:26" ht="18.75">
      <c r="A610" s="1326"/>
      <c r="B610" s="1327"/>
      <c r="C610" s="1327"/>
      <c r="D610" s="1327"/>
      <c r="E610" s="1014"/>
      <c r="F610" s="1014"/>
      <c r="G610" s="1007"/>
      <c r="H610" s="762" t="s">
        <v>34</v>
      </c>
      <c r="I610" s="880"/>
      <c r="J610" s="1012">
        <v>0</v>
      </c>
      <c r="K610" s="998"/>
      <c r="L610" s="998"/>
      <c r="M610" s="998"/>
      <c r="N610" s="998"/>
      <c r="O610" s="998"/>
      <c r="P610" s="998"/>
      <c r="Q610" s="1302"/>
      <c r="R610" s="1302"/>
      <c r="S610" s="1302"/>
      <c r="T610" s="1302"/>
      <c r="U610" s="1302"/>
      <c r="V610" s="1302"/>
      <c r="W610" s="1302"/>
      <c r="X610" s="1302"/>
      <c r="Y610" s="1302"/>
      <c r="Z610" s="1302"/>
    </row>
    <row r="611" spans="1:26" ht="19.5" hidden="1">
      <c r="A611" s="1390"/>
      <c r="B611" s="1402" t="s">
        <v>262</v>
      </c>
      <c r="C611" s="1392"/>
      <c r="D611" s="1392"/>
      <c r="E611" s="1375"/>
      <c r="F611" s="1375"/>
      <c r="G611" s="1376"/>
      <c r="H611" s="705" t="s">
        <v>46</v>
      </c>
      <c r="I611" s="1377">
        <v>0</v>
      </c>
      <c r="J611" s="1377">
        <f>J614+J616</f>
        <v>0</v>
      </c>
      <c r="K611" s="1378">
        <f t="shared" ref="K611:K613" si="258">IF(I611&gt;0,J611*100/I611,0)</f>
        <v>0</v>
      </c>
      <c r="L611" s="1379"/>
      <c r="M611" s="1379"/>
      <c r="N611" s="1379"/>
      <c r="O611" s="1379"/>
      <c r="P611" s="1379"/>
      <c r="Q611" s="1302"/>
      <c r="R611" s="1302"/>
      <c r="S611" s="1302"/>
      <c r="T611" s="1302"/>
      <c r="U611" s="1302"/>
      <c r="V611" s="1302"/>
      <c r="W611" s="1302"/>
      <c r="X611" s="1302"/>
      <c r="Y611" s="1302"/>
      <c r="Z611" s="1302"/>
    </row>
    <row r="612" spans="1:26" ht="19.5" hidden="1">
      <c r="A612" s="1403"/>
      <c r="B612" s="1404"/>
      <c r="C612" s="1405" t="s">
        <v>263</v>
      </c>
      <c r="D612" s="1404"/>
      <c r="E612" s="1404"/>
      <c r="F612" s="1406"/>
      <c r="G612" s="1407"/>
      <c r="H612" s="712" t="s">
        <v>46</v>
      </c>
      <c r="I612" s="1408">
        <v>0</v>
      </c>
      <c r="J612" s="1408">
        <f t="shared" ref="J612:J613" si="259">J614+J616</f>
        <v>0</v>
      </c>
      <c r="K612" s="1409">
        <f t="shared" si="258"/>
        <v>0</v>
      </c>
      <c r="L612" s="1410"/>
      <c r="M612" s="1410"/>
      <c r="N612" s="1410"/>
      <c r="O612" s="1410"/>
      <c r="P612" s="1410"/>
      <c r="Q612" s="1323"/>
      <c r="R612" s="1323"/>
      <c r="S612" s="1323"/>
      <c r="T612" s="1323"/>
      <c r="U612" s="1323"/>
      <c r="V612" s="1323"/>
      <c r="W612" s="1323"/>
      <c r="X612" s="1323"/>
      <c r="Y612" s="1323"/>
      <c r="Z612" s="1323"/>
    </row>
    <row r="613" spans="1:26" ht="19.5" hidden="1">
      <c r="A613" s="1403"/>
      <c r="B613" s="1404"/>
      <c r="C613" s="1404" t="s">
        <v>264</v>
      </c>
      <c r="D613" s="1404"/>
      <c r="E613" s="1404"/>
      <c r="F613" s="1406"/>
      <c r="G613" s="1407"/>
      <c r="H613" s="712" t="s">
        <v>34</v>
      </c>
      <c r="I613" s="1408">
        <v>0</v>
      </c>
      <c r="J613" s="1408">
        <f t="shared" si="259"/>
        <v>0</v>
      </c>
      <c r="K613" s="1409">
        <f t="shared" si="258"/>
        <v>0</v>
      </c>
      <c r="L613" s="1410"/>
      <c r="M613" s="1410"/>
      <c r="N613" s="1410"/>
      <c r="O613" s="1410"/>
      <c r="P613" s="1410"/>
      <c r="Q613" s="1323"/>
      <c r="R613" s="1323"/>
      <c r="S613" s="1323"/>
      <c r="T613" s="1323"/>
      <c r="U613" s="1323"/>
      <c r="V613" s="1323"/>
      <c r="W613" s="1323"/>
      <c r="X613" s="1323"/>
      <c r="Y613" s="1323"/>
      <c r="Z613" s="1323"/>
    </row>
    <row r="614" spans="1:26" ht="18.75" hidden="1">
      <c r="A614" s="1332"/>
      <c r="B614" s="1333"/>
      <c r="C614" s="1333"/>
      <c r="D614" s="1321" t="s">
        <v>265</v>
      </c>
      <c r="E614" s="1333"/>
      <c r="F614" s="1321"/>
      <c r="G614" s="1113"/>
      <c r="H614" s="370" t="s">
        <v>46</v>
      </c>
      <c r="I614" s="886"/>
      <c r="J614" s="886">
        <v>0</v>
      </c>
      <c r="K614" s="1001"/>
      <c r="L614" s="1001"/>
      <c r="M614" s="1001"/>
      <c r="N614" s="1001"/>
      <c r="O614" s="1001"/>
      <c r="P614" s="1001"/>
      <c r="Q614" s="1323"/>
      <c r="R614" s="1323"/>
      <c r="S614" s="1323"/>
      <c r="T614" s="1323"/>
      <c r="U614" s="1323"/>
      <c r="V614" s="1323"/>
      <c r="W614" s="1323"/>
      <c r="X614" s="1323"/>
      <c r="Y614" s="1323"/>
      <c r="Z614" s="1323"/>
    </row>
    <row r="615" spans="1:26" ht="18.75" hidden="1">
      <c r="A615" s="1332"/>
      <c r="B615" s="1333"/>
      <c r="C615" s="1333"/>
      <c r="D615" s="1333"/>
      <c r="E615" s="1333"/>
      <c r="F615" s="1321"/>
      <c r="G615" s="1113"/>
      <c r="H615" s="370" t="s">
        <v>34</v>
      </c>
      <c r="I615" s="886"/>
      <c r="J615" s="886">
        <v>0</v>
      </c>
      <c r="K615" s="1001"/>
      <c r="L615" s="1001"/>
      <c r="M615" s="1001"/>
      <c r="N615" s="1001"/>
      <c r="O615" s="1001"/>
      <c r="P615" s="1001"/>
      <c r="Q615" s="1323"/>
      <c r="R615" s="1323"/>
      <c r="S615" s="1323"/>
      <c r="T615" s="1323"/>
      <c r="U615" s="1323"/>
      <c r="V615" s="1323"/>
      <c r="W615" s="1323"/>
      <c r="X615" s="1323"/>
      <c r="Y615" s="1323"/>
      <c r="Z615" s="1323"/>
    </row>
    <row r="616" spans="1:26" ht="18.75" hidden="1">
      <c r="A616" s="1332"/>
      <c r="B616" s="1333"/>
      <c r="C616" s="1333"/>
      <c r="D616" s="1411" t="s">
        <v>265</v>
      </c>
      <c r="E616" s="1321"/>
      <c r="F616" s="1321"/>
      <c r="G616" s="1113"/>
      <c r="H616" s="370" t="s">
        <v>46</v>
      </c>
      <c r="I616" s="886"/>
      <c r="J616" s="886">
        <v>0</v>
      </c>
      <c r="K616" s="1001"/>
      <c r="L616" s="1001"/>
      <c r="M616" s="1001"/>
      <c r="N616" s="1001"/>
      <c r="O616" s="1001"/>
      <c r="P616" s="1001"/>
      <c r="Q616" s="1323"/>
      <c r="R616" s="1323"/>
      <c r="S616" s="1323"/>
      <c r="T616" s="1323"/>
      <c r="U616" s="1323"/>
      <c r="V616" s="1323"/>
      <c r="W616" s="1323"/>
      <c r="X616" s="1323"/>
      <c r="Y616" s="1323"/>
      <c r="Z616" s="1323"/>
    </row>
    <row r="617" spans="1:26" ht="18.75" hidden="1">
      <c r="A617" s="1332"/>
      <c r="B617" s="1333"/>
      <c r="C617" s="1333"/>
      <c r="D617" s="1333"/>
      <c r="E617" s="1321"/>
      <c r="F617" s="1321"/>
      <c r="G617" s="1113"/>
      <c r="H617" s="370" t="s">
        <v>34</v>
      </c>
      <c r="I617" s="886"/>
      <c r="J617" s="886">
        <v>0</v>
      </c>
      <c r="K617" s="1001"/>
      <c r="L617" s="1001"/>
      <c r="M617" s="1001"/>
      <c r="N617" s="1001"/>
      <c r="O617" s="1001"/>
      <c r="P617" s="1001"/>
      <c r="Q617" s="1323"/>
      <c r="R617" s="1323"/>
      <c r="S617" s="1323"/>
      <c r="T617" s="1323"/>
      <c r="U617" s="1323"/>
      <c r="V617" s="1323"/>
      <c r="W617" s="1323"/>
      <c r="X617" s="1323"/>
      <c r="Y617" s="1323"/>
      <c r="Z617" s="1323"/>
    </row>
    <row r="618" spans="1:26" ht="18.75" hidden="1">
      <c r="A618" s="1332"/>
      <c r="B618" s="1333"/>
      <c r="C618" s="1333"/>
      <c r="D618" s="1411" t="s">
        <v>266</v>
      </c>
      <c r="E618" s="1321"/>
      <c r="F618" s="1321"/>
      <c r="G618" s="1113"/>
      <c r="H618" s="370" t="s">
        <v>46</v>
      </c>
      <c r="I618" s="886"/>
      <c r="J618" s="886">
        <v>0</v>
      </c>
      <c r="K618" s="1001"/>
      <c r="L618" s="1001"/>
      <c r="M618" s="1001"/>
      <c r="N618" s="1001"/>
      <c r="O618" s="1001"/>
      <c r="P618" s="1001"/>
      <c r="Q618" s="1323"/>
      <c r="R618" s="1323"/>
      <c r="S618" s="1323"/>
      <c r="T618" s="1323"/>
      <c r="U618" s="1323"/>
      <c r="V618" s="1323"/>
      <c r="W618" s="1323"/>
      <c r="X618" s="1323"/>
      <c r="Y618" s="1323"/>
      <c r="Z618" s="1323"/>
    </row>
    <row r="619" spans="1:26" ht="18.75" hidden="1">
      <c r="A619" s="1332"/>
      <c r="B619" s="1333"/>
      <c r="C619" s="1333"/>
      <c r="D619" s="1333"/>
      <c r="E619" s="1321"/>
      <c r="F619" s="1321"/>
      <c r="G619" s="1113"/>
      <c r="H619" s="370" t="s">
        <v>34</v>
      </c>
      <c r="I619" s="886"/>
      <c r="J619" s="886">
        <v>0</v>
      </c>
      <c r="K619" s="1001"/>
      <c r="L619" s="1001"/>
      <c r="M619" s="1001"/>
      <c r="N619" s="1001"/>
      <c r="O619" s="1001"/>
      <c r="P619" s="1001"/>
      <c r="Q619" s="1323"/>
      <c r="R619" s="1323"/>
      <c r="S619" s="1323"/>
      <c r="T619" s="1323"/>
      <c r="U619" s="1323"/>
      <c r="V619" s="1323"/>
      <c r="W619" s="1323"/>
      <c r="X619" s="1323"/>
      <c r="Y619" s="1323"/>
      <c r="Z619" s="1323"/>
    </row>
    <row r="620" spans="1:26" ht="19.5" hidden="1">
      <c r="A620" s="1412"/>
      <c r="B620" s="1413"/>
      <c r="C620" s="1414" t="s">
        <v>267</v>
      </c>
      <c r="D620" s="1413"/>
      <c r="E620" s="1413"/>
      <c r="F620" s="1415"/>
      <c r="G620" s="1416"/>
      <c r="H620" s="725" t="s">
        <v>46</v>
      </c>
      <c r="I620" s="1417">
        <f ca="1">IFERROR(__xludf.DUMMYFUNCTION("IMPORTRANGE(""https://docs.google.com/spreadsheets/d/1QqKyyYR6Q21VydFLVH3TRQUabQu_ym0Zz7PgGX0-kHA/edit?usp=sharing"",""แผน!HL85"")"),0)</f>
        <v>0</v>
      </c>
      <c r="J620" s="1417">
        <f t="shared" ref="J620:J621" si="260">J622+J624+J626</f>
        <v>0</v>
      </c>
      <c r="K620" s="1418">
        <f t="shared" ref="K620:K621" ca="1" si="261">IF(I620&gt;0,J620*100/I620,0)</f>
        <v>0</v>
      </c>
      <c r="L620" s="1419"/>
      <c r="M620" s="1419"/>
      <c r="N620" s="1419"/>
      <c r="O620" s="1419"/>
      <c r="P620" s="1419"/>
      <c r="Q620" s="1302"/>
      <c r="R620" s="1302"/>
      <c r="S620" s="1302"/>
      <c r="T620" s="1302"/>
      <c r="U620" s="1302"/>
      <c r="V620" s="1302"/>
      <c r="W620" s="1302"/>
      <c r="X620" s="1302"/>
      <c r="Y620" s="1302"/>
      <c r="Z620" s="1302"/>
    </row>
    <row r="621" spans="1:26" ht="19.5" hidden="1">
      <c r="A621" s="1412"/>
      <c r="B621" s="1413"/>
      <c r="C621" s="1413" t="s">
        <v>268</v>
      </c>
      <c r="D621" s="1413"/>
      <c r="E621" s="1413"/>
      <c r="F621" s="1415"/>
      <c r="G621" s="1416"/>
      <c r="H621" s="725" t="s">
        <v>34</v>
      </c>
      <c r="I621" s="1417">
        <f ca="1">IFERROR(__xludf.DUMMYFUNCTION("IMPORTRANGE(""https://docs.google.com/spreadsheets/d/1QqKyyYR6Q21VydFLVH3TRQUabQu_ym0Zz7PgGX0-kHA/edit?usp=sharing"",""แผน!HK85"")"),0)</f>
        <v>0</v>
      </c>
      <c r="J621" s="1417">
        <f t="shared" si="260"/>
        <v>0</v>
      </c>
      <c r="K621" s="1418">
        <f t="shared" ca="1" si="261"/>
        <v>0</v>
      </c>
      <c r="L621" s="1419"/>
      <c r="M621" s="1419"/>
      <c r="N621" s="1419"/>
      <c r="O621" s="1419"/>
      <c r="P621" s="1419"/>
      <c r="Q621" s="1302"/>
      <c r="R621" s="1302"/>
      <c r="S621" s="1302"/>
      <c r="T621" s="1302"/>
      <c r="U621" s="1302"/>
      <c r="V621" s="1302"/>
      <c r="W621" s="1302"/>
      <c r="X621" s="1302"/>
      <c r="Y621" s="1302"/>
      <c r="Z621" s="1302"/>
    </row>
    <row r="622" spans="1:26" ht="18.75" hidden="1">
      <c r="A622" s="1326"/>
      <c r="B622" s="1327"/>
      <c r="C622" s="1327"/>
      <c r="D622" s="1069" t="s">
        <v>269</v>
      </c>
      <c r="E622" s="1014"/>
      <c r="F622" s="1014"/>
      <c r="G622" s="1007"/>
      <c r="H622" s="762" t="s">
        <v>46</v>
      </c>
      <c r="I622" s="880"/>
      <c r="J622" s="1012">
        <v>0</v>
      </c>
      <c r="K622" s="998"/>
      <c r="L622" s="998"/>
      <c r="M622" s="998"/>
      <c r="N622" s="998"/>
      <c r="O622" s="998"/>
      <c r="P622" s="998"/>
      <c r="Q622" s="1302"/>
      <c r="R622" s="1302"/>
      <c r="S622" s="1302"/>
      <c r="T622" s="1302"/>
      <c r="U622" s="1302"/>
      <c r="V622" s="1302"/>
      <c r="W622" s="1302"/>
      <c r="X622" s="1302"/>
      <c r="Y622" s="1302"/>
      <c r="Z622" s="1302"/>
    </row>
    <row r="623" spans="1:26" ht="18.75" hidden="1">
      <c r="A623" s="1326"/>
      <c r="B623" s="1327"/>
      <c r="C623" s="1327"/>
      <c r="D623" s="1327"/>
      <c r="E623" s="1014"/>
      <c r="F623" s="1014"/>
      <c r="G623" s="1007"/>
      <c r="H623" s="762" t="s">
        <v>34</v>
      </c>
      <c r="I623" s="880"/>
      <c r="J623" s="1012">
        <v>0</v>
      </c>
      <c r="K623" s="998"/>
      <c r="L623" s="998"/>
      <c r="M623" s="998"/>
      <c r="N623" s="998"/>
      <c r="O623" s="998"/>
      <c r="P623" s="998"/>
      <c r="Q623" s="1302"/>
      <c r="R623" s="1302"/>
      <c r="S623" s="1302"/>
      <c r="T623" s="1302"/>
      <c r="U623" s="1302"/>
      <c r="V623" s="1302"/>
      <c r="W623" s="1302"/>
      <c r="X623" s="1302"/>
      <c r="Y623" s="1302"/>
      <c r="Z623" s="1302"/>
    </row>
    <row r="624" spans="1:26" ht="18.75" hidden="1">
      <c r="A624" s="1326"/>
      <c r="B624" s="1327"/>
      <c r="C624" s="1327"/>
      <c r="D624" s="1069" t="s">
        <v>265</v>
      </c>
      <c r="E624" s="1014"/>
      <c r="F624" s="1014"/>
      <c r="G624" s="1007"/>
      <c r="H624" s="762" t="s">
        <v>46</v>
      </c>
      <c r="I624" s="880"/>
      <c r="J624" s="1012">
        <v>0</v>
      </c>
      <c r="K624" s="998"/>
      <c r="L624" s="998"/>
      <c r="M624" s="998"/>
      <c r="N624" s="998"/>
      <c r="O624" s="998"/>
      <c r="P624" s="998"/>
      <c r="Q624" s="1302"/>
      <c r="R624" s="1302"/>
      <c r="S624" s="1302"/>
      <c r="T624" s="1302"/>
      <c r="U624" s="1302"/>
      <c r="V624" s="1302"/>
      <c r="W624" s="1302"/>
      <c r="X624" s="1302"/>
      <c r="Y624" s="1302"/>
      <c r="Z624" s="1302"/>
    </row>
    <row r="625" spans="1:26" ht="18.75" hidden="1">
      <c r="A625" s="1326"/>
      <c r="B625" s="1327"/>
      <c r="C625" s="1327"/>
      <c r="D625" s="1327"/>
      <c r="E625" s="1014"/>
      <c r="F625" s="1014"/>
      <c r="G625" s="1007"/>
      <c r="H625" s="762" t="s">
        <v>34</v>
      </c>
      <c r="I625" s="880"/>
      <c r="J625" s="1012">
        <v>0</v>
      </c>
      <c r="K625" s="998"/>
      <c r="L625" s="998"/>
      <c r="M625" s="998"/>
      <c r="N625" s="998"/>
      <c r="O625" s="998"/>
      <c r="P625" s="998"/>
      <c r="Q625" s="1302"/>
      <c r="R625" s="1302"/>
      <c r="S625" s="1302"/>
      <c r="T625" s="1302"/>
      <c r="U625" s="1302"/>
      <c r="V625" s="1302"/>
      <c r="W625" s="1302"/>
      <c r="X625" s="1302"/>
      <c r="Y625" s="1302"/>
      <c r="Z625" s="1302"/>
    </row>
    <row r="626" spans="1:26" ht="18.75" hidden="1">
      <c r="A626" s="1326"/>
      <c r="B626" s="1327"/>
      <c r="C626" s="1327"/>
      <c r="D626" s="1069" t="s">
        <v>270</v>
      </c>
      <c r="E626" s="1014"/>
      <c r="F626" s="1014"/>
      <c r="G626" s="1007"/>
      <c r="H626" s="762" t="s">
        <v>46</v>
      </c>
      <c r="I626" s="880"/>
      <c r="J626" s="1012">
        <v>0</v>
      </c>
      <c r="K626" s="998"/>
      <c r="L626" s="998"/>
      <c r="M626" s="998"/>
      <c r="N626" s="998"/>
      <c r="O626" s="998"/>
      <c r="P626" s="998"/>
      <c r="Q626" s="1302"/>
      <c r="R626" s="1302"/>
      <c r="S626" s="1302"/>
      <c r="T626" s="1302"/>
      <c r="U626" s="1302"/>
      <c r="V626" s="1302"/>
      <c r="W626" s="1302"/>
      <c r="X626" s="1302"/>
      <c r="Y626" s="1302"/>
      <c r="Z626" s="1302"/>
    </row>
    <row r="627" spans="1:26" ht="18.75" hidden="1">
      <c r="A627" s="1420"/>
      <c r="B627" s="1421"/>
      <c r="C627" s="1421"/>
      <c r="D627" s="1421"/>
      <c r="E627" s="1169"/>
      <c r="F627" s="1169"/>
      <c r="G627" s="1422"/>
      <c r="H627" s="423" t="s">
        <v>34</v>
      </c>
      <c r="I627" s="1138"/>
      <c r="J627" s="1171">
        <v>0</v>
      </c>
      <c r="K627" s="1139"/>
      <c r="L627" s="1139"/>
      <c r="M627" s="1139"/>
      <c r="N627" s="1139"/>
      <c r="O627" s="1139"/>
      <c r="P627" s="1139"/>
      <c r="Q627" s="1302"/>
      <c r="R627" s="1302"/>
      <c r="S627" s="1302"/>
      <c r="T627" s="1302"/>
      <c r="U627" s="1302"/>
      <c r="V627" s="1302"/>
      <c r="W627" s="1302"/>
      <c r="X627" s="1302"/>
      <c r="Y627" s="1302"/>
      <c r="Z627" s="1302"/>
    </row>
    <row r="628" spans="1:26" ht="19.5">
      <c r="A628" s="734">
        <v>7</v>
      </c>
      <c r="B628" s="1423" t="s">
        <v>271</v>
      </c>
      <c r="C628" s="1424"/>
      <c r="D628" s="1424"/>
      <c r="E628" s="1424"/>
      <c r="F628" s="1424"/>
      <c r="G628" s="1425"/>
      <c r="H628" s="738" t="s">
        <v>35</v>
      </c>
      <c r="I628" s="1426">
        <f t="shared" ref="I628:J628" ca="1" si="262">I651</f>
        <v>7</v>
      </c>
      <c r="J628" s="1426">
        <f t="shared" ca="1" si="262"/>
        <v>0</v>
      </c>
      <c r="K628" s="1427">
        <f ca="1">IF(I628&gt;0,J628*100/I628,0)</f>
        <v>0</v>
      </c>
      <c r="L628" s="1428"/>
      <c r="M628" s="1428"/>
      <c r="N628" s="1428"/>
      <c r="O628" s="1428"/>
      <c r="P628" s="1428"/>
      <c r="Q628" s="1302"/>
      <c r="R628" s="1302"/>
      <c r="S628" s="1302"/>
      <c r="T628" s="1302"/>
      <c r="U628" s="1302"/>
      <c r="V628" s="1302"/>
      <c r="W628" s="1302"/>
      <c r="X628" s="1302"/>
      <c r="Y628" s="1302"/>
      <c r="Z628" s="1302"/>
    </row>
    <row r="629" spans="1:26" ht="19.5">
      <c r="A629" s="1317"/>
      <c r="B629" s="1301"/>
      <c r="C629" s="1301" t="s">
        <v>16</v>
      </c>
      <c r="D629" s="1318" t="s">
        <v>17</v>
      </c>
      <c r="E629" s="841"/>
      <c r="F629" s="841"/>
      <c r="G629" s="1016"/>
      <c r="H629" s="597" t="s">
        <v>12</v>
      </c>
      <c r="I629" s="880"/>
      <c r="J629" s="880"/>
      <c r="K629" s="881"/>
      <c r="L629" s="1020">
        <f t="shared" ref="L629:N629" ca="1" si="263">L630+L631</f>
        <v>164050</v>
      </c>
      <c r="M629" s="1020">
        <f t="shared" ca="1" si="263"/>
        <v>164050</v>
      </c>
      <c r="N629" s="1020">
        <f t="shared" si="263"/>
        <v>26440</v>
      </c>
      <c r="O629" s="1020">
        <f t="shared" ref="O629:O634" ca="1" si="264">IF(L629&gt;0,N629*100/L629,0)</f>
        <v>16.117037488570556</v>
      </c>
      <c r="P629" s="1020">
        <f t="shared" ref="P629:P634" ca="1" si="265">IF(M629&gt;0,N629*100/M629,0)</f>
        <v>16.117037488570556</v>
      </c>
      <c r="Q629" s="1302"/>
      <c r="R629" s="1302"/>
      <c r="S629" s="1302"/>
      <c r="T629" s="1302"/>
      <c r="U629" s="1302"/>
      <c r="V629" s="1302"/>
      <c r="W629" s="1302"/>
      <c r="X629" s="1302"/>
      <c r="Y629" s="1302"/>
      <c r="Z629" s="1302"/>
    </row>
    <row r="630" spans="1:26" ht="18.75" hidden="1">
      <c r="A630" s="1319"/>
      <c r="B630" s="1320"/>
      <c r="C630" s="1320"/>
      <c r="D630" s="1321"/>
      <c r="E630" s="1320" t="s">
        <v>185</v>
      </c>
      <c r="F630" s="1320"/>
      <c r="G630" s="1322"/>
      <c r="H630" s="165" t="s">
        <v>12</v>
      </c>
      <c r="I630" s="886"/>
      <c r="J630" s="886"/>
      <c r="K630" s="887"/>
      <c r="L630" s="887">
        <f t="shared" ref="L630:N631" si="266">L633+L640</f>
        <v>0</v>
      </c>
      <c r="M630" s="887">
        <f t="shared" si="266"/>
        <v>0</v>
      </c>
      <c r="N630" s="887">
        <f t="shared" si="266"/>
        <v>0</v>
      </c>
      <c r="O630" s="887">
        <f t="shared" si="264"/>
        <v>0</v>
      </c>
      <c r="P630" s="887">
        <f t="shared" si="265"/>
        <v>0</v>
      </c>
      <c r="Q630" s="1323"/>
      <c r="R630" s="1323"/>
      <c r="S630" s="1323"/>
      <c r="T630" s="1323"/>
      <c r="U630" s="1323"/>
      <c r="V630" s="1323"/>
      <c r="W630" s="1323"/>
      <c r="X630" s="1323"/>
      <c r="Y630" s="1323"/>
      <c r="Z630" s="1323"/>
    </row>
    <row r="631" spans="1:26" ht="18.75" hidden="1">
      <c r="A631" s="1319"/>
      <c r="B631" s="1324"/>
      <c r="C631" s="1320"/>
      <c r="D631" s="1321"/>
      <c r="E631" s="1320" t="s">
        <v>186</v>
      </c>
      <c r="F631" s="1320"/>
      <c r="G631" s="1322"/>
      <c r="H631" s="165" t="s">
        <v>12</v>
      </c>
      <c r="I631" s="886"/>
      <c r="J631" s="886"/>
      <c r="K631" s="887"/>
      <c r="L631" s="887">
        <f t="shared" ca="1" si="266"/>
        <v>164050</v>
      </c>
      <c r="M631" s="887">
        <f t="shared" ca="1" si="266"/>
        <v>164050</v>
      </c>
      <c r="N631" s="887">
        <f t="shared" si="266"/>
        <v>26440</v>
      </c>
      <c r="O631" s="887">
        <f t="shared" ca="1" si="264"/>
        <v>16.117037488570556</v>
      </c>
      <c r="P631" s="887">
        <f t="shared" ca="1" si="265"/>
        <v>16.117037488570556</v>
      </c>
      <c r="Q631" s="1323"/>
      <c r="R631" s="1323"/>
      <c r="S631" s="1323"/>
      <c r="T631" s="1323"/>
      <c r="U631" s="1323"/>
      <c r="V631" s="1323"/>
      <c r="W631" s="1323"/>
      <c r="X631" s="1323"/>
      <c r="Y631" s="1323"/>
      <c r="Z631" s="1323"/>
    </row>
    <row r="632" spans="1:26" ht="18.75">
      <c r="A632" s="1317"/>
      <c r="B632" s="1300"/>
      <c r="C632" s="1301"/>
      <c r="D632" s="1325" t="s">
        <v>20</v>
      </c>
      <c r="E632" s="1301"/>
      <c r="F632" s="1301"/>
      <c r="G632" s="1016"/>
      <c r="H632" s="161" t="s">
        <v>12</v>
      </c>
      <c r="I632" s="997"/>
      <c r="J632" s="997"/>
      <c r="K632" s="998"/>
      <c r="L632" s="881">
        <f t="shared" ref="L632:N632" ca="1" si="267">L633+L634</f>
        <v>164050</v>
      </c>
      <c r="M632" s="881">
        <f t="shared" ca="1" si="267"/>
        <v>164050</v>
      </c>
      <c r="N632" s="881">
        <f t="shared" si="267"/>
        <v>26440</v>
      </c>
      <c r="O632" s="881">
        <f t="shared" ca="1" si="264"/>
        <v>16.117037488570556</v>
      </c>
      <c r="P632" s="881">
        <f t="shared" ca="1" si="265"/>
        <v>16.117037488570556</v>
      </c>
      <c r="Q632" s="1302"/>
      <c r="R632" s="1302"/>
      <c r="S632" s="1302"/>
      <c r="T632" s="1302"/>
      <c r="U632" s="1302"/>
      <c r="V632" s="1302"/>
      <c r="W632" s="1302"/>
      <c r="X632" s="1302"/>
      <c r="Y632" s="1302"/>
      <c r="Z632" s="1302"/>
    </row>
    <row r="633" spans="1:26" ht="18.75" hidden="1">
      <c r="A633" s="1319"/>
      <c r="B633" s="1324"/>
      <c r="C633" s="1320"/>
      <c r="D633" s="1321"/>
      <c r="E633" s="1320" t="s">
        <v>185</v>
      </c>
      <c r="F633" s="1320"/>
      <c r="G633" s="1322"/>
      <c r="H633" s="165" t="s">
        <v>12</v>
      </c>
      <c r="I633" s="886"/>
      <c r="J633" s="886"/>
      <c r="K633" s="887"/>
      <c r="L633" s="887">
        <v>0</v>
      </c>
      <c r="M633" s="887">
        <v>0</v>
      </c>
      <c r="N633" s="887">
        <v>0</v>
      </c>
      <c r="O633" s="887">
        <f t="shared" si="264"/>
        <v>0</v>
      </c>
      <c r="P633" s="887">
        <f t="shared" si="265"/>
        <v>0</v>
      </c>
      <c r="Q633" s="1323"/>
      <c r="R633" s="1323"/>
      <c r="S633" s="1323"/>
      <c r="T633" s="1323"/>
      <c r="U633" s="1323"/>
      <c r="V633" s="1323"/>
      <c r="W633" s="1323"/>
      <c r="X633" s="1323"/>
      <c r="Y633" s="1323"/>
      <c r="Z633" s="1323"/>
    </row>
    <row r="634" spans="1:26" ht="18.75" hidden="1">
      <c r="A634" s="1319"/>
      <c r="B634" s="1324"/>
      <c r="C634" s="1320"/>
      <c r="D634" s="1321"/>
      <c r="E634" s="1320" t="s">
        <v>186</v>
      </c>
      <c r="F634" s="1320"/>
      <c r="G634" s="1322"/>
      <c r="H634" s="165" t="s">
        <v>12</v>
      </c>
      <c r="I634" s="886"/>
      <c r="J634" s="886"/>
      <c r="K634" s="887"/>
      <c r="L634" s="887">
        <f ca="1">IFERROR(__xludf.DUMMYFUNCTION("IMPORTRANGE(""https://docs.google.com/spreadsheets/d/1QqKyyYR6Q21VydFLVH3TRQUabQu_ym0Zz7PgGX0-kHA/edit?usp=sharing"",""แผน!HN85"")"),164050)</f>
        <v>164050</v>
      </c>
      <c r="M634" s="887">
        <f ca="1">L634</f>
        <v>164050</v>
      </c>
      <c r="N634" s="887">
        <f>N635+N636+N637+N638</f>
        <v>26440</v>
      </c>
      <c r="O634" s="887">
        <f t="shared" ca="1" si="264"/>
        <v>16.117037488570556</v>
      </c>
      <c r="P634" s="887">
        <f t="shared" ca="1" si="265"/>
        <v>16.117037488570556</v>
      </c>
      <c r="Q634" s="1323"/>
      <c r="R634" s="1323"/>
      <c r="S634" s="1323"/>
      <c r="T634" s="1323"/>
      <c r="U634" s="1323"/>
      <c r="V634" s="1323"/>
      <c r="W634" s="1323"/>
      <c r="X634" s="1323"/>
      <c r="Y634" s="1323"/>
      <c r="Z634" s="1323"/>
    </row>
    <row r="635" spans="1:26" ht="18.75">
      <c r="A635" s="1299"/>
      <c r="B635" s="1300"/>
      <c r="C635" s="1301"/>
      <c r="D635" s="1301"/>
      <c r="E635" s="1301"/>
      <c r="F635" s="1301" t="s">
        <v>187</v>
      </c>
      <c r="G635" s="1016"/>
      <c r="H635" s="161" t="s">
        <v>12</v>
      </c>
      <c r="I635" s="880"/>
      <c r="J635" s="880"/>
      <c r="K635" s="881"/>
      <c r="L635" s="881"/>
      <c r="M635" s="881"/>
      <c r="N635" s="1085">
        <v>0</v>
      </c>
      <c r="O635" s="881"/>
      <c r="P635" s="881"/>
      <c r="Q635" s="1302"/>
      <c r="R635" s="1302"/>
      <c r="S635" s="1302"/>
      <c r="T635" s="1302"/>
      <c r="U635" s="1302"/>
      <c r="V635" s="1302"/>
      <c r="W635" s="1302"/>
      <c r="X635" s="1302"/>
      <c r="Y635" s="1302"/>
      <c r="Z635" s="1302"/>
    </row>
    <row r="636" spans="1:26" ht="18.75">
      <c r="A636" s="1299"/>
      <c r="B636" s="1300"/>
      <c r="C636" s="1301"/>
      <c r="D636" s="1301"/>
      <c r="E636" s="1301"/>
      <c r="F636" s="1301" t="s">
        <v>188</v>
      </c>
      <c r="G636" s="1016"/>
      <c r="H636" s="161" t="s">
        <v>12</v>
      </c>
      <c r="I636" s="880"/>
      <c r="J636" s="880"/>
      <c r="K636" s="881"/>
      <c r="L636" s="881"/>
      <c r="M636" s="881"/>
      <c r="N636" s="1085">
        <v>0</v>
      </c>
      <c r="O636" s="881"/>
      <c r="P636" s="881"/>
      <c r="Q636" s="1302"/>
      <c r="R636" s="1302"/>
      <c r="S636" s="1302"/>
      <c r="T636" s="1302"/>
      <c r="U636" s="1302"/>
      <c r="V636" s="1302"/>
      <c r="W636" s="1302"/>
      <c r="X636" s="1302"/>
      <c r="Y636" s="1302"/>
      <c r="Z636" s="1302"/>
    </row>
    <row r="637" spans="1:26" ht="18.75">
      <c r="A637" s="1299"/>
      <c r="B637" s="1300"/>
      <c r="C637" s="1301"/>
      <c r="D637" s="1301"/>
      <c r="E637" s="1301"/>
      <c r="F637" s="1301" t="s">
        <v>189</v>
      </c>
      <c r="G637" s="1016"/>
      <c r="H637" s="161" t="s">
        <v>12</v>
      </c>
      <c r="I637" s="880"/>
      <c r="J637" s="880"/>
      <c r="K637" s="881"/>
      <c r="L637" s="881"/>
      <c r="M637" s="881"/>
      <c r="N637" s="1085">
        <v>0</v>
      </c>
      <c r="O637" s="881"/>
      <c r="P637" s="881"/>
      <c r="Q637" s="1302"/>
      <c r="R637" s="1302"/>
      <c r="S637" s="1302"/>
      <c r="T637" s="1302"/>
      <c r="U637" s="1302"/>
      <c r="V637" s="1302"/>
      <c r="W637" s="1302"/>
      <c r="X637" s="1302"/>
      <c r="Y637" s="1302"/>
      <c r="Z637" s="1302"/>
    </row>
    <row r="638" spans="1:26" ht="18.75">
      <c r="A638" s="1299"/>
      <c r="B638" s="1300"/>
      <c r="C638" s="1301"/>
      <c r="D638" s="1301"/>
      <c r="E638" s="1301"/>
      <c r="F638" s="1301" t="s">
        <v>190</v>
      </c>
      <c r="G638" s="1016"/>
      <c r="H638" s="161" t="s">
        <v>12</v>
      </c>
      <c r="I638" s="880"/>
      <c r="J638" s="880"/>
      <c r="K638" s="881"/>
      <c r="L638" s="881"/>
      <c r="M638" s="881"/>
      <c r="N638" s="1085">
        <v>26440</v>
      </c>
      <c r="O638" s="881"/>
      <c r="P638" s="881"/>
      <c r="Q638" s="1302"/>
      <c r="R638" s="1302"/>
      <c r="S638" s="1302"/>
      <c r="T638" s="1302"/>
      <c r="U638" s="1302"/>
      <c r="V638" s="1302"/>
      <c r="W638" s="1302"/>
      <c r="X638" s="1302"/>
      <c r="Y638" s="1302"/>
      <c r="Z638" s="1302"/>
    </row>
    <row r="639" spans="1:26" ht="18.75">
      <c r="A639" s="1317"/>
      <c r="B639" s="1300"/>
      <c r="C639" s="1301"/>
      <c r="D639" s="1325" t="s">
        <v>21</v>
      </c>
      <c r="E639" s="1301"/>
      <c r="F639" s="1301"/>
      <c r="G639" s="1016"/>
      <c r="H639" s="168" t="s">
        <v>12</v>
      </c>
      <c r="I639" s="997"/>
      <c r="J639" s="997"/>
      <c r="K639" s="998"/>
      <c r="L639" s="881">
        <f t="shared" ref="L639:N639" ca="1" si="268">L640+L641</f>
        <v>0</v>
      </c>
      <c r="M639" s="881">
        <f t="shared" si="268"/>
        <v>0</v>
      </c>
      <c r="N639" s="881">
        <f t="shared" si="268"/>
        <v>0</v>
      </c>
      <c r="O639" s="881">
        <f t="shared" ref="O639:O641" ca="1" si="269">IF(L639&gt;0,N639*100/L639,0)</f>
        <v>0</v>
      </c>
      <c r="P639" s="881">
        <f t="shared" ref="P639:P641" si="270">IF(M639&gt;0,N639*100/M639,0)</f>
        <v>0</v>
      </c>
      <c r="Q639" s="1302"/>
      <c r="R639" s="1302"/>
      <c r="S639" s="1302"/>
      <c r="T639" s="1302"/>
      <c r="U639" s="1302"/>
      <c r="V639" s="1302"/>
      <c r="W639" s="1302"/>
      <c r="X639" s="1302"/>
      <c r="Y639" s="1302"/>
      <c r="Z639" s="1302"/>
    </row>
    <row r="640" spans="1:26" ht="18.75" hidden="1">
      <c r="A640" s="1319"/>
      <c r="B640" s="1324"/>
      <c r="C640" s="1320"/>
      <c r="D640" s="1320"/>
      <c r="E640" s="1320" t="s">
        <v>18</v>
      </c>
      <c r="F640" s="1320"/>
      <c r="G640" s="1322"/>
      <c r="H640" s="165" t="s">
        <v>12</v>
      </c>
      <c r="I640" s="1000"/>
      <c r="J640" s="1000"/>
      <c r="K640" s="1001"/>
      <c r="L640" s="887">
        <v>0</v>
      </c>
      <c r="M640" s="887">
        <v>0</v>
      </c>
      <c r="N640" s="887">
        <v>0</v>
      </c>
      <c r="O640" s="887">
        <f t="shared" si="269"/>
        <v>0</v>
      </c>
      <c r="P640" s="887">
        <f t="shared" si="270"/>
        <v>0</v>
      </c>
      <c r="Q640" s="1323"/>
      <c r="R640" s="1323"/>
      <c r="S640" s="1323"/>
      <c r="T640" s="1323"/>
      <c r="U640" s="1323"/>
      <c r="V640" s="1323"/>
      <c r="W640" s="1323"/>
      <c r="X640" s="1323"/>
      <c r="Y640" s="1323"/>
      <c r="Z640" s="1323"/>
    </row>
    <row r="641" spans="1:26" ht="18.75" hidden="1">
      <c r="A641" s="1319"/>
      <c r="B641" s="1324"/>
      <c r="C641" s="1320"/>
      <c r="D641" s="1320"/>
      <c r="E641" s="1320" t="s">
        <v>19</v>
      </c>
      <c r="F641" s="1320"/>
      <c r="G641" s="1322"/>
      <c r="H641" s="169" t="s">
        <v>12</v>
      </c>
      <c r="I641" s="1000"/>
      <c r="J641" s="1000"/>
      <c r="K641" s="1001"/>
      <c r="L641" s="887">
        <f ca="1">IFERROR(__xludf.DUMMYFUNCTION("IMPORTRANGE(""https://docs.google.com/spreadsheets/d/1QqKyyYR6Q21VydFLVH3TRQUabQu_ym0Zz7PgGX0-kHA/edit?usp=sharing"",""แผน!HQ85"")"),0)</f>
        <v>0</v>
      </c>
      <c r="M641" s="887">
        <v>0</v>
      </c>
      <c r="N641" s="887">
        <v>0</v>
      </c>
      <c r="O641" s="887">
        <f t="shared" ca="1" si="269"/>
        <v>0</v>
      </c>
      <c r="P641" s="887">
        <f t="shared" si="270"/>
        <v>0</v>
      </c>
      <c r="Q641" s="1323"/>
      <c r="R641" s="1323"/>
      <c r="S641" s="1323"/>
      <c r="T641" s="1323"/>
      <c r="U641" s="1323"/>
      <c r="V641" s="1323"/>
      <c r="W641" s="1323"/>
      <c r="X641" s="1323"/>
      <c r="Y641" s="1323"/>
      <c r="Z641" s="1323"/>
    </row>
    <row r="642" spans="1:26" ht="19.5">
      <c r="A642" s="1326"/>
      <c r="B642" s="1327"/>
      <c r="C642" s="1301" t="s">
        <v>16</v>
      </c>
      <c r="D642" s="1380" t="s">
        <v>38</v>
      </c>
      <c r="E642" s="1330"/>
      <c r="F642" s="1330"/>
      <c r="G642" s="1331"/>
      <c r="H642" s="1007"/>
      <c r="I642" s="997"/>
      <c r="J642" s="997"/>
      <c r="K642" s="998"/>
      <c r="L642" s="998"/>
      <c r="M642" s="998"/>
      <c r="N642" s="998"/>
      <c r="O642" s="998"/>
      <c r="P642" s="998"/>
      <c r="Q642" s="1302"/>
      <c r="R642" s="1302"/>
      <c r="S642" s="1302"/>
      <c r="T642" s="1302"/>
      <c r="U642" s="1302"/>
      <c r="V642" s="1302"/>
      <c r="W642" s="1302"/>
      <c r="X642" s="1302"/>
      <c r="Y642" s="1302"/>
      <c r="Z642" s="1302"/>
    </row>
    <row r="643" spans="1:26" ht="18.75">
      <c r="A643" s="1429"/>
      <c r="B643" s="1300"/>
      <c r="C643" s="1301"/>
      <c r="D643" s="1014"/>
      <c r="E643" s="1069" t="s">
        <v>272</v>
      </c>
      <c r="F643" s="1014"/>
      <c r="G643" s="1007"/>
      <c r="H643" s="762" t="s">
        <v>273</v>
      </c>
      <c r="I643" s="880">
        <f ca="1">IFERROR(__xludf.DUMMYFUNCTION("IMPORTRANGE(""https://docs.google.com/spreadsheets/d/1QqKyyYR6Q21VydFLVH3TRQUabQu_ym0Zz7PgGX0-kHA/edit?usp=sharing"",""แผน!HR85"")"),0)</f>
        <v>0</v>
      </c>
      <c r="J643" s="1012">
        <v>0</v>
      </c>
      <c r="K643" s="998">
        <f t="shared" ref="K643:K652" ca="1" si="271">IF(I643&gt;0,J643*100/I643,0)</f>
        <v>0</v>
      </c>
      <c r="L643" s="998"/>
      <c r="M643" s="998"/>
      <c r="N643" s="881"/>
      <c r="O643" s="998"/>
      <c r="P643" s="998"/>
      <c r="Q643" s="1302"/>
      <c r="R643" s="1302"/>
      <c r="S643" s="1302"/>
      <c r="T643" s="1302"/>
      <c r="U643" s="1302"/>
      <c r="V643" s="1302"/>
      <c r="W643" s="1302"/>
      <c r="X643" s="1302"/>
      <c r="Y643" s="1302"/>
      <c r="Z643" s="1302"/>
    </row>
    <row r="644" spans="1:26" ht="18.75">
      <c r="A644" s="1429"/>
      <c r="B644" s="1300"/>
      <c r="C644" s="1301"/>
      <c r="D644" s="1014"/>
      <c r="E644" s="1069" t="s">
        <v>274</v>
      </c>
      <c r="F644" s="1014"/>
      <c r="G644" s="1007"/>
      <c r="H644" s="762" t="s">
        <v>275</v>
      </c>
      <c r="I644" s="880">
        <f ca="1">IFERROR(__xludf.DUMMYFUNCTION("IMPORTRANGE(""https://docs.google.com/spreadsheets/d/1QqKyyYR6Q21VydFLVH3TRQUabQu_ym0Zz7PgGX0-kHA/edit?usp=sharing"",""แผน!HR85"")"),0)</f>
        <v>0</v>
      </c>
      <c r="J644" s="1012">
        <v>0</v>
      </c>
      <c r="K644" s="998">
        <f t="shared" ca="1" si="271"/>
        <v>0</v>
      </c>
      <c r="L644" s="998"/>
      <c r="M644" s="998"/>
      <c r="N644" s="881"/>
      <c r="O644" s="998"/>
      <c r="P644" s="998"/>
      <c r="Q644" s="1302"/>
      <c r="R644" s="1302"/>
      <c r="S644" s="1302"/>
      <c r="T644" s="1302"/>
      <c r="U644" s="1302"/>
      <c r="V644" s="1302"/>
      <c r="W644" s="1302"/>
      <c r="X644" s="1302"/>
      <c r="Y644" s="1302"/>
      <c r="Z644" s="1302"/>
    </row>
    <row r="645" spans="1:26" ht="18.75">
      <c r="A645" s="1429"/>
      <c r="B645" s="1300"/>
      <c r="C645" s="1301"/>
      <c r="D645" s="1014"/>
      <c r="E645" s="1069" t="s">
        <v>276</v>
      </c>
      <c r="F645" s="1014"/>
      <c r="G645" s="1007"/>
      <c r="H645" s="762" t="s">
        <v>34</v>
      </c>
      <c r="I645" s="880">
        <v>0</v>
      </c>
      <c r="J645" s="880">
        <f ca="1">IFERROR(__xludf.DUMMYFUNCTION("IMPORTRANGE(""https://docs.google.com/spreadsheets/d/1XWAQStnk-4SwqDmLtmXYiTMKHgktTP8We1SCoS47DrQ/edit?usp=sharing"",""จัดที่ดิน!AS85"")"),3)</f>
        <v>3</v>
      </c>
      <c r="K645" s="998">
        <f t="shared" si="271"/>
        <v>0</v>
      </c>
      <c r="L645" s="998"/>
      <c r="M645" s="998"/>
      <c r="N645" s="881"/>
      <c r="O645" s="998"/>
      <c r="P645" s="998"/>
      <c r="Q645" s="1302"/>
      <c r="R645" s="1302"/>
      <c r="S645" s="1302"/>
      <c r="T645" s="1302"/>
      <c r="U645" s="1302"/>
      <c r="V645" s="1302"/>
      <c r="W645" s="1302"/>
      <c r="X645" s="1302"/>
      <c r="Y645" s="1302"/>
      <c r="Z645" s="1302"/>
    </row>
    <row r="646" spans="1:26" ht="18.75">
      <c r="A646" s="1429"/>
      <c r="B646" s="1300"/>
      <c r="C646" s="1301"/>
      <c r="D646" s="1014"/>
      <c r="E646" s="1014"/>
      <c r="F646" s="1014"/>
      <c r="G646" s="1007"/>
      <c r="H646" s="762" t="s">
        <v>46</v>
      </c>
      <c r="I646" s="880">
        <v>0</v>
      </c>
      <c r="J646" s="880">
        <f ca="1">IFERROR(__xludf.DUMMYFUNCTION("IMPORTRANGE(""https://docs.google.com/spreadsheets/d/1XWAQStnk-4SwqDmLtmXYiTMKHgktTP8We1SCoS47DrQ/edit?usp=sharing"",""จัดที่ดิน!AT85"")"),2.26)</f>
        <v>2.2599999999999998</v>
      </c>
      <c r="K646" s="881">
        <f t="shared" si="271"/>
        <v>0</v>
      </c>
      <c r="L646" s="998"/>
      <c r="M646" s="998"/>
      <c r="N646" s="881"/>
      <c r="O646" s="998"/>
      <c r="P646" s="998"/>
      <c r="Q646" s="1302"/>
      <c r="R646" s="1302"/>
      <c r="S646" s="1302"/>
      <c r="T646" s="1302"/>
      <c r="U646" s="1302"/>
      <c r="V646" s="1302"/>
      <c r="W646" s="1302"/>
      <c r="X646" s="1302"/>
      <c r="Y646" s="1302"/>
      <c r="Z646" s="1302"/>
    </row>
    <row r="647" spans="1:26" ht="18.75">
      <c r="A647" s="1429"/>
      <c r="B647" s="1300"/>
      <c r="C647" s="1301"/>
      <c r="D647" s="1014"/>
      <c r="E647" s="1069" t="s">
        <v>162</v>
      </c>
      <c r="F647" s="1014"/>
      <c r="G647" s="1007"/>
      <c r="H647" s="762" t="s">
        <v>35</v>
      </c>
      <c r="I647" s="880">
        <f ca="1">IFERROR(__xludf.DUMMYFUNCTION("IMPORTRANGE(""https://docs.google.com/spreadsheets/d/1QqKyyYR6Q21VydFLVH3TRQUabQu_ym0Zz7PgGX0-kHA/edit?usp=sharing"",""แผน!HS85"")"),7)</f>
        <v>7</v>
      </c>
      <c r="J647" s="880">
        <f ca="1">IFERROR(__xludf.DUMMYFUNCTION("IMPORTRANGE(""https://docs.google.com/spreadsheets/d/1XWAQStnk-4SwqDmLtmXYiTMKHgktTP8We1SCoS47DrQ/edit?usp=sharing"",""จัดที่ดิน!AU85"")"),0)</f>
        <v>0</v>
      </c>
      <c r="K647" s="998">
        <f t="shared" ca="1" si="271"/>
        <v>0</v>
      </c>
      <c r="L647" s="998"/>
      <c r="M647" s="998"/>
      <c r="N647" s="998"/>
      <c r="O647" s="998"/>
      <c r="P647" s="998"/>
      <c r="Q647" s="1302"/>
      <c r="R647" s="1302"/>
      <c r="S647" s="1302"/>
      <c r="T647" s="1302"/>
      <c r="U647" s="1302"/>
      <c r="V647" s="1302"/>
      <c r="W647" s="1302"/>
      <c r="X647" s="1302"/>
      <c r="Y647" s="1302"/>
      <c r="Z647" s="1302"/>
    </row>
    <row r="648" spans="1:26" ht="18.75">
      <c r="A648" s="1429"/>
      <c r="B648" s="1300"/>
      <c r="C648" s="1301"/>
      <c r="D648" s="1014"/>
      <c r="E648" s="1014"/>
      <c r="F648" s="1014"/>
      <c r="G648" s="1007"/>
      <c r="H648" s="762" t="s">
        <v>46</v>
      </c>
      <c r="I648" s="880">
        <v>0</v>
      </c>
      <c r="J648" s="880">
        <f ca="1">IFERROR(__xludf.DUMMYFUNCTION("IMPORTRANGE(""https://docs.google.com/spreadsheets/d/1XWAQStnk-4SwqDmLtmXYiTMKHgktTP8We1SCoS47DrQ/edit?usp=sharing"",""จัดที่ดิน!AV85"")"),0)</f>
        <v>0</v>
      </c>
      <c r="K648" s="881">
        <f t="shared" si="271"/>
        <v>0</v>
      </c>
      <c r="L648" s="998"/>
      <c r="M648" s="998"/>
      <c r="N648" s="998"/>
      <c r="O648" s="998"/>
      <c r="P648" s="998"/>
      <c r="Q648" s="1302"/>
      <c r="R648" s="1302"/>
      <c r="S648" s="1302"/>
      <c r="T648" s="1302"/>
      <c r="U648" s="1302"/>
      <c r="V648" s="1302"/>
      <c r="W648" s="1302"/>
      <c r="X648" s="1302"/>
      <c r="Y648" s="1302"/>
      <c r="Z648" s="1302"/>
    </row>
    <row r="649" spans="1:26" ht="18.75">
      <c r="A649" s="1429"/>
      <c r="B649" s="1300"/>
      <c r="C649" s="1301"/>
      <c r="D649" s="1014"/>
      <c r="E649" s="1069" t="s">
        <v>277</v>
      </c>
      <c r="F649" s="1014"/>
      <c r="G649" s="1007"/>
      <c r="H649" s="762" t="s">
        <v>35</v>
      </c>
      <c r="I649" s="880">
        <f ca="1">IFERROR(__xludf.DUMMYFUNCTION("IMPORTRANGE(""https://docs.google.com/spreadsheets/d/1QqKyyYR6Q21VydFLVH3TRQUabQu_ym0Zz7PgGX0-kHA/edit?usp=sharing"",""แผน!HS85"")"),7)</f>
        <v>7</v>
      </c>
      <c r="J649" s="880">
        <f ca="1">IFERROR(__xludf.DUMMYFUNCTION("IMPORTRANGE(""https://docs.google.com/spreadsheets/d/1XWAQStnk-4SwqDmLtmXYiTMKHgktTP8We1SCoS47DrQ/edit?usp=sharing"",""จัดที่ดิน!AW85"")"),1)</f>
        <v>1</v>
      </c>
      <c r="K649" s="998">
        <f t="shared" ca="1" si="271"/>
        <v>14.285714285714286</v>
      </c>
      <c r="L649" s="998"/>
      <c r="M649" s="998"/>
      <c r="N649" s="998"/>
      <c r="O649" s="998"/>
      <c r="P649" s="998"/>
      <c r="Q649" s="1302"/>
      <c r="R649" s="1302"/>
      <c r="S649" s="1302"/>
      <c r="T649" s="1302"/>
      <c r="U649" s="1302"/>
      <c r="V649" s="1302"/>
      <c r="W649" s="1302"/>
      <c r="X649" s="1302"/>
      <c r="Y649" s="1302"/>
      <c r="Z649" s="1302"/>
    </row>
    <row r="650" spans="1:26" ht="18.75">
      <c r="A650" s="1429"/>
      <c r="B650" s="1300"/>
      <c r="C650" s="1301"/>
      <c r="D650" s="1014"/>
      <c r="E650" s="1014"/>
      <c r="F650" s="1014"/>
      <c r="G650" s="1007"/>
      <c r="H650" s="762" t="s">
        <v>46</v>
      </c>
      <c r="I650" s="880">
        <v>0</v>
      </c>
      <c r="J650" s="880">
        <f ca="1">IFERROR(__xludf.DUMMYFUNCTION("IMPORTRANGE(""https://docs.google.com/spreadsheets/d/1XWAQStnk-4SwqDmLtmXYiTMKHgktTP8We1SCoS47DrQ/edit?usp=sharing"",""จัดที่ดิน!AX85"")"),2.04)</f>
        <v>2.04</v>
      </c>
      <c r="K650" s="881">
        <f t="shared" si="271"/>
        <v>0</v>
      </c>
      <c r="L650" s="998"/>
      <c r="M650" s="998"/>
      <c r="N650" s="998"/>
      <c r="O650" s="998"/>
      <c r="P650" s="998"/>
      <c r="Q650" s="1302"/>
      <c r="R650" s="1302"/>
      <c r="S650" s="1302"/>
      <c r="T650" s="1302"/>
      <c r="U650" s="1302"/>
      <c r="V650" s="1302"/>
      <c r="W650" s="1302"/>
      <c r="X650" s="1302"/>
      <c r="Y650" s="1302"/>
      <c r="Z650" s="1302"/>
    </row>
    <row r="651" spans="1:26" ht="18.75">
      <c r="A651" s="1429"/>
      <c r="B651" s="1300"/>
      <c r="C651" s="1301"/>
      <c r="D651" s="1014"/>
      <c r="E651" s="1069" t="s">
        <v>278</v>
      </c>
      <c r="F651" s="1014"/>
      <c r="G651" s="1007"/>
      <c r="H651" s="762" t="s">
        <v>35</v>
      </c>
      <c r="I651" s="880">
        <f ca="1">IFERROR(__xludf.DUMMYFUNCTION("IMPORTRANGE(""https://docs.google.com/spreadsheets/d/1QqKyyYR6Q21VydFLVH3TRQUabQu_ym0Zz7PgGX0-kHA/edit?usp=sharing"",""แผน!HS85"")"),7)</f>
        <v>7</v>
      </c>
      <c r="J651" s="880">
        <f ca="1">IFERROR(__xludf.DUMMYFUNCTION("IMPORTRANGE(""https://docs.google.com/spreadsheets/d/1XWAQStnk-4SwqDmLtmXYiTMKHgktTP8We1SCoS47DrQ/edit?usp=sharing"",""จัดที่ดิน!AY85"")"),0)</f>
        <v>0</v>
      </c>
      <c r="K651" s="998">
        <f t="shared" ca="1" si="271"/>
        <v>0</v>
      </c>
      <c r="L651" s="998"/>
      <c r="M651" s="998"/>
      <c r="N651" s="998"/>
      <c r="O651" s="998"/>
      <c r="P651" s="998"/>
      <c r="Q651" s="1302"/>
      <c r="R651" s="1302"/>
      <c r="S651" s="1302"/>
      <c r="T651" s="1302"/>
      <c r="U651" s="1302"/>
      <c r="V651" s="1302"/>
      <c r="W651" s="1302"/>
      <c r="X651" s="1302"/>
      <c r="Y651" s="1302"/>
      <c r="Z651" s="1302"/>
    </row>
    <row r="652" spans="1:26" ht="18.75">
      <c r="A652" s="1430"/>
      <c r="B652" s="1431"/>
      <c r="C652" s="1432"/>
      <c r="D652" s="1169"/>
      <c r="E652" s="1169"/>
      <c r="F652" s="1169"/>
      <c r="G652" s="1422"/>
      <c r="H652" s="504" t="s">
        <v>46</v>
      </c>
      <c r="I652" s="1138">
        <v>0</v>
      </c>
      <c r="J652" s="1138">
        <f ca="1">IFERROR(__xludf.DUMMYFUNCTION("IMPORTRANGE(""https://docs.google.com/spreadsheets/d/1XWAQStnk-4SwqDmLtmXYiTMKHgktTP8We1SCoS47DrQ/edit?usp=sharing"",""จัดที่ดิน!AZ85"")"),0)</f>
        <v>0</v>
      </c>
      <c r="K652" s="1239">
        <f t="shared" si="271"/>
        <v>0</v>
      </c>
      <c r="L652" s="1139"/>
      <c r="M652" s="1139"/>
      <c r="N652" s="1139"/>
      <c r="O652" s="1139"/>
      <c r="P652" s="1139"/>
      <c r="Q652" s="1302"/>
      <c r="R652" s="1302"/>
      <c r="S652" s="1302"/>
      <c r="T652" s="1302"/>
      <c r="U652" s="1302"/>
      <c r="V652" s="1302"/>
      <c r="W652" s="1302"/>
      <c r="X652" s="1302"/>
      <c r="Y652" s="1302"/>
      <c r="Z652" s="1302"/>
    </row>
    <row r="653" spans="1:26" ht="19.5" hidden="1">
      <c r="A653" s="748">
        <v>8</v>
      </c>
      <c r="B653" s="1423" t="s">
        <v>279</v>
      </c>
      <c r="C653" s="1424"/>
      <c r="D653" s="1424"/>
      <c r="E653" s="1424"/>
      <c r="F653" s="1424"/>
      <c r="G653" s="1425"/>
      <c r="H653" s="1425"/>
      <c r="I653" s="1433"/>
      <c r="J653" s="1433"/>
      <c r="K653" s="1428"/>
      <c r="L653" s="1428"/>
      <c r="M653" s="1428"/>
      <c r="N653" s="1428"/>
      <c r="O653" s="1428"/>
      <c r="P653" s="1428"/>
      <c r="Q653" s="1302"/>
      <c r="R653" s="1302"/>
      <c r="S653" s="1302"/>
      <c r="T653" s="1302"/>
      <c r="U653" s="1302"/>
      <c r="V653" s="1302"/>
      <c r="W653" s="1302"/>
      <c r="X653" s="1302"/>
      <c r="Y653" s="1302"/>
      <c r="Z653" s="1302"/>
    </row>
    <row r="654" spans="1:26" ht="19.5" hidden="1">
      <c r="A654" s="1375"/>
      <c r="B654" s="1374" t="s">
        <v>280</v>
      </c>
      <c r="C654" s="1375"/>
      <c r="D654" s="1375"/>
      <c r="E654" s="1375"/>
      <c r="F654" s="1375"/>
      <c r="G654" s="1376"/>
      <c r="H654" s="705" t="s">
        <v>46</v>
      </c>
      <c r="I654" s="1377">
        <f t="shared" ref="I654:J654" ca="1" si="272">I669</f>
        <v>0</v>
      </c>
      <c r="J654" s="1377">
        <f t="shared" si="272"/>
        <v>0</v>
      </c>
      <c r="K654" s="1378">
        <f ca="1">IF(I654&gt;0,J654*100/I654,0)</f>
        <v>0</v>
      </c>
      <c r="L654" s="1379"/>
      <c r="M654" s="1379"/>
      <c r="N654" s="1379"/>
      <c r="O654" s="1379"/>
      <c r="P654" s="1379"/>
      <c r="Q654" s="1302"/>
      <c r="R654" s="1302"/>
      <c r="S654" s="1302"/>
      <c r="T654" s="1302"/>
      <c r="U654" s="1302"/>
      <c r="V654" s="1302"/>
      <c r="W654" s="1302"/>
      <c r="X654" s="1302"/>
      <c r="Y654" s="1302"/>
      <c r="Z654" s="1302"/>
    </row>
    <row r="655" spans="1:26" ht="19.5" hidden="1">
      <c r="A655" s="1317"/>
      <c r="B655" s="1301"/>
      <c r="C655" s="1301" t="s">
        <v>16</v>
      </c>
      <c r="D655" s="1318" t="s">
        <v>17</v>
      </c>
      <c r="E655" s="841"/>
      <c r="F655" s="841"/>
      <c r="G655" s="1016"/>
      <c r="H655" s="597" t="s">
        <v>12</v>
      </c>
      <c r="I655" s="880"/>
      <c r="J655" s="880"/>
      <c r="K655" s="881"/>
      <c r="L655" s="1020">
        <f t="shared" ref="L655:N655" ca="1" si="273">L656+L657</f>
        <v>0</v>
      </c>
      <c r="M655" s="1020">
        <f t="shared" si="273"/>
        <v>0</v>
      </c>
      <c r="N655" s="1020">
        <f t="shared" si="273"/>
        <v>0</v>
      </c>
      <c r="O655" s="1020">
        <f t="shared" ref="O655:O660" ca="1" si="274">IF(L655&gt;0,N655*100/L655,0)</f>
        <v>0</v>
      </c>
      <c r="P655" s="1020">
        <f t="shared" ref="P655:P660" si="275">IF(M655&gt;0,N655*100/M655,0)</f>
        <v>0</v>
      </c>
      <c r="Q655" s="1302"/>
      <c r="R655" s="1302"/>
      <c r="S655" s="1302"/>
      <c r="T655" s="1302"/>
      <c r="U655" s="1302"/>
      <c r="V655" s="1302"/>
      <c r="W655" s="1302"/>
      <c r="X655" s="1302"/>
      <c r="Y655" s="1302"/>
      <c r="Z655" s="1302"/>
    </row>
    <row r="656" spans="1:26" ht="18.75" hidden="1">
      <c r="A656" s="1319"/>
      <c r="B656" s="1320"/>
      <c r="C656" s="1320"/>
      <c r="D656" s="1321"/>
      <c r="E656" s="1320" t="s">
        <v>185</v>
      </c>
      <c r="F656" s="1320"/>
      <c r="G656" s="1322"/>
      <c r="H656" s="165" t="s">
        <v>12</v>
      </c>
      <c r="I656" s="886"/>
      <c r="J656" s="886"/>
      <c r="K656" s="887"/>
      <c r="L656" s="887">
        <f t="shared" ref="L656:N657" si="276">L659+L666</f>
        <v>0</v>
      </c>
      <c r="M656" s="887">
        <f t="shared" si="276"/>
        <v>0</v>
      </c>
      <c r="N656" s="887">
        <f t="shared" si="276"/>
        <v>0</v>
      </c>
      <c r="O656" s="887">
        <f t="shared" si="274"/>
        <v>0</v>
      </c>
      <c r="P656" s="887">
        <f t="shared" si="275"/>
        <v>0</v>
      </c>
      <c r="Q656" s="1323"/>
      <c r="R656" s="1323"/>
      <c r="S656" s="1323"/>
      <c r="T656" s="1323"/>
      <c r="U656" s="1323"/>
      <c r="V656" s="1323"/>
      <c r="W656" s="1323"/>
      <c r="X656" s="1323"/>
      <c r="Y656" s="1323"/>
      <c r="Z656" s="1323"/>
    </row>
    <row r="657" spans="1:26" ht="18.75" hidden="1">
      <c r="A657" s="1319"/>
      <c r="B657" s="1324"/>
      <c r="C657" s="1320"/>
      <c r="D657" s="1321"/>
      <c r="E657" s="1320" t="s">
        <v>186</v>
      </c>
      <c r="F657" s="1320"/>
      <c r="G657" s="1322"/>
      <c r="H657" s="165" t="s">
        <v>12</v>
      </c>
      <c r="I657" s="886"/>
      <c r="J657" s="886"/>
      <c r="K657" s="887"/>
      <c r="L657" s="887">
        <f t="shared" ca="1" si="276"/>
        <v>0</v>
      </c>
      <c r="M657" s="887">
        <f t="shared" si="276"/>
        <v>0</v>
      </c>
      <c r="N657" s="887">
        <f t="shared" si="276"/>
        <v>0</v>
      </c>
      <c r="O657" s="887">
        <f t="shared" ca="1" si="274"/>
        <v>0</v>
      </c>
      <c r="P657" s="887">
        <f t="shared" si="275"/>
        <v>0</v>
      </c>
      <c r="Q657" s="1323"/>
      <c r="R657" s="1323"/>
      <c r="S657" s="1323"/>
      <c r="T657" s="1323"/>
      <c r="U657" s="1323"/>
      <c r="V657" s="1323"/>
      <c r="W657" s="1323"/>
      <c r="X657" s="1323"/>
      <c r="Y657" s="1323"/>
      <c r="Z657" s="1323"/>
    </row>
    <row r="658" spans="1:26" ht="18.75" hidden="1">
      <c r="A658" s="1317"/>
      <c r="B658" s="1300"/>
      <c r="C658" s="1301"/>
      <c r="D658" s="1325" t="s">
        <v>20</v>
      </c>
      <c r="E658" s="1301"/>
      <c r="F658" s="1301"/>
      <c r="G658" s="1016"/>
      <c r="H658" s="161" t="s">
        <v>12</v>
      </c>
      <c r="I658" s="997"/>
      <c r="J658" s="997"/>
      <c r="K658" s="998"/>
      <c r="L658" s="881">
        <f t="shared" ref="L658:N658" ca="1" si="277">L659+L660</f>
        <v>0</v>
      </c>
      <c r="M658" s="881">
        <f t="shared" si="277"/>
        <v>0</v>
      </c>
      <c r="N658" s="881">
        <f t="shared" si="277"/>
        <v>0</v>
      </c>
      <c r="O658" s="881">
        <f t="shared" ca="1" si="274"/>
        <v>0</v>
      </c>
      <c r="P658" s="881">
        <f t="shared" si="275"/>
        <v>0</v>
      </c>
      <c r="Q658" s="1302"/>
      <c r="R658" s="1302"/>
      <c r="S658" s="1302"/>
      <c r="T658" s="1302"/>
      <c r="U658" s="1302"/>
      <c r="V658" s="1302"/>
      <c r="W658" s="1302"/>
      <c r="X658" s="1302"/>
      <c r="Y658" s="1302"/>
      <c r="Z658" s="1302"/>
    </row>
    <row r="659" spans="1:26" ht="18.75" hidden="1">
      <c r="A659" s="1319"/>
      <c r="B659" s="1324"/>
      <c r="C659" s="1320"/>
      <c r="D659" s="1321"/>
      <c r="E659" s="1320" t="s">
        <v>185</v>
      </c>
      <c r="F659" s="1320"/>
      <c r="G659" s="1322"/>
      <c r="H659" s="165" t="s">
        <v>12</v>
      </c>
      <c r="I659" s="886"/>
      <c r="J659" s="886"/>
      <c r="K659" s="887"/>
      <c r="L659" s="887">
        <v>0</v>
      </c>
      <c r="M659" s="887">
        <v>0</v>
      </c>
      <c r="N659" s="887">
        <v>0</v>
      </c>
      <c r="O659" s="887">
        <f t="shared" si="274"/>
        <v>0</v>
      </c>
      <c r="P659" s="887">
        <f t="shared" si="275"/>
        <v>0</v>
      </c>
      <c r="Q659" s="1323"/>
      <c r="R659" s="1323"/>
      <c r="S659" s="1323"/>
      <c r="T659" s="1323"/>
      <c r="U659" s="1323"/>
      <c r="V659" s="1323"/>
      <c r="W659" s="1323"/>
      <c r="X659" s="1323"/>
      <c r="Y659" s="1323"/>
      <c r="Z659" s="1323"/>
    </row>
    <row r="660" spans="1:26" ht="18.75" hidden="1">
      <c r="A660" s="1319"/>
      <c r="B660" s="1324"/>
      <c r="C660" s="1320"/>
      <c r="D660" s="1321"/>
      <c r="E660" s="1320" t="s">
        <v>186</v>
      </c>
      <c r="F660" s="1320"/>
      <c r="G660" s="1322"/>
      <c r="H660" s="165" t="s">
        <v>12</v>
      </c>
      <c r="I660" s="886"/>
      <c r="J660" s="886"/>
      <c r="K660" s="887"/>
      <c r="L660" s="887">
        <f ca="1">IFERROR(__xludf.DUMMYFUNCTION("IMPORTRANGE(""https://docs.google.com/spreadsheets/d/1QqKyyYR6Q21VydFLVH3TRQUabQu_ym0Zz7PgGX0-kHA/edit?usp=sharing"",""แผน!HV85"")"),0)</f>
        <v>0</v>
      </c>
      <c r="M660" s="887">
        <v>0</v>
      </c>
      <c r="N660" s="887">
        <f>N661+N662+N663+N664</f>
        <v>0</v>
      </c>
      <c r="O660" s="887">
        <f t="shared" ca="1" si="274"/>
        <v>0</v>
      </c>
      <c r="P660" s="887">
        <f t="shared" si="275"/>
        <v>0</v>
      </c>
      <c r="Q660" s="1323"/>
      <c r="R660" s="1323"/>
      <c r="S660" s="1323"/>
      <c r="T660" s="1323"/>
      <c r="U660" s="1323"/>
      <c r="V660" s="1323"/>
      <c r="W660" s="1323"/>
      <c r="X660" s="1323"/>
      <c r="Y660" s="1323"/>
      <c r="Z660" s="1323"/>
    </row>
    <row r="661" spans="1:26" ht="18.75" hidden="1">
      <c r="A661" s="1299"/>
      <c r="B661" s="1300"/>
      <c r="C661" s="1301"/>
      <c r="D661" s="1301"/>
      <c r="E661" s="1301"/>
      <c r="F661" s="1301" t="s">
        <v>187</v>
      </c>
      <c r="G661" s="1016"/>
      <c r="H661" s="161" t="s">
        <v>12</v>
      </c>
      <c r="I661" s="880"/>
      <c r="J661" s="880"/>
      <c r="K661" s="881"/>
      <c r="L661" s="881"/>
      <c r="M661" s="881"/>
      <c r="N661" s="1085">
        <v>0</v>
      </c>
      <c r="O661" s="881"/>
      <c r="P661" s="881"/>
      <c r="Q661" s="1302"/>
      <c r="R661" s="1302"/>
      <c r="S661" s="1302"/>
      <c r="T661" s="1302"/>
      <c r="U661" s="1302"/>
      <c r="V661" s="1302"/>
      <c r="W661" s="1302"/>
      <c r="X661" s="1302"/>
      <c r="Y661" s="1302"/>
      <c r="Z661" s="1302"/>
    </row>
    <row r="662" spans="1:26" ht="18.75" hidden="1">
      <c r="A662" s="1299"/>
      <c r="B662" s="1300"/>
      <c r="C662" s="1301"/>
      <c r="D662" s="1301"/>
      <c r="E662" s="1301"/>
      <c r="F662" s="1301" t="s">
        <v>188</v>
      </c>
      <c r="G662" s="1016"/>
      <c r="H662" s="161" t="s">
        <v>12</v>
      </c>
      <c r="I662" s="880"/>
      <c r="J662" s="880"/>
      <c r="K662" s="881"/>
      <c r="L662" s="881"/>
      <c r="M662" s="881"/>
      <c r="N662" s="1085">
        <v>0</v>
      </c>
      <c r="O662" s="881"/>
      <c r="P662" s="881"/>
      <c r="Q662" s="1302"/>
      <c r="R662" s="1302"/>
      <c r="S662" s="1302"/>
      <c r="T662" s="1302"/>
      <c r="U662" s="1302"/>
      <c r="V662" s="1302"/>
      <c r="W662" s="1302"/>
      <c r="X662" s="1302"/>
      <c r="Y662" s="1302"/>
      <c r="Z662" s="1302"/>
    </row>
    <row r="663" spans="1:26" ht="18.75" hidden="1">
      <c r="A663" s="1299"/>
      <c r="B663" s="1300"/>
      <c r="C663" s="1300"/>
      <c r="D663" s="1301"/>
      <c r="E663" s="1301"/>
      <c r="F663" s="1301" t="s">
        <v>189</v>
      </c>
      <c r="G663" s="1016"/>
      <c r="H663" s="161" t="s">
        <v>12</v>
      </c>
      <c r="I663" s="880"/>
      <c r="J663" s="880"/>
      <c r="K663" s="881"/>
      <c r="L663" s="881"/>
      <c r="M663" s="881"/>
      <c r="N663" s="1085">
        <v>0</v>
      </c>
      <c r="O663" s="881"/>
      <c r="P663" s="881"/>
      <c r="Q663" s="1302"/>
      <c r="R663" s="1302"/>
      <c r="S663" s="1302"/>
      <c r="T663" s="1302"/>
      <c r="U663" s="1302"/>
      <c r="V663" s="1302"/>
      <c r="W663" s="1302"/>
      <c r="X663" s="1302"/>
      <c r="Y663" s="1302"/>
      <c r="Z663" s="1302"/>
    </row>
    <row r="664" spans="1:26" ht="18.75" hidden="1">
      <c r="A664" s="1299"/>
      <c r="B664" s="1300"/>
      <c r="C664" s="1300"/>
      <c r="D664" s="1300"/>
      <c r="E664" s="1301"/>
      <c r="F664" s="1301" t="s">
        <v>190</v>
      </c>
      <c r="G664" s="1016"/>
      <c r="H664" s="161" t="s">
        <v>12</v>
      </c>
      <c r="I664" s="880"/>
      <c r="J664" s="880"/>
      <c r="K664" s="881"/>
      <c r="L664" s="881"/>
      <c r="M664" s="881"/>
      <c r="N664" s="1085">
        <v>0</v>
      </c>
      <c r="O664" s="881"/>
      <c r="P664" s="881"/>
      <c r="Q664" s="1302"/>
      <c r="R664" s="1302"/>
      <c r="S664" s="1302"/>
      <c r="T664" s="1302"/>
      <c r="U664" s="1302"/>
      <c r="V664" s="1302"/>
      <c r="W664" s="1302"/>
      <c r="X664" s="1302"/>
      <c r="Y664" s="1302"/>
      <c r="Z664" s="1302"/>
    </row>
    <row r="665" spans="1:26" ht="18.75" hidden="1">
      <c r="A665" s="1317"/>
      <c r="B665" s="1300"/>
      <c r="C665" s="1300"/>
      <c r="D665" s="1325" t="s">
        <v>21</v>
      </c>
      <c r="E665" s="1301"/>
      <c r="F665" s="1301"/>
      <c r="G665" s="1016"/>
      <c r="H665" s="168" t="s">
        <v>12</v>
      </c>
      <c r="I665" s="997"/>
      <c r="J665" s="997"/>
      <c r="K665" s="998"/>
      <c r="L665" s="881">
        <f t="shared" ref="L665:N665" si="278">L666+L667</f>
        <v>0</v>
      </c>
      <c r="M665" s="881">
        <f t="shared" si="278"/>
        <v>0</v>
      </c>
      <c r="N665" s="881">
        <f t="shared" si="278"/>
        <v>0</v>
      </c>
      <c r="O665" s="881">
        <f t="shared" ref="O665:O667" si="279">IF(L665&gt;0,N665*100/L665,0)</f>
        <v>0</v>
      </c>
      <c r="P665" s="881">
        <f t="shared" ref="P665:P667" si="280">IF(M665&gt;0,N665*100/M665,0)</f>
        <v>0</v>
      </c>
      <c r="Q665" s="1302"/>
      <c r="R665" s="1302"/>
      <c r="S665" s="1302"/>
      <c r="T665" s="1302"/>
      <c r="U665" s="1302"/>
      <c r="V665" s="1302"/>
      <c r="W665" s="1302"/>
      <c r="X665" s="1302"/>
      <c r="Y665" s="1302"/>
      <c r="Z665" s="1302"/>
    </row>
    <row r="666" spans="1:26" ht="18.75" hidden="1">
      <c r="A666" s="1319"/>
      <c r="B666" s="1324"/>
      <c r="C666" s="1324"/>
      <c r="D666" s="1324"/>
      <c r="E666" s="1320" t="s">
        <v>18</v>
      </c>
      <c r="F666" s="1320"/>
      <c r="G666" s="1322"/>
      <c r="H666" s="165" t="s">
        <v>12</v>
      </c>
      <c r="I666" s="1000"/>
      <c r="J666" s="1000"/>
      <c r="K666" s="1001"/>
      <c r="L666" s="887">
        <v>0</v>
      </c>
      <c r="M666" s="887">
        <v>0</v>
      </c>
      <c r="N666" s="887">
        <v>0</v>
      </c>
      <c r="O666" s="887">
        <f t="shared" si="279"/>
        <v>0</v>
      </c>
      <c r="P666" s="887">
        <f t="shared" si="280"/>
        <v>0</v>
      </c>
      <c r="Q666" s="1323"/>
      <c r="R666" s="1323"/>
      <c r="S666" s="1323"/>
      <c r="T666" s="1323"/>
      <c r="U666" s="1323"/>
      <c r="V666" s="1323"/>
      <c r="W666" s="1323"/>
      <c r="X666" s="1323"/>
      <c r="Y666" s="1323"/>
      <c r="Z666" s="1323"/>
    </row>
    <row r="667" spans="1:26" ht="18.75" hidden="1">
      <c r="A667" s="1319"/>
      <c r="B667" s="1324"/>
      <c r="C667" s="1324"/>
      <c r="D667" s="1324"/>
      <c r="E667" s="1320" t="s">
        <v>19</v>
      </c>
      <c r="F667" s="1320"/>
      <c r="G667" s="1322"/>
      <c r="H667" s="169" t="s">
        <v>12</v>
      </c>
      <c r="I667" s="1000"/>
      <c r="J667" s="1000"/>
      <c r="K667" s="1001"/>
      <c r="L667" s="887">
        <v>0</v>
      </c>
      <c r="M667" s="887">
        <v>0</v>
      </c>
      <c r="N667" s="887">
        <v>0</v>
      </c>
      <c r="O667" s="887">
        <f t="shared" si="279"/>
        <v>0</v>
      </c>
      <c r="P667" s="887">
        <f t="shared" si="280"/>
        <v>0</v>
      </c>
      <c r="Q667" s="1323"/>
      <c r="R667" s="1323"/>
      <c r="S667" s="1323"/>
      <c r="T667" s="1323"/>
      <c r="U667" s="1323"/>
      <c r="V667" s="1323"/>
      <c r="W667" s="1323"/>
      <c r="X667" s="1323"/>
      <c r="Y667" s="1323"/>
      <c r="Z667" s="1323"/>
    </row>
    <row r="668" spans="1:26" ht="19.5" hidden="1">
      <c r="A668" s="1326"/>
      <c r="B668" s="1327"/>
      <c r="C668" s="1300" t="s">
        <v>16</v>
      </c>
      <c r="D668" s="1328" t="s">
        <v>38</v>
      </c>
      <c r="E668" s="1330"/>
      <c r="F668" s="1330"/>
      <c r="G668" s="1331"/>
      <c r="H668" s="1007"/>
      <c r="I668" s="997"/>
      <c r="J668" s="997"/>
      <c r="K668" s="998"/>
      <c r="L668" s="998"/>
      <c r="M668" s="998"/>
      <c r="N668" s="998"/>
      <c r="O668" s="998"/>
      <c r="P668" s="998"/>
      <c r="Q668" s="1302"/>
      <c r="R668" s="1302"/>
      <c r="S668" s="1302"/>
      <c r="T668" s="1302"/>
      <c r="U668" s="1302"/>
      <c r="V668" s="1302"/>
      <c r="W668" s="1302"/>
      <c r="X668" s="1302"/>
      <c r="Y668" s="1302"/>
      <c r="Z668" s="1302"/>
    </row>
    <row r="669" spans="1:26" ht="19.5" hidden="1">
      <c r="A669" s="1326"/>
      <c r="B669" s="1327"/>
      <c r="C669" s="1327"/>
      <c r="D669" s="1327" t="s">
        <v>281</v>
      </c>
      <c r="E669" s="1014"/>
      <c r="F669" s="1014"/>
      <c r="G669" s="1007"/>
      <c r="H669" s="765" t="s">
        <v>46</v>
      </c>
      <c r="I669" s="1019">
        <f ca="1">IFERROR(__xludf.DUMMYFUNCTION("IMPORTRANGE(""https://docs.google.com/spreadsheets/d/1QqKyyYR6Q21VydFLVH3TRQUabQu_ym0Zz7PgGX0-kHA/edit?usp=sharing"",""แผน!IA85"")"),0)</f>
        <v>0</v>
      </c>
      <c r="J669" s="1019">
        <f>J675</f>
        <v>0</v>
      </c>
      <c r="K669" s="1020">
        <f ca="1">IF(I669&gt;0,J669*100/I669,0)</f>
        <v>0</v>
      </c>
      <c r="L669" s="998"/>
      <c r="M669" s="998"/>
      <c r="N669" s="998"/>
      <c r="O669" s="998"/>
      <c r="P669" s="998"/>
      <c r="Q669" s="1302"/>
      <c r="R669" s="1302"/>
      <c r="S669" s="1302"/>
      <c r="T669" s="1302"/>
      <c r="U669" s="1302"/>
      <c r="V669" s="1302"/>
      <c r="W669" s="1302"/>
      <c r="X669" s="1302"/>
      <c r="Y669" s="1302"/>
      <c r="Z669" s="1302"/>
    </row>
    <row r="670" spans="1:26" ht="18.75" hidden="1">
      <c r="A670" s="1326"/>
      <c r="B670" s="1327"/>
      <c r="C670" s="1327"/>
      <c r="D670" s="1327"/>
      <c r="E670" s="1014" t="s">
        <v>282</v>
      </c>
      <c r="F670" s="1014"/>
      <c r="G670" s="1007"/>
      <c r="H670" s="762" t="s">
        <v>66</v>
      </c>
      <c r="I670" s="880">
        <f ca="1">IFERROR(__xludf.DUMMYFUNCTION("IMPORTRANGE(""https://docs.google.com/spreadsheets/d/1QqKyyYR6Q21VydFLVH3TRQUabQu_ym0Zz7PgGX0-kHA/edit?usp=sharing"",""แผน!HZ85"")"),0)</f>
        <v>0</v>
      </c>
      <c r="J670" s="1012">
        <v>0</v>
      </c>
      <c r="K670" s="881">
        <f ca="1">IF(I670&gt;0,(J670*100)/I670,0)</f>
        <v>0</v>
      </c>
      <c r="L670" s="998"/>
      <c r="M670" s="998"/>
      <c r="N670" s="998"/>
      <c r="O670" s="998"/>
      <c r="P670" s="998"/>
      <c r="Q670" s="1302"/>
      <c r="R670" s="1302"/>
      <c r="S670" s="1302"/>
      <c r="T670" s="1302"/>
      <c r="U670" s="1302"/>
      <c r="V670" s="1302"/>
      <c r="W670" s="1302"/>
      <c r="X670" s="1302"/>
      <c r="Y670" s="1302"/>
      <c r="Z670" s="1302"/>
    </row>
    <row r="671" spans="1:26" ht="18.75" hidden="1">
      <c r="A671" s="1326"/>
      <c r="B671" s="1327"/>
      <c r="C671" s="1327"/>
      <c r="D671" s="1327"/>
      <c r="E671" s="1014" t="s">
        <v>283</v>
      </c>
      <c r="F671" s="1014"/>
      <c r="G671" s="1007"/>
      <c r="H671" s="762" t="s">
        <v>66</v>
      </c>
      <c r="I671" s="880">
        <f ca="1">IFERROR(__xludf.DUMMYFUNCTION("IMPORTRANGE(""https://docs.google.com/spreadsheets/d/1QqKyyYR6Q21VydFLVH3TRQUabQu_ym0Zz7PgGX0-kHA/edit?usp=sharing"",""แผน!HZ85"")"),0)</f>
        <v>0</v>
      </c>
      <c r="J671" s="1012">
        <v>0</v>
      </c>
      <c r="K671" s="881">
        <f ca="1">IF(I$671&gt;0,J671*100/I$671,0)</f>
        <v>0</v>
      </c>
      <c r="L671" s="998"/>
      <c r="M671" s="998"/>
      <c r="N671" s="998"/>
      <c r="O671" s="998"/>
      <c r="P671" s="998"/>
      <c r="Q671" s="1302"/>
      <c r="R671" s="1302"/>
      <c r="S671" s="1302"/>
      <c r="T671" s="1302"/>
      <c r="U671" s="1302"/>
      <c r="V671" s="1302"/>
      <c r="W671" s="1302"/>
      <c r="X671" s="1302"/>
      <c r="Y671" s="1302"/>
      <c r="Z671" s="1302"/>
    </row>
    <row r="672" spans="1:26" ht="18.75" hidden="1">
      <c r="A672" s="1326"/>
      <c r="B672" s="1327"/>
      <c r="C672" s="1327"/>
      <c r="D672" s="1327"/>
      <c r="E672" s="1014" t="s">
        <v>284</v>
      </c>
      <c r="F672" s="1014"/>
      <c r="G672" s="1007"/>
      <c r="H672" s="762" t="s">
        <v>46</v>
      </c>
      <c r="I672" s="880"/>
      <c r="J672" s="1012">
        <v>0</v>
      </c>
      <c r="K672" s="881">
        <f t="shared" ref="K672:K675" ca="1" si="281">IF(I$669&gt;0,J672*100/I$669,0)</f>
        <v>0</v>
      </c>
      <c r="L672" s="998"/>
      <c r="M672" s="998"/>
      <c r="N672" s="998"/>
      <c r="O672" s="998"/>
      <c r="P672" s="998"/>
      <c r="Q672" s="1302"/>
      <c r="R672" s="1302"/>
      <c r="S672" s="1302"/>
      <c r="T672" s="1302"/>
      <c r="U672" s="1302"/>
      <c r="V672" s="1302"/>
      <c r="W672" s="1302"/>
      <c r="X672" s="1302"/>
      <c r="Y672" s="1302"/>
      <c r="Z672" s="1302"/>
    </row>
    <row r="673" spans="1:26" ht="18.75" hidden="1">
      <c r="A673" s="1326"/>
      <c r="B673" s="1327"/>
      <c r="C673" s="1327"/>
      <c r="D673" s="1327"/>
      <c r="E673" s="1014" t="s">
        <v>285</v>
      </c>
      <c r="F673" s="1014"/>
      <c r="G673" s="1007"/>
      <c r="H673" s="762" t="s">
        <v>46</v>
      </c>
      <c r="I673" s="880"/>
      <c r="J673" s="1012">
        <v>0</v>
      </c>
      <c r="K673" s="881">
        <f t="shared" ca="1" si="281"/>
        <v>0</v>
      </c>
      <c r="L673" s="998"/>
      <c r="M673" s="998"/>
      <c r="N673" s="998"/>
      <c r="O673" s="998"/>
      <c r="P673" s="998"/>
      <c r="Q673" s="1302"/>
      <c r="R673" s="1302"/>
      <c r="S673" s="1302"/>
      <c r="T673" s="1302"/>
      <c r="U673" s="1302"/>
      <c r="V673" s="1302"/>
      <c r="W673" s="1302"/>
      <c r="X673" s="1302"/>
      <c r="Y673" s="1302"/>
      <c r="Z673" s="1302"/>
    </row>
    <row r="674" spans="1:26" ht="18.75" hidden="1">
      <c r="A674" s="1326"/>
      <c r="B674" s="1327"/>
      <c r="C674" s="1327"/>
      <c r="D674" s="1327"/>
      <c r="E674" s="1014" t="s">
        <v>286</v>
      </c>
      <c r="F674" s="1014"/>
      <c r="G674" s="1007"/>
      <c r="H674" s="762" t="s">
        <v>46</v>
      </c>
      <c r="I674" s="880"/>
      <c r="J674" s="1012">
        <v>0</v>
      </c>
      <c r="K674" s="881">
        <f t="shared" ca="1" si="281"/>
        <v>0</v>
      </c>
      <c r="L674" s="998"/>
      <c r="M674" s="998"/>
      <c r="N674" s="998"/>
      <c r="O674" s="998"/>
      <c r="P674" s="998"/>
      <c r="Q674" s="1302"/>
      <c r="R674" s="1302"/>
      <c r="S674" s="1302"/>
      <c r="T674" s="1302"/>
      <c r="U674" s="1302"/>
      <c r="V674" s="1302"/>
      <c r="W674" s="1302"/>
      <c r="X674" s="1302"/>
      <c r="Y674" s="1302"/>
      <c r="Z674" s="1302"/>
    </row>
    <row r="675" spans="1:26" ht="19.5" hidden="1">
      <c r="A675" s="1326"/>
      <c r="B675" s="1327"/>
      <c r="C675" s="1327"/>
      <c r="D675" s="1327"/>
      <c r="E675" s="1014" t="s">
        <v>287</v>
      </c>
      <c r="F675" s="1014"/>
      <c r="G675" s="1007"/>
      <c r="H675" s="762" t="s">
        <v>46</v>
      </c>
      <c r="I675" s="880"/>
      <c r="J675" s="1019">
        <f>J676+J677</f>
        <v>0</v>
      </c>
      <c r="K675" s="1020">
        <f t="shared" ca="1" si="281"/>
        <v>0</v>
      </c>
      <c r="L675" s="998"/>
      <c r="M675" s="998"/>
      <c r="N675" s="998"/>
      <c r="O675" s="998"/>
      <c r="P675" s="998"/>
      <c r="Q675" s="1302"/>
      <c r="R675" s="1302"/>
      <c r="S675" s="1302"/>
      <c r="T675" s="1302"/>
      <c r="U675" s="1302"/>
      <c r="V675" s="1302"/>
      <c r="W675" s="1302"/>
      <c r="X675" s="1302"/>
      <c r="Y675" s="1302"/>
      <c r="Z675" s="1302"/>
    </row>
    <row r="676" spans="1:26" ht="18.75" hidden="1">
      <c r="A676" s="1326"/>
      <c r="B676" s="1327"/>
      <c r="C676" s="1327"/>
      <c r="D676" s="1327"/>
      <c r="E676" s="1014"/>
      <c r="F676" s="1014" t="s">
        <v>288</v>
      </c>
      <c r="G676" s="1007"/>
      <c r="H676" s="762" t="s">
        <v>46</v>
      </c>
      <c r="I676" s="880"/>
      <c r="J676" s="1012">
        <v>0</v>
      </c>
      <c r="K676" s="881"/>
      <c r="L676" s="998"/>
      <c r="M676" s="998"/>
      <c r="N676" s="998"/>
      <c r="O676" s="998"/>
      <c r="P676" s="998"/>
      <c r="Q676" s="1302"/>
      <c r="R676" s="1302"/>
      <c r="S676" s="1302"/>
      <c r="T676" s="1302"/>
      <c r="U676" s="1302"/>
      <c r="V676" s="1302"/>
      <c r="W676" s="1302"/>
      <c r="X676" s="1302"/>
      <c r="Y676" s="1302"/>
      <c r="Z676" s="1302"/>
    </row>
    <row r="677" spans="1:26" ht="18.75" hidden="1">
      <c r="A677" s="1326"/>
      <c r="B677" s="1327"/>
      <c r="C677" s="1327"/>
      <c r="D677" s="1327"/>
      <c r="E677" s="1014"/>
      <c r="F677" s="1014" t="s">
        <v>289</v>
      </c>
      <c r="G677" s="1007"/>
      <c r="H677" s="762" t="s">
        <v>46</v>
      </c>
      <c r="I677" s="880"/>
      <c r="J677" s="1012">
        <v>0</v>
      </c>
      <c r="K677" s="881"/>
      <c r="L677" s="998"/>
      <c r="M677" s="998"/>
      <c r="N677" s="998"/>
      <c r="O677" s="998"/>
      <c r="P677" s="998"/>
      <c r="Q677" s="1302"/>
      <c r="R677" s="1302"/>
      <c r="S677" s="1302"/>
      <c r="T677" s="1302"/>
      <c r="U677" s="1302"/>
      <c r="V677" s="1302"/>
      <c r="W677" s="1302"/>
      <c r="X677" s="1302"/>
      <c r="Y677" s="1302"/>
      <c r="Z677" s="1302"/>
    </row>
    <row r="678" spans="1:26" ht="19.5" hidden="1">
      <c r="A678" s="1326"/>
      <c r="B678" s="1327"/>
      <c r="C678" s="1327"/>
      <c r="D678" s="1327" t="s">
        <v>290</v>
      </c>
      <c r="E678" s="1014"/>
      <c r="F678" s="1014"/>
      <c r="G678" s="1007"/>
      <c r="H678" s="762" t="s">
        <v>46</v>
      </c>
      <c r="I678" s="1019">
        <f ca="1">IFERROR(__xludf.DUMMYFUNCTION("IMPORTRANGE(""https://docs.google.com/spreadsheets/d/1QqKyyYR6Q21VydFLVH3TRQUabQu_ym0Zz7PgGX0-kHA/edit?usp=sharing"",""แผน!IB85"")"),0)</f>
        <v>0</v>
      </c>
      <c r="J678" s="1019">
        <f>J679</f>
        <v>0</v>
      </c>
      <c r="K678" s="1020">
        <f ca="1">IF(I678&gt;0,J678*100/I678,0)</f>
        <v>0</v>
      </c>
      <c r="L678" s="998"/>
      <c r="M678" s="998"/>
      <c r="N678" s="998"/>
      <c r="O678" s="998"/>
      <c r="P678" s="998"/>
      <c r="Q678" s="1302"/>
      <c r="R678" s="1302"/>
      <c r="S678" s="1302"/>
      <c r="T678" s="1302"/>
      <c r="U678" s="1302"/>
      <c r="V678" s="1302"/>
      <c r="W678" s="1302"/>
      <c r="X678" s="1302"/>
      <c r="Y678" s="1302"/>
      <c r="Z678" s="1302"/>
    </row>
    <row r="679" spans="1:26" ht="18.75" hidden="1">
      <c r="A679" s="1326"/>
      <c r="B679" s="1327"/>
      <c r="C679" s="1327"/>
      <c r="D679" s="1327"/>
      <c r="E679" s="1014" t="s">
        <v>291</v>
      </c>
      <c r="F679" s="1014"/>
      <c r="G679" s="1007"/>
      <c r="H679" s="762" t="s">
        <v>46</v>
      </c>
      <c r="I679" s="880"/>
      <c r="J679" s="880">
        <f>J680+J681</f>
        <v>0</v>
      </c>
      <c r="K679" s="881"/>
      <c r="L679" s="998"/>
      <c r="M679" s="998"/>
      <c r="N679" s="998"/>
      <c r="O679" s="998"/>
      <c r="P679" s="998"/>
      <c r="Q679" s="1302"/>
      <c r="R679" s="1302"/>
      <c r="S679" s="1302"/>
      <c r="T679" s="1302"/>
      <c r="U679" s="1302"/>
      <c r="V679" s="1302"/>
      <c r="W679" s="1302"/>
      <c r="X679" s="1302"/>
      <c r="Y679" s="1302"/>
      <c r="Z679" s="1302"/>
    </row>
    <row r="680" spans="1:26" ht="18.75" hidden="1">
      <c r="A680" s="1326"/>
      <c r="B680" s="1327"/>
      <c r="C680" s="1327"/>
      <c r="D680" s="1327"/>
      <c r="E680" s="1014"/>
      <c r="F680" s="1014" t="s">
        <v>288</v>
      </c>
      <c r="G680" s="1007"/>
      <c r="H680" s="762" t="s">
        <v>46</v>
      </c>
      <c r="I680" s="880"/>
      <c r="J680" s="1012">
        <v>0</v>
      </c>
      <c r="K680" s="881"/>
      <c r="L680" s="998"/>
      <c r="M680" s="998"/>
      <c r="N680" s="998"/>
      <c r="O680" s="998"/>
      <c r="P680" s="998"/>
      <c r="Q680" s="1302"/>
      <c r="R680" s="1302"/>
      <c r="S680" s="1302"/>
      <c r="T680" s="1302"/>
      <c r="U680" s="1302"/>
      <c r="V680" s="1302"/>
      <c r="W680" s="1302"/>
      <c r="X680" s="1302"/>
      <c r="Y680" s="1302"/>
      <c r="Z680" s="1302"/>
    </row>
    <row r="681" spans="1:26" ht="18.75" hidden="1">
      <c r="A681" s="1326"/>
      <c r="B681" s="1327"/>
      <c r="C681" s="1327"/>
      <c r="D681" s="1327"/>
      <c r="E681" s="1014"/>
      <c r="F681" s="1014" t="s">
        <v>289</v>
      </c>
      <c r="G681" s="1007"/>
      <c r="H681" s="762" t="s">
        <v>46</v>
      </c>
      <c r="I681" s="880"/>
      <c r="J681" s="1012">
        <v>0</v>
      </c>
      <c r="K681" s="881"/>
      <c r="L681" s="998"/>
      <c r="M681" s="998"/>
      <c r="N681" s="998"/>
      <c r="O681" s="998"/>
      <c r="P681" s="998"/>
      <c r="Q681" s="1302"/>
      <c r="R681" s="1302"/>
      <c r="S681" s="1302"/>
      <c r="T681" s="1302"/>
      <c r="U681" s="1302"/>
      <c r="V681" s="1302"/>
      <c r="W681" s="1302"/>
      <c r="X681" s="1302"/>
      <c r="Y681" s="1302"/>
      <c r="Z681" s="1302"/>
    </row>
    <row r="682" spans="1:26" ht="18.75" hidden="1">
      <c r="A682" s="1326"/>
      <c r="B682" s="1327"/>
      <c r="C682" s="1327"/>
      <c r="D682" s="1327"/>
      <c r="E682" s="1014" t="s">
        <v>292</v>
      </c>
      <c r="F682" s="1014"/>
      <c r="G682" s="1007"/>
      <c r="H682" s="762" t="s">
        <v>46</v>
      </c>
      <c r="I682" s="880"/>
      <c r="J682" s="1012">
        <v>0</v>
      </c>
      <c r="K682" s="881"/>
      <c r="L682" s="998"/>
      <c r="M682" s="998"/>
      <c r="N682" s="998"/>
      <c r="O682" s="998"/>
      <c r="P682" s="998"/>
      <c r="Q682" s="1302"/>
      <c r="R682" s="1302"/>
      <c r="S682" s="1302"/>
      <c r="T682" s="1302"/>
      <c r="U682" s="1302"/>
      <c r="V682" s="1302"/>
      <c r="W682" s="1302"/>
      <c r="X682" s="1302"/>
      <c r="Y682" s="1302"/>
      <c r="Z682" s="1302"/>
    </row>
    <row r="683" spans="1:26" ht="18.75" hidden="1">
      <c r="A683" s="1326"/>
      <c r="B683" s="1327"/>
      <c r="C683" s="1327"/>
      <c r="D683" s="1327"/>
      <c r="E683" s="1014"/>
      <c r="F683" s="1014" t="s">
        <v>293</v>
      </c>
      <c r="G683" s="1007"/>
      <c r="H683" s="762" t="s">
        <v>46</v>
      </c>
      <c r="I683" s="880"/>
      <c r="J683" s="1012">
        <v>0</v>
      </c>
      <c r="K683" s="881"/>
      <c r="L683" s="998"/>
      <c r="M683" s="998"/>
      <c r="N683" s="998"/>
      <c r="O683" s="998"/>
      <c r="P683" s="998"/>
      <c r="Q683" s="1302"/>
      <c r="R683" s="1302"/>
      <c r="S683" s="1302"/>
      <c r="T683" s="1302"/>
      <c r="U683" s="1302"/>
      <c r="V683" s="1302"/>
      <c r="W683" s="1302"/>
      <c r="X683" s="1302"/>
      <c r="Y683" s="1302"/>
      <c r="Z683" s="1302"/>
    </row>
    <row r="684" spans="1:26" ht="19.5" hidden="1">
      <c r="A684" s="1434"/>
      <c r="B684" s="1435" t="s">
        <v>294</v>
      </c>
      <c r="C684" s="1434"/>
      <c r="D684" s="1434"/>
      <c r="E684" s="1434"/>
      <c r="F684" s="1434"/>
      <c r="G684" s="1436"/>
      <c r="H684" s="1436"/>
      <c r="I684" s="1437"/>
      <c r="J684" s="1437"/>
      <c r="K684" s="1438"/>
      <c r="L684" s="1438"/>
      <c r="M684" s="1438"/>
      <c r="N684" s="1438"/>
      <c r="O684" s="1438"/>
      <c r="P684" s="1438"/>
      <c r="Q684" s="1302"/>
      <c r="R684" s="1302"/>
      <c r="S684" s="1302"/>
      <c r="T684" s="1302"/>
      <c r="U684" s="1302"/>
      <c r="V684" s="1302"/>
      <c r="W684" s="1302"/>
      <c r="X684" s="1302"/>
      <c r="Y684" s="1302"/>
      <c r="Z684" s="1302"/>
    </row>
    <row r="685" spans="1:26" ht="19.5" hidden="1">
      <c r="A685" s="1317"/>
      <c r="B685" s="1301"/>
      <c r="C685" s="1301" t="s">
        <v>16</v>
      </c>
      <c r="D685" s="1318" t="s">
        <v>17</v>
      </c>
      <c r="E685" s="841"/>
      <c r="F685" s="841"/>
      <c r="G685" s="1016"/>
      <c r="H685" s="597" t="s">
        <v>12</v>
      </c>
      <c r="I685" s="880"/>
      <c r="J685" s="880"/>
      <c r="K685" s="881"/>
      <c r="L685" s="1020">
        <f t="shared" ref="L685:N685" ca="1" si="282">L686+L687</f>
        <v>0</v>
      </c>
      <c r="M685" s="1020">
        <f t="shared" si="282"/>
        <v>0</v>
      </c>
      <c r="N685" s="1020">
        <f t="shared" si="282"/>
        <v>0</v>
      </c>
      <c r="O685" s="1020">
        <f t="shared" ref="O685:O688" ca="1" si="283">IF(L685&gt;0,N685*100/L685,0)</f>
        <v>0</v>
      </c>
      <c r="P685" s="1020">
        <f t="shared" ref="P685:P688" si="284">IF(M685&gt;0,N685*100/M685,0)</f>
        <v>0</v>
      </c>
      <c r="Q685" s="1302"/>
      <c r="R685" s="1302"/>
      <c r="S685" s="1302"/>
      <c r="T685" s="1302"/>
      <c r="U685" s="1302"/>
      <c r="V685" s="1302"/>
      <c r="W685" s="1302"/>
      <c r="X685" s="1302"/>
      <c r="Y685" s="1302"/>
      <c r="Z685" s="1302"/>
    </row>
    <row r="686" spans="1:26" ht="18.75" hidden="1">
      <c r="A686" s="1319"/>
      <c r="B686" s="1320"/>
      <c r="C686" s="1320"/>
      <c r="D686" s="1321"/>
      <c r="E686" s="1320" t="s">
        <v>185</v>
      </c>
      <c r="F686" s="1320"/>
      <c r="G686" s="1322"/>
      <c r="H686" s="165" t="s">
        <v>12</v>
      </c>
      <c r="I686" s="886"/>
      <c r="J686" s="886"/>
      <c r="K686" s="887"/>
      <c r="L686" s="887">
        <f t="shared" ref="L686:N687" si="285">L689+L696</f>
        <v>0</v>
      </c>
      <c r="M686" s="887">
        <f t="shared" si="285"/>
        <v>0</v>
      </c>
      <c r="N686" s="887">
        <f t="shared" si="285"/>
        <v>0</v>
      </c>
      <c r="O686" s="887">
        <f t="shared" si="283"/>
        <v>0</v>
      </c>
      <c r="P686" s="887">
        <f t="shared" si="284"/>
        <v>0</v>
      </c>
      <c r="Q686" s="1323"/>
      <c r="R686" s="1323"/>
      <c r="S686" s="1323"/>
      <c r="T686" s="1323"/>
      <c r="U686" s="1323"/>
      <c r="V686" s="1323"/>
      <c r="W686" s="1323"/>
      <c r="X686" s="1323"/>
      <c r="Y686" s="1323"/>
      <c r="Z686" s="1323"/>
    </row>
    <row r="687" spans="1:26" ht="18.75" hidden="1">
      <c r="A687" s="1319"/>
      <c r="B687" s="1324"/>
      <c r="C687" s="1320"/>
      <c r="D687" s="1321"/>
      <c r="E687" s="1320" t="s">
        <v>186</v>
      </c>
      <c r="F687" s="1320"/>
      <c r="G687" s="1322"/>
      <c r="H687" s="165" t="s">
        <v>12</v>
      </c>
      <c r="I687" s="886"/>
      <c r="J687" s="886"/>
      <c r="K687" s="887"/>
      <c r="L687" s="887">
        <f t="shared" ca="1" si="285"/>
        <v>0</v>
      </c>
      <c r="M687" s="887">
        <f t="shared" si="285"/>
        <v>0</v>
      </c>
      <c r="N687" s="887">
        <f t="shared" si="285"/>
        <v>0</v>
      </c>
      <c r="O687" s="887">
        <f t="shared" ca="1" si="283"/>
        <v>0</v>
      </c>
      <c r="P687" s="887">
        <f t="shared" si="284"/>
        <v>0</v>
      </c>
      <c r="Q687" s="1323"/>
      <c r="R687" s="1323"/>
      <c r="S687" s="1323"/>
      <c r="T687" s="1323"/>
      <c r="U687" s="1323"/>
      <c r="V687" s="1323"/>
      <c r="W687" s="1323"/>
      <c r="X687" s="1323"/>
      <c r="Y687" s="1323"/>
      <c r="Z687" s="1323"/>
    </row>
    <row r="688" spans="1:26" ht="18.75" hidden="1">
      <c r="A688" s="1317"/>
      <c r="B688" s="1300"/>
      <c r="C688" s="1301"/>
      <c r="D688" s="1325" t="s">
        <v>20</v>
      </c>
      <c r="E688" s="1301"/>
      <c r="F688" s="1301"/>
      <c r="G688" s="1016"/>
      <c r="H688" s="161" t="s">
        <v>12</v>
      </c>
      <c r="I688" s="997"/>
      <c r="J688" s="997"/>
      <c r="K688" s="998"/>
      <c r="L688" s="881">
        <f t="shared" ref="L688:N688" ca="1" si="286">L689+L690</f>
        <v>0</v>
      </c>
      <c r="M688" s="881">
        <f t="shared" si="286"/>
        <v>0</v>
      </c>
      <c r="N688" s="881">
        <f t="shared" si="286"/>
        <v>0</v>
      </c>
      <c r="O688" s="881">
        <f t="shared" ca="1" si="283"/>
        <v>0</v>
      </c>
      <c r="P688" s="881">
        <f t="shared" si="284"/>
        <v>0</v>
      </c>
      <c r="Q688" s="1302"/>
      <c r="R688" s="1302"/>
      <c r="S688" s="1302"/>
      <c r="T688" s="1302"/>
      <c r="U688" s="1302"/>
      <c r="V688" s="1302"/>
      <c r="W688" s="1302"/>
      <c r="X688" s="1302"/>
      <c r="Y688" s="1302"/>
      <c r="Z688" s="1302"/>
    </row>
    <row r="689" spans="1:26" ht="18.75" hidden="1">
      <c r="A689" s="1319"/>
      <c r="B689" s="1324"/>
      <c r="C689" s="1320"/>
      <c r="D689" s="1321"/>
      <c r="E689" s="1320" t="s">
        <v>185</v>
      </c>
      <c r="F689" s="1320"/>
      <c r="G689" s="1322"/>
      <c r="H689" s="165" t="s">
        <v>12</v>
      </c>
      <c r="I689" s="886"/>
      <c r="J689" s="886"/>
      <c r="K689" s="887"/>
      <c r="L689" s="887">
        <v>0</v>
      </c>
      <c r="M689" s="887">
        <v>0</v>
      </c>
      <c r="N689" s="887">
        <v>0</v>
      </c>
      <c r="O689" s="887"/>
      <c r="P689" s="887"/>
      <c r="Q689" s="1323"/>
      <c r="R689" s="1323"/>
      <c r="S689" s="1323"/>
      <c r="T689" s="1323"/>
      <c r="U689" s="1323"/>
      <c r="V689" s="1323"/>
      <c r="W689" s="1323"/>
      <c r="X689" s="1323"/>
      <c r="Y689" s="1323"/>
      <c r="Z689" s="1323"/>
    </row>
    <row r="690" spans="1:26" ht="18.75" hidden="1">
      <c r="A690" s="1319"/>
      <c r="B690" s="1324"/>
      <c r="C690" s="1320"/>
      <c r="D690" s="1321"/>
      <c r="E690" s="1320" t="s">
        <v>186</v>
      </c>
      <c r="F690" s="1320"/>
      <c r="G690" s="1322"/>
      <c r="H690" s="165" t="s">
        <v>12</v>
      </c>
      <c r="I690" s="886"/>
      <c r="J690" s="886"/>
      <c r="K690" s="887"/>
      <c r="L690" s="887">
        <f ca="1">IFERROR(__xludf.DUMMYFUNCTION("IMPORTRANGE(""https://docs.google.com/spreadsheets/d/1QqKyyYR6Q21VydFLVH3TRQUabQu_ym0Zz7PgGX0-kHA/edit?usp=sharing"",""แผน!HW85"")"),0)</f>
        <v>0</v>
      </c>
      <c r="M690" s="887">
        <v>0</v>
      </c>
      <c r="N690" s="887">
        <f>N691+N692+N693+N694</f>
        <v>0</v>
      </c>
      <c r="O690" s="887">
        <f ca="1">IF(L690&gt;0,N690*100/L690,0)</f>
        <v>0</v>
      </c>
      <c r="P690" s="887">
        <f>IF(M690&gt;0,N690*100/M690,0)</f>
        <v>0</v>
      </c>
      <c r="Q690" s="1323"/>
      <c r="R690" s="1323"/>
      <c r="S690" s="1323"/>
      <c r="T690" s="1323"/>
      <c r="U690" s="1323"/>
      <c r="V690" s="1323"/>
      <c r="W690" s="1323"/>
      <c r="X690" s="1323"/>
      <c r="Y690" s="1323"/>
      <c r="Z690" s="1323"/>
    </row>
    <row r="691" spans="1:26" ht="18.75" hidden="1">
      <c r="A691" s="1299"/>
      <c r="B691" s="1300"/>
      <c r="C691" s="1301"/>
      <c r="D691" s="1301"/>
      <c r="E691" s="1301"/>
      <c r="F691" s="1301" t="s">
        <v>187</v>
      </c>
      <c r="G691" s="1016"/>
      <c r="H691" s="161" t="s">
        <v>12</v>
      </c>
      <c r="I691" s="880"/>
      <c r="J691" s="880"/>
      <c r="K691" s="881"/>
      <c r="L691" s="881"/>
      <c r="M691" s="881"/>
      <c r="N691" s="1085">
        <v>0</v>
      </c>
      <c r="O691" s="881"/>
      <c r="P691" s="881"/>
      <c r="Q691" s="1302"/>
      <c r="R691" s="1302"/>
      <c r="S691" s="1302"/>
      <c r="T691" s="1302"/>
      <c r="U691" s="1302"/>
      <c r="V691" s="1302"/>
      <c r="W691" s="1302"/>
      <c r="X691" s="1302"/>
      <c r="Y691" s="1302"/>
      <c r="Z691" s="1302"/>
    </row>
    <row r="692" spans="1:26" ht="18.75" hidden="1">
      <c r="A692" s="1299"/>
      <c r="B692" s="1300"/>
      <c r="C692" s="1301"/>
      <c r="D692" s="1301"/>
      <c r="E692" s="1301"/>
      <c r="F692" s="1301" t="s">
        <v>188</v>
      </c>
      <c r="G692" s="1016"/>
      <c r="H692" s="161" t="s">
        <v>12</v>
      </c>
      <c r="I692" s="880"/>
      <c r="J692" s="880"/>
      <c r="K692" s="881"/>
      <c r="L692" s="881"/>
      <c r="M692" s="881"/>
      <c r="N692" s="1085">
        <v>0</v>
      </c>
      <c r="O692" s="881"/>
      <c r="P692" s="881"/>
      <c r="Q692" s="1302"/>
      <c r="R692" s="1302"/>
      <c r="S692" s="1302"/>
      <c r="T692" s="1302"/>
      <c r="U692" s="1302"/>
      <c r="V692" s="1302"/>
      <c r="W692" s="1302"/>
      <c r="X692" s="1302"/>
      <c r="Y692" s="1302"/>
      <c r="Z692" s="1302"/>
    </row>
    <row r="693" spans="1:26" ht="18.75" hidden="1">
      <c r="A693" s="1299"/>
      <c r="B693" s="1300"/>
      <c r="C693" s="1301"/>
      <c r="D693" s="1301"/>
      <c r="E693" s="1301"/>
      <c r="F693" s="1301" t="s">
        <v>189</v>
      </c>
      <c r="G693" s="1016"/>
      <c r="H693" s="161" t="s">
        <v>12</v>
      </c>
      <c r="I693" s="880"/>
      <c r="J693" s="880"/>
      <c r="K693" s="881"/>
      <c r="L693" s="881"/>
      <c r="M693" s="881"/>
      <c r="N693" s="1085">
        <v>0</v>
      </c>
      <c r="O693" s="881"/>
      <c r="P693" s="881"/>
      <c r="Q693" s="1302"/>
      <c r="R693" s="1302"/>
      <c r="S693" s="1302"/>
      <c r="T693" s="1302"/>
      <c r="U693" s="1302"/>
      <c r="V693" s="1302"/>
      <c r="W693" s="1302"/>
      <c r="X693" s="1302"/>
      <c r="Y693" s="1302"/>
      <c r="Z693" s="1302"/>
    </row>
    <row r="694" spans="1:26" ht="18.75" hidden="1">
      <c r="A694" s="1299"/>
      <c r="B694" s="1300"/>
      <c r="C694" s="1301"/>
      <c r="D694" s="1301"/>
      <c r="E694" s="1301"/>
      <c r="F694" s="1301" t="s">
        <v>190</v>
      </c>
      <c r="G694" s="1016"/>
      <c r="H694" s="161" t="s">
        <v>12</v>
      </c>
      <c r="I694" s="880"/>
      <c r="J694" s="880"/>
      <c r="K694" s="881"/>
      <c r="L694" s="881"/>
      <c r="M694" s="881"/>
      <c r="N694" s="1085">
        <v>0</v>
      </c>
      <c r="O694" s="881"/>
      <c r="P694" s="881"/>
      <c r="Q694" s="1302"/>
      <c r="R694" s="1302"/>
      <c r="S694" s="1302"/>
      <c r="T694" s="1302"/>
      <c r="U694" s="1302"/>
      <c r="V694" s="1302"/>
      <c r="W694" s="1302"/>
      <c r="X694" s="1302"/>
      <c r="Y694" s="1302"/>
      <c r="Z694" s="1302"/>
    </row>
    <row r="695" spans="1:26" ht="18.75" hidden="1">
      <c r="A695" s="1317"/>
      <c r="B695" s="1300"/>
      <c r="C695" s="1301"/>
      <c r="D695" s="1325" t="s">
        <v>21</v>
      </c>
      <c r="E695" s="1301"/>
      <c r="F695" s="1301"/>
      <c r="G695" s="1016"/>
      <c r="H695" s="168" t="s">
        <v>12</v>
      </c>
      <c r="I695" s="997"/>
      <c r="J695" s="997"/>
      <c r="K695" s="998"/>
      <c r="L695" s="881">
        <f t="shared" ref="L695:N695" si="287">L696+L697</f>
        <v>0</v>
      </c>
      <c r="M695" s="881">
        <f t="shared" si="287"/>
        <v>0</v>
      </c>
      <c r="N695" s="881">
        <f t="shared" si="287"/>
        <v>0</v>
      </c>
      <c r="O695" s="881">
        <f t="shared" ref="O695:O697" si="288">IF(L695&gt;0,N695*100/L695,0)</f>
        <v>0</v>
      </c>
      <c r="P695" s="881">
        <f t="shared" ref="P695:P697" si="289">IF(M695&gt;0,N695*100/M695,0)</f>
        <v>0</v>
      </c>
      <c r="Q695" s="1302"/>
      <c r="R695" s="1302"/>
      <c r="S695" s="1302"/>
      <c r="T695" s="1302"/>
      <c r="U695" s="1302"/>
      <c r="V695" s="1302"/>
      <c r="W695" s="1302"/>
      <c r="X695" s="1302"/>
      <c r="Y695" s="1302"/>
      <c r="Z695" s="1302"/>
    </row>
    <row r="696" spans="1:26" ht="18.75" hidden="1">
      <c r="A696" s="1319"/>
      <c r="B696" s="1324"/>
      <c r="C696" s="1320"/>
      <c r="D696" s="1320"/>
      <c r="E696" s="1320" t="s">
        <v>18</v>
      </c>
      <c r="F696" s="1320"/>
      <c r="G696" s="1322"/>
      <c r="H696" s="165" t="s">
        <v>12</v>
      </c>
      <c r="I696" s="1000"/>
      <c r="J696" s="1000"/>
      <c r="K696" s="1001"/>
      <c r="L696" s="887">
        <v>0</v>
      </c>
      <c r="M696" s="887">
        <v>0</v>
      </c>
      <c r="N696" s="887">
        <v>0</v>
      </c>
      <c r="O696" s="887">
        <f t="shared" si="288"/>
        <v>0</v>
      </c>
      <c r="P696" s="887">
        <f t="shared" si="289"/>
        <v>0</v>
      </c>
      <c r="Q696" s="1323"/>
      <c r="R696" s="1323"/>
      <c r="S696" s="1323"/>
      <c r="T696" s="1323"/>
      <c r="U696" s="1323"/>
      <c r="V696" s="1323"/>
      <c r="W696" s="1323"/>
      <c r="X696" s="1323"/>
      <c r="Y696" s="1323"/>
      <c r="Z696" s="1323"/>
    </row>
    <row r="697" spans="1:26" ht="18.75" hidden="1">
      <c r="A697" s="1319"/>
      <c r="B697" s="1324"/>
      <c r="C697" s="1320"/>
      <c r="D697" s="1320"/>
      <c r="E697" s="1320" t="s">
        <v>19</v>
      </c>
      <c r="F697" s="1320"/>
      <c r="G697" s="1322"/>
      <c r="H697" s="169" t="s">
        <v>12</v>
      </c>
      <c r="I697" s="1000"/>
      <c r="J697" s="1000"/>
      <c r="K697" s="1001"/>
      <c r="L697" s="887">
        <v>0</v>
      </c>
      <c r="M697" s="887">
        <v>0</v>
      </c>
      <c r="N697" s="887">
        <v>0</v>
      </c>
      <c r="O697" s="887">
        <f t="shared" si="288"/>
        <v>0</v>
      </c>
      <c r="P697" s="887">
        <f t="shared" si="289"/>
        <v>0</v>
      </c>
      <c r="Q697" s="1323"/>
      <c r="R697" s="1323"/>
      <c r="S697" s="1323"/>
      <c r="T697" s="1323"/>
      <c r="U697" s="1323"/>
      <c r="V697" s="1323"/>
      <c r="W697" s="1323"/>
      <c r="X697" s="1323"/>
      <c r="Y697" s="1323"/>
      <c r="Z697" s="1323"/>
    </row>
    <row r="698" spans="1:26" ht="19.5" hidden="1">
      <c r="A698" s="1326"/>
      <c r="B698" s="1327"/>
      <c r="C698" s="1301" t="s">
        <v>16</v>
      </c>
      <c r="D698" s="1439" t="s">
        <v>38</v>
      </c>
      <c r="E698" s="1330"/>
      <c r="F698" s="1330"/>
      <c r="G698" s="1331"/>
      <c r="H698" s="1007"/>
      <c r="I698" s="997"/>
      <c r="J698" s="997"/>
      <c r="K698" s="998"/>
      <c r="L698" s="998"/>
      <c r="M698" s="998"/>
      <c r="N698" s="998"/>
      <c r="O698" s="998"/>
      <c r="P698" s="998"/>
      <c r="Q698" s="1302"/>
      <c r="R698" s="1302"/>
      <c r="S698" s="1302"/>
      <c r="T698" s="1302"/>
      <c r="U698" s="1302"/>
      <c r="V698" s="1302"/>
      <c r="W698" s="1302"/>
      <c r="X698" s="1302"/>
      <c r="Y698" s="1302"/>
      <c r="Z698" s="1302"/>
    </row>
    <row r="699" spans="1:26" ht="18.75" hidden="1">
      <c r="A699" s="1429"/>
      <c r="B699" s="1301"/>
      <c r="C699" s="1301"/>
      <c r="D699" s="1301" t="s">
        <v>295</v>
      </c>
      <c r="E699" s="1301"/>
      <c r="F699" s="1301"/>
      <c r="G699" s="1016"/>
      <c r="H699" s="762" t="s">
        <v>46</v>
      </c>
      <c r="I699" s="1440">
        <f ca="1">IFERROR(__xludf.DUMMYFUNCTION("IMPORTRANGE(""https://docs.google.com/spreadsheets/d/1QqKyyYR6Q21VydFLVH3TRQUabQu_ym0Zz7PgGX0-kHA/edit?usp=sharing"",""แผน!IC85"")"),0)</f>
        <v>0</v>
      </c>
      <c r="J699" s="880">
        <f ca="1">IFERROR(__xludf.DUMMYFUNCTION("IMPORTRANGE(""https://docs.google.com/spreadsheets/d/1XWAQStnk-4SwqDmLtmXYiTMKHgktTP8We1SCoS47DrQ/edit?usp=sharing"",""จัดที่ดิน!BB85"")"),0)</f>
        <v>0</v>
      </c>
      <c r="K699" s="881">
        <f t="shared" ref="K699:K701" ca="1" si="290">IF(I699&gt;0,J699*100/I699,0)</f>
        <v>0</v>
      </c>
      <c r="L699" s="881"/>
      <c r="M699" s="1016"/>
      <c r="N699" s="1441"/>
      <c r="O699" s="881"/>
      <c r="P699" s="881"/>
      <c r="Q699" s="1302"/>
      <c r="R699" s="1302"/>
      <c r="S699" s="1302"/>
      <c r="T699" s="1302"/>
      <c r="U699" s="1302"/>
      <c r="V699" s="1302"/>
      <c r="W699" s="1302"/>
      <c r="X699" s="1302"/>
      <c r="Y699" s="1302"/>
      <c r="Z699" s="1302"/>
    </row>
    <row r="700" spans="1:26" ht="18.75" hidden="1">
      <c r="A700" s="1429"/>
      <c r="B700" s="1301"/>
      <c r="C700" s="1301"/>
      <c r="D700" s="1301" t="s">
        <v>296</v>
      </c>
      <c r="E700" s="1301"/>
      <c r="F700" s="1301"/>
      <c r="G700" s="1016"/>
      <c r="H700" s="762" t="s">
        <v>35</v>
      </c>
      <c r="I700" s="1440">
        <f ca="1">IFERROR(__xludf.DUMMYFUNCTION("IMPORTRANGE(""https://docs.google.com/spreadsheets/d/1QqKyyYR6Q21VydFLVH3TRQUabQu_ym0Zz7PgGX0-kHA/edit?usp=sharing"",""แผน!ID85"")"),0)</f>
        <v>0</v>
      </c>
      <c r="J700" s="880">
        <f ca="1">IFERROR(__xludf.DUMMYFUNCTION("IMPORTRANGE(""https://docs.google.com/spreadsheets/d/1XWAQStnk-4SwqDmLtmXYiTMKHgktTP8We1SCoS47DrQ/edit?usp=sharing"",""จัดที่ดิน!BD85"")"),0)</f>
        <v>0</v>
      </c>
      <c r="K700" s="881">
        <f t="shared" ca="1" si="290"/>
        <v>0</v>
      </c>
      <c r="L700" s="881"/>
      <c r="M700" s="1016"/>
      <c r="N700" s="1441"/>
      <c r="O700" s="881"/>
      <c r="P700" s="881"/>
      <c r="Q700" s="1302"/>
      <c r="R700" s="1302"/>
      <c r="S700" s="1302"/>
      <c r="T700" s="1302"/>
      <c r="U700" s="1302"/>
      <c r="V700" s="1302"/>
      <c r="W700" s="1302"/>
      <c r="X700" s="1302"/>
      <c r="Y700" s="1302"/>
      <c r="Z700" s="1302"/>
    </row>
    <row r="701" spans="1:26" ht="19.5" hidden="1">
      <c r="A701" s="1429"/>
      <c r="B701" s="1301"/>
      <c r="C701" s="1301"/>
      <c r="D701" s="1301" t="s">
        <v>297</v>
      </c>
      <c r="E701" s="1301"/>
      <c r="F701" s="1301"/>
      <c r="G701" s="1016"/>
      <c r="H701" s="765" t="s">
        <v>46</v>
      </c>
      <c r="I701" s="1442">
        <f ca="1">IFERROR(__xludf.DUMMYFUNCTION("IMPORTRANGE(""https://docs.google.com/spreadsheets/d/1QqKyyYR6Q21VydFLVH3TRQUabQu_ym0Zz7PgGX0-kHA/edit?usp=sharing"",""แผน!IE85"")"),0)</f>
        <v>0</v>
      </c>
      <c r="J701" s="1019">
        <f>J704+J707</f>
        <v>0</v>
      </c>
      <c r="K701" s="1020">
        <f t="shared" ca="1" si="290"/>
        <v>0</v>
      </c>
      <c r="L701" s="881"/>
      <c r="M701" s="1016"/>
      <c r="N701" s="1441"/>
      <c r="O701" s="881"/>
      <c r="P701" s="881"/>
      <c r="Q701" s="1302"/>
      <c r="R701" s="1302"/>
      <c r="S701" s="1302"/>
      <c r="T701" s="1302"/>
      <c r="U701" s="1302"/>
      <c r="V701" s="1302"/>
      <c r="W701" s="1302"/>
      <c r="X701" s="1302"/>
      <c r="Y701" s="1302"/>
      <c r="Z701" s="1302"/>
    </row>
    <row r="702" spans="1:26" ht="18.75" hidden="1">
      <c r="A702" s="1429"/>
      <c r="B702" s="1301"/>
      <c r="C702" s="1301"/>
      <c r="D702" s="1301"/>
      <c r="E702" s="1301" t="s">
        <v>298</v>
      </c>
      <c r="F702" s="1301"/>
      <c r="G702" s="1016"/>
      <c r="H702" s="762" t="s">
        <v>35</v>
      </c>
      <c r="I702" s="1440"/>
      <c r="J702" s="1012">
        <v>0</v>
      </c>
      <c r="K702" s="881"/>
      <c r="L702" s="881"/>
      <c r="M702" s="1016"/>
      <c r="N702" s="1441"/>
      <c r="O702" s="881"/>
      <c r="P702" s="881"/>
      <c r="Q702" s="1302"/>
      <c r="R702" s="1302"/>
      <c r="S702" s="1302"/>
      <c r="T702" s="1302"/>
      <c r="U702" s="1302"/>
      <c r="V702" s="1302"/>
      <c r="W702" s="1302"/>
      <c r="X702" s="1302"/>
      <c r="Y702" s="1302"/>
      <c r="Z702" s="1302"/>
    </row>
    <row r="703" spans="1:26" ht="18.75" hidden="1">
      <c r="A703" s="1429"/>
      <c r="B703" s="1301"/>
      <c r="C703" s="1301"/>
      <c r="D703" s="1301"/>
      <c r="E703" s="1301"/>
      <c r="F703" s="1301"/>
      <c r="G703" s="1016"/>
      <c r="H703" s="762" t="s">
        <v>34</v>
      </c>
      <c r="I703" s="1440"/>
      <c r="J703" s="1012">
        <v>0</v>
      </c>
      <c r="K703" s="881"/>
      <c r="L703" s="881"/>
      <c r="M703" s="1016"/>
      <c r="N703" s="1441"/>
      <c r="O703" s="881"/>
      <c r="P703" s="881"/>
      <c r="Q703" s="1302"/>
      <c r="R703" s="1302"/>
      <c r="S703" s="1302"/>
      <c r="T703" s="1302"/>
      <c r="U703" s="1302"/>
      <c r="V703" s="1302"/>
      <c r="W703" s="1302"/>
      <c r="X703" s="1302"/>
      <c r="Y703" s="1302"/>
      <c r="Z703" s="1302"/>
    </row>
    <row r="704" spans="1:26" ht="18.75" hidden="1">
      <c r="A704" s="1429"/>
      <c r="B704" s="1301"/>
      <c r="C704" s="1301"/>
      <c r="D704" s="1301"/>
      <c r="E704" s="1301"/>
      <c r="F704" s="1301"/>
      <c r="G704" s="1016"/>
      <c r="H704" s="762" t="s">
        <v>46</v>
      </c>
      <c r="I704" s="1440">
        <f ca="1">IFERROR(__xludf.DUMMYFUNCTION("IMPORTRANGE(""https://docs.google.com/spreadsheets/d/1QqKyyYR6Q21VydFLVH3TRQUabQu_ym0Zz7PgGX0-kHA/edit?usp=sharing"",""แผน!IF85"")"),0)</f>
        <v>0</v>
      </c>
      <c r="J704" s="1012">
        <v>0</v>
      </c>
      <c r="K704" s="881"/>
      <c r="L704" s="881"/>
      <c r="M704" s="1016"/>
      <c r="N704" s="1441"/>
      <c r="O704" s="881"/>
      <c r="P704" s="881"/>
      <c r="Q704" s="1302"/>
      <c r="R704" s="1302"/>
      <c r="S704" s="1302"/>
      <c r="T704" s="1302"/>
      <c r="U704" s="1302"/>
      <c r="V704" s="1302"/>
      <c r="W704" s="1302"/>
      <c r="X704" s="1302"/>
      <c r="Y704" s="1302"/>
      <c r="Z704" s="1302"/>
    </row>
    <row r="705" spans="1:26" ht="18.75" hidden="1">
      <c r="A705" s="1429"/>
      <c r="B705" s="1301"/>
      <c r="C705" s="1301"/>
      <c r="D705" s="1301"/>
      <c r="E705" s="1301" t="s">
        <v>299</v>
      </c>
      <c r="F705" s="1301"/>
      <c r="G705" s="1016"/>
      <c r="H705" s="762" t="s">
        <v>35</v>
      </c>
      <c r="I705" s="1440"/>
      <c r="J705" s="1012">
        <v>0</v>
      </c>
      <c r="K705" s="881"/>
      <c r="L705" s="881"/>
      <c r="M705" s="1016"/>
      <c r="N705" s="1441"/>
      <c r="O705" s="881"/>
      <c r="P705" s="881"/>
      <c r="Q705" s="1302"/>
      <c r="R705" s="1302"/>
      <c r="S705" s="1302"/>
      <c r="T705" s="1302"/>
      <c r="U705" s="1302"/>
      <c r="V705" s="1302"/>
      <c r="W705" s="1302"/>
      <c r="X705" s="1302"/>
      <c r="Y705" s="1302"/>
      <c r="Z705" s="1302"/>
    </row>
    <row r="706" spans="1:26" ht="18.75" hidden="1">
      <c r="A706" s="1429"/>
      <c r="B706" s="1301"/>
      <c r="C706" s="1301"/>
      <c r="D706" s="1301"/>
      <c r="E706" s="1301"/>
      <c r="F706" s="1301"/>
      <c r="G706" s="1016"/>
      <c r="H706" s="762" t="s">
        <v>34</v>
      </c>
      <c r="I706" s="1440"/>
      <c r="J706" s="1012">
        <v>0</v>
      </c>
      <c r="K706" s="881"/>
      <c r="L706" s="881"/>
      <c r="M706" s="1016"/>
      <c r="N706" s="1441"/>
      <c r="O706" s="881"/>
      <c r="P706" s="881"/>
      <c r="Q706" s="1302"/>
      <c r="R706" s="1302"/>
      <c r="S706" s="1302"/>
      <c r="T706" s="1302"/>
      <c r="U706" s="1302"/>
      <c r="V706" s="1302"/>
      <c r="W706" s="1302"/>
      <c r="X706" s="1302"/>
      <c r="Y706" s="1302"/>
      <c r="Z706" s="1302"/>
    </row>
    <row r="707" spans="1:26" ht="18.75" hidden="1">
      <c r="A707" s="1429"/>
      <c r="B707" s="1301"/>
      <c r="C707" s="1301"/>
      <c r="D707" s="1301"/>
      <c r="E707" s="1301"/>
      <c r="F707" s="1301"/>
      <c r="G707" s="1016"/>
      <c r="H707" s="762" t="s">
        <v>46</v>
      </c>
      <c r="I707" s="1440">
        <f ca="1">IFERROR(__xludf.DUMMYFUNCTION("IMPORTRANGE(""https://docs.google.com/spreadsheets/d/1QqKyyYR6Q21VydFLVH3TRQUabQu_ym0Zz7PgGX0-kHA/edit?usp=sharing"",""แผน!IG85"")"),0)</f>
        <v>0</v>
      </c>
      <c r="J707" s="1012">
        <v>0</v>
      </c>
      <c r="K707" s="881"/>
      <c r="L707" s="881"/>
      <c r="M707" s="1016"/>
      <c r="N707" s="1441"/>
      <c r="O707" s="881"/>
      <c r="P707" s="881"/>
      <c r="Q707" s="1302"/>
      <c r="R707" s="1302"/>
      <c r="S707" s="1302"/>
      <c r="T707" s="1302"/>
      <c r="U707" s="1302"/>
      <c r="V707" s="1302"/>
      <c r="W707" s="1302"/>
      <c r="X707" s="1302"/>
      <c r="Y707" s="1302"/>
      <c r="Z707" s="1302"/>
    </row>
    <row r="708" spans="1:26" ht="19.5" hidden="1">
      <c r="A708" s="1429"/>
      <c r="B708" s="1301"/>
      <c r="C708" s="1301"/>
      <c r="D708" s="1382" t="s">
        <v>300</v>
      </c>
      <c r="E708" s="1301"/>
      <c r="F708" s="1301"/>
      <c r="G708" s="1016"/>
      <c r="H708" s="765" t="s">
        <v>46</v>
      </c>
      <c r="I708" s="1442">
        <f ca="1">IFERROR(__xludf.DUMMYFUNCTION("IMPORTRANGE(""https://docs.google.com/spreadsheets/d/1QqKyyYR6Q21VydFLVH3TRQUabQu_ym0Zz7PgGX0-kHA/edit?usp=sharing"",""แผน!IH85"")"),0)</f>
        <v>0</v>
      </c>
      <c r="J708" s="1019">
        <f>J714+J717</f>
        <v>0</v>
      </c>
      <c r="K708" s="1020">
        <f ca="1">IF(I708&gt;0,J708*100/I708,0)</f>
        <v>0</v>
      </c>
      <c r="L708" s="881"/>
      <c r="M708" s="1016"/>
      <c r="N708" s="1441"/>
      <c r="O708" s="881"/>
      <c r="P708" s="881"/>
      <c r="Q708" s="1302"/>
      <c r="R708" s="1302"/>
      <c r="S708" s="1302"/>
      <c r="T708" s="1302"/>
      <c r="U708" s="1302"/>
      <c r="V708" s="1302"/>
      <c r="W708" s="1302"/>
      <c r="X708" s="1302"/>
      <c r="Y708" s="1302"/>
      <c r="Z708" s="1302"/>
    </row>
    <row r="709" spans="1:26" ht="18.75" hidden="1">
      <c r="A709" s="1429"/>
      <c r="B709" s="1301"/>
      <c r="C709" s="1301"/>
      <c r="D709" s="1301"/>
      <c r="E709" s="1301" t="s">
        <v>301</v>
      </c>
      <c r="F709" s="1301"/>
      <c r="G709" s="1016"/>
      <c r="H709" s="762" t="s">
        <v>34</v>
      </c>
      <c r="I709" s="1440"/>
      <c r="J709" s="1012">
        <v>0</v>
      </c>
      <c r="K709" s="881"/>
      <c r="L709" s="1441"/>
      <c r="M709" s="1016"/>
      <c r="N709" s="1441"/>
      <c r="O709" s="881"/>
      <c r="P709" s="881"/>
      <c r="Q709" s="1302"/>
      <c r="R709" s="1302"/>
      <c r="S709" s="1302"/>
      <c r="T709" s="1302"/>
      <c r="U709" s="1302"/>
      <c r="V709" s="1302"/>
      <c r="W709" s="1302"/>
      <c r="X709" s="1302"/>
      <c r="Y709" s="1302"/>
      <c r="Z709" s="1302"/>
    </row>
    <row r="710" spans="1:26" ht="18.75" hidden="1">
      <c r="A710" s="1429"/>
      <c r="B710" s="1301"/>
      <c r="C710" s="1301"/>
      <c r="D710" s="1301"/>
      <c r="E710" s="1301"/>
      <c r="F710" s="1301"/>
      <c r="G710" s="1016"/>
      <c r="H710" s="762" t="s">
        <v>46</v>
      </c>
      <c r="I710" s="1440"/>
      <c r="J710" s="1012">
        <v>0</v>
      </c>
      <c r="K710" s="881"/>
      <c r="L710" s="1441"/>
      <c r="M710" s="1016"/>
      <c r="N710" s="1441"/>
      <c r="O710" s="881"/>
      <c r="P710" s="881"/>
      <c r="Q710" s="1302"/>
      <c r="R710" s="1302"/>
      <c r="S710" s="1302"/>
      <c r="T710" s="1302"/>
      <c r="U710" s="1302"/>
      <c r="V710" s="1302"/>
      <c r="W710" s="1302"/>
      <c r="X710" s="1302"/>
      <c r="Y710" s="1302"/>
      <c r="Z710" s="1302"/>
    </row>
    <row r="711" spans="1:26" ht="18.75" hidden="1">
      <c r="A711" s="1429"/>
      <c r="B711" s="1301"/>
      <c r="C711" s="1301"/>
      <c r="D711" s="1301"/>
      <c r="E711" s="1301" t="s">
        <v>302</v>
      </c>
      <c r="F711" s="1301"/>
      <c r="G711" s="1016"/>
      <c r="H711" s="1007"/>
      <c r="I711" s="1440"/>
      <c r="J711" s="880"/>
      <c r="K711" s="881"/>
      <c r="L711" s="1441"/>
      <c r="M711" s="1016"/>
      <c r="N711" s="1441"/>
      <c r="O711" s="881"/>
      <c r="P711" s="881"/>
      <c r="Q711" s="1302"/>
      <c r="R711" s="1302"/>
      <c r="S711" s="1302"/>
      <c r="T711" s="1302"/>
      <c r="U711" s="1302"/>
      <c r="V711" s="1302"/>
      <c r="W711" s="1302"/>
      <c r="X711" s="1302"/>
      <c r="Y711" s="1302"/>
      <c r="Z711" s="1302"/>
    </row>
    <row r="712" spans="1:26" ht="18.75" hidden="1">
      <c r="A712" s="1429"/>
      <c r="B712" s="1301"/>
      <c r="C712" s="1301"/>
      <c r="D712" s="1301"/>
      <c r="E712" s="1301"/>
      <c r="F712" s="1301" t="s">
        <v>303</v>
      </c>
      <c r="G712" s="1016"/>
      <c r="H712" s="762" t="s">
        <v>35</v>
      </c>
      <c r="I712" s="1440"/>
      <c r="J712" s="1012">
        <v>0</v>
      </c>
      <c r="K712" s="881"/>
      <c r="L712" s="1441"/>
      <c r="M712" s="1016"/>
      <c r="N712" s="1441"/>
      <c r="O712" s="881"/>
      <c r="P712" s="881"/>
      <c r="Q712" s="1302"/>
      <c r="R712" s="1302"/>
      <c r="S712" s="1302"/>
      <c r="T712" s="1302"/>
      <c r="U712" s="1302"/>
      <c r="V712" s="1302"/>
      <c r="W712" s="1302"/>
      <c r="X712" s="1302"/>
      <c r="Y712" s="1302"/>
      <c r="Z712" s="1302"/>
    </row>
    <row r="713" spans="1:26" ht="18.75" hidden="1">
      <c r="A713" s="1429"/>
      <c r="B713" s="1301"/>
      <c r="C713" s="1301"/>
      <c r="D713" s="1301"/>
      <c r="E713" s="1301"/>
      <c r="F713" s="1301"/>
      <c r="G713" s="1016"/>
      <c r="H713" s="762" t="s">
        <v>34</v>
      </c>
      <c r="I713" s="1440"/>
      <c r="J713" s="1012">
        <v>0</v>
      </c>
      <c r="K713" s="881"/>
      <c r="L713" s="1441"/>
      <c r="M713" s="1016"/>
      <c r="N713" s="1441"/>
      <c r="O713" s="881"/>
      <c r="P713" s="881"/>
      <c r="Q713" s="1302"/>
      <c r="R713" s="1302"/>
      <c r="S713" s="1302"/>
      <c r="T713" s="1302"/>
      <c r="U713" s="1302"/>
      <c r="V713" s="1302"/>
      <c r="W713" s="1302"/>
      <c r="X713" s="1302"/>
      <c r="Y713" s="1302"/>
      <c r="Z713" s="1302"/>
    </row>
    <row r="714" spans="1:26" ht="18.75" hidden="1">
      <c r="A714" s="1429"/>
      <c r="B714" s="1301"/>
      <c r="C714" s="1301"/>
      <c r="D714" s="1301"/>
      <c r="E714" s="1301"/>
      <c r="F714" s="1301"/>
      <c r="G714" s="1016"/>
      <c r="H714" s="762" t="s">
        <v>46</v>
      </c>
      <c r="I714" s="1440"/>
      <c r="J714" s="1012">
        <v>0</v>
      </c>
      <c r="K714" s="881"/>
      <c r="L714" s="1441"/>
      <c r="M714" s="1016"/>
      <c r="N714" s="1441"/>
      <c r="O714" s="881"/>
      <c r="P714" s="881"/>
      <c r="Q714" s="1302"/>
      <c r="R714" s="1302"/>
      <c r="S714" s="1302"/>
      <c r="T714" s="1302"/>
      <c r="U714" s="1302"/>
      <c r="V714" s="1302"/>
      <c r="W714" s="1302"/>
      <c r="X714" s="1302"/>
      <c r="Y714" s="1302"/>
      <c r="Z714" s="1302"/>
    </row>
    <row r="715" spans="1:26" ht="18.75" hidden="1">
      <c r="A715" s="1429"/>
      <c r="B715" s="1301"/>
      <c r="C715" s="1301"/>
      <c r="D715" s="1301"/>
      <c r="E715" s="1301"/>
      <c r="F715" s="1301" t="s">
        <v>304</v>
      </c>
      <c r="G715" s="1016"/>
      <c r="H715" s="762" t="s">
        <v>35</v>
      </c>
      <c r="I715" s="1440"/>
      <c r="J715" s="1012">
        <v>0</v>
      </c>
      <c r="K715" s="881"/>
      <c r="L715" s="1441"/>
      <c r="M715" s="1016"/>
      <c r="N715" s="1441"/>
      <c r="O715" s="881"/>
      <c r="P715" s="881"/>
      <c r="Q715" s="1302"/>
      <c r="R715" s="1302"/>
      <c r="S715" s="1302"/>
      <c r="T715" s="1302"/>
      <c r="U715" s="1302"/>
      <c r="V715" s="1302"/>
      <c r="W715" s="1302"/>
      <c r="X715" s="1302"/>
      <c r="Y715" s="1302"/>
      <c r="Z715" s="1302"/>
    </row>
    <row r="716" spans="1:26" ht="18.75" hidden="1">
      <c r="A716" s="1429"/>
      <c r="B716" s="1301"/>
      <c r="C716" s="1301"/>
      <c r="D716" s="1301"/>
      <c r="E716" s="1301"/>
      <c r="F716" s="1301"/>
      <c r="G716" s="1016"/>
      <c r="H716" s="762" t="s">
        <v>34</v>
      </c>
      <c r="I716" s="1440"/>
      <c r="J716" s="1012">
        <v>0</v>
      </c>
      <c r="K716" s="881"/>
      <c r="L716" s="1441"/>
      <c r="M716" s="1016"/>
      <c r="N716" s="1441"/>
      <c r="O716" s="881"/>
      <c r="P716" s="881"/>
      <c r="Q716" s="1302"/>
      <c r="R716" s="1302"/>
      <c r="S716" s="1302"/>
      <c r="T716" s="1302"/>
      <c r="U716" s="1302"/>
      <c r="V716" s="1302"/>
      <c r="W716" s="1302"/>
      <c r="X716" s="1302"/>
      <c r="Y716" s="1302"/>
      <c r="Z716" s="1302"/>
    </row>
    <row r="717" spans="1:26" ht="18.75" hidden="1">
      <c r="A717" s="1429"/>
      <c r="B717" s="1301"/>
      <c r="C717" s="1301"/>
      <c r="D717" s="1301"/>
      <c r="E717" s="1301"/>
      <c r="F717" s="1301"/>
      <c r="G717" s="1016"/>
      <c r="H717" s="762" t="s">
        <v>46</v>
      </c>
      <c r="I717" s="1440"/>
      <c r="J717" s="1012">
        <v>0</v>
      </c>
      <c r="K717" s="881"/>
      <c r="L717" s="1441"/>
      <c r="M717" s="1016"/>
      <c r="N717" s="1441"/>
      <c r="O717" s="881"/>
      <c r="P717" s="881"/>
      <c r="Q717" s="1302"/>
      <c r="R717" s="1302"/>
      <c r="S717" s="1302"/>
      <c r="T717" s="1302"/>
      <c r="U717" s="1302"/>
      <c r="V717" s="1302"/>
      <c r="W717" s="1302"/>
      <c r="X717" s="1302"/>
      <c r="Y717" s="1302"/>
      <c r="Z717" s="1302"/>
    </row>
    <row r="718" spans="1:26" ht="18.75" hidden="1">
      <c r="A718" s="1429"/>
      <c r="B718" s="1301"/>
      <c r="C718" s="1301"/>
      <c r="D718" s="1301" t="s">
        <v>305</v>
      </c>
      <c r="E718" s="1301"/>
      <c r="F718" s="1301"/>
      <c r="G718" s="1016"/>
      <c r="H718" s="762" t="s">
        <v>35</v>
      </c>
      <c r="I718" s="1440"/>
      <c r="J718" s="880">
        <f ca="1">IFERROR(__xludf.DUMMYFUNCTION("IMPORTRANGE(""https://docs.google.com/spreadsheets/d/1XWAQStnk-4SwqDmLtmXYiTMKHgktTP8We1SCoS47DrQ/edit?usp=sharing"",""จัดที่ดิน!BF85"")"),0)</f>
        <v>0</v>
      </c>
      <c r="K718" s="881"/>
      <c r="L718" s="881"/>
      <c r="M718" s="1016"/>
      <c r="N718" s="1441"/>
      <c r="O718" s="881"/>
      <c r="P718" s="881"/>
      <c r="Q718" s="1302"/>
      <c r="R718" s="1302"/>
      <c r="S718" s="1302"/>
      <c r="T718" s="1302"/>
      <c r="U718" s="1302"/>
      <c r="V718" s="1302"/>
      <c r="W718" s="1302"/>
      <c r="X718" s="1302"/>
      <c r="Y718" s="1302"/>
      <c r="Z718" s="1302"/>
    </row>
    <row r="719" spans="1:26" ht="18.75" hidden="1">
      <c r="A719" s="1429"/>
      <c r="B719" s="1301"/>
      <c r="C719" s="1301"/>
      <c r="D719" s="1301"/>
      <c r="E719" s="1301"/>
      <c r="F719" s="1301"/>
      <c r="G719" s="1016"/>
      <c r="H719" s="762" t="s">
        <v>34</v>
      </c>
      <c r="I719" s="1440"/>
      <c r="J719" s="880">
        <f ca="1">IFERROR(__xludf.DUMMYFUNCTION("IMPORTRANGE(""https://docs.google.com/spreadsheets/d/1XWAQStnk-4SwqDmLtmXYiTMKHgktTP8We1SCoS47DrQ/edit?usp=sharing"",""จัดที่ดิน!BG85"")"),0)</f>
        <v>0</v>
      </c>
      <c r="K719" s="881"/>
      <c r="L719" s="1441"/>
      <c r="M719" s="1016"/>
      <c r="N719" s="1441"/>
      <c r="O719" s="881"/>
      <c r="P719" s="881"/>
      <c r="Q719" s="1302"/>
      <c r="R719" s="1302"/>
      <c r="S719" s="1302"/>
      <c r="T719" s="1302"/>
      <c r="U719" s="1302"/>
      <c r="V719" s="1302"/>
      <c r="W719" s="1302"/>
      <c r="X719" s="1302"/>
      <c r="Y719" s="1302"/>
      <c r="Z719" s="1302"/>
    </row>
    <row r="720" spans="1:26" ht="18.75" hidden="1">
      <c r="A720" s="1429"/>
      <c r="B720" s="1301"/>
      <c r="C720" s="1301"/>
      <c r="D720" s="1301"/>
      <c r="E720" s="1301"/>
      <c r="F720" s="1301"/>
      <c r="G720" s="1016"/>
      <c r="H720" s="762" t="s">
        <v>46</v>
      </c>
      <c r="I720" s="1440">
        <f ca="1">IFERROR(__xludf.DUMMYFUNCTION("IMPORTRANGE(""https://docs.google.com/spreadsheets/d/1QqKyyYR6Q21VydFLVH3TRQUabQu_ym0Zz7PgGX0-kHA/edit?usp=sharing"",""แผน!II85"")"),0)</f>
        <v>0</v>
      </c>
      <c r="J720" s="880">
        <f ca="1">IFERROR(__xludf.DUMMYFUNCTION("IMPORTRANGE(""https://docs.google.com/spreadsheets/d/1XWAQStnk-4SwqDmLtmXYiTMKHgktTP8We1SCoS47DrQ/edit?usp=sharing"",""จัดที่ดิน!BH85"")"),0)</f>
        <v>0</v>
      </c>
      <c r="K720" s="881">
        <f t="shared" ref="K720:K723" ca="1" si="291">IF(I720&gt;0,J720*100/I720,0)</f>
        <v>0</v>
      </c>
      <c r="L720" s="1441"/>
      <c r="M720" s="1016"/>
      <c r="N720" s="1441"/>
      <c r="O720" s="881"/>
      <c r="P720" s="881"/>
      <c r="Q720" s="1302"/>
      <c r="R720" s="1302"/>
      <c r="S720" s="1302"/>
      <c r="T720" s="1302"/>
      <c r="U720" s="1302"/>
      <c r="V720" s="1302"/>
      <c r="W720" s="1302"/>
      <c r="X720" s="1302"/>
      <c r="Y720" s="1302"/>
      <c r="Z720" s="1302"/>
    </row>
    <row r="721" spans="1:26" ht="19.5" hidden="1">
      <c r="A721" s="1429"/>
      <c r="B721" s="1301"/>
      <c r="C721" s="1301"/>
      <c r="D721" s="1301" t="s">
        <v>306</v>
      </c>
      <c r="E721" s="1301"/>
      <c r="F721" s="1301"/>
      <c r="G721" s="1016"/>
      <c r="H721" s="765" t="s">
        <v>35</v>
      </c>
      <c r="I721" s="1442">
        <f ca="1">IFERROR(__xludf.DUMMYFUNCTION("IMPORTRANGE(""https://docs.google.com/spreadsheets/d/1QqKyyYR6Q21VydFLVH3TRQUabQu_ym0Zz7PgGX0-kHA/edit?usp=sharing"",""แผน!IJ85"")"),0)</f>
        <v>0</v>
      </c>
      <c r="J721" s="1019">
        <f ca="1">J723+J726</f>
        <v>0</v>
      </c>
      <c r="K721" s="1020">
        <f t="shared" ca="1" si="291"/>
        <v>0</v>
      </c>
      <c r="L721" s="1441"/>
      <c r="M721" s="1016"/>
      <c r="N721" s="1441"/>
      <c r="O721" s="881"/>
      <c r="P721" s="881"/>
      <c r="Q721" s="1302"/>
      <c r="R721" s="1302"/>
      <c r="S721" s="1302"/>
      <c r="T721" s="1302"/>
      <c r="U721" s="1302"/>
      <c r="V721" s="1302"/>
      <c r="W721" s="1302"/>
      <c r="X721" s="1302"/>
      <c r="Y721" s="1302"/>
      <c r="Z721" s="1302"/>
    </row>
    <row r="722" spans="1:26" ht="19.5" hidden="1">
      <c r="A722" s="1429"/>
      <c r="B722" s="1301"/>
      <c r="C722" s="1301"/>
      <c r="D722" s="1301"/>
      <c r="E722" s="1301"/>
      <c r="F722" s="1301"/>
      <c r="G722" s="1016"/>
      <c r="H722" s="765" t="s">
        <v>46</v>
      </c>
      <c r="I722" s="1442">
        <f ca="1">IFERROR(__xludf.DUMMYFUNCTION("IMPORTRANGE(""https://docs.google.com/spreadsheets/d/1QqKyyYR6Q21VydFLVH3TRQUabQu_ym0Zz7PgGX0-kHA/edit?usp=sharing"",""แผน!IK85"")"),0)</f>
        <v>0</v>
      </c>
      <c r="J722" s="1019">
        <f ca="1">J725+J728</f>
        <v>0</v>
      </c>
      <c r="K722" s="1020">
        <f t="shared" ca="1" si="291"/>
        <v>0</v>
      </c>
      <c r="L722" s="881"/>
      <c r="M722" s="1016"/>
      <c r="N722" s="1441"/>
      <c r="O722" s="881"/>
      <c r="P722" s="881"/>
      <c r="Q722" s="1302"/>
      <c r="R722" s="1302"/>
      <c r="S722" s="1302"/>
      <c r="T722" s="1302"/>
      <c r="U722" s="1302"/>
      <c r="V722" s="1302"/>
      <c r="W722" s="1302"/>
      <c r="X722" s="1302"/>
      <c r="Y722" s="1302"/>
      <c r="Z722" s="1302"/>
    </row>
    <row r="723" spans="1:26" ht="18.75" hidden="1">
      <c r="A723" s="1429"/>
      <c r="B723" s="1301"/>
      <c r="C723" s="1301"/>
      <c r="D723" s="1301"/>
      <c r="E723" s="1301" t="s">
        <v>307</v>
      </c>
      <c r="F723" s="1301"/>
      <c r="G723" s="1016"/>
      <c r="H723" s="762" t="s">
        <v>35</v>
      </c>
      <c r="I723" s="1440">
        <f ca="1">IFERROR(__xludf.DUMMYFUNCTION("IMPORTRANGE(""https://docs.google.com/spreadsheets/d/1QqKyyYR6Q21VydFLVH3TRQUabQu_ym0Zz7PgGX0-kHA/edit?usp=sharing"",""แผน!IL85"")"),0)</f>
        <v>0</v>
      </c>
      <c r="J723" s="880">
        <f ca="1">IFERROR(__xludf.DUMMYFUNCTION("IMPORTRANGE(""https://docs.google.com/spreadsheets/d/1XWAQStnk-4SwqDmLtmXYiTMKHgktTP8We1SCoS47DrQ/edit?usp=sharing"",""จัดที่ดิน!BM85"")"),0)</f>
        <v>0</v>
      </c>
      <c r="K723" s="881">
        <f t="shared" ca="1" si="291"/>
        <v>0</v>
      </c>
      <c r="L723" s="881"/>
      <c r="M723" s="1016"/>
      <c r="N723" s="1441"/>
      <c r="O723" s="881"/>
      <c r="P723" s="881"/>
      <c r="Q723" s="1302"/>
      <c r="R723" s="1302"/>
      <c r="S723" s="1302"/>
      <c r="T723" s="1302"/>
      <c r="U723" s="1302"/>
      <c r="V723" s="1302"/>
      <c r="W723" s="1302"/>
      <c r="X723" s="1302"/>
      <c r="Y723" s="1302"/>
      <c r="Z723" s="1302"/>
    </row>
    <row r="724" spans="1:26" ht="18.75" hidden="1">
      <c r="A724" s="1429"/>
      <c r="B724" s="1301"/>
      <c r="C724" s="1301"/>
      <c r="D724" s="1301"/>
      <c r="E724" s="1301"/>
      <c r="F724" s="1301"/>
      <c r="G724" s="1016"/>
      <c r="H724" s="762" t="s">
        <v>34</v>
      </c>
      <c r="I724" s="1440"/>
      <c r="J724" s="880">
        <f ca="1">IFERROR(__xludf.DUMMYFUNCTION("IMPORTRANGE(""https://docs.google.com/spreadsheets/d/1XWAQStnk-4SwqDmLtmXYiTMKHgktTP8We1SCoS47DrQ/edit?usp=sharing"",""จัดที่ดิน!BN85"")"),0)</f>
        <v>0</v>
      </c>
      <c r="K724" s="881"/>
      <c r="L724" s="1441"/>
      <c r="M724" s="1016"/>
      <c r="N724" s="1441"/>
      <c r="O724" s="881"/>
      <c r="P724" s="881"/>
      <c r="Q724" s="1302"/>
      <c r="R724" s="1302"/>
      <c r="S724" s="1302"/>
      <c r="T724" s="1302"/>
      <c r="U724" s="1302"/>
      <c r="V724" s="1302"/>
      <c r="W724" s="1302"/>
      <c r="X724" s="1302"/>
      <c r="Y724" s="1302"/>
      <c r="Z724" s="1302"/>
    </row>
    <row r="725" spans="1:26" ht="18.75" hidden="1">
      <c r="A725" s="1429"/>
      <c r="B725" s="1301"/>
      <c r="C725" s="1301"/>
      <c r="D725" s="1301"/>
      <c r="E725" s="1301"/>
      <c r="F725" s="1301"/>
      <c r="G725" s="1016"/>
      <c r="H725" s="762" t="s">
        <v>46</v>
      </c>
      <c r="I725" s="1440">
        <f ca="1">IFERROR(__xludf.DUMMYFUNCTION("IMPORTRANGE(""https://docs.google.com/spreadsheets/d/1QqKyyYR6Q21VydFLVH3TRQUabQu_ym0Zz7PgGX0-kHA/edit?usp=sharing"",""แผน!IM85"")"),0)</f>
        <v>0</v>
      </c>
      <c r="J725" s="880">
        <f ca="1">IFERROR(__xludf.DUMMYFUNCTION("IMPORTRANGE(""https://docs.google.com/spreadsheets/d/1XWAQStnk-4SwqDmLtmXYiTMKHgktTP8We1SCoS47DrQ/edit?usp=sharing"",""จัดที่ดิน!BO85"")"),0)</f>
        <v>0</v>
      </c>
      <c r="K725" s="881">
        <f t="shared" ref="K725:K726" ca="1" si="292">IF(I725&gt;0,J725*100/I725,0)</f>
        <v>0</v>
      </c>
      <c r="L725" s="1441"/>
      <c r="M725" s="1016"/>
      <c r="N725" s="1441"/>
      <c r="O725" s="881"/>
      <c r="P725" s="881"/>
      <c r="Q725" s="1302"/>
      <c r="R725" s="1302"/>
      <c r="S725" s="1302"/>
      <c r="T725" s="1302"/>
      <c r="U725" s="1302"/>
      <c r="V725" s="1302"/>
      <c r="W725" s="1302"/>
      <c r="X725" s="1302"/>
      <c r="Y725" s="1302"/>
      <c r="Z725" s="1302"/>
    </row>
    <row r="726" spans="1:26" ht="18.75" hidden="1">
      <c r="A726" s="1429"/>
      <c r="B726" s="1301"/>
      <c r="C726" s="1301"/>
      <c r="D726" s="1301"/>
      <c r="E726" s="1301" t="s">
        <v>308</v>
      </c>
      <c r="F726" s="1301"/>
      <c r="G726" s="1016"/>
      <c r="H726" s="762" t="s">
        <v>35</v>
      </c>
      <c r="I726" s="1440">
        <f ca="1">IFERROR(__xludf.DUMMYFUNCTION("IMPORTRANGE(""https://docs.google.com/spreadsheets/d/1QqKyyYR6Q21VydFLVH3TRQUabQu_ym0Zz7PgGX0-kHA/edit?usp=sharing"",""แผน!IN85"")"),0)</f>
        <v>0</v>
      </c>
      <c r="J726" s="880">
        <f ca="1">IFERROR(__xludf.DUMMYFUNCTION("IMPORTRANGE(""https://docs.google.com/spreadsheets/d/1XWAQStnk-4SwqDmLtmXYiTMKHgktTP8We1SCoS47DrQ/edit?usp=sharing"",""จัดที่ดิน!BR85"")"),0)</f>
        <v>0</v>
      </c>
      <c r="K726" s="881">
        <f t="shared" ca="1" si="292"/>
        <v>0</v>
      </c>
      <c r="L726" s="881"/>
      <c r="M726" s="1016"/>
      <c r="N726" s="1441"/>
      <c r="O726" s="881"/>
      <c r="P726" s="881"/>
      <c r="Q726" s="1302"/>
      <c r="R726" s="1302"/>
      <c r="S726" s="1302"/>
      <c r="T726" s="1302"/>
      <c r="U726" s="1302"/>
      <c r="V726" s="1302"/>
      <c r="W726" s="1302"/>
      <c r="X726" s="1302"/>
      <c r="Y726" s="1302"/>
      <c r="Z726" s="1302"/>
    </row>
    <row r="727" spans="1:26" ht="18.75" hidden="1">
      <c r="A727" s="1429"/>
      <c r="B727" s="1301"/>
      <c r="C727" s="1301"/>
      <c r="D727" s="1301"/>
      <c r="E727" s="1301"/>
      <c r="F727" s="1301"/>
      <c r="G727" s="1016"/>
      <c r="H727" s="762" t="s">
        <v>34</v>
      </c>
      <c r="I727" s="1440"/>
      <c r="J727" s="880">
        <f ca="1">IFERROR(__xludf.DUMMYFUNCTION("IMPORTRANGE(""https://docs.google.com/spreadsheets/d/1XWAQStnk-4SwqDmLtmXYiTMKHgktTP8We1SCoS47DrQ/edit?usp=sharing"",""จัดที่ดิน!BS85"")"),0)</f>
        <v>0</v>
      </c>
      <c r="K727" s="881"/>
      <c r="L727" s="1441"/>
      <c r="M727" s="1016"/>
      <c r="N727" s="1441"/>
      <c r="O727" s="881"/>
      <c r="P727" s="881"/>
      <c r="Q727" s="1302"/>
      <c r="R727" s="1302"/>
      <c r="S727" s="1302"/>
      <c r="T727" s="1302"/>
      <c r="U727" s="1302"/>
      <c r="V727" s="1302"/>
      <c r="W727" s="1302"/>
      <c r="X727" s="1302"/>
      <c r="Y727" s="1302"/>
      <c r="Z727" s="1302"/>
    </row>
    <row r="728" spans="1:26" ht="18.75" hidden="1">
      <c r="A728" s="1429"/>
      <c r="B728" s="1301"/>
      <c r="C728" s="1301"/>
      <c r="D728" s="1301"/>
      <c r="E728" s="1301"/>
      <c r="F728" s="1301"/>
      <c r="G728" s="1016"/>
      <c r="H728" s="762" t="s">
        <v>46</v>
      </c>
      <c r="I728" s="1440">
        <f ca="1">IFERROR(__xludf.DUMMYFUNCTION("IMPORTRANGE(""https://docs.google.com/spreadsheets/d/1QqKyyYR6Q21VydFLVH3TRQUabQu_ym0Zz7PgGX0-kHA/edit?usp=sharing"",""แผน!IO85"")"),0)</f>
        <v>0</v>
      </c>
      <c r="J728" s="880">
        <f ca="1">IFERROR(__xludf.DUMMYFUNCTION("IMPORTRANGE(""https://docs.google.com/spreadsheets/d/1XWAQStnk-4SwqDmLtmXYiTMKHgktTP8We1SCoS47DrQ/edit?usp=sharing"",""จัดที่ดิน!BT85"")"),0)</f>
        <v>0</v>
      </c>
      <c r="K728" s="881">
        <f t="shared" ref="K728:K729" ca="1" si="293">IF(I728&gt;0,J728*100/I728,0)</f>
        <v>0</v>
      </c>
      <c r="L728" s="1441"/>
      <c r="M728" s="1016"/>
      <c r="N728" s="1441"/>
      <c r="O728" s="881"/>
      <c r="P728" s="881"/>
      <c r="Q728" s="1302"/>
      <c r="R728" s="1302"/>
      <c r="S728" s="1302"/>
      <c r="T728" s="1302"/>
      <c r="U728" s="1302"/>
      <c r="V728" s="1302"/>
      <c r="W728" s="1302"/>
      <c r="X728" s="1302"/>
      <c r="Y728" s="1302"/>
      <c r="Z728" s="1302"/>
    </row>
    <row r="729" spans="1:26" ht="19.5" hidden="1">
      <c r="A729" s="1429"/>
      <c r="B729" s="1301"/>
      <c r="C729" s="1301"/>
      <c r="D729" s="1301" t="s">
        <v>309</v>
      </c>
      <c r="E729" s="1301"/>
      <c r="F729" s="1301"/>
      <c r="G729" s="1016"/>
      <c r="H729" s="765" t="s">
        <v>46</v>
      </c>
      <c r="I729" s="1442">
        <f ca="1">IFERROR(__xludf.DUMMYFUNCTION("IMPORTRANGE(""https://docs.google.com/spreadsheets/d/1QqKyyYR6Q21VydFLVH3TRQUabQu_ym0Zz7PgGX0-kHA/edit?usp=sharing"",""แผน!IP85"")"),0)</f>
        <v>0</v>
      </c>
      <c r="J729" s="1019">
        <f>J732+J735</f>
        <v>0</v>
      </c>
      <c r="K729" s="1020">
        <f t="shared" ca="1" si="293"/>
        <v>0</v>
      </c>
      <c r="L729" s="881"/>
      <c r="M729" s="1016"/>
      <c r="N729" s="1441"/>
      <c r="O729" s="881"/>
      <c r="P729" s="881"/>
      <c r="Q729" s="1302"/>
      <c r="R729" s="1302"/>
      <c r="S729" s="1302"/>
      <c r="T729" s="1302"/>
      <c r="U729" s="1302"/>
      <c r="V729" s="1302"/>
      <c r="W729" s="1302"/>
      <c r="X729" s="1302"/>
      <c r="Y729" s="1302"/>
      <c r="Z729" s="1302"/>
    </row>
    <row r="730" spans="1:26" ht="18.75" hidden="1">
      <c r="A730" s="1429"/>
      <c r="B730" s="1301"/>
      <c r="C730" s="1301"/>
      <c r="D730" s="1301"/>
      <c r="E730" s="1301" t="s">
        <v>310</v>
      </c>
      <c r="F730" s="1301"/>
      <c r="G730" s="1016"/>
      <c r="H730" s="762" t="s">
        <v>35</v>
      </c>
      <c r="I730" s="1440"/>
      <c r="J730" s="1012">
        <v>0</v>
      </c>
      <c r="K730" s="881"/>
      <c r="L730" s="1441"/>
      <c r="M730" s="881"/>
      <c r="N730" s="1441"/>
      <c r="O730" s="881"/>
      <c r="P730" s="881"/>
      <c r="Q730" s="1302"/>
      <c r="R730" s="1302"/>
      <c r="S730" s="1302"/>
      <c r="T730" s="1302"/>
      <c r="U730" s="1302"/>
      <c r="V730" s="1302"/>
      <c r="W730" s="1302"/>
      <c r="X730" s="1302"/>
      <c r="Y730" s="1302"/>
      <c r="Z730" s="1302"/>
    </row>
    <row r="731" spans="1:26" ht="18.75" hidden="1">
      <c r="A731" s="1429"/>
      <c r="B731" s="1301"/>
      <c r="C731" s="1301"/>
      <c r="D731" s="1301"/>
      <c r="E731" s="1301"/>
      <c r="F731" s="1301"/>
      <c r="G731" s="1016"/>
      <c r="H731" s="762" t="s">
        <v>34</v>
      </c>
      <c r="I731" s="1440"/>
      <c r="J731" s="1012">
        <v>0</v>
      </c>
      <c r="K731" s="881"/>
      <c r="L731" s="1441"/>
      <c r="M731" s="881"/>
      <c r="N731" s="1441"/>
      <c r="O731" s="881"/>
      <c r="P731" s="881"/>
      <c r="Q731" s="1302"/>
      <c r="R731" s="1302"/>
      <c r="S731" s="1302"/>
      <c r="T731" s="1302"/>
      <c r="U731" s="1302"/>
      <c r="V731" s="1302"/>
      <c r="W731" s="1302"/>
      <c r="X731" s="1302"/>
      <c r="Y731" s="1302"/>
      <c r="Z731" s="1302"/>
    </row>
    <row r="732" spans="1:26" ht="18.75" hidden="1">
      <c r="A732" s="1429"/>
      <c r="B732" s="1301"/>
      <c r="C732" s="1301"/>
      <c r="D732" s="1301"/>
      <c r="E732" s="1301"/>
      <c r="F732" s="1301"/>
      <c r="G732" s="1016"/>
      <c r="H732" s="762" t="s">
        <v>46</v>
      </c>
      <c r="I732" s="1440"/>
      <c r="J732" s="1012">
        <v>0</v>
      </c>
      <c r="K732" s="881"/>
      <c r="L732" s="1441"/>
      <c r="M732" s="881"/>
      <c r="N732" s="1441"/>
      <c r="O732" s="881"/>
      <c r="P732" s="881"/>
      <c r="Q732" s="1302"/>
      <c r="R732" s="1302"/>
      <c r="S732" s="1302"/>
      <c r="T732" s="1302"/>
      <c r="U732" s="1302"/>
      <c r="V732" s="1302"/>
      <c r="W732" s="1302"/>
      <c r="X732" s="1302"/>
      <c r="Y732" s="1302"/>
      <c r="Z732" s="1302"/>
    </row>
    <row r="733" spans="1:26" ht="18.75" hidden="1">
      <c r="A733" s="1429"/>
      <c r="B733" s="1301"/>
      <c r="C733" s="1301"/>
      <c r="D733" s="1301"/>
      <c r="E733" s="1301" t="s">
        <v>311</v>
      </c>
      <c r="F733" s="1301"/>
      <c r="G733" s="1016"/>
      <c r="H733" s="762" t="s">
        <v>35</v>
      </c>
      <c r="I733" s="1440"/>
      <c r="J733" s="1012">
        <v>0</v>
      </c>
      <c r="K733" s="881"/>
      <c r="L733" s="1441"/>
      <c r="M733" s="881"/>
      <c r="N733" s="1441"/>
      <c r="O733" s="881"/>
      <c r="P733" s="881"/>
      <c r="Q733" s="1302"/>
      <c r="R733" s="1302"/>
      <c r="S733" s="1302"/>
      <c r="T733" s="1302"/>
      <c r="U733" s="1302"/>
      <c r="V733" s="1302"/>
      <c r="W733" s="1302"/>
      <c r="X733" s="1302"/>
      <c r="Y733" s="1302"/>
      <c r="Z733" s="1302"/>
    </row>
    <row r="734" spans="1:26" ht="18.75" hidden="1">
      <c r="A734" s="1429"/>
      <c r="B734" s="1301"/>
      <c r="C734" s="1301"/>
      <c r="D734" s="1301"/>
      <c r="E734" s="1301"/>
      <c r="F734" s="1301"/>
      <c r="G734" s="1016"/>
      <c r="H734" s="762" t="s">
        <v>34</v>
      </c>
      <c r="I734" s="1440"/>
      <c r="J734" s="1012">
        <v>0</v>
      </c>
      <c r="K734" s="881"/>
      <c r="L734" s="1441"/>
      <c r="M734" s="881"/>
      <c r="N734" s="1441"/>
      <c r="O734" s="881"/>
      <c r="P734" s="881"/>
      <c r="Q734" s="1302"/>
      <c r="R734" s="1302"/>
      <c r="S734" s="1302"/>
      <c r="T734" s="1302"/>
      <c r="U734" s="1302"/>
      <c r="V734" s="1302"/>
      <c r="W734" s="1302"/>
      <c r="X734" s="1302"/>
      <c r="Y734" s="1302"/>
      <c r="Z734" s="1302"/>
    </row>
    <row r="735" spans="1:26" ht="19.5" hidden="1">
      <c r="A735" s="1443"/>
      <c r="B735" s="1444" t="s">
        <v>312</v>
      </c>
      <c r="C735" s="1169"/>
      <c r="D735" s="1169"/>
      <c r="E735" s="1169"/>
      <c r="F735" s="1169"/>
      <c r="G735" s="1422"/>
      <c r="H735" s="423" t="s">
        <v>46</v>
      </c>
      <c r="I735" s="1445"/>
      <c r="J735" s="1171">
        <v>0</v>
      </c>
      <c r="K735" s="1239"/>
      <c r="L735" s="1446"/>
      <c r="M735" s="1239"/>
      <c r="N735" s="1446"/>
      <c r="O735" s="1239"/>
      <c r="P735" s="1239"/>
      <c r="Q735" s="1302"/>
      <c r="R735" s="1302"/>
      <c r="S735" s="1302"/>
      <c r="T735" s="1302"/>
      <c r="U735" s="1302"/>
      <c r="V735" s="1302"/>
      <c r="W735" s="1302"/>
      <c r="X735" s="1302"/>
      <c r="Y735" s="1302"/>
      <c r="Z735" s="1302"/>
    </row>
    <row r="736" spans="1:26" ht="19.5" hidden="1">
      <c r="A736" s="772">
        <v>9</v>
      </c>
      <c r="B736" s="1447" t="s">
        <v>313</v>
      </c>
      <c r="C736" s="1448"/>
      <c r="D736" s="1448"/>
      <c r="E736" s="1448"/>
      <c r="F736" s="1448"/>
      <c r="G736" s="1449"/>
      <c r="H736" s="776" t="s">
        <v>46</v>
      </c>
      <c r="I736" s="1450"/>
      <c r="J736" s="1450">
        <f>J751</f>
        <v>0</v>
      </c>
      <c r="K736" s="1451">
        <f>IF(I736&gt;0,J736*100/I736,0)</f>
        <v>0</v>
      </c>
      <c r="L736" s="1452"/>
      <c r="M736" s="1452"/>
      <c r="N736" s="1452"/>
      <c r="O736" s="1452"/>
      <c r="P736" s="1452"/>
      <c r="Q736" s="1323"/>
      <c r="R736" s="1323"/>
      <c r="S736" s="1323"/>
      <c r="T736" s="1323"/>
      <c r="U736" s="1323"/>
      <c r="V736" s="1323"/>
      <c r="W736" s="1323"/>
      <c r="X736" s="1323"/>
      <c r="Y736" s="1323"/>
      <c r="Z736" s="1323"/>
    </row>
    <row r="737" spans="1:26" ht="19.5" hidden="1">
      <c r="A737" s="1319"/>
      <c r="B737" s="1320"/>
      <c r="C737" s="1320" t="s">
        <v>16</v>
      </c>
      <c r="D737" s="1351" t="s">
        <v>17</v>
      </c>
      <c r="E737" s="841"/>
      <c r="F737" s="841"/>
      <c r="G737" s="1322"/>
      <c r="H737" s="644" t="s">
        <v>12</v>
      </c>
      <c r="I737" s="886"/>
      <c r="J737" s="886"/>
      <c r="K737" s="887"/>
      <c r="L737" s="1352">
        <f t="shared" ref="L737:N737" si="294">L738+L739</f>
        <v>0</v>
      </c>
      <c r="M737" s="1352">
        <f t="shared" si="294"/>
        <v>0</v>
      </c>
      <c r="N737" s="1352">
        <f t="shared" si="294"/>
        <v>0</v>
      </c>
      <c r="O737" s="1352">
        <f t="shared" ref="O737:O742" si="295">IF(L737&gt;0,N737*100/L737,0)</f>
        <v>0</v>
      </c>
      <c r="P737" s="1352">
        <f t="shared" ref="P737:P742" si="296">IF(M737&gt;0,N737*100/M737,0)</f>
        <v>0</v>
      </c>
      <c r="Q737" s="1323"/>
      <c r="R737" s="1323"/>
      <c r="S737" s="1323"/>
      <c r="T737" s="1323"/>
      <c r="U737" s="1323"/>
      <c r="V737" s="1323"/>
      <c r="W737" s="1323"/>
      <c r="X737" s="1323"/>
      <c r="Y737" s="1323"/>
      <c r="Z737" s="1323"/>
    </row>
    <row r="738" spans="1:26" ht="18.75" hidden="1">
      <c r="A738" s="1319"/>
      <c r="B738" s="1320"/>
      <c r="C738" s="1320"/>
      <c r="D738" s="1321"/>
      <c r="E738" s="1320" t="s">
        <v>185</v>
      </c>
      <c r="F738" s="1320"/>
      <c r="G738" s="1322"/>
      <c r="H738" s="165" t="s">
        <v>12</v>
      </c>
      <c r="I738" s="886"/>
      <c r="J738" s="886"/>
      <c r="K738" s="887"/>
      <c r="L738" s="887">
        <f t="shared" ref="L738:N739" si="297">L741+L748</f>
        <v>0</v>
      </c>
      <c r="M738" s="887">
        <f t="shared" si="297"/>
        <v>0</v>
      </c>
      <c r="N738" s="887">
        <f t="shared" si="297"/>
        <v>0</v>
      </c>
      <c r="O738" s="887">
        <f t="shared" si="295"/>
        <v>0</v>
      </c>
      <c r="P738" s="887">
        <f t="shared" si="296"/>
        <v>0</v>
      </c>
      <c r="Q738" s="1323"/>
      <c r="R738" s="1323"/>
      <c r="S738" s="1323"/>
      <c r="T738" s="1323"/>
      <c r="U738" s="1323"/>
      <c r="V738" s="1323"/>
      <c r="W738" s="1323"/>
      <c r="X738" s="1323"/>
      <c r="Y738" s="1323"/>
      <c r="Z738" s="1323"/>
    </row>
    <row r="739" spans="1:26" ht="18.75" hidden="1">
      <c r="A739" s="1319"/>
      <c r="B739" s="1324"/>
      <c r="C739" s="1320"/>
      <c r="D739" s="1321"/>
      <c r="E739" s="1320" t="s">
        <v>186</v>
      </c>
      <c r="F739" s="1320"/>
      <c r="G739" s="1322"/>
      <c r="H739" s="165" t="s">
        <v>12</v>
      </c>
      <c r="I739" s="886"/>
      <c r="J739" s="886"/>
      <c r="K739" s="887"/>
      <c r="L739" s="887">
        <f t="shared" si="297"/>
        <v>0</v>
      </c>
      <c r="M739" s="887">
        <f t="shared" si="297"/>
        <v>0</v>
      </c>
      <c r="N739" s="887">
        <f t="shared" si="297"/>
        <v>0</v>
      </c>
      <c r="O739" s="887">
        <f t="shared" si="295"/>
        <v>0</v>
      </c>
      <c r="P739" s="887">
        <f t="shared" si="296"/>
        <v>0</v>
      </c>
      <c r="Q739" s="1323"/>
      <c r="R739" s="1323"/>
      <c r="S739" s="1323"/>
      <c r="T739" s="1323"/>
      <c r="U739" s="1323"/>
      <c r="V739" s="1323"/>
      <c r="W739" s="1323"/>
      <c r="X739" s="1323"/>
      <c r="Y739" s="1323"/>
      <c r="Z739" s="1323"/>
    </row>
    <row r="740" spans="1:26" ht="19.5" hidden="1">
      <c r="A740" s="1319"/>
      <c r="B740" s="1324"/>
      <c r="C740" s="1320"/>
      <c r="D740" s="1453" t="s">
        <v>20</v>
      </c>
      <c r="E740" s="1320"/>
      <c r="F740" s="1320"/>
      <c r="G740" s="1322"/>
      <c r="H740" s="644" t="s">
        <v>12</v>
      </c>
      <c r="I740" s="1000"/>
      <c r="J740" s="1000"/>
      <c r="K740" s="1001"/>
      <c r="L740" s="1352">
        <f t="shared" ref="L740:N740" si="298">L741+L742</f>
        <v>0</v>
      </c>
      <c r="M740" s="1352">
        <f t="shared" si="298"/>
        <v>0</v>
      </c>
      <c r="N740" s="1352">
        <f t="shared" si="298"/>
        <v>0</v>
      </c>
      <c r="O740" s="1352">
        <f t="shared" si="295"/>
        <v>0</v>
      </c>
      <c r="P740" s="1352">
        <f t="shared" si="296"/>
        <v>0</v>
      </c>
      <c r="Q740" s="1323"/>
      <c r="R740" s="1323"/>
      <c r="S740" s="1323"/>
      <c r="T740" s="1323"/>
      <c r="U740" s="1323"/>
      <c r="V740" s="1323"/>
      <c r="W740" s="1323"/>
      <c r="X740" s="1323"/>
      <c r="Y740" s="1323"/>
      <c r="Z740" s="1323"/>
    </row>
    <row r="741" spans="1:26" ht="18.75" hidden="1">
      <c r="A741" s="1319"/>
      <c r="B741" s="1324"/>
      <c r="C741" s="1320"/>
      <c r="D741" s="1321"/>
      <c r="E741" s="1320" t="s">
        <v>185</v>
      </c>
      <c r="F741" s="1320"/>
      <c r="G741" s="1322"/>
      <c r="H741" s="165" t="s">
        <v>12</v>
      </c>
      <c r="I741" s="886"/>
      <c r="J741" s="886"/>
      <c r="K741" s="887"/>
      <c r="L741" s="887">
        <v>0</v>
      </c>
      <c r="M741" s="887">
        <v>0</v>
      </c>
      <c r="N741" s="887">
        <v>0</v>
      </c>
      <c r="O741" s="887">
        <f t="shared" si="295"/>
        <v>0</v>
      </c>
      <c r="P741" s="887">
        <f t="shared" si="296"/>
        <v>0</v>
      </c>
      <c r="Q741" s="1323"/>
      <c r="R741" s="1323"/>
      <c r="S741" s="1323"/>
      <c r="T741" s="1323"/>
      <c r="U741" s="1323"/>
      <c r="V741" s="1323"/>
      <c r="W741" s="1323"/>
      <c r="X741" s="1323"/>
      <c r="Y741" s="1323"/>
      <c r="Z741" s="1323"/>
    </row>
    <row r="742" spans="1:26" ht="18.75" hidden="1">
      <c r="A742" s="1319"/>
      <c r="B742" s="1324"/>
      <c r="C742" s="1320"/>
      <c r="D742" s="1321"/>
      <c r="E742" s="1320" t="s">
        <v>186</v>
      </c>
      <c r="F742" s="1320"/>
      <c r="G742" s="1322"/>
      <c r="H742" s="165" t="s">
        <v>12</v>
      </c>
      <c r="I742" s="886"/>
      <c r="J742" s="886"/>
      <c r="K742" s="887"/>
      <c r="L742" s="887">
        <v>0</v>
      </c>
      <c r="M742" s="887">
        <v>0</v>
      </c>
      <c r="N742" s="887">
        <f>N743+N744+N745+N746</f>
        <v>0</v>
      </c>
      <c r="O742" s="887">
        <f t="shared" si="295"/>
        <v>0</v>
      </c>
      <c r="P742" s="887">
        <f t="shared" si="296"/>
        <v>0</v>
      </c>
      <c r="Q742" s="1323"/>
      <c r="R742" s="1323"/>
      <c r="S742" s="1323"/>
      <c r="T742" s="1323"/>
      <c r="U742" s="1323"/>
      <c r="V742" s="1323"/>
      <c r="W742" s="1323"/>
      <c r="X742" s="1323"/>
      <c r="Y742" s="1323"/>
      <c r="Z742" s="1323"/>
    </row>
    <row r="743" spans="1:26" ht="18.75" hidden="1">
      <c r="A743" s="1354"/>
      <c r="B743" s="1324"/>
      <c r="C743" s="1320"/>
      <c r="D743" s="1320"/>
      <c r="E743" s="1320"/>
      <c r="F743" s="1320" t="s">
        <v>187</v>
      </c>
      <c r="G743" s="1322"/>
      <c r="H743" s="165" t="s">
        <v>12</v>
      </c>
      <c r="I743" s="886"/>
      <c r="J743" s="886"/>
      <c r="K743" s="887"/>
      <c r="L743" s="887"/>
      <c r="M743" s="887"/>
      <c r="N743" s="887"/>
      <c r="O743" s="887"/>
      <c r="P743" s="887"/>
      <c r="Q743" s="1323"/>
      <c r="R743" s="1323"/>
      <c r="S743" s="1323"/>
      <c r="T743" s="1323"/>
      <c r="U743" s="1323"/>
      <c r="V743" s="1323"/>
      <c r="W743" s="1323"/>
      <c r="X743" s="1323"/>
      <c r="Y743" s="1323"/>
      <c r="Z743" s="1323"/>
    </row>
    <row r="744" spans="1:26" ht="18.75" hidden="1">
      <c r="A744" s="1354"/>
      <c r="B744" s="1324"/>
      <c r="C744" s="1320"/>
      <c r="D744" s="1320"/>
      <c r="E744" s="1320"/>
      <c r="F744" s="1320" t="s">
        <v>188</v>
      </c>
      <c r="G744" s="1322"/>
      <c r="H744" s="165" t="s">
        <v>12</v>
      </c>
      <c r="I744" s="886"/>
      <c r="J744" s="886"/>
      <c r="K744" s="887"/>
      <c r="L744" s="887"/>
      <c r="M744" s="887"/>
      <c r="N744" s="887"/>
      <c r="O744" s="887"/>
      <c r="P744" s="887"/>
      <c r="Q744" s="1323"/>
      <c r="R744" s="1323"/>
      <c r="S744" s="1323"/>
      <c r="T744" s="1323"/>
      <c r="U744" s="1323"/>
      <c r="V744" s="1323"/>
      <c r="W744" s="1323"/>
      <c r="X744" s="1323"/>
      <c r="Y744" s="1323"/>
      <c r="Z744" s="1323"/>
    </row>
    <row r="745" spans="1:26" ht="18.75" hidden="1">
      <c r="A745" s="1354"/>
      <c r="B745" s="1324"/>
      <c r="C745" s="1320"/>
      <c r="D745" s="1320"/>
      <c r="E745" s="1320"/>
      <c r="F745" s="1320" t="s">
        <v>189</v>
      </c>
      <c r="G745" s="1322"/>
      <c r="H745" s="165" t="s">
        <v>12</v>
      </c>
      <c r="I745" s="886"/>
      <c r="J745" s="886"/>
      <c r="K745" s="887"/>
      <c r="L745" s="887"/>
      <c r="M745" s="887"/>
      <c r="N745" s="887"/>
      <c r="O745" s="887"/>
      <c r="P745" s="887"/>
      <c r="Q745" s="1323"/>
      <c r="R745" s="1323"/>
      <c r="S745" s="1323"/>
      <c r="T745" s="1323"/>
      <c r="U745" s="1323"/>
      <c r="V745" s="1323"/>
      <c r="W745" s="1323"/>
      <c r="X745" s="1323"/>
      <c r="Y745" s="1323"/>
      <c r="Z745" s="1323"/>
    </row>
    <row r="746" spans="1:26" ht="18.75" hidden="1">
      <c r="A746" s="1354"/>
      <c r="B746" s="1324"/>
      <c r="C746" s="1320"/>
      <c r="D746" s="1320"/>
      <c r="E746" s="1320"/>
      <c r="F746" s="1320" t="s">
        <v>190</v>
      </c>
      <c r="G746" s="1322"/>
      <c r="H746" s="165" t="s">
        <v>12</v>
      </c>
      <c r="I746" s="886"/>
      <c r="J746" s="886"/>
      <c r="K746" s="887"/>
      <c r="L746" s="887"/>
      <c r="M746" s="887"/>
      <c r="N746" s="887"/>
      <c r="O746" s="887"/>
      <c r="P746" s="887"/>
      <c r="Q746" s="1323"/>
      <c r="R746" s="1323"/>
      <c r="S746" s="1323"/>
      <c r="T746" s="1323"/>
      <c r="U746" s="1323"/>
      <c r="V746" s="1323"/>
      <c r="W746" s="1323"/>
      <c r="X746" s="1323"/>
      <c r="Y746" s="1323"/>
      <c r="Z746" s="1323"/>
    </row>
    <row r="747" spans="1:26" ht="19.5" hidden="1">
      <c r="A747" s="1319"/>
      <c r="B747" s="1324"/>
      <c r="C747" s="1320"/>
      <c r="D747" s="1453" t="s">
        <v>21</v>
      </c>
      <c r="E747" s="1320"/>
      <c r="F747" s="1320"/>
      <c r="G747" s="1322"/>
      <c r="H747" s="781" t="s">
        <v>12</v>
      </c>
      <c r="I747" s="1000"/>
      <c r="J747" s="1000"/>
      <c r="K747" s="1001"/>
      <c r="L747" s="1352">
        <f t="shared" ref="L747:N747" si="299">L748+L749</f>
        <v>0</v>
      </c>
      <c r="M747" s="1352">
        <f t="shared" si="299"/>
        <v>0</v>
      </c>
      <c r="N747" s="1352">
        <f t="shared" si="299"/>
        <v>0</v>
      </c>
      <c r="O747" s="1352">
        <f t="shared" ref="O747:O749" si="300">IF(L747&gt;0,N747*100/L747,0)</f>
        <v>0</v>
      </c>
      <c r="P747" s="1352">
        <f t="shared" ref="P747:P749" si="301">IF(M747&gt;0,N747*100/M747,0)</f>
        <v>0</v>
      </c>
      <c r="Q747" s="1323"/>
      <c r="R747" s="1323"/>
      <c r="S747" s="1323"/>
      <c r="T747" s="1323"/>
      <c r="U747" s="1323"/>
      <c r="V747" s="1323"/>
      <c r="W747" s="1323"/>
      <c r="X747" s="1323"/>
      <c r="Y747" s="1323"/>
      <c r="Z747" s="1323"/>
    </row>
    <row r="748" spans="1:26" ht="18.75" hidden="1">
      <c r="A748" s="1319"/>
      <c r="B748" s="1324"/>
      <c r="C748" s="1320"/>
      <c r="D748" s="1320"/>
      <c r="E748" s="1320" t="s">
        <v>18</v>
      </c>
      <c r="F748" s="1320"/>
      <c r="G748" s="1322"/>
      <c r="H748" s="165" t="s">
        <v>12</v>
      </c>
      <c r="I748" s="1000"/>
      <c r="J748" s="1000"/>
      <c r="K748" s="1001"/>
      <c r="L748" s="887">
        <v>0</v>
      </c>
      <c r="M748" s="887">
        <v>0</v>
      </c>
      <c r="N748" s="887">
        <v>0</v>
      </c>
      <c r="O748" s="887">
        <f t="shared" si="300"/>
        <v>0</v>
      </c>
      <c r="P748" s="887">
        <f t="shared" si="301"/>
        <v>0</v>
      </c>
      <c r="Q748" s="1323"/>
      <c r="R748" s="1323"/>
      <c r="S748" s="1323"/>
      <c r="T748" s="1323"/>
      <c r="U748" s="1323"/>
      <c r="V748" s="1323"/>
      <c r="W748" s="1323"/>
      <c r="X748" s="1323"/>
      <c r="Y748" s="1323"/>
      <c r="Z748" s="1323"/>
    </row>
    <row r="749" spans="1:26" ht="18.75" hidden="1">
      <c r="A749" s="1319"/>
      <c r="B749" s="1324"/>
      <c r="C749" s="1320"/>
      <c r="D749" s="1320"/>
      <c r="E749" s="1320" t="s">
        <v>19</v>
      </c>
      <c r="F749" s="1320"/>
      <c r="G749" s="1322"/>
      <c r="H749" s="169" t="s">
        <v>12</v>
      </c>
      <c r="I749" s="1000"/>
      <c r="J749" s="1000"/>
      <c r="K749" s="1001"/>
      <c r="L749" s="887">
        <v>0</v>
      </c>
      <c r="M749" s="887">
        <v>0</v>
      </c>
      <c r="N749" s="887">
        <v>0</v>
      </c>
      <c r="O749" s="887">
        <f t="shared" si="300"/>
        <v>0</v>
      </c>
      <c r="P749" s="887">
        <f t="shared" si="301"/>
        <v>0</v>
      </c>
      <c r="Q749" s="1323"/>
      <c r="R749" s="1323"/>
      <c r="S749" s="1323"/>
      <c r="T749" s="1323"/>
      <c r="U749" s="1323"/>
      <c r="V749" s="1323"/>
      <c r="W749" s="1323"/>
      <c r="X749" s="1323"/>
      <c r="Y749" s="1323"/>
      <c r="Z749" s="1323"/>
    </row>
    <row r="750" spans="1:26" ht="19.5" hidden="1">
      <c r="A750" s="1332"/>
      <c r="B750" s="1333"/>
      <c r="C750" s="1320" t="s">
        <v>16</v>
      </c>
      <c r="D750" s="1454" t="s">
        <v>38</v>
      </c>
      <c r="E750" s="1356"/>
      <c r="F750" s="1356"/>
      <c r="G750" s="1357"/>
      <c r="H750" s="1113"/>
      <c r="I750" s="1000"/>
      <c r="J750" s="1000"/>
      <c r="K750" s="1001"/>
      <c r="L750" s="1001"/>
      <c r="M750" s="1001"/>
      <c r="N750" s="1001"/>
      <c r="O750" s="1001"/>
      <c r="P750" s="1001"/>
      <c r="Q750" s="1323"/>
      <c r="R750" s="1323"/>
      <c r="S750" s="1323"/>
      <c r="T750" s="1323"/>
      <c r="U750" s="1323"/>
      <c r="V750" s="1323"/>
      <c r="W750" s="1323"/>
      <c r="X750" s="1323"/>
      <c r="Y750" s="1323"/>
      <c r="Z750" s="1323"/>
    </row>
    <row r="751" spans="1:26" ht="18.75" hidden="1">
      <c r="A751" s="1354"/>
      <c r="B751" s="1324"/>
      <c r="C751" s="1320"/>
      <c r="D751" s="1320"/>
      <c r="E751" s="1320" t="s">
        <v>314</v>
      </c>
      <c r="F751" s="1320"/>
      <c r="G751" s="1322"/>
      <c r="H751" s="165" t="s">
        <v>46</v>
      </c>
      <c r="I751" s="886"/>
      <c r="J751" s="886"/>
      <c r="K751" s="887"/>
      <c r="L751" s="887"/>
      <c r="M751" s="887"/>
      <c r="N751" s="887"/>
      <c r="O751" s="887"/>
      <c r="P751" s="887"/>
      <c r="Q751" s="1323"/>
      <c r="R751" s="1323"/>
      <c r="S751" s="1323"/>
      <c r="T751" s="1323"/>
      <c r="U751" s="1323"/>
      <c r="V751" s="1323"/>
      <c r="W751" s="1323"/>
      <c r="X751" s="1323"/>
      <c r="Y751" s="1323"/>
      <c r="Z751" s="1323"/>
    </row>
    <row r="752" spans="1:26" ht="18.75" hidden="1">
      <c r="A752" s="1354"/>
      <c r="B752" s="1324"/>
      <c r="C752" s="1320"/>
      <c r="D752" s="1320"/>
      <c r="E752" s="1320"/>
      <c r="F752" s="1320"/>
      <c r="G752" s="1322"/>
      <c r="H752" s="165" t="s">
        <v>315</v>
      </c>
      <c r="I752" s="886"/>
      <c r="J752" s="886"/>
      <c r="K752" s="887"/>
      <c r="L752" s="887"/>
      <c r="M752" s="887"/>
      <c r="N752" s="887"/>
      <c r="O752" s="887"/>
      <c r="P752" s="887"/>
      <c r="Q752" s="1323"/>
      <c r="R752" s="1323"/>
      <c r="S752" s="1323"/>
      <c r="T752" s="1323"/>
      <c r="U752" s="1323"/>
      <c r="V752" s="1323"/>
      <c r="W752" s="1323"/>
      <c r="X752" s="1323"/>
      <c r="Y752" s="1323"/>
      <c r="Z752" s="1323"/>
    </row>
    <row r="753" spans="1:26" ht="19.5" hidden="1">
      <c r="A753" s="783">
        <v>10</v>
      </c>
      <c r="B753" s="1455" t="s">
        <v>316</v>
      </c>
      <c r="C753" s="1456"/>
      <c r="D753" s="1456"/>
      <c r="E753" s="1456"/>
      <c r="F753" s="1456"/>
      <c r="G753" s="1457"/>
      <c r="H753" s="787" t="s">
        <v>46</v>
      </c>
      <c r="I753" s="1458"/>
      <c r="J753" s="1458">
        <f>J768</f>
        <v>0</v>
      </c>
      <c r="K753" s="1459">
        <f>IF(I753&gt;0,J753*100/I753,0)</f>
        <v>0</v>
      </c>
      <c r="L753" s="1460"/>
      <c r="M753" s="1460"/>
      <c r="N753" s="1460"/>
      <c r="O753" s="1460"/>
      <c r="P753" s="1460"/>
      <c r="Q753" s="1323"/>
      <c r="R753" s="1323"/>
      <c r="S753" s="1323"/>
      <c r="T753" s="1323"/>
      <c r="U753" s="1323"/>
      <c r="V753" s="1323"/>
      <c r="W753" s="1323"/>
      <c r="X753" s="1323"/>
      <c r="Y753" s="1323"/>
      <c r="Z753" s="1323"/>
    </row>
    <row r="754" spans="1:26" ht="19.5" hidden="1">
      <c r="A754" s="1319"/>
      <c r="B754" s="1320"/>
      <c r="C754" s="1320" t="s">
        <v>16</v>
      </c>
      <c r="D754" s="1351" t="s">
        <v>17</v>
      </c>
      <c r="E754" s="841"/>
      <c r="F754" s="841"/>
      <c r="G754" s="1322"/>
      <c r="H754" s="644" t="s">
        <v>12</v>
      </c>
      <c r="I754" s="886"/>
      <c r="J754" s="886"/>
      <c r="K754" s="887"/>
      <c r="L754" s="1352">
        <f t="shared" ref="L754:N754" si="302">L755+L756</f>
        <v>0</v>
      </c>
      <c r="M754" s="1352">
        <f t="shared" si="302"/>
        <v>0</v>
      </c>
      <c r="N754" s="1352">
        <f t="shared" si="302"/>
        <v>0</v>
      </c>
      <c r="O754" s="1352">
        <f t="shared" ref="O754:O759" si="303">IF(L754&gt;0,N754*100/L754,0)</f>
        <v>0</v>
      </c>
      <c r="P754" s="1352">
        <f t="shared" ref="P754:P759" si="304">IF(M754&gt;0,N754*100/M754,0)</f>
        <v>0</v>
      </c>
      <c r="Q754" s="1323"/>
      <c r="R754" s="1323"/>
      <c r="S754" s="1323"/>
      <c r="T754" s="1323"/>
      <c r="U754" s="1323"/>
      <c r="V754" s="1323"/>
      <c r="W754" s="1323"/>
      <c r="X754" s="1323"/>
      <c r="Y754" s="1323"/>
      <c r="Z754" s="1323"/>
    </row>
    <row r="755" spans="1:26" ht="18.75" hidden="1">
      <c r="A755" s="1319"/>
      <c r="B755" s="1320"/>
      <c r="C755" s="1320"/>
      <c r="D755" s="1321"/>
      <c r="E755" s="1320" t="s">
        <v>185</v>
      </c>
      <c r="F755" s="1320"/>
      <c r="G755" s="1322"/>
      <c r="H755" s="165" t="s">
        <v>12</v>
      </c>
      <c r="I755" s="886"/>
      <c r="J755" s="886"/>
      <c r="K755" s="887"/>
      <c r="L755" s="887">
        <f t="shared" ref="L755:N756" si="305">L758+L765</f>
        <v>0</v>
      </c>
      <c r="M755" s="887">
        <f t="shared" si="305"/>
        <v>0</v>
      </c>
      <c r="N755" s="887">
        <f t="shared" si="305"/>
        <v>0</v>
      </c>
      <c r="O755" s="887">
        <f t="shared" si="303"/>
        <v>0</v>
      </c>
      <c r="P755" s="887">
        <f t="shared" si="304"/>
        <v>0</v>
      </c>
      <c r="Q755" s="1323"/>
      <c r="R755" s="1323"/>
      <c r="S755" s="1323"/>
      <c r="T755" s="1323"/>
      <c r="U755" s="1323"/>
      <c r="V755" s="1323"/>
      <c r="W755" s="1323"/>
      <c r="X755" s="1323"/>
      <c r="Y755" s="1323"/>
      <c r="Z755" s="1323"/>
    </row>
    <row r="756" spans="1:26" ht="18.75" hidden="1">
      <c r="A756" s="1319"/>
      <c r="B756" s="1324"/>
      <c r="C756" s="1320"/>
      <c r="D756" s="1321"/>
      <c r="E756" s="1320" t="s">
        <v>186</v>
      </c>
      <c r="F756" s="1320"/>
      <c r="G756" s="1322"/>
      <c r="H756" s="165" t="s">
        <v>12</v>
      </c>
      <c r="I756" s="886"/>
      <c r="J756" s="886"/>
      <c r="K756" s="887"/>
      <c r="L756" s="887">
        <f t="shared" si="305"/>
        <v>0</v>
      </c>
      <c r="M756" s="887">
        <f t="shared" si="305"/>
        <v>0</v>
      </c>
      <c r="N756" s="887">
        <f t="shared" si="305"/>
        <v>0</v>
      </c>
      <c r="O756" s="887">
        <f t="shared" si="303"/>
        <v>0</v>
      </c>
      <c r="P756" s="887">
        <f t="shared" si="304"/>
        <v>0</v>
      </c>
      <c r="Q756" s="1323"/>
      <c r="R756" s="1323"/>
      <c r="S756" s="1323"/>
      <c r="T756" s="1323"/>
      <c r="U756" s="1323"/>
      <c r="V756" s="1323"/>
      <c r="W756" s="1323"/>
      <c r="X756" s="1323"/>
      <c r="Y756" s="1323"/>
      <c r="Z756" s="1323"/>
    </row>
    <row r="757" spans="1:26" ht="19.5" hidden="1">
      <c r="A757" s="1319"/>
      <c r="B757" s="1324"/>
      <c r="C757" s="1320"/>
      <c r="D757" s="1453" t="s">
        <v>20</v>
      </c>
      <c r="E757" s="1320"/>
      <c r="F757" s="1320"/>
      <c r="G757" s="1322"/>
      <c r="H757" s="644" t="s">
        <v>12</v>
      </c>
      <c r="I757" s="1000"/>
      <c r="J757" s="1000"/>
      <c r="K757" s="1001"/>
      <c r="L757" s="1352">
        <f t="shared" ref="L757:N757" si="306">L758+L759</f>
        <v>0</v>
      </c>
      <c r="M757" s="1352">
        <f t="shared" si="306"/>
        <v>0</v>
      </c>
      <c r="N757" s="1352">
        <f t="shared" si="306"/>
        <v>0</v>
      </c>
      <c r="O757" s="1352">
        <f t="shared" si="303"/>
        <v>0</v>
      </c>
      <c r="P757" s="1352">
        <f t="shared" si="304"/>
        <v>0</v>
      </c>
      <c r="Q757" s="1323"/>
      <c r="R757" s="1323"/>
      <c r="S757" s="1323"/>
      <c r="T757" s="1323"/>
      <c r="U757" s="1323"/>
      <c r="V757" s="1323"/>
      <c r="W757" s="1323"/>
      <c r="X757" s="1323"/>
      <c r="Y757" s="1323"/>
      <c r="Z757" s="1323"/>
    </row>
    <row r="758" spans="1:26" ht="18.75" hidden="1">
      <c r="A758" s="1319"/>
      <c r="B758" s="1324"/>
      <c r="C758" s="1320"/>
      <c r="D758" s="1321"/>
      <c r="E758" s="1320" t="s">
        <v>185</v>
      </c>
      <c r="F758" s="1320"/>
      <c r="G758" s="1322"/>
      <c r="H758" s="165" t="s">
        <v>12</v>
      </c>
      <c r="I758" s="886"/>
      <c r="J758" s="886"/>
      <c r="K758" s="887"/>
      <c r="L758" s="887">
        <v>0</v>
      </c>
      <c r="M758" s="887">
        <v>0</v>
      </c>
      <c r="N758" s="887">
        <v>0</v>
      </c>
      <c r="O758" s="887">
        <f t="shared" si="303"/>
        <v>0</v>
      </c>
      <c r="P758" s="887">
        <f t="shared" si="304"/>
        <v>0</v>
      </c>
      <c r="Q758" s="1323"/>
      <c r="R758" s="1323"/>
      <c r="S758" s="1323"/>
      <c r="T758" s="1323"/>
      <c r="U758" s="1323"/>
      <c r="V758" s="1323"/>
      <c r="W758" s="1323"/>
      <c r="X758" s="1323"/>
      <c r="Y758" s="1323"/>
      <c r="Z758" s="1323"/>
    </row>
    <row r="759" spans="1:26" ht="18.75" hidden="1">
      <c r="A759" s="1319"/>
      <c r="B759" s="1324"/>
      <c r="C759" s="1320"/>
      <c r="D759" s="1321"/>
      <c r="E759" s="1320" t="s">
        <v>186</v>
      </c>
      <c r="F759" s="1320"/>
      <c r="G759" s="1322"/>
      <c r="H759" s="165" t="s">
        <v>12</v>
      </c>
      <c r="I759" s="886"/>
      <c r="J759" s="886"/>
      <c r="K759" s="887"/>
      <c r="L759" s="887">
        <v>0</v>
      </c>
      <c r="M759" s="887">
        <v>0</v>
      </c>
      <c r="N759" s="887">
        <f>N760+N761+N762+N763</f>
        <v>0</v>
      </c>
      <c r="O759" s="887">
        <f t="shared" si="303"/>
        <v>0</v>
      </c>
      <c r="P759" s="887">
        <f t="shared" si="304"/>
        <v>0</v>
      </c>
      <c r="Q759" s="1323"/>
      <c r="R759" s="1323"/>
      <c r="S759" s="1323"/>
      <c r="T759" s="1323"/>
      <c r="U759" s="1323"/>
      <c r="V759" s="1323"/>
      <c r="W759" s="1323"/>
      <c r="X759" s="1323"/>
      <c r="Y759" s="1323"/>
      <c r="Z759" s="1323"/>
    </row>
    <row r="760" spans="1:26" ht="18.75" hidden="1">
      <c r="A760" s="1354"/>
      <c r="B760" s="1324"/>
      <c r="C760" s="1320"/>
      <c r="D760" s="1320"/>
      <c r="E760" s="1320"/>
      <c r="F760" s="1320" t="s">
        <v>187</v>
      </c>
      <c r="G760" s="1322"/>
      <c r="H760" s="165" t="s">
        <v>12</v>
      </c>
      <c r="I760" s="886"/>
      <c r="J760" s="886"/>
      <c r="K760" s="887"/>
      <c r="L760" s="887"/>
      <c r="M760" s="887"/>
      <c r="N760" s="887"/>
      <c r="O760" s="887"/>
      <c r="P760" s="887"/>
      <c r="Q760" s="1323"/>
      <c r="R760" s="1323"/>
      <c r="S760" s="1323"/>
      <c r="T760" s="1323"/>
      <c r="U760" s="1323"/>
      <c r="V760" s="1323"/>
      <c r="W760" s="1323"/>
      <c r="X760" s="1323"/>
      <c r="Y760" s="1323"/>
      <c r="Z760" s="1323"/>
    </row>
    <row r="761" spans="1:26" ht="18.75" hidden="1">
      <c r="A761" s="1354"/>
      <c r="B761" s="1324"/>
      <c r="C761" s="1320"/>
      <c r="D761" s="1320"/>
      <c r="E761" s="1320"/>
      <c r="F761" s="1320" t="s">
        <v>188</v>
      </c>
      <c r="G761" s="1322"/>
      <c r="H761" s="165" t="s">
        <v>12</v>
      </c>
      <c r="I761" s="886"/>
      <c r="J761" s="886"/>
      <c r="K761" s="887"/>
      <c r="L761" s="887"/>
      <c r="M761" s="887"/>
      <c r="N761" s="887"/>
      <c r="O761" s="887"/>
      <c r="P761" s="887"/>
      <c r="Q761" s="1323"/>
      <c r="R761" s="1323"/>
      <c r="S761" s="1323"/>
      <c r="T761" s="1323"/>
      <c r="U761" s="1323"/>
      <c r="V761" s="1323"/>
      <c r="W761" s="1323"/>
      <c r="X761" s="1323"/>
      <c r="Y761" s="1323"/>
      <c r="Z761" s="1323"/>
    </row>
    <row r="762" spans="1:26" ht="18.75" hidden="1">
      <c r="A762" s="1354"/>
      <c r="B762" s="1324"/>
      <c r="C762" s="1320"/>
      <c r="D762" s="1320"/>
      <c r="E762" s="1320"/>
      <c r="F762" s="1320" t="s">
        <v>189</v>
      </c>
      <c r="G762" s="1322"/>
      <c r="H762" s="165" t="s">
        <v>12</v>
      </c>
      <c r="I762" s="886"/>
      <c r="J762" s="886"/>
      <c r="K762" s="887"/>
      <c r="L762" s="887"/>
      <c r="M762" s="887"/>
      <c r="N762" s="887"/>
      <c r="O762" s="887"/>
      <c r="P762" s="887"/>
      <c r="Q762" s="1323"/>
      <c r="R762" s="1323"/>
      <c r="S762" s="1323"/>
      <c r="T762" s="1323"/>
      <c r="U762" s="1323"/>
      <c r="V762" s="1323"/>
      <c r="W762" s="1323"/>
      <c r="X762" s="1323"/>
      <c r="Y762" s="1323"/>
      <c r="Z762" s="1323"/>
    </row>
    <row r="763" spans="1:26" ht="18.75" hidden="1">
      <c r="A763" s="1354"/>
      <c r="B763" s="1324"/>
      <c r="C763" s="1320"/>
      <c r="D763" s="1320"/>
      <c r="E763" s="1320"/>
      <c r="F763" s="1320" t="s">
        <v>190</v>
      </c>
      <c r="G763" s="1322"/>
      <c r="H763" s="165" t="s">
        <v>12</v>
      </c>
      <c r="I763" s="886"/>
      <c r="J763" s="886"/>
      <c r="K763" s="887"/>
      <c r="L763" s="887"/>
      <c r="M763" s="887"/>
      <c r="N763" s="887"/>
      <c r="O763" s="887"/>
      <c r="P763" s="887"/>
      <c r="Q763" s="1323"/>
      <c r="R763" s="1323"/>
      <c r="S763" s="1323"/>
      <c r="T763" s="1323"/>
      <c r="U763" s="1323"/>
      <c r="V763" s="1323"/>
      <c r="W763" s="1323"/>
      <c r="X763" s="1323"/>
      <c r="Y763" s="1323"/>
      <c r="Z763" s="1323"/>
    </row>
    <row r="764" spans="1:26" ht="19.5" hidden="1">
      <c r="A764" s="1319"/>
      <c r="B764" s="1324"/>
      <c r="C764" s="1320"/>
      <c r="D764" s="1453" t="s">
        <v>21</v>
      </c>
      <c r="E764" s="1320"/>
      <c r="F764" s="1320"/>
      <c r="G764" s="1322"/>
      <c r="H764" s="781" t="s">
        <v>12</v>
      </c>
      <c r="I764" s="1000"/>
      <c r="J764" s="1000"/>
      <c r="K764" s="1001"/>
      <c r="L764" s="1352">
        <f t="shared" ref="L764:N764" si="307">L765+L766</f>
        <v>0</v>
      </c>
      <c r="M764" s="1352">
        <f t="shared" si="307"/>
        <v>0</v>
      </c>
      <c r="N764" s="1352">
        <f t="shared" si="307"/>
        <v>0</v>
      </c>
      <c r="O764" s="1352">
        <f t="shared" ref="O764:O766" si="308">IF(L764&gt;0,N764*100/L764,0)</f>
        <v>0</v>
      </c>
      <c r="P764" s="1352">
        <f t="shared" ref="P764:P766" si="309">IF(M764&gt;0,N764*100/M764,0)</f>
        <v>0</v>
      </c>
      <c r="Q764" s="1323"/>
      <c r="R764" s="1323"/>
      <c r="S764" s="1323"/>
      <c r="T764" s="1323"/>
      <c r="U764" s="1323"/>
      <c r="V764" s="1323"/>
      <c r="W764" s="1323"/>
      <c r="X764" s="1323"/>
      <c r="Y764" s="1323"/>
      <c r="Z764" s="1323"/>
    </row>
    <row r="765" spans="1:26" ht="18.75" hidden="1">
      <c r="A765" s="1319"/>
      <c r="B765" s="1324"/>
      <c r="C765" s="1320"/>
      <c r="D765" s="1320"/>
      <c r="E765" s="1320" t="s">
        <v>18</v>
      </c>
      <c r="F765" s="1320"/>
      <c r="G765" s="1322"/>
      <c r="H765" s="165" t="s">
        <v>12</v>
      </c>
      <c r="I765" s="1000"/>
      <c r="J765" s="1000"/>
      <c r="K765" s="1001"/>
      <c r="L765" s="887">
        <v>0</v>
      </c>
      <c r="M765" s="887">
        <v>0</v>
      </c>
      <c r="N765" s="887">
        <v>0</v>
      </c>
      <c r="O765" s="887">
        <f t="shared" si="308"/>
        <v>0</v>
      </c>
      <c r="P765" s="887">
        <f t="shared" si="309"/>
        <v>0</v>
      </c>
      <c r="Q765" s="1323"/>
      <c r="R765" s="1323"/>
      <c r="S765" s="1323"/>
      <c r="T765" s="1323"/>
      <c r="U765" s="1323"/>
      <c r="V765" s="1323"/>
      <c r="W765" s="1323"/>
      <c r="X765" s="1323"/>
      <c r="Y765" s="1323"/>
      <c r="Z765" s="1323"/>
    </row>
    <row r="766" spans="1:26" ht="18.75" hidden="1">
      <c r="A766" s="1319"/>
      <c r="B766" s="1324"/>
      <c r="C766" s="1320"/>
      <c r="D766" s="1320"/>
      <c r="E766" s="1320" t="s">
        <v>19</v>
      </c>
      <c r="F766" s="1320"/>
      <c r="G766" s="1322"/>
      <c r="H766" s="169" t="s">
        <v>12</v>
      </c>
      <c r="I766" s="1000"/>
      <c r="J766" s="1000"/>
      <c r="K766" s="1001"/>
      <c r="L766" s="887">
        <v>0</v>
      </c>
      <c r="M766" s="887">
        <v>0</v>
      </c>
      <c r="N766" s="887">
        <v>0</v>
      </c>
      <c r="O766" s="887">
        <f t="shared" si="308"/>
        <v>0</v>
      </c>
      <c r="P766" s="887">
        <f t="shared" si="309"/>
        <v>0</v>
      </c>
      <c r="Q766" s="1323"/>
      <c r="R766" s="1323"/>
      <c r="S766" s="1323"/>
      <c r="T766" s="1323"/>
      <c r="U766" s="1323"/>
      <c r="V766" s="1323"/>
      <c r="W766" s="1323"/>
      <c r="X766" s="1323"/>
      <c r="Y766" s="1323"/>
      <c r="Z766" s="1323"/>
    </row>
    <row r="767" spans="1:26" ht="19.5" hidden="1">
      <c r="A767" s="1332"/>
      <c r="B767" s="1333"/>
      <c r="C767" s="1320" t="s">
        <v>16</v>
      </c>
      <c r="D767" s="1454" t="s">
        <v>38</v>
      </c>
      <c r="E767" s="1356"/>
      <c r="F767" s="1356"/>
      <c r="G767" s="1357"/>
      <c r="H767" s="1113"/>
      <c r="I767" s="1000"/>
      <c r="J767" s="1000"/>
      <c r="K767" s="1001"/>
      <c r="L767" s="1001"/>
      <c r="M767" s="1001"/>
      <c r="N767" s="1001"/>
      <c r="O767" s="1001"/>
      <c r="P767" s="1001"/>
      <c r="Q767" s="1323"/>
      <c r="R767" s="1323"/>
      <c r="S767" s="1323"/>
      <c r="T767" s="1323"/>
      <c r="U767" s="1323"/>
      <c r="V767" s="1323"/>
      <c r="W767" s="1323"/>
      <c r="X767" s="1323"/>
      <c r="Y767" s="1323"/>
      <c r="Z767" s="1323"/>
    </row>
    <row r="768" spans="1:26" ht="18.75" hidden="1">
      <c r="A768" s="1354"/>
      <c r="B768" s="1324"/>
      <c r="C768" s="1320"/>
      <c r="D768" s="1320"/>
      <c r="E768" s="1320" t="s">
        <v>317</v>
      </c>
      <c r="F768" s="1320"/>
      <c r="G768" s="1322"/>
      <c r="H768" s="165" t="s">
        <v>46</v>
      </c>
      <c r="I768" s="886"/>
      <c r="J768" s="886"/>
      <c r="K768" s="887"/>
      <c r="L768" s="887"/>
      <c r="M768" s="887"/>
      <c r="N768" s="887"/>
      <c r="O768" s="887"/>
      <c r="P768" s="887"/>
      <c r="Q768" s="1323"/>
      <c r="R768" s="1323"/>
      <c r="S768" s="1323"/>
      <c r="T768" s="1323"/>
      <c r="U768" s="1323"/>
      <c r="V768" s="1323"/>
      <c r="W768" s="1323"/>
      <c r="X768" s="1323"/>
      <c r="Y768" s="1323"/>
      <c r="Z768" s="1323"/>
    </row>
    <row r="769" spans="1:26" ht="19.5" hidden="1">
      <c r="A769" s="791">
        <v>11</v>
      </c>
      <c r="B769" s="1461" t="s">
        <v>318</v>
      </c>
      <c r="C769" s="1462"/>
      <c r="D769" s="1462"/>
      <c r="E769" s="1462"/>
      <c r="F769" s="1462"/>
      <c r="G769" s="1463"/>
      <c r="H769" s="795" t="s">
        <v>46</v>
      </c>
      <c r="I769" s="1464"/>
      <c r="J769" s="1464">
        <f>J784</f>
        <v>0</v>
      </c>
      <c r="K769" s="1465">
        <f>IF(I769&gt;0,J769*100/I769,0)</f>
        <v>0</v>
      </c>
      <c r="L769" s="1466"/>
      <c r="M769" s="1466"/>
      <c r="N769" s="1466"/>
      <c r="O769" s="1466"/>
      <c r="P769" s="1466"/>
      <c r="Q769" s="1323"/>
      <c r="R769" s="1323"/>
      <c r="S769" s="1323"/>
      <c r="T769" s="1323"/>
      <c r="U769" s="1323"/>
      <c r="V769" s="1323"/>
      <c r="W769" s="1323"/>
      <c r="X769" s="1323"/>
      <c r="Y769" s="1323"/>
      <c r="Z769" s="1323"/>
    </row>
    <row r="770" spans="1:26" ht="19.5" hidden="1">
      <c r="A770" s="1319"/>
      <c r="B770" s="1320"/>
      <c r="C770" s="1320" t="s">
        <v>16</v>
      </c>
      <c r="D770" s="1351" t="s">
        <v>17</v>
      </c>
      <c r="E770" s="841"/>
      <c r="F770" s="841"/>
      <c r="G770" s="1322"/>
      <c r="H770" s="644" t="s">
        <v>12</v>
      </c>
      <c r="I770" s="886"/>
      <c r="J770" s="886"/>
      <c r="K770" s="887"/>
      <c r="L770" s="1352">
        <f t="shared" ref="L770:N770" si="310">L771+L772</f>
        <v>0</v>
      </c>
      <c r="M770" s="1352">
        <f t="shared" si="310"/>
        <v>0</v>
      </c>
      <c r="N770" s="1352">
        <f t="shared" si="310"/>
        <v>0</v>
      </c>
      <c r="O770" s="1352">
        <f t="shared" ref="O770:O775" si="311">IF(L770&gt;0,N770*100/L770,0)</f>
        <v>0</v>
      </c>
      <c r="P770" s="1352">
        <f t="shared" ref="P770:P775" si="312">IF(M770&gt;0,N770*100/M770,0)</f>
        <v>0</v>
      </c>
      <c r="Q770" s="1323"/>
      <c r="R770" s="1323"/>
      <c r="S770" s="1323"/>
      <c r="T770" s="1323"/>
      <c r="U770" s="1323"/>
      <c r="V770" s="1323"/>
      <c r="W770" s="1323"/>
      <c r="X770" s="1323"/>
      <c r="Y770" s="1323"/>
      <c r="Z770" s="1323"/>
    </row>
    <row r="771" spans="1:26" ht="18.75" hidden="1">
      <c r="A771" s="1319"/>
      <c r="B771" s="1320"/>
      <c r="C771" s="1320"/>
      <c r="D771" s="1321"/>
      <c r="E771" s="1320" t="s">
        <v>185</v>
      </c>
      <c r="F771" s="1320"/>
      <c r="G771" s="1322"/>
      <c r="H771" s="165" t="s">
        <v>12</v>
      </c>
      <c r="I771" s="886"/>
      <c r="J771" s="886"/>
      <c r="K771" s="887"/>
      <c r="L771" s="887">
        <f t="shared" ref="L771:N772" si="313">L774+L781</f>
        <v>0</v>
      </c>
      <c r="M771" s="887">
        <f t="shared" si="313"/>
        <v>0</v>
      </c>
      <c r="N771" s="887">
        <f t="shared" si="313"/>
        <v>0</v>
      </c>
      <c r="O771" s="887">
        <f t="shared" si="311"/>
        <v>0</v>
      </c>
      <c r="P771" s="887">
        <f t="shared" si="312"/>
        <v>0</v>
      </c>
      <c r="Q771" s="1323"/>
      <c r="R771" s="1323"/>
      <c r="S771" s="1323"/>
      <c r="T771" s="1323"/>
      <c r="U771" s="1323"/>
      <c r="V771" s="1323"/>
      <c r="W771" s="1323"/>
      <c r="X771" s="1323"/>
      <c r="Y771" s="1323"/>
      <c r="Z771" s="1323"/>
    </row>
    <row r="772" spans="1:26" ht="18.75" hidden="1">
      <c r="A772" s="1319"/>
      <c r="B772" s="1324"/>
      <c r="C772" s="1320"/>
      <c r="D772" s="1321"/>
      <c r="E772" s="1320" t="s">
        <v>186</v>
      </c>
      <c r="F772" s="1320"/>
      <c r="G772" s="1322"/>
      <c r="H772" s="165" t="s">
        <v>12</v>
      </c>
      <c r="I772" s="886"/>
      <c r="J772" s="886"/>
      <c r="K772" s="887"/>
      <c r="L772" s="887">
        <f t="shared" si="313"/>
        <v>0</v>
      </c>
      <c r="M772" s="887">
        <f t="shared" si="313"/>
        <v>0</v>
      </c>
      <c r="N772" s="887">
        <f t="shared" si="313"/>
        <v>0</v>
      </c>
      <c r="O772" s="887">
        <f t="shared" si="311"/>
        <v>0</v>
      </c>
      <c r="P772" s="887">
        <f t="shared" si="312"/>
        <v>0</v>
      </c>
      <c r="Q772" s="1323"/>
      <c r="R772" s="1323"/>
      <c r="S772" s="1323"/>
      <c r="T772" s="1323"/>
      <c r="U772" s="1323"/>
      <c r="V772" s="1323"/>
      <c r="W772" s="1323"/>
      <c r="X772" s="1323"/>
      <c r="Y772" s="1323"/>
      <c r="Z772" s="1323"/>
    </row>
    <row r="773" spans="1:26" ht="19.5" hidden="1">
      <c r="A773" s="1319"/>
      <c r="B773" s="1324"/>
      <c r="C773" s="1320"/>
      <c r="D773" s="1453" t="s">
        <v>20</v>
      </c>
      <c r="E773" s="1320"/>
      <c r="F773" s="1320"/>
      <c r="G773" s="1322"/>
      <c r="H773" s="644" t="s">
        <v>12</v>
      </c>
      <c r="I773" s="1000"/>
      <c r="J773" s="1000"/>
      <c r="K773" s="1001"/>
      <c r="L773" s="1352">
        <f t="shared" ref="L773:N773" si="314">L774+L775</f>
        <v>0</v>
      </c>
      <c r="M773" s="1352">
        <f t="shared" si="314"/>
        <v>0</v>
      </c>
      <c r="N773" s="1352">
        <f t="shared" si="314"/>
        <v>0</v>
      </c>
      <c r="O773" s="1352">
        <f t="shared" si="311"/>
        <v>0</v>
      </c>
      <c r="P773" s="1352">
        <f t="shared" si="312"/>
        <v>0</v>
      </c>
      <c r="Q773" s="1323"/>
      <c r="R773" s="1323"/>
      <c r="S773" s="1323"/>
      <c r="T773" s="1323"/>
      <c r="U773" s="1323"/>
      <c r="V773" s="1323"/>
      <c r="W773" s="1323"/>
      <c r="X773" s="1323"/>
      <c r="Y773" s="1323"/>
      <c r="Z773" s="1323"/>
    </row>
    <row r="774" spans="1:26" ht="18.75" hidden="1">
      <c r="A774" s="1319"/>
      <c r="B774" s="1324"/>
      <c r="C774" s="1320"/>
      <c r="D774" s="1321"/>
      <c r="E774" s="1320" t="s">
        <v>185</v>
      </c>
      <c r="F774" s="1320"/>
      <c r="G774" s="1322"/>
      <c r="H774" s="165" t="s">
        <v>12</v>
      </c>
      <c r="I774" s="886"/>
      <c r="J774" s="886"/>
      <c r="K774" s="887"/>
      <c r="L774" s="887">
        <v>0</v>
      </c>
      <c r="M774" s="887">
        <v>0</v>
      </c>
      <c r="N774" s="887">
        <v>0</v>
      </c>
      <c r="O774" s="887">
        <f t="shared" si="311"/>
        <v>0</v>
      </c>
      <c r="P774" s="887">
        <f t="shared" si="312"/>
        <v>0</v>
      </c>
      <c r="Q774" s="1323"/>
      <c r="R774" s="1323"/>
      <c r="S774" s="1323"/>
      <c r="T774" s="1323"/>
      <c r="U774" s="1323"/>
      <c r="V774" s="1323"/>
      <c r="W774" s="1323"/>
      <c r="X774" s="1323"/>
      <c r="Y774" s="1323"/>
      <c r="Z774" s="1323"/>
    </row>
    <row r="775" spans="1:26" ht="18.75" hidden="1">
      <c r="A775" s="1319"/>
      <c r="B775" s="1324"/>
      <c r="C775" s="1320"/>
      <c r="D775" s="1321"/>
      <c r="E775" s="1320" t="s">
        <v>186</v>
      </c>
      <c r="F775" s="1320"/>
      <c r="G775" s="1322"/>
      <c r="H775" s="165" t="s">
        <v>12</v>
      </c>
      <c r="I775" s="886"/>
      <c r="J775" s="886"/>
      <c r="K775" s="887"/>
      <c r="L775" s="887">
        <v>0</v>
      </c>
      <c r="M775" s="887">
        <v>0</v>
      </c>
      <c r="N775" s="887">
        <f>N776+N777+N778+N779</f>
        <v>0</v>
      </c>
      <c r="O775" s="887">
        <f t="shared" si="311"/>
        <v>0</v>
      </c>
      <c r="P775" s="887">
        <f t="shared" si="312"/>
        <v>0</v>
      </c>
      <c r="Q775" s="1323"/>
      <c r="R775" s="1323"/>
      <c r="S775" s="1323"/>
      <c r="T775" s="1323"/>
      <c r="U775" s="1323"/>
      <c r="V775" s="1323"/>
      <c r="W775" s="1323"/>
      <c r="X775" s="1323"/>
      <c r="Y775" s="1323"/>
      <c r="Z775" s="1323"/>
    </row>
    <row r="776" spans="1:26" ht="18.75" hidden="1">
      <c r="A776" s="1354"/>
      <c r="B776" s="1324"/>
      <c r="C776" s="1320"/>
      <c r="D776" s="1320"/>
      <c r="E776" s="1320"/>
      <c r="F776" s="1320" t="s">
        <v>187</v>
      </c>
      <c r="G776" s="1322"/>
      <c r="H776" s="165" t="s">
        <v>12</v>
      </c>
      <c r="I776" s="886"/>
      <c r="J776" s="886"/>
      <c r="K776" s="887"/>
      <c r="L776" s="887"/>
      <c r="M776" s="887"/>
      <c r="N776" s="887"/>
      <c r="O776" s="887"/>
      <c r="P776" s="887"/>
      <c r="Q776" s="1323"/>
      <c r="R776" s="1323"/>
      <c r="S776" s="1323"/>
      <c r="T776" s="1323"/>
      <c r="U776" s="1323"/>
      <c r="V776" s="1323"/>
      <c r="W776" s="1323"/>
      <c r="X776" s="1323"/>
      <c r="Y776" s="1323"/>
      <c r="Z776" s="1323"/>
    </row>
    <row r="777" spans="1:26" ht="18.75" hidden="1">
      <c r="A777" s="1354"/>
      <c r="B777" s="1324"/>
      <c r="C777" s="1320"/>
      <c r="D777" s="1320"/>
      <c r="E777" s="1320"/>
      <c r="F777" s="1320" t="s">
        <v>188</v>
      </c>
      <c r="G777" s="1322"/>
      <c r="H777" s="165" t="s">
        <v>12</v>
      </c>
      <c r="I777" s="886"/>
      <c r="J777" s="886"/>
      <c r="K777" s="887"/>
      <c r="L777" s="887"/>
      <c r="M777" s="887"/>
      <c r="N777" s="887"/>
      <c r="O777" s="887"/>
      <c r="P777" s="887"/>
      <c r="Q777" s="1323"/>
      <c r="R777" s="1323"/>
      <c r="S777" s="1323"/>
      <c r="T777" s="1323"/>
      <c r="U777" s="1323"/>
      <c r="V777" s="1323"/>
      <c r="W777" s="1323"/>
      <c r="X777" s="1323"/>
      <c r="Y777" s="1323"/>
      <c r="Z777" s="1323"/>
    </row>
    <row r="778" spans="1:26" ht="18.75" hidden="1">
      <c r="A778" s="1354"/>
      <c r="B778" s="1324"/>
      <c r="C778" s="1320"/>
      <c r="D778" s="1320"/>
      <c r="E778" s="1320"/>
      <c r="F778" s="1320" t="s">
        <v>189</v>
      </c>
      <c r="G778" s="1322"/>
      <c r="H778" s="165" t="s">
        <v>12</v>
      </c>
      <c r="I778" s="886"/>
      <c r="J778" s="886"/>
      <c r="K778" s="887"/>
      <c r="L778" s="887"/>
      <c r="M778" s="887"/>
      <c r="N778" s="887"/>
      <c r="O778" s="887"/>
      <c r="P778" s="887"/>
      <c r="Q778" s="1323"/>
      <c r="R778" s="1323"/>
      <c r="S778" s="1323"/>
      <c r="T778" s="1323"/>
      <c r="U778" s="1323"/>
      <c r="V778" s="1323"/>
      <c r="W778" s="1323"/>
      <c r="X778" s="1323"/>
      <c r="Y778" s="1323"/>
      <c r="Z778" s="1323"/>
    </row>
    <row r="779" spans="1:26" ht="18.75" hidden="1">
      <c r="A779" s="1354"/>
      <c r="B779" s="1324"/>
      <c r="C779" s="1320"/>
      <c r="D779" s="1320"/>
      <c r="E779" s="1320"/>
      <c r="F779" s="1320" t="s">
        <v>190</v>
      </c>
      <c r="G779" s="1322"/>
      <c r="H779" s="165" t="s">
        <v>12</v>
      </c>
      <c r="I779" s="886"/>
      <c r="J779" s="886"/>
      <c r="K779" s="887"/>
      <c r="L779" s="887"/>
      <c r="M779" s="887"/>
      <c r="N779" s="887"/>
      <c r="O779" s="887"/>
      <c r="P779" s="887"/>
      <c r="Q779" s="1323"/>
      <c r="R779" s="1323"/>
      <c r="S779" s="1323"/>
      <c r="T779" s="1323"/>
      <c r="U779" s="1323"/>
      <c r="V779" s="1323"/>
      <c r="W779" s="1323"/>
      <c r="X779" s="1323"/>
      <c r="Y779" s="1323"/>
      <c r="Z779" s="1323"/>
    </row>
    <row r="780" spans="1:26" ht="19.5" hidden="1">
      <c r="A780" s="1319"/>
      <c r="B780" s="1324"/>
      <c r="C780" s="1320"/>
      <c r="D780" s="1453" t="s">
        <v>21</v>
      </c>
      <c r="E780" s="1320"/>
      <c r="F780" s="1320"/>
      <c r="G780" s="1322"/>
      <c r="H780" s="781" t="s">
        <v>12</v>
      </c>
      <c r="I780" s="1000"/>
      <c r="J780" s="1000"/>
      <c r="K780" s="1001"/>
      <c r="L780" s="1352">
        <f t="shared" ref="L780:N780" si="315">L781+L782</f>
        <v>0</v>
      </c>
      <c r="M780" s="1352">
        <f t="shared" si="315"/>
        <v>0</v>
      </c>
      <c r="N780" s="1352">
        <f t="shared" si="315"/>
        <v>0</v>
      </c>
      <c r="O780" s="1352">
        <f t="shared" ref="O780:O782" si="316">IF(L780&gt;0,N780*100/L780,0)</f>
        <v>0</v>
      </c>
      <c r="P780" s="1352">
        <f t="shared" ref="P780:P782" si="317">IF(M780&gt;0,N780*100/M780,0)</f>
        <v>0</v>
      </c>
      <c r="Q780" s="1323"/>
      <c r="R780" s="1323"/>
      <c r="S780" s="1323"/>
      <c r="T780" s="1323"/>
      <c r="U780" s="1323"/>
      <c r="V780" s="1323"/>
      <c r="W780" s="1323"/>
      <c r="X780" s="1323"/>
      <c r="Y780" s="1323"/>
      <c r="Z780" s="1323"/>
    </row>
    <row r="781" spans="1:26" ht="18.75" hidden="1">
      <c r="A781" s="1319"/>
      <c r="B781" s="1324"/>
      <c r="C781" s="1320"/>
      <c r="D781" s="1320"/>
      <c r="E781" s="1320" t="s">
        <v>18</v>
      </c>
      <c r="F781" s="1320"/>
      <c r="G781" s="1322"/>
      <c r="H781" s="165" t="s">
        <v>12</v>
      </c>
      <c r="I781" s="1000"/>
      <c r="J781" s="1000"/>
      <c r="K781" s="1001"/>
      <c r="L781" s="887">
        <v>0</v>
      </c>
      <c r="M781" s="887">
        <v>0</v>
      </c>
      <c r="N781" s="887">
        <v>0</v>
      </c>
      <c r="O781" s="887">
        <f t="shared" si="316"/>
        <v>0</v>
      </c>
      <c r="P781" s="887">
        <f t="shared" si="317"/>
        <v>0</v>
      </c>
      <c r="Q781" s="1323"/>
      <c r="R781" s="1323"/>
      <c r="S781" s="1323"/>
      <c r="T781" s="1323"/>
      <c r="U781" s="1323"/>
      <c r="V781" s="1323"/>
      <c r="W781" s="1323"/>
      <c r="X781" s="1323"/>
      <c r="Y781" s="1323"/>
      <c r="Z781" s="1323"/>
    </row>
    <row r="782" spans="1:26" ht="18.75" hidden="1">
      <c r="A782" s="1319"/>
      <c r="B782" s="1324"/>
      <c r="C782" s="1320"/>
      <c r="D782" s="1320"/>
      <c r="E782" s="1320" t="s">
        <v>19</v>
      </c>
      <c r="F782" s="1320"/>
      <c r="G782" s="1322"/>
      <c r="H782" s="169" t="s">
        <v>12</v>
      </c>
      <c r="I782" s="1000"/>
      <c r="J782" s="1000"/>
      <c r="K782" s="1001"/>
      <c r="L782" s="887">
        <v>0</v>
      </c>
      <c r="M782" s="887">
        <v>0</v>
      </c>
      <c r="N782" s="887">
        <v>0</v>
      </c>
      <c r="O782" s="887">
        <f t="shared" si="316"/>
        <v>0</v>
      </c>
      <c r="P782" s="887">
        <f t="shared" si="317"/>
        <v>0</v>
      </c>
      <c r="Q782" s="1323"/>
      <c r="R782" s="1323"/>
      <c r="S782" s="1323"/>
      <c r="T782" s="1323"/>
      <c r="U782" s="1323"/>
      <c r="V782" s="1323"/>
      <c r="W782" s="1323"/>
      <c r="X782" s="1323"/>
      <c r="Y782" s="1323"/>
      <c r="Z782" s="1323"/>
    </row>
    <row r="783" spans="1:26" ht="19.5" hidden="1">
      <c r="A783" s="1332"/>
      <c r="B783" s="1333"/>
      <c r="C783" s="1320" t="s">
        <v>16</v>
      </c>
      <c r="D783" s="1454" t="s">
        <v>38</v>
      </c>
      <c r="E783" s="1356"/>
      <c r="F783" s="1356"/>
      <c r="G783" s="1357"/>
      <c r="H783" s="1467"/>
      <c r="I783" s="1000"/>
      <c r="J783" s="1000"/>
      <c r="K783" s="1001"/>
      <c r="L783" s="1001"/>
      <c r="M783" s="1001"/>
      <c r="N783" s="1001"/>
      <c r="O783" s="1001"/>
      <c r="P783" s="1001"/>
      <c r="Q783" s="1323"/>
      <c r="R783" s="1323"/>
      <c r="S783" s="1323"/>
      <c r="T783" s="1323"/>
      <c r="U783" s="1323"/>
      <c r="V783" s="1323"/>
      <c r="W783" s="1323"/>
      <c r="X783" s="1323"/>
      <c r="Y783" s="1323"/>
      <c r="Z783" s="1323"/>
    </row>
    <row r="784" spans="1:26" ht="18.75" hidden="1">
      <c r="A784" s="1354"/>
      <c r="B784" s="1324"/>
      <c r="C784" s="1320"/>
      <c r="D784" s="1320"/>
      <c r="E784" s="1320" t="s">
        <v>319</v>
      </c>
      <c r="F784" s="1320"/>
      <c r="G784" s="1322"/>
      <c r="H784" s="165" t="s">
        <v>46</v>
      </c>
      <c r="I784" s="886"/>
      <c r="J784" s="886"/>
      <c r="K784" s="887"/>
      <c r="L784" s="887"/>
      <c r="M784" s="887"/>
      <c r="N784" s="887"/>
      <c r="O784" s="887"/>
      <c r="P784" s="887"/>
      <c r="Q784" s="1323"/>
      <c r="R784" s="1323"/>
      <c r="S784" s="1323"/>
      <c r="T784" s="1323"/>
      <c r="U784" s="1323"/>
      <c r="V784" s="1323"/>
      <c r="W784" s="1323"/>
      <c r="X784" s="1323"/>
      <c r="Y784" s="1323"/>
      <c r="Z784" s="1323"/>
    </row>
    <row r="785" spans="1:26" ht="19.5" hidden="1">
      <c r="A785" s="800">
        <v>12</v>
      </c>
      <c r="B785" s="1468" t="s">
        <v>320</v>
      </c>
      <c r="C785" s="1469"/>
      <c r="D785" s="1469"/>
      <c r="E785" s="1469"/>
      <c r="F785" s="1469"/>
      <c r="G785" s="1470"/>
      <c r="H785" s="804" t="s">
        <v>46</v>
      </c>
      <c r="I785" s="1471">
        <f t="shared" ref="I785:J785" ca="1" si="318">I800</f>
        <v>0</v>
      </c>
      <c r="J785" s="1472">
        <f t="shared" ca="1" si="318"/>
        <v>0</v>
      </c>
      <c r="K785" s="1473">
        <f ca="1">IF(I785&gt;0,J785*100/I785,0)</f>
        <v>0</v>
      </c>
      <c r="L785" s="1474"/>
      <c r="M785" s="1474"/>
      <c r="N785" s="1474"/>
      <c r="O785" s="1474"/>
      <c r="P785" s="1474"/>
      <c r="Q785" s="1302"/>
      <c r="R785" s="1302"/>
      <c r="S785" s="1302"/>
      <c r="T785" s="1302"/>
      <c r="U785" s="1302"/>
      <c r="V785" s="1302"/>
      <c r="W785" s="1302"/>
      <c r="X785" s="1302"/>
      <c r="Y785" s="1302"/>
      <c r="Z785" s="1302"/>
    </row>
    <row r="786" spans="1:26" ht="19.5" hidden="1">
      <c r="A786" s="1317"/>
      <c r="B786" s="1300"/>
      <c r="C786" s="1301" t="s">
        <v>16</v>
      </c>
      <c r="D786" s="1318" t="s">
        <v>17</v>
      </c>
      <c r="E786" s="841"/>
      <c r="F786" s="841"/>
      <c r="G786" s="1016"/>
      <c r="H786" s="597" t="s">
        <v>12</v>
      </c>
      <c r="I786" s="880"/>
      <c r="J786" s="880"/>
      <c r="K786" s="881"/>
      <c r="L786" s="1020">
        <f t="shared" ref="L786:N786" ca="1" si="319">L787+L788</f>
        <v>0</v>
      </c>
      <c r="M786" s="1020">
        <f t="shared" si="319"/>
        <v>0</v>
      </c>
      <c r="N786" s="1020">
        <f t="shared" si="319"/>
        <v>0</v>
      </c>
      <c r="O786" s="1020">
        <f t="shared" ref="O786:O791" ca="1" si="320">IF(L786&gt;0,N786*100/L786,0)</f>
        <v>0</v>
      </c>
      <c r="P786" s="1020">
        <f t="shared" ref="P786:P791" si="321">IF(M786&gt;0,N786*100/M786,0)</f>
        <v>0</v>
      </c>
      <c r="Q786" s="1302"/>
      <c r="R786" s="1302"/>
      <c r="S786" s="1302"/>
      <c r="T786" s="1302"/>
      <c r="U786" s="1302"/>
      <c r="V786" s="1302"/>
      <c r="W786" s="1302"/>
      <c r="X786" s="1302"/>
      <c r="Y786" s="1302"/>
      <c r="Z786" s="1302"/>
    </row>
    <row r="787" spans="1:26" ht="18.75" hidden="1">
      <c r="A787" s="1319"/>
      <c r="B787" s="1324"/>
      <c r="C787" s="1320"/>
      <c r="D787" s="1321"/>
      <c r="E787" s="1320" t="s">
        <v>185</v>
      </c>
      <c r="F787" s="1320"/>
      <c r="G787" s="1322"/>
      <c r="H787" s="165" t="s">
        <v>12</v>
      </c>
      <c r="I787" s="886"/>
      <c r="J787" s="886"/>
      <c r="K787" s="887"/>
      <c r="L787" s="887">
        <f t="shared" ref="L787:N788" si="322">L790+L797</f>
        <v>0</v>
      </c>
      <c r="M787" s="887">
        <f t="shared" si="322"/>
        <v>0</v>
      </c>
      <c r="N787" s="887">
        <f t="shared" si="322"/>
        <v>0</v>
      </c>
      <c r="O787" s="887">
        <f t="shared" si="320"/>
        <v>0</v>
      </c>
      <c r="P787" s="887">
        <f t="shared" si="321"/>
        <v>0</v>
      </c>
      <c r="Q787" s="1323"/>
      <c r="R787" s="1323"/>
      <c r="S787" s="1323"/>
      <c r="T787" s="1323"/>
      <c r="U787" s="1323"/>
      <c r="V787" s="1323"/>
      <c r="W787" s="1323"/>
      <c r="X787" s="1323"/>
      <c r="Y787" s="1323"/>
      <c r="Z787" s="1323"/>
    </row>
    <row r="788" spans="1:26" ht="18.75" hidden="1">
      <c r="A788" s="1319"/>
      <c r="B788" s="1324"/>
      <c r="C788" s="1324"/>
      <c r="D788" s="1333"/>
      <c r="E788" s="1320" t="s">
        <v>186</v>
      </c>
      <c r="F788" s="1320"/>
      <c r="G788" s="1322"/>
      <c r="H788" s="165" t="s">
        <v>12</v>
      </c>
      <c r="I788" s="886"/>
      <c r="J788" s="886"/>
      <c r="K788" s="887"/>
      <c r="L788" s="887">
        <f t="shared" ca="1" si="322"/>
        <v>0</v>
      </c>
      <c r="M788" s="887">
        <f t="shared" si="322"/>
        <v>0</v>
      </c>
      <c r="N788" s="887">
        <f t="shared" si="322"/>
        <v>0</v>
      </c>
      <c r="O788" s="887">
        <f t="shared" ca="1" si="320"/>
        <v>0</v>
      </c>
      <c r="P788" s="887">
        <f t="shared" si="321"/>
        <v>0</v>
      </c>
      <c r="Q788" s="1323"/>
      <c r="R788" s="1323"/>
      <c r="S788" s="1323"/>
      <c r="T788" s="1323"/>
      <c r="U788" s="1323"/>
      <c r="V788" s="1323"/>
      <c r="W788" s="1323"/>
      <c r="X788" s="1323"/>
      <c r="Y788" s="1323"/>
      <c r="Z788" s="1323"/>
    </row>
    <row r="789" spans="1:26" ht="18.75" hidden="1">
      <c r="A789" s="1317"/>
      <c r="B789" s="1300"/>
      <c r="C789" s="1300"/>
      <c r="D789" s="1325" t="s">
        <v>20</v>
      </c>
      <c r="E789" s="1301"/>
      <c r="F789" s="1301"/>
      <c r="G789" s="1016"/>
      <c r="H789" s="161" t="s">
        <v>12</v>
      </c>
      <c r="I789" s="997"/>
      <c r="J789" s="997"/>
      <c r="K789" s="998"/>
      <c r="L789" s="881">
        <f t="shared" ref="L789:N789" ca="1" si="323">L790+L791</f>
        <v>0</v>
      </c>
      <c r="M789" s="881">
        <f t="shared" si="323"/>
        <v>0</v>
      </c>
      <c r="N789" s="881">
        <f t="shared" si="323"/>
        <v>0</v>
      </c>
      <c r="O789" s="881">
        <f t="shared" ca="1" si="320"/>
        <v>0</v>
      </c>
      <c r="P789" s="881">
        <f t="shared" si="321"/>
        <v>0</v>
      </c>
      <c r="Q789" s="1302"/>
      <c r="R789" s="1302"/>
      <c r="S789" s="1302"/>
      <c r="T789" s="1302"/>
      <c r="U789" s="1302"/>
      <c r="V789" s="1302"/>
      <c r="W789" s="1302"/>
      <c r="X789" s="1302"/>
      <c r="Y789" s="1302"/>
      <c r="Z789" s="1302"/>
    </row>
    <row r="790" spans="1:26" ht="18.75" hidden="1">
      <c r="A790" s="1319"/>
      <c r="B790" s="1324"/>
      <c r="C790" s="1324"/>
      <c r="D790" s="1333"/>
      <c r="E790" s="1320" t="s">
        <v>185</v>
      </c>
      <c r="F790" s="1320"/>
      <c r="G790" s="1322"/>
      <c r="H790" s="165" t="s">
        <v>12</v>
      </c>
      <c r="I790" s="886"/>
      <c r="J790" s="886"/>
      <c r="K790" s="887"/>
      <c r="L790" s="887">
        <v>0</v>
      </c>
      <c r="M790" s="887">
        <v>0</v>
      </c>
      <c r="N790" s="887">
        <v>0</v>
      </c>
      <c r="O790" s="887">
        <f t="shared" si="320"/>
        <v>0</v>
      </c>
      <c r="P790" s="887">
        <f t="shared" si="321"/>
        <v>0</v>
      </c>
      <c r="Q790" s="1323"/>
      <c r="R790" s="1323"/>
      <c r="S790" s="1323"/>
      <c r="T790" s="1323"/>
      <c r="U790" s="1323"/>
      <c r="V790" s="1323"/>
      <c r="W790" s="1323"/>
      <c r="X790" s="1323"/>
      <c r="Y790" s="1323"/>
      <c r="Z790" s="1323"/>
    </row>
    <row r="791" spans="1:26" ht="18.75" hidden="1">
      <c r="A791" s="1319"/>
      <c r="B791" s="1324"/>
      <c r="C791" s="1324"/>
      <c r="D791" s="1333"/>
      <c r="E791" s="1320" t="s">
        <v>186</v>
      </c>
      <c r="F791" s="1320"/>
      <c r="G791" s="1322"/>
      <c r="H791" s="165" t="s">
        <v>12</v>
      </c>
      <c r="I791" s="886"/>
      <c r="J791" s="886"/>
      <c r="K791" s="887"/>
      <c r="L791" s="887">
        <f ca="1">IFERROR(__xludf.DUMMYFUNCTION("IMPORTRANGE(""https://docs.google.com/spreadsheets/d/1QqKyyYR6Q21VydFLVH3TRQUabQu_ym0Zz7PgGX0-kHA/edit?usp=sharing"",""แผน!JJ85"")"),0)</f>
        <v>0</v>
      </c>
      <c r="M791" s="887">
        <v>0</v>
      </c>
      <c r="N791" s="887">
        <f>N792+N793+N794+N795</f>
        <v>0</v>
      </c>
      <c r="O791" s="887">
        <f t="shared" ca="1" si="320"/>
        <v>0</v>
      </c>
      <c r="P791" s="887">
        <f t="shared" si="321"/>
        <v>0</v>
      </c>
      <c r="Q791" s="1323"/>
      <c r="R791" s="1323"/>
      <c r="S791" s="1323"/>
      <c r="T791" s="1323"/>
      <c r="U791" s="1323"/>
      <c r="V791" s="1323"/>
      <c r="W791" s="1323"/>
      <c r="X791" s="1323"/>
      <c r="Y791" s="1323"/>
      <c r="Z791" s="1323"/>
    </row>
    <row r="792" spans="1:26" ht="18.75" hidden="1">
      <c r="A792" s="1299"/>
      <c r="B792" s="1300"/>
      <c r="C792" s="1301"/>
      <c r="D792" s="1301"/>
      <c r="E792" s="1301"/>
      <c r="F792" s="1301" t="s">
        <v>187</v>
      </c>
      <c r="G792" s="1016"/>
      <c r="H792" s="161" t="s">
        <v>12</v>
      </c>
      <c r="I792" s="880"/>
      <c r="J792" s="880"/>
      <c r="K792" s="881"/>
      <c r="L792" s="881"/>
      <c r="M792" s="881"/>
      <c r="N792" s="1085">
        <v>0</v>
      </c>
      <c r="O792" s="881"/>
      <c r="P792" s="881"/>
      <c r="Q792" s="1302"/>
      <c r="R792" s="1302"/>
      <c r="S792" s="1302"/>
      <c r="T792" s="1302"/>
      <c r="U792" s="1302"/>
      <c r="V792" s="1302"/>
      <c r="W792" s="1302"/>
      <c r="X792" s="1302"/>
      <c r="Y792" s="1302"/>
      <c r="Z792" s="1302"/>
    </row>
    <row r="793" spans="1:26" ht="18.75" hidden="1">
      <c r="A793" s="1299"/>
      <c r="B793" s="1300"/>
      <c r="C793" s="1301"/>
      <c r="D793" s="1301"/>
      <c r="E793" s="1301"/>
      <c r="F793" s="1301" t="s">
        <v>188</v>
      </c>
      <c r="G793" s="1016"/>
      <c r="H793" s="161" t="s">
        <v>12</v>
      </c>
      <c r="I793" s="880"/>
      <c r="J793" s="880"/>
      <c r="K793" s="881"/>
      <c r="L793" s="881"/>
      <c r="M793" s="881"/>
      <c r="N793" s="1085">
        <v>0</v>
      </c>
      <c r="O793" s="881"/>
      <c r="P793" s="881"/>
      <c r="Q793" s="1302"/>
      <c r="R793" s="1302"/>
      <c r="S793" s="1302"/>
      <c r="T793" s="1302"/>
      <c r="U793" s="1302"/>
      <c r="V793" s="1302"/>
      <c r="W793" s="1302"/>
      <c r="X793" s="1302"/>
      <c r="Y793" s="1302"/>
      <c r="Z793" s="1302"/>
    </row>
    <row r="794" spans="1:26" ht="18.75" hidden="1">
      <c r="A794" s="1299"/>
      <c r="B794" s="1300"/>
      <c r="C794" s="1301"/>
      <c r="D794" s="1301"/>
      <c r="E794" s="1301"/>
      <c r="F794" s="1301" t="s">
        <v>189</v>
      </c>
      <c r="G794" s="1016"/>
      <c r="H794" s="161" t="s">
        <v>12</v>
      </c>
      <c r="I794" s="880"/>
      <c r="J794" s="880"/>
      <c r="K794" s="881"/>
      <c r="L794" s="881"/>
      <c r="M794" s="881"/>
      <c r="N794" s="1085">
        <v>0</v>
      </c>
      <c r="O794" s="881"/>
      <c r="P794" s="881"/>
      <c r="Q794" s="1302"/>
      <c r="R794" s="1302"/>
      <c r="S794" s="1302"/>
      <c r="T794" s="1302"/>
      <c r="U794" s="1302"/>
      <c r="V794" s="1302"/>
      <c r="W794" s="1302"/>
      <c r="X794" s="1302"/>
      <c r="Y794" s="1302"/>
      <c r="Z794" s="1302"/>
    </row>
    <row r="795" spans="1:26" ht="18.75" hidden="1">
      <c r="A795" s="1299"/>
      <c r="B795" s="1300"/>
      <c r="C795" s="1301"/>
      <c r="D795" s="1301"/>
      <c r="E795" s="1301"/>
      <c r="F795" s="1301" t="s">
        <v>190</v>
      </c>
      <c r="G795" s="1016"/>
      <c r="H795" s="161" t="s">
        <v>12</v>
      </c>
      <c r="I795" s="880"/>
      <c r="J795" s="880"/>
      <c r="K795" s="881"/>
      <c r="L795" s="881"/>
      <c r="M795" s="881"/>
      <c r="N795" s="1085">
        <v>0</v>
      </c>
      <c r="O795" s="881"/>
      <c r="P795" s="881"/>
      <c r="Q795" s="1302"/>
      <c r="R795" s="1302"/>
      <c r="S795" s="1302"/>
      <c r="T795" s="1302"/>
      <c r="U795" s="1302"/>
      <c r="V795" s="1302"/>
      <c r="W795" s="1302"/>
      <c r="X795" s="1302"/>
      <c r="Y795" s="1302"/>
      <c r="Z795" s="1302"/>
    </row>
    <row r="796" spans="1:26" ht="18.75" hidden="1">
      <c r="A796" s="1317"/>
      <c r="B796" s="1300"/>
      <c r="C796" s="1301"/>
      <c r="D796" s="1325" t="s">
        <v>21</v>
      </c>
      <c r="E796" s="1301"/>
      <c r="F796" s="1301"/>
      <c r="G796" s="1016"/>
      <c r="H796" s="168" t="s">
        <v>12</v>
      </c>
      <c r="I796" s="997"/>
      <c r="J796" s="997"/>
      <c r="K796" s="998"/>
      <c r="L796" s="881">
        <f t="shared" ref="L796:N796" si="324">L797+L798</f>
        <v>0</v>
      </c>
      <c r="M796" s="881">
        <f t="shared" si="324"/>
        <v>0</v>
      </c>
      <c r="N796" s="881">
        <f t="shared" si="324"/>
        <v>0</v>
      </c>
      <c r="O796" s="881">
        <f t="shared" ref="O796:O798" si="325">IF(L796&gt;0,N796*100/L796,0)</f>
        <v>0</v>
      </c>
      <c r="P796" s="881">
        <f t="shared" ref="P796:P798" si="326">IF(M796&gt;0,N796*100/M796,0)</f>
        <v>0</v>
      </c>
      <c r="Q796" s="1302"/>
      <c r="R796" s="1302"/>
      <c r="S796" s="1302"/>
      <c r="T796" s="1302"/>
      <c r="U796" s="1302"/>
      <c r="V796" s="1302"/>
      <c r="W796" s="1302"/>
      <c r="X796" s="1302"/>
      <c r="Y796" s="1302"/>
      <c r="Z796" s="1302"/>
    </row>
    <row r="797" spans="1:26" ht="18.75" hidden="1">
      <c r="A797" s="1319"/>
      <c r="B797" s="1324"/>
      <c r="C797" s="1320"/>
      <c r="D797" s="1320"/>
      <c r="E797" s="1320" t="s">
        <v>18</v>
      </c>
      <c r="F797" s="1320"/>
      <c r="G797" s="1322"/>
      <c r="H797" s="165" t="s">
        <v>12</v>
      </c>
      <c r="I797" s="1000"/>
      <c r="J797" s="1000"/>
      <c r="K797" s="1001"/>
      <c r="L797" s="887">
        <v>0</v>
      </c>
      <c r="M797" s="887">
        <v>0</v>
      </c>
      <c r="N797" s="887">
        <v>0</v>
      </c>
      <c r="O797" s="887">
        <f t="shared" si="325"/>
        <v>0</v>
      </c>
      <c r="P797" s="887">
        <f t="shared" si="326"/>
        <v>0</v>
      </c>
      <c r="Q797" s="1323"/>
      <c r="R797" s="1323"/>
      <c r="S797" s="1323"/>
      <c r="T797" s="1323"/>
      <c r="U797" s="1323"/>
      <c r="V797" s="1323"/>
      <c r="W797" s="1323"/>
      <c r="X797" s="1323"/>
      <c r="Y797" s="1323"/>
      <c r="Z797" s="1323"/>
    </row>
    <row r="798" spans="1:26" ht="18.75" hidden="1">
      <c r="A798" s="1319"/>
      <c r="B798" s="1324"/>
      <c r="C798" s="1320"/>
      <c r="D798" s="1320"/>
      <c r="E798" s="1320" t="s">
        <v>19</v>
      </c>
      <c r="F798" s="1320"/>
      <c r="G798" s="1322"/>
      <c r="H798" s="169" t="s">
        <v>12</v>
      </c>
      <c r="I798" s="1000"/>
      <c r="J798" s="1000"/>
      <c r="K798" s="1001"/>
      <c r="L798" s="887">
        <v>0</v>
      </c>
      <c r="M798" s="887">
        <v>0</v>
      </c>
      <c r="N798" s="887">
        <v>0</v>
      </c>
      <c r="O798" s="887">
        <f t="shared" si="325"/>
        <v>0</v>
      </c>
      <c r="P798" s="887">
        <f t="shared" si="326"/>
        <v>0</v>
      </c>
      <c r="Q798" s="1323"/>
      <c r="R798" s="1323"/>
      <c r="S798" s="1323"/>
      <c r="T798" s="1323"/>
      <c r="U798" s="1323"/>
      <c r="V798" s="1323"/>
      <c r="W798" s="1323"/>
      <c r="X798" s="1323"/>
      <c r="Y798" s="1323"/>
      <c r="Z798" s="1323"/>
    </row>
    <row r="799" spans="1:26" ht="19.5" hidden="1">
      <c r="A799" s="1326"/>
      <c r="B799" s="1327"/>
      <c r="C799" s="1301" t="s">
        <v>16</v>
      </c>
      <c r="D799" s="1439" t="s">
        <v>38</v>
      </c>
      <c r="E799" s="1330"/>
      <c r="F799" s="1330"/>
      <c r="G799" s="1331"/>
      <c r="H799" s="1475"/>
      <c r="I799" s="997"/>
      <c r="J799" s="997"/>
      <c r="K799" s="998"/>
      <c r="L799" s="998"/>
      <c r="M799" s="998"/>
      <c r="N799" s="998"/>
      <c r="O799" s="998"/>
      <c r="P799" s="998"/>
      <c r="Q799" s="1302"/>
      <c r="R799" s="1302"/>
      <c r="S799" s="1302"/>
      <c r="T799" s="1302"/>
      <c r="U799" s="1302"/>
      <c r="V799" s="1302"/>
      <c r="W799" s="1302"/>
      <c r="X799" s="1302"/>
      <c r="Y799" s="1302"/>
      <c r="Z799" s="1302"/>
    </row>
    <row r="800" spans="1:26" ht="18.75" hidden="1">
      <c r="A800" s="1326"/>
      <c r="B800" s="1327"/>
      <c r="C800" s="1327"/>
      <c r="D800" s="1327"/>
      <c r="E800" s="1014"/>
      <c r="F800" s="1014" t="s">
        <v>321</v>
      </c>
      <c r="G800" s="1007"/>
      <c r="H800" s="185" t="s">
        <v>46</v>
      </c>
      <c r="I800" s="997">
        <f ca="1">IFERROR(__xludf.DUMMYFUNCTION("IMPORTRANGE(""https://docs.google.com/spreadsheets/d/1QqKyyYR6Q21VydFLVH3TRQUabQu_ym0Zz7PgGX0-kHA/edit?usp=sharing"",""แผน!JN85"")"),0)</f>
        <v>0</v>
      </c>
      <c r="J800" s="997">
        <f ca="1">IFERROR(__xludf.DUMMYFUNCTION("IMPORTRANGE(""https://docs.google.com/spreadsheets/d/1MaWodYyGHDf7siQLGxnXhG4mBNTNIuy296niS2xXulU/edit?usp=sharing"",""RTK!H85"")"),0)</f>
        <v>0</v>
      </c>
      <c r="K800" s="881">
        <f ca="1">IF(I800&gt;0,J800*100/I800,0)</f>
        <v>0</v>
      </c>
      <c r="L800" s="881"/>
      <c r="M800" s="881"/>
      <c r="N800" s="881"/>
      <c r="O800" s="998"/>
      <c r="P800" s="998"/>
      <c r="Q800" s="1302"/>
      <c r="R800" s="1302"/>
      <c r="S800" s="1302"/>
      <c r="T800" s="1302"/>
      <c r="U800" s="1302"/>
      <c r="V800" s="1302"/>
      <c r="W800" s="1302"/>
      <c r="X800" s="1302"/>
      <c r="Y800" s="1302"/>
      <c r="Z800" s="1302"/>
    </row>
    <row r="801" spans="1:26" ht="18.75" hidden="1">
      <c r="A801" s="1326"/>
      <c r="B801" s="1327"/>
      <c r="C801" s="1327"/>
      <c r="D801" s="1327"/>
      <c r="E801" s="1014"/>
      <c r="F801" s="1014"/>
      <c r="G801" s="1007"/>
      <c r="H801" s="161" t="s">
        <v>34</v>
      </c>
      <c r="I801" s="997"/>
      <c r="J801" s="880">
        <f ca="1">IFERROR(__xludf.DUMMYFUNCTION("IMPORTRANGE(""https://docs.google.com/spreadsheets/d/1MaWodYyGHDf7siQLGxnXhG4mBNTNIuy296niS2xXulU/edit?usp=sharing"",""RTK!I85"")"),0)</f>
        <v>0</v>
      </c>
      <c r="K801" s="881"/>
      <c r="L801" s="881"/>
      <c r="M801" s="881"/>
      <c r="N801" s="881"/>
      <c r="O801" s="998"/>
      <c r="P801" s="998"/>
      <c r="Q801" s="1302"/>
      <c r="R801" s="1302"/>
      <c r="S801" s="1302"/>
      <c r="T801" s="1302"/>
      <c r="U801" s="1302"/>
      <c r="V801" s="1302"/>
      <c r="W801" s="1302"/>
      <c r="X801" s="1302"/>
      <c r="Y801" s="1302"/>
      <c r="Z801" s="1302"/>
    </row>
    <row r="802" spans="1:26" ht="18.75" hidden="1">
      <c r="A802" s="1332"/>
      <c r="B802" s="1333"/>
      <c r="C802" s="1333"/>
      <c r="D802" s="1333"/>
      <c r="E802" s="1321"/>
      <c r="F802" s="1321" t="s">
        <v>322</v>
      </c>
      <c r="G802" s="1113"/>
      <c r="H802" s="651" t="s">
        <v>46</v>
      </c>
      <c r="I802" s="1000"/>
      <c r="J802" s="886"/>
      <c r="K802" s="1001">
        <f>IF(I802&gt;0,J802*100/I802,0)</f>
        <v>0</v>
      </c>
      <c r="L802" s="1001"/>
      <c r="M802" s="1001"/>
      <c r="N802" s="1001"/>
      <c r="O802" s="1001"/>
      <c r="P802" s="1001"/>
      <c r="Q802" s="1323"/>
      <c r="R802" s="1323"/>
      <c r="S802" s="1323"/>
      <c r="T802" s="1323"/>
      <c r="U802" s="1323"/>
      <c r="V802" s="1323"/>
      <c r="W802" s="1323"/>
      <c r="X802" s="1323"/>
      <c r="Y802" s="1323"/>
      <c r="Z802" s="1323"/>
    </row>
    <row r="803" spans="1:26" ht="18.75" hidden="1">
      <c r="A803" s="1332"/>
      <c r="B803" s="1333"/>
      <c r="C803" s="1333"/>
      <c r="D803" s="1333"/>
      <c r="E803" s="1321"/>
      <c r="F803" s="1321"/>
      <c r="G803" s="1113"/>
      <c r="H803" s="651" t="s">
        <v>34</v>
      </c>
      <c r="I803" s="1000"/>
      <c r="J803" s="886"/>
      <c r="K803" s="1001"/>
      <c r="L803" s="1001"/>
      <c r="M803" s="1001"/>
      <c r="N803" s="1001"/>
      <c r="O803" s="1001"/>
      <c r="P803" s="1001"/>
      <c r="Q803" s="1323"/>
      <c r="R803" s="1323"/>
      <c r="S803" s="1323"/>
      <c r="T803" s="1323"/>
      <c r="U803" s="1323"/>
      <c r="V803" s="1323"/>
      <c r="W803" s="1323"/>
      <c r="X803" s="1323"/>
      <c r="Y803" s="1323"/>
      <c r="Z803" s="1323"/>
    </row>
    <row r="804" spans="1:26" ht="19.5" hidden="1">
      <c r="A804" s="791">
        <v>13</v>
      </c>
      <c r="B804" s="1461" t="s">
        <v>323</v>
      </c>
      <c r="C804" s="1462"/>
      <c r="D804" s="1476"/>
      <c r="E804" s="1462"/>
      <c r="F804" s="1462"/>
      <c r="G804" s="1463"/>
      <c r="H804" s="795" t="s">
        <v>46</v>
      </c>
      <c r="I804" s="1464"/>
      <c r="J804" s="1464">
        <f>J819</f>
        <v>0</v>
      </c>
      <c r="K804" s="1465">
        <f>IF(I804&gt;0,J804*100/I804,0)</f>
        <v>0</v>
      </c>
      <c r="L804" s="1466"/>
      <c r="M804" s="1466"/>
      <c r="N804" s="1466"/>
      <c r="O804" s="1466"/>
      <c r="P804" s="1466"/>
      <c r="Q804" s="1323"/>
      <c r="R804" s="1323"/>
      <c r="S804" s="1323"/>
      <c r="T804" s="1323"/>
      <c r="U804" s="1323"/>
      <c r="V804" s="1323"/>
      <c r="W804" s="1323"/>
      <c r="X804" s="1323"/>
      <c r="Y804" s="1323"/>
      <c r="Z804" s="1323"/>
    </row>
    <row r="805" spans="1:26" ht="19.5" hidden="1">
      <c r="A805" s="1319"/>
      <c r="B805" s="1320"/>
      <c r="C805" s="1320" t="s">
        <v>16</v>
      </c>
      <c r="D805" s="1351" t="s">
        <v>17</v>
      </c>
      <c r="E805" s="841"/>
      <c r="F805" s="841"/>
      <c r="G805" s="1322"/>
      <c r="H805" s="644" t="s">
        <v>12</v>
      </c>
      <c r="I805" s="886"/>
      <c r="J805" s="886"/>
      <c r="K805" s="887"/>
      <c r="L805" s="1352">
        <f t="shared" ref="L805:N805" si="327">L806+L807</f>
        <v>0</v>
      </c>
      <c r="M805" s="1352">
        <f t="shared" si="327"/>
        <v>0</v>
      </c>
      <c r="N805" s="1352">
        <f t="shared" si="327"/>
        <v>0</v>
      </c>
      <c r="O805" s="1352">
        <f t="shared" ref="O805:O810" si="328">IF(L805&gt;0,N805*100/L805,0)</f>
        <v>0</v>
      </c>
      <c r="P805" s="1352">
        <f t="shared" ref="P805:P810" si="329">IF(M805&gt;0,N805*100/M805,0)</f>
        <v>0</v>
      </c>
      <c r="Q805" s="1323"/>
      <c r="R805" s="1323"/>
      <c r="S805" s="1323"/>
      <c r="T805" s="1323"/>
      <c r="U805" s="1323"/>
      <c r="V805" s="1323"/>
      <c r="W805" s="1323"/>
      <c r="X805" s="1323"/>
      <c r="Y805" s="1323"/>
      <c r="Z805" s="1323"/>
    </row>
    <row r="806" spans="1:26" ht="18.75" hidden="1">
      <c r="A806" s="1319"/>
      <c r="B806" s="1320"/>
      <c r="C806" s="1320"/>
      <c r="D806" s="1333"/>
      <c r="E806" s="1320" t="s">
        <v>185</v>
      </c>
      <c r="F806" s="1320"/>
      <c r="G806" s="1322"/>
      <c r="H806" s="165" t="s">
        <v>12</v>
      </c>
      <c r="I806" s="886"/>
      <c r="J806" s="886"/>
      <c r="K806" s="887"/>
      <c r="L806" s="887">
        <f t="shared" ref="L806:N807" si="330">L809+L816</f>
        <v>0</v>
      </c>
      <c r="M806" s="887">
        <f t="shared" si="330"/>
        <v>0</v>
      </c>
      <c r="N806" s="887">
        <f t="shared" si="330"/>
        <v>0</v>
      </c>
      <c r="O806" s="887">
        <f t="shared" si="328"/>
        <v>0</v>
      </c>
      <c r="P806" s="887">
        <f t="shared" si="329"/>
        <v>0</v>
      </c>
      <c r="Q806" s="1323"/>
      <c r="R806" s="1323"/>
      <c r="S806" s="1323"/>
      <c r="T806" s="1323"/>
      <c r="U806" s="1323"/>
      <c r="V806" s="1323"/>
      <c r="W806" s="1323"/>
      <c r="X806" s="1323"/>
      <c r="Y806" s="1323"/>
      <c r="Z806" s="1323"/>
    </row>
    <row r="807" spans="1:26" ht="18.75" hidden="1">
      <c r="A807" s="1319"/>
      <c r="B807" s="1320"/>
      <c r="C807" s="1320"/>
      <c r="D807" s="1333"/>
      <c r="E807" s="1320" t="s">
        <v>186</v>
      </c>
      <c r="F807" s="1320"/>
      <c r="G807" s="1322"/>
      <c r="H807" s="165" t="s">
        <v>12</v>
      </c>
      <c r="I807" s="886"/>
      <c r="J807" s="886"/>
      <c r="K807" s="887"/>
      <c r="L807" s="887">
        <f t="shared" si="330"/>
        <v>0</v>
      </c>
      <c r="M807" s="887">
        <f t="shared" si="330"/>
        <v>0</v>
      </c>
      <c r="N807" s="887">
        <f t="shared" si="330"/>
        <v>0</v>
      </c>
      <c r="O807" s="887">
        <f t="shared" si="328"/>
        <v>0</v>
      </c>
      <c r="P807" s="887">
        <f t="shared" si="329"/>
        <v>0</v>
      </c>
      <c r="Q807" s="1323"/>
      <c r="R807" s="1323"/>
      <c r="S807" s="1323"/>
      <c r="T807" s="1323"/>
      <c r="U807" s="1323"/>
      <c r="V807" s="1323"/>
      <c r="W807" s="1323"/>
      <c r="X807" s="1323"/>
      <c r="Y807" s="1323"/>
      <c r="Z807" s="1323"/>
    </row>
    <row r="808" spans="1:26" ht="19.5" hidden="1">
      <c r="A808" s="1319"/>
      <c r="B808" s="1324"/>
      <c r="C808" s="1320"/>
      <c r="D808" s="1477" t="s">
        <v>20</v>
      </c>
      <c r="E808" s="841"/>
      <c r="F808" s="841"/>
      <c r="G808" s="1322"/>
      <c r="H808" s="644" t="s">
        <v>12</v>
      </c>
      <c r="I808" s="1000"/>
      <c r="J808" s="1000"/>
      <c r="K808" s="1001"/>
      <c r="L808" s="1352">
        <f t="shared" ref="L808:N808" si="331">L809+L810</f>
        <v>0</v>
      </c>
      <c r="M808" s="1352">
        <f t="shared" si="331"/>
        <v>0</v>
      </c>
      <c r="N808" s="1352">
        <f t="shared" si="331"/>
        <v>0</v>
      </c>
      <c r="O808" s="1352">
        <f t="shared" si="328"/>
        <v>0</v>
      </c>
      <c r="P808" s="1352">
        <f t="shared" si="329"/>
        <v>0</v>
      </c>
      <c r="Q808" s="1323"/>
      <c r="R808" s="1323"/>
      <c r="S808" s="1323"/>
      <c r="T808" s="1323"/>
      <c r="U808" s="1323"/>
      <c r="V808" s="1323"/>
      <c r="W808" s="1323"/>
      <c r="X808" s="1323"/>
      <c r="Y808" s="1323"/>
      <c r="Z808" s="1323"/>
    </row>
    <row r="809" spans="1:26" ht="18.75" hidden="1">
      <c r="A809" s="1319"/>
      <c r="B809" s="1320"/>
      <c r="C809" s="1320"/>
      <c r="D809" s="1333"/>
      <c r="E809" s="1320" t="s">
        <v>185</v>
      </c>
      <c r="F809" s="1320"/>
      <c r="G809" s="1322"/>
      <c r="H809" s="165" t="s">
        <v>12</v>
      </c>
      <c r="I809" s="886"/>
      <c r="J809" s="886"/>
      <c r="K809" s="887"/>
      <c r="L809" s="887">
        <v>0</v>
      </c>
      <c r="M809" s="887">
        <v>0</v>
      </c>
      <c r="N809" s="887">
        <v>0</v>
      </c>
      <c r="O809" s="887">
        <f t="shared" si="328"/>
        <v>0</v>
      </c>
      <c r="P809" s="887">
        <f t="shared" si="329"/>
        <v>0</v>
      </c>
      <c r="Q809" s="1323"/>
      <c r="R809" s="1323"/>
      <c r="S809" s="1323"/>
      <c r="T809" s="1323"/>
      <c r="U809" s="1323"/>
      <c r="V809" s="1323"/>
      <c r="W809" s="1323"/>
      <c r="X809" s="1323"/>
      <c r="Y809" s="1323"/>
      <c r="Z809" s="1323"/>
    </row>
    <row r="810" spans="1:26" ht="18.75" hidden="1">
      <c r="A810" s="1319"/>
      <c r="B810" s="1320"/>
      <c r="C810" s="1320"/>
      <c r="D810" s="1333"/>
      <c r="E810" s="1320" t="s">
        <v>186</v>
      </c>
      <c r="F810" s="1320"/>
      <c r="G810" s="1322"/>
      <c r="H810" s="165" t="s">
        <v>12</v>
      </c>
      <c r="I810" s="886"/>
      <c r="J810" s="886"/>
      <c r="K810" s="887"/>
      <c r="L810" s="887">
        <v>0</v>
      </c>
      <c r="M810" s="887">
        <v>0</v>
      </c>
      <c r="N810" s="887">
        <f>N811+N812+N813+N814</f>
        <v>0</v>
      </c>
      <c r="O810" s="887">
        <f t="shared" si="328"/>
        <v>0</v>
      </c>
      <c r="P810" s="887">
        <f t="shared" si="329"/>
        <v>0</v>
      </c>
      <c r="Q810" s="1323"/>
      <c r="R810" s="1323"/>
      <c r="S810" s="1323"/>
      <c r="T810" s="1323"/>
      <c r="U810" s="1323"/>
      <c r="V810" s="1323"/>
      <c r="W810" s="1323"/>
      <c r="X810" s="1323"/>
      <c r="Y810" s="1323"/>
      <c r="Z810" s="1323"/>
    </row>
    <row r="811" spans="1:26" ht="18.75" hidden="1">
      <c r="A811" s="1354"/>
      <c r="B811" s="1324"/>
      <c r="C811" s="1320"/>
      <c r="D811" s="1324"/>
      <c r="E811" s="1320"/>
      <c r="F811" s="1320" t="s">
        <v>187</v>
      </c>
      <c r="G811" s="1322"/>
      <c r="H811" s="165" t="s">
        <v>12</v>
      </c>
      <c r="I811" s="886"/>
      <c r="J811" s="886"/>
      <c r="K811" s="887"/>
      <c r="L811" s="887"/>
      <c r="M811" s="887"/>
      <c r="N811" s="887"/>
      <c r="O811" s="887"/>
      <c r="P811" s="887"/>
      <c r="Q811" s="1323"/>
      <c r="R811" s="1323"/>
      <c r="S811" s="1323"/>
      <c r="T811" s="1323"/>
      <c r="U811" s="1323"/>
      <c r="V811" s="1323"/>
      <c r="W811" s="1323"/>
      <c r="X811" s="1323"/>
      <c r="Y811" s="1323"/>
      <c r="Z811" s="1323"/>
    </row>
    <row r="812" spans="1:26" ht="18.75" hidden="1">
      <c r="A812" s="1354"/>
      <c r="B812" s="1324"/>
      <c r="C812" s="1320"/>
      <c r="D812" s="1324"/>
      <c r="E812" s="1320"/>
      <c r="F812" s="1320" t="s">
        <v>188</v>
      </c>
      <c r="G812" s="1322"/>
      <c r="H812" s="165" t="s">
        <v>12</v>
      </c>
      <c r="I812" s="886"/>
      <c r="J812" s="886"/>
      <c r="K812" s="887"/>
      <c r="L812" s="887"/>
      <c r="M812" s="887"/>
      <c r="N812" s="887"/>
      <c r="O812" s="887"/>
      <c r="P812" s="887"/>
      <c r="Q812" s="1323"/>
      <c r="R812" s="1323"/>
      <c r="S812" s="1323"/>
      <c r="T812" s="1323"/>
      <c r="U812" s="1323"/>
      <c r="V812" s="1323"/>
      <c r="W812" s="1323"/>
      <c r="X812" s="1323"/>
      <c r="Y812" s="1323"/>
      <c r="Z812" s="1323"/>
    </row>
    <row r="813" spans="1:26" ht="18.75" hidden="1">
      <c r="A813" s="1354"/>
      <c r="B813" s="1324"/>
      <c r="C813" s="1320"/>
      <c r="D813" s="1324"/>
      <c r="E813" s="1320"/>
      <c r="F813" s="1320" t="s">
        <v>189</v>
      </c>
      <c r="G813" s="1322"/>
      <c r="H813" s="165" t="s">
        <v>12</v>
      </c>
      <c r="I813" s="886"/>
      <c r="J813" s="886"/>
      <c r="K813" s="887"/>
      <c r="L813" s="887"/>
      <c r="M813" s="887"/>
      <c r="N813" s="887"/>
      <c r="O813" s="887"/>
      <c r="P813" s="887"/>
      <c r="Q813" s="1323"/>
      <c r="R813" s="1323"/>
      <c r="S813" s="1323"/>
      <c r="T813" s="1323"/>
      <c r="U813" s="1323"/>
      <c r="V813" s="1323"/>
      <c r="W813" s="1323"/>
      <c r="X813" s="1323"/>
      <c r="Y813" s="1323"/>
      <c r="Z813" s="1323"/>
    </row>
    <row r="814" spans="1:26" ht="18.75" hidden="1">
      <c r="A814" s="1354"/>
      <c r="B814" s="1324"/>
      <c r="C814" s="1320"/>
      <c r="D814" s="1324"/>
      <c r="E814" s="1320"/>
      <c r="F814" s="1320" t="s">
        <v>190</v>
      </c>
      <c r="G814" s="1322"/>
      <c r="H814" s="165" t="s">
        <v>12</v>
      </c>
      <c r="I814" s="886"/>
      <c r="J814" s="886"/>
      <c r="K814" s="887"/>
      <c r="L814" s="887"/>
      <c r="M814" s="887"/>
      <c r="N814" s="887"/>
      <c r="O814" s="887"/>
      <c r="P814" s="887"/>
      <c r="Q814" s="1323"/>
      <c r="R814" s="1323"/>
      <c r="S814" s="1323"/>
      <c r="T814" s="1323"/>
      <c r="U814" s="1323"/>
      <c r="V814" s="1323"/>
      <c r="W814" s="1323"/>
      <c r="X814" s="1323"/>
      <c r="Y814" s="1323"/>
      <c r="Z814" s="1323"/>
    </row>
    <row r="815" spans="1:26" ht="19.5" hidden="1">
      <c r="A815" s="1319"/>
      <c r="B815" s="1324"/>
      <c r="C815" s="1320"/>
      <c r="D815" s="1477" t="s">
        <v>21</v>
      </c>
      <c r="E815" s="841"/>
      <c r="F815" s="841"/>
      <c r="G815" s="1322"/>
      <c r="H815" s="781" t="s">
        <v>12</v>
      </c>
      <c r="I815" s="1000"/>
      <c r="J815" s="1000"/>
      <c r="K815" s="1001"/>
      <c r="L815" s="1352">
        <f t="shared" ref="L815:N815" si="332">L816+L817</f>
        <v>0</v>
      </c>
      <c r="M815" s="1352">
        <f t="shared" si="332"/>
        <v>0</v>
      </c>
      <c r="N815" s="1352">
        <f t="shared" si="332"/>
        <v>0</v>
      </c>
      <c r="O815" s="1352">
        <f t="shared" ref="O815:O817" si="333">IF(L815&gt;0,N815*100/L815,0)</f>
        <v>0</v>
      </c>
      <c r="P815" s="1352">
        <f t="shared" ref="P815:P817" si="334">IF(M815&gt;0,N815*100/M815,0)</f>
        <v>0</v>
      </c>
      <c r="Q815" s="1323"/>
      <c r="R815" s="1323"/>
      <c r="S815" s="1323"/>
      <c r="T815" s="1323"/>
      <c r="U815" s="1323"/>
      <c r="V815" s="1323"/>
      <c r="W815" s="1323"/>
      <c r="X815" s="1323"/>
      <c r="Y815" s="1323"/>
      <c r="Z815" s="1323"/>
    </row>
    <row r="816" spans="1:26" ht="18.75" hidden="1">
      <c r="A816" s="1319"/>
      <c r="B816" s="1324"/>
      <c r="C816" s="1320"/>
      <c r="D816" s="1324"/>
      <c r="E816" s="1320" t="s">
        <v>18</v>
      </c>
      <c r="F816" s="1320"/>
      <c r="G816" s="1322"/>
      <c r="H816" s="165" t="s">
        <v>12</v>
      </c>
      <c r="I816" s="1000"/>
      <c r="J816" s="1000"/>
      <c r="K816" s="1001"/>
      <c r="L816" s="887">
        <v>0</v>
      </c>
      <c r="M816" s="887">
        <v>0</v>
      </c>
      <c r="N816" s="887">
        <v>0</v>
      </c>
      <c r="O816" s="887">
        <f t="shared" si="333"/>
        <v>0</v>
      </c>
      <c r="P816" s="887">
        <f t="shared" si="334"/>
        <v>0</v>
      </c>
      <c r="Q816" s="1323"/>
      <c r="R816" s="1323"/>
      <c r="S816" s="1323"/>
      <c r="T816" s="1323"/>
      <c r="U816" s="1323"/>
      <c r="V816" s="1323"/>
      <c r="W816" s="1323"/>
      <c r="X816" s="1323"/>
      <c r="Y816" s="1323"/>
      <c r="Z816" s="1323"/>
    </row>
    <row r="817" spans="1:26" ht="18.75" hidden="1">
      <c r="A817" s="1319"/>
      <c r="B817" s="1324"/>
      <c r="C817" s="1320"/>
      <c r="D817" s="1324"/>
      <c r="E817" s="1320" t="s">
        <v>19</v>
      </c>
      <c r="F817" s="1320"/>
      <c r="G817" s="1322"/>
      <c r="H817" s="169" t="s">
        <v>12</v>
      </c>
      <c r="I817" s="1000"/>
      <c r="J817" s="1000"/>
      <c r="K817" s="1001"/>
      <c r="L817" s="887">
        <v>0</v>
      </c>
      <c r="M817" s="887">
        <v>0</v>
      </c>
      <c r="N817" s="887">
        <v>0</v>
      </c>
      <c r="O817" s="887">
        <f t="shared" si="333"/>
        <v>0</v>
      </c>
      <c r="P817" s="887">
        <f t="shared" si="334"/>
        <v>0</v>
      </c>
      <c r="Q817" s="1323"/>
      <c r="R817" s="1323"/>
      <c r="S817" s="1323"/>
      <c r="T817" s="1323"/>
      <c r="U817" s="1323"/>
      <c r="V817" s="1323"/>
      <c r="W817" s="1323"/>
      <c r="X817" s="1323"/>
      <c r="Y817" s="1323"/>
      <c r="Z817" s="1323"/>
    </row>
    <row r="818" spans="1:26" ht="19.5" hidden="1">
      <c r="A818" s="1332"/>
      <c r="B818" s="1333"/>
      <c r="C818" s="1320" t="s">
        <v>16</v>
      </c>
      <c r="D818" s="1478" t="s">
        <v>38</v>
      </c>
      <c r="E818" s="1356"/>
      <c r="F818" s="1356"/>
      <c r="G818" s="1357"/>
      <c r="H818" s="1113"/>
      <c r="I818" s="1000"/>
      <c r="J818" s="1000"/>
      <c r="K818" s="1001"/>
      <c r="L818" s="1001"/>
      <c r="M818" s="1001"/>
      <c r="N818" s="1001"/>
      <c r="O818" s="1001"/>
      <c r="P818" s="1001"/>
      <c r="Q818" s="1323"/>
      <c r="R818" s="1323"/>
      <c r="S818" s="1323"/>
      <c r="T818" s="1323"/>
      <c r="U818" s="1323"/>
      <c r="V818" s="1323"/>
      <c r="W818" s="1323"/>
      <c r="X818" s="1323"/>
      <c r="Y818" s="1323"/>
      <c r="Z818" s="1323"/>
    </row>
    <row r="819" spans="1:26" ht="19.5" hidden="1" thickBot="1">
      <c r="A819" s="1479"/>
      <c r="B819" s="1480"/>
      <c r="C819" s="1481"/>
      <c r="D819" s="1480"/>
      <c r="E819" s="1481" t="s">
        <v>324</v>
      </c>
      <c r="F819" s="1481"/>
      <c r="G819" s="1482"/>
      <c r="H819" s="817" t="s">
        <v>46</v>
      </c>
      <c r="I819" s="1483"/>
      <c r="J819" s="1483"/>
      <c r="K819" s="1484"/>
      <c r="L819" s="1484"/>
      <c r="M819" s="1484"/>
      <c r="N819" s="1484"/>
      <c r="O819" s="1484"/>
      <c r="P819" s="1484"/>
      <c r="Q819" s="1323"/>
      <c r="R819" s="1323"/>
      <c r="S819" s="1323"/>
      <c r="T819" s="1323"/>
      <c r="U819" s="1323"/>
      <c r="V819" s="1323"/>
      <c r="W819" s="1323"/>
      <c r="X819" s="1323"/>
      <c r="Y819" s="1323"/>
      <c r="Z819" s="1323"/>
    </row>
    <row r="820" spans="1:26" ht="19.5">
      <c r="A820" s="1485" t="s">
        <v>342</v>
      </c>
      <c r="B820" s="1486"/>
      <c r="C820" s="1486"/>
      <c r="D820" s="1487"/>
      <c r="E820" s="1486"/>
      <c r="F820" s="1486"/>
      <c r="G820" s="1488"/>
      <c r="H820" s="1489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0"/>
      <c r="J820" s="1490"/>
      <c r="K820" s="1491"/>
      <c r="L820" s="1491"/>
      <c r="M820" s="1491"/>
      <c r="N820" s="1491"/>
      <c r="O820" s="1491"/>
      <c r="P820" s="1491"/>
      <c r="Q820" s="1302"/>
      <c r="R820" s="1302"/>
      <c r="S820" s="1302"/>
      <c r="T820" s="1302"/>
      <c r="U820" s="1302"/>
      <c r="V820" s="1302"/>
      <c r="W820" s="1302"/>
      <c r="X820" s="1302"/>
      <c r="Y820" s="1302"/>
      <c r="Z820" s="1302"/>
    </row>
    <row r="821" spans="1:26" ht="18.75">
      <c r="A821" s="1429"/>
      <c r="B821" s="1301" t="s">
        <v>326</v>
      </c>
      <c r="C821" s="1301"/>
      <c r="D821" s="1300"/>
      <c r="E821" s="1301"/>
      <c r="F821" s="1301"/>
      <c r="G821" s="1016"/>
      <c r="H821" s="622" t="s">
        <v>12</v>
      </c>
      <c r="I821" s="880">
        <f ca="1">IFERROR(__xludf.DUMMYFUNCTION("IMPORTRANGE(""https://docs.google.com/spreadsheets/d/19vJNZY_5yjcGF2XGBMNZRCAIB0Kwfpjp8YEOfu-bneM/edit?usp=sharing"",""งานกองทุน!D85"")"),1218366.9)</f>
        <v>1218366.8999999999</v>
      </c>
      <c r="J821" s="880">
        <f ca="1">IFERROR(__xludf.DUMMYFUNCTION("IMPORTRANGE(""https://docs.google.com/spreadsheets/d/19vJNZY_5yjcGF2XGBMNZRCAIB0Kwfpjp8YEOfu-bneM/edit?usp=sharing"",""งานกองทุน!F85"")"),317998.44)</f>
        <v>317998.44</v>
      </c>
      <c r="K821" s="881">
        <f t="shared" ref="K821:K828" ca="1" si="335">IF(I821&gt;0,J821*100/I821,0)</f>
        <v>26.100384046874552</v>
      </c>
      <c r="L821" s="881"/>
      <c r="M821" s="881"/>
      <c r="N821" s="881"/>
      <c r="O821" s="881"/>
      <c r="P821" s="881"/>
      <c r="Q821" s="1302"/>
      <c r="R821" s="1302"/>
      <c r="S821" s="1302"/>
      <c r="T821" s="1302"/>
      <c r="U821" s="1302"/>
      <c r="V821" s="1302"/>
      <c r="W821" s="1302"/>
      <c r="X821" s="1302"/>
      <c r="Y821" s="1302"/>
      <c r="Z821" s="1302"/>
    </row>
    <row r="822" spans="1:26" ht="18.75">
      <c r="A822" s="1429"/>
      <c r="B822" s="1301"/>
      <c r="C822" s="1301"/>
      <c r="D822" s="1300"/>
      <c r="E822" s="1301"/>
      <c r="F822" s="1301"/>
      <c r="G822" s="1016"/>
      <c r="H822" s="622" t="s">
        <v>35</v>
      </c>
      <c r="I822" s="880">
        <f ca="1">IFERROR(__xludf.DUMMYFUNCTION("IMPORTRANGE(""https://docs.google.com/spreadsheets/d/19vJNZY_5yjcGF2XGBMNZRCAIB0Kwfpjp8YEOfu-bneM/edit?usp=sharing"",""งานกองทุน!C85"")"),122)</f>
        <v>122</v>
      </c>
      <c r="J822" s="880">
        <f ca="1">IFERROR(__xludf.DUMMYFUNCTION("IMPORTRANGE(""https://docs.google.com/spreadsheets/d/19vJNZY_5yjcGF2XGBMNZRCAIB0Kwfpjp8YEOfu-bneM/edit?usp=sharing"",""งานกองทุน!E85"")"),31)</f>
        <v>31</v>
      </c>
      <c r="K822" s="881">
        <f t="shared" ca="1" si="335"/>
        <v>25.409836065573771</v>
      </c>
      <c r="L822" s="881"/>
      <c r="M822" s="881"/>
      <c r="N822" s="881"/>
      <c r="O822" s="881"/>
      <c r="P822" s="881"/>
      <c r="Q822" s="1302"/>
      <c r="R822" s="1302"/>
      <c r="S822" s="1302"/>
      <c r="T822" s="1302"/>
      <c r="U822" s="1302"/>
      <c r="V822" s="1302"/>
      <c r="W822" s="1302"/>
      <c r="X822" s="1302"/>
      <c r="Y822" s="1302"/>
      <c r="Z822" s="1302"/>
    </row>
    <row r="823" spans="1:26" ht="18.75">
      <c r="A823" s="1429"/>
      <c r="B823" s="1301" t="s">
        <v>327</v>
      </c>
      <c r="C823" s="1301"/>
      <c r="D823" s="1300"/>
      <c r="E823" s="1301"/>
      <c r="F823" s="1301"/>
      <c r="G823" s="1016"/>
      <c r="H823" s="622" t="s">
        <v>12</v>
      </c>
      <c r="I823" s="880">
        <f ca="1">IFERROR(__xludf.DUMMYFUNCTION("IMPORTRANGE(""https://docs.google.com/spreadsheets/d/19vJNZY_5yjcGF2XGBMNZRCAIB0Kwfpjp8YEOfu-bneM/edit?usp=sharing"",""งานกองทุน!I85"")"),2047064.98)</f>
        <v>2047064.98</v>
      </c>
      <c r="J823" s="880">
        <f ca="1">IFERROR(__xludf.DUMMYFUNCTION("IMPORTRANGE(""https://docs.google.com/spreadsheets/d/19vJNZY_5yjcGF2XGBMNZRCAIB0Kwfpjp8YEOfu-bneM/edit?usp=sharing"",""งานกองทุน!K85"")"),260338.32)</f>
        <v>260338.32</v>
      </c>
      <c r="K823" s="881">
        <f t="shared" ca="1" si="335"/>
        <v>12.717638303792389</v>
      </c>
      <c r="L823" s="881"/>
      <c r="M823" s="881"/>
      <c r="N823" s="881"/>
      <c r="O823" s="881"/>
      <c r="P823" s="881"/>
      <c r="Q823" s="1302"/>
      <c r="R823" s="1302"/>
      <c r="S823" s="1302"/>
      <c r="T823" s="1302"/>
      <c r="U823" s="1302"/>
      <c r="V823" s="1302"/>
      <c r="W823" s="1302"/>
      <c r="X823" s="1302"/>
      <c r="Y823" s="1302"/>
      <c r="Z823" s="1302"/>
    </row>
    <row r="824" spans="1:26" ht="18.75">
      <c r="A824" s="1429"/>
      <c r="B824" s="1301"/>
      <c r="C824" s="1301"/>
      <c r="D824" s="1300"/>
      <c r="E824" s="1301"/>
      <c r="F824" s="1301"/>
      <c r="G824" s="1016"/>
      <c r="H824" s="622" t="s">
        <v>35</v>
      </c>
      <c r="I824" s="880">
        <f ca="1">IFERROR(__xludf.DUMMYFUNCTION("IMPORTRANGE(""https://docs.google.com/spreadsheets/d/19vJNZY_5yjcGF2XGBMNZRCAIB0Kwfpjp8YEOfu-bneM/edit?usp=sharing"",""งานกองทุน!H85"")"),124)</f>
        <v>124</v>
      </c>
      <c r="J824" s="880">
        <f ca="1">IFERROR(__xludf.DUMMYFUNCTION("IMPORTRANGE(""https://docs.google.com/spreadsheets/d/19vJNZY_5yjcGF2XGBMNZRCAIB0Kwfpjp8YEOfu-bneM/edit?usp=sharing"",""งานกองทุน!J85"")"),37)</f>
        <v>37</v>
      </c>
      <c r="K824" s="881">
        <f t="shared" ca="1" si="335"/>
        <v>29.838709677419356</v>
      </c>
      <c r="L824" s="881"/>
      <c r="M824" s="881"/>
      <c r="N824" s="881"/>
      <c r="O824" s="881"/>
      <c r="P824" s="881"/>
      <c r="Q824" s="1302"/>
      <c r="R824" s="1302"/>
      <c r="S824" s="1302"/>
      <c r="T824" s="1302"/>
      <c r="U824" s="1302"/>
      <c r="V824" s="1302"/>
      <c r="W824" s="1302"/>
      <c r="X824" s="1302"/>
      <c r="Y824" s="1302"/>
      <c r="Z824" s="1302"/>
    </row>
    <row r="825" spans="1:26" ht="18.75">
      <c r="A825" s="1429"/>
      <c r="B825" s="1301" t="s">
        <v>328</v>
      </c>
      <c r="C825" s="1301"/>
      <c r="D825" s="1300"/>
      <c r="E825" s="1301"/>
      <c r="F825" s="1301"/>
      <c r="G825" s="1016"/>
      <c r="H825" s="622" t="s">
        <v>12</v>
      </c>
      <c r="I825" s="880">
        <f ca="1">IFERROR(__xludf.DUMMYFUNCTION("IMPORTRANGE(""https://docs.google.com/spreadsheets/d/19vJNZY_5yjcGF2XGBMNZRCAIB0Kwfpjp8YEOfu-bneM/edit?usp=sharing"",""งานกองทุน!N85"")"),0)</f>
        <v>0</v>
      </c>
      <c r="J825" s="880">
        <f ca="1">IFERROR(__xludf.DUMMYFUNCTION("IMPORTRANGE(""https://docs.google.com/spreadsheets/d/19vJNZY_5yjcGF2XGBMNZRCAIB0Kwfpjp8YEOfu-bneM/edit?usp=sharing"",""งานกองทุน!P85"")"),0)</f>
        <v>0</v>
      </c>
      <c r="K825" s="881">
        <f t="shared" ca="1" si="335"/>
        <v>0</v>
      </c>
      <c r="L825" s="881"/>
      <c r="M825" s="881"/>
      <c r="N825" s="881"/>
      <c r="O825" s="881"/>
      <c r="P825" s="881"/>
      <c r="Q825" s="1302"/>
      <c r="R825" s="1302"/>
      <c r="S825" s="1302"/>
      <c r="T825" s="1302"/>
      <c r="U825" s="1302"/>
      <c r="V825" s="1302"/>
      <c r="W825" s="1302"/>
      <c r="X825" s="1302"/>
      <c r="Y825" s="1302"/>
      <c r="Z825" s="1302"/>
    </row>
    <row r="826" spans="1:26" ht="18.75">
      <c r="A826" s="1429"/>
      <c r="B826" s="1301"/>
      <c r="C826" s="1301"/>
      <c r="D826" s="1300"/>
      <c r="E826" s="1301"/>
      <c r="F826" s="1301"/>
      <c r="G826" s="1016"/>
      <c r="H826" s="622" t="s">
        <v>35</v>
      </c>
      <c r="I826" s="880">
        <f ca="1">IFERROR(__xludf.DUMMYFUNCTION("IMPORTRANGE(""https://docs.google.com/spreadsheets/d/19vJNZY_5yjcGF2XGBMNZRCAIB0Kwfpjp8YEOfu-bneM/edit?usp=sharing"",""งานกองทุน!M85"")"),0)</f>
        <v>0</v>
      </c>
      <c r="J826" s="880">
        <f ca="1">IFERROR(__xludf.DUMMYFUNCTION("IMPORTRANGE(""https://docs.google.com/spreadsheets/d/19vJNZY_5yjcGF2XGBMNZRCAIB0Kwfpjp8YEOfu-bneM/edit?usp=sharing"",""งานกองทุน!O85"")"),0)</f>
        <v>0</v>
      </c>
      <c r="K826" s="881">
        <f t="shared" ca="1" si="335"/>
        <v>0</v>
      </c>
      <c r="L826" s="881"/>
      <c r="M826" s="881"/>
      <c r="N826" s="881"/>
      <c r="O826" s="881"/>
      <c r="P826" s="881"/>
      <c r="Q826" s="1302"/>
      <c r="R826" s="1302"/>
      <c r="S826" s="1302"/>
      <c r="T826" s="1302"/>
      <c r="U826" s="1302"/>
      <c r="V826" s="1302"/>
      <c r="W826" s="1302"/>
      <c r="X826" s="1302"/>
      <c r="Y826" s="1302"/>
      <c r="Z826" s="1302"/>
    </row>
    <row r="827" spans="1:26" ht="18.75">
      <c r="A827" s="1429"/>
      <c r="B827" s="1301" t="s">
        <v>329</v>
      </c>
      <c r="C827" s="1301"/>
      <c r="D827" s="1300"/>
      <c r="E827" s="1301"/>
      <c r="F827" s="1301"/>
      <c r="G827" s="1016"/>
      <c r="H827" s="622" t="s">
        <v>12</v>
      </c>
      <c r="I827" s="880">
        <f ca="1">IFERROR(__xludf.DUMMYFUNCTION("IMPORTRANGE(""https://docs.google.com/spreadsheets/d/19vJNZY_5yjcGF2XGBMNZRCAIB0Kwfpjp8YEOfu-bneM/edit?usp=sharing"",""งานกองทุน!S85"")"),1700000)</f>
        <v>1700000</v>
      </c>
      <c r="J827" s="880">
        <f ca="1">IFERROR(__xludf.DUMMYFUNCTION("IMPORTRANGE(""https://docs.google.com/spreadsheets/d/19vJNZY_5yjcGF2XGBMNZRCAIB0Kwfpjp8YEOfu-bneM/edit?usp=sharing"",""งานกองทุน!U85"")"),500000)</f>
        <v>500000</v>
      </c>
      <c r="K827" s="881">
        <f t="shared" ca="1" si="335"/>
        <v>29.411764705882351</v>
      </c>
      <c r="L827" s="881"/>
      <c r="M827" s="881"/>
      <c r="N827" s="881"/>
      <c r="O827" s="881"/>
      <c r="P827" s="881"/>
      <c r="Q827" s="1302"/>
      <c r="R827" s="1302"/>
      <c r="S827" s="1302"/>
      <c r="T827" s="1302"/>
      <c r="U827" s="1302"/>
      <c r="V827" s="1302"/>
      <c r="W827" s="1302"/>
      <c r="X827" s="1302"/>
      <c r="Y827" s="1302"/>
      <c r="Z827" s="1302"/>
    </row>
    <row r="828" spans="1:26" ht="18.75">
      <c r="A828" s="1430"/>
      <c r="B828" s="1432"/>
      <c r="C828" s="1432"/>
      <c r="D828" s="1431"/>
      <c r="E828" s="1432"/>
      <c r="F828" s="1432"/>
      <c r="G828" s="1492"/>
      <c r="H828" s="827" t="s">
        <v>35</v>
      </c>
      <c r="I828" s="1138">
        <f ca="1">IFERROR(__xludf.DUMMYFUNCTION("IMPORTRANGE(""https://docs.google.com/spreadsheets/d/19vJNZY_5yjcGF2XGBMNZRCAIB0Kwfpjp8YEOfu-bneM/edit?usp=sharing"",""งานกองทุน!R85"")"),68)</f>
        <v>68</v>
      </c>
      <c r="J828" s="1138">
        <f ca="1">IFERROR(__xludf.DUMMYFUNCTION("IMPORTRANGE(""https://docs.google.com/spreadsheets/d/19vJNZY_5yjcGF2XGBMNZRCAIB0Kwfpjp8YEOfu-bneM/edit?usp=sharing"",""งานกองทุน!T85"")"),20)</f>
        <v>20</v>
      </c>
      <c r="K828" s="1239">
        <f t="shared" ca="1" si="335"/>
        <v>29.411764705882351</v>
      </c>
      <c r="L828" s="1239"/>
      <c r="M828" s="1239"/>
      <c r="N828" s="1239"/>
      <c r="O828" s="1239"/>
      <c r="P828" s="1239"/>
      <c r="Q828" s="1302"/>
      <c r="R828" s="1302"/>
      <c r="S828" s="1302"/>
      <c r="T828" s="1302"/>
      <c r="U828" s="1302"/>
      <c r="V828" s="1302"/>
      <c r="W828" s="1302"/>
      <c r="X828" s="1302"/>
      <c r="Y828" s="1302"/>
      <c r="Z828" s="130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46BD-EAB6-4F6A-8717-85BAA0EF4BAB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52" customWidth="1"/>
    <col min="4" max="6" width="5.85546875" style="852" customWidth="1"/>
    <col min="7" max="7" width="56.42578125" style="852" customWidth="1"/>
    <col min="8" max="8" width="9.42578125" style="852" customWidth="1"/>
    <col min="9" max="10" width="16.140625" style="852" bestFit="1" customWidth="1"/>
    <col min="11" max="11" width="13.28515625" style="852" bestFit="1" customWidth="1"/>
    <col min="12" max="15" width="20.28515625" style="852" bestFit="1" customWidth="1"/>
    <col min="16" max="16" width="22.140625" style="852" bestFit="1" customWidth="1"/>
    <col min="17" max="16384" width="12.5703125" style="852"/>
  </cols>
  <sheetData>
    <row r="1" spans="1:26" ht="19.5">
      <c r="A1" s="828" t="s">
        <v>0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51"/>
    </row>
    <row r="2" spans="1:26" ht="19.5">
      <c r="A2" s="828" t="s">
        <v>352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</row>
    <row r="3" spans="1:26" ht="19.5">
      <c r="A3" s="828" t="s">
        <v>330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</row>
    <row r="4" spans="1:26" ht="12.75">
      <c r="A4" s="853"/>
      <c r="B4" s="853"/>
      <c r="C4" s="853"/>
      <c r="D4" s="853"/>
      <c r="E4" s="853"/>
      <c r="F4" s="853"/>
      <c r="G4" s="853"/>
      <c r="H4" s="853"/>
      <c r="I4" s="853"/>
      <c r="J4" s="854"/>
      <c r="K4" s="855"/>
      <c r="L4" s="854"/>
      <c r="M4" s="854"/>
      <c r="N4" s="854"/>
      <c r="O4" s="853"/>
      <c r="P4" s="853"/>
    </row>
    <row r="5" spans="1:26" ht="19.5">
      <c r="A5" s="836" t="s">
        <v>2</v>
      </c>
      <c r="B5" s="851"/>
      <c r="C5" s="851"/>
      <c r="D5" s="851"/>
      <c r="E5" s="851"/>
      <c r="F5" s="851"/>
      <c r="G5" s="837"/>
      <c r="H5" s="830" t="s">
        <v>3</v>
      </c>
      <c r="I5" s="832" t="s">
        <v>4</v>
      </c>
      <c r="J5" s="833"/>
      <c r="K5" s="831"/>
      <c r="L5" s="834" t="s">
        <v>5</v>
      </c>
      <c r="M5" s="831"/>
      <c r="N5" s="835" t="s">
        <v>6</v>
      </c>
      <c r="O5" s="833"/>
      <c r="P5" s="831"/>
    </row>
    <row r="6" spans="1:26" ht="19.5">
      <c r="A6" s="838"/>
      <c r="B6" s="833"/>
      <c r="C6" s="833"/>
      <c r="D6" s="833"/>
      <c r="E6" s="833"/>
      <c r="F6" s="833"/>
      <c r="G6" s="831"/>
      <c r="H6" s="83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6" t="s">
        <v>15</v>
      </c>
      <c r="B7" s="833"/>
      <c r="C7" s="833"/>
      <c r="D7" s="833"/>
      <c r="E7" s="833"/>
      <c r="F7" s="833"/>
      <c r="G7" s="831"/>
      <c r="H7" s="857"/>
      <c r="I7" s="858"/>
      <c r="J7" s="858"/>
      <c r="K7" s="859"/>
      <c r="L7" s="859"/>
      <c r="M7" s="859"/>
      <c r="N7" s="859"/>
      <c r="O7" s="859"/>
      <c r="P7" s="859"/>
    </row>
    <row r="8" spans="1:26" ht="19.5">
      <c r="A8" s="860"/>
      <c r="B8" s="861"/>
      <c r="C8" s="862" t="s">
        <v>16</v>
      </c>
      <c r="D8" s="863" t="s">
        <v>17</v>
      </c>
      <c r="E8" s="861"/>
      <c r="F8" s="861"/>
      <c r="G8" s="864"/>
      <c r="H8" s="19" t="s">
        <v>12</v>
      </c>
      <c r="I8" s="865"/>
      <c r="J8" s="865"/>
      <c r="K8" s="866"/>
      <c r="L8" s="867">
        <f t="shared" ref="L8:N8" ca="1" si="0">L9+L10</f>
        <v>5265083</v>
      </c>
      <c r="M8" s="867">
        <f t="shared" ca="1" si="0"/>
        <v>4707616</v>
      </c>
      <c r="N8" s="867">
        <f t="shared" ca="1" si="0"/>
        <v>2755868.58</v>
      </c>
      <c r="O8" s="867">
        <f t="shared" ref="O8:O16" ca="1" si="1">IF(L8&gt;0,N8*100/L8,0)</f>
        <v>52.342357755803661</v>
      </c>
      <c r="P8" s="867">
        <f t="shared" ref="P8:P16" ca="1" si="2">IF(M8&gt;0,N8*100/M8,0)</f>
        <v>58.540640952872963</v>
      </c>
      <c r="Q8" s="868"/>
      <c r="R8" s="868"/>
      <c r="S8" s="868"/>
      <c r="T8" s="868"/>
      <c r="U8" s="868"/>
      <c r="V8" s="868"/>
      <c r="W8" s="868"/>
      <c r="X8" s="868"/>
      <c r="Y8" s="868"/>
      <c r="Z8" s="868"/>
    </row>
    <row r="9" spans="1:26" ht="18.75" hidden="1">
      <c r="A9" s="869"/>
      <c r="B9" s="870"/>
      <c r="C9" s="870"/>
      <c r="D9" s="870"/>
      <c r="E9" s="871" t="s">
        <v>18</v>
      </c>
      <c r="F9" s="870"/>
      <c r="G9" s="872"/>
      <c r="H9" s="28" t="s">
        <v>12</v>
      </c>
      <c r="I9" s="873"/>
      <c r="J9" s="873"/>
      <c r="K9" s="874"/>
      <c r="L9" s="874">
        <f t="shared" ref="L9:N10" si="3">L12+L15</f>
        <v>0</v>
      </c>
      <c r="M9" s="874">
        <f t="shared" si="3"/>
        <v>0</v>
      </c>
      <c r="N9" s="874">
        <f t="shared" si="3"/>
        <v>0</v>
      </c>
      <c r="O9" s="874">
        <f t="shared" si="1"/>
        <v>0</v>
      </c>
      <c r="P9" s="874">
        <f t="shared" si="2"/>
        <v>0</v>
      </c>
      <c r="Q9" s="875"/>
      <c r="R9" s="875"/>
      <c r="S9" s="875"/>
      <c r="T9" s="875"/>
      <c r="U9" s="875"/>
      <c r="V9" s="875"/>
      <c r="W9" s="875"/>
      <c r="X9" s="875"/>
      <c r="Y9" s="875"/>
      <c r="Z9" s="875"/>
    </row>
    <row r="10" spans="1:26" ht="18.75" hidden="1">
      <c r="A10" s="869"/>
      <c r="B10" s="870"/>
      <c r="C10" s="870"/>
      <c r="D10" s="870"/>
      <c r="E10" s="871" t="s">
        <v>19</v>
      </c>
      <c r="F10" s="870"/>
      <c r="G10" s="872"/>
      <c r="H10" s="28" t="s">
        <v>12</v>
      </c>
      <c r="I10" s="873"/>
      <c r="J10" s="873"/>
      <c r="K10" s="874"/>
      <c r="L10" s="874">
        <f t="shared" ca="1" si="3"/>
        <v>5265083</v>
      </c>
      <c r="M10" s="874">
        <f t="shared" ca="1" si="3"/>
        <v>4707616</v>
      </c>
      <c r="N10" s="874">
        <f t="shared" ca="1" si="3"/>
        <v>2755868.58</v>
      </c>
      <c r="O10" s="874">
        <f t="shared" ca="1" si="1"/>
        <v>52.342357755803661</v>
      </c>
      <c r="P10" s="874">
        <f t="shared" ca="1" si="2"/>
        <v>58.540640952872963</v>
      </c>
      <c r="Q10" s="875"/>
      <c r="R10" s="875"/>
      <c r="S10" s="875"/>
      <c r="T10" s="875"/>
      <c r="U10" s="875"/>
      <c r="V10" s="875"/>
      <c r="W10" s="875"/>
      <c r="X10" s="875"/>
      <c r="Y10" s="875"/>
      <c r="Z10" s="875"/>
    </row>
    <row r="11" spans="1:26" ht="18.75">
      <c r="A11" s="876"/>
      <c r="B11" s="877"/>
      <c r="C11" s="877"/>
      <c r="D11" s="878" t="s">
        <v>20</v>
      </c>
      <c r="E11" s="877"/>
      <c r="F11" s="877"/>
      <c r="G11" s="879"/>
      <c r="H11" s="622" t="s">
        <v>12</v>
      </c>
      <c r="I11" s="880"/>
      <c r="J11" s="880"/>
      <c r="K11" s="881"/>
      <c r="L11" s="881">
        <f t="shared" ref="L11:N11" ca="1" si="4">L12+L13</f>
        <v>5094383</v>
      </c>
      <c r="M11" s="881">
        <f t="shared" ca="1" si="4"/>
        <v>4536916</v>
      </c>
      <c r="N11" s="881">
        <f t="shared" ca="1" si="4"/>
        <v>2585168.58</v>
      </c>
      <c r="O11" s="881">
        <f t="shared" ca="1" si="1"/>
        <v>50.745469667278648</v>
      </c>
      <c r="P11" s="881">
        <f t="shared" ca="1" si="2"/>
        <v>56.980745951655265</v>
      </c>
      <c r="Q11" s="868"/>
      <c r="R11" s="868"/>
      <c r="S11" s="868"/>
      <c r="T11" s="868"/>
      <c r="U11" s="868"/>
      <c r="V11" s="868"/>
      <c r="W11" s="868"/>
      <c r="X11" s="868"/>
      <c r="Y11" s="868"/>
      <c r="Z11" s="868"/>
    </row>
    <row r="12" spans="1:26" ht="18.75" hidden="1">
      <c r="A12" s="882"/>
      <c r="B12" s="883"/>
      <c r="C12" s="883"/>
      <c r="D12" s="883"/>
      <c r="E12" s="884" t="s">
        <v>18</v>
      </c>
      <c r="F12" s="883"/>
      <c r="G12" s="885"/>
      <c r="H12" s="43" t="s">
        <v>12</v>
      </c>
      <c r="I12" s="886"/>
      <c r="J12" s="886"/>
      <c r="K12" s="887"/>
      <c r="L12" s="887">
        <f t="shared" ref="L12:N13" si="5">L22+L32</f>
        <v>0</v>
      </c>
      <c r="M12" s="887">
        <f t="shared" si="5"/>
        <v>0</v>
      </c>
      <c r="N12" s="887">
        <f t="shared" si="5"/>
        <v>0</v>
      </c>
      <c r="O12" s="887">
        <f t="shared" si="1"/>
        <v>0</v>
      </c>
      <c r="P12" s="887">
        <f t="shared" si="2"/>
        <v>0</v>
      </c>
      <c r="Q12" s="875"/>
      <c r="R12" s="875"/>
      <c r="S12" s="875"/>
      <c r="T12" s="875"/>
      <c r="U12" s="875"/>
      <c r="V12" s="875"/>
      <c r="W12" s="875"/>
      <c r="X12" s="875"/>
      <c r="Y12" s="875"/>
      <c r="Z12" s="875"/>
    </row>
    <row r="13" spans="1:26" ht="18.75" hidden="1">
      <c r="A13" s="882"/>
      <c r="B13" s="883"/>
      <c r="C13" s="883"/>
      <c r="D13" s="883"/>
      <c r="E13" s="884" t="s">
        <v>19</v>
      </c>
      <c r="F13" s="883"/>
      <c r="G13" s="885"/>
      <c r="H13" s="43" t="s">
        <v>12</v>
      </c>
      <c r="I13" s="886"/>
      <c r="J13" s="886"/>
      <c r="K13" s="887"/>
      <c r="L13" s="887">
        <f t="shared" ca="1" si="5"/>
        <v>5094383</v>
      </c>
      <c r="M13" s="887">
        <f t="shared" ca="1" si="5"/>
        <v>4536916</v>
      </c>
      <c r="N13" s="887">
        <f t="shared" ca="1" si="5"/>
        <v>2585168.58</v>
      </c>
      <c r="O13" s="887">
        <f t="shared" ca="1" si="1"/>
        <v>50.745469667278648</v>
      </c>
      <c r="P13" s="887">
        <f t="shared" ca="1" si="2"/>
        <v>56.980745951655265</v>
      </c>
      <c r="Q13" s="875"/>
      <c r="R13" s="875"/>
      <c r="S13" s="875"/>
      <c r="T13" s="875"/>
      <c r="U13" s="875"/>
      <c r="V13" s="875"/>
      <c r="W13" s="875"/>
      <c r="X13" s="875"/>
      <c r="Y13" s="875"/>
      <c r="Z13" s="875"/>
    </row>
    <row r="14" spans="1:26" ht="18.75">
      <c r="A14" s="876"/>
      <c r="B14" s="877"/>
      <c r="C14" s="877"/>
      <c r="D14" s="878" t="s">
        <v>21</v>
      </c>
      <c r="E14" s="877"/>
      <c r="F14" s="877"/>
      <c r="G14" s="879"/>
      <c r="H14" s="622" t="s">
        <v>12</v>
      </c>
      <c r="I14" s="880"/>
      <c r="J14" s="880"/>
      <c r="K14" s="881"/>
      <c r="L14" s="881">
        <f t="shared" ref="L14:N14" ca="1" si="6">L15+L16</f>
        <v>170700</v>
      </c>
      <c r="M14" s="881">
        <f t="shared" ca="1" si="6"/>
        <v>170700</v>
      </c>
      <c r="N14" s="881">
        <f t="shared" ca="1" si="6"/>
        <v>170700</v>
      </c>
      <c r="O14" s="881">
        <f t="shared" ca="1" si="1"/>
        <v>100</v>
      </c>
      <c r="P14" s="881">
        <f t="shared" ca="1" si="2"/>
        <v>100</v>
      </c>
      <c r="Q14" s="868"/>
      <c r="R14" s="868"/>
      <c r="S14" s="868"/>
      <c r="T14" s="868"/>
      <c r="U14" s="868"/>
      <c r="V14" s="868"/>
      <c r="W14" s="868"/>
      <c r="X14" s="868"/>
      <c r="Y14" s="868"/>
      <c r="Z14" s="868"/>
    </row>
    <row r="15" spans="1:26" ht="18.75" hidden="1">
      <c r="A15" s="882"/>
      <c r="B15" s="883"/>
      <c r="C15" s="883"/>
      <c r="D15" s="883"/>
      <c r="E15" s="884" t="s">
        <v>18</v>
      </c>
      <c r="F15" s="883"/>
      <c r="G15" s="885"/>
      <c r="H15" s="43" t="s">
        <v>12</v>
      </c>
      <c r="I15" s="886"/>
      <c r="J15" s="886"/>
      <c r="K15" s="887"/>
      <c r="L15" s="887">
        <f t="shared" ref="L15:N16" si="7">L25+L35</f>
        <v>0</v>
      </c>
      <c r="M15" s="887">
        <f t="shared" si="7"/>
        <v>0</v>
      </c>
      <c r="N15" s="887">
        <f t="shared" si="7"/>
        <v>0</v>
      </c>
      <c r="O15" s="887">
        <f t="shared" si="1"/>
        <v>0</v>
      </c>
      <c r="P15" s="887">
        <f t="shared" si="2"/>
        <v>0</v>
      </c>
      <c r="Q15" s="875"/>
      <c r="R15" s="875"/>
      <c r="S15" s="875"/>
      <c r="T15" s="875"/>
      <c r="U15" s="875"/>
      <c r="V15" s="875"/>
      <c r="W15" s="875"/>
      <c r="X15" s="875"/>
      <c r="Y15" s="875"/>
      <c r="Z15" s="875"/>
    </row>
    <row r="16" spans="1:26" ht="18.75" hidden="1">
      <c r="A16" s="888"/>
      <c r="B16" s="889"/>
      <c r="C16" s="889"/>
      <c r="D16" s="889"/>
      <c r="E16" s="890" t="s">
        <v>19</v>
      </c>
      <c r="F16" s="889"/>
      <c r="G16" s="891"/>
      <c r="H16" s="50" t="s">
        <v>12</v>
      </c>
      <c r="I16" s="892"/>
      <c r="J16" s="892"/>
      <c r="K16" s="893"/>
      <c r="L16" s="893">
        <f t="shared" ca="1" si="7"/>
        <v>170700</v>
      </c>
      <c r="M16" s="893">
        <f t="shared" ca="1" si="7"/>
        <v>170700</v>
      </c>
      <c r="N16" s="893">
        <f t="shared" ca="1" si="7"/>
        <v>170700</v>
      </c>
      <c r="O16" s="893">
        <f t="shared" ca="1" si="1"/>
        <v>100</v>
      </c>
      <c r="P16" s="893">
        <f t="shared" ca="1" si="2"/>
        <v>100</v>
      </c>
      <c r="Q16" s="875"/>
      <c r="R16" s="875"/>
      <c r="S16" s="875"/>
      <c r="T16" s="875"/>
      <c r="U16" s="875"/>
      <c r="V16" s="875"/>
      <c r="W16" s="875"/>
      <c r="X16" s="875"/>
      <c r="Y16" s="875"/>
      <c r="Z16" s="875"/>
    </row>
    <row r="17" spans="1:26" ht="19.5">
      <c r="A17" s="856" t="s">
        <v>22</v>
      </c>
      <c r="B17" s="833"/>
      <c r="C17" s="833"/>
      <c r="D17" s="833"/>
      <c r="E17" s="833"/>
      <c r="F17" s="833"/>
      <c r="G17" s="831"/>
      <c r="H17" s="857"/>
      <c r="I17" s="858"/>
      <c r="J17" s="858"/>
      <c r="K17" s="859"/>
      <c r="L17" s="859"/>
      <c r="M17" s="859"/>
      <c r="N17" s="859"/>
      <c r="O17" s="859"/>
      <c r="P17" s="859"/>
    </row>
    <row r="18" spans="1:26" ht="19.5">
      <c r="A18" s="860"/>
      <c r="B18" s="861"/>
      <c r="C18" s="862" t="s">
        <v>16</v>
      </c>
      <c r="D18" s="863" t="s">
        <v>17</v>
      </c>
      <c r="E18" s="861"/>
      <c r="F18" s="861"/>
      <c r="G18" s="864"/>
      <c r="H18" s="19" t="s">
        <v>12</v>
      </c>
      <c r="I18" s="865"/>
      <c r="J18" s="865"/>
      <c r="K18" s="866"/>
      <c r="L18" s="867">
        <f t="shared" ref="L18:N18" ca="1" si="8">L19+L20</f>
        <v>3382730</v>
      </c>
      <c r="M18" s="867">
        <f t="shared" ca="1" si="8"/>
        <v>2825263</v>
      </c>
      <c r="N18" s="867">
        <f t="shared" ca="1" si="8"/>
        <v>1921723.5799999998</v>
      </c>
      <c r="O18" s="867">
        <f t="shared" ref="O18:O26" ca="1" si="9">IF(L18&gt;0,N18*100/L18,0)</f>
        <v>56.809842346270607</v>
      </c>
      <c r="P18" s="867">
        <f t="shared" ref="P18:P26" ca="1" si="10">IF(M18&gt;0,N18*100/M18,0)</f>
        <v>68.019281036845058</v>
      </c>
      <c r="Q18" s="868"/>
      <c r="R18" s="868"/>
      <c r="S18" s="868"/>
      <c r="T18" s="868"/>
      <c r="U18" s="868"/>
      <c r="V18" s="868"/>
      <c r="W18" s="868"/>
      <c r="X18" s="868"/>
      <c r="Y18" s="868"/>
      <c r="Z18" s="868"/>
    </row>
    <row r="19" spans="1:26" ht="18.75" hidden="1">
      <c r="A19" s="869"/>
      <c r="B19" s="870"/>
      <c r="C19" s="870"/>
      <c r="D19" s="870"/>
      <c r="E19" s="871" t="s">
        <v>18</v>
      </c>
      <c r="F19" s="870"/>
      <c r="G19" s="872"/>
      <c r="H19" s="28" t="s">
        <v>12</v>
      </c>
      <c r="I19" s="873"/>
      <c r="J19" s="873"/>
      <c r="K19" s="874"/>
      <c r="L19" s="874">
        <f t="shared" ref="L19:N20" si="11">L22+L25</f>
        <v>0</v>
      </c>
      <c r="M19" s="874">
        <f t="shared" si="11"/>
        <v>0</v>
      </c>
      <c r="N19" s="874">
        <f t="shared" si="11"/>
        <v>0</v>
      </c>
      <c r="O19" s="874">
        <f t="shared" si="9"/>
        <v>0</v>
      </c>
      <c r="P19" s="874">
        <f t="shared" si="10"/>
        <v>0</v>
      </c>
      <c r="Q19" s="875"/>
      <c r="R19" s="875"/>
      <c r="S19" s="875"/>
      <c r="T19" s="875"/>
      <c r="U19" s="875"/>
      <c r="V19" s="875"/>
      <c r="W19" s="875"/>
      <c r="X19" s="875"/>
      <c r="Y19" s="875"/>
      <c r="Z19" s="875"/>
    </row>
    <row r="20" spans="1:26" ht="18.75" hidden="1">
      <c r="A20" s="869"/>
      <c r="B20" s="870"/>
      <c r="C20" s="870"/>
      <c r="D20" s="870"/>
      <c r="E20" s="871" t="s">
        <v>19</v>
      </c>
      <c r="F20" s="870"/>
      <c r="G20" s="872"/>
      <c r="H20" s="28" t="s">
        <v>12</v>
      </c>
      <c r="I20" s="873"/>
      <c r="J20" s="873"/>
      <c r="K20" s="874"/>
      <c r="L20" s="874">
        <f t="shared" ca="1" si="11"/>
        <v>3382730</v>
      </c>
      <c r="M20" s="874">
        <f t="shared" ca="1" si="11"/>
        <v>2825263</v>
      </c>
      <c r="N20" s="874">
        <f t="shared" ca="1" si="11"/>
        <v>1921723.5799999998</v>
      </c>
      <c r="O20" s="874">
        <f t="shared" ca="1" si="9"/>
        <v>56.809842346270607</v>
      </c>
      <c r="P20" s="874">
        <f t="shared" ca="1" si="10"/>
        <v>68.019281036845058</v>
      </c>
      <c r="Q20" s="875"/>
      <c r="R20" s="875"/>
      <c r="S20" s="875"/>
      <c r="T20" s="875"/>
      <c r="U20" s="875"/>
      <c r="V20" s="875"/>
      <c r="W20" s="875"/>
      <c r="X20" s="875"/>
      <c r="Y20" s="875"/>
      <c r="Z20" s="875"/>
    </row>
    <row r="21" spans="1:26" ht="18.75">
      <c r="A21" s="876"/>
      <c r="B21" s="877"/>
      <c r="C21" s="877"/>
      <c r="D21" s="878" t="s">
        <v>20</v>
      </c>
      <c r="E21" s="877"/>
      <c r="F21" s="877"/>
      <c r="G21" s="879"/>
      <c r="H21" s="622" t="s">
        <v>12</v>
      </c>
      <c r="I21" s="880"/>
      <c r="J21" s="880"/>
      <c r="K21" s="881"/>
      <c r="L21" s="881">
        <f t="shared" ref="L21:N21" ca="1" si="12">L22+L23</f>
        <v>3212030</v>
      </c>
      <c r="M21" s="881">
        <f t="shared" ca="1" si="12"/>
        <v>2654563</v>
      </c>
      <c r="N21" s="881">
        <f t="shared" ca="1" si="12"/>
        <v>1751023.5799999998</v>
      </c>
      <c r="O21" s="881">
        <f t="shared" ca="1" si="9"/>
        <v>54.514546252681313</v>
      </c>
      <c r="P21" s="881">
        <f t="shared" ca="1" si="10"/>
        <v>65.962781067919636</v>
      </c>
      <c r="Q21" s="868"/>
      <c r="R21" s="868"/>
      <c r="S21" s="868"/>
      <c r="T21" s="868"/>
      <c r="U21" s="868"/>
      <c r="V21" s="868"/>
      <c r="W21" s="868"/>
      <c r="X21" s="868"/>
      <c r="Y21" s="868"/>
      <c r="Z21" s="868"/>
    </row>
    <row r="22" spans="1:26" ht="18.75" hidden="1">
      <c r="A22" s="882"/>
      <c r="B22" s="883"/>
      <c r="C22" s="883"/>
      <c r="D22" s="883"/>
      <c r="E22" s="884" t="s">
        <v>18</v>
      </c>
      <c r="F22" s="883"/>
      <c r="G22" s="885"/>
      <c r="H22" s="43" t="s">
        <v>12</v>
      </c>
      <c r="I22" s="886"/>
      <c r="J22" s="886"/>
      <c r="K22" s="887"/>
      <c r="L22" s="887">
        <f t="shared" ref="L22:N23" si="13">L45+L57+L70+L92+L123+L136+L153+L185+L169+L265+L281+L302+L319+L332+L349+L393+L406</f>
        <v>0</v>
      </c>
      <c r="M22" s="887">
        <f t="shared" si="13"/>
        <v>0</v>
      </c>
      <c r="N22" s="887">
        <f t="shared" si="13"/>
        <v>0</v>
      </c>
      <c r="O22" s="887">
        <f t="shared" si="9"/>
        <v>0</v>
      </c>
      <c r="P22" s="887">
        <f t="shared" si="10"/>
        <v>0</v>
      </c>
      <c r="Q22" s="875"/>
      <c r="R22" s="875"/>
      <c r="S22" s="875"/>
      <c r="T22" s="875"/>
      <c r="U22" s="875"/>
      <c r="V22" s="875"/>
      <c r="W22" s="875"/>
      <c r="X22" s="875"/>
      <c r="Y22" s="875"/>
      <c r="Z22" s="875"/>
    </row>
    <row r="23" spans="1:26" ht="18.75" hidden="1">
      <c r="A23" s="882"/>
      <c r="B23" s="883"/>
      <c r="C23" s="883"/>
      <c r="D23" s="883"/>
      <c r="E23" s="884" t="s">
        <v>19</v>
      </c>
      <c r="F23" s="883"/>
      <c r="G23" s="885"/>
      <c r="H23" s="43" t="s">
        <v>12</v>
      </c>
      <c r="I23" s="886"/>
      <c r="J23" s="886"/>
      <c r="K23" s="887"/>
      <c r="L23" s="887">
        <f t="shared" ca="1" si="13"/>
        <v>3212030</v>
      </c>
      <c r="M23" s="887">
        <f t="shared" ca="1" si="13"/>
        <v>2654563</v>
      </c>
      <c r="N23" s="887">
        <f t="shared" ca="1" si="13"/>
        <v>1751023.5799999998</v>
      </c>
      <c r="O23" s="887">
        <f t="shared" ca="1" si="9"/>
        <v>54.514546252681313</v>
      </c>
      <c r="P23" s="887">
        <f t="shared" ca="1" si="10"/>
        <v>65.962781067919636</v>
      </c>
      <c r="Q23" s="875"/>
      <c r="R23" s="875"/>
      <c r="S23" s="875"/>
      <c r="T23" s="875"/>
      <c r="U23" s="875"/>
      <c r="V23" s="875"/>
      <c r="W23" s="875"/>
      <c r="X23" s="875"/>
      <c r="Y23" s="875"/>
      <c r="Z23" s="875"/>
    </row>
    <row r="24" spans="1:26" ht="18.75">
      <c r="A24" s="876"/>
      <c r="B24" s="877"/>
      <c r="C24" s="877"/>
      <c r="D24" s="878" t="s">
        <v>21</v>
      </c>
      <c r="E24" s="877"/>
      <c r="F24" s="877"/>
      <c r="G24" s="879"/>
      <c r="H24" s="622" t="s">
        <v>12</v>
      </c>
      <c r="I24" s="880"/>
      <c r="J24" s="880"/>
      <c r="K24" s="881"/>
      <c r="L24" s="881">
        <f t="shared" ref="L24:N24" ca="1" si="14">L25+L26</f>
        <v>170700</v>
      </c>
      <c r="M24" s="881">
        <f t="shared" ca="1" si="14"/>
        <v>170700</v>
      </c>
      <c r="N24" s="881">
        <f t="shared" ca="1" si="14"/>
        <v>170700</v>
      </c>
      <c r="O24" s="881">
        <f t="shared" ca="1" si="9"/>
        <v>100</v>
      </c>
      <c r="P24" s="881">
        <f t="shared" ca="1" si="10"/>
        <v>100</v>
      </c>
      <c r="Q24" s="868"/>
      <c r="R24" s="868"/>
      <c r="S24" s="868"/>
      <c r="T24" s="868"/>
      <c r="U24" s="868"/>
      <c r="V24" s="868"/>
      <c r="W24" s="868"/>
      <c r="X24" s="868"/>
      <c r="Y24" s="868"/>
      <c r="Z24" s="868"/>
    </row>
    <row r="25" spans="1:26" ht="18.75" hidden="1">
      <c r="A25" s="882"/>
      <c r="B25" s="883"/>
      <c r="C25" s="883"/>
      <c r="D25" s="883"/>
      <c r="E25" s="884" t="s">
        <v>18</v>
      </c>
      <c r="F25" s="883"/>
      <c r="G25" s="885"/>
      <c r="H25" s="43" t="s">
        <v>12</v>
      </c>
      <c r="I25" s="886"/>
      <c r="J25" s="886"/>
      <c r="K25" s="887"/>
      <c r="L25" s="887">
        <f t="shared" ref="L25:N26" si="15">L48+L60+L73+L95+L126+L139+L156+L188+L172+L268+L284+L305+L322+L335+L352+L396+L409</f>
        <v>0</v>
      </c>
      <c r="M25" s="887">
        <f t="shared" si="15"/>
        <v>0</v>
      </c>
      <c r="N25" s="887">
        <f t="shared" si="15"/>
        <v>0</v>
      </c>
      <c r="O25" s="887">
        <f t="shared" si="9"/>
        <v>0</v>
      </c>
      <c r="P25" s="887">
        <f t="shared" si="10"/>
        <v>0</v>
      </c>
      <c r="Q25" s="875"/>
      <c r="R25" s="875"/>
      <c r="S25" s="875"/>
      <c r="T25" s="875"/>
      <c r="U25" s="875"/>
      <c r="V25" s="875"/>
      <c r="W25" s="875"/>
      <c r="X25" s="875"/>
      <c r="Y25" s="875"/>
      <c r="Z25" s="875"/>
    </row>
    <row r="26" spans="1:26" ht="18.75" hidden="1">
      <c r="A26" s="888"/>
      <c r="B26" s="889"/>
      <c r="C26" s="889"/>
      <c r="D26" s="889"/>
      <c r="E26" s="890" t="s">
        <v>19</v>
      </c>
      <c r="F26" s="889"/>
      <c r="G26" s="891"/>
      <c r="H26" s="50" t="s">
        <v>12</v>
      </c>
      <c r="I26" s="892"/>
      <c r="J26" s="892"/>
      <c r="K26" s="893"/>
      <c r="L26" s="893">
        <f t="shared" ca="1" si="15"/>
        <v>170700</v>
      </c>
      <c r="M26" s="893">
        <f t="shared" ca="1" si="15"/>
        <v>170700</v>
      </c>
      <c r="N26" s="893">
        <f t="shared" ca="1" si="15"/>
        <v>170700</v>
      </c>
      <c r="O26" s="893">
        <f t="shared" ca="1" si="9"/>
        <v>100</v>
      </c>
      <c r="P26" s="893">
        <f t="shared" ca="1" si="10"/>
        <v>100</v>
      </c>
      <c r="Q26" s="875"/>
      <c r="R26" s="875"/>
      <c r="S26" s="875"/>
      <c r="T26" s="875"/>
      <c r="U26" s="875"/>
      <c r="V26" s="875"/>
      <c r="W26" s="875"/>
      <c r="X26" s="875"/>
      <c r="Y26" s="875"/>
      <c r="Z26" s="875"/>
    </row>
    <row r="27" spans="1:26" ht="19.5">
      <c r="A27" s="856" t="s">
        <v>23</v>
      </c>
      <c r="B27" s="833"/>
      <c r="C27" s="833"/>
      <c r="D27" s="833"/>
      <c r="E27" s="833"/>
      <c r="F27" s="833"/>
      <c r="G27" s="831"/>
      <c r="H27" s="857"/>
      <c r="I27" s="858"/>
      <c r="J27" s="858"/>
      <c r="K27" s="859"/>
      <c r="L27" s="859"/>
      <c r="M27" s="859"/>
      <c r="N27" s="859"/>
      <c r="O27" s="859"/>
      <c r="P27" s="859"/>
    </row>
    <row r="28" spans="1:26" ht="19.5">
      <c r="A28" s="860"/>
      <c r="B28" s="861"/>
      <c r="C28" s="862" t="s">
        <v>16</v>
      </c>
      <c r="D28" s="863" t="s">
        <v>17</v>
      </c>
      <c r="E28" s="861"/>
      <c r="F28" s="861"/>
      <c r="G28" s="864"/>
      <c r="H28" s="19" t="s">
        <v>12</v>
      </c>
      <c r="I28" s="865"/>
      <c r="J28" s="865"/>
      <c r="K28" s="866"/>
      <c r="L28" s="867">
        <f t="shared" ref="L28:N28" ca="1" si="16">L29+L30</f>
        <v>1882353</v>
      </c>
      <c r="M28" s="867">
        <f t="shared" ca="1" si="16"/>
        <v>1882353</v>
      </c>
      <c r="N28" s="867">
        <f t="shared" si="16"/>
        <v>834145</v>
      </c>
      <c r="O28" s="867">
        <f t="shared" ref="O28:O37" ca="1" si="17">IF(L28&gt;0,N28*100/L28,0)</f>
        <v>44.313951740189005</v>
      </c>
      <c r="P28" s="867">
        <f t="shared" ref="P28:P37" ca="1" si="18">IF(M28&gt;0,N28*100/M28,0)</f>
        <v>44.313951740189005</v>
      </c>
      <c r="Q28" s="868"/>
      <c r="R28" s="868"/>
      <c r="S28" s="868"/>
      <c r="T28" s="868"/>
      <c r="U28" s="868"/>
      <c r="V28" s="868"/>
      <c r="W28" s="868"/>
      <c r="X28" s="868"/>
      <c r="Y28" s="868"/>
      <c r="Z28" s="868"/>
    </row>
    <row r="29" spans="1:26" ht="18.75" hidden="1">
      <c r="A29" s="869"/>
      <c r="B29" s="870"/>
      <c r="C29" s="870"/>
      <c r="D29" s="870"/>
      <c r="E29" s="871" t="s">
        <v>18</v>
      </c>
      <c r="F29" s="870"/>
      <c r="G29" s="872"/>
      <c r="H29" s="28" t="s">
        <v>12</v>
      </c>
      <c r="I29" s="873"/>
      <c r="J29" s="873"/>
      <c r="K29" s="874"/>
      <c r="L29" s="874">
        <f t="shared" ref="L29:N30" si="19">L32+L35</f>
        <v>0</v>
      </c>
      <c r="M29" s="874">
        <f t="shared" si="19"/>
        <v>0</v>
      </c>
      <c r="N29" s="874">
        <f t="shared" si="19"/>
        <v>0</v>
      </c>
      <c r="O29" s="874">
        <f t="shared" si="17"/>
        <v>0</v>
      </c>
      <c r="P29" s="874">
        <f t="shared" si="18"/>
        <v>0</v>
      </c>
      <c r="Q29" s="875"/>
      <c r="R29" s="875"/>
      <c r="S29" s="875"/>
      <c r="T29" s="875"/>
      <c r="U29" s="875"/>
      <c r="V29" s="875"/>
      <c r="W29" s="875"/>
      <c r="X29" s="875"/>
      <c r="Y29" s="875"/>
      <c r="Z29" s="875"/>
    </row>
    <row r="30" spans="1:26" ht="18.75" hidden="1">
      <c r="A30" s="869"/>
      <c r="B30" s="870"/>
      <c r="C30" s="870"/>
      <c r="D30" s="870"/>
      <c r="E30" s="871" t="s">
        <v>19</v>
      </c>
      <c r="F30" s="870"/>
      <c r="G30" s="872"/>
      <c r="H30" s="28" t="s">
        <v>12</v>
      </c>
      <c r="I30" s="873"/>
      <c r="J30" s="873"/>
      <c r="K30" s="874"/>
      <c r="L30" s="874">
        <f t="shared" ca="1" si="19"/>
        <v>1882353</v>
      </c>
      <c r="M30" s="874">
        <f t="shared" ca="1" si="19"/>
        <v>1882353</v>
      </c>
      <c r="N30" s="874">
        <f t="shared" si="19"/>
        <v>834145</v>
      </c>
      <c r="O30" s="874">
        <f t="shared" ca="1" si="17"/>
        <v>44.313951740189005</v>
      </c>
      <c r="P30" s="874">
        <f t="shared" ca="1" si="18"/>
        <v>44.313951740189005</v>
      </c>
      <c r="Q30" s="875"/>
      <c r="R30" s="875"/>
      <c r="S30" s="875"/>
      <c r="T30" s="875"/>
      <c r="U30" s="875"/>
      <c r="V30" s="875"/>
      <c r="W30" s="875"/>
      <c r="X30" s="875"/>
      <c r="Y30" s="875"/>
      <c r="Z30" s="875"/>
    </row>
    <row r="31" spans="1:26" ht="18.75">
      <c r="A31" s="876"/>
      <c r="B31" s="877"/>
      <c r="C31" s="877"/>
      <c r="D31" s="878" t="s">
        <v>20</v>
      </c>
      <c r="E31" s="877"/>
      <c r="F31" s="877"/>
      <c r="G31" s="879"/>
      <c r="H31" s="622" t="s">
        <v>12</v>
      </c>
      <c r="I31" s="880"/>
      <c r="J31" s="880"/>
      <c r="K31" s="881"/>
      <c r="L31" s="881">
        <f t="shared" ref="L31:N31" ca="1" si="20">L32+L33</f>
        <v>1882353</v>
      </c>
      <c r="M31" s="881">
        <f t="shared" ca="1" si="20"/>
        <v>1882353</v>
      </c>
      <c r="N31" s="881">
        <f t="shared" si="20"/>
        <v>834145</v>
      </c>
      <c r="O31" s="881">
        <f t="shared" ca="1" si="17"/>
        <v>44.313951740189005</v>
      </c>
      <c r="P31" s="881">
        <f t="shared" ca="1" si="18"/>
        <v>44.313951740189005</v>
      </c>
      <c r="Q31" s="868"/>
      <c r="R31" s="868"/>
      <c r="S31" s="868"/>
      <c r="T31" s="868"/>
      <c r="U31" s="868"/>
      <c r="V31" s="868"/>
      <c r="W31" s="868"/>
      <c r="X31" s="868"/>
      <c r="Y31" s="868"/>
      <c r="Z31" s="868"/>
    </row>
    <row r="32" spans="1:26" ht="18.75" hidden="1">
      <c r="A32" s="882"/>
      <c r="B32" s="883"/>
      <c r="C32" s="883"/>
      <c r="D32" s="883"/>
      <c r="E32" s="884" t="s">
        <v>18</v>
      </c>
      <c r="F32" s="883"/>
      <c r="G32" s="885"/>
      <c r="H32" s="43" t="s">
        <v>12</v>
      </c>
      <c r="I32" s="886"/>
      <c r="J32" s="886"/>
      <c r="K32" s="887"/>
      <c r="L32" s="887">
        <f t="shared" ref="L32:N33" si="21">L423+L448+L471+L506+L527+L548+L633+L659+L689+L741+L758+L774+L790+L809</f>
        <v>0</v>
      </c>
      <c r="M32" s="887">
        <f t="shared" si="21"/>
        <v>0</v>
      </c>
      <c r="N32" s="887">
        <f t="shared" si="21"/>
        <v>0</v>
      </c>
      <c r="O32" s="887">
        <f t="shared" si="17"/>
        <v>0</v>
      </c>
      <c r="P32" s="887">
        <f t="shared" si="18"/>
        <v>0</v>
      </c>
      <c r="Q32" s="875"/>
      <c r="R32" s="875"/>
      <c r="S32" s="875"/>
      <c r="T32" s="875"/>
      <c r="U32" s="875"/>
      <c r="V32" s="875"/>
      <c r="W32" s="875"/>
      <c r="X32" s="875"/>
      <c r="Y32" s="875"/>
      <c r="Z32" s="875"/>
    </row>
    <row r="33" spans="1:26" ht="18.75" hidden="1">
      <c r="A33" s="882"/>
      <c r="B33" s="883"/>
      <c r="C33" s="883"/>
      <c r="D33" s="883"/>
      <c r="E33" s="884" t="s">
        <v>19</v>
      </c>
      <c r="F33" s="883"/>
      <c r="G33" s="885"/>
      <c r="H33" s="43" t="s">
        <v>12</v>
      </c>
      <c r="I33" s="886"/>
      <c r="J33" s="886"/>
      <c r="K33" s="887"/>
      <c r="L33" s="887">
        <f t="shared" ca="1" si="21"/>
        <v>1882353</v>
      </c>
      <c r="M33" s="887">
        <f t="shared" ca="1" si="21"/>
        <v>1882353</v>
      </c>
      <c r="N33" s="887">
        <f t="shared" si="21"/>
        <v>834145</v>
      </c>
      <c r="O33" s="887">
        <f t="shared" ca="1" si="17"/>
        <v>44.313951740189005</v>
      </c>
      <c r="P33" s="887">
        <f t="shared" ca="1" si="18"/>
        <v>44.313951740189005</v>
      </c>
      <c r="Q33" s="875"/>
      <c r="R33" s="875"/>
      <c r="S33" s="875"/>
      <c r="T33" s="875"/>
      <c r="U33" s="875"/>
      <c r="V33" s="875"/>
      <c r="W33" s="875"/>
      <c r="X33" s="875"/>
      <c r="Y33" s="875"/>
      <c r="Z33" s="875"/>
    </row>
    <row r="34" spans="1:26" ht="18.75">
      <c r="A34" s="876"/>
      <c r="B34" s="877"/>
      <c r="C34" s="877"/>
      <c r="D34" s="878" t="s">
        <v>21</v>
      </c>
      <c r="E34" s="877"/>
      <c r="F34" s="877"/>
      <c r="G34" s="879"/>
      <c r="H34" s="622" t="s">
        <v>12</v>
      </c>
      <c r="I34" s="880"/>
      <c r="J34" s="880"/>
      <c r="K34" s="881"/>
      <c r="L34" s="881">
        <f t="shared" ref="L34:N34" ca="1" si="22">L35+L36</f>
        <v>0</v>
      </c>
      <c r="M34" s="881">
        <f t="shared" si="22"/>
        <v>0</v>
      </c>
      <c r="N34" s="881">
        <f t="shared" si="22"/>
        <v>0</v>
      </c>
      <c r="O34" s="881">
        <f t="shared" ca="1" si="17"/>
        <v>0</v>
      </c>
      <c r="P34" s="881">
        <f t="shared" si="18"/>
        <v>0</v>
      </c>
      <c r="Q34" s="868"/>
      <c r="R34" s="868"/>
      <c r="S34" s="868"/>
      <c r="T34" s="868"/>
      <c r="U34" s="868"/>
      <c r="V34" s="868"/>
      <c r="W34" s="868"/>
      <c r="X34" s="868"/>
      <c r="Y34" s="868"/>
      <c r="Z34" s="868"/>
    </row>
    <row r="35" spans="1:26" ht="18.75" hidden="1">
      <c r="A35" s="882"/>
      <c r="B35" s="883"/>
      <c r="C35" s="883"/>
      <c r="D35" s="883"/>
      <c r="E35" s="884" t="s">
        <v>18</v>
      </c>
      <c r="F35" s="883"/>
      <c r="G35" s="885"/>
      <c r="H35" s="43" t="s">
        <v>12</v>
      </c>
      <c r="I35" s="886"/>
      <c r="J35" s="886"/>
      <c r="K35" s="887"/>
      <c r="L35" s="887">
        <f t="shared" ref="L35:N36" si="23">L430+L455+L478+L513+L534+L556+L640+L666+L696+L748+L765+L781+L797+L816</f>
        <v>0</v>
      </c>
      <c r="M35" s="887">
        <f t="shared" si="23"/>
        <v>0</v>
      </c>
      <c r="N35" s="887">
        <f t="shared" si="23"/>
        <v>0</v>
      </c>
      <c r="O35" s="887">
        <f t="shared" si="17"/>
        <v>0</v>
      </c>
      <c r="P35" s="887">
        <f t="shared" si="18"/>
        <v>0</v>
      </c>
      <c r="Q35" s="875"/>
      <c r="R35" s="875"/>
      <c r="S35" s="875"/>
      <c r="T35" s="875"/>
      <c r="U35" s="875"/>
      <c r="V35" s="875"/>
      <c r="W35" s="875"/>
      <c r="X35" s="875"/>
      <c r="Y35" s="875"/>
      <c r="Z35" s="875"/>
    </row>
    <row r="36" spans="1:26" ht="18.75" hidden="1">
      <c r="A36" s="888"/>
      <c r="B36" s="889"/>
      <c r="C36" s="889"/>
      <c r="D36" s="889"/>
      <c r="E36" s="890" t="s">
        <v>19</v>
      </c>
      <c r="F36" s="889"/>
      <c r="G36" s="891"/>
      <c r="H36" s="50" t="s">
        <v>12</v>
      </c>
      <c r="I36" s="892"/>
      <c r="J36" s="892"/>
      <c r="K36" s="893"/>
      <c r="L36" s="893">
        <f t="shared" ca="1" si="23"/>
        <v>0</v>
      </c>
      <c r="M36" s="893">
        <f t="shared" si="23"/>
        <v>0</v>
      </c>
      <c r="N36" s="893">
        <f t="shared" si="23"/>
        <v>0</v>
      </c>
      <c r="O36" s="893">
        <f t="shared" ca="1" si="17"/>
        <v>0</v>
      </c>
      <c r="P36" s="893">
        <f t="shared" si="18"/>
        <v>0</v>
      </c>
      <c r="Q36" s="875"/>
      <c r="R36" s="875"/>
      <c r="S36" s="875"/>
      <c r="T36" s="875"/>
      <c r="U36" s="875"/>
      <c r="V36" s="875"/>
      <c r="W36" s="875"/>
      <c r="X36" s="875"/>
      <c r="Y36" s="875"/>
      <c r="Z36" s="875"/>
    </row>
    <row r="37" spans="1:26" ht="19.5">
      <c r="A37" s="894" t="s">
        <v>24</v>
      </c>
      <c r="B37" s="895"/>
      <c r="C37" s="895"/>
      <c r="D37" s="895"/>
      <c r="E37" s="895"/>
      <c r="F37" s="895"/>
      <c r="G37" s="896"/>
      <c r="H37" s="897"/>
      <c r="I37" s="898"/>
      <c r="J37" s="898"/>
      <c r="K37" s="899"/>
      <c r="L37" s="900">
        <f t="shared" ref="L37:N37" ca="1" si="24">L41+L53+L66+L88+L119+L132+L149+L165+L181+L261+L277+L298+L315+L328+L345+L389+L402</f>
        <v>3382730</v>
      </c>
      <c r="M37" s="900">
        <f t="shared" ca="1" si="24"/>
        <v>2825263</v>
      </c>
      <c r="N37" s="900">
        <f t="shared" ca="1" si="24"/>
        <v>1921723.5799999998</v>
      </c>
      <c r="O37" s="900">
        <f t="shared" ca="1" si="17"/>
        <v>56.809842346270607</v>
      </c>
      <c r="P37" s="900">
        <f t="shared" ca="1" si="18"/>
        <v>68.019281036845058</v>
      </c>
    </row>
    <row r="38" spans="1:26" ht="19.5">
      <c r="A38" s="901" t="s">
        <v>25</v>
      </c>
      <c r="B38" s="902"/>
      <c r="C38" s="902"/>
      <c r="D38" s="902"/>
      <c r="E38" s="902"/>
      <c r="F38" s="902"/>
      <c r="G38" s="903"/>
      <c r="H38" s="904"/>
      <c r="I38" s="905"/>
      <c r="J38" s="905"/>
      <c r="K38" s="906"/>
      <c r="L38" s="906"/>
      <c r="M38" s="906"/>
      <c r="N38" s="906"/>
      <c r="O38" s="906"/>
      <c r="P38" s="906"/>
    </row>
    <row r="39" spans="1:26" ht="19.5">
      <c r="A39" s="907"/>
      <c r="B39" s="908" t="s">
        <v>26</v>
      </c>
      <c r="C39" s="909"/>
      <c r="D39" s="909"/>
      <c r="E39" s="909"/>
      <c r="F39" s="909"/>
      <c r="G39" s="910"/>
      <c r="H39" s="911"/>
      <c r="I39" s="912"/>
      <c r="J39" s="912"/>
      <c r="K39" s="913"/>
      <c r="L39" s="913"/>
      <c r="M39" s="913"/>
      <c r="N39" s="913"/>
      <c r="O39" s="913"/>
      <c r="P39" s="913"/>
    </row>
    <row r="40" spans="1:26" ht="19.5">
      <c r="A40" s="914"/>
      <c r="B40" s="915" t="s">
        <v>27</v>
      </c>
      <c r="C40" s="841"/>
      <c r="D40" s="841"/>
      <c r="E40" s="841"/>
      <c r="F40" s="841"/>
      <c r="G40" s="842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82" t="s">
        <v>12</v>
      </c>
      <c r="I41" s="924"/>
      <c r="J41" s="924"/>
      <c r="K41" s="925"/>
      <c r="L41" s="926">
        <f t="shared" ref="L41:N41" ca="1" si="25">L42+L43</f>
        <v>590800</v>
      </c>
      <c r="M41" s="926">
        <f t="shared" ca="1" si="25"/>
        <v>600868</v>
      </c>
      <c r="N41" s="926">
        <f t="shared" ca="1" si="25"/>
        <v>348673</v>
      </c>
      <c r="O41" s="926">
        <f t="shared" ref="O41:O49" ca="1" si="26">IF(L41&gt;0,N41*100/L41,0)</f>
        <v>59.017095463777927</v>
      </c>
      <c r="P41" s="926">
        <f t="shared" ref="P41:P49" ca="1" si="27">IF(M41&gt;0,N41*100/M41,0)</f>
        <v>58.028219176258347</v>
      </c>
      <c r="Q41" s="868"/>
      <c r="R41" s="868"/>
      <c r="S41" s="868"/>
      <c r="T41" s="868"/>
      <c r="U41" s="868"/>
      <c r="V41" s="868"/>
      <c r="W41" s="868"/>
      <c r="X41" s="868"/>
      <c r="Y41" s="868"/>
      <c r="Z41" s="868"/>
    </row>
    <row r="42" spans="1:26" ht="18.75" hidden="1">
      <c r="A42" s="927"/>
      <c r="B42" s="928"/>
      <c r="C42" s="928"/>
      <c r="D42" s="928"/>
      <c r="E42" s="929" t="s">
        <v>18</v>
      </c>
      <c r="F42" s="928"/>
      <c r="G42" s="930"/>
      <c r="H42" s="90" t="s">
        <v>12</v>
      </c>
      <c r="I42" s="931"/>
      <c r="J42" s="931"/>
      <c r="K42" s="932"/>
      <c r="L42" s="932">
        <f t="shared" ref="L42:N43" si="28">L45+L48</f>
        <v>0</v>
      </c>
      <c r="M42" s="932">
        <f t="shared" si="28"/>
        <v>0</v>
      </c>
      <c r="N42" s="932">
        <f t="shared" si="28"/>
        <v>0</v>
      </c>
      <c r="O42" s="932">
        <f t="shared" si="26"/>
        <v>0</v>
      </c>
      <c r="P42" s="932">
        <f t="shared" si="27"/>
        <v>0</v>
      </c>
      <c r="Q42" s="875"/>
      <c r="R42" s="875"/>
      <c r="S42" s="875"/>
      <c r="T42" s="875"/>
      <c r="U42" s="875"/>
      <c r="V42" s="875"/>
      <c r="W42" s="875"/>
      <c r="X42" s="875"/>
      <c r="Y42" s="875"/>
      <c r="Z42" s="875"/>
    </row>
    <row r="43" spans="1:26" ht="18.75" hidden="1">
      <c r="A43" s="927"/>
      <c r="B43" s="928"/>
      <c r="C43" s="928"/>
      <c r="D43" s="928"/>
      <c r="E43" s="929" t="s">
        <v>19</v>
      </c>
      <c r="F43" s="928"/>
      <c r="G43" s="930"/>
      <c r="H43" s="90" t="s">
        <v>12</v>
      </c>
      <c r="I43" s="931"/>
      <c r="J43" s="931"/>
      <c r="K43" s="932"/>
      <c r="L43" s="932">
        <f t="shared" ca="1" si="28"/>
        <v>590800</v>
      </c>
      <c r="M43" s="932">
        <f t="shared" ca="1" si="28"/>
        <v>600868</v>
      </c>
      <c r="N43" s="932">
        <f t="shared" ca="1" si="28"/>
        <v>348673</v>
      </c>
      <c r="O43" s="932">
        <f t="shared" ca="1" si="26"/>
        <v>59.017095463777927</v>
      </c>
      <c r="P43" s="932">
        <f t="shared" ca="1" si="27"/>
        <v>58.028219176258347</v>
      </c>
      <c r="Q43" s="875"/>
      <c r="R43" s="875"/>
      <c r="S43" s="875"/>
      <c r="T43" s="875"/>
      <c r="U43" s="875"/>
      <c r="V43" s="875"/>
      <c r="W43" s="875"/>
      <c r="X43" s="875"/>
      <c r="Y43" s="875"/>
      <c r="Z43" s="875"/>
    </row>
    <row r="44" spans="1:26" ht="18.75">
      <c r="A44" s="876"/>
      <c r="B44" s="877"/>
      <c r="C44" s="877"/>
      <c r="D44" s="878" t="s">
        <v>20</v>
      </c>
      <c r="E44" s="877"/>
      <c r="F44" s="877"/>
      <c r="G44" s="879"/>
      <c r="H44" s="622" t="s">
        <v>12</v>
      </c>
      <c r="I44" s="880"/>
      <c r="J44" s="880"/>
      <c r="K44" s="881"/>
      <c r="L44" s="881">
        <f t="shared" ref="L44:N44" ca="1" si="29">L45+L46</f>
        <v>590800</v>
      </c>
      <c r="M44" s="881">
        <f t="shared" ca="1" si="29"/>
        <v>600868</v>
      </c>
      <c r="N44" s="881">
        <f t="shared" ca="1" si="29"/>
        <v>348673</v>
      </c>
      <c r="O44" s="881">
        <f t="shared" ca="1" si="26"/>
        <v>59.017095463777927</v>
      </c>
      <c r="P44" s="881">
        <f t="shared" ca="1" si="27"/>
        <v>58.028219176258347</v>
      </c>
      <c r="Q44" s="868"/>
      <c r="R44" s="868"/>
      <c r="S44" s="868"/>
      <c r="T44" s="868"/>
      <c r="U44" s="868"/>
      <c r="V44" s="868"/>
      <c r="W44" s="868"/>
      <c r="X44" s="868"/>
      <c r="Y44" s="868"/>
      <c r="Z44" s="868"/>
    </row>
    <row r="45" spans="1:26" ht="18.75" hidden="1">
      <c r="A45" s="882"/>
      <c r="B45" s="883"/>
      <c r="C45" s="883"/>
      <c r="D45" s="883"/>
      <c r="E45" s="884" t="s">
        <v>18</v>
      </c>
      <c r="F45" s="883"/>
      <c r="G45" s="885"/>
      <c r="H45" s="43" t="s">
        <v>12</v>
      </c>
      <c r="I45" s="886"/>
      <c r="J45" s="886"/>
      <c r="K45" s="887"/>
      <c r="L45" s="887">
        <v>0</v>
      </c>
      <c r="M45" s="887">
        <v>0</v>
      </c>
      <c r="N45" s="887">
        <v>0</v>
      </c>
      <c r="O45" s="887">
        <f t="shared" si="26"/>
        <v>0</v>
      </c>
      <c r="P45" s="887">
        <f t="shared" si="27"/>
        <v>0</v>
      </c>
      <c r="Q45" s="875"/>
      <c r="R45" s="875"/>
      <c r="S45" s="875"/>
      <c r="T45" s="875"/>
      <c r="U45" s="875"/>
      <c r="V45" s="875"/>
      <c r="W45" s="875"/>
      <c r="X45" s="875"/>
      <c r="Y45" s="875"/>
      <c r="Z45" s="875"/>
    </row>
    <row r="46" spans="1:26" ht="18.75" hidden="1">
      <c r="A46" s="882"/>
      <c r="B46" s="883"/>
      <c r="C46" s="883"/>
      <c r="D46" s="883"/>
      <c r="E46" s="884" t="s">
        <v>19</v>
      </c>
      <c r="F46" s="883"/>
      <c r="G46" s="885"/>
      <c r="H46" s="43" t="s">
        <v>12</v>
      </c>
      <c r="I46" s="886"/>
      <c r="J46" s="886"/>
      <c r="K46" s="887"/>
      <c r="L46" s="887">
        <f ca="1">IFERROR(__xludf.DUMMYFUNCTION("IMPORTRANGE(""https://docs.google.com/spreadsheets/d/1MeEWN-I1oV_STSDYn1IFDPWt_1FKiwhDph83XaGc0o0/edit?usp=sharing"",""งบพรบ!M86"")"),590800)</f>
        <v>590800</v>
      </c>
      <c r="M46" s="887">
        <f ca="1">IFERROR(__xludf.DUMMYFUNCTION("IMPORTRANGE(""https://docs.google.com/spreadsheets/d/1MeEWN-I1oV_STSDYn1IFDPWt_1FKiwhDph83XaGc0o0/edit?usp=sharing"",""งบพรบ!R86"")"),600868)</f>
        <v>600868</v>
      </c>
      <c r="N46" s="887">
        <f ca="1">IFERROR(__xludf.DUMMYFUNCTION("IMPORTRANGE(""https://docs.google.com/spreadsheets/d/1MeEWN-I1oV_STSDYn1IFDPWt_1FKiwhDph83XaGc0o0/edit?usp=sharing"",""งบพรบ!T86"")"),348673)</f>
        <v>348673</v>
      </c>
      <c r="O46" s="887">
        <f t="shared" ca="1" si="26"/>
        <v>59.017095463777927</v>
      </c>
      <c r="P46" s="887">
        <f t="shared" ca="1" si="27"/>
        <v>58.028219176258347</v>
      </c>
      <c r="Q46" s="875"/>
      <c r="R46" s="875"/>
      <c r="S46" s="875"/>
      <c r="T46" s="875"/>
      <c r="U46" s="875"/>
      <c r="V46" s="875"/>
      <c r="W46" s="875"/>
      <c r="X46" s="875"/>
      <c r="Y46" s="875"/>
      <c r="Z46" s="875"/>
    </row>
    <row r="47" spans="1:26" ht="18.75">
      <c r="A47" s="876"/>
      <c r="B47" s="877"/>
      <c r="C47" s="877"/>
      <c r="D47" s="878" t="s">
        <v>21</v>
      </c>
      <c r="E47" s="877"/>
      <c r="F47" s="877"/>
      <c r="G47" s="879"/>
      <c r="H47" s="622" t="s">
        <v>12</v>
      </c>
      <c r="I47" s="880"/>
      <c r="J47" s="880"/>
      <c r="K47" s="881"/>
      <c r="L47" s="881">
        <f t="shared" ref="L47:N47" ca="1" si="30">L48+L49</f>
        <v>0</v>
      </c>
      <c r="M47" s="881">
        <f t="shared" ca="1" si="30"/>
        <v>0</v>
      </c>
      <c r="N47" s="881">
        <f t="shared" ca="1" si="30"/>
        <v>0</v>
      </c>
      <c r="O47" s="881">
        <f t="shared" ca="1" si="26"/>
        <v>0</v>
      </c>
      <c r="P47" s="881">
        <f t="shared" ca="1" si="27"/>
        <v>0</v>
      </c>
      <c r="Q47" s="868"/>
      <c r="R47" s="868"/>
      <c r="S47" s="868"/>
      <c r="T47" s="868"/>
      <c r="U47" s="868"/>
      <c r="V47" s="868"/>
      <c r="W47" s="868"/>
      <c r="X47" s="868"/>
      <c r="Y47" s="868"/>
      <c r="Z47" s="868"/>
    </row>
    <row r="48" spans="1:26" ht="18.75" hidden="1">
      <c r="A48" s="882"/>
      <c r="B48" s="883"/>
      <c r="C48" s="883"/>
      <c r="D48" s="883"/>
      <c r="E48" s="884" t="s">
        <v>18</v>
      </c>
      <c r="F48" s="883"/>
      <c r="G48" s="885"/>
      <c r="H48" s="43" t="s">
        <v>12</v>
      </c>
      <c r="I48" s="886"/>
      <c r="J48" s="886"/>
      <c r="K48" s="887"/>
      <c r="L48" s="887">
        <v>0</v>
      </c>
      <c r="M48" s="887">
        <v>0</v>
      </c>
      <c r="N48" s="887">
        <v>0</v>
      </c>
      <c r="O48" s="887">
        <f t="shared" si="26"/>
        <v>0</v>
      </c>
      <c r="P48" s="887">
        <f t="shared" si="27"/>
        <v>0</v>
      </c>
      <c r="Q48" s="875"/>
      <c r="R48" s="875"/>
      <c r="S48" s="875"/>
      <c r="T48" s="875"/>
      <c r="U48" s="875"/>
      <c r="V48" s="875"/>
      <c r="W48" s="875"/>
      <c r="X48" s="875"/>
      <c r="Y48" s="875"/>
      <c r="Z48" s="875"/>
    </row>
    <row r="49" spans="1:26" ht="18.75" hidden="1">
      <c r="A49" s="888"/>
      <c r="B49" s="889"/>
      <c r="C49" s="889"/>
      <c r="D49" s="889"/>
      <c r="E49" s="890" t="s">
        <v>19</v>
      </c>
      <c r="F49" s="889"/>
      <c r="G49" s="891"/>
      <c r="H49" s="50" t="s">
        <v>12</v>
      </c>
      <c r="I49" s="892"/>
      <c r="J49" s="892"/>
      <c r="K49" s="893"/>
      <c r="L49" s="893">
        <f ca="1">IFERROR(__xludf.DUMMYFUNCTION("IMPORTRANGE(""https://docs.google.com/spreadsheets/d/1MeEWN-I1oV_STSDYn1IFDPWt_1FKiwhDph83XaGc0o0/edit?usp=sharing"",""งบพรบ!P86"")"),0)</f>
        <v>0</v>
      </c>
      <c r="M49" s="893">
        <f ca="1">IFERROR(__xludf.DUMMYFUNCTION("IMPORTRANGE(""https://docs.google.com/spreadsheets/d/1MeEWN-I1oV_STSDYn1IFDPWt_1FKiwhDph83XaGc0o0/edit?usp=sharing"",""งบพรบ!S86"")"),0)</f>
        <v>0</v>
      </c>
      <c r="N49" s="893">
        <f ca="1">IFERROR(__xludf.DUMMYFUNCTION("IMPORTRANGE(""https://docs.google.com/spreadsheets/d/1MeEWN-I1oV_STSDYn1IFDPWt_1FKiwhDph83XaGc0o0/edit?usp=sharing"",""งบพรบ!U86"")"),0)</f>
        <v>0</v>
      </c>
      <c r="O49" s="893">
        <f t="shared" ca="1" si="26"/>
        <v>0</v>
      </c>
      <c r="P49" s="893">
        <f t="shared" ca="1" si="27"/>
        <v>0</v>
      </c>
      <c r="Q49" s="875"/>
      <c r="R49" s="875"/>
      <c r="S49" s="875"/>
      <c r="T49" s="875"/>
      <c r="U49" s="875"/>
      <c r="V49" s="875"/>
      <c r="W49" s="875"/>
      <c r="X49" s="875"/>
      <c r="Y49" s="875"/>
      <c r="Z49" s="875"/>
    </row>
    <row r="50" spans="1:26" ht="19.5">
      <c r="A50" s="933" t="s">
        <v>28</v>
      </c>
      <c r="B50" s="833"/>
      <c r="C50" s="833"/>
      <c r="D50" s="833"/>
      <c r="E50" s="833"/>
      <c r="F50" s="833"/>
      <c r="G50" s="831"/>
      <c r="H50" s="934"/>
      <c r="I50" s="935"/>
      <c r="J50" s="935"/>
      <c r="K50" s="936"/>
      <c r="L50" s="936"/>
      <c r="M50" s="936"/>
      <c r="N50" s="936"/>
      <c r="O50" s="936"/>
      <c r="P50" s="936"/>
    </row>
    <row r="51" spans="1:26" ht="19.5">
      <c r="A51" s="937"/>
      <c r="B51" s="938" t="s">
        <v>29</v>
      </c>
      <c r="C51" s="841"/>
      <c r="D51" s="841"/>
      <c r="E51" s="841"/>
      <c r="F51" s="841"/>
      <c r="G51" s="842"/>
      <c r="H51" s="939"/>
      <c r="I51" s="940"/>
      <c r="J51" s="940"/>
      <c r="K51" s="941"/>
      <c r="L51" s="941"/>
      <c r="M51" s="941"/>
      <c r="N51" s="941"/>
      <c r="O51" s="941"/>
      <c r="P51" s="941"/>
    </row>
    <row r="52" spans="1:26" ht="19.5">
      <c r="A52" s="942"/>
      <c r="B52" s="943" t="s">
        <v>30</v>
      </c>
      <c r="C52" s="944"/>
      <c r="D52" s="944"/>
      <c r="E52" s="944"/>
      <c r="F52" s="944"/>
      <c r="G52" s="945"/>
      <c r="H52" s="946"/>
      <c r="I52" s="947"/>
      <c r="J52" s="947"/>
      <c r="K52" s="948"/>
      <c r="L52" s="948"/>
      <c r="M52" s="948"/>
      <c r="N52" s="948"/>
      <c r="O52" s="948"/>
      <c r="P52" s="948"/>
    </row>
    <row r="53" spans="1:26" ht="19.5">
      <c r="A53" s="949"/>
      <c r="B53" s="950"/>
      <c r="C53" s="951" t="s">
        <v>16</v>
      </c>
      <c r="D53" s="952" t="s">
        <v>17</v>
      </c>
      <c r="E53" s="950"/>
      <c r="F53" s="950"/>
      <c r="G53" s="953"/>
      <c r="H53" s="113" t="s">
        <v>12</v>
      </c>
      <c r="I53" s="954"/>
      <c r="J53" s="954"/>
      <c r="K53" s="955"/>
      <c r="L53" s="956">
        <f t="shared" ref="L53:N53" ca="1" si="31">L54+L55</f>
        <v>706700</v>
      </c>
      <c r="M53" s="956">
        <f t="shared" ca="1" si="31"/>
        <v>537500</v>
      </c>
      <c r="N53" s="956">
        <f t="shared" ca="1" si="31"/>
        <v>438461.36</v>
      </c>
      <c r="O53" s="956">
        <f t="shared" ref="O53:O61" ca="1" si="32">IF(L53&gt;0,N53*100/L53,0)</f>
        <v>62.043492288099621</v>
      </c>
      <c r="P53" s="956">
        <f t="shared" ref="P53:P61" ca="1" si="33">IF(M53&gt;0,N53*100/M53,0)</f>
        <v>81.574206511627906</v>
      </c>
      <c r="Q53" s="868"/>
      <c r="R53" s="868"/>
      <c r="S53" s="868"/>
      <c r="T53" s="868"/>
      <c r="U53" s="868"/>
      <c r="V53" s="868"/>
      <c r="W53" s="868"/>
      <c r="X53" s="868"/>
      <c r="Y53" s="868"/>
      <c r="Z53" s="868"/>
    </row>
    <row r="54" spans="1:26" ht="18.75" hidden="1">
      <c r="A54" s="957"/>
      <c r="B54" s="958"/>
      <c r="C54" s="958"/>
      <c r="D54" s="958"/>
      <c r="E54" s="959" t="s">
        <v>18</v>
      </c>
      <c r="F54" s="958"/>
      <c r="G54" s="960"/>
      <c r="H54" s="121" t="s">
        <v>12</v>
      </c>
      <c r="I54" s="961"/>
      <c r="J54" s="961"/>
      <c r="K54" s="962"/>
      <c r="L54" s="962">
        <f t="shared" ref="L54:N55" si="34">L57+L60</f>
        <v>0</v>
      </c>
      <c r="M54" s="962">
        <f t="shared" si="34"/>
        <v>0</v>
      </c>
      <c r="N54" s="962">
        <f t="shared" si="34"/>
        <v>0</v>
      </c>
      <c r="O54" s="962">
        <f t="shared" si="32"/>
        <v>0</v>
      </c>
      <c r="P54" s="962">
        <f t="shared" si="33"/>
        <v>0</v>
      </c>
      <c r="Q54" s="875"/>
      <c r="R54" s="875"/>
      <c r="S54" s="875"/>
      <c r="T54" s="875"/>
      <c r="U54" s="875"/>
      <c r="V54" s="875"/>
      <c r="W54" s="875"/>
      <c r="X54" s="875"/>
      <c r="Y54" s="875"/>
      <c r="Z54" s="875"/>
    </row>
    <row r="55" spans="1:26" ht="18.75" hidden="1">
      <c r="A55" s="957"/>
      <c r="B55" s="958"/>
      <c r="C55" s="958"/>
      <c r="D55" s="958"/>
      <c r="E55" s="959" t="s">
        <v>19</v>
      </c>
      <c r="F55" s="958"/>
      <c r="G55" s="960"/>
      <c r="H55" s="121" t="s">
        <v>12</v>
      </c>
      <c r="I55" s="961"/>
      <c r="J55" s="961"/>
      <c r="K55" s="962"/>
      <c r="L55" s="962">
        <f t="shared" ca="1" si="34"/>
        <v>706700</v>
      </c>
      <c r="M55" s="962">
        <f t="shared" ca="1" si="34"/>
        <v>537500</v>
      </c>
      <c r="N55" s="962">
        <f t="shared" ca="1" si="34"/>
        <v>438461.36</v>
      </c>
      <c r="O55" s="962">
        <f t="shared" ca="1" si="32"/>
        <v>62.043492288099621</v>
      </c>
      <c r="P55" s="962">
        <f t="shared" ca="1" si="33"/>
        <v>81.574206511627906</v>
      </c>
      <c r="Q55" s="875"/>
      <c r="R55" s="875"/>
      <c r="S55" s="875"/>
      <c r="T55" s="875"/>
      <c r="U55" s="875"/>
      <c r="V55" s="875"/>
      <c r="W55" s="875"/>
      <c r="X55" s="875"/>
      <c r="Y55" s="875"/>
      <c r="Z55" s="875"/>
    </row>
    <row r="56" spans="1:26" ht="18.75">
      <c r="A56" s="876"/>
      <c r="B56" s="877"/>
      <c r="C56" s="877"/>
      <c r="D56" s="878" t="s">
        <v>20</v>
      </c>
      <c r="E56" s="877"/>
      <c r="F56" s="877"/>
      <c r="G56" s="879"/>
      <c r="H56" s="622" t="s">
        <v>12</v>
      </c>
      <c r="I56" s="880"/>
      <c r="J56" s="880"/>
      <c r="K56" s="881"/>
      <c r="L56" s="881">
        <f t="shared" ref="L56:N56" ca="1" si="35">L57+L58</f>
        <v>676800</v>
      </c>
      <c r="M56" s="881">
        <f t="shared" ca="1" si="35"/>
        <v>507600</v>
      </c>
      <c r="N56" s="881">
        <f t="shared" ca="1" si="35"/>
        <v>408561.36</v>
      </c>
      <c r="O56" s="881">
        <f t="shared" ca="1" si="32"/>
        <v>60.366631205673762</v>
      </c>
      <c r="P56" s="881">
        <f t="shared" ca="1" si="33"/>
        <v>80.488841607565007</v>
      </c>
      <c r="Q56" s="868"/>
      <c r="R56" s="868"/>
      <c r="S56" s="868"/>
      <c r="T56" s="868"/>
      <c r="U56" s="868"/>
      <c r="V56" s="868"/>
      <c r="W56" s="868"/>
      <c r="X56" s="868"/>
      <c r="Y56" s="868"/>
      <c r="Z56" s="868"/>
    </row>
    <row r="57" spans="1:26" ht="18.75" hidden="1">
      <c r="A57" s="882"/>
      <c r="B57" s="883"/>
      <c r="C57" s="883"/>
      <c r="D57" s="883"/>
      <c r="E57" s="884" t="s">
        <v>18</v>
      </c>
      <c r="F57" s="883"/>
      <c r="G57" s="885"/>
      <c r="H57" s="43" t="s">
        <v>12</v>
      </c>
      <c r="I57" s="886"/>
      <c r="J57" s="886"/>
      <c r="K57" s="887"/>
      <c r="L57" s="887">
        <v>0</v>
      </c>
      <c r="M57" s="887">
        <v>0</v>
      </c>
      <c r="N57" s="887">
        <v>0</v>
      </c>
      <c r="O57" s="887">
        <f t="shared" si="32"/>
        <v>0</v>
      </c>
      <c r="P57" s="887">
        <f t="shared" si="33"/>
        <v>0</v>
      </c>
      <c r="Q57" s="875"/>
      <c r="R57" s="875"/>
      <c r="S57" s="875"/>
      <c r="T57" s="875"/>
      <c r="U57" s="875"/>
      <c r="V57" s="875"/>
      <c r="W57" s="875"/>
      <c r="X57" s="875"/>
      <c r="Y57" s="875"/>
      <c r="Z57" s="875"/>
    </row>
    <row r="58" spans="1:26" ht="18.75" hidden="1">
      <c r="A58" s="882"/>
      <c r="B58" s="883"/>
      <c r="C58" s="883"/>
      <c r="D58" s="883"/>
      <c r="E58" s="884" t="s">
        <v>19</v>
      </c>
      <c r="F58" s="883"/>
      <c r="G58" s="885"/>
      <c r="H58" s="43" t="s">
        <v>12</v>
      </c>
      <c r="I58" s="886"/>
      <c r="J58" s="886"/>
      <c r="K58" s="887"/>
      <c r="L58" s="887">
        <f ca="1">IFERROR(__xludf.DUMMYFUNCTION("IMPORTRANGE(""https://docs.google.com/spreadsheets/d/1MeEWN-I1oV_STSDYn1IFDPWt_1FKiwhDph83XaGc0o0/edit?usp=sharing"",""งบพรบ!W86"")"),676800)</f>
        <v>676800</v>
      </c>
      <c r="M58" s="887">
        <f ca="1">IFERROR(__xludf.DUMMYFUNCTION("IMPORTRANGE(""https://docs.google.com/spreadsheets/d/1MeEWN-I1oV_STSDYn1IFDPWt_1FKiwhDph83XaGc0o0/edit?usp=sharing"",""งบพรบ!AB86"")"),507600)</f>
        <v>507600</v>
      </c>
      <c r="N58" s="887">
        <f ca="1">IFERROR(__xludf.DUMMYFUNCTION("IMPORTRANGE(""https://docs.google.com/spreadsheets/d/1MeEWN-I1oV_STSDYn1IFDPWt_1FKiwhDph83XaGc0o0/edit?usp=sharing"",""งบพรบ!AD86"")"),408561.36)</f>
        <v>408561.36</v>
      </c>
      <c r="O58" s="887">
        <f t="shared" ca="1" si="32"/>
        <v>60.366631205673762</v>
      </c>
      <c r="P58" s="887">
        <f t="shared" ca="1" si="33"/>
        <v>80.488841607565007</v>
      </c>
      <c r="Q58" s="875"/>
      <c r="R58" s="875"/>
      <c r="S58" s="875"/>
      <c r="T58" s="875"/>
      <c r="U58" s="875"/>
      <c r="V58" s="875"/>
      <c r="W58" s="875"/>
      <c r="X58" s="875"/>
      <c r="Y58" s="875"/>
      <c r="Z58" s="875"/>
    </row>
    <row r="59" spans="1:26" ht="18.75">
      <c r="A59" s="876"/>
      <c r="B59" s="877"/>
      <c r="C59" s="877"/>
      <c r="D59" s="878" t="s">
        <v>21</v>
      </c>
      <c r="E59" s="877"/>
      <c r="F59" s="877"/>
      <c r="G59" s="879"/>
      <c r="H59" s="622" t="s">
        <v>12</v>
      </c>
      <c r="I59" s="880"/>
      <c r="J59" s="880"/>
      <c r="K59" s="881"/>
      <c r="L59" s="881">
        <f t="shared" ref="L59:N59" ca="1" si="36">L60+L61</f>
        <v>29900</v>
      </c>
      <c r="M59" s="881">
        <f t="shared" ca="1" si="36"/>
        <v>29900</v>
      </c>
      <c r="N59" s="881">
        <f t="shared" ca="1" si="36"/>
        <v>29900</v>
      </c>
      <c r="O59" s="881">
        <f t="shared" ca="1" si="32"/>
        <v>100</v>
      </c>
      <c r="P59" s="881">
        <f t="shared" ca="1" si="33"/>
        <v>100</v>
      </c>
      <c r="Q59" s="868"/>
      <c r="R59" s="868"/>
      <c r="S59" s="868"/>
      <c r="T59" s="868"/>
      <c r="U59" s="868"/>
      <c r="V59" s="868"/>
      <c r="W59" s="868"/>
      <c r="X59" s="868"/>
      <c r="Y59" s="868"/>
      <c r="Z59" s="868"/>
    </row>
    <row r="60" spans="1:26" ht="18.75" hidden="1">
      <c r="A60" s="882"/>
      <c r="B60" s="883"/>
      <c r="C60" s="883"/>
      <c r="D60" s="883"/>
      <c r="E60" s="884" t="s">
        <v>18</v>
      </c>
      <c r="F60" s="883"/>
      <c r="G60" s="885"/>
      <c r="H60" s="43" t="s">
        <v>12</v>
      </c>
      <c r="I60" s="886"/>
      <c r="J60" s="886"/>
      <c r="K60" s="887"/>
      <c r="L60" s="887">
        <v>0</v>
      </c>
      <c r="M60" s="887">
        <v>0</v>
      </c>
      <c r="N60" s="887">
        <v>0</v>
      </c>
      <c r="O60" s="887">
        <f t="shared" si="32"/>
        <v>0</v>
      </c>
      <c r="P60" s="887">
        <f t="shared" si="33"/>
        <v>0</v>
      </c>
      <c r="Q60" s="875"/>
      <c r="R60" s="875"/>
      <c r="S60" s="875"/>
      <c r="T60" s="875"/>
      <c r="U60" s="875"/>
      <c r="V60" s="875"/>
      <c r="W60" s="875"/>
      <c r="X60" s="875"/>
      <c r="Y60" s="875"/>
      <c r="Z60" s="875"/>
    </row>
    <row r="61" spans="1:26" ht="18.75" hidden="1">
      <c r="A61" s="888"/>
      <c r="B61" s="889"/>
      <c r="C61" s="889"/>
      <c r="D61" s="889"/>
      <c r="E61" s="890" t="s">
        <v>19</v>
      </c>
      <c r="F61" s="889"/>
      <c r="G61" s="891"/>
      <c r="H61" s="50" t="s">
        <v>12</v>
      </c>
      <c r="I61" s="892"/>
      <c r="J61" s="892"/>
      <c r="K61" s="893"/>
      <c r="L61" s="893">
        <f ca="1">IFERROR(__xludf.DUMMYFUNCTION("IMPORTRANGE(""https://docs.google.com/spreadsheets/d/1MeEWN-I1oV_STSDYn1IFDPWt_1FKiwhDph83XaGc0o0/edit?usp=sharing"",""งบพรบ!Z86"")"),29900)</f>
        <v>29900</v>
      </c>
      <c r="M61" s="893">
        <f ca="1">IFERROR(__xludf.DUMMYFUNCTION("IMPORTRANGE(""https://docs.google.com/spreadsheets/d/1MeEWN-I1oV_STSDYn1IFDPWt_1FKiwhDph83XaGc0o0/edit?usp=sharing"",""งบพรบ!AC86"")"),29900)</f>
        <v>29900</v>
      </c>
      <c r="N61" s="893">
        <f ca="1">IFERROR(__xludf.DUMMYFUNCTION("IMPORTRANGE(""https://docs.google.com/spreadsheets/d/1MeEWN-I1oV_STSDYn1IFDPWt_1FKiwhDph83XaGc0o0/edit?usp=sharing"",""งบพรบ!AE86"")"),29900)</f>
        <v>29900</v>
      </c>
      <c r="O61" s="893">
        <f t="shared" ca="1" si="32"/>
        <v>100</v>
      </c>
      <c r="P61" s="893">
        <f t="shared" ca="1" si="33"/>
        <v>100</v>
      </c>
      <c r="Q61" s="875"/>
      <c r="R61" s="875"/>
      <c r="S61" s="875"/>
      <c r="T61" s="875"/>
      <c r="U61" s="875"/>
      <c r="V61" s="875"/>
      <c r="W61" s="875"/>
      <c r="X61" s="875"/>
      <c r="Y61" s="875"/>
      <c r="Z61" s="875"/>
    </row>
    <row r="62" spans="1:26" ht="19.5">
      <c r="A62" s="963" t="s">
        <v>31</v>
      </c>
      <c r="B62" s="964"/>
      <c r="C62" s="964"/>
      <c r="D62" s="964"/>
      <c r="E62" s="965"/>
      <c r="F62" s="965"/>
      <c r="G62" s="966"/>
      <c r="H62" s="967"/>
      <c r="I62" s="968"/>
      <c r="J62" s="968"/>
      <c r="K62" s="969"/>
      <c r="L62" s="969"/>
      <c r="M62" s="969"/>
      <c r="N62" s="969"/>
      <c r="O62" s="969"/>
      <c r="P62" s="969"/>
    </row>
    <row r="63" spans="1:26" ht="19.5" hidden="1">
      <c r="A63" s="970" t="s">
        <v>32</v>
      </c>
      <c r="B63" s="971"/>
      <c r="C63" s="972"/>
      <c r="D63" s="971"/>
      <c r="E63" s="971"/>
      <c r="F63" s="971"/>
      <c r="G63" s="973"/>
      <c r="H63" s="974"/>
      <c r="I63" s="975"/>
      <c r="J63" s="975"/>
      <c r="K63" s="976"/>
      <c r="L63" s="976"/>
      <c r="M63" s="976"/>
      <c r="N63" s="976"/>
      <c r="O63" s="976"/>
      <c r="P63" s="976"/>
    </row>
    <row r="64" spans="1:26" ht="19.5" hidden="1">
      <c r="A64" s="977"/>
      <c r="B64" s="978" t="s">
        <v>33</v>
      </c>
      <c r="C64" s="979"/>
      <c r="D64" s="980"/>
      <c r="E64" s="979"/>
      <c r="F64" s="979"/>
      <c r="G64" s="981"/>
      <c r="H64" s="205" t="s">
        <v>34</v>
      </c>
      <c r="I64" s="982">
        <f t="shared" ref="I64:J65" ca="1" si="37">I76</f>
        <v>0</v>
      </c>
      <c r="J64" s="982">
        <f t="shared" si="37"/>
        <v>0</v>
      </c>
      <c r="K64" s="983">
        <f t="shared" ref="K64:K65" ca="1" si="38">IF(I64&gt;0,J64*100/I64,0)</f>
        <v>0</v>
      </c>
      <c r="L64" s="984"/>
      <c r="M64" s="984"/>
      <c r="N64" s="984"/>
      <c r="O64" s="984"/>
      <c r="P64" s="984"/>
    </row>
    <row r="65" spans="1:26" ht="19.5" hidden="1">
      <c r="A65" s="977"/>
      <c r="B65" s="979"/>
      <c r="C65" s="979"/>
      <c r="D65" s="980"/>
      <c r="E65" s="979"/>
      <c r="F65" s="979"/>
      <c r="G65" s="981"/>
      <c r="H65" s="205" t="s">
        <v>35</v>
      </c>
      <c r="I65" s="982">
        <f t="shared" ca="1" si="37"/>
        <v>0</v>
      </c>
      <c r="J65" s="982">
        <f t="shared" si="37"/>
        <v>0</v>
      </c>
      <c r="K65" s="983">
        <f t="shared" ca="1" si="38"/>
        <v>0</v>
      </c>
      <c r="L65" s="984"/>
      <c r="M65" s="984"/>
      <c r="N65" s="984"/>
      <c r="O65" s="984"/>
      <c r="P65" s="984"/>
    </row>
    <row r="66" spans="1:26" ht="19.5" hidden="1">
      <c r="A66" s="985"/>
      <c r="B66" s="986"/>
      <c r="C66" s="987" t="s">
        <v>16</v>
      </c>
      <c r="D66" s="988" t="s">
        <v>17</v>
      </c>
      <c r="E66" s="986"/>
      <c r="F66" s="986"/>
      <c r="G66" s="989"/>
      <c r="H66" s="152" t="s">
        <v>12</v>
      </c>
      <c r="I66" s="990"/>
      <c r="J66" s="990"/>
      <c r="K66" s="991"/>
      <c r="L66" s="992">
        <f t="shared" ref="L66:N66" ca="1" si="39">L67+L68</f>
        <v>0</v>
      </c>
      <c r="M66" s="992">
        <f t="shared" ca="1" si="39"/>
        <v>0</v>
      </c>
      <c r="N66" s="992">
        <f t="shared" ca="1" si="39"/>
        <v>0</v>
      </c>
      <c r="O66" s="992">
        <f t="shared" ref="O66:O74" ca="1" si="40">IF(L66&gt;0,N66*100/L66,0)</f>
        <v>0</v>
      </c>
      <c r="P66" s="992">
        <f t="shared" ref="P66:P74" ca="1" si="41">IF(M66&gt;0,N66*100/M66,0)</f>
        <v>0</v>
      </c>
      <c r="Q66" s="868"/>
      <c r="R66" s="868"/>
      <c r="S66" s="868"/>
      <c r="T66" s="868"/>
      <c r="U66" s="868"/>
      <c r="V66" s="868"/>
      <c r="W66" s="868"/>
      <c r="X66" s="868"/>
      <c r="Y66" s="868"/>
      <c r="Z66" s="868"/>
    </row>
    <row r="67" spans="1:26" ht="18.75" hidden="1">
      <c r="A67" s="993"/>
      <c r="B67" s="883"/>
      <c r="C67" s="883"/>
      <c r="D67" s="883"/>
      <c r="E67" s="884" t="s">
        <v>18</v>
      </c>
      <c r="F67" s="883"/>
      <c r="G67" s="994"/>
      <c r="H67" s="158" t="s">
        <v>12</v>
      </c>
      <c r="I67" s="886"/>
      <c r="J67" s="886"/>
      <c r="K67" s="887"/>
      <c r="L67" s="887">
        <f t="shared" ref="L67:N68" si="42">L70+L73</f>
        <v>0</v>
      </c>
      <c r="M67" s="887">
        <f t="shared" si="42"/>
        <v>0</v>
      </c>
      <c r="N67" s="887">
        <f t="shared" si="42"/>
        <v>0</v>
      </c>
      <c r="O67" s="887">
        <f t="shared" si="40"/>
        <v>0</v>
      </c>
      <c r="P67" s="887">
        <f t="shared" si="41"/>
        <v>0</v>
      </c>
      <c r="Q67" s="875"/>
      <c r="R67" s="875"/>
      <c r="S67" s="875"/>
      <c r="T67" s="875"/>
      <c r="U67" s="875"/>
      <c r="V67" s="875"/>
      <c r="W67" s="875"/>
      <c r="X67" s="875"/>
      <c r="Y67" s="875"/>
      <c r="Z67" s="875"/>
    </row>
    <row r="68" spans="1:26" ht="18.75" hidden="1">
      <c r="A68" s="993"/>
      <c r="B68" s="883"/>
      <c r="C68" s="883"/>
      <c r="D68" s="883"/>
      <c r="E68" s="884" t="s">
        <v>19</v>
      </c>
      <c r="F68" s="883"/>
      <c r="G68" s="994"/>
      <c r="H68" s="158" t="s">
        <v>12</v>
      </c>
      <c r="I68" s="886"/>
      <c r="J68" s="886"/>
      <c r="K68" s="887"/>
      <c r="L68" s="887">
        <f t="shared" ca="1" si="42"/>
        <v>0</v>
      </c>
      <c r="M68" s="887">
        <f t="shared" ca="1" si="42"/>
        <v>0</v>
      </c>
      <c r="N68" s="887">
        <f t="shared" ca="1" si="42"/>
        <v>0</v>
      </c>
      <c r="O68" s="887">
        <f t="shared" ca="1" si="40"/>
        <v>0</v>
      </c>
      <c r="P68" s="887">
        <f t="shared" ca="1" si="41"/>
        <v>0</v>
      </c>
      <c r="Q68" s="875"/>
      <c r="R68" s="875"/>
      <c r="S68" s="875"/>
      <c r="T68" s="875"/>
      <c r="U68" s="875"/>
      <c r="V68" s="875"/>
      <c r="W68" s="875"/>
      <c r="X68" s="875"/>
      <c r="Y68" s="875"/>
      <c r="Z68" s="875"/>
    </row>
    <row r="69" spans="1:26" ht="18.75" hidden="1">
      <c r="A69" s="995"/>
      <c r="B69" s="877"/>
      <c r="C69" s="996"/>
      <c r="D69" s="878" t="s">
        <v>20</v>
      </c>
      <c r="E69" s="877"/>
      <c r="F69" s="877"/>
      <c r="G69" s="879"/>
      <c r="H69" s="161" t="s">
        <v>12</v>
      </c>
      <c r="I69" s="997"/>
      <c r="J69" s="997"/>
      <c r="K69" s="998"/>
      <c r="L69" s="881">
        <f t="shared" ref="L69:N69" ca="1" si="43">L70+L71</f>
        <v>0</v>
      </c>
      <c r="M69" s="881">
        <f t="shared" ca="1" si="43"/>
        <v>0</v>
      </c>
      <c r="N69" s="881">
        <f t="shared" ca="1" si="43"/>
        <v>0</v>
      </c>
      <c r="O69" s="881">
        <f t="shared" ca="1" si="40"/>
        <v>0</v>
      </c>
      <c r="P69" s="881">
        <f t="shared" ca="1" si="41"/>
        <v>0</v>
      </c>
      <c r="Q69" s="868"/>
      <c r="R69" s="868"/>
      <c r="S69" s="868"/>
      <c r="T69" s="868"/>
      <c r="U69" s="868"/>
      <c r="V69" s="868"/>
      <c r="W69" s="868"/>
      <c r="X69" s="868"/>
      <c r="Y69" s="868"/>
      <c r="Z69" s="868"/>
    </row>
    <row r="70" spans="1:26" ht="19.5" hidden="1">
      <c r="A70" s="993"/>
      <c r="B70" s="883"/>
      <c r="C70" s="999"/>
      <c r="D70" s="883"/>
      <c r="E70" s="884" t="s">
        <v>36</v>
      </c>
      <c r="F70" s="883"/>
      <c r="G70" s="994"/>
      <c r="H70" s="165" t="s">
        <v>12</v>
      </c>
      <c r="I70" s="1000"/>
      <c r="J70" s="1000"/>
      <c r="K70" s="1001"/>
      <c r="L70" s="887">
        <v>0</v>
      </c>
      <c r="M70" s="887">
        <v>0</v>
      </c>
      <c r="N70" s="887">
        <v>0</v>
      </c>
      <c r="O70" s="887">
        <f t="shared" si="40"/>
        <v>0</v>
      </c>
      <c r="P70" s="887">
        <f t="shared" si="41"/>
        <v>0</v>
      </c>
      <c r="Q70" s="875"/>
      <c r="R70" s="875"/>
      <c r="S70" s="875"/>
      <c r="T70" s="875"/>
      <c r="U70" s="875"/>
      <c r="V70" s="875"/>
      <c r="W70" s="875"/>
      <c r="X70" s="875"/>
      <c r="Y70" s="875"/>
      <c r="Z70" s="875"/>
    </row>
    <row r="71" spans="1:26" ht="19.5" hidden="1">
      <c r="A71" s="993"/>
      <c r="B71" s="883"/>
      <c r="C71" s="999"/>
      <c r="D71" s="883"/>
      <c r="E71" s="884" t="s">
        <v>37</v>
      </c>
      <c r="F71" s="883"/>
      <c r="G71" s="994"/>
      <c r="H71" s="165" t="s">
        <v>12</v>
      </c>
      <c r="I71" s="1000"/>
      <c r="J71" s="1000"/>
      <c r="K71" s="1001"/>
      <c r="L71" s="887">
        <f ca="1">IFERROR(__xludf.DUMMYFUNCTION("IMPORTRANGE(""https://docs.google.com/spreadsheets/d/1MeEWN-I1oV_STSDYn1IFDPWt_1FKiwhDph83XaGc0o0/edit?usp=sharing"",""งบพรบ!AG86"")"),0)</f>
        <v>0</v>
      </c>
      <c r="M71" s="887">
        <f ca="1">IFERROR(__xludf.DUMMYFUNCTION("IMPORTRANGE(""https://docs.google.com/spreadsheets/d/1MeEWN-I1oV_STSDYn1IFDPWt_1FKiwhDph83XaGc0o0/edit?usp=sharing"",""งบพรบ!AL86"")"),0)</f>
        <v>0</v>
      </c>
      <c r="N71" s="887">
        <f ca="1">IFERROR(__xludf.DUMMYFUNCTION("IMPORTRANGE(""https://docs.google.com/spreadsheets/d/1MeEWN-I1oV_STSDYn1IFDPWt_1FKiwhDph83XaGc0o0/edit?usp=sharing"",""งบพรบ!AN86"")"),0)</f>
        <v>0</v>
      </c>
      <c r="O71" s="887">
        <f t="shared" ca="1" si="40"/>
        <v>0</v>
      </c>
      <c r="P71" s="887">
        <f t="shared" ca="1" si="41"/>
        <v>0</v>
      </c>
      <c r="Q71" s="875"/>
      <c r="R71" s="875"/>
      <c r="S71" s="875"/>
      <c r="T71" s="875"/>
      <c r="U71" s="875"/>
      <c r="V71" s="875"/>
      <c r="W71" s="875"/>
      <c r="X71" s="875"/>
      <c r="Y71" s="875"/>
      <c r="Z71" s="875"/>
    </row>
    <row r="72" spans="1:26" ht="18.75" hidden="1">
      <c r="A72" s="995"/>
      <c r="B72" s="877"/>
      <c r="C72" s="996"/>
      <c r="D72" s="878" t="s">
        <v>21</v>
      </c>
      <c r="E72" s="877"/>
      <c r="F72" s="877"/>
      <c r="G72" s="879"/>
      <c r="H72" s="168" t="s">
        <v>12</v>
      </c>
      <c r="I72" s="997"/>
      <c r="J72" s="997"/>
      <c r="K72" s="998"/>
      <c r="L72" s="881">
        <f t="shared" ref="L72:N72" ca="1" si="44">L73+L74</f>
        <v>0</v>
      </c>
      <c r="M72" s="881">
        <f t="shared" ca="1" si="44"/>
        <v>0</v>
      </c>
      <c r="N72" s="881">
        <f t="shared" ca="1" si="44"/>
        <v>0</v>
      </c>
      <c r="O72" s="881">
        <f t="shared" ca="1" si="40"/>
        <v>0</v>
      </c>
      <c r="P72" s="881">
        <f t="shared" ca="1" si="41"/>
        <v>0</v>
      </c>
      <c r="Q72" s="868"/>
      <c r="R72" s="868"/>
      <c r="S72" s="868"/>
      <c r="T72" s="868"/>
      <c r="U72" s="868"/>
      <c r="V72" s="868"/>
      <c r="W72" s="868"/>
      <c r="X72" s="868"/>
      <c r="Y72" s="868"/>
      <c r="Z72" s="868"/>
    </row>
    <row r="73" spans="1:26" ht="19.5" hidden="1">
      <c r="A73" s="993"/>
      <c r="B73" s="883"/>
      <c r="C73" s="999"/>
      <c r="D73" s="883"/>
      <c r="E73" s="884" t="s">
        <v>18</v>
      </c>
      <c r="F73" s="883"/>
      <c r="G73" s="994"/>
      <c r="H73" s="165" t="s">
        <v>12</v>
      </c>
      <c r="I73" s="1000"/>
      <c r="J73" s="1000"/>
      <c r="K73" s="1001"/>
      <c r="L73" s="887">
        <v>0</v>
      </c>
      <c r="M73" s="887"/>
      <c r="N73" s="887"/>
      <c r="O73" s="887">
        <f t="shared" si="40"/>
        <v>0</v>
      </c>
      <c r="P73" s="887">
        <f t="shared" si="41"/>
        <v>0</v>
      </c>
      <c r="Q73" s="875"/>
      <c r="R73" s="875"/>
      <c r="S73" s="875"/>
      <c r="T73" s="875"/>
      <c r="U73" s="875"/>
      <c r="V73" s="875"/>
      <c r="W73" s="875"/>
      <c r="X73" s="875"/>
      <c r="Y73" s="875"/>
      <c r="Z73" s="875"/>
    </row>
    <row r="74" spans="1:26" ht="19.5" hidden="1">
      <c r="A74" s="993"/>
      <c r="B74" s="883"/>
      <c r="C74" s="999"/>
      <c r="D74" s="883"/>
      <c r="E74" s="884" t="s">
        <v>19</v>
      </c>
      <c r="F74" s="883"/>
      <c r="G74" s="994"/>
      <c r="H74" s="169" t="s">
        <v>12</v>
      </c>
      <c r="I74" s="1000"/>
      <c r="J74" s="1000"/>
      <c r="K74" s="1001"/>
      <c r="L74" s="887">
        <f ca="1">IFERROR(__xludf.DUMMYFUNCTION("IMPORTRANGE(""https://docs.google.com/spreadsheets/d/1MeEWN-I1oV_STSDYn1IFDPWt_1FKiwhDph83XaGc0o0/edit?usp=sharing"",""งบพรบ!AJ86"")"),0)</f>
        <v>0</v>
      </c>
      <c r="M74" s="887">
        <f ca="1">IFERROR(__xludf.DUMMYFUNCTION("IMPORTRANGE(""https://docs.google.com/spreadsheets/d/1MeEWN-I1oV_STSDYn1IFDPWt_1FKiwhDph83XaGc0o0/edit?usp=sharing"",""งบพรบ!AM86"")"),0)</f>
        <v>0</v>
      </c>
      <c r="N74" s="887">
        <f ca="1">IFERROR(__xludf.DUMMYFUNCTION("IMPORTRANGE(""https://docs.google.com/spreadsheets/d/1MeEWN-I1oV_STSDYn1IFDPWt_1FKiwhDph83XaGc0o0/edit?usp=sharing"",""งบพรบ!AO86"")"),0)</f>
        <v>0</v>
      </c>
      <c r="O74" s="887">
        <f t="shared" ca="1" si="40"/>
        <v>0</v>
      </c>
      <c r="P74" s="887">
        <f t="shared" ca="1" si="41"/>
        <v>0</v>
      </c>
      <c r="Q74" s="875"/>
      <c r="R74" s="875"/>
      <c r="S74" s="875"/>
      <c r="T74" s="875"/>
      <c r="U74" s="875"/>
      <c r="V74" s="875"/>
      <c r="W74" s="875"/>
      <c r="X74" s="875"/>
      <c r="Y74" s="875"/>
      <c r="Z74" s="875"/>
    </row>
    <row r="75" spans="1:26" ht="19.5" hidden="1">
      <c r="A75" s="1002"/>
      <c r="B75" s="1003"/>
      <c r="C75" s="999" t="s">
        <v>16</v>
      </c>
      <c r="D75" s="1004" t="s">
        <v>38</v>
      </c>
      <c r="E75" s="1005"/>
      <c r="F75" s="1005"/>
      <c r="G75" s="1006"/>
      <c r="H75" s="1007"/>
      <c r="I75" s="997"/>
      <c r="J75" s="997"/>
      <c r="K75" s="998"/>
      <c r="L75" s="998"/>
      <c r="M75" s="998"/>
      <c r="N75" s="998"/>
      <c r="O75" s="998"/>
      <c r="P75" s="998"/>
    </row>
    <row r="76" spans="1:26" ht="19.5" hidden="1">
      <c r="A76" s="1002"/>
      <c r="B76" s="1003"/>
      <c r="C76" s="1003"/>
      <c r="D76" s="1008" t="s">
        <v>39</v>
      </c>
      <c r="E76" s="1009"/>
      <c r="F76" s="1010"/>
      <c r="G76" s="1011"/>
      <c r="H76" s="180" t="s">
        <v>34</v>
      </c>
      <c r="I76" s="880">
        <f t="shared" ref="I76:J77" ca="1" si="45">I78+I80+I82</f>
        <v>0</v>
      </c>
      <c r="J76" s="880">
        <f t="shared" si="45"/>
        <v>0</v>
      </c>
      <c r="K76" s="998">
        <f t="shared" ref="K76:K84" ca="1" si="46">IF(I76&gt;0,J76*100/I76,0)</f>
        <v>0</v>
      </c>
      <c r="L76" s="998"/>
      <c r="M76" s="998"/>
      <c r="N76" s="998"/>
      <c r="O76" s="998"/>
      <c r="P76" s="998"/>
    </row>
    <row r="77" spans="1:26" ht="19.5" hidden="1">
      <c r="A77" s="1002"/>
      <c r="B77" s="1003"/>
      <c r="C77" s="1003"/>
      <c r="D77" s="1003"/>
      <c r="E77" s="1010"/>
      <c r="F77" s="1010"/>
      <c r="G77" s="1011"/>
      <c r="H77" s="180" t="s">
        <v>35</v>
      </c>
      <c r="I77" s="880">
        <f t="shared" ca="1" si="45"/>
        <v>0</v>
      </c>
      <c r="J77" s="880">
        <f t="shared" si="45"/>
        <v>0</v>
      </c>
      <c r="K77" s="998">
        <f t="shared" ca="1" si="46"/>
        <v>0</v>
      </c>
      <c r="L77" s="998"/>
      <c r="M77" s="998"/>
      <c r="N77" s="998"/>
      <c r="O77" s="998"/>
      <c r="P77" s="998"/>
    </row>
    <row r="78" spans="1:26" ht="18.75" hidden="1">
      <c r="A78" s="1002"/>
      <c r="B78" s="1003"/>
      <c r="C78" s="1003"/>
      <c r="D78" s="1003"/>
      <c r="E78" s="1009" t="s">
        <v>40</v>
      </c>
      <c r="F78" s="1009"/>
      <c r="G78" s="1011"/>
      <c r="H78" s="762" t="s">
        <v>34</v>
      </c>
      <c r="I78" s="997">
        <f ca="1">IFERROR(__xludf.DUMMYFUNCTION("IMPORTRANGE(""https://docs.google.com/spreadsheets/d/1QqKyyYR6Q21VydFLVH3TRQUabQu_ym0Zz7PgGX0-kHA/edit?usp=sharing"",""แผน!H86"")"),0)</f>
        <v>0</v>
      </c>
      <c r="J78" s="1012">
        <v>0</v>
      </c>
      <c r="K78" s="998">
        <f t="shared" ca="1" si="46"/>
        <v>0</v>
      </c>
      <c r="L78" s="998"/>
      <c r="M78" s="998"/>
      <c r="N78" s="998"/>
      <c r="O78" s="998"/>
      <c r="P78" s="998"/>
    </row>
    <row r="79" spans="1:26" ht="18.75" hidden="1">
      <c r="A79" s="1002"/>
      <c r="B79" s="1003"/>
      <c r="C79" s="1003"/>
      <c r="D79" s="1003"/>
      <c r="E79" s="1010"/>
      <c r="F79" s="1010"/>
      <c r="G79" s="1011"/>
      <c r="H79" s="762" t="s">
        <v>35</v>
      </c>
      <c r="I79" s="997">
        <f ca="1">IFERROR(__xludf.DUMMYFUNCTION("IMPORTRANGE(""https://docs.google.com/spreadsheets/d/1QqKyyYR6Q21VydFLVH3TRQUabQu_ym0Zz7PgGX0-kHA/edit?usp=sharing"",""แผน!I86"")"),0)</f>
        <v>0</v>
      </c>
      <c r="J79" s="1012">
        <v>0</v>
      </c>
      <c r="K79" s="998">
        <f t="shared" ca="1" si="46"/>
        <v>0</v>
      </c>
      <c r="L79" s="998"/>
      <c r="M79" s="998"/>
      <c r="N79" s="998"/>
      <c r="O79" s="998"/>
      <c r="P79" s="998"/>
    </row>
    <row r="80" spans="1:26" ht="18.75" hidden="1">
      <c r="A80" s="1002"/>
      <c r="B80" s="1003"/>
      <c r="C80" s="1003"/>
      <c r="D80" s="1003"/>
      <c r="E80" s="1009" t="s">
        <v>41</v>
      </c>
      <c r="F80" s="1009"/>
      <c r="G80" s="1011"/>
      <c r="H80" s="762" t="s">
        <v>34</v>
      </c>
      <c r="I80" s="997">
        <f ca="1">IFERROR(__xludf.DUMMYFUNCTION("IMPORTRANGE(""https://docs.google.com/spreadsheets/d/1QqKyyYR6Q21VydFLVH3TRQUabQu_ym0Zz7PgGX0-kHA/edit?usp=sharing"",""แผน!F86"")"),0)</f>
        <v>0</v>
      </c>
      <c r="J80" s="1012">
        <v>0</v>
      </c>
      <c r="K80" s="998">
        <f t="shared" ca="1" si="46"/>
        <v>0</v>
      </c>
      <c r="L80" s="998"/>
      <c r="M80" s="998"/>
      <c r="N80" s="998"/>
      <c r="O80" s="998"/>
      <c r="P80" s="998"/>
    </row>
    <row r="81" spans="1:26" ht="18.75" hidden="1">
      <c r="A81" s="1002"/>
      <c r="B81" s="1003"/>
      <c r="C81" s="1003"/>
      <c r="D81" s="1003"/>
      <c r="E81" s="1010"/>
      <c r="F81" s="1010"/>
      <c r="G81" s="1011"/>
      <c r="H81" s="762" t="s">
        <v>35</v>
      </c>
      <c r="I81" s="997">
        <f ca="1">IFERROR(__xludf.DUMMYFUNCTION("IMPORTRANGE(""https://docs.google.com/spreadsheets/d/1QqKyyYR6Q21VydFLVH3TRQUabQu_ym0Zz7PgGX0-kHA/edit?usp=sharing"",""แผน!G86"")"),0)</f>
        <v>0</v>
      </c>
      <c r="J81" s="1012">
        <v>0</v>
      </c>
      <c r="K81" s="998">
        <f t="shared" ca="1" si="46"/>
        <v>0</v>
      </c>
      <c r="L81" s="998"/>
      <c r="M81" s="998"/>
      <c r="N81" s="998"/>
      <c r="O81" s="998"/>
      <c r="P81" s="998"/>
    </row>
    <row r="82" spans="1:26" ht="18.75" hidden="1">
      <c r="A82" s="1002"/>
      <c r="B82" s="1003"/>
      <c r="C82" s="1003"/>
      <c r="D82" s="1003"/>
      <c r="E82" s="1009" t="s">
        <v>42</v>
      </c>
      <c r="F82" s="1009"/>
      <c r="G82" s="1011"/>
      <c r="H82" s="762" t="s">
        <v>34</v>
      </c>
      <c r="I82" s="997">
        <f ca="1">IFERROR(__xludf.DUMMYFUNCTION("IMPORTRANGE(""https://docs.google.com/spreadsheets/d/1QqKyyYR6Q21VydFLVH3TRQUabQu_ym0Zz7PgGX0-kHA/edit?usp=sharing"",""แผน!D86"")"),0)</f>
        <v>0</v>
      </c>
      <c r="J82" s="1012">
        <v>0</v>
      </c>
      <c r="K82" s="998">
        <f t="shared" ca="1" si="46"/>
        <v>0</v>
      </c>
      <c r="L82" s="998"/>
      <c r="M82" s="998"/>
      <c r="N82" s="998"/>
      <c r="O82" s="998"/>
      <c r="P82" s="998"/>
    </row>
    <row r="83" spans="1:26" ht="18.75" hidden="1">
      <c r="A83" s="1002"/>
      <c r="B83" s="1003"/>
      <c r="C83" s="1003"/>
      <c r="D83" s="1003"/>
      <c r="E83" s="1010"/>
      <c r="F83" s="1010"/>
      <c r="G83" s="1011"/>
      <c r="H83" s="762" t="s">
        <v>35</v>
      </c>
      <c r="I83" s="997">
        <f ca="1">IFERROR(__xludf.DUMMYFUNCTION("IMPORTRANGE(""https://docs.google.com/spreadsheets/d/1QqKyyYR6Q21VydFLVH3TRQUabQu_ym0Zz7PgGX0-kHA/edit?usp=sharing"",""แผน!E86"")"),0)</f>
        <v>0</v>
      </c>
      <c r="J83" s="1012">
        <v>0</v>
      </c>
      <c r="K83" s="998">
        <f t="shared" ca="1" si="46"/>
        <v>0</v>
      </c>
      <c r="L83" s="998"/>
      <c r="M83" s="998"/>
      <c r="N83" s="998"/>
      <c r="O83" s="998"/>
      <c r="P83" s="998"/>
    </row>
    <row r="84" spans="1:26" ht="18.75" hidden="1">
      <c r="A84" s="1002"/>
      <c r="B84" s="1003"/>
      <c r="C84" s="1003"/>
      <c r="D84" s="1008" t="s">
        <v>43</v>
      </c>
      <c r="E84" s="1009"/>
      <c r="F84" s="1010"/>
      <c r="G84" s="1011"/>
      <c r="H84" s="185" t="s">
        <v>34</v>
      </c>
      <c r="I84" s="997">
        <f ca="1">IFERROR(__xludf.DUMMYFUNCTION("IMPORTRANGE(""https://docs.google.com/spreadsheets/d/1QqKyyYR6Q21VydFLVH3TRQUabQu_ym0Zz7PgGX0-kHA/edit?usp=sharing"",""แผน!J86"")"),0)</f>
        <v>0</v>
      </c>
      <c r="J84" s="1012">
        <v>0</v>
      </c>
      <c r="K84" s="998">
        <f t="shared" ca="1" si="46"/>
        <v>0</v>
      </c>
      <c r="L84" s="998"/>
      <c r="M84" s="998"/>
      <c r="N84" s="998"/>
      <c r="O84" s="998"/>
      <c r="P84" s="998"/>
    </row>
    <row r="85" spans="1:26" ht="19.5">
      <c r="A85" s="970" t="s">
        <v>44</v>
      </c>
      <c r="B85" s="971"/>
      <c r="C85" s="972"/>
      <c r="D85" s="971"/>
      <c r="E85" s="971"/>
      <c r="F85" s="971"/>
      <c r="G85" s="973"/>
      <c r="H85" s="974"/>
      <c r="I85" s="975"/>
      <c r="J85" s="975"/>
      <c r="K85" s="976"/>
      <c r="L85" s="976"/>
      <c r="M85" s="976"/>
      <c r="N85" s="976"/>
      <c r="O85" s="976"/>
      <c r="P85" s="976"/>
    </row>
    <row r="86" spans="1:26" ht="19.5">
      <c r="A86" s="977"/>
      <c r="B86" s="978" t="s">
        <v>45</v>
      </c>
      <c r="C86" s="979"/>
      <c r="D86" s="980"/>
      <c r="E86" s="979"/>
      <c r="F86" s="979"/>
      <c r="G86" s="981"/>
      <c r="H86" s="205" t="s">
        <v>46</v>
      </c>
      <c r="I86" s="982">
        <f t="shared" ref="I86:J87" ca="1" si="47">I98</f>
        <v>0</v>
      </c>
      <c r="J86" s="982">
        <f t="shared" si="47"/>
        <v>0</v>
      </c>
      <c r="K86" s="983">
        <f t="shared" ref="K86:K87" ca="1" si="48">IF(I86&gt;0,J86*100/I86,0)</f>
        <v>0</v>
      </c>
      <c r="L86" s="984"/>
      <c r="M86" s="984"/>
      <c r="N86" s="984"/>
      <c r="O86" s="984"/>
      <c r="P86" s="984"/>
    </row>
    <row r="87" spans="1:26" ht="19.5">
      <c r="A87" s="977"/>
      <c r="B87" s="979"/>
      <c r="C87" s="979"/>
      <c r="D87" s="980"/>
      <c r="E87" s="979"/>
      <c r="F87" s="979"/>
      <c r="G87" s="981"/>
      <c r="H87" s="205" t="s">
        <v>35</v>
      </c>
      <c r="I87" s="982">
        <f t="shared" ca="1" si="47"/>
        <v>0</v>
      </c>
      <c r="J87" s="982">
        <f t="shared" si="47"/>
        <v>0</v>
      </c>
      <c r="K87" s="983">
        <f t="shared" ca="1" si="48"/>
        <v>0</v>
      </c>
      <c r="L87" s="984"/>
      <c r="M87" s="984"/>
      <c r="N87" s="984"/>
      <c r="O87" s="984"/>
      <c r="P87" s="984"/>
    </row>
    <row r="88" spans="1:26" ht="19.5">
      <c r="A88" s="985"/>
      <c r="B88" s="986"/>
      <c r="C88" s="987" t="s">
        <v>16</v>
      </c>
      <c r="D88" s="988" t="s">
        <v>17</v>
      </c>
      <c r="E88" s="986"/>
      <c r="F88" s="986"/>
      <c r="G88" s="989"/>
      <c r="H88" s="152" t="s">
        <v>12</v>
      </c>
      <c r="I88" s="990"/>
      <c r="J88" s="990"/>
      <c r="K88" s="991"/>
      <c r="L88" s="992">
        <f t="shared" ref="L88:N88" ca="1" si="49">L89+L90</f>
        <v>31200</v>
      </c>
      <c r="M88" s="992">
        <f t="shared" ca="1" si="49"/>
        <v>29350</v>
      </c>
      <c r="N88" s="992">
        <f t="shared" ca="1" si="49"/>
        <v>27750</v>
      </c>
      <c r="O88" s="992">
        <f t="shared" ref="O88:O96" ca="1" si="50">IF(L88&gt;0,N88*100/L88,0)</f>
        <v>88.942307692307693</v>
      </c>
      <c r="P88" s="992">
        <f t="shared" ref="P88:P96" ca="1" si="51">IF(M88&gt;0,N88*100/M88,0)</f>
        <v>94.548551959114135</v>
      </c>
      <c r="Q88" s="868"/>
      <c r="R88" s="868"/>
      <c r="S88" s="868"/>
      <c r="T88" s="868"/>
      <c r="U88" s="868"/>
      <c r="V88" s="868"/>
      <c r="W88" s="868"/>
      <c r="X88" s="868"/>
      <c r="Y88" s="868"/>
      <c r="Z88" s="868"/>
    </row>
    <row r="89" spans="1:26" ht="18.75" hidden="1">
      <c r="A89" s="993"/>
      <c r="B89" s="883"/>
      <c r="C89" s="883"/>
      <c r="D89" s="883"/>
      <c r="E89" s="884" t="s">
        <v>18</v>
      </c>
      <c r="F89" s="883"/>
      <c r="G89" s="994"/>
      <c r="H89" s="158" t="s">
        <v>12</v>
      </c>
      <c r="I89" s="886"/>
      <c r="J89" s="886"/>
      <c r="K89" s="887"/>
      <c r="L89" s="887">
        <f t="shared" ref="L89:N90" si="52">L92+L95</f>
        <v>0</v>
      </c>
      <c r="M89" s="887">
        <f t="shared" si="52"/>
        <v>0</v>
      </c>
      <c r="N89" s="887">
        <f t="shared" si="52"/>
        <v>0</v>
      </c>
      <c r="O89" s="887">
        <f t="shared" si="50"/>
        <v>0</v>
      </c>
      <c r="P89" s="887">
        <f t="shared" si="51"/>
        <v>0</v>
      </c>
      <c r="Q89" s="875"/>
      <c r="R89" s="875"/>
      <c r="S89" s="875"/>
      <c r="T89" s="875"/>
      <c r="U89" s="875"/>
      <c r="V89" s="875"/>
      <c r="W89" s="875"/>
      <c r="X89" s="875"/>
      <c r="Y89" s="875"/>
      <c r="Z89" s="875"/>
    </row>
    <row r="90" spans="1:26" ht="18.75" hidden="1">
      <c r="A90" s="993"/>
      <c r="B90" s="883"/>
      <c r="C90" s="883"/>
      <c r="D90" s="883"/>
      <c r="E90" s="884" t="s">
        <v>19</v>
      </c>
      <c r="F90" s="883"/>
      <c r="G90" s="994"/>
      <c r="H90" s="158" t="s">
        <v>12</v>
      </c>
      <c r="I90" s="886"/>
      <c r="J90" s="886"/>
      <c r="K90" s="887"/>
      <c r="L90" s="887">
        <f t="shared" ca="1" si="52"/>
        <v>31200</v>
      </c>
      <c r="M90" s="887">
        <f t="shared" ca="1" si="52"/>
        <v>29350</v>
      </c>
      <c r="N90" s="887">
        <f t="shared" ca="1" si="52"/>
        <v>27750</v>
      </c>
      <c r="O90" s="887">
        <f t="shared" ca="1" si="50"/>
        <v>88.942307692307693</v>
      </c>
      <c r="P90" s="887">
        <f t="shared" ca="1" si="51"/>
        <v>94.548551959114135</v>
      </c>
      <c r="Q90" s="875"/>
      <c r="R90" s="875"/>
      <c r="S90" s="875"/>
      <c r="T90" s="875"/>
      <c r="U90" s="875"/>
      <c r="V90" s="875"/>
      <c r="W90" s="875"/>
      <c r="X90" s="875"/>
      <c r="Y90" s="875"/>
      <c r="Z90" s="875"/>
    </row>
    <row r="91" spans="1:26" ht="18.75">
      <c r="A91" s="995"/>
      <c r="B91" s="877"/>
      <c r="C91" s="996"/>
      <c r="D91" s="878" t="s">
        <v>20</v>
      </c>
      <c r="E91" s="877"/>
      <c r="F91" s="877"/>
      <c r="G91" s="879"/>
      <c r="H91" s="161" t="s">
        <v>12</v>
      </c>
      <c r="I91" s="997"/>
      <c r="J91" s="997"/>
      <c r="K91" s="998"/>
      <c r="L91" s="881">
        <f t="shared" ref="L91:N91" ca="1" si="53">L92+L93</f>
        <v>31200</v>
      </c>
      <c r="M91" s="881">
        <f t="shared" ca="1" si="53"/>
        <v>29350</v>
      </c>
      <c r="N91" s="881">
        <f t="shared" ca="1" si="53"/>
        <v>27750</v>
      </c>
      <c r="O91" s="881">
        <f t="shared" ca="1" si="50"/>
        <v>88.942307692307693</v>
      </c>
      <c r="P91" s="881">
        <f t="shared" ca="1" si="51"/>
        <v>94.548551959114135</v>
      </c>
      <c r="Q91" s="868"/>
      <c r="R91" s="868"/>
      <c r="S91" s="868"/>
      <c r="T91" s="868"/>
      <c r="U91" s="868"/>
      <c r="V91" s="868"/>
      <c r="W91" s="868"/>
      <c r="X91" s="868"/>
      <c r="Y91" s="868"/>
      <c r="Z91" s="868"/>
    </row>
    <row r="92" spans="1:26" ht="19.5" hidden="1">
      <c r="A92" s="993"/>
      <c r="B92" s="883"/>
      <c r="C92" s="999"/>
      <c r="D92" s="883"/>
      <c r="E92" s="884" t="s">
        <v>36</v>
      </c>
      <c r="F92" s="883"/>
      <c r="G92" s="994"/>
      <c r="H92" s="165" t="s">
        <v>12</v>
      </c>
      <c r="I92" s="1000"/>
      <c r="J92" s="1000"/>
      <c r="K92" s="1001"/>
      <c r="L92" s="887">
        <v>0</v>
      </c>
      <c r="M92" s="887">
        <v>0</v>
      </c>
      <c r="N92" s="887">
        <v>0</v>
      </c>
      <c r="O92" s="887">
        <f t="shared" si="50"/>
        <v>0</v>
      </c>
      <c r="P92" s="887">
        <f t="shared" si="51"/>
        <v>0</v>
      </c>
      <c r="Q92" s="875"/>
      <c r="R92" s="875"/>
      <c r="S92" s="875"/>
      <c r="T92" s="875"/>
      <c r="U92" s="875"/>
      <c r="V92" s="875"/>
      <c r="W92" s="875"/>
      <c r="X92" s="875"/>
      <c r="Y92" s="875"/>
      <c r="Z92" s="875"/>
    </row>
    <row r="93" spans="1:26" ht="19.5" hidden="1">
      <c r="A93" s="993"/>
      <c r="B93" s="883"/>
      <c r="C93" s="999"/>
      <c r="D93" s="883"/>
      <c r="E93" s="884" t="s">
        <v>37</v>
      </c>
      <c r="F93" s="883"/>
      <c r="G93" s="994"/>
      <c r="H93" s="165" t="s">
        <v>12</v>
      </c>
      <c r="I93" s="1000"/>
      <c r="J93" s="1000"/>
      <c r="K93" s="1001"/>
      <c r="L93" s="887">
        <f ca="1">IFERROR(__xludf.DUMMYFUNCTION("IMPORTRANGE(""https://docs.google.com/spreadsheets/d/1MeEWN-I1oV_STSDYn1IFDPWt_1FKiwhDph83XaGc0o0/edit?usp=sharing"",""งบพรบ!AQ86"")"),31200)</f>
        <v>31200</v>
      </c>
      <c r="M93" s="887">
        <f ca="1">IFERROR(__xludf.DUMMYFUNCTION("IMPORTRANGE(""https://docs.google.com/spreadsheets/d/1MeEWN-I1oV_STSDYn1IFDPWt_1FKiwhDph83XaGc0o0/edit?usp=sharing"",""งบพรบ!AV86"")"),29350)</f>
        <v>29350</v>
      </c>
      <c r="N93" s="887">
        <f ca="1">IFERROR(__xludf.DUMMYFUNCTION("IMPORTRANGE(""https://docs.google.com/spreadsheets/d/1MeEWN-I1oV_STSDYn1IFDPWt_1FKiwhDph83XaGc0o0/edit?usp=sharing"",""งบพรบ!AX86"")"),27750)</f>
        <v>27750</v>
      </c>
      <c r="O93" s="887">
        <f t="shared" ca="1" si="50"/>
        <v>88.942307692307693</v>
      </c>
      <c r="P93" s="887">
        <f t="shared" ca="1" si="51"/>
        <v>94.548551959114135</v>
      </c>
      <c r="Q93" s="875"/>
      <c r="R93" s="875"/>
      <c r="S93" s="875"/>
      <c r="T93" s="875"/>
      <c r="U93" s="875"/>
      <c r="V93" s="875"/>
      <c r="W93" s="875"/>
      <c r="X93" s="875"/>
      <c r="Y93" s="875"/>
      <c r="Z93" s="875"/>
    </row>
    <row r="94" spans="1:26" ht="18.75">
      <c r="A94" s="995"/>
      <c r="B94" s="877"/>
      <c r="C94" s="996"/>
      <c r="D94" s="878" t="s">
        <v>21</v>
      </c>
      <c r="E94" s="877"/>
      <c r="F94" s="877"/>
      <c r="G94" s="879"/>
      <c r="H94" s="168" t="s">
        <v>12</v>
      </c>
      <c r="I94" s="997"/>
      <c r="J94" s="997"/>
      <c r="K94" s="998"/>
      <c r="L94" s="881">
        <f t="shared" ref="L94:N94" ca="1" si="54">L95+L96</f>
        <v>0</v>
      </c>
      <c r="M94" s="881">
        <f t="shared" ca="1" si="54"/>
        <v>0</v>
      </c>
      <c r="N94" s="881">
        <f t="shared" ca="1" si="54"/>
        <v>0</v>
      </c>
      <c r="O94" s="881">
        <f t="shared" ca="1" si="50"/>
        <v>0</v>
      </c>
      <c r="P94" s="881">
        <f t="shared" ca="1" si="51"/>
        <v>0</v>
      </c>
      <c r="Q94" s="868"/>
      <c r="R94" s="868"/>
      <c r="S94" s="868"/>
      <c r="T94" s="868"/>
      <c r="U94" s="868"/>
      <c r="V94" s="868"/>
      <c r="W94" s="868"/>
      <c r="X94" s="868"/>
      <c r="Y94" s="868"/>
      <c r="Z94" s="868"/>
    </row>
    <row r="95" spans="1:26" ht="19.5" hidden="1">
      <c r="A95" s="993"/>
      <c r="B95" s="883"/>
      <c r="C95" s="999"/>
      <c r="D95" s="883"/>
      <c r="E95" s="884" t="s">
        <v>18</v>
      </c>
      <c r="F95" s="883"/>
      <c r="G95" s="994"/>
      <c r="H95" s="165" t="s">
        <v>12</v>
      </c>
      <c r="I95" s="1000"/>
      <c r="J95" s="1000"/>
      <c r="K95" s="1001"/>
      <c r="L95" s="887">
        <v>0</v>
      </c>
      <c r="M95" s="887">
        <v>0</v>
      </c>
      <c r="N95" s="887">
        <v>0</v>
      </c>
      <c r="O95" s="887">
        <f t="shared" si="50"/>
        <v>0</v>
      </c>
      <c r="P95" s="887">
        <f t="shared" si="51"/>
        <v>0</v>
      </c>
      <c r="Q95" s="875"/>
      <c r="R95" s="875"/>
      <c r="S95" s="875"/>
      <c r="T95" s="875"/>
      <c r="U95" s="875"/>
      <c r="V95" s="875"/>
      <c r="W95" s="875"/>
      <c r="X95" s="875"/>
      <c r="Y95" s="875"/>
      <c r="Z95" s="875"/>
    </row>
    <row r="96" spans="1:26" ht="19.5" hidden="1">
      <c r="A96" s="993"/>
      <c r="B96" s="883"/>
      <c r="C96" s="999"/>
      <c r="D96" s="883"/>
      <c r="E96" s="884" t="s">
        <v>19</v>
      </c>
      <c r="F96" s="883"/>
      <c r="G96" s="994"/>
      <c r="H96" s="169" t="s">
        <v>12</v>
      </c>
      <c r="I96" s="1000"/>
      <c r="J96" s="1000"/>
      <c r="K96" s="1001"/>
      <c r="L96" s="887">
        <f ca="1">IFERROR(__xludf.DUMMYFUNCTION("IMPORTRANGE(""https://docs.google.com/spreadsheets/d/1MeEWN-I1oV_STSDYn1IFDPWt_1FKiwhDph83XaGc0o0/edit?usp=sharing"",""งบพรบ!AT86"")"),0)</f>
        <v>0</v>
      </c>
      <c r="M96" s="887">
        <f ca="1">IFERROR(__xludf.DUMMYFUNCTION("IMPORTRANGE(""https://docs.google.com/spreadsheets/d/1MeEWN-I1oV_STSDYn1IFDPWt_1FKiwhDph83XaGc0o0/edit?usp=sharing"",""งบพรบ!AW86"")"),0)</f>
        <v>0</v>
      </c>
      <c r="N96" s="887">
        <f ca="1">IFERROR(__xludf.DUMMYFUNCTION("IMPORTRANGE(""https://docs.google.com/spreadsheets/d/1MeEWN-I1oV_STSDYn1IFDPWt_1FKiwhDph83XaGc0o0/edit?usp=sharing"",""งบพรบ!AY86"")"),0)</f>
        <v>0</v>
      </c>
      <c r="O96" s="887">
        <f t="shared" ca="1" si="50"/>
        <v>0</v>
      </c>
      <c r="P96" s="887">
        <f t="shared" ca="1" si="51"/>
        <v>0</v>
      </c>
      <c r="Q96" s="875"/>
      <c r="R96" s="875"/>
      <c r="S96" s="875"/>
      <c r="T96" s="875"/>
      <c r="U96" s="875"/>
      <c r="V96" s="875"/>
      <c r="W96" s="875"/>
      <c r="X96" s="875"/>
      <c r="Y96" s="875"/>
      <c r="Z96" s="875"/>
    </row>
    <row r="97" spans="1:16" ht="19.5">
      <c r="A97" s="1002"/>
      <c r="B97" s="1003"/>
      <c r="C97" s="999" t="s">
        <v>16</v>
      </c>
      <c r="D97" s="1004" t="s">
        <v>38</v>
      </c>
      <c r="E97" s="1005"/>
      <c r="F97" s="1005"/>
      <c r="G97" s="1006"/>
      <c r="H97" s="1007"/>
      <c r="I97" s="997"/>
      <c r="J97" s="880"/>
      <c r="K97" s="881"/>
      <c r="L97" s="881"/>
      <c r="M97" s="881"/>
      <c r="N97" s="881"/>
      <c r="O97" s="998"/>
      <c r="P97" s="998"/>
    </row>
    <row r="98" spans="1:16" ht="18.75">
      <c r="A98" s="1002"/>
      <c r="B98" s="1003"/>
      <c r="C98" s="1003"/>
      <c r="D98" s="1009" t="s">
        <v>47</v>
      </c>
      <c r="E98" s="1009"/>
      <c r="F98" s="1010"/>
      <c r="G98" s="1011"/>
      <c r="H98" s="622" t="s">
        <v>46</v>
      </c>
      <c r="I98" s="880">
        <f ca="1">IFERROR(__xludf.DUMMYFUNCTION("IMPORTRANGE(""https://docs.google.com/spreadsheets/d/1QqKyyYR6Q21VydFLVH3TRQUabQu_ym0Zz7PgGX0-kHA/edit?usp=sharing"",""แผน!K86"")"),0)</f>
        <v>0</v>
      </c>
      <c r="J98" s="880">
        <f>J102</f>
        <v>0</v>
      </c>
      <c r="K98" s="881">
        <f t="shared" ref="K98:K100" ca="1" si="55">IF(I98&gt;0,J98*100/I98,0)</f>
        <v>0</v>
      </c>
      <c r="L98" s="881"/>
      <c r="M98" s="881"/>
      <c r="N98" s="881"/>
      <c r="O98" s="998"/>
      <c r="P98" s="998"/>
    </row>
    <row r="99" spans="1:16" ht="18.75">
      <c r="A99" s="1002"/>
      <c r="B99" s="1003"/>
      <c r="C99" s="1003"/>
      <c r="D99" s="1009" t="s">
        <v>48</v>
      </c>
      <c r="E99" s="1009"/>
      <c r="F99" s="1010"/>
      <c r="G99" s="1011"/>
      <c r="H99" s="622" t="s">
        <v>35</v>
      </c>
      <c r="I99" s="880">
        <f ca="1">IFERROR(__xludf.DUMMYFUNCTION("IMPORTRANGE(""https://docs.google.com/spreadsheets/d/1QqKyyYR6Q21VydFLVH3TRQUabQu_ym0Zz7PgGX0-kHA/edit?usp=sharing"",""แผน!L86"")"),0)</f>
        <v>0</v>
      </c>
      <c r="J99" s="880">
        <f>J104</f>
        <v>0</v>
      </c>
      <c r="K99" s="881">
        <f t="shared" ca="1" si="55"/>
        <v>0</v>
      </c>
      <c r="L99" s="881"/>
      <c r="M99" s="881"/>
      <c r="N99" s="881"/>
      <c r="O99" s="998"/>
      <c r="P99" s="998"/>
    </row>
    <row r="100" spans="1:16" ht="18.75">
      <c r="A100" s="1002"/>
      <c r="B100" s="1003"/>
      <c r="C100" s="1003"/>
      <c r="D100" s="1003"/>
      <c r="E100" s="1010"/>
      <c r="F100" s="1010"/>
      <c r="G100" s="1011"/>
      <c r="H100" s="622" t="s">
        <v>49</v>
      </c>
      <c r="I100" s="880">
        <f ca="1">IFERROR(__xludf.DUMMYFUNCTION("IMPORTRANGE(""https://docs.google.com/spreadsheets/d/1QqKyyYR6Q21VydFLVH3TRQUabQu_ym0Zz7PgGX0-kHA/edit?usp=sharing"",""แผน!M86"")"),1)</f>
        <v>1</v>
      </c>
      <c r="J100" s="880">
        <f>J107+J110</f>
        <v>1</v>
      </c>
      <c r="K100" s="881">
        <f t="shared" ca="1" si="55"/>
        <v>100</v>
      </c>
      <c r="L100" s="881"/>
      <c r="M100" s="881"/>
      <c r="N100" s="881"/>
      <c r="O100" s="998"/>
      <c r="P100" s="998"/>
    </row>
    <row r="101" spans="1:16" ht="19.5">
      <c r="A101" s="1002"/>
      <c r="B101" s="1003"/>
      <c r="C101" s="1003"/>
      <c r="D101" s="1010"/>
      <c r="E101" s="1013" t="s">
        <v>50</v>
      </c>
      <c r="F101" s="1010"/>
      <c r="G101" s="1011"/>
      <c r="H101" s="622"/>
      <c r="I101" s="880"/>
      <c r="J101" s="880"/>
      <c r="K101" s="881"/>
      <c r="L101" s="881"/>
      <c r="M101" s="881"/>
      <c r="N101" s="881"/>
      <c r="O101" s="998"/>
      <c r="P101" s="998"/>
    </row>
    <row r="102" spans="1:16" ht="18.75">
      <c r="A102" s="1002"/>
      <c r="B102" s="1003"/>
      <c r="C102" s="1003"/>
      <c r="D102" s="1010"/>
      <c r="E102" s="1014" t="s">
        <v>47</v>
      </c>
      <c r="F102" s="1010"/>
      <c r="G102" s="1011"/>
      <c r="H102" s="622" t="s">
        <v>46</v>
      </c>
      <c r="I102" s="880">
        <f ca="1">IFERROR(__xludf.DUMMYFUNCTION("IMPORTRANGE(""https://docs.google.com/spreadsheets/d/1QqKyyYR6Q21VydFLVH3TRQUabQu_ym0Zz7PgGX0-kHA/edit?usp=sharing"",""แผน!N86"")"),0)</f>
        <v>0</v>
      </c>
      <c r="J102" s="1012">
        <v>0</v>
      </c>
      <c r="K102" s="881">
        <f t="shared" ref="K102:K104" ca="1" si="56">IF(I102&gt;0,J102*100/I102,0)</f>
        <v>0</v>
      </c>
      <c r="L102" s="881"/>
      <c r="M102" s="881"/>
      <c r="N102" s="881"/>
      <c r="O102" s="998"/>
      <c r="P102" s="998"/>
    </row>
    <row r="103" spans="1:16" ht="19.5">
      <c r="A103" s="1002"/>
      <c r="B103" s="1003"/>
      <c r="C103" s="1003"/>
      <c r="D103" s="1010"/>
      <c r="E103" s="1009" t="s">
        <v>51</v>
      </c>
      <c r="F103" s="1010"/>
      <c r="G103" s="1011"/>
      <c r="H103" s="622" t="s">
        <v>35</v>
      </c>
      <c r="I103" s="880">
        <f ca="1">IFERROR(__xludf.DUMMYFUNCTION("IMPORTRANGE(""https://docs.google.com/spreadsheets/d/1QqKyyYR6Q21VydFLVH3TRQUabQu_ym0Zz7PgGX0-kHA/edit?usp=sharing"",""แผน!O86"")"),0)</f>
        <v>0</v>
      </c>
      <c r="J103" s="1012">
        <v>0</v>
      </c>
      <c r="K103" s="881">
        <f t="shared" ca="1" si="56"/>
        <v>0</v>
      </c>
      <c r="L103" s="881"/>
      <c r="M103" s="881"/>
      <c r="N103" s="881"/>
      <c r="O103" s="998"/>
      <c r="P103" s="998"/>
    </row>
    <row r="104" spans="1:16" ht="18.75">
      <c r="A104" s="1002"/>
      <c r="B104" s="1003"/>
      <c r="C104" s="1003"/>
      <c r="D104" s="1010"/>
      <c r="E104" s="1015" t="s">
        <v>52</v>
      </c>
      <c r="F104" s="1010"/>
      <c r="G104" s="1011"/>
      <c r="H104" s="622" t="s">
        <v>35</v>
      </c>
      <c r="I104" s="880">
        <f ca="1">IFERROR(__xludf.DUMMYFUNCTION("IMPORTRANGE(""https://docs.google.com/spreadsheets/d/1QqKyyYR6Q21VydFLVH3TRQUabQu_ym0Zz7PgGX0-kHA/edit?usp=sharing"",""แผน!O86"")"),0)</f>
        <v>0</v>
      </c>
      <c r="J104" s="1012">
        <v>0</v>
      </c>
      <c r="K104" s="881">
        <f t="shared" ca="1" si="56"/>
        <v>0</v>
      </c>
      <c r="L104" s="881"/>
      <c r="M104" s="881"/>
      <c r="N104" s="881"/>
      <c r="O104" s="998"/>
      <c r="P104" s="998"/>
    </row>
    <row r="105" spans="1:16" ht="19.5">
      <c r="A105" s="1002"/>
      <c r="B105" s="1003"/>
      <c r="C105" s="1003"/>
      <c r="D105" s="1010"/>
      <c r="E105" s="1013" t="s">
        <v>53</v>
      </c>
      <c r="F105" s="1010"/>
      <c r="G105" s="1011"/>
      <c r="H105" s="1016"/>
      <c r="I105" s="880"/>
      <c r="J105" s="880"/>
      <c r="K105" s="881"/>
      <c r="L105" s="881"/>
      <c r="M105" s="881"/>
      <c r="N105" s="881"/>
      <c r="O105" s="998"/>
      <c r="P105" s="998"/>
    </row>
    <row r="106" spans="1:16" ht="19.5">
      <c r="A106" s="1002"/>
      <c r="B106" s="1003"/>
      <c r="C106" s="1003"/>
      <c r="D106" s="1010"/>
      <c r="E106" s="1009" t="s">
        <v>54</v>
      </c>
      <c r="F106" s="1010"/>
      <c r="G106" s="1011"/>
      <c r="H106" s="622" t="s">
        <v>49</v>
      </c>
      <c r="I106" s="880">
        <f ca="1">IFERROR(__xludf.DUMMYFUNCTION("IMPORTRANGE(""https://docs.google.com/spreadsheets/d/1QqKyyYR6Q21VydFLVH3TRQUabQu_ym0Zz7PgGX0-kHA/edit?usp=sharing"",""แผน!P86"")"),0)</f>
        <v>0</v>
      </c>
      <c r="J106" s="1012">
        <v>0</v>
      </c>
      <c r="K106" s="881">
        <f t="shared" ref="K106:K107" ca="1" si="57">IF(I106&gt;0,J106*100/I106,0)</f>
        <v>0</v>
      </c>
      <c r="L106" s="881"/>
      <c r="M106" s="881"/>
      <c r="N106" s="881"/>
      <c r="O106" s="998"/>
      <c r="P106" s="998"/>
    </row>
    <row r="107" spans="1:16" ht="18.75">
      <c r="A107" s="1002"/>
      <c r="B107" s="1003"/>
      <c r="C107" s="1003"/>
      <c r="D107" s="1010"/>
      <c r="E107" s="1015" t="s">
        <v>55</v>
      </c>
      <c r="F107" s="1010"/>
      <c r="G107" s="1011"/>
      <c r="H107" s="622" t="s">
        <v>49</v>
      </c>
      <c r="I107" s="880">
        <f ca="1">IFERROR(__xludf.DUMMYFUNCTION("IMPORTRANGE(""https://docs.google.com/spreadsheets/d/1QqKyyYR6Q21VydFLVH3TRQUabQu_ym0Zz7PgGX0-kHA/edit?usp=sharing"",""แผน!P86"")"),0)</f>
        <v>0</v>
      </c>
      <c r="J107" s="1012">
        <v>0</v>
      </c>
      <c r="K107" s="881">
        <f t="shared" ca="1" si="57"/>
        <v>0</v>
      </c>
      <c r="L107" s="881"/>
      <c r="M107" s="881"/>
      <c r="N107" s="881"/>
      <c r="O107" s="998"/>
      <c r="P107" s="998"/>
    </row>
    <row r="108" spans="1:16" ht="19.5">
      <c r="A108" s="1002"/>
      <c r="B108" s="1003"/>
      <c r="C108" s="1003"/>
      <c r="D108" s="1010"/>
      <c r="E108" s="1013" t="s">
        <v>56</v>
      </c>
      <c r="F108" s="1010"/>
      <c r="G108" s="1011"/>
      <c r="H108" s="1016"/>
      <c r="I108" s="880"/>
      <c r="J108" s="880"/>
      <c r="K108" s="881"/>
      <c r="L108" s="881"/>
      <c r="M108" s="881"/>
      <c r="N108" s="881"/>
      <c r="O108" s="998"/>
      <c r="P108" s="998"/>
    </row>
    <row r="109" spans="1:16" ht="19.5">
      <c r="A109" s="1002"/>
      <c r="B109" s="1003"/>
      <c r="C109" s="1003"/>
      <c r="D109" s="1010"/>
      <c r="E109" s="1009" t="s">
        <v>57</v>
      </c>
      <c r="F109" s="1010"/>
      <c r="G109" s="1011"/>
      <c r="H109" s="622" t="s">
        <v>49</v>
      </c>
      <c r="I109" s="880">
        <f ca="1">IFERROR(__xludf.DUMMYFUNCTION("IMPORTRANGE(""https://docs.google.com/spreadsheets/d/1QqKyyYR6Q21VydFLVH3TRQUabQu_ym0Zz7PgGX0-kHA/edit?usp=sharing"",""แผน!Q86"")"),1)</f>
        <v>1</v>
      </c>
      <c r="J109" s="1012">
        <v>1</v>
      </c>
      <c r="K109" s="881">
        <f t="shared" ref="K109:K116" ca="1" si="58">IF(I109&gt;0,J109*100/I109,0)</f>
        <v>100</v>
      </c>
      <c r="L109" s="881"/>
      <c r="M109" s="881"/>
      <c r="N109" s="881"/>
      <c r="O109" s="998"/>
      <c r="P109" s="998"/>
    </row>
    <row r="110" spans="1:16" ht="18.75">
      <c r="A110" s="1002"/>
      <c r="B110" s="1003"/>
      <c r="C110" s="1003"/>
      <c r="D110" s="1010"/>
      <c r="E110" s="1017" t="s">
        <v>58</v>
      </c>
      <c r="F110" s="1010"/>
      <c r="G110" s="1011"/>
      <c r="H110" s="622" t="s">
        <v>49</v>
      </c>
      <c r="I110" s="880">
        <f ca="1">IFERROR(__xludf.DUMMYFUNCTION("IMPORTRANGE(""https://docs.google.com/spreadsheets/d/1QqKyyYR6Q21VydFLVH3TRQUabQu_ym0Zz7PgGX0-kHA/edit?usp=sharing"",""แผน!Q86"")"),1)</f>
        <v>1</v>
      </c>
      <c r="J110" s="1012">
        <v>1</v>
      </c>
      <c r="K110" s="881">
        <f t="shared" ca="1" si="58"/>
        <v>100</v>
      </c>
      <c r="L110" s="881"/>
      <c r="M110" s="881"/>
      <c r="N110" s="881"/>
      <c r="O110" s="998"/>
      <c r="P110" s="998"/>
    </row>
    <row r="111" spans="1:16" ht="19.5">
      <c r="A111" s="1002"/>
      <c r="B111" s="1003"/>
      <c r="C111" s="1003"/>
      <c r="D111" s="1013" t="s">
        <v>59</v>
      </c>
      <c r="E111" s="1013"/>
      <c r="F111" s="1010"/>
      <c r="G111" s="1011"/>
      <c r="H111" s="765" t="s">
        <v>35</v>
      </c>
      <c r="I111" s="1018">
        <f ca="1">IFERROR(__xludf.DUMMYFUNCTION("IMPORTRANGE(""https://docs.google.com/spreadsheets/d/1QqKyyYR6Q21VydFLVH3TRQUabQu_ym0Zz7PgGX0-kHA/edit?usp=sharing"",""แผน!R86"")"),0)</f>
        <v>0</v>
      </c>
      <c r="J111" s="1019">
        <f>J114</f>
        <v>0</v>
      </c>
      <c r="K111" s="1020">
        <f t="shared" ca="1" si="58"/>
        <v>0</v>
      </c>
      <c r="L111" s="881"/>
      <c r="M111" s="881"/>
      <c r="N111" s="881"/>
      <c r="O111" s="998"/>
      <c r="P111" s="998"/>
    </row>
    <row r="112" spans="1:16" ht="19.5">
      <c r="A112" s="1002"/>
      <c r="B112" s="1003"/>
      <c r="C112" s="1003"/>
      <c r="D112" s="1003"/>
      <c r="E112" s="1010"/>
      <c r="F112" s="1010"/>
      <c r="G112" s="1011"/>
      <c r="H112" s="196" t="s">
        <v>49</v>
      </c>
      <c r="I112" s="1018">
        <f t="shared" ref="I112:J112" ca="1" si="59">I115+I116</f>
        <v>1</v>
      </c>
      <c r="J112" s="1019">
        <f t="shared" si="59"/>
        <v>0</v>
      </c>
      <c r="K112" s="1020">
        <f t="shared" ca="1" si="58"/>
        <v>0</v>
      </c>
      <c r="L112" s="881"/>
      <c r="M112" s="881"/>
      <c r="N112" s="881"/>
      <c r="O112" s="998"/>
      <c r="P112" s="998"/>
    </row>
    <row r="113" spans="1:26" ht="19.5">
      <c r="A113" s="1002"/>
      <c r="B113" s="1003"/>
      <c r="C113" s="1003"/>
      <c r="D113" s="1003"/>
      <c r="E113" s="1021" t="s">
        <v>60</v>
      </c>
      <c r="F113" s="1010"/>
      <c r="G113" s="1011"/>
      <c r="H113" s="198" t="s">
        <v>35</v>
      </c>
      <c r="I113" s="997">
        <f ca="1">IFERROR(__xludf.DUMMYFUNCTION("IMPORTRANGE(""https://docs.google.com/spreadsheets/d/1QqKyyYR6Q21VydFLVH3TRQUabQu_ym0Zz7PgGX0-kHA/edit?usp=sharing"",""แผน!R86"")"),0)</f>
        <v>0</v>
      </c>
      <c r="J113" s="1012">
        <v>0</v>
      </c>
      <c r="K113" s="881">
        <f t="shared" ca="1" si="58"/>
        <v>0</v>
      </c>
      <c r="L113" s="881"/>
      <c r="M113" s="881"/>
      <c r="N113" s="881"/>
      <c r="O113" s="998"/>
      <c r="P113" s="998"/>
    </row>
    <row r="114" spans="1:26" ht="19.5">
      <c r="A114" s="1002"/>
      <c r="B114" s="1003"/>
      <c r="C114" s="1003"/>
      <c r="D114" s="1003"/>
      <c r="E114" s="1009" t="s">
        <v>61</v>
      </c>
      <c r="F114" s="1010"/>
      <c r="G114" s="1011"/>
      <c r="H114" s="199" t="s">
        <v>35</v>
      </c>
      <c r="I114" s="997">
        <f ca="1">IFERROR(__xludf.DUMMYFUNCTION("IMPORTRANGE(""https://docs.google.com/spreadsheets/d/1QqKyyYR6Q21VydFLVH3TRQUabQu_ym0Zz7PgGX0-kHA/edit?usp=sharing"",""แผน!R86"")"),0)</f>
        <v>0</v>
      </c>
      <c r="J114" s="1012">
        <v>0</v>
      </c>
      <c r="K114" s="881">
        <f t="shared" ca="1" si="58"/>
        <v>0</v>
      </c>
      <c r="L114" s="881"/>
      <c r="M114" s="881"/>
      <c r="N114" s="881"/>
      <c r="O114" s="998"/>
      <c r="P114" s="998"/>
    </row>
    <row r="115" spans="1:26" ht="18.75">
      <c r="A115" s="1002"/>
      <c r="B115" s="1003"/>
      <c r="C115" s="1003"/>
      <c r="D115" s="1003"/>
      <c r="E115" s="1009" t="s">
        <v>62</v>
      </c>
      <c r="F115" s="1010"/>
      <c r="G115" s="1011"/>
      <c r="H115" s="199" t="s">
        <v>49</v>
      </c>
      <c r="I115" s="997">
        <f ca="1">IFERROR(__xludf.DUMMYFUNCTION("IMPORTRANGE(""https://docs.google.com/spreadsheets/d/1QqKyyYR6Q21VydFLVH3TRQUabQu_ym0Zz7PgGX0-kHA/edit?usp=sharing"",""แผน!S86"")"),0)</f>
        <v>0</v>
      </c>
      <c r="J115" s="1012">
        <v>0</v>
      </c>
      <c r="K115" s="881">
        <f t="shared" ca="1" si="58"/>
        <v>0</v>
      </c>
      <c r="L115" s="881"/>
      <c r="M115" s="881"/>
      <c r="N115" s="881"/>
      <c r="O115" s="998"/>
      <c r="P115" s="998"/>
    </row>
    <row r="116" spans="1:26" ht="18.75">
      <c r="A116" s="1002"/>
      <c r="B116" s="1003"/>
      <c r="C116" s="1003"/>
      <c r="D116" s="1003"/>
      <c r="E116" s="1009" t="s">
        <v>63</v>
      </c>
      <c r="F116" s="1010"/>
      <c r="G116" s="1011"/>
      <c r="H116" s="199" t="s">
        <v>49</v>
      </c>
      <c r="I116" s="997">
        <f ca="1">IFERROR(__xludf.DUMMYFUNCTION("IMPORTRANGE(""https://docs.google.com/spreadsheets/d/1QqKyyYR6Q21VydFLVH3TRQUabQu_ym0Zz7PgGX0-kHA/edit?usp=sharing"",""แผน!T86"")"),1)</f>
        <v>1</v>
      </c>
      <c r="J116" s="1012">
        <v>0</v>
      </c>
      <c r="K116" s="881">
        <f t="shared" ca="1" si="58"/>
        <v>0</v>
      </c>
      <c r="L116" s="881"/>
      <c r="M116" s="881"/>
      <c r="N116" s="881"/>
      <c r="O116" s="998"/>
      <c r="P116" s="998"/>
    </row>
    <row r="117" spans="1:26" ht="19.5" hidden="1">
      <c r="A117" s="970" t="s">
        <v>64</v>
      </c>
      <c r="B117" s="971"/>
      <c r="C117" s="1022"/>
      <c r="D117" s="971"/>
      <c r="E117" s="971"/>
      <c r="F117" s="971"/>
      <c r="G117" s="971"/>
      <c r="H117" s="1023"/>
      <c r="I117" s="1024"/>
      <c r="J117" s="1024"/>
      <c r="K117" s="1025"/>
      <c r="L117" s="976"/>
      <c r="M117" s="976"/>
      <c r="N117" s="976"/>
      <c r="O117" s="976"/>
      <c r="P117" s="976"/>
    </row>
    <row r="118" spans="1:26" ht="19.5" hidden="1">
      <c r="A118" s="977"/>
      <c r="B118" s="978" t="s">
        <v>65</v>
      </c>
      <c r="C118" s="1026"/>
      <c r="D118" s="980"/>
      <c r="E118" s="979"/>
      <c r="F118" s="979"/>
      <c r="G118" s="981"/>
      <c r="H118" s="205"/>
      <c r="I118" s="1027"/>
      <c r="J118" s="1027"/>
      <c r="K118" s="984"/>
      <c r="L118" s="984"/>
      <c r="M118" s="984"/>
      <c r="N118" s="984"/>
      <c r="O118" s="984"/>
      <c r="P118" s="984"/>
    </row>
    <row r="119" spans="1:26" ht="19.5" hidden="1">
      <c r="A119" s="985"/>
      <c r="B119" s="986"/>
      <c r="C119" s="987" t="s">
        <v>16</v>
      </c>
      <c r="D119" s="988" t="s">
        <v>17</v>
      </c>
      <c r="E119" s="986"/>
      <c r="F119" s="986"/>
      <c r="G119" s="989"/>
      <c r="H119" s="152" t="s">
        <v>12</v>
      </c>
      <c r="I119" s="990"/>
      <c r="J119" s="990"/>
      <c r="K119" s="991"/>
      <c r="L119" s="992">
        <f t="shared" ref="L119:N119" ca="1" si="60">L120+L121</f>
        <v>0</v>
      </c>
      <c r="M119" s="992">
        <f t="shared" ca="1" si="60"/>
        <v>0</v>
      </c>
      <c r="N119" s="992">
        <f t="shared" ca="1" si="60"/>
        <v>0</v>
      </c>
      <c r="O119" s="992">
        <f t="shared" ref="O119:O127" ca="1" si="61">IF(L119&gt;0,N119*100/L119,0)</f>
        <v>0</v>
      </c>
      <c r="P119" s="992">
        <f t="shared" ref="P119:P127" ca="1" si="62">IF(M119&gt;0,N119*100/M119,0)</f>
        <v>0</v>
      </c>
      <c r="Q119" s="868"/>
      <c r="R119" s="868"/>
      <c r="S119" s="868"/>
      <c r="T119" s="868"/>
      <c r="U119" s="868"/>
      <c r="V119" s="868"/>
      <c r="W119" s="868"/>
      <c r="X119" s="868"/>
      <c r="Y119" s="868"/>
      <c r="Z119" s="868"/>
    </row>
    <row r="120" spans="1:26" ht="18.75" hidden="1">
      <c r="A120" s="993"/>
      <c r="B120" s="883"/>
      <c r="C120" s="883"/>
      <c r="D120" s="883"/>
      <c r="E120" s="884" t="s">
        <v>18</v>
      </c>
      <c r="F120" s="883"/>
      <c r="G120" s="994"/>
      <c r="H120" s="158" t="s">
        <v>12</v>
      </c>
      <c r="I120" s="886"/>
      <c r="J120" s="886"/>
      <c r="K120" s="887"/>
      <c r="L120" s="887">
        <f t="shared" ref="L120:N121" si="63">L123+L126</f>
        <v>0</v>
      </c>
      <c r="M120" s="887">
        <f t="shared" si="63"/>
        <v>0</v>
      </c>
      <c r="N120" s="887">
        <f t="shared" si="63"/>
        <v>0</v>
      </c>
      <c r="O120" s="887">
        <f t="shared" si="61"/>
        <v>0</v>
      </c>
      <c r="P120" s="887">
        <f t="shared" si="62"/>
        <v>0</v>
      </c>
      <c r="Q120" s="875"/>
      <c r="R120" s="875"/>
      <c r="S120" s="875"/>
      <c r="T120" s="875"/>
      <c r="U120" s="875"/>
      <c r="V120" s="875"/>
      <c r="W120" s="875"/>
      <c r="X120" s="875"/>
      <c r="Y120" s="875"/>
      <c r="Z120" s="875"/>
    </row>
    <row r="121" spans="1:26" ht="18.75" hidden="1">
      <c r="A121" s="993"/>
      <c r="B121" s="883"/>
      <c r="C121" s="883"/>
      <c r="D121" s="883"/>
      <c r="E121" s="884" t="s">
        <v>19</v>
      </c>
      <c r="F121" s="883"/>
      <c r="G121" s="994"/>
      <c r="H121" s="158" t="s">
        <v>12</v>
      </c>
      <c r="I121" s="886"/>
      <c r="J121" s="886"/>
      <c r="K121" s="887"/>
      <c r="L121" s="887">
        <f t="shared" ca="1" si="63"/>
        <v>0</v>
      </c>
      <c r="M121" s="887">
        <f t="shared" ca="1" si="63"/>
        <v>0</v>
      </c>
      <c r="N121" s="887">
        <f t="shared" ca="1" si="63"/>
        <v>0</v>
      </c>
      <c r="O121" s="887">
        <f t="shared" ca="1" si="61"/>
        <v>0</v>
      </c>
      <c r="P121" s="887">
        <f t="shared" ca="1" si="62"/>
        <v>0</v>
      </c>
      <c r="Q121" s="875"/>
      <c r="R121" s="875"/>
      <c r="S121" s="875"/>
      <c r="T121" s="875"/>
      <c r="U121" s="875"/>
      <c r="V121" s="875"/>
      <c r="W121" s="875"/>
      <c r="X121" s="875"/>
      <c r="Y121" s="875"/>
      <c r="Z121" s="875"/>
    </row>
    <row r="122" spans="1:26" ht="18.75" hidden="1">
      <c r="A122" s="995"/>
      <c r="B122" s="877"/>
      <c r="C122" s="996"/>
      <c r="D122" s="878" t="s">
        <v>20</v>
      </c>
      <c r="E122" s="877"/>
      <c r="F122" s="877"/>
      <c r="G122" s="879"/>
      <c r="H122" s="161" t="s">
        <v>12</v>
      </c>
      <c r="I122" s="997"/>
      <c r="J122" s="997"/>
      <c r="K122" s="998"/>
      <c r="L122" s="881">
        <f t="shared" ref="L122:N122" ca="1" si="64">L123+L124</f>
        <v>0</v>
      </c>
      <c r="M122" s="881">
        <f t="shared" ca="1" si="64"/>
        <v>0</v>
      </c>
      <c r="N122" s="881">
        <f t="shared" ca="1" si="64"/>
        <v>0</v>
      </c>
      <c r="O122" s="881">
        <f t="shared" ca="1" si="61"/>
        <v>0</v>
      </c>
      <c r="P122" s="881">
        <f t="shared" ca="1" si="62"/>
        <v>0</v>
      </c>
      <c r="Q122" s="868"/>
      <c r="R122" s="868"/>
      <c r="S122" s="868"/>
      <c r="T122" s="868"/>
      <c r="U122" s="868"/>
      <c r="V122" s="868"/>
      <c r="W122" s="868"/>
      <c r="X122" s="868"/>
      <c r="Y122" s="868"/>
      <c r="Z122" s="868"/>
    </row>
    <row r="123" spans="1:26" ht="18.75" hidden="1">
      <c r="A123" s="993"/>
      <c r="B123" s="883"/>
      <c r="C123" s="884"/>
      <c r="D123" s="883"/>
      <c r="E123" s="884" t="s">
        <v>36</v>
      </c>
      <c r="F123" s="883"/>
      <c r="G123" s="994"/>
      <c r="H123" s="165" t="s">
        <v>12</v>
      </c>
      <c r="I123" s="1000"/>
      <c r="J123" s="1000"/>
      <c r="K123" s="1001"/>
      <c r="L123" s="887">
        <v>0</v>
      </c>
      <c r="M123" s="887">
        <v>0</v>
      </c>
      <c r="N123" s="887">
        <v>0</v>
      </c>
      <c r="O123" s="887">
        <f t="shared" si="61"/>
        <v>0</v>
      </c>
      <c r="P123" s="887">
        <f t="shared" si="62"/>
        <v>0</v>
      </c>
      <c r="Q123" s="875"/>
      <c r="R123" s="875"/>
      <c r="S123" s="875"/>
      <c r="T123" s="875"/>
      <c r="U123" s="875"/>
      <c r="V123" s="875"/>
      <c r="W123" s="875"/>
      <c r="X123" s="875"/>
      <c r="Y123" s="875"/>
      <c r="Z123" s="875"/>
    </row>
    <row r="124" spans="1:26" ht="18.75" hidden="1">
      <c r="A124" s="993"/>
      <c r="B124" s="883"/>
      <c r="C124" s="884"/>
      <c r="D124" s="883"/>
      <c r="E124" s="884" t="s">
        <v>37</v>
      </c>
      <c r="F124" s="883"/>
      <c r="G124" s="994"/>
      <c r="H124" s="165" t="s">
        <v>12</v>
      </c>
      <c r="I124" s="1000"/>
      <c r="J124" s="1000"/>
      <c r="K124" s="1001"/>
      <c r="L124" s="887">
        <f ca="1">IFERROR(__xludf.DUMMYFUNCTION("IMPORTRANGE(""https://docs.google.com/spreadsheets/d/1MeEWN-I1oV_STSDYn1IFDPWt_1FKiwhDph83XaGc0o0/edit?usp=sharing"",""งบพรบ!BA86"")"),0)</f>
        <v>0</v>
      </c>
      <c r="M124" s="887">
        <f ca="1">IFERROR(__xludf.DUMMYFUNCTION("IMPORTRANGE(""https://docs.google.com/spreadsheets/d/1MeEWN-I1oV_STSDYn1IFDPWt_1FKiwhDph83XaGc0o0/edit?usp=sharing"",""งบพรบ!BF86"")"),0)</f>
        <v>0</v>
      </c>
      <c r="N124" s="887">
        <f ca="1">IFERROR(__xludf.DUMMYFUNCTION("IMPORTRANGE(""https://docs.google.com/spreadsheets/d/1MeEWN-I1oV_STSDYn1IFDPWt_1FKiwhDph83XaGc0o0/edit?usp=sharing"",""งบพรบ!BH86"")"),0)</f>
        <v>0</v>
      </c>
      <c r="O124" s="887">
        <f t="shared" ca="1" si="61"/>
        <v>0</v>
      </c>
      <c r="P124" s="887">
        <f t="shared" ca="1" si="62"/>
        <v>0</v>
      </c>
      <c r="Q124" s="875"/>
      <c r="R124" s="875"/>
      <c r="S124" s="875"/>
      <c r="T124" s="875"/>
      <c r="U124" s="875"/>
      <c r="V124" s="875"/>
      <c r="W124" s="875"/>
      <c r="X124" s="875"/>
      <c r="Y124" s="875"/>
      <c r="Z124" s="875"/>
    </row>
    <row r="125" spans="1:26" ht="18.75" hidden="1">
      <c r="A125" s="995"/>
      <c r="B125" s="877"/>
      <c r="C125" s="996"/>
      <c r="D125" s="878" t="s">
        <v>21</v>
      </c>
      <c r="E125" s="877"/>
      <c r="F125" s="877"/>
      <c r="G125" s="879"/>
      <c r="H125" s="168" t="s">
        <v>12</v>
      </c>
      <c r="I125" s="997"/>
      <c r="J125" s="997"/>
      <c r="K125" s="998"/>
      <c r="L125" s="881">
        <f t="shared" ref="L125:N125" ca="1" si="65">L126+L127</f>
        <v>0</v>
      </c>
      <c r="M125" s="881">
        <f t="shared" ca="1" si="65"/>
        <v>0</v>
      </c>
      <c r="N125" s="881">
        <f t="shared" ca="1" si="65"/>
        <v>0</v>
      </c>
      <c r="O125" s="881">
        <f t="shared" ca="1" si="61"/>
        <v>0</v>
      </c>
      <c r="P125" s="881">
        <f t="shared" ca="1" si="62"/>
        <v>0</v>
      </c>
      <c r="Q125" s="868"/>
      <c r="R125" s="868"/>
      <c r="S125" s="868"/>
      <c r="T125" s="868"/>
      <c r="U125" s="868"/>
      <c r="V125" s="868"/>
      <c r="W125" s="868"/>
      <c r="X125" s="868"/>
      <c r="Y125" s="868"/>
      <c r="Z125" s="868"/>
    </row>
    <row r="126" spans="1:26" ht="19.5" hidden="1">
      <c r="A126" s="993"/>
      <c r="B126" s="883"/>
      <c r="C126" s="999"/>
      <c r="D126" s="883"/>
      <c r="E126" s="884" t="s">
        <v>18</v>
      </c>
      <c r="F126" s="883"/>
      <c r="G126" s="994"/>
      <c r="H126" s="165" t="s">
        <v>12</v>
      </c>
      <c r="I126" s="1000"/>
      <c r="J126" s="1000"/>
      <c r="K126" s="1001"/>
      <c r="L126" s="887">
        <v>0</v>
      </c>
      <c r="M126" s="887">
        <v>0</v>
      </c>
      <c r="N126" s="887">
        <v>0</v>
      </c>
      <c r="O126" s="887">
        <f t="shared" si="61"/>
        <v>0</v>
      </c>
      <c r="P126" s="887">
        <f t="shared" si="62"/>
        <v>0</v>
      </c>
      <c r="Q126" s="875"/>
      <c r="R126" s="875"/>
      <c r="S126" s="875"/>
      <c r="T126" s="875"/>
      <c r="U126" s="875"/>
      <c r="V126" s="875"/>
      <c r="W126" s="875"/>
      <c r="X126" s="875"/>
      <c r="Y126" s="875"/>
      <c r="Z126" s="875"/>
    </row>
    <row r="127" spans="1:26" ht="19.5" hidden="1">
      <c r="A127" s="993"/>
      <c r="B127" s="883"/>
      <c r="C127" s="999"/>
      <c r="D127" s="883"/>
      <c r="E127" s="884" t="s">
        <v>19</v>
      </c>
      <c r="F127" s="883"/>
      <c r="G127" s="994"/>
      <c r="H127" s="169" t="s">
        <v>12</v>
      </c>
      <c r="I127" s="1000"/>
      <c r="J127" s="1000"/>
      <c r="K127" s="1001"/>
      <c r="L127" s="887">
        <f ca="1">IFERROR(__xludf.DUMMYFUNCTION("IMPORTRANGE(""https://docs.google.com/spreadsheets/d/1MeEWN-I1oV_STSDYn1IFDPWt_1FKiwhDph83XaGc0o0/edit?usp=sharing"",""งบพรบ!BD86"")"),0)</f>
        <v>0</v>
      </c>
      <c r="M127" s="887">
        <f ca="1">IFERROR(__xludf.DUMMYFUNCTION("IMPORTRANGE(""https://docs.google.com/spreadsheets/d/1MeEWN-I1oV_STSDYn1IFDPWt_1FKiwhDph83XaGc0o0/edit?usp=sharing"",""งบพรบ!BG86"")"),0)</f>
        <v>0</v>
      </c>
      <c r="N127" s="887">
        <f ca="1">IFERROR(__xludf.DUMMYFUNCTION("IMPORTRANGE(""https://docs.google.com/spreadsheets/d/1MeEWN-I1oV_STSDYn1IFDPWt_1FKiwhDph83XaGc0o0/edit?usp=sharing"",""งบพรบ!BI86"")"),0)</f>
        <v>0</v>
      </c>
      <c r="O127" s="887">
        <f t="shared" ca="1" si="61"/>
        <v>0</v>
      </c>
      <c r="P127" s="887">
        <f t="shared" ca="1" si="62"/>
        <v>0</v>
      </c>
      <c r="Q127" s="875"/>
      <c r="R127" s="875"/>
      <c r="S127" s="875"/>
      <c r="T127" s="875"/>
      <c r="U127" s="875"/>
      <c r="V127" s="875"/>
      <c r="W127" s="875"/>
      <c r="X127" s="875"/>
      <c r="Y127" s="875"/>
      <c r="Z127" s="875"/>
    </row>
    <row r="128" spans="1:26" ht="19.5">
      <c r="A128" s="970" t="s">
        <v>67</v>
      </c>
      <c r="B128" s="971"/>
      <c r="C128" s="1022"/>
      <c r="D128" s="971"/>
      <c r="E128" s="971"/>
      <c r="F128" s="971"/>
      <c r="G128" s="971"/>
      <c r="H128" s="1023"/>
      <c r="I128" s="1024"/>
      <c r="J128" s="1024"/>
      <c r="K128" s="1025"/>
      <c r="L128" s="976"/>
      <c r="M128" s="976"/>
      <c r="N128" s="976"/>
      <c r="O128" s="976"/>
      <c r="P128" s="976"/>
    </row>
    <row r="129" spans="1:26" ht="19.5">
      <c r="A129" s="977"/>
      <c r="B129" s="978" t="s">
        <v>68</v>
      </c>
      <c r="C129" s="1026"/>
      <c r="D129" s="980"/>
      <c r="E129" s="979"/>
      <c r="F129" s="979"/>
      <c r="G129" s="979"/>
      <c r="H129" s="207"/>
      <c r="I129" s="1027"/>
      <c r="J129" s="1027"/>
      <c r="K129" s="984"/>
      <c r="L129" s="984"/>
      <c r="M129" s="984"/>
      <c r="N129" s="984"/>
      <c r="O129" s="984"/>
      <c r="P129" s="984"/>
    </row>
    <row r="130" spans="1:26" ht="19.5">
      <c r="A130" s="977"/>
      <c r="B130" s="978"/>
      <c r="C130" s="1028" t="s">
        <v>69</v>
      </c>
      <c r="D130" s="980"/>
      <c r="E130" s="979"/>
      <c r="F130" s="979"/>
      <c r="G130" s="981"/>
      <c r="H130" s="205" t="s">
        <v>66</v>
      </c>
      <c r="I130" s="982">
        <f t="shared" ref="I130:J130" ca="1" si="66">I146</f>
        <v>1</v>
      </c>
      <c r="J130" s="982">
        <f t="shared" si="66"/>
        <v>1</v>
      </c>
      <c r="K130" s="983">
        <f t="shared" ref="K130:K131" ca="1" si="67">IF(I130&gt;0,J130*100/I130,0)</f>
        <v>100</v>
      </c>
      <c r="L130" s="984"/>
      <c r="M130" s="984"/>
      <c r="N130" s="984"/>
      <c r="O130" s="984"/>
      <c r="P130" s="984"/>
    </row>
    <row r="131" spans="1:26" ht="19.5">
      <c r="A131" s="977"/>
      <c r="B131" s="978"/>
      <c r="C131" s="1028" t="s">
        <v>70</v>
      </c>
      <c r="D131" s="980"/>
      <c r="E131" s="979"/>
      <c r="F131" s="979"/>
      <c r="G131" s="981"/>
      <c r="H131" s="205" t="s">
        <v>35</v>
      </c>
      <c r="I131" s="982">
        <f t="shared" ref="I131:J131" ca="1" si="68">I143</f>
        <v>10</v>
      </c>
      <c r="J131" s="982">
        <f t="shared" ca="1" si="68"/>
        <v>10</v>
      </c>
      <c r="K131" s="983">
        <f t="shared" ca="1" si="67"/>
        <v>100</v>
      </c>
      <c r="L131" s="984"/>
      <c r="M131" s="984"/>
      <c r="N131" s="984"/>
      <c r="O131" s="984"/>
      <c r="P131" s="984"/>
    </row>
    <row r="132" spans="1:26" ht="19.5">
      <c r="A132" s="985"/>
      <c r="B132" s="986"/>
      <c r="C132" s="987" t="s">
        <v>16</v>
      </c>
      <c r="D132" s="988" t="s">
        <v>17</v>
      </c>
      <c r="E132" s="986"/>
      <c r="F132" s="986"/>
      <c r="G132" s="989"/>
      <c r="H132" s="152" t="s">
        <v>12</v>
      </c>
      <c r="I132" s="990"/>
      <c r="J132" s="990"/>
      <c r="K132" s="991"/>
      <c r="L132" s="992">
        <f t="shared" ref="L132:N132" ca="1" si="69">L133+L134</f>
        <v>543555</v>
      </c>
      <c r="M132" s="992">
        <f t="shared" ca="1" si="69"/>
        <v>440850</v>
      </c>
      <c r="N132" s="992">
        <f t="shared" ca="1" si="69"/>
        <v>326741</v>
      </c>
      <c r="O132" s="992">
        <f t="shared" ref="O132:O140" ca="1" si="70">IF(L132&gt;0,N132*100/L132,0)</f>
        <v>60.111856205903727</v>
      </c>
      <c r="P132" s="992">
        <f t="shared" ref="P132:P140" ca="1" si="71">IF(M132&gt;0,N132*100/M132,0)</f>
        <v>74.116139276397874</v>
      </c>
      <c r="Q132" s="868"/>
      <c r="R132" s="868"/>
      <c r="S132" s="868"/>
      <c r="T132" s="868"/>
      <c r="U132" s="868"/>
      <c r="V132" s="868"/>
      <c r="W132" s="868"/>
      <c r="X132" s="868"/>
      <c r="Y132" s="868"/>
      <c r="Z132" s="868"/>
    </row>
    <row r="133" spans="1:26" ht="18.75" hidden="1">
      <c r="A133" s="993"/>
      <c r="B133" s="883"/>
      <c r="C133" s="883"/>
      <c r="D133" s="883"/>
      <c r="E133" s="884" t="s">
        <v>18</v>
      </c>
      <c r="F133" s="883"/>
      <c r="G133" s="994"/>
      <c r="H133" s="158" t="s">
        <v>12</v>
      </c>
      <c r="I133" s="886"/>
      <c r="J133" s="886"/>
      <c r="K133" s="887"/>
      <c r="L133" s="887">
        <f t="shared" ref="L133:N134" si="72">L136+L139</f>
        <v>0</v>
      </c>
      <c r="M133" s="887">
        <f t="shared" si="72"/>
        <v>0</v>
      </c>
      <c r="N133" s="887">
        <f t="shared" si="72"/>
        <v>0</v>
      </c>
      <c r="O133" s="887">
        <f t="shared" si="70"/>
        <v>0</v>
      </c>
      <c r="P133" s="887">
        <f t="shared" si="71"/>
        <v>0</v>
      </c>
      <c r="Q133" s="875"/>
      <c r="R133" s="875"/>
      <c r="S133" s="875"/>
      <c r="T133" s="875"/>
      <c r="U133" s="875"/>
      <c r="V133" s="875"/>
      <c r="W133" s="875"/>
      <c r="X133" s="875"/>
      <c r="Y133" s="875"/>
      <c r="Z133" s="875"/>
    </row>
    <row r="134" spans="1:26" ht="18.75" hidden="1">
      <c r="A134" s="993"/>
      <c r="B134" s="883"/>
      <c r="C134" s="883"/>
      <c r="D134" s="883"/>
      <c r="E134" s="884" t="s">
        <v>19</v>
      </c>
      <c r="F134" s="883"/>
      <c r="G134" s="994"/>
      <c r="H134" s="158" t="s">
        <v>12</v>
      </c>
      <c r="I134" s="886"/>
      <c r="J134" s="886"/>
      <c r="K134" s="887"/>
      <c r="L134" s="887">
        <f t="shared" ca="1" si="72"/>
        <v>543555</v>
      </c>
      <c r="M134" s="887">
        <f t="shared" ca="1" si="72"/>
        <v>440850</v>
      </c>
      <c r="N134" s="887">
        <f t="shared" ca="1" si="72"/>
        <v>326741</v>
      </c>
      <c r="O134" s="887">
        <f t="shared" ca="1" si="70"/>
        <v>60.111856205903727</v>
      </c>
      <c r="P134" s="887">
        <f t="shared" ca="1" si="71"/>
        <v>74.116139276397874</v>
      </c>
      <c r="Q134" s="875"/>
      <c r="R134" s="875"/>
      <c r="S134" s="875"/>
      <c r="T134" s="875"/>
      <c r="U134" s="875"/>
      <c r="V134" s="875"/>
      <c r="W134" s="875"/>
      <c r="X134" s="875"/>
      <c r="Y134" s="875"/>
      <c r="Z134" s="875"/>
    </row>
    <row r="135" spans="1:26" ht="18.75">
      <c r="A135" s="995"/>
      <c r="B135" s="877"/>
      <c r="C135" s="996"/>
      <c r="D135" s="878" t="s">
        <v>20</v>
      </c>
      <c r="E135" s="877"/>
      <c r="F135" s="877"/>
      <c r="G135" s="879"/>
      <c r="H135" s="161" t="s">
        <v>12</v>
      </c>
      <c r="I135" s="997"/>
      <c r="J135" s="997"/>
      <c r="K135" s="998"/>
      <c r="L135" s="881">
        <f t="shared" ref="L135:N135" ca="1" si="73">L136+L137</f>
        <v>440555</v>
      </c>
      <c r="M135" s="881">
        <f t="shared" ca="1" si="73"/>
        <v>337850</v>
      </c>
      <c r="N135" s="881">
        <f t="shared" ca="1" si="73"/>
        <v>223741</v>
      </c>
      <c r="O135" s="881">
        <f t="shared" ca="1" si="70"/>
        <v>50.786167447878242</v>
      </c>
      <c r="P135" s="881">
        <f t="shared" ca="1" si="71"/>
        <v>66.224951901731544</v>
      </c>
      <c r="Q135" s="868"/>
      <c r="R135" s="868"/>
      <c r="S135" s="868"/>
      <c r="T135" s="868"/>
      <c r="U135" s="868"/>
      <c r="V135" s="868"/>
      <c r="W135" s="868"/>
      <c r="X135" s="868"/>
      <c r="Y135" s="868"/>
      <c r="Z135" s="868"/>
    </row>
    <row r="136" spans="1:26" ht="19.5" hidden="1">
      <c r="A136" s="993"/>
      <c r="B136" s="883"/>
      <c r="C136" s="999"/>
      <c r="D136" s="883"/>
      <c r="E136" s="884" t="s">
        <v>36</v>
      </c>
      <c r="F136" s="883"/>
      <c r="G136" s="994"/>
      <c r="H136" s="165" t="s">
        <v>12</v>
      </c>
      <c r="I136" s="1000"/>
      <c r="J136" s="1000"/>
      <c r="K136" s="1001"/>
      <c r="L136" s="887">
        <v>0</v>
      </c>
      <c r="M136" s="887">
        <v>0</v>
      </c>
      <c r="N136" s="887">
        <v>0</v>
      </c>
      <c r="O136" s="887">
        <f t="shared" si="70"/>
        <v>0</v>
      </c>
      <c r="P136" s="887">
        <f t="shared" si="71"/>
        <v>0</v>
      </c>
      <c r="Q136" s="875"/>
      <c r="R136" s="875"/>
      <c r="S136" s="875"/>
      <c r="T136" s="875"/>
      <c r="U136" s="875"/>
      <c r="V136" s="875"/>
      <c r="W136" s="875"/>
      <c r="X136" s="875"/>
      <c r="Y136" s="875"/>
      <c r="Z136" s="875"/>
    </row>
    <row r="137" spans="1:26" ht="19.5" hidden="1">
      <c r="A137" s="993"/>
      <c r="B137" s="883"/>
      <c r="C137" s="999"/>
      <c r="D137" s="883"/>
      <c r="E137" s="884" t="s">
        <v>37</v>
      </c>
      <c r="F137" s="883"/>
      <c r="G137" s="994"/>
      <c r="H137" s="165" t="s">
        <v>12</v>
      </c>
      <c r="I137" s="1000"/>
      <c r="J137" s="1000"/>
      <c r="K137" s="1001"/>
      <c r="L137" s="887">
        <f ca="1">IFERROR(__xludf.DUMMYFUNCTION("IMPORTRANGE(""https://docs.google.com/spreadsheets/d/1MeEWN-I1oV_STSDYn1IFDPWt_1FKiwhDph83XaGc0o0/edit?usp=sharing"",""งบพรบ!BK86"")"),440555)</f>
        <v>440555</v>
      </c>
      <c r="M137" s="887">
        <f ca="1">IFERROR(__xludf.DUMMYFUNCTION("IMPORTRANGE(""https://docs.google.com/spreadsheets/d/1MeEWN-I1oV_STSDYn1IFDPWt_1FKiwhDph83XaGc0o0/edit?usp=sharing"",""งบพรบ!BP86"")"),337850)</f>
        <v>337850</v>
      </c>
      <c r="N137" s="887">
        <f ca="1">IFERROR(__xludf.DUMMYFUNCTION("IMPORTRANGE(""https://docs.google.com/spreadsheets/d/1MeEWN-I1oV_STSDYn1IFDPWt_1FKiwhDph83XaGc0o0/edit?usp=sharing"",""งบพรบ!BR86"")"),223741)</f>
        <v>223741</v>
      </c>
      <c r="O137" s="887">
        <f t="shared" ca="1" si="70"/>
        <v>50.786167447878242</v>
      </c>
      <c r="P137" s="887">
        <f t="shared" ca="1" si="71"/>
        <v>66.224951901731544</v>
      </c>
      <c r="Q137" s="875"/>
      <c r="R137" s="875"/>
      <c r="S137" s="875"/>
      <c r="T137" s="875"/>
      <c r="U137" s="875"/>
      <c r="V137" s="875"/>
      <c r="W137" s="875"/>
      <c r="X137" s="875"/>
      <c r="Y137" s="875"/>
      <c r="Z137" s="875"/>
    </row>
    <row r="138" spans="1:26" ht="18.75">
      <c r="A138" s="995"/>
      <c r="B138" s="877"/>
      <c r="C138" s="996"/>
      <c r="D138" s="878" t="s">
        <v>21</v>
      </c>
      <c r="E138" s="877"/>
      <c r="F138" s="877"/>
      <c r="G138" s="879"/>
      <c r="H138" s="168" t="s">
        <v>12</v>
      </c>
      <c r="I138" s="997"/>
      <c r="J138" s="997"/>
      <c r="K138" s="998"/>
      <c r="L138" s="881">
        <f t="shared" ref="L138:N138" ca="1" si="74">L139+L140</f>
        <v>103000</v>
      </c>
      <c r="M138" s="881">
        <f t="shared" ca="1" si="74"/>
        <v>103000</v>
      </c>
      <c r="N138" s="881">
        <f t="shared" ca="1" si="74"/>
        <v>103000</v>
      </c>
      <c r="O138" s="881">
        <f t="shared" ca="1" si="70"/>
        <v>100</v>
      </c>
      <c r="P138" s="881">
        <f t="shared" ca="1" si="71"/>
        <v>100</v>
      </c>
      <c r="Q138" s="868"/>
      <c r="R138" s="868"/>
      <c r="S138" s="868"/>
      <c r="T138" s="868"/>
      <c r="U138" s="868"/>
      <c r="V138" s="868"/>
      <c r="W138" s="868"/>
      <c r="X138" s="868"/>
      <c r="Y138" s="868"/>
      <c r="Z138" s="868"/>
    </row>
    <row r="139" spans="1:26" ht="19.5" hidden="1">
      <c r="A139" s="993"/>
      <c r="B139" s="883"/>
      <c r="C139" s="999"/>
      <c r="D139" s="883"/>
      <c r="E139" s="884" t="s">
        <v>18</v>
      </c>
      <c r="F139" s="883"/>
      <c r="G139" s="994"/>
      <c r="H139" s="165" t="s">
        <v>12</v>
      </c>
      <c r="I139" s="1000"/>
      <c r="J139" s="1000"/>
      <c r="K139" s="1001"/>
      <c r="L139" s="887">
        <v>0</v>
      </c>
      <c r="M139" s="887">
        <v>0</v>
      </c>
      <c r="N139" s="887">
        <v>0</v>
      </c>
      <c r="O139" s="887">
        <f t="shared" si="70"/>
        <v>0</v>
      </c>
      <c r="P139" s="887">
        <f t="shared" si="71"/>
        <v>0</v>
      </c>
      <c r="Q139" s="875"/>
      <c r="R139" s="875"/>
      <c r="S139" s="875"/>
      <c r="T139" s="875"/>
      <c r="U139" s="875"/>
      <c r="V139" s="875"/>
      <c r="W139" s="875"/>
      <c r="X139" s="875"/>
      <c r="Y139" s="875"/>
      <c r="Z139" s="875"/>
    </row>
    <row r="140" spans="1:26" ht="19.5" hidden="1">
      <c r="A140" s="993"/>
      <c r="B140" s="883"/>
      <c r="C140" s="999"/>
      <c r="D140" s="883"/>
      <c r="E140" s="884" t="s">
        <v>19</v>
      </c>
      <c r="F140" s="883"/>
      <c r="G140" s="994"/>
      <c r="H140" s="169" t="s">
        <v>12</v>
      </c>
      <c r="I140" s="1000"/>
      <c r="J140" s="1000"/>
      <c r="K140" s="1001"/>
      <c r="L140" s="887">
        <f ca="1">IFERROR(__xludf.DUMMYFUNCTION("IMPORTRANGE(""https://docs.google.com/spreadsheets/d/1MeEWN-I1oV_STSDYn1IFDPWt_1FKiwhDph83XaGc0o0/edit?usp=sharing"",""งบพรบ!BN86"")"),103000)</f>
        <v>103000</v>
      </c>
      <c r="M140" s="887">
        <f ca="1">IFERROR(__xludf.DUMMYFUNCTION("IMPORTRANGE(""https://docs.google.com/spreadsheets/d/1MeEWN-I1oV_STSDYn1IFDPWt_1FKiwhDph83XaGc0o0/edit?usp=sharing"",""งบพรบ!BQ86"")"),103000)</f>
        <v>103000</v>
      </c>
      <c r="N140" s="887">
        <f ca="1">IFERROR(__xludf.DUMMYFUNCTION("IMPORTRANGE(""https://docs.google.com/spreadsheets/d/1MeEWN-I1oV_STSDYn1IFDPWt_1FKiwhDph83XaGc0o0/edit?usp=sharing"",""งบพรบ!BS86"")"),103000)</f>
        <v>103000</v>
      </c>
      <c r="O140" s="887">
        <f t="shared" ca="1" si="70"/>
        <v>100</v>
      </c>
      <c r="P140" s="887">
        <f t="shared" ca="1" si="71"/>
        <v>100</v>
      </c>
      <c r="Q140" s="875"/>
      <c r="R140" s="875"/>
      <c r="S140" s="875"/>
      <c r="T140" s="875"/>
      <c r="U140" s="875"/>
      <c r="V140" s="875"/>
      <c r="W140" s="875"/>
      <c r="X140" s="875"/>
      <c r="Y140" s="875"/>
      <c r="Z140" s="875"/>
    </row>
    <row r="141" spans="1:26" ht="19.5">
      <c r="A141" s="1002"/>
      <c r="B141" s="1003"/>
      <c r="C141" s="987" t="s">
        <v>16</v>
      </c>
      <c r="D141" s="1004" t="s">
        <v>38</v>
      </c>
      <c r="E141" s="1005"/>
      <c r="F141" s="1005"/>
      <c r="G141" s="1006"/>
      <c r="H141" s="168"/>
      <c r="I141" s="880"/>
      <c r="J141" s="880"/>
      <c r="K141" s="881"/>
      <c r="L141" s="881"/>
      <c r="M141" s="881"/>
      <c r="N141" s="881"/>
      <c r="O141" s="881"/>
      <c r="P141" s="881"/>
    </row>
    <row r="142" spans="1:26" ht="19.5">
      <c r="A142" s="995"/>
      <c r="B142" s="877"/>
      <c r="C142" s="1029"/>
      <c r="D142" s="996" t="s">
        <v>71</v>
      </c>
      <c r="E142" s="878"/>
      <c r="F142" s="877"/>
      <c r="G142" s="1030"/>
      <c r="H142" s="168"/>
      <c r="I142" s="880"/>
      <c r="J142" s="1012">
        <v>10</v>
      </c>
      <c r="K142" s="881"/>
      <c r="L142" s="881"/>
      <c r="M142" s="881"/>
      <c r="N142" s="881"/>
      <c r="O142" s="881"/>
      <c r="P142" s="881"/>
    </row>
    <row r="143" spans="1:26" ht="19.5">
      <c r="A143" s="995"/>
      <c r="B143" s="877"/>
      <c r="C143" s="1029"/>
      <c r="D143" s="996" t="s">
        <v>72</v>
      </c>
      <c r="E143" s="878"/>
      <c r="F143" s="877"/>
      <c r="G143" s="1030"/>
      <c r="H143" s="168" t="s">
        <v>35</v>
      </c>
      <c r="I143" s="880">
        <f ca="1">I145</f>
        <v>10</v>
      </c>
      <c r="J143" s="880">
        <f ca="1">IF(AND(J144&gt;=I144,J145&gt;=I145),J145,0)</f>
        <v>10</v>
      </c>
      <c r="K143" s="881">
        <f t="shared" ref="K143:K146" ca="1" si="75">IF(I143&gt;0,J143*100/I143,0)</f>
        <v>100</v>
      </c>
      <c r="L143" s="881"/>
      <c r="M143" s="881"/>
      <c r="N143" s="881"/>
      <c r="O143" s="881"/>
      <c r="P143" s="881"/>
    </row>
    <row r="144" spans="1:26" ht="19.5">
      <c r="A144" s="995"/>
      <c r="B144" s="877"/>
      <c r="C144" s="1029"/>
      <c r="D144" s="1010"/>
      <c r="E144" s="996" t="s">
        <v>73</v>
      </c>
      <c r="F144" s="877"/>
      <c r="G144" s="1030"/>
      <c r="H144" s="168" t="s">
        <v>35</v>
      </c>
      <c r="I144" s="880">
        <f ca="1">IFERROR(__xludf.DUMMYFUNCTION("IMPORTRANGE(""https://docs.google.com/spreadsheets/d/1QqKyyYR6Q21VydFLVH3TRQUabQu_ym0Zz7PgGX0-kHA/edit?usp=sharing"",""แผน!U86"")"),5)</f>
        <v>5</v>
      </c>
      <c r="J144" s="1012">
        <v>5</v>
      </c>
      <c r="K144" s="881">
        <f t="shared" ca="1" si="75"/>
        <v>100</v>
      </c>
      <c r="L144" s="881"/>
      <c r="M144" s="881"/>
      <c r="N144" s="881"/>
      <c r="O144" s="881"/>
      <c r="P144" s="881"/>
    </row>
    <row r="145" spans="1:26" ht="19.5">
      <c r="A145" s="995"/>
      <c r="B145" s="877"/>
      <c r="C145" s="1029"/>
      <c r="D145" s="1010"/>
      <c r="E145" s="996" t="s">
        <v>74</v>
      </c>
      <c r="F145" s="877"/>
      <c r="G145" s="1030"/>
      <c r="H145" s="168" t="s">
        <v>35</v>
      </c>
      <c r="I145" s="880">
        <f ca="1">IFERROR(__xludf.DUMMYFUNCTION("IMPORTRANGE(""https://docs.google.com/spreadsheets/d/1QqKyyYR6Q21VydFLVH3TRQUabQu_ym0Zz7PgGX0-kHA/edit?usp=sharing"",""แผน!V86"")"),10)</f>
        <v>10</v>
      </c>
      <c r="J145" s="1012">
        <v>10</v>
      </c>
      <c r="K145" s="881">
        <f t="shared" ca="1" si="75"/>
        <v>100</v>
      </c>
      <c r="L145" s="881"/>
      <c r="M145" s="881"/>
      <c r="N145" s="881"/>
      <c r="O145" s="881"/>
      <c r="P145" s="881"/>
    </row>
    <row r="146" spans="1:26" ht="19.5">
      <c r="A146" s="995"/>
      <c r="B146" s="877"/>
      <c r="C146" s="1029"/>
      <c r="D146" s="996" t="s">
        <v>75</v>
      </c>
      <c r="E146" s="878"/>
      <c r="F146" s="877"/>
      <c r="G146" s="1030"/>
      <c r="H146" s="168" t="s">
        <v>66</v>
      </c>
      <c r="I146" s="880">
        <f ca="1">IFERROR(__xludf.DUMMYFUNCTION("IMPORTRANGE(""https://docs.google.com/spreadsheets/d/1QqKyyYR6Q21VydFLVH3TRQUabQu_ym0Zz7PgGX0-kHA/edit?usp=sharing"",""แผน!W86"")"),1)</f>
        <v>1</v>
      </c>
      <c r="J146" s="1012">
        <v>1</v>
      </c>
      <c r="K146" s="881">
        <f t="shared" ca="1" si="75"/>
        <v>100</v>
      </c>
      <c r="L146" s="881"/>
      <c r="M146" s="881"/>
      <c r="N146" s="881"/>
      <c r="O146" s="881"/>
      <c r="P146" s="881"/>
    </row>
    <row r="147" spans="1:26" ht="19.5" hidden="1">
      <c r="A147" s="970" t="s">
        <v>76</v>
      </c>
      <c r="B147" s="971"/>
      <c r="C147" s="1022"/>
      <c r="D147" s="971"/>
      <c r="E147" s="971"/>
      <c r="F147" s="971"/>
      <c r="G147" s="971"/>
      <c r="H147" s="1023"/>
      <c r="I147" s="1024"/>
      <c r="J147" s="1024"/>
      <c r="K147" s="1025"/>
      <c r="L147" s="976"/>
      <c r="M147" s="976"/>
      <c r="N147" s="976"/>
      <c r="O147" s="976"/>
      <c r="P147" s="976"/>
    </row>
    <row r="148" spans="1:26" ht="19.5" hidden="1">
      <c r="A148" s="1031"/>
      <c r="B148" s="978" t="s">
        <v>77</v>
      </c>
      <c r="C148" s="978"/>
      <c r="D148" s="978"/>
      <c r="E148" s="1032"/>
      <c r="F148" s="1033"/>
      <c r="G148" s="1034"/>
      <c r="H148" s="221" t="s">
        <v>35</v>
      </c>
      <c r="I148" s="982">
        <f t="shared" ref="I148:J148" ca="1" si="76">I159</f>
        <v>0</v>
      </c>
      <c r="J148" s="982">
        <f t="shared" si="76"/>
        <v>0</v>
      </c>
      <c r="K148" s="983">
        <f ca="1">IF(I148&gt;0,J148*100/I148,0)</f>
        <v>0</v>
      </c>
      <c r="L148" s="983"/>
      <c r="M148" s="983"/>
      <c r="N148" s="983"/>
      <c r="O148" s="983"/>
      <c r="P148" s="98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85"/>
      <c r="B149" s="986"/>
      <c r="C149" s="987" t="s">
        <v>16</v>
      </c>
      <c r="D149" s="988" t="s">
        <v>17</v>
      </c>
      <c r="E149" s="986"/>
      <c r="F149" s="986"/>
      <c r="G149" s="989"/>
      <c r="H149" s="152" t="s">
        <v>12</v>
      </c>
      <c r="I149" s="990"/>
      <c r="J149" s="990"/>
      <c r="K149" s="991"/>
      <c r="L149" s="992">
        <f t="shared" ref="L149:N149" ca="1" si="77">L150+L151</f>
        <v>0</v>
      </c>
      <c r="M149" s="992">
        <f t="shared" ca="1" si="77"/>
        <v>0</v>
      </c>
      <c r="N149" s="992">
        <f t="shared" ca="1" si="77"/>
        <v>0</v>
      </c>
      <c r="O149" s="992">
        <f t="shared" ref="O149:O157" ca="1" si="78">IF(L149&gt;0,N149*100/L149,0)</f>
        <v>0</v>
      </c>
      <c r="P149" s="992">
        <f t="shared" ref="P149:P157" ca="1" si="79">IF(M149&gt;0,N149*100/M149,0)</f>
        <v>0</v>
      </c>
      <c r="Q149" s="868"/>
      <c r="R149" s="868"/>
      <c r="S149" s="868"/>
      <c r="T149" s="868"/>
      <c r="U149" s="868"/>
      <c r="V149" s="868"/>
      <c r="W149" s="868"/>
      <c r="X149" s="868"/>
      <c r="Y149" s="868"/>
      <c r="Z149" s="868"/>
    </row>
    <row r="150" spans="1:26" ht="18.75" hidden="1">
      <c r="A150" s="993"/>
      <c r="B150" s="883"/>
      <c r="C150" s="883"/>
      <c r="D150" s="883"/>
      <c r="E150" s="884" t="s">
        <v>18</v>
      </c>
      <c r="F150" s="883"/>
      <c r="G150" s="994"/>
      <c r="H150" s="158" t="s">
        <v>12</v>
      </c>
      <c r="I150" s="886"/>
      <c r="J150" s="886"/>
      <c r="K150" s="887"/>
      <c r="L150" s="887">
        <f t="shared" ref="L150:N151" si="80">L153+L156</f>
        <v>0</v>
      </c>
      <c r="M150" s="887">
        <f t="shared" si="80"/>
        <v>0</v>
      </c>
      <c r="N150" s="887">
        <f t="shared" si="80"/>
        <v>0</v>
      </c>
      <c r="O150" s="887">
        <f t="shared" si="78"/>
        <v>0</v>
      </c>
      <c r="P150" s="887">
        <f t="shared" si="79"/>
        <v>0</v>
      </c>
      <c r="Q150" s="875"/>
      <c r="R150" s="875"/>
      <c r="S150" s="875"/>
      <c r="T150" s="875"/>
      <c r="U150" s="875"/>
      <c r="V150" s="875"/>
      <c r="W150" s="875"/>
      <c r="X150" s="875"/>
      <c r="Y150" s="875"/>
      <c r="Z150" s="875"/>
    </row>
    <row r="151" spans="1:26" ht="18.75" hidden="1">
      <c r="A151" s="993"/>
      <c r="B151" s="883"/>
      <c r="C151" s="883"/>
      <c r="D151" s="883"/>
      <c r="E151" s="884" t="s">
        <v>19</v>
      </c>
      <c r="F151" s="883"/>
      <c r="G151" s="994"/>
      <c r="H151" s="158" t="s">
        <v>12</v>
      </c>
      <c r="I151" s="886"/>
      <c r="J151" s="886"/>
      <c r="K151" s="887"/>
      <c r="L151" s="887">
        <f t="shared" ca="1" si="80"/>
        <v>0</v>
      </c>
      <c r="M151" s="887">
        <f t="shared" ca="1" si="80"/>
        <v>0</v>
      </c>
      <c r="N151" s="887">
        <f t="shared" ca="1" si="80"/>
        <v>0</v>
      </c>
      <c r="O151" s="887">
        <f t="shared" ca="1" si="78"/>
        <v>0</v>
      </c>
      <c r="P151" s="887">
        <f t="shared" ca="1" si="79"/>
        <v>0</v>
      </c>
      <c r="Q151" s="875"/>
      <c r="R151" s="875"/>
      <c r="S151" s="875"/>
      <c r="T151" s="875"/>
      <c r="U151" s="875"/>
      <c r="V151" s="875"/>
      <c r="W151" s="875"/>
      <c r="X151" s="875"/>
      <c r="Y151" s="875"/>
      <c r="Z151" s="875"/>
    </row>
    <row r="152" spans="1:26" ht="18.75" hidden="1">
      <c r="A152" s="995"/>
      <c r="B152" s="877"/>
      <c r="C152" s="996"/>
      <c r="D152" s="878" t="s">
        <v>20</v>
      </c>
      <c r="E152" s="877"/>
      <c r="F152" s="877"/>
      <c r="G152" s="879"/>
      <c r="H152" s="161" t="s">
        <v>12</v>
      </c>
      <c r="I152" s="997"/>
      <c r="J152" s="997"/>
      <c r="K152" s="998"/>
      <c r="L152" s="881">
        <f t="shared" ref="L152:N152" ca="1" si="81">L153+L154</f>
        <v>0</v>
      </c>
      <c r="M152" s="881">
        <f t="shared" ca="1" si="81"/>
        <v>0</v>
      </c>
      <c r="N152" s="881">
        <f t="shared" ca="1" si="81"/>
        <v>0</v>
      </c>
      <c r="O152" s="881">
        <f t="shared" ca="1" si="78"/>
        <v>0</v>
      </c>
      <c r="P152" s="881">
        <f t="shared" ca="1" si="79"/>
        <v>0</v>
      </c>
      <c r="Q152" s="868"/>
      <c r="R152" s="868"/>
      <c r="S152" s="868"/>
      <c r="T152" s="868"/>
      <c r="U152" s="868"/>
      <c r="V152" s="868"/>
      <c r="W152" s="868"/>
      <c r="X152" s="868"/>
      <c r="Y152" s="868"/>
      <c r="Z152" s="868"/>
    </row>
    <row r="153" spans="1:26" ht="19.5" hidden="1">
      <c r="A153" s="993"/>
      <c r="B153" s="883"/>
      <c r="C153" s="999"/>
      <c r="D153" s="883"/>
      <c r="E153" s="884" t="s">
        <v>36</v>
      </c>
      <c r="F153" s="883"/>
      <c r="G153" s="994"/>
      <c r="H153" s="165" t="s">
        <v>12</v>
      </c>
      <c r="I153" s="1000"/>
      <c r="J153" s="1000"/>
      <c r="K153" s="1001"/>
      <c r="L153" s="887">
        <v>0</v>
      </c>
      <c r="M153" s="887">
        <v>0</v>
      </c>
      <c r="N153" s="887">
        <v>0</v>
      </c>
      <c r="O153" s="887">
        <f t="shared" si="78"/>
        <v>0</v>
      </c>
      <c r="P153" s="887">
        <f t="shared" si="79"/>
        <v>0</v>
      </c>
      <c r="Q153" s="875"/>
      <c r="R153" s="875"/>
      <c r="S153" s="875"/>
      <c r="T153" s="875"/>
      <c r="U153" s="875"/>
      <c r="V153" s="875"/>
      <c r="W153" s="875"/>
      <c r="X153" s="875"/>
      <c r="Y153" s="875"/>
      <c r="Z153" s="875"/>
    </row>
    <row r="154" spans="1:26" ht="19.5" hidden="1">
      <c r="A154" s="993"/>
      <c r="B154" s="883"/>
      <c r="C154" s="999"/>
      <c r="D154" s="883"/>
      <c r="E154" s="884" t="s">
        <v>37</v>
      </c>
      <c r="F154" s="883"/>
      <c r="G154" s="994"/>
      <c r="H154" s="165" t="s">
        <v>12</v>
      </c>
      <c r="I154" s="1000"/>
      <c r="J154" s="1000"/>
      <c r="K154" s="1001"/>
      <c r="L154" s="887">
        <f ca="1">IFERROR(__xludf.DUMMYFUNCTION("IMPORTRANGE(""https://docs.google.com/spreadsheets/d/1MeEWN-I1oV_STSDYn1IFDPWt_1FKiwhDph83XaGc0o0/edit?usp=sharing"",""งบพรบ!BU86"")"),0)</f>
        <v>0</v>
      </c>
      <c r="M154" s="887">
        <f ca="1">IFERROR(__xludf.DUMMYFUNCTION("IMPORTRANGE(""https://docs.google.com/spreadsheets/d/1MeEWN-I1oV_STSDYn1IFDPWt_1FKiwhDph83XaGc0o0/edit?usp=sharing"",""งบพรบ!BZ86"")"),0)</f>
        <v>0</v>
      </c>
      <c r="N154" s="887">
        <f ca="1">IFERROR(__xludf.DUMMYFUNCTION("IMPORTRANGE(""https://docs.google.com/spreadsheets/d/1MeEWN-I1oV_STSDYn1IFDPWt_1FKiwhDph83XaGc0o0/edit?usp=sharing"",""งบพรบ!CB86"")"),0)</f>
        <v>0</v>
      </c>
      <c r="O154" s="887">
        <f t="shared" ca="1" si="78"/>
        <v>0</v>
      </c>
      <c r="P154" s="887">
        <f t="shared" ca="1" si="79"/>
        <v>0</v>
      </c>
      <c r="Q154" s="875"/>
      <c r="R154" s="875"/>
      <c r="S154" s="875"/>
      <c r="T154" s="875"/>
      <c r="U154" s="875"/>
      <c r="V154" s="875"/>
      <c r="W154" s="875"/>
      <c r="X154" s="875"/>
      <c r="Y154" s="875"/>
      <c r="Z154" s="875"/>
    </row>
    <row r="155" spans="1:26" ht="18.75" hidden="1">
      <c r="A155" s="995"/>
      <c r="B155" s="877"/>
      <c r="C155" s="996"/>
      <c r="D155" s="878" t="s">
        <v>21</v>
      </c>
      <c r="E155" s="877"/>
      <c r="F155" s="877"/>
      <c r="G155" s="879"/>
      <c r="H155" s="168" t="s">
        <v>12</v>
      </c>
      <c r="I155" s="997"/>
      <c r="J155" s="997"/>
      <c r="K155" s="998"/>
      <c r="L155" s="881">
        <f t="shared" ref="L155:N155" ca="1" si="82">L156+L157</f>
        <v>0</v>
      </c>
      <c r="M155" s="881">
        <f t="shared" ca="1" si="82"/>
        <v>0</v>
      </c>
      <c r="N155" s="881">
        <f t="shared" ca="1" si="82"/>
        <v>0</v>
      </c>
      <c r="O155" s="881">
        <f t="shared" ca="1" si="78"/>
        <v>0</v>
      </c>
      <c r="P155" s="881">
        <f t="shared" ca="1" si="79"/>
        <v>0</v>
      </c>
      <c r="Q155" s="868"/>
      <c r="R155" s="868"/>
      <c r="S155" s="868"/>
      <c r="T155" s="868"/>
      <c r="U155" s="868"/>
      <c r="V155" s="868"/>
      <c r="W155" s="868"/>
      <c r="X155" s="868"/>
      <c r="Y155" s="868"/>
      <c r="Z155" s="868"/>
    </row>
    <row r="156" spans="1:26" ht="19.5" hidden="1">
      <c r="A156" s="993"/>
      <c r="B156" s="883"/>
      <c r="C156" s="999"/>
      <c r="D156" s="883"/>
      <c r="E156" s="884" t="s">
        <v>18</v>
      </c>
      <c r="F156" s="883"/>
      <c r="G156" s="994"/>
      <c r="H156" s="165" t="s">
        <v>12</v>
      </c>
      <c r="I156" s="1000"/>
      <c r="J156" s="1000"/>
      <c r="K156" s="1001"/>
      <c r="L156" s="887">
        <v>0</v>
      </c>
      <c r="M156" s="887">
        <v>0</v>
      </c>
      <c r="N156" s="887">
        <v>0</v>
      </c>
      <c r="O156" s="887">
        <f t="shared" si="78"/>
        <v>0</v>
      </c>
      <c r="P156" s="887">
        <f t="shared" si="79"/>
        <v>0</v>
      </c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</row>
    <row r="157" spans="1:26" ht="19.5" hidden="1">
      <c r="A157" s="993"/>
      <c r="B157" s="883"/>
      <c r="C157" s="999"/>
      <c r="D157" s="883"/>
      <c r="E157" s="884" t="s">
        <v>19</v>
      </c>
      <c r="F157" s="883"/>
      <c r="G157" s="994"/>
      <c r="H157" s="169" t="s">
        <v>12</v>
      </c>
      <c r="I157" s="1000"/>
      <c r="J157" s="1000"/>
      <c r="K157" s="1001"/>
      <c r="L157" s="887">
        <f ca="1">IFERROR(__xludf.DUMMYFUNCTION("IMPORTRANGE(""https://docs.google.com/spreadsheets/d/1MeEWN-I1oV_STSDYn1IFDPWt_1FKiwhDph83XaGc0o0/edit?usp=sharing"",""งบพรบ!BX86"")"),0)</f>
        <v>0</v>
      </c>
      <c r="M157" s="887">
        <f ca="1">IFERROR(__xludf.DUMMYFUNCTION("IMPORTRANGE(""https://docs.google.com/spreadsheets/d/1MeEWN-I1oV_STSDYn1IFDPWt_1FKiwhDph83XaGc0o0/edit?usp=sharing"",""งบพรบ!CA86"")"),0)</f>
        <v>0</v>
      </c>
      <c r="N157" s="887">
        <f ca="1">IFERROR(__xludf.DUMMYFUNCTION("IMPORTRANGE(""https://docs.google.com/spreadsheets/d/1MeEWN-I1oV_STSDYn1IFDPWt_1FKiwhDph83XaGc0o0/edit?usp=sharing"",""งบพรบ!CC86"")"),0)</f>
        <v>0</v>
      </c>
      <c r="O157" s="887">
        <f t="shared" ca="1" si="78"/>
        <v>0</v>
      </c>
      <c r="P157" s="887">
        <f t="shared" ca="1" si="79"/>
        <v>0</v>
      </c>
      <c r="Q157" s="875"/>
      <c r="R157" s="875"/>
      <c r="S157" s="875"/>
      <c r="T157" s="875"/>
      <c r="U157" s="875"/>
      <c r="V157" s="875"/>
      <c r="W157" s="875"/>
      <c r="X157" s="875"/>
      <c r="Y157" s="875"/>
      <c r="Z157" s="875"/>
    </row>
    <row r="158" spans="1:26" ht="19.5" hidden="1">
      <c r="A158" s="1002"/>
      <c r="B158" s="1003"/>
      <c r="C158" s="999" t="s">
        <v>16</v>
      </c>
      <c r="D158" s="1004" t="s">
        <v>38</v>
      </c>
      <c r="E158" s="1005"/>
      <c r="F158" s="1005"/>
      <c r="G158" s="1006"/>
      <c r="H158" s="168"/>
      <c r="I158" s="880"/>
      <c r="J158" s="880"/>
      <c r="K158" s="881"/>
      <c r="L158" s="881"/>
      <c r="M158" s="881"/>
      <c r="N158" s="881"/>
      <c r="O158" s="881"/>
      <c r="P158" s="881"/>
    </row>
    <row r="159" spans="1:26" ht="19.5" hidden="1">
      <c r="A159" s="995"/>
      <c r="B159" s="877"/>
      <c r="C159" s="1029"/>
      <c r="D159" s="996" t="s">
        <v>78</v>
      </c>
      <c r="E159" s="878"/>
      <c r="F159" s="877"/>
      <c r="G159" s="1030"/>
      <c r="H159" s="168" t="s">
        <v>35</v>
      </c>
      <c r="I159" s="880">
        <f ca="1">IFERROR(__xludf.DUMMYFUNCTION("IMPORTRANGE(""https://docs.google.com/spreadsheets/d/1QqKyyYR6Q21VydFLVH3TRQUabQu_ym0Zz7PgGX0-kHA/edit?usp=sharing"",""แผน!X86"")"),0)</f>
        <v>0</v>
      </c>
      <c r="J159" s="1012">
        <v>0</v>
      </c>
      <c r="K159" s="881">
        <f ca="1">IF(I159&gt;0,J159*100/I159,0)</f>
        <v>0</v>
      </c>
      <c r="L159" s="881"/>
      <c r="M159" s="881"/>
      <c r="N159" s="881"/>
      <c r="O159" s="881"/>
      <c r="P159" s="881"/>
    </row>
    <row r="160" spans="1:26" ht="19.5" hidden="1">
      <c r="A160" s="993"/>
      <c r="B160" s="883"/>
      <c r="C160" s="999"/>
      <c r="D160" s="884" t="s">
        <v>79</v>
      </c>
      <c r="E160" s="1035"/>
      <c r="F160" s="883"/>
      <c r="G160" s="994"/>
      <c r="H160" s="169" t="s">
        <v>35</v>
      </c>
      <c r="I160" s="886"/>
      <c r="J160" s="886"/>
      <c r="K160" s="887"/>
      <c r="L160" s="887"/>
      <c r="M160" s="887"/>
      <c r="N160" s="887"/>
      <c r="O160" s="887"/>
      <c r="P160" s="88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232" t="s">
        <v>35</v>
      </c>
      <c r="I161" s="1042"/>
      <c r="J161" s="1042"/>
      <c r="K161" s="1043"/>
      <c r="L161" s="1043"/>
      <c r="M161" s="1043"/>
      <c r="N161" s="1043"/>
      <c r="O161" s="1043"/>
      <c r="P161" s="104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44" t="s">
        <v>81</v>
      </c>
      <c r="B162" s="1045"/>
      <c r="C162" s="1045"/>
      <c r="D162" s="1045"/>
      <c r="E162" s="1046"/>
      <c r="F162" s="1046"/>
      <c r="G162" s="1047"/>
      <c r="H162" s="1048"/>
      <c r="I162" s="1049"/>
      <c r="J162" s="1049"/>
      <c r="K162" s="1050"/>
      <c r="L162" s="1050"/>
      <c r="M162" s="1050"/>
      <c r="N162" s="1050"/>
      <c r="O162" s="1050"/>
      <c r="P162" s="1050"/>
    </row>
    <row r="163" spans="1:26" ht="19.5">
      <c r="A163" s="1051" t="s">
        <v>82</v>
      </c>
      <c r="B163" s="1052"/>
      <c r="C163" s="1052"/>
      <c r="D163" s="1053"/>
      <c r="E163" s="1053"/>
      <c r="F163" s="1053"/>
      <c r="G163" s="1054"/>
      <c r="H163" s="1055"/>
      <c r="I163" s="1056"/>
      <c r="J163" s="1056"/>
      <c r="K163" s="1057"/>
      <c r="L163" s="1057"/>
      <c r="M163" s="1057"/>
      <c r="N163" s="1057"/>
      <c r="O163" s="1057"/>
      <c r="P163" s="1057"/>
    </row>
    <row r="164" spans="1:26" ht="19.5">
      <c r="A164" s="1058"/>
      <c r="B164" s="1059" t="s">
        <v>83</v>
      </c>
      <c r="C164" s="1060"/>
      <c r="D164" s="1005"/>
      <c r="E164" s="1005"/>
      <c r="F164" s="1005"/>
      <c r="G164" s="1006"/>
      <c r="H164" s="252" t="s">
        <v>35</v>
      </c>
      <c r="I164" s="1075">
        <f t="shared" ref="I164:J164" ca="1" si="83">I174+I177</f>
        <v>13</v>
      </c>
      <c r="J164" s="1075">
        <f t="shared" si="83"/>
        <v>13</v>
      </c>
      <c r="K164" s="1076">
        <f ca="1">IF(I164&gt;0,J164*100/I164,0)</f>
        <v>100</v>
      </c>
      <c r="L164" s="1062"/>
      <c r="M164" s="1062"/>
      <c r="N164" s="1062"/>
      <c r="O164" s="1062"/>
      <c r="P164" s="1062"/>
    </row>
    <row r="165" spans="1:26" ht="19.5">
      <c r="A165" s="985"/>
      <c r="B165" s="986"/>
      <c r="C165" s="987" t="s">
        <v>16</v>
      </c>
      <c r="D165" s="988" t="s">
        <v>17</v>
      </c>
      <c r="E165" s="986"/>
      <c r="F165" s="986"/>
      <c r="G165" s="989"/>
      <c r="H165" s="152" t="s">
        <v>12</v>
      </c>
      <c r="I165" s="990"/>
      <c r="J165" s="990"/>
      <c r="K165" s="991"/>
      <c r="L165" s="992">
        <f t="shared" ref="L165:N165" ca="1" si="84">L166+L167</f>
        <v>24065</v>
      </c>
      <c r="M165" s="992">
        <f t="shared" ca="1" si="84"/>
        <v>44625</v>
      </c>
      <c r="N165" s="992">
        <f t="shared" ca="1" si="84"/>
        <v>44235</v>
      </c>
      <c r="O165" s="992">
        <f t="shared" ref="O165:O173" ca="1" si="85">IF(L165&gt;0,N165*100/L165,0)</f>
        <v>183.81466860585914</v>
      </c>
      <c r="P165" s="992">
        <f t="shared" ref="P165:P173" ca="1" si="86">IF(M165&gt;0,N165*100/M165,0)</f>
        <v>99.12605042016807</v>
      </c>
      <c r="Q165" s="868"/>
      <c r="R165" s="868"/>
      <c r="S165" s="868"/>
      <c r="T165" s="868"/>
      <c r="U165" s="868"/>
      <c r="V165" s="868"/>
      <c r="W165" s="868"/>
      <c r="X165" s="868"/>
      <c r="Y165" s="868"/>
      <c r="Z165" s="868"/>
    </row>
    <row r="166" spans="1:26" ht="18.75" hidden="1">
      <c r="A166" s="993"/>
      <c r="B166" s="883"/>
      <c r="C166" s="883"/>
      <c r="D166" s="883"/>
      <c r="E166" s="884" t="s">
        <v>18</v>
      </c>
      <c r="F166" s="883"/>
      <c r="G166" s="994"/>
      <c r="H166" s="158" t="s">
        <v>12</v>
      </c>
      <c r="I166" s="886"/>
      <c r="J166" s="886"/>
      <c r="K166" s="887"/>
      <c r="L166" s="887">
        <f t="shared" ref="L166:N167" si="87">L169+L172</f>
        <v>0</v>
      </c>
      <c r="M166" s="887">
        <f t="shared" si="87"/>
        <v>0</v>
      </c>
      <c r="N166" s="887">
        <f t="shared" si="87"/>
        <v>0</v>
      </c>
      <c r="O166" s="887">
        <f t="shared" si="85"/>
        <v>0</v>
      </c>
      <c r="P166" s="887">
        <f t="shared" si="86"/>
        <v>0</v>
      </c>
      <c r="Q166" s="875"/>
      <c r="R166" s="875"/>
      <c r="S166" s="875"/>
      <c r="T166" s="875"/>
      <c r="U166" s="875"/>
      <c r="V166" s="875"/>
      <c r="W166" s="875"/>
      <c r="X166" s="875"/>
      <c r="Y166" s="875"/>
      <c r="Z166" s="875"/>
    </row>
    <row r="167" spans="1:26" ht="18.75" hidden="1">
      <c r="A167" s="993"/>
      <c r="B167" s="883"/>
      <c r="C167" s="883"/>
      <c r="D167" s="883"/>
      <c r="E167" s="884" t="s">
        <v>19</v>
      </c>
      <c r="F167" s="883"/>
      <c r="G167" s="994"/>
      <c r="H167" s="158" t="s">
        <v>12</v>
      </c>
      <c r="I167" s="886"/>
      <c r="J167" s="886"/>
      <c r="K167" s="887"/>
      <c r="L167" s="887">
        <f t="shared" ca="1" si="87"/>
        <v>24065</v>
      </c>
      <c r="M167" s="887">
        <f t="shared" ca="1" si="87"/>
        <v>44625</v>
      </c>
      <c r="N167" s="887">
        <f t="shared" ca="1" si="87"/>
        <v>44235</v>
      </c>
      <c r="O167" s="887">
        <f t="shared" ca="1" si="85"/>
        <v>183.81466860585914</v>
      </c>
      <c r="P167" s="887">
        <f t="shared" ca="1" si="86"/>
        <v>99.12605042016807</v>
      </c>
      <c r="Q167" s="875"/>
      <c r="R167" s="875"/>
      <c r="S167" s="875"/>
      <c r="T167" s="875"/>
      <c r="U167" s="875"/>
      <c r="V167" s="875"/>
      <c r="W167" s="875"/>
      <c r="X167" s="875"/>
      <c r="Y167" s="875"/>
      <c r="Z167" s="875"/>
    </row>
    <row r="168" spans="1:26" ht="18.75">
      <c r="A168" s="995"/>
      <c r="B168" s="877"/>
      <c r="C168" s="996"/>
      <c r="D168" s="878" t="s">
        <v>20</v>
      </c>
      <c r="E168" s="877"/>
      <c r="F168" s="877"/>
      <c r="G168" s="879"/>
      <c r="H168" s="161" t="s">
        <v>12</v>
      </c>
      <c r="I168" s="997"/>
      <c r="J168" s="997"/>
      <c r="K168" s="998"/>
      <c r="L168" s="881">
        <f t="shared" ref="L168:N168" ca="1" si="88">L169+L170</f>
        <v>24065</v>
      </c>
      <c r="M168" s="881">
        <f t="shared" ca="1" si="88"/>
        <v>44625</v>
      </c>
      <c r="N168" s="881">
        <f t="shared" ca="1" si="88"/>
        <v>44235</v>
      </c>
      <c r="O168" s="881">
        <f t="shared" ca="1" si="85"/>
        <v>183.81466860585914</v>
      </c>
      <c r="P168" s="881">
        <f t="shared" ca="1" si="86"/>
        <v>99.12605042016807</v>
      </c>
      <c r="Q168" s="868"/>
      <c r="R168" s="868"/>
      <c r="S168" s="868"/>
      <c r="T168" s="868"/>
      <c r="U168" s="868"/>
      <c r="V168" s="868"/>
      <c r="W168" s="868"/>
      <c r="X168" s="868"/>
      <c r="Y168" s="868"/>
      <c r="Z168" s="868"/>
    </row>
    <row r="169" spans="1:26" ht="19.5" hidden="1">
      <c r="A169" s="993"/>
      <c r="B169" s="883"/>
      <c r="C169" s="999"/>
      <c r="D169" s="883"/>
      <c r="E169" s="884" t="s">
        <v>36</v>
      </c>
      <c r="F169" s="883"/>
      <c r="G169" s="994"/>
      <c r="H169" s="165" t="s">
        <v>12</v>
      </c>
      <c r="I169" s="1000"/>
      <c r="J169" s="1000"/>
      <c r="K169" s="1001"/>
      <c r="L169" s="887">
        <v>0</v>
      </c>
      <c r="M169" s="887">
        <v>0</v>
      </c>
      <c r="N169" s="887">
        <v>0</v>
      </c>
      <c r="O169" s="887">
        <f t="shared" si="85"/>
        <v>0</v>
      </c>
      <c r="P169" s="887">
        <f t="shared" si="86"/>
        <v>0</v>
      </c>
      <c r="Q169" s="875"/>
      <c r="R169" s="875"/>
      <c r="S169" s="875"/>
      <c r="T169" s="875"/>
      <c r="U169" s="875"/>
      <c r="V169" s="875"/>
      <c r="W169" s="875"/>
      <c r="X169" s="875"/>
      <c r="Y169" s="875"/>
      <c r="Z169" s="875"/>
    </row>
    <row r="170" spans="1:26" ht="19.5" hidden="1">
      <c r="A170" s="993"/>
      <c r="B170" s="883"/>
      <c r="C170" s="999"/>
      <c r="D170" s="883"/>
      <c r="E170" s="884" t="s">
        <v>37</v>
      </c>
      <c r="F170" s="883"/>
      <c r="G170" s="994"/>
      <c r="H170" s="165" t="s">
        <v>12</v>
      </c>
      <c r="I170" s="1000"/>
      <c r="J170" s="1000"/>
      <c r="K170" s="1001"/>
      <c r="L170" s="887">
        <f ca="1">IFERROR(__xludf.DUMMYFUNCTION("IMPORTRANGE(""https://docs.google.com/spreadsheets/d/1MeEWN-I1oV_STSDYn1IFDPWt_1FKiwhDph83XaGc0o0/edit?usp=sharing"",""งบพรบ!CE86"")"),24065)</f>
        <v>24065</v>
      </c>
      <c r="M170" s="887">
        <f ca="1">IFERROR(__xludf.DUMMYFUNCTION("IMPORTRANGE(""https://docs.google.com/spreadsheets/d/1MeEWN-I1oV_STSDYn1IFDPWt_1FKiwhDph83XaGc0o0/edit?usp=sharing"",""งบพรบ!CJ86"")"),44625)</f>
        <v>44625</v>
      </c>
      <c r="N170" s="887">
        <f ca="1">IFERROR(__xludf.DUMMYFUNCTION("IMPORTRANGE(""https://docs.google.com/spreadsheets/d/1MeEWN-I1oV_STSDYn1IFDPWt_1FKiwhDph83XaGc0o0/edit?usp=sharing"",""งบพรบ!CL86"")"),44235)</f>
        <v>44235</v>
      </c>
      <c r="O170" s="887">
        <f t="shared" ca="1" si="85"/>
        <v>183.81466860585914</v>
      </c>
      <c r="P170" s="887">
        <f t="shared" ca="1" si="86"/>
        <v>99.12605042016807</v>
      </c>
      <c r="Q170" s="875"/>
      <c r="R170" s="875"/>
      <c r="S170" s="875"/>
      <c r="T170" s="875"/>
      <c r="U170" s="875"/>
      <c r="V170" s="875"/>
      <c r="W170" s="875"/>
      <c r="X170" s="875"/>
      <c r="Y170" s="875"/>
      <c r="Z170" s="875"/>
    </row>
    <row r="171" spans="1:26" ht="18.75">
      <c r="A171" s="995"/>
      <c r="B171" s="877"/>
      <c r="C171" s="996"/>
      <c r="D171" s="878" t="s">
        <v>21</v>
      </c>
      <c r="E171" s="877"/>
      <c r="F171" s="877"/>
      <c r="G171" s="879"/>
      <c r="H171" s="168" t="s">
        <v>12</v>
      </c>
      <c r="I171" s="997"/>
      <c r="J171" s="997"/>
      <c r="K171" s="998"/>
      <c r="L171" s="881">
        <f t="shared" ref="L171:N171" ca="1" si="89">L172+L173</f>
        <v>0</v>
      </c>
      <c r="M171" s="881">
        <f t="shared" ca="1" si="89"/>
        <v>0</v>
      </c>
      <c r="N171" s="881">
        <f t="shared" ca="1" si="89"/>
        <v>0</v>
      </c>
      <c r="O171" s="881">
        <f t="shared" ca="1" si="85"/>
        <v>0</v>
      </c>
      <c r="P171" s="881">
        <f t="shared" ca="1" si="86"/>
        <v>0</v>
      </c>
      <c r="Q171" s="868"/>
      <c r="R171" s="868"/>
      <c r="S171" s="868"/>
      <c r="T171" s="868"/>
      <c r="U171" s="868"/>
      <c r="V171" s="868"/>
      <c r="W171" s="868"/>
      <c r="X171" s="868"/>
      <c r="Y171" s="868"/>
      <c r="Z171" s="868"/>
    </row>
    <row r="172" spans="1:26" ht="19.5" hidden="1">
      <c r="A172" s="993"/>
      <c r="B172" s="883"/>
      <c r="C172" s="999"/>
      <c r="D172" s="883"/>
      <c r="E172" s="884" t="s">
        <v>18</v>
      </c>
      <c r="F172" s="883"/>
      <c r="G172" s="994"/>
      <c r="H172" s="165" t="s">
        <v>12</v>
      </c>
      <c r="I172" s="1000"/>
      <c r="J172" s="1000"/>
      <c r="K172" s="1001"/>
      <c r="L172" s="887">
        <v>0</v>
      </c>
      <c r="M172" s="887">
        <v>0</v>
      </c>
      <c r="N172" s="887">
        <v>0</v>
      </c>
      <c r="O172" s="887">
        <f t="shared" si="85"/>
        <v>0</v>
      </c>
      <c r="P172" s="887">
        <f t="shared" si="86"/>
        <v>0</v>
      </c>
      <c r="Q172" s="875"/>
      <c r="R172" s="875"/>
      <c r="S172" s="875"/>
      <c r="T172" s="875"/>
      <c r="U172" s="875"/>
      <c r="V172" s="875"/>
      <c r="W172" s="875"/>
      <c r="X172" s="875"/>
      <c r="Y172" s="875"/>
      <c r="Z172" s="875"/>
    </row>
    <row r="173" spans="1:26" ht="19.5" hidden="1">
      <c r="A173" s="993"/>
      <c r="B173" s="883"/>
      <c r="C173" s="999"/>
      <c r="D173" s="883"/>
      <c r="E173" s="884" t="s">
        <v>19</v>
      </c>
      <c r="F173" s="883"/>
      <c r="G173" s="994"/>
      <c r="H173" s="169" t="s">
        <v>12</v>
      </c>
      <c r="I173" s="1000"/>
      <c r="J173" s="1000"/>
      <c r="K173" s="1001"/>
      <c r="L173" s="887">
        <f ca="1">IFERROR(__xludf.DUMMYFUNCTION("IMPORTRANGE(""https://docs.google.com/spreadsheets/d/1MeEWN-I1oV_STSDYn1IFDPWt_1FKiwhDph83XaGc0o0/edit?usp=sharing"",""งบพรบ!CH86"")"),0)</f>
        <v>0</v>
      </c>
      <c r="M173" s="887">
        <f ca="1">IFERROR(__xludf.DUMMYFUNCTION("IMPORTRANGE(""https://docs.google.com/spreadsheets/d/1MeEWN-I1oV_STSDYn1IFDPWt_1FKiwhDph83XaGc0o0/edit?usp=sharing"",""งบพรบ!CK86"")"),0)</f>
        <v>0</v>
      </c>
      <c r="N173" s="887">
        <f ca="1">IFERROR(__xludf.DUMMYFUNCTION("IMPORTRANGE(""https://docs.google.com/spreadsheets/d/1MeEWN-I1oV_STSDYn1IFDPWt_1FKiwhDph83XaGc0o0/edit?usp=sharing"",""งบพรบ!CM86"")"),0)</f>
        <v>0</v>
      </c>
      <c r="O173" s="887">
        <f t="shared" ca="1" si="85"/>
        <v>0</v>
      </c>
      <c r="P173" s="887">
        <f t="shared" ca="1" si="86"/>
        <v>0</v>
      </c>
      <c r="Q173" s="875"/>
      <c r="R173" s="875"/>
      <c r="S173" s="875"/>
      <c r="T173" s="875"/>
      <c r="U173" s="875"/>
      <c r="V173" s="875"/>
      <c r="W173" s="875"/>
      <c r="X173" s="875"/>
      <c r="Y173" s="875"/>
      <c r="Z173" s="875"/>
    </row>
    <row r="174" spans="1:26" ht="19.5">
      <c r="A174" s="1063"/>
      <c r="B174" s="1064"/>
      <c r="C174" s="1065" t="s">
        <v>84</v>
      </c>
      <c r="D174" s="1064"/>
      <c r="E174" s="1064"/>
      <c r="F174" s="1064"/>
      <c r="G174" s="1066"/>
      <c r="H174" s="260" t="s">
        <v>35</v>
      </c>
      <c r="I174" s="1067">
        <f t="shared" ref="I174:J174" ca="1" si="90">I176</f>
        <v>13</v>
      </c>
      <c r="J174" s="1067">
        <f t="shared" si="90"/>
        <v>13</v>
      </c>
      <c r="K174" s="1068">
        <f ca="1">IF(I174&gt;0,J174*100/I174,0)</f>
        <v>100</v>
      </c>
      <c r="L174" s="1068"/>
      <c r="M174" s="1068"/>
      <c r="N174" s="1068"/>
      <c r="O174" s="1068"/>
      <c r="P174" s="1068"/>
    </row>
    <row r="175" spans="1:26" ht="19.5">
      <c r="A175" s="1002"/>
      <c r="B175" s="1003"/>
      <c r="C175" s="999" t="s">
        <v>16</v>
      </c>
      <c r="D175" s="1004" t="s">
        <v>38</v>
      </c>
      <c r="E175" s="1005"/>
      <c r="F175" s="1005"/>
      <c r="G175" s="1006"/>
      <c r="H175" s="1007"/>
      <c r="I175" s="997"/>
      <c r="J175" s="997"/>
      <c r="K175" s="998"/>
      <c r="L175" s="998"/>
      <c r="M175" s="998"/>
      <c r="N175" s="998"/>
      <c r="O175" s="998"/>
      <c r="P175" s="998"/>
    </row>
    <row r="176" spans="1:26" ht="18.75">
      <c r="A176" s="1002"/>
      <c r="B176" s="1003"/>
      <c r="C176" s="1003"/>
      <c r="D176" s="1069" t="s">
        <v>85</v>
      </c>
      <c r="E176" s="1010"/>
      <c r="F176" s="1010"/>
      <c r="G176" s="1011"/>
      <c r="H176" s="622" t="s">
        <v>35</v>
      </c>
      <c r="I176" s="880">
        <f ca="1">IFERROR(__xludf.DUMMYFUNCTION("IMPORTRANGE(""https://docs.google.com/spreadsheets/d/1QqKyyYR6Q21VydFLVH3TRQUabQu_ym0Zz7PgGX0-kHA/edit?usp=sharing"",""แผน!Y86"")"),13)</f>
        <v>13</v>
      </c>
      <c r="J176" s="1012">
        <v>13</v>
      </c>
      <c r="K176" s="998">
        <f ca="1">IF(I176&gt;0,J176*100/I176,0)</f>
        <v>100</v>
      </c>
      <c r="L176" s="998"/>
      <c r="M176" s="998"/>
      <c r="N176" s="998"/>
      <c r="O176" s="998"/>
      <c r="P176" s="998"/>
    </row>
    <row r="177" spans="1:26" ht="19.5" hidden="1">
      <c r="A177" s="1063"/>
      <c r="B177" s="1070"/>
      <c r="C177" s="1071" t="s">
        <v>86</v>
      </c>
      <c r="D177" s="1070"/>
      <c r="E177" s="1064"/>
      <c r="F177" s="1064"/>
      <c r="G177" s="1066"/>
      <c r="H177" s="266" t="s">
        <v>35</v>
      </c>
      <c r="I177" s="1067"/>
      <c r="J177" s="1067">
        <f>J179</f>
        <v>0</v>
      </c>
      <c r="K177" s="1068"/>
      <c r="L177" s="1068"/>
      <c r="M177" s="1068"/>
      <c r="N177" s="1068"/>
      <c r="O177" s="1068"/>
      <c r="P177" s="1068"/>
    </row>
    <row r="178" spans="1:26" ht="19.5" hidden="1">
      <c r="A178" s="1002"/>
      <c r="B178" s="1003"/>
      <c r="C178" s="999" t="s">
        <v>16</v>
      </c>
      <c r="D178" s="1072" t="s">
        <v>38</v>
      </c>
      <c r="E178" s="1005"/>
      <c r="F178" s="1005"/>
      <c r="G178" s="1006"/>
      <c r="H178" s="1007"/>
      <c r="I178" s="997"/>
      <c r="J178" s="997"/>
      <c r="K178" s="998"/>
      <c r="L178" s="998"/>
      <c r="M178" s="998"/>
      <c r="N178" s="998"/>
      <c r="O178" s="998"/>
      <c r="P178" s="998"/>
    </row>
    <row r="179" spans="1:26" ht="18.75" hidden="1">
      <c r="A179" s="1002"/>
      <c r="B179" s="1003"/>
      <c r="C179" s="1003"/>
      <c r="D179" s="1073" t="s">
        <v>87</v>
      </c>
      <c r="E179" s="1010"/>
      <c r="F179" s="1074"/>
      <c r="G179" s="1011"/>
      <c r="H179" s="43" t="s">
        <v>35</v>
      </c>
      <c r="I179" s="880"/>
      <c r="J179" s="880"/>
      <c r="K179" s="998"/>
      <c r="L179" s="998"/>
      <c r="M179" s="998"/>
      <c r="N179" s="998"/>
      <c r="O179" s="998"/>
      <c r="P179" s="998"/>
    </row>
    <row r="180" spans="1:26" ht="19.5">
      <c r="A180" s="1058"/>
      <c r="B180" s="1059" t="s">
        <v>88</v>
      </c>
      <c r="C180" s="1060"/>
      <c r="D180" s="1005"/>
      <c r="E180" s="1005"/>
      <c r="F180" s="1005"/>
      <c r="G180" s="1006"/>
      <c r="H180" s="252" t="s">
        <v>35</v>
      </c>
      <c r="I180" s="1075" t="e">
        <f t="shared" ref="I180:J180" ca="1" si="91">I225+I226</f>
        <v>#VALUE!</v>
      </c>
      <c r="J180" s="1075">
        <f t="shared" si="91"/>
        <v>0</v>
      </c>
      <c r="K180" s="1076" t="e">
        <f ca="1">IF(I180&gt;0,J180*100/I180,0)</f>
        <v>#VALUE!</v>
      </c>
      <c r="L180" s="1062"/>
      <c r="M180" s="1062"/>
      <c r="N180" s="1062"/>
      <c r="O180" s="1062"/>
      <c r="P180" s="1062"/>
    </row>
    <row r="181" spans="1:26" ht="19.5">
      <c r="A181" s="985"/>
      <c r="B181" s="986"/>
      <c r="C181" s="987" t="s">
        <v>16</v>
      </c>
      <c r="D181" s="988" t="s">
        <v>17</v>
      </c>
      <c r="E181" s="986"/>
      <c r="F181" s="986"/>
      <c r="G181" s="989"/>
      <c r="H181" s="152" t="s">
        <v>12</v>
      </c>
      <c r="I181" s="990"/>
      <c r="J181" s="990"/>
      <c r="K181" s="991"/>
      <c r="L181" s="992">
        <f t="shared" ref="L181:N181" ca="1" si="92">L182+L183</f>
        <v>176400</v>
      </c>
      <c r="M181" s="992">
        <f t="shared" ca="1" si="92"/>
        <v>170500</v>
      </c>
      <c r="N181" s="992">
        <f t="shared" ca="1" si="92"/>
        <v>104480</v>
      </c>
      <c r="O181" s="992">
        <f t="shared" ref="O181:O189" ca="1" si="93">IF(L181&gt;0,N181*100/L181,0)</f>
        <v>59.229024943310655</v>
      </c>
      <c r="P181" s="992">
        <f t="shared" ref="P181:P189" ca="1" si="94">IF(M181&gt;0,N181*100/M181,0)</f>
        <v>61.278592375366571</v>
      </c>
      <c r="Q181" s="868"/>
      <c r="R181" s="868"/>
      <c r="S181" s="868"/>
      <c r="T181" s="868"/>
      <c r="U181" s="868"/>
      <c r="V181" s="868"/>
      <c r="W181" s="868"/>
      <c r="X181" s="868"/>
      <c r="Y181" s="868"/>
      <c r="Z181" s="868"/>
    </row>
    <row r="182" spans="1:26" ht="18.75" hidden="1">
      <c r="A182" s="993"/>
      <c r="B182" s="883"/>
      <c r="C182" s="883"/>
      <c r="D182" s="883"/>
      <c r="E182" s="884" t="s">
        <v>18</v>
      </c>
      <c r="F182" s="883"/>
      <c r="G182" s="994"/>
      <c r="H182" s="158" t="s">
        <v>12</v>
      </c>
      <c r="I182" s="886"/>
      <c r="J182" s="886"/>
      <c r="K182" s="887"/>
      <c r="L182" s="887">
        <f t="shared" ref="L182:N183" si="95">L185+L188</f>
        <v>0</v>
      </c>
      <c r="M182" s="887">
        <f t="shared" si="95"/>
        <v>0</v>
      </c>
      <c r="N182" s="887">
        <f t="shared" si="95"/>
        <v>0</v>
      </c>
      <c r="O182" s="887">
        <f t="shared" si="93"/>
        <v>0</v>
      </c>
      <c r="P182" s="887">
        <f t="shared" si="94"/>
        <v>0</v>
      </c>
      <c r="Q182" s="875"/>
      <c r="R182" s="875"/>
      <c r="S182" s="875"/>
      <c r="T182" s="875"/>
      <c r="U182" s="875"/>
      <c r="V182" s="875"/>
      <c r="W182" s="875"/>
      <c r="X182" s="875"/>
      <c r="Y182" s="875"/>
      <c r="Z182" s="875"/>
    </row>
    <row r="183" spans="1:26" ht="18.75" hidden="1">
      <c r="A183" s="993"/>
      <c r="B183" s="883"/>
      <c r="C183" s="883"/>
      <c r="D183" s="883"/>
      <c r="E183" s="884" t="s">
        <v>19</v>
      </c>
      <c r="F183" s="883"/>
      <c r="G183" s="994"/>
      <c r="H183" s="158" t="s">
        <v>12</v>
      </c>
      <c r="I183" s="886"/>
      <c r="J183" s="886"/>
      <c r="K183" s="887"/>
      <c r="L183" s="887">
        <f t="shared" ca="1" si="95"/>
        <v>176400</v>
      </c>
      <c r="M183" s="887">
        <f t="shared" ca="1" si="95"/>
        <v>170500</v>
      </c>
      <c r="N183" s="887">
        <f t="shared" ca="1" si="95"/>
        <v>104480</v>
      </c>
      <c r="O183" s="887">
        <f t="shared" ca="1" si="93"/>
        <v>59.229024943310655</v>
      </c>
      <c r="P183" s="887">
        <f t="shared" ca="1" si="94"/>
        <v>61.278592375366571</v>
      </c>
      <c r="Q183" s="875"/>
      <c r="R183" s="875"/>
      <c r="S183" s="875"/>
      <c r="T183" s="875"/>
      <c r="U183" s="875"/>
      <c r="V183" s="875"/>
      <c r="W183" s="875"/>
      <c r="X183" s="875"/>
      <c r="Y183" s="875"/>
      <c r="Z183" s="875"/>
    </row>
    <row r="184" spans="1:26" ht="18.75">
      <c r="A184" s="995"/>
      <c r="B184" s="877"/>
      <c r="C184" s="996"/>
      <c r="D184" s="878" t="s">
        <v>20</v>
      </c>
      <c r="E184" s="877"/>
      <c r="F184" s="877"/>
      <c r="G184" s="879"/>
      <c r="H184" s="161" t="s">
        <v>12</v>
      </c>
      <c r="I184" s="997"/>
      <c r="J184" s="997"/>
      <c r="K184" s="998"/>
      <c r="L184" s="881">
        <f t="shared" ref="L184:N184" ca="1" si="96">L185+L186</f>
        <v>176400</v>
      </c>
      <c r="M184" s="881">
        <f t="shared" ca="1" si="96"/>
        <v>170500</v>
      </c>
      <c r="N184" s="881">
        <f t="shared" ca="1" si="96"/>
        <v>104480</v>
      </c>
      <c r="O184" s="881">
        <f t="shared" ca="1" si="93"/>
        <v>59.229024943310655</v>
      </c>
      <c r="P184" s="881">
        <f t="shared" ca="1" si="94"/>
        <v>61.278592375366571</v>
      </c>
      <c r="Q184" s="868"/>
      <c r="R184" s="868"/>
      <c r="S184" s="868"/>
      <c r="T184" s="868"/>
      <c r="U184" s="868"/>
      <c r="V184" s="868"/>
      <c r="W184" s="868"/>
      <c r="X184" s="868"/>
      <c r="Y184" s="868"/>
      <c r="Z184" s="868"/>
    </row>
    <row r="185" spans="1:26" ht="19.5" hidden="1">
      <c r="A185" s="993"/>
      <c r="B185" s="883"/>
      <c r="C185" s="999"/>
      <c r="D185" s="883"/>
      <c r="E185" s="884" t="s">
        <v>36</v>
      </c>
      <c r="F185" s="883"/>
      <c r="G185" s="994"/>
      <c r="H185" s="165" t="s">
        <v>12</v>
      </c>
      <c r="I185" s="1000"/>
      <c r="J185" s="1000"/>
      <c r="K185" s="1001"/>
      <c r="L185" s="887">
        <v>0</v>
      </c>
      <c r="M185" s="887">
        <v>0</v>
      </c>
      <c r="N185" s="887">
        <v>0</v>
      </c>
      <c r="O185" s="887">
        <f t="shared" si="93"/>
        <v>0</v>
      </c>
      <c r="P185" s="887">
        <f t="shared" si="94"/>
        <v>0</v>
      </c>
      <c r="Q185" s="875"/>
      <c r="R185" s="875"/>
      <c r="S185" s="875"/>
      <c r="T185" s="875"/>
      <c r="U185" s="875"/>
      <c r="V185" s="875"/>
      <c r="W185" s="875"/>
      <c r="X185" s="875"/>
      <c r="Y185" s="875"/>
      <c r="Z185" s="875"/>
    </row>
    <row r="186" spans="1:26" ht="19.5" hidden="1">
      <c r="A186" s="993"/>
      <c r="B186" s="883"/>
      <c r="C186" s="999"/>
      <c r="D186" s="883"/>
      <c r="E186" s="884" t="s">
        <v>37</v>
      </c>
      <c r="F186" s="883"/>
      <c r="G186" s="994"/>
      <c r="H186" s="165" t="s">
        <v>12</v>
      </c>
      <c r="I186" s="1000"/>
      <c r="J186" s="1000"/>
      <c r="K186" s="1001"/>
      <c r="L186" s="887">
        <f ca="1">IFERROR(__xludf.DUMMYFUNCTION("IMPORTRANGE(""https://docs.google.com/spreadsheets/d/1MeEWN-I1oV_STSDYn1IFDPWt_1FKiwhDph83XaGc0o0/edit?usp=sharing"",""งบพรบ!CO86"")"),176400)</f>
        <v>176400</v>
      </c>
      <c r="M186" s="887">
        <f ca="1">IFERROR(__xludf.DUMMYFUNCTION("IMPORTRANGE(""https://docs.google.com/spreadsheets/d/1MeEWN-I1oV_STSDYn1IFDPWt_1FKiwhDph83XaGc0o0/edit?usp=sharing"",""งบพรบ!CT86"")"),170500)</f>
        <v>170500</v>
      </c>
      <c r="N186" s="887">
        <f ca="1">IFERROR(__xludf.DUMMYFUNCTION("IMPORTRANGE(""https://docs.google.com/spreadsheets/d/1MeEWN-I1oV_STSDYn1IFDPWt_1FKiwhDph83XaGc0o0/edit?usp=sharing"",""งบพรบ!CV86"")"),104480)</f>
        <v>104480</v>
      </c>
      <c r="O186" s="887">
        <f t="shared" ca="1" si="93"/>
        <v>59.229024943310655</v>
      </c>
      <c r="P186" s="887">
        <f t="shared" ca="1" si="94"/>
        <v>61.278592375366571</v>
      </c>
      <c r="Q186" s="875"/>
      <c r="R186" s="875"/>
      <c r="S186" s="875"/>
      <c r="T186" s="875"/>
      <c r="U186" s="875"/>
      <c r="V186" s="875"/>
      <c r="W186" s="875"/>
      <c r="X186" s="875"/>
      <c r="Y186" s="875"/>
      <c r="Z186" s="875"/>
    </row>
    <row r="187" spans="1:26" ht="18.75">
      <c r="A187" s="995"/>
      <c r="B187" s="877"/>
      <c r="C187" s="996"/>
      <c r="D187" s="878" t="s">
        <v>21</v>
      </c>
      <c r="E187" s="877"/>
      <c r="F187" s="877"/>
      <c r="G187" s="879"/>
      <c r="H187" s="168" t="s">
        <v>12</v>
      </c>
      <c r="I187" s="997"/>
      <c r="J187" s="997"/>
      <c r="K187" s="998"/>
      <c r="L187" s="881">
        <f t="shared" ref="L187:N187" ca="1" si="97">L188+L189</f>
        <v>0</v>
      </c>
      <c r="M187" s="881">
        <f t="shared" ca="1" si="97"/>
        <v>0</v>
      </c>
      <c r="N187" s="881">
        <f t="shared" ca="1" si="97"/>
        <v>0</v>
      </c>
      <c r="O187" s="881">
        <f t="shared" ca="1" si="93"/>
        <v>0</v>
      </c>
      <c r="P187" s="881">
        <f t="shared" ca="1" si="94"/>
        <v>0</v>
      </c>
      <c r="Q187" s="868"/>
      <c r="R187" s="868"/>
      <c r="S187" s="868"/>
      <c r="T187" s="868"/>
      <c r="U187" s="868"/>
      <c r="V187" s="868"/>
      <c r="W187" s="868"/>
      <c r="X187" s="868"/>
      <c r="Y187" s="868"/>
      <c r="Z187" s="868"/>
    </row>
    <row r="188" spans="1:26" ht="19.5" hidden="1">
      <c r="A188" s="993"/>
      <c r="B188" s="883"/>
      <c r="C188" s="999"/>
      <c r="D188" s="883"/>
      <c r="E188" s="884" t="s">
        <v>18</v>
      </c>
      <c r="F188" s="883"/>
      <c r="G188" s="994"/>
      <c r="H188" s="165" t="s">
        <v>12</v>
      </c>
      <c r="I188" s="1000"/>
      <c r="J188" s="1000"/>
      <c r="K188" s="1001"/>
      <c r="L188" s="887">
        <v>0</v>
      </c>
      <c r="M188" s="887">
        <v>0</v>
      </c>
      <c r="N188" s="887">
        <v>0</v>
      </c>
      <c r="O188" s="887">
        <f t="shared" si="93"/>
        <v>0</v>
      </c>
      <c r="P188" s="887">
        <f t="shared" si="94"/>
        <v>0</v>
      </c>
      <c r="Q188" s="875"/>
      <c r="R188" s="875"/>
      <c r="S188" s="875"/>
      <c r="T188" s="875"/>
      <c r="U188" s="875"/>
      <c r="V188" s="875"/>
      <c r="W188" s="875"/>
      <c r="X188" s="875"/>
      <c r="Y188" s="875"/>
      <c r="Z188" s="875"/>
    </row>
    <row r="189" spans="1:26" ht="19.5" hidden="1">
      <c r="A189" s="993"/>
      <c r="B189" s="883"/>
      <c r="C189" s="999"/>
      <c r="D189" s="883"/>
      <c r="E189" s="884" t="s">
        <v>19</v>
      </c>
      <c r="F189" s="883"/>
      <c r="G189" s="994"/>
      <c r="H189" s="169" t="s">
        <v>12</v>
      </c>
      <c r="I189" s="1000"/>
      <c r="J189" s="1000"/>
      <c r="K189" s="1001"/>
      <c r="L189" s="887">
        <f ca="1">IFERROR(__xludf.DUMMYFUNCTION("IMPORTRANGE(""https://docs.google.com/spreadsheets/d/1MeEWN-I1oV_STSDYn1IFDPWt_1FKiwhDph83XaGc0o0/edit?usp=sharing"",""งบพรบ!CR86"")"),0)</f>
        <v>0</v>
      </c>
      <c r="M189" s="887">
        <f ca="1">IFERROR(__xludf.DUMMYFUNCTION("IMPORTRANGE(""https://docs.google.com/spreadsheets/d/1MeEWN-I1oV_STSDYn1IFDPWt_1FKiwhDph83XaGc0o0/edit?usp=sharing"",""งบพรบ!CU86"")"),0)</f>
        <v>0</v>
      </c>
      <c r="N189" s="887">
        <f ca="1">IFERROR(__xludf.DUMMYFUNCTION("IMPORTRANGE(""https://docs.google.com/spreadsheets/d/1MeEWN-I1oV_STSDYn1IFDPWt_1FKiwhDph83XaGc0o0/edit?usp=sharing"",""งบพรบ!CW86"")"),0)</f>
        <v>0</v>
      </c>
      <c r="O189" s="887">
        <f t="shared" ca="1" si="93"/>
        <v>0</v>
      </c>
      <c r="P189" s="887">
        <f t="shared" ca="1" si="94"/>
        <v>0</v>
      </c>
      <c r="Q189" s="875"/>
      <c r="R189" s="875"/>
      <c r="S189" s="875"/>
      <c r="T189" s="875"/>
      <c r="U189" s="875"/>
      <c r="V189" s="875"/>
      <c r="W189" s="875"/>
      <c r="X189" s="875"/>
      <c r="Y189" s="875"/>
      <c r="Z189" s="875"/>
    </row>
    <row r="190" spans="1:26" ht="19.5">
      <c r="A190" s="1063"/>
      <c r="B190" s="1070"/>
      <c r="C190" s="1077" t="s">
        <v>89</v>
      </c>
      <c r="D190" s="1064"/>
      <c r="E190" s="1064"/>
      <c r="F190" s="1064"/>
      <c r="G190" s="1066"/>
      <c r="H190" s="260" t="s">
        <v>90</v>
      </c>
      <c r="I190" s="1078">
        <f t="shared" ref="I190:J190" ca="1" si="98">I193</f>
        <v>4</v>
      </c>
      <c r="J190" s="1078">
        <f t="shared" si="98"/>
        <v>2</v>
      </c>
      <c r="K190" s="1079">
        <f ca="1">IF(I190&gt;0,J190*100/I190,0)</f>
        <v>50</v>
      </c>
      <c r="L190" s="1068"/>
      <c r="M190" s="1068"/>
      <c r="N190" s="1068"/>
      <c r="O190" s="1068"/>
      <c r="P190" s="1068"/>
    </row>
    <row r="191" spans="1:26" ht="19.5">
      <c r="A191" s="985"/>
      <c r="B191" s="986"/>
      <c r="C191" s="987" t="s">
        <v>16</v>
      </c>
      <c r="D191" s="1080" t="s">
        <v>17</v>
      </c>
      <c r="E191" s="986"/>
      <c r="F191" s="986"/>
      <c r="G191" s="989"/>
      <c r="H191" s="275" t="s">
        <v>12</v>
      </c>
      <c r="I191" s="990"/>
      <c r="J191" s="990"/>
      <c r="K191" s="991"/>
      <c r="L191" s="992">
        <f ca="1">IFERROR(__xludf.DUMMYFUNCTION("IMPORTRANGE(""https://docs.google.com/spreadsheets/d/1QqKyyYR6Q21VydFLVH3TRQUabQu_ym0Zz7PgGX0-kHA/edit?usp=sharing"",""แผน!Z86"")"),6000)</f>
        <v>6000</v>
      </c>
      <c r="M191" s="992"/>
      <c r="N191" s="1081">
        <v>2980</v>
      </c>
      <c r="O191" s="992">
        <f ca="1">IF(L191&gt;0,N191*100/L191,0)</f>
        <v>49.666666666666664</v>
      </c>
      <c r="P191" s="992">
        <f>IF(M191&gt;0,N191*100/M191,0)</f>
        <v>0</v>
      </c>
      <c r="Q191" s="868"/>
      <c r="R191" s="868"/>
      <c r="S191" s="868"/>
      <c r="T191" s="868"/>
      <c r="U191" s="868"/>
      <c r="V191" s="868"/>
      <c r="W191" s="868"/>
      <c r="X191" s="868"/>
      <c r="Y191" s="868"/>
      <c r="Z191" s="868"/>
    </row>
    <row r="192" spans="1:26" ht="19.5">
      <c r="A192" s="1002"/>
      <c r="B192" s="1003"/>
      <c r="C192" s="1029" t="s">
        <v>16</v>
      </c>
      <c r="D192" s="1004" t="s">
        <v>38</v>
      </c>
      <c r="E192" s="1005"/>
      <c r="F192" s="1005"/>
      <c r="G192" s="1006"/>
      <c r="H192" s="1007"/>
      <c r="I192" s="880"/>
      <c r="J192" s="880"/>
      <c r="K192" s="881"/>
      <c r="L192" s="881"/>
      <c r="M192" s="881"/>
      <c r="N192" s="881"/>
      <c r="O192" s="881"/>
      <c r="P192" s="881"/>
      <c r="Q192" s="868"/>
      <c r="R192" s="868"/>
      <c r="S192" s="868"/>
      <c r="T192" s="868"/>
      <c r="U192" s="868"/>
      <c r="V192" s="868"/>
      <c r="W192" s="868"/>
      <c r="X192" s="868"/>
      <c r="Y192" s="868"/>
      <c r="Z192" s="868"/>
    </row>
    <row r="193" spans="1:26" ht="18.75">
      <c r="A193" s="1002"/>
      <c r="B193" s="1003"/>
      <c r="C193" s="1003"/>
      <c r="D193" s="1009" t="s">
        <v>91</v>
      </c>
      <c r="E193" s="1010"/>
      <c r="F193" s="1010"/>
      <c r="G193" s="1011"/>
      <c r="H193" s="762" t="s">
        <v>90</v>
      </c>
      <c r="I193" s="880">
        <f ca="1">IFERROR(__xludf.DUMMYFUNCTION("IMPORTRANGE(""https://docs.google.com/spreadsheets/d/1QqKyyYR6Q21VydFLVH3TRQUabQu_ym0Zz7PgGX0-kHA/edit?usp=sharing"",""แผน!AC86"")"),4)</f>
        <v>4</v>
      </c>
      <c r="J193" s="1012">
        <v>2</v>
      </c>
      <c r="K193" s="881">
        <f ca="1">IF(I193&gt;0,J193*100/I193,0)</f>
        <v>50</v>
      </c>
      <c r="L193" s="881"/>
      <c r="M193" s="881"/>
      <c r="N193" s="881"/>
      <c r="O193" s="881"/>
      <c r="P193" s="881"/>
      <c r="Q193" s="868"/>
      <c r="R193" s="868"/>
      <c r="S193" s="868"/>
      <c r="T193" s="868"/>
      <c r="U193" s="868"/>
      <c r="V193" s="868"/>
      <c r="W193" s="868"/>
      <c r="X193" s="868"/>
      <c r="Y193" s="868"/>
      <c r="Z193" s="868"/>
    </row>
    <row r="194" spans="1:26" ht="18.75">
      <c r="A194" s="1002"/>
      <c r="B194" s="1003"/>
      <c r="C194" s="1003"/>
      <c r="D194" s="1009" t="s">
        <v>92</v>
      </c>
      <c r="E194" s="1010"/>
      <c r="F194" s="1010"/>
      <c r="G194" s="1011"/>
      <c r="H194" s="277" t="s">
        <v>35</v>
      </c>
      <c r="I194" s="880"/>
      <c r="J194" s="880">
        <f>J195+J196</f>
        <v>156</v>
      </c>
      <c r="K194" s="881"/>
      <c r="L194" s="881"/>
      <c r="M194" s="881"/>
      <c r="N194" s="881"/>
      <c r="O194" s="881"/>
      <c r="P194" s="881"/>
      <c r="Q194" s="868"/>
      <c r="R194" s="868"/>
      <c r="S194" s="868"/>
      <c r="T194" s="868"/>
      <c r="U194" s="868"/>
      <c r="V194" s="868"/>
      <c r="W194" s="868"/>
      <c r="X194" s="868"/>
      <c r="Y194" s="868"/>
      <c r="Z194" s="868"/>
    </row>
    <row r="195" spans="1:26" ht="18.75">
      <c r="A195" s="1002"/>
      <c r="B195" s="1003"/>
      <c r="C195" s="1003"/>
      <c r="D195" s="1003"/>
      <c r="E195" s="1009" t="s">
        <v>93</v>
      </c>
      <c r="F195" s="1010"/>
      <c r="G195" s="1011"/>
      <c r="H195" s="277" t="s">
        <v>35</v>
      </c>
      <c r="I195" s="880"/>
      <c r="J195" s="1012">
        <v>156</v>
      </c>
      <c r="K195" s="881"/>
      <c r="L195" s="881"/>
      <c r="M195" s="881"/>
      <c r="N195" s="881"/>
      <c r="O195" s="881"/>
      <c r="P195" s="881"/>
      <c r="Q195" s="868"/>
      <c r="R195" s="868"/>
      <c r="S195" s="868"/>
      <c r="T195" s="868"/>
      <c r="U195" s="868"/>
      <c r="V195" s="868"/>
      <c r="W195" s="868"/>
      <c r="X195" s="868"/>
      <c r="Y195" s="868"/>
      <c r="Z195" s="868"/>
    </row>
    <row r="196" spans="1:26" ht="18.75">
      <c r="A196" s="1002"/>
      <c r="B196" s="1003"/>
      <c r="C196" s="1003"/>
      <c r="D196" s="1003"/>
      <c r="E196" s="1009" t="s">
        <v>94</v>
      </c>
      <c r="F196" s="1010"/>
      <c r="G196" s="1011"/>
      <c r="H196" s="277" t="s">
        <v>35</v>
      </c>
      <c r="I196" s="880"/>
      <c r="J196" s="1012">
        <v>0</v>
      </c>
      <c r="K196" s="881"/>
      <c r="L196" s="881"/>
      <c r="M196" s="881"/>
      <c r="N196" s="881"/>
      <c r="O196" s="881"/>
      <c r="P196" s="881"/>
      <c r="Q196" s="868"/>
      <c r="R196" s="868"/>
      <c r="S196" s="868"/>
      <c r="T196" s="868"/>
      <c r="U196" s="868"/>
      <c r="V196" s="868"/>
      <c r="W196" s="868"/>
      <c r="X196" s="868"/>
      <c r="Y196" s="868"/>
      <c r="Z196" s="868"/>
    </row>
    <row r="197" spans="1:26" ht="19.5">
      <c r="A197" s="1063"/>
      <c r="B197" s="1070"/>
      <c r="C197" s="1077" t="s">
        <v>95</v>
      </c>
      <c r="D197" s="1064"/>
      <c r="E197" s="1064"/>
      <c r="F197" s="1064"/>
      <c r="G197" s="1066"/>
      <c r="H197" s="278" t="s">
        <v>96</v>
      </c>
      <c r="I197" s="1078">
        <f t="shared" ref="I197:J197" ca="1" si="99">I204</f>
        <v>5</v>
      </c>
      <c r="J197" s="1078">
        <f t="shared" si="99"/>
        <v>5</v>
      </c>
      <c r="K197" s="1079">
        <f ca="1">IF(I197&gt;0,J197*100/I197,0)</f>
        <v>100</v>
      </c>
      <c r="L197" s="1068"/>
      <c r="M197" s="1068"/>
      <c r="N197" s="1068"/>
      <c r="O197" s="1068"/>
      <c r="P197" s="1068"/>
    </row>
    <row r="198" spans="1:26" ht="19.5">
      <c r="A198" s="985"/>
      <c r="B198" s="986"/>
      <c r="C198" s="987" t="s">
        <v>16</v>
      </c>
      <c r="D198" s="1080" t="s">
        <v>17</v>
      </c>
      <c r="E198" s="986"/>
      <c r="F198" s="986"/>
      <c r="G198" s="989"/>
      <c r="H198" s="275" t="s">
        <v>12</v>
      </c>
      <c r="I198" s="1082"/>
      <c r="J198" s="1082"/>
      <c r="K198" s="1083"/>
      <c r="L198" s="992">
        <f ca="1">L199+L200+L201+L202</f>
        <v>65000</v>
      </c>
      <c r="M198" s="992"/>
      <c r="N198" s="992">
        <f>N199+N200+N201+N202</f>
        <v>45000</v>
      </c>
      <c r="O198" s="992">
        <f ca="1">IF(L198&gt;0,N198*100/L198,0)</f>
        <v>69.230769230769226</v>
      </c>
      <c r="P198" s="992">
        <f>IF(M198&gt;0,N198*100/M198,0)</f>
        <v>0</v>
      </c>
      <c r="Q198" s="868"/>
      <c r="R198" s="868"/>
      <c r="S198" s="868"/>
      <c r="T198" s="868"/>
      <c r="U198" s="868"/>
      <c r="V198" s="868"/>
      <c r="W198" s="868"/>
      <c r="X198" s="868"/>
      <c r="Y198" s="868"/>
      <c r="Z198" s="868"/>
    </row>
    <row r="199" spans="1:26" ht="18.75">
      <c r="A199" s="995"/>
      <c r="B199" s="1084"/>
      <c r="C199" s="877"/>
      <c r="D199" s="996" t="s">
        <v>97</v>
      </c>
      <c r="E199" s="877"/>
      <c r="F199" s="877"/>
      <c r="G199" s="879"/>
      <c r="H199" s="161" t="s">
        <v>12</v>
      </c>
      <c r="I199" s="997"/>
      <c r="J199" s="997"/>
      <c r="K199" s="998"/>
      <c r="L199" s="881">
        <f ca="1">IFERROR(__xludf.DUMMYFUNCTION("IMPORTRANGE(""https://docs.google.com/spreadsheets/d/1QqKyyYR6Q21VydFLVH3TRQUabQu_ym0Zz7PgGX0-kHA/edit?usp=sharing"",""แผน!AE86"")"),5000)</f>
        <v>5000</v>
      </c>
      <c r="M199" s="881"/>
      <c r="N199" s="1085">
        <v>5000</v>
      </c>
      <c r="O199" s="881"/>
      <c r="P199" s="881"/>
      <c r="Q199" s="868"/>
      <c r="R199" s="868"/>
      <c r="S199" s="868"/>
      <c r="T199" s="868"/>
      <c r="U199" s="868"/>
      <c r="V199" s="868"/>
      <c r="W199" s="868"/>
      <c r="X199" s="868"/>
      <c r="Y199" s="868"/>
      <c r="Z199" s="868"/>
    </row>
    <row r="200" spans="1:26" ht="19.5">
      <c r="A200" s="1086"/>
      <c r="B200" s="1084"/>
      <c r="C200" s="1029"/>
      <c r="D200" s="996" t="s">
        <v>98</v>
      </c>
      <c r="E200" s="877"/>
      <c r="F200" s="877"/>
      <c r="G200" s="879"/>
      <c r="H200" s="622" t="s">
        <v>12</v>
      </c>
      <c r="I200" s="880"/>
      <c r="J200" s="880"/>
      <c r="K200" s="881"/>
      <c r="L200" s="881">
        <f ca="1">IFERROR(__xludf.DUMMYFUNCTION("IMPORTRANGE(""https://docs.google.com/spreadsheets/d/1QqKyyYR6Q21VydFLVH3TRQUabQu_ym0Zz7PgGX0-kHA/edit?usp=sharing"",""แผน!AF86"")"),40000)</f>
        <v>40000</v>
      </c>
      <c r="M200" s="881"/>
      <c r="N200" s="1085">
        <v>40000</v>
      </c>
      <c r="O200" s="881"/>
      <c r="P200" s="881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</row>
    <row r="201" spans="1:26" ht="19.5">
      <c r="A201" s="1086"/>
      <c r="B201" s="1084"/>
      <c r="C201" s="1029"/>
      <c r="D201" s="996" t="s">
        <v>99</v>
      </c>
      <c r="E201" s="877"/>
      <c r="F201" s="877"/>
      <c r="G201" s="879"/>
      <c r="H201" s="622" t="s">
        <v>12</v>
      </c>
      <c r="I201" s="880"/>
      <c r="J201" s="880"/>
      <c r="K201" s="881"/>
      <c r="L201" s="881">
        <f ca="1">IFERROR(__xludf.DUMMYFUNCTION("IMPORTRANGE(""https://docs.google.com/spreadsheets/d/1QqKyyYR6Q21VydFLVH3TRQUabQu_ym0Zz7PgGX0-kHA/edit?usp=sharing"",""แผน!AG86"")"),20000)</f>
        <v>20000</v>
      </c>
      <c r="M201" s="881"/>
      <c r="N201" s="1085">
        <v>0</v>
      </c>
      <c r="O201" s="881"/>
      <c r="P201" s="881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</row>
    <row r="202" spans="1:26" ht="19.5">
      <c r="A202" s="1086"/>
      <c r="B202" s="1084"/>
      <c r="C202" s="1029"/>
      <c r="D202" s="996" t="s">
        <v>100</v>
      </c>
      <c r="E202" s="877"/>
      <c r="F202" s="877"/>
      <c r="G202" s="879"/>
      <c r="H202" s="622" t="s">
        <v>12</v>
      </c>
      <c r="I202" s="880"/>
      <c r="J202" s="880"/>
      <c r="K202" s="881"/>
      <c r="L202" s="881">
        <f ca="1">IFERROR(__xludf.DUMMYFUNCTION("IMPORTRANGE(""https://docs.google.com/spreadsheets/d/1QqKyyYR6Q21VydFLVH3TRQUabQu_ym0Zz7PgGX0-kHA/edit?usp=sharing"",""แผน!AH86"")"),0)</f>
        <v>0</v>
      </c>
      <c r="M202" s="881"/>
      <c r="N202" s="1085">
        <v>0</v>
      </c>
      <c r="O202" s="881"/>
      <c r="P202" s="881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</row>
    <row r="203" spans="1:26" ht="19.5">
      <c r="A203" s="1002"/>
      <c r="B203" s="1003"/>
      <c r="C203" s="1029" t="s">
        <v>16</v>
      </c>
      <c r="D203" s="1004" t="s">
        <v>38</v>
      </c>
      <c r="E203" s="1005"/>
      <c r="F203" s="1005"/>
      <c r="G203" s="1006"/>
      <c r="H203" s="1007"/>
      <c r="I203" s="997"/>
      <c r="J203" s="997"/>
      <c r="K203" s="998"/>
      <c r="L203" s="998"/>
      <c r="M203" s="998"/>
      <c r="N203" s="998"/>
      <c r="O203" s="998"/>
      <c r="P203" s="99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</row>
    <row r="204" spans="1:26" ht="18.75">
      <c r="A204" s="1002"/>
      <c r="B204" s="1003"/>
      <c r="C204" s="1003"/>
      <c r="D204" s="1008" t="s">
        <v>101</v>
      </c>
      <c r="E204" s="1010"/>
      <c r="F204" s="1010"/>
      <c r="G204" s="1011"/>
      <c r="H204" s="1007" t="s">
        <v>96</v>
      </c>
      <c r="I204" s="880">
        <f ca="1">IFERROR(__xludf.DUMMYFUNCTION("IMPORTRANGE(""https://docs.google.com/spreadsheets/d/1QqKyyYR6Q21VydFLVH3TRQUabQu_ym0Zz7PgGX0-kHA/edit?usp=sharing"",""แผน!AI86"")"),5)</f>
        <v>5</v>
      </c>
      <c r="J204" s="1012">
        <v>5</v>
      </c>
      <c r="K204" s="998">
        <f ca="1">IF(I204&gt;0,J204*100/I204,0)</f>
        <v>100</v>
      </c>
      <c r="L204" s="881"/>
      <c r="M204" s="881"/>
      <c r="N204" s="881"/>
      <c r="O204" s="881"/>
      <c r="P204" s="881"/>
      <c r="Q204" s="868"/>
      <c r="R204" s="868"/>
      <c r="S204" s="868"/>
      <c r="T204" s="868"/>
      <c r="U204" s="868"/>
      <c r="V204" s="868"/>
      <c r="W204" s="868"/>
      <c r="X204" s="868"/>
      <c r="Y204" s="868"/>
      <c r="Z204" s="868"/>
    </row>
    <row r="205" spans="1:26" ht="18.75">
      <c r="A205" s="1002"/>
      <c r="B205" s="1003"/>
      <c r="C205" s="1003"/>
      <c r="D205" s="1009" t="s">
        <v>59</v>
      </c>
      <c r="E205" s="1010"/>
      <c r="F205" s="1010"/>
      <c r="G205" s="1011"/>
      <c r="H205" s="1007"/>
      <c r="I205" s="880"/>
      <c r="J205" s="880"/>
      <c r="K205" s="998"/>
      <c r="L205" s="881"/>
      <c r="M205" s="881"/>
      <c r="N205" s="881"/>
      <c r="O205" s="881"/>
      <c r="P205" s="881"/>
      <c r="Q205" s="868"/>
      <c r="R205" s="868"/>
      <c r="S205" s="868"/>
      <c r="T205" s="868"/>
      <c r="U205" s="868"/>
      <c r="V205" s="868"/>
      <c r="W205" s="868"/>
      <c r="X205" s="868"/>
      <c r="Y205" s="868"/>
      <c r="Z205" s="868"/>
    </row>
    <row r="206" spans="1:26" ht="18.75">
      <c r="A206" s="1002"/>
      <c r="B206" s="1003"/>
      <c r="C206" s="1003"/>
      <c r="D206" s="1010"/>
      <c r="E206" s="1021" t="s">
        <v>102</v>
      </c>
      <c r="F206" s="1088"/>
      <c r="G206" s="1089"/>
      <c r="H206" s="1090" t="s">
        <v>96</v>
      </c>
      <c r="I206" s="880">
        <v>5</v>
      </c>
      <c r="J206" s="1012"/>
      <c r="K206" s="998">
        <f t="shared" ref="K206:K208" si="100">IF(I206&gt;0,J206*100/I206,0)</f>
        <v>0</v>
      </c>
      <c r="L206" s="881"/>
      <c r="M206" s="881"/>
      <c r="N206" s="881"/>
      <c r="O206" s="881"/>
      <c r="P206" s="881"/>
      <c r="Q206" s="868"/>
      <c r="R206" s="868"/>
      <c r="S206" s="868"/>
      <c r="T206" s="868"/>
      <c r="U206" s="868"/>
      <c r="V206" s="868"/>
      <c r="W206" s="868"/>
      <c r="X206" s="868"/>
      <c r="Y206" s="868"/>
      <c r="Z206" s="868"/>
    </row>
    <row r="207" spans="1:26" ht="18.75">
      <c r="A207" s="1002"/>
      <c r="B207" s="1003"/>
      <c r="C207" s="1003"/>
      <c r="D207" s="1009"/>
      <c r="E207" s="1009" t="s">
        <v>103</v>
      </c>
      <c r="F207" s="1010"/>
      <c r="G207" s="1010"/>
      <c r="H207" s="290" t="s">
        <v>104</v>
      </c>
      <c r="I207" s="880">
        <v>0</v>
      </c>
      <c r="J207" s="1012">
        <v>0</v>
      </c>
      <c r="K207" s="998">
        <f t="shared" si="100"/>
        <v>0</v>
      </c>
      <c r="L207" s="881"/>
      <c r="M207" s="881"/>
      <c r="N207" s="881"/>
      <c r="O207" s="881"/>
      <c r="P207" s="881"/>
      <c r="Q207" s="868"/>
      <c r="R207" s="868"/>
      <c r="S207" s="868"/>
      <c r="T207" s="868"/>
      <c r="U207" s="868"/>
      <c r="V207" s="868"/>
      <c r="W207" s="868"/>
      <c r="X207" s="868"/>
      <c r="Y207" s="868"/>
      <c r="Z207" s="868"/>
    </row>
    <row r="208" spans="1:26" ht="19.5">
      <c r="A208" s="1063"/>
      <c r="B208" s="1070"/>
      <c r="C208" s="1077" t="s">
        <v>105</v>
      </c>
      <c r="D208" s="1064"/>
      <c r="E208" s="1064"/>
      <c r="F208" s="1091"/>
      <c r="G208" s="1066"/>
      <c r="H208" s="278" t="s">
        <v>96</v>
      </c>
      <c r="I208" s="1078">
        <f t="shared" ref="I208:J208" ca="1" si="101">I215</f>
        <v>7</v>
      </c>
      <c r="J208" s="1078">
        <f t="shared" si="101"/>
        <v>7</v>
      </c>
      <c r="K208" s="1079">
        <f t="shared" ca="1" si="100"/>
        <v>100</v>
      </c>
      <c r="L208" s="1068"/>
      <c r="M208" s="1068"/>
      <c r="N208" s="1068"/>
      <c r="O208" s="1068"/>
      <c r="P208" s="1068"/>
    </row>
    <row r="209" spans="1:26" ht="19.5">
      <c r="A209" s="985"/>
      <c r="B209" s="986"/>
      <c r="C209" s="987" t="s">
        <v>16</v>
      </c>
      <c r="D209" s="1080" t="s">
        <v>17</v>
      </c>
      <c r="E209" s="986"/>
      <c r="F209" s="986"/>
      <c r="G209" s="989"/>
      <c r="H209" s="275" t="s">
        <v>12</v>
      </c>
      <c r="I209" s="1082"/>
      <c r="J209" s="1082"/>
      <c r="K209" s="1083"/>
      <c r="L209" s="992">
        <f ca="1">L210+L211+L212</f>
        <v>98000</v>
      </c>
      <c r="M209" s="992"/>
      <c r="N209" s="992">
        <f>N210+N211+N212</f>
        <v>56500</v>
      </c>
      <c r="O209" s="992">
        <f ca="1">IF(L209&gt;0,N209*100/L209,0)</f>
        <v>57.653061224489797</v>
      </c>
      <c r="P209" s="992">
        <f>IF(M209&gt;0,N209*100/M209,0)</f>
        <v>0</v>
      </c>
      <c r="Q209" s="868"/>
      <c r="R209" s="868"/>
      <c r="S209" s="868"/>
      <c r="T209" s="868"/>
      <c r="U209" s="868"/>
      <c r="V209" s="868"/>
      <c r="W209" s="868"/>
      <c r="X209" s="868"/>
      <c r="Y209" s="868"/>
      <c r="Z209" s="868"/>
    </row>
    <row r="210" spans="1:26" ht="18.75">
      <c r="A210" s="995"/>
      <c r="B210" s="1084"/>
      <c r="C210" s="877"/>
      <c r="D210" s="996" t="s">
        <v>97</v>
      </c>
      <c r="E210" s="877"/>
      <c r="F210" s="877"/>
      <c r="G210" s="879"/>
      <c r="H210" s="161" t="s">
        <v>12</v>
      </c>
      <c r="I210" s="997"/>
      <c r="J210" s="997"/>
      <c r="K210" s="998"/>
      <c r="L210" s="881">
        <f ca="1">IFERROR(__xludf.DUMMYFUNCTION("IMPORTRANGE(""https://docs.google.com/spreadsheets/d/1QqKyyYR6Q21VydFLVH3TRQUabQu_ym0Zz7PgGX0-kHA/edit?usp=sharing"",""แผน!AK86"")"),7000)</f>
        <v>7000</v>
      </c>
      <c r="M210" s="881"/>
      <c r="N210" s="1085">
        <v>500</v>
      </c>
      <c r="O210" s="881"/>
      <c r="P210" s="881"/>
      <c r="Q210" s="868"/>
      <c r="R210" s="868"/>
      <c r="S210" s="868"/>
      <c r="T210" s="868"/>
      <c r="U210" s="868"/>
      <c r="V210" s="868"/>
      <c r="W210" s="868"/>
      <c r="X210" s="868"/>
      <c r="Y210" s="868"/>
      <c r="Z210" s="868"/>
    </row>
    <row r="211" spans="1:26" ht="19.5">
      <c r="A211" s="1086"/>
      <c r="B211" s="1084"/>
      <c r="C211" s="1092"/>
      <c r="D211" s="996" t="s">
        <v>99</v>
      </c>
      <c r="E211" s="877"/>
      <c r="F211" s="877"/>
      <c r="G211" s="879"/>
      <c r="H211" s="161" t="s">
        <v>12</v>
      </c>
      <c r="I211" s="880"/>
      <c r="J211" s="880"/>
      <c r="K211" s="881"/>
      <c r="L211" s="881">
        <f ca="1">IFERROR(__xludf.DUMMYFUNCTION("IMPORTRANGE(""https://docs.google.com/spreadsheets/d/1QqKyyYR6Q21VydFLVH3TRQUabQu_ym0Zz7PgGX0-kHA/edit?usp=sharing"",""แผน!AL86"")"),35000)</f>
        <v>35000</v>
      </c>
      <c r="M211" s="881"/>
      <c r="N211" s="1085">
        <v>0</v>
      </c>
      <c r="O211" s="881"/>
      <c r="P211" s="881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</row>
    <row r="212" spans="1:26" ht="19.5">
      <c r="A212" s="1086"/>
      <c r="B212" s="1084"/>
      <c r="C212" s="1092"/>
      <c r="D212" s="996" t="s">
        <v>98</v>
      </c>
      <c r="E212" s="877"/>
      <c r="F212" s="877"/>
      <c r="G212" s="879"/>
      <c r="H212" s="161" t="s">
        <v>12</v>
      </c>
      <c r="I212" s="880"/>
      <c r="J212" s="880"/>
      <c r="K212" s="881"/>
      <c r="L212" s="881">
        <f ca="1">IFERROR(__xludf.DUMMYFUNCTION("IMPORTRANGE(""https://docs.google.com/spreadsheets/d/1QqKyyYR6Q21VydFLVH3TRQUabQu_ym0Zz7PgGX0-kHA/edit?usp=sharing"",""แผน!AM86"")"),56000)</f>
        <v>56000</v>
      </c>
      <c r="M212" s="881"/>
      <c r="N212" s="1085">
        <v>56000</v>
      </c>
      <c r="O212" s="881"/>
      <c r="P212" s="881"/>
      <c r="Q212" s="1087"/>
      <c r="R212" s="1087"/>
      <c r="S212" s="1087"/>
      <c r="T212" s="1087"/>
      <c r="U212" s="1087"/>
      <c r="V212" s="1087"/>
      <c r="W212" s="1087"/>
      <c r="X212" s="1087"/>
      <c r="Y212" s="1087"/>
      <c r="Z212" s="1087"/>
    </row>
    <row r="213" spans="1:26" ht="19.5">
      <c r="A213" s="1002"/>
      <c r="B213" s="1003"/>
      <c r="C213" s="1092" t="s">
        <v>16</v>
      </c>
      <c r="D213" s="1004" t="s">
        <v>38</v>
      </c>
      <c r="E213" s="1005"/>
      <c r="F213" s="1005"/>
      <c r="G213" s="1006"/>
      <c r="H213" s="1007"/>
      <c r="I213" s="997"/>
      <c r="J213" s="880"/>
      <c r="K213" s="881"/>
      <c r="L213" s="881"/>
      <c r="M213" s="881"/>
      <c r="N213" s="881"/>
      <c r="O213" s="998"/>
      <c r="P213" s="998"/>
      <c r="Q213" s="868"/>
      <c r="R213" s="868"/>
      <c r="S213" s="868"/>
      <c r="T213" s="868"/>
      <c r="U213" s="868"/>
      <c r="V213" s="868"/>
      <c r="W213" s="868"/>
      <c r="X213" s="868"/>
      <c r="Y213" s="868"/>
      <c r="Z213" s="868"/>
    </row>
    <row r="214" spans="1:26" ht="18.75">
      <c r="A214" s="1002"/>
      <c r="B214" s="1003"/>
      <c r="C214" s="1003"/>
      <c r="D214" s="1008" t="s">
        <v>106</v>
      </c>
      <c r="E214" s="1010"/>
      <c r="F214" s="1010"/>
      <c r="G214" s="1011"/>
      <c r="H214" s="1007" t="s">
        <v>96</v>
      </c>
      <c r="I214" s="880">
        <f ca="1">IFERROR(__xludf.DUMMYFUNCTION("IMPORTRANGE(""https://docs.google.com/spreadsheets/d/1QqKyyYR6Q21VydFLVH3TRQUabQu_ym0Zz7PgGX0-kHA/edit?usp=sharing"",""แผน!AN86"")"),7)</f>
        <v>7</v>
      </c>
      <c r="J214" s="1012">
        <v>0</v>
      </c>
      <c r="K214" s="881">
        <f t="shared" ref="K214:K216" ca="1" si="102">IF(I214&gt;0,J214*100/I214,0)</f>
        <v>0</v>
      </c>
      <c r="L214" s="881"/>
      <c r="M214" s="881"/>
      <c r="N214" s="881"/>
      <c r="O214" s="881"/>
      <c r="P214" s="881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</row>
    <row r="215" spans="1:26" ht="18.75">
      <c r="A215" s="1002"/>
      <c r="B215" s="1003"/>
      <c r="C215" s="1003"/>
      <c r="D215" s="1008" t="s">
        <v>107</v>
      </c>
      <c r="E215" s="1010"/>
      <c r="F215" s="1010"/>
      <c r="G215" s="1011"/>
      <c r="H215" s="1007" t="s">
        <v>96</v>
      </c>
      <c r="I215" s="880">
        <f ca="1">IFERROR(__xludf.DUMMYFUNCTION("IMPORTRANGE(""https://docs.google.com/spreadsheets/d/1QqKyyYR6Q21VydFLVH3TRQUabQu_ym0Zz7PgGX0-kHA/edit?usp=sharing"",""แผน!AN86"")"),7)</f>
        <v>7</v>
      </c>
      <c r="J215" s="1012">
        <v>7</v>
      </c>
      <c r="K215" s="881">
        <f t="shared" ca="1" si="102"/>
        <v>100</v>
      </c>
      <c r="L215" s="881"/>
      <c r="M215" s="881"/>
      <c r="N215" s="881"/>
      <c r="O215" s="881"/>
      <c r="P215" s="881"/>
      <c r="Q215" s="868"/>
      <c r="R215" s="868"/>
      <c r="S215" s="868"/>
      <c r="T215" s="868"/>
      <c r="U215" s="868"/>
      <c r="V215" s="868"/>
      <c r="W215" s="868"/>
      <c r="X215" s="868"/>
      <c r="Y215" s="868"/>
      <c r="Z215" s="868"/>
    </row>
    <row r="216" spans="1:26" ht="19.5">
      <c r="A216" s="1063"/>
      <c r="B216" s="1070"/>
      <c r="C216" s="1077" t="s">
        <v>108</v>
      </c>
      <c r="D216" s="1064"/>
      <c r="E216" s="1064"/>
      <c r="F216" s="1091"/>
      <c r="G216" s="1066"/>
      <c r="H216" s="260" t="s">
        <v>109</v>
      </c>
      <c r="I216" s="1078">
        <f t="shared" ref="I216:J216" ca="1" si="103">I224</f>
        <v>15000</v>
      </c>
      <c r="J216" s="1078">
        <f t="shared" si="103"/>
        <v>0</v>
      </c>
      <c r="K216" s="1079">
        <f t="shared" ca="1" si="102"/>
        <v>0</v>
      </c>
      <c r="L216" s="1068"/>
      <c r="M216" s="1068"/>
      <c r="N216" s="1068"/>
      <c r="O216" s="1068"/>
      <c r="P216" s="1068"/>
    </row>
    <row r="217" spans="1:26" ht="19.5">
      <c r="A217" s="985"/>
      <c r="B217" s="986"/>
      <c r="C217" s="987" t="s">
        <v>16</v>
      </c>
      <c r="D217" s="1080" t="s">
        <v>17</v>
      </c>
      <c r="E217" s="986"/>
      <c r="F217" s="986"/>
      <c r="G217" s="989"/>
      <c r="H217" s="275" t="s">
        <v>12</v>
      </c>
      <c r="I217" s="1082"/>
      <c r="J217" s="1082"/>
      <c r="K217" s="1083"/>
      <c r="L217" s="992">
        <f ca="1">L218+L219+L220</f>
        <v>7400</v>
      </c>
      <c r="M217" s="992"/>
      <c r="N217" s="992">
        <f>N218+N219+N220</f>
        <v>0</v>
      </c>
      <c r="O217" s="992">
        <f ca="1">IF(L217&gt;0,N217*100/L217,0)</f>
        <v>0</v>
      </c>
      <c r="P217" s="992">
        <f>IF(M217&gt;0,N217*100/M217,0)</f>
        <v>0</v>
      </c>
      <c r="Q217" s="868"/>
      <c r="R217" s="868"/>
      <c r="S217" s="868"/>
      <c r="T217" s="868"/>
      <c r="U217" s="868"/>
      <c r="V217" s="868"/>
      <c r="W217" s="868"/>
      <c r="X217" s="868"/>
      <c r="Y217" s="868"/>
      <c r="Z217" s="868"/>
    </row>
    <row r="218" spans="1:26" ht="18.75">
      <c r="A218" s="995"/>
      <c r="B218" s="1084"/>
      <c r="C218" s="877"/>
      <c r="D218" s="996" t="s">
        <v>97</v>
      </c>
      <c r="E218" s="877"/>
      <c r="F218" s="877"/>
      <c r="G218" s="879"/>
      <c r="H218" s="161" t="s">
        <v>12</v>
      </c>
      <c r="I218" s="997"/>
      <c r="J218" s="997"/>
      <c r="K218" s="998"/>
      <c r="L218" s="881">
        <f ca="1">IFERROR(__xludf.DUMMYFUNCTION("IMPORTRANGE(""https://docs.google.com/spreadsheets/d/1QqKyyYR6Q21VydFLVH3TRQUabQu_ym0Zz7PgGX0-kHA/edit?usp=sharing"",""แผน!AP86"")"),3000)</f>
        <v>3000</v>
      </c>
      <c r="M218" s="881"/>
      <c r="N218" s="1085">
        <v>0</v>
      </c>
      <c r="O218" s="881"/>
      <c r="P218" s="881"/>
      <c r="Q218" s="868"/>
      <c r="R218" s="868"/>
      <c r="S218" s="868"/>
      <c r="T218" s="868"/>
      <c r="U218" s="868"/>
      <c r="V218" s="868"/>
      <c r="W218" s="868"/>
      <c r="X218" s="868"/>
      <c r="Y218" s="868"/>
      <c r="Z218" s="868"/>
    </row>
    <row r="219" spans="1:26" ht="19.5">
      <c r="A219" s="1086"/>
      <c r="B219" s="1084"/>
      <c r="C219" s="1092"/>
      <c r="D219" s="996" t="s">
        <v>110</v>
      </c>
      <c r="E219" s="877"/>
      <c r="F219" s="877"/>
      <c r="G219" s="879"/>
      <c r="H219" s="161" t="s">
        <v>12</v>
      </c>
      <c r="I219" s="880"/>
      <c r="J219" s="880"/>
      <c r="K219" s="881"/>
      <c r="L219" s="881">
        <f ca="1">IFERROR(__xludf.DUMMYFUNCTION("IMPORTRANGE(""https://docs.google.com/spreadsheets/d/1QqKyyYR6Q21VydFLVH3TRQUabQu_ym0Zz7PgGX0-kHA/edit?usp=sharing"",""แผน!AQ86"")"),4400)</f>
        <v>4400</v>
      </c>
      <c r="M219" s="881"/>
      <c r="N219" s="1085">
        <v>0</v>
      </c>
      <c r="O219" s="881"/>
      <c r="P219" s="881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</row>
    <row r="220" spans="1:26" ht="19.5">
      <c r="A220" s="1086"/>
      <c r="B220" s="1084"/>
      <c r="C220" s="1092"/>
      <c r="D220" s="996" t="s">
        <v>98</v>
      </c>
      <c r="E220" s="877"/>
      <c r="F220" s="877"/>
      <c r="G220" s="879"/>
      <c r="H220" s="161" t="s">
        <v>12</v>
      </c>
      <c r="I220" s="880"/>
      <c r="J220" s="880"/>
      <c r="K220" s="881"/>
      <c r="L220" s="881">
        <f ca="1">IFERROR(__xludf.DUMMYFUNCTION("IMPORTRANGE(""https://docs.google.com/spreadsheets/d/1QqKyyYR6Q21VydFLVH3TRQUabQu_ym0Zz7PgGX0-kHA/edit?usp=sharing"",""แผน!AR86"")"),0)</f>
        <v>0</v>
      </c>
      <c r="M220" s="881"/>
      <c r="N220" s="1085">
        <v>0</v>
      </c>
      <c r="O220" s="881"/>
      <c r="P220" s="881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</row>
    <row r="221" spans="1:26" ht="19.5">
      <c r="A221" s="1002"/>
      <c r="B221" s="1003"/>
      <c r="C221" s="1092" t="s">
        <v>16</v>
      </c>
      <c r="D221" s="1004" t="s">
        <v>38</v>
      </c>
      <c r="E221" s="1005"/>
      <c r="F221" s="1005"/>
      <c r="G221" s="1006"/>
      <c r="H221" s="1007"/>
      <c r="I221" s="997"/>
      <c r="J221" s="997"/>
      <c r="K221" s="998"/>
      <c r="L221" s="998"/>
      <c r="M221" s="998"/>
      <c r="N221" s="998"/>
      <c r="O221" s="998"/>
      <c r="P221" s="99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8"/>
    </row>
    <row r="222" spans="1:26" ht="18.75">
      <c r="A222" s="1002"/>
      <c r="B222" s="1003"/>
      <c r="C222" s="1003"/>
      <c r="D222" s="996" t="s">
        <v>111</v>
      </c>
      <c r="E222" s="1010"/>
      <c r="F222" s="1010"/>
      <c r="G222" s="1011"/>
      <c r="H222" s="1007"/>
      <c r="I222" s="880"/>
      <c r="J222" s="880"/>
      <c r="K222" s="998"/>
      <c r="L222" s="998"/>
      <c r="M222" s="998"/>
      <c r="N222" s="998"/>
      <c r="O222" s="998"/>
      <c r="P222" s="998"/>
      <c r="Q222" s="868"/>
      <c r="R222" s="868"/>
      <c r="S222" s="868"/>
      <c r="T222" s="868"/>
      <c r="U222" s="868"/>
      <c r="V222" s="868"/>
      <c r="W222" s="868"/>
      <c r="X222" s="868"/>
      <c r="Y222" s="868"/>
      <c r="Z222" s="868"/>
    </row>
    <row r="223" spans="1:26" ht="18.75">
      <c r="A223" s="1002"/>
      <c r="B223" s="1003"/>
      <c r="C223" s="1003"/>
      <c r="D223" s="1003"/>
      <c r="E223" s="1008" t="s">
        <v>112</v>
      </c>
      <c r="F223" s="1010"/>
      <c r="G223" s="1011"/>
      <c r="H223" s="762" t="s">
        <v>109</v>
      </c>
      <c r="I223" s="880">
        <f ca="1">IFERROR(__xludf.DUMMYFUNCTION("IMPORTRANGE(""https://docs.google.com/spreadsheets/d/1QqKyyYR6Q21VydFLVH3TRQUabQu_ym0Zz7PgGX0-kHA/edit?usp=sharing"",""แผน!AT86"")"),15000)</f>
        <v>15000</v>
      </c>
      <c r="J223" s="1012">
        <v>0</v>
      </c>
      <c r="K223" s="998">
        <f t="shared" ref="K223:K226" ca="1" si="104">IF(I223&gt;0,J223*100/I223,0)</f>
        <v>0</v>
      </c>
      <c r="L223" s="998"/>
      <c r="M223" s="998"/>
      <c r="N223" s="998"/>
      <c r="O223" s="998"/>
      <c r="P223" s="998"/>
      <c r="Q223" s="868"/>
      <c r="R223" s="868"/>
      <c r="S223" s="868"/>
      <c r="T223" s="868"/>
      <c r="U223" s="868"/>
      <c r="V223" s="868"/>
      <c r="W223" s="868"/>
      <c r="X223" s="868"/>
      <c r="Y223" s="868"/>
      <c r="Z223" s="868"/>
    </row>
    <row r="224" spans="1:26" ht="18.75">
      <c r="A224" s="1002"/>
      <c r="B224" s="1003"/>
      <c r="C224" s="1003"/>
      <c r="D224" s="1003"/>
      <c r="E224" s="1008" t="s">
        <v>113</v>
      </c>
      <c r="F224" s="1010"/>
      <c r="G224" s="1011"/>
      <c r="H224" s="762" t="s">
        <v>109</v>
      </c>
      <c r="I224" s="880">
        <f ca="1">IFERROR(__xludf.DUMMYFUNCTION("IMPORTRANGE(""https://docs.google.com/spreadsheets/d/1QqKyyYR6Q21VydFLVH3TRQUabQu_ym0Zz7PgGX0-kHA/edit?usp=sharing"",""แผน!AT86"")"),15000)</f>
        <v>15000</v>
      </c>
      <c r="J224" s="1012">
        <v>0</v>
      </c>
      <c r="K224" s="998">
        <f t="shared" ca="1" si="104"/>
        <v>0</v>
      </c>
      <c r="L224" s="881"/>
      <c r="M224" s="881"/>
      <c r="N224" s="881"/>
      <c r="O224" s="881"/>
      <c r="P224" s="881"/>
      <c r="Q224" s="868"/>
      <c r="R224" s="868"/>
      <c r="S224" s="868"/>
      <c r="T224" s="868"/>
      <c r="U224" s="868"/>
      <c r="V224" s="868"/>
      <c r="W224" s="868"/>
      <c r="X224" s="868"/>
      <c r="Y224" s="868"/>
      <c r="Z224" s="868"/>
    </row>
    <row r="225" spans="1:26" ht="18.75">
      <c r="A225" s="1002"/>
      <c r="B225" s="1003"/>
      <c r="C225" s="1003"/>
      <c r="D225" s="996" t="s">
        <v>114</v>
      </c>
      <c r="E225" s="1010"/>
      <c r="F225" s="1010"/>
      <c r="G225" s="1011"/>
      <c r="H225" s="762" t="s">
        <v>35</v>
      </c>
      <c r="I225" s="880">
        <f ca="1">IFERROR(__xludf.DUMMYFUNCTION("IMPORTRANGE(""https://docs.google.com/spreadsheets/d/1QqKyyYR6Q21VydFLVH3TRQUabQu_ym0Zz7PgGX0-kHA/edit?usp=sharing"",""แผน!AS86"")"),0)</f>
        <v>0</v>
      </c>
      <c r="J225" s="1012">
        <v>0</v>
      </c>
      <c r="K225" s="998">
        <f t="shared" ca="1" si="104"/>
        <v>0</v>
      </c>
      <c r="L225" s="881"/>
      <c r="M225" s="881"/>
      <c r="N225" s="881"/>
      <c r="O225" s="881"/>
      <c r="P225" s="881"/>
      <c r="Q225" s="868"/>
      <c r="R225" s="868"/>
      <c r="S225" s="868"/>
      <c r="T225" s="868"/>
      <c r="U225" s="868"/>
      <c r="V225" s="868"/>
      <c r="W225" s="868"/>
      <c r="X225" s="868"/>
      <c r="Y225" s="868"/>
      <c r="Z225" s="868"/>
    </row>
    <row r="226" spans="1:26" ht="19.5" hidden="1">
      <c r="A226" s="1063"/>
      <c r="B226" s="1070"/>
      <c r="C226" s="1093" t="s">
        <v>115</v>
      </c>
      <c r="D226" s="1064"/>
      <c r="E226" s="1064"/>
      <c r="F226" s="1064"/>
      <c r="G226" s="1066"/>
      <c r="H226" s="266" t="s">
        <v>35</v>
      </c>
      <c r="I226" s="1094" t="e">
        <f t="shared" ref="I226:J226" ca="1" si="105">I237+I248</f>
        <v>#VALUE!</v>
      </c>
      <c r="J226" s="1094">
        <f t="shared" si="105"/>
        <v>0</v>
      </c>
      <c r="K226" s="1095" t="e">
        <f t="shared" ca="1" si="104"/>
        <v>#VALUE!</v>
      </c>
      <c r="L226" s="1068"/>
      <c r="M226" s="1068"/>
      <c r="N226" s="1068"/>
      <c r="O226" s="1068"/>
      <c r="P226" s="1068"/>
    </row>
    <row r="227" spans="1:26" ht="19.5" hidden="1">
      <c r="A227" s="1096"/>
      <c r="B227" s="1097"/>
      <c r="C227" s="1098" t="s">
        <v>16</v>
      </c>
      <c r="D227" s="1099" t="s">
        <v>17</v>
      </c>
      <c r="E227" s="1097"/>
      <c r="F227" s="1097"/>
      <c r="G227" s="1100"/>
      <c r="H227" s="353" t="s">
        <v>12</v>
      </c>
      <c r="I227" s="1101"/>
      <c r="J227" s="1101"/>
      <c r="K227" s="1102"/>
      <c r="L227" s="1103">
        <f t="shared" ref="L227:L231" ca="1" si="106">L238+L249</f>
        <v>0</v>
      </c>
      <c r="M227" s="1103"/>
      <c r="N227" s="1103">
        <f t="shared" ref="N227:N231" si="107">N238+N249</f>
        <v>0</v>
      </c>
      <c r="O227" s="1104"/>
      <c r="P227" s="1104"/>
      <c r="Q227" s="875"/>
      <c r="R227" s="875"/>
      <c r="S227" s="875"/>
      <c r="T227" s="875"/>
      <c r="U227" s="875"/>
      <c r="V227" s="875"/>
      <c r="W227" s="875"/>
      <c r="X227" s="875"/>
      <c r="Y227" s="875"/>
      <c r="Z227" s="875"/>
    </row>
    <row r="228" spans="1:26" ht="18.75" hidden="1">
      <c r="A228" s="993"/>
      <c r="B228" s="1105"/>
      <c r="C228" s="883"/>
      <c r="D228" s="884" t="s">
        <v>97</v>
      </c>
      <c r="E228" s="883"/>
      <c r="F228" s="883"/>
      <c r="G228" s="885"/>
      <c r="H228" s="165" t="s">
        <v>12</v>
      </c>
      <c r="I228" s="1000"/>
      <c r="J228" s="1000"/>
      <c r="K228" s="1001"/>
      <c r="L228" s="887">
        <f t="shared" ca="1" si="106"/>
        <v>0</v>
      </c>
      <c r="M228" s="887"/>
      <c r="N228" s="887">
        <f t="shared" si="107"/>
        <v>0</v>
      </c>
      <c r="O228" s="887"/>
      <c r="P228" s="887"/>
      <c r="Q228" s="875"/>
      <c r="R228" s="875"/>
      <c r="S228" s="875"/>
      <c r="T228" s="875"/>
      <c r="U228" s="875"/>
      <c r="V228" s="875"/>
      <c r="W228" s="875"/>
      <c r="X228" s="875"/>
      <c r="Y228" s="875"/>
      <c r="Z228" s="875"/>
    </row>
    <row r="229" spans="1:26" ht="19.5" hidden="1">
      <c r="A229" s="1106"/>
      <c r="B229" s="1105"/>
      <c r="C229" s="1107"/>
      <c r="D229" s="884" t="s">
        <v>98</v>
      </c>
      <c r="E229" s="883"/>
      <c r="F229" s="883"/>
      <c r="G229" s="885"/>
      <c r="H229" s="165" t="s">
        <v>12</v>
      </c>
      <c r="I229" s="886"/>
      <c r="J229" s="886"/>
      <c r="K229" s="887"/>
      <c r="L229" s="887">
        <f t="shared" ca="1" si="106"/>
        <v>0</v>
      </c>
      <c r="M229" s="887"/>
      <c r="N229" s="887">
        <f t="shared" si="107"/>
        <v>0</v>
      </c>
      <c r="O229" s="887"/>
      <c r="P229" s="887"/>
      <c r="Q229" s="1108"/>
      <c r="R229" s="1108"/>
      <c r="S229" s="1108"/>
      <c r="T229" s="1108"/>
      <c r="U229" s="1108"/>
      <c r="V229" s="1108"/>
      <c r="W229" s="1108"/>
      <c r="X229" s="1108"/>
      <c r="Y229" s="1108"/>
      <c r="Z229" s="1108"/>
    </row>
    <row r="230" spans="1:26" ht="19.5" hidden="1">
      <c r="A230" s="1106"/>
      <c r="B230" s="1105"/>
      <c r="C230" s="1107"/>
      <c r="D230" s="884" t="s">
        <v>116</v>
      </c>
      <c r="E230" s="883"/>
      <c r="F230" s="883"/>
      <c r="G230" s="885"/>
      <c r="H230" s="165" t="s">
        <v>12</v>
      </c>
      <c r="I230" s="886"/>
      <c r="J230" s="886"/>
      <c r="K230" s="887"/>
      <c r="L230" s="887">
        <f t="shared" ca="1" si="106"/>
        <v>0</v>
      </c>
      <c r="M230" s="887"/>
      <c r="N230" s="887">
        <f t="shared" si="107"/>
        <v>0</v>
      </c>
      <c r="O230" s="887"/>
      <c r="P230" s="887"/>
      <c r="Q230" s="1108"/>
      <c r="R230" s="1108"/>
      <c r="S230" s="1108"/>
      <c r="T230" s="1108"/>
      <c r="U230" s="1108"/>
      <c r="V230" s="1108"/>
      <c r="W230" s="1108"/>
      <c r="X230" s="1108"/>
      <c r="Y230" s="1108"/>
      <c r="Z230" s="1108"/>
    </row>
    <row r="231" spans="1:26" ht="19.5" hidden="1">
      <c r="A231" s="1106"/>
      <c r="B231" s="1105"/>
      <c r="C231" s="1107"/>
      <c r="D231" s="884" t="s">
        <v>100</v>
      </c>
      <c r="E231" s="883"/>
      <c r="F231" s="883"/>
      <c r="G231" s="885"/>
      <c r="H231" s="165" t="s">
        <v>12</v>
      </c>
      <c r="I231" s="886"/>
      <c r="J231" s="886"/>
      <c r="K231" s="887"/>
      <c r="L231" s="887">
        <f t="shared" ca="1" si="106"/>
        <v>0</v>
      </c>
      <c r="M231" s="887"/>
      <c r="N231" s="887">
        <f t="shared" si="107"/>
        <v>0</v>
      </c>
      <c r="O231" s="887"/>
      <c r="P231" s="887"/>
      <c r="Q231" s="1108"/>
      <c r="R231" s="1108"/>
      <c r="S231" s="1108"/>
      <c r="T231" s="1108"/>
      <c r="U231" s="1108"/>
      <c r="V231" s="1108"/>
      <c r="W231" s="1108"/>
      <c r="X231" s="1108"/>
      <c r="Y231" s="1108"/>
      <c r="Z231" s="1108"/>
    </row>
    <row r="232" spans="1:26" ht="19.5" hidden="1">
      <c r="A232" s="1109"/>
      <c r="B232" s="1110"/>
      <c r="C232" s="1107" t="s">
        <v>16</v>
      </c>
      <c r="D232" s="1072" t="s">
        <v>38</v>
      </c>
      <c r="E232" s="1111"/>
      <c r="F232" s="1111"/>
      <c r="G232" s="1112"/>
      <c r="H232" s="1113"/>
      <c r="I232" s="1000"/>
      <c r="J232" s="886"/>
      <c r="K232" s="887"/>
      <c r="L232" s="887"/>
      <c r="M232" s="887"/>
      <c r="N232" s="887"/>
      <c r="O232" s="1001"/>
      <c r="P232" s="1001"/>
      <c r="Q232" s="875"/>
      <c r="R232" s="875"/>
      <c r="S232" s="875"/>
      <c r="T232" s="875"/>
      <c r="U232" s="875"/>
      <c r="V232" s="875"/>
      <c r="W232" s="875"/>
      <c r="X232" s="875"/>
      <c r="Y232" s="875"/>
      <c r="Z232" s="875"/>
    </row>
    <row r="233" spans="1:26" ht="18.75" hidden="1">
      <c r="A233" s="1109"/>
      <c r="B233" s="1110"/>
      <c r="C233" s="1110"/>
      <c r="D233" s="1074" t="s">
        <v>117</v>
      </c>
      <c r="E233" s="1114"/>
      <c r="F233" s="1114"/>
      <c r="G233" s="1115"/>
      <c r="H233" s="370" t="s">
        <v>35</v>
      </c>
      <c r="I233" s="886" t="e">
        <f t="shared" ref="I233:J233" ca="1" si="108">I244+I255</f>
        <v>#VALUE!</v>
      </c>
      <c r="J233" s="886">
        <f t="shared" si="108"/>
        <v>0</v>
      </c>
      <c r="K233" s="887" t="e">
        <f ca="1">IF(I233&gt;0,J233*100/I233,0)</f>
        <v>#VALUE!</v>
      </c>
      <c r="L233" s="887"/>
      <c r="M233" s="887"/>
      <c r="N233" s="887"/>
      <c r="O233" s="887"/>
      <c r="P233" s="887"/>
      <c r="Q233" s="875"/>
      <c r="R233" s="875"/>
      <c r="S233" s="875"/>
      <c r="T233" s="875"/>
      <c r="U233" s="875"/>
      <c r="V233" s="875"/>
      <c r="W233" s="875"/>
      <c r="X233" s="875"/>
      <c r="Y233" s="875"/>
      <c r="Z233" s="875"/>
    </row>
    <row r="234" spans="1:26" ht="18.75" hidden="1">
      <c r="A234" s="1109"/>
      <c r="B234" s="1110"/>
      <c r="C234" s="1110"/>
      <c r="D234" s="1116" t="s">
        <v>43</v>
      </c>
      <c r="E234" s="1114"/>
      <c r="F234" s="1114"/>
      <c r="G234" s="1115"/>
      <c r="H234" s="370"/>
      <c r="I234" s="886"/>
      <c r="J234" s="886"/>
      <c r="K234" s="887"/>
      <c r="L234" s="887"/>
      <c r="M234" s="887"/>
      <c r="N234" s="887"/>
      <c r="O234" s="1001"/>
      <c r="P234" s="1001"/>
      <c r="Q234" s="875"/>
      <c r="R234" s="875"/>
      <c r="S234" s="875"/>
      <c r="T234" s="875"/>
      <c r="U234" s="875"/>
      <c r="V234" s="875"/>
      <c r="W234" s="875"/>
      <c r="X234" s="875"/>
      <c r="Y234" s="875"/>
      <c r="Z234" s="875"/>
    </row>
    <row r="235" spans="1:26" ht="18.75" hidden="1">
      <c r="A235" s="1109"/>
      <c r="B235" s="1110"/>
      <c r="C235" s="1110"/>
      <c r="D235" s="1110"/>
      <c r="E235" s="1073" t="s">
        <v>118</v>
      </c>
      <c r="F235" s="1114"/>
      <c r="G235" s="1115"/>
      <c r="H235" s="370" t="s">
        <v>35</v>
      </c>
      <c r="I235" s="886">
        <f t="shared" ref="I235:J236" si="109">I246+I257</f>
        <v>0</v>
      </c>
      <c r="J235" s="886">
        <f t="shared" si="109"/>
        <v>0</v>
      </c>
      <c r="K235" s="887">
        <f t="shared" ref="K235:K237" si="110">IF(I235&gt;0,J235*100/I235,0)</f>
        <v>0</v>
      </c>
      <c r="L235" s="887"/>
      <c r="M235" s="887"/>
      <c r="N235" s="887"/>
      <c r="O235" s="887"/>
      <c r="P235" s="887"/>
      <c r="Q235" s="875"/>
      <c r="R235" s="875"/>
      <c r="S235" s="875"/>
      <c r="T235" s="875"/>
      <c r="U235" s="875"/>
      <c r="V235" s="875"/>
      <c r="W235" s="875"/>
      <c r="X235" s="875"/>
      <c r="Y235" s="875"/>
      <c r="Z235" s="875"/>
    </row>
    <row r="236" spans="1:26" ht="18.75" hidden="1">
      <c r="A236" s="1109"/>
      <c r="B236" s="1110"/>
      <c r="C236" s="1110"/>
      <c r="D236" s="1110"/>
      <c r="E236" s="1073" t="s">
        <v>119</v>
      </c>
      <c r="F236" s="1114"/>
      <c r="G236" s="1115"/>
      <c r="H236" s="370" t="s">
        <v>66</v>
      </c>
      <c r="I236" s="886">
        <f t="shared" si="109"/>
        <v>0</v>
      </c>
      <c r="J236" s="886">
        <f t="shared" si="109"/>
        <v>0</v>
      </c>
      <c r="K236" s="887">
        <f t="shared" si="110"/>
        <v>0</v>
      </c>
      <c r="L236" s="887"/>
      <c r="M236" s="887"/>
      <c r="N236" s="887"/>
      <c r="O236" s="887"/>
      <c r="P236" s="887"/>
      <c r="Q236" s="875"/>
      <c r="R236" s="875"/>
      <c r="S236" s="875"/>
      <c r="T236" s="875"/>
      <c r="U236" s="875"/>
      <c r="V236" s="875"/>
      <c r="W236" s="875"/>
      <c r="X236" s="875"/>
      <c r="Y236" s="875"/>
      <c r="Z236" s="875"/>
    </row>
    <row r="237" spans="1:26" ht="19.5" hidden="1">
      <c r="A237" s="1063"/>
      <c r="B237" s="1070"/>
      <c r="C237" s="1077" t="s">
        <v>332</v>
      </c>
      <c r="D237" s="1064"/>
      <c r="E237" s="1064"/>
      <c r="F237" s="1064"/>
      <c r="G237" s="1066"/>
      <c r="H237" s="260" t="s">
        <v>35</v>
      </c>
      <c r="I237" s="1078">
        <f t="shared" ref="I237:J237" ca="1" si="111">I244</f>
        <v>0</v>
      </c>
      <c r="J237" s="1078">
        <f t="shared" si="111"/>
        <v>0</v>
      </c>
      <c r="K237" s="1079">
        <f t="shared" ca="1" si="110"/>
        <v>0</v>
      </c>
      <c r="L237" s="1068"/>
      <c r="M237" s="1068"/>
      <c r="N237" s="1068"/>
      <c r="O237" s="1068"/>
      <c r="P237" s="1068"/>
    </row>
    <row r="238" spans="1:26" ht="19.5" hidden="1">
      <c r="A238" s="985"/>
      <c r="B238" s="986"/>
      <c r="C238" s="987" t="s">
        <v>16</v>
      </c>
      <c r="D238" s="988" t="s">
        <v>17</v>
      </c>
      <c r="E238" s="986"/>
      <c r="F238" s="986"/>
      <c r="G238" s="989"/>
      <c r="H238" s="275" t="s">
        <v>12</v>
      </c>
      <c r="I238" s="1082"/>
      <c r="J238" s="1082"/>
      <c r="K238" s="1083"/>
      <c r="L238" s="992">
        <f ca="1">L239+L240+L241+L242</f>
        <v>0</v>
      </c>
      <c r="M238" s="992"/>
      <c r="N238" s="992">
        <f>N239+N240+N241+N242</f>
        <v>0</v>
      </c>
      <c r="O238" s="992">
        <f ca="1">IF(L238&gt;0,N238*100/L238,0)</f>
        <v>0</v>
      </c>
      <c r="P238" s="992">
        <f>IF(M238&gt;0,N238*100/M238,0)</f>
        <v>0</v>
      </c>
      <c r="Q238" s="868"/>
      <c r="R238" s="868"/>
      <c r="S238" s="868"/>
      <c r="T238" s="868"/>
      <c r="U238" s="868"/>
      <c r="V238" s="868"/>
      <c r="W238" s="868"/>
      <c r="X238" s="868"/>
      <c r="Y238" s="868"/>
      <c r="Z238" s="868"/>
    </row>
    <row r="239" spans="1:26" ht="18.75" hidden="1">
      <c r="A239" s="1117"/>
      <c r="B239" s="1118"/>
      <c r="C239" s="1119"/>
      <c r="D239" s="1120" t="s">
        <v>97</v>
      </c>
      <c r="E239" s="1119"/>
      <c r="F239" s="1119"/>
      <c r="G239" s="1121"/>
      <c r="H239" s="319" t="s">
        <v>12</v>
      </c>
      <c r="I239" s="1122"/>
      <c r="J239" s="1122"/>
      <c r="K239" s="1123"/>
      <c r="L239" s="1124">
        <f ca="1">IFERROR(__xludf.DUMMYFUNCTION("IMPORTRANGE(""https://docs.google.com/spreadsheets/d/1QqKyyYR6Q21VydFLVH3TRQUabQu_ym0Zz7PgGX0-kHA/edit?usp=sharing"",""แผน!AV86"")"),0)</f>
        <v>0</v>
      </c>
      <c r="M239" s="1124"/>
      <c r="N239" s="1125">
        <v>0</v>
      </c>
      <c r="O239" s="1124"/>
      <c r="P239" s="1124"/>
      <c r="Q239" s="1126"/>
      <c r="R239" s="1126"/>
      <c r="S239" s="1126"/>
      <c r="T239" s="1126"/>
      <c r="U239" s="1126"/>
      <c r="V239" s="1126"/>
      <c r="W239" s="1126"/>
      <c r="X239" s="1126"/>
      <c r="Y239" s="1126"/>
      <c r="Z239" s="1126"/>
    </row>
    <row r="240" spans="1:26" ht="19.5" hidden="1">
      <c r="A240" s="1127"/>
      <c r="B240" s="1118"/>
      <c r="C240" s="1128"/>
      <c r="D240" s="1120" t="s">
        <v>98</v>
      </c>
      <c r="E240" s="1119"/>
      <c r="F240" s="1119"/>
      <c r="G240" s="1121"/>
      <c r="H240" s="319" t="s">
        <v>12</v>
      </c>
      <c r="I240" s="1129"/>
      <c r="J240" s="1129"/>
      <c r="K240" s="1124"/>
      <c r="L240" s="1124">
        <f ca="1">IFERROR(__xludf.DUMMYFUNCTION("IMPORTRANGE(""https://docs.google.com/spreadsheets/d/1QqKyyYR6Q21VydFLVH3TRQUabQu_ym0Zz7PgGX0-kHA/edit?usp=sharing"",""แผน!AW86"")"),0)</f>
        <v>0</v>
      </c>
      <c r="M240" s="1124"/>
      <c r="N240" s="1125">
        <v>0</v>
      </c>
      <c r="O240" s="1124"/>
      <c r="P240" s="1124"/>
      <c r="Q240" s="1130"/>
      <c r="R240" s="1130"/>
      <c r="S240" s="1130"/>
      <c r="T240" s="1130"/>
      <c r="U240" s="1130"/>
      <c r="V240" s="1130"/>
      <c r="W240" s="1130"/>
      <c r="X240" s="1130"/>
      <c r="Y240" s="1130"/>
      <c r="Z240" s="1130"/>
    </row>
    <row r="241" spans="1:26" ht="19.5" hidden="1">
      <c r="A241" s="1127"/>
      <c r="B241" s="1118"/>
      <c r="C241" s="1128"/>
      <c r="D241" s="1120" t="s">
        <v>116</v>
      </c>
      <c r="E241" s="1119"/>
      <c r="F241" s="1119"/>
      <c r="G241" s="1121"/>
      <c r="H241" s="319" t="s">
        <v>12</v>
      </c>
      <c r="I241" s="1129"/>
      <c r="J241" s="1129"/>
      <c r="K241" s="1124"/>
      <c r="L241" s="1124">
        <f ca="1">IFERROR(__xludf.DUMMYFUNCTION("IMPORTRANGE(""https://docs.google.com/spreadsheets/d/1QqKyyYR6Q21VydFLVH3TRQUabQu_ym0Zz7PgGX0-kHA/edit?usp=sharing"",""แผน!AX86"")"),0)</f>
        <v>0</v>
      </c>
      <c r="M241" s="1124"/>
      <c r="N241" s="1125">
        <v>0</v>
      </c>
      <c r="O241" s="1124"/>
      <c r="P241" s="1124"/>
      <c r="Q241" s="1130"/>
      <c r="R241" s="1130"/>
      <c r="S241" s="1130"/>
      <c r="T241" s="1130"/>
      <c r="U241" s="1130"/>
      <c r="V241" s="1130"/>
      <c r="W241" s="1130"/>
      <c r="X241" s="1130"/>
      <c r="Y241" s="1130"/>
      <c r="Z241" s="1130"/>
    </row>
    <row r="242" spans="1:26" ht="19.5" hidden="1">
      <c r="A242" s="1127"/>
      <c r="B242" s="1118"/>
      <c r="C242" s="1128"/>
      <c r="D242" s="1120" t="s">
        <v>100</v>
      </c>
      <c r="E242" s="1119"/>
      <c r="F242" s="1119"/>
      <c r="G242" s="1121"/>
      <c r="H242" s="319" t="s">
        <v>12</v>
      </c>
      <c r="I242" s="1129"/>
      <c r="J242" s="1129"/>
      <c r="K242" s="1124"/>
      <c r="L242" s="1124">
        <f ca="1">IFERROR(__xludf.DUMMYFUNCTION("IMPORTRANGE(""https://docs.google.com/spreadsheets/d/1QqKyyYR6Q21VydFLVH3TRQUabQu_ym0Zz7PgGX0-kHA/edit?usp=sharing"",""แผน!AY86"")"),0)</f>
        <v>0</v>
      </c>
      <c r="M242" s="1124"/>
      <c r="N242" s="1125">
        <v>0</v>
      </c>
      <c r="O242" s="1124"/>
      <c r="P242" s="1124"/>
      <c r="Q242" s="1130"/>
      <c r="R242" s="1130"/>
      <c r="S242" s="1130"/>
      <c r="T242" s="1130"/>
      <c r="U242" s="1130"/>
      <c r="V242" s="1130"/>
      <c r="W242" s="1130"/>
      <c r="X242" s="1130"/>
      <c r="Y242" s="1130"/>
      <c r="Z242" s="1130"/>
    </row>
    <row r="243" spans="1:26" ht="19.5" hidden="1">
      <c r="A243" s="1002"/>
      <c r="B243" s="1003"/>
      <c r="C243" s="1092" t="s">
        <v>16</v>
      </c>
      <c r="D243" s="1004" t="s">
        <v>38</v>
      </c>
      <c r="E243" s="1005"/>
      <c r="F243" s="1005"/>
      <c r="G243" s="1006"/>
      <c r="H243" s="1007"/>
      <c r="I243" s="997"/>
      <c r="J243" s="880"/>
      <c r="K243" s="881"/>
      <c r="L243" s="881"/>
      <c r="M243" s="881"/>
      <c r="N243" s="881"/>
      <c r="O243" s="998"/>
      <c r="P243" s="998"/>
      <c r="Q243" s="868"/>
      <c r="R243" s="868"/>
      <c r="S243" s="868"/>
      <c r="T243" s="868"/>
      <c r="U243" s="868"/>
      <c r="V243" s="868"/>
      <c r="W243" s="868"/>
      <c r="X243" s="868"/>
      <c r="Y243" s="868"/>
      <c r="Z243" s="868"/>
    </row>
    <row r="244" spans="1:26" ht="18.75" hidden="1">
      <c r="A244" s="1002"/>
      <c r="B244" s="1003"/>
      <c r="C244" s="1003"/>
      <c r="D244" s="1009" t="s">
        <v>117</v>
      </c>
      <c r="E244" s="1010"/>
      <c r="F244" s="1010"/>
      <c r="G244" s="1011"/>
      <c r="H244" s="762" t="s">
        <v>35</v>
      </c>
      <c r="I244" s="880">
        <f ca="1">IFERROR(__xludf.DUMMYFUNCTION("IMPORTRANGE(""https://docs.google.com/spreadsheets/d/1QqKyyYR6Q21VydFLVH3TRQUabQu_ym0Zz7PgGX0-kHA/edit?usp=sharing"",""แผน!BE86"")"),0)</f>
        <v>0</v>
      </c>
      <c r="J244" s="1012">
        <v>0</v>
      </c>
      <c r="K244" s="881">
        <f ca="1">IF(I244&gt;0,J244*100/I244,0)</f>
        <v>0</v>
      </c>
      <c r="L244" s="881"/>
      <c r="M244" s="881"/>
      <c r="N244" s="881"/>
      <c r="O244" s="881"/>
      <c r="P244" s="881"/>
      <c r="Q244" s="868"/>
      <c r="R244" s="868"/>
      <c r="S244" s="868"/>
      <c r="T244" s="868"/>
      <c r="U244" s="868"/>
      <c r="V244" s="868"/>
      <c r="W244" s="868"/>
      <c r="X244" s="868"/>
      <c r="Y244" s="868"/>
      <c r="Z244" s="868"/>
    </row>
    <row r="245" spans="1:26" ht="18.75" hidden="1">
      <c r="A245" s="1002"/>
      <c r="B245" s="1003"/>
      <c r="C245" s="1003"/>
      <c r="D245" s="1131" t="s">
        <v>43</v>
      </c>
      <c r="E245" s="1010"/>
      <c r="F245" s="1010"/>
      <c r="G245" s="1011"/>
      <c r="H245" s="762"/>
      <c r="I245" s="880"/>
      <c r="J245" s="880"/>
      <c r="K245" s="881"/>
      <c r="L245" s="881"/>
      <c r="M245" s="881"/>
      <c r="N245" s="881"/>
      <c r="O245" s="998"/>
      <c r="P245" s="998"/>
      <c r="Q245" s="868"/>
      <c r="R245" s="868"/>
      <c r="S245" s="868"/>
      <c r="T245" s="868"/>
      <c r="U245" s="868"/>
      <c r="V245" s="868"/>
      <c r="W245" s="868"/>
      <c r="X245" s="868"/>
      <c r="Y245" s="868"/>
      <c r="Z245" s="868"/>
    </row>
    <row r="246" spans="1:26" ht="18.75" hidden="1">
      <c r="A246" s="1002"/>
      <c r="B246" s="1003"/>
      <c r="C246" s="1003"/>
      <c r="D246" s="1003"/>
      <c r="E246" s="1008" t="s">
        <v>118</v>
      </c>
      <c r="F246" s="1010"/>
      <c r="G246" s="1011"/>
      <c r="H246" s="762" t="s">
        <v>35</v>
      </c>
      <c r="I246" s="880"/>
      <c r="J246" s="1012">
        <v>0</v>
      </c>
      <c r="K246" s="881">
        <f t="shared" ref="K246:K248" si="112">IF(I246&gt;0,J246*100/I246,0)</f>
        <v>0</v>
      </c>
      <c r="L246" s="881"/>
      <c r="M246" s="881"/>
      <c r="N246" s="881"/>
      <c r="O246" s="881"/>
      <c r="P246" s="881"/>
      <c r="Q246" s="868"/>
      <c r="R246" s="868"/>
      <c r="S246" s="868"/>
      <c r="T246" s="868"/>
      <c r="U246" s="868"/>
      <c r="V246" s="868"/>
      <c r="W246" s="868"/>
      <c r="X246" s="868"/>
      <c r="Y246" s="868"/>
      <c r="Z246" s="868"/>
    </row>
    <row r="247" spans="1:26" ht="18.75" hidden="1">
      <c r="A247" s="1002"/>
      <c r="B247" s="1003"/>
      <c r="C247" s="1003"/>
      <c r="D247" s="1003"/>
      <c r="E247" s="1008" t="s">
        <v>119</v>
      </c>
      <c r="F247" s="1010"/>
      <c r="G247" s="1011"/>
      <c r="H247" s="762" t="s">
        <v>66</v>
      </c>
      <c r="I247" s="880"/>
      <c r="J247" s="1012">
        <v>0</v>
      </c>
      <c r="K247" s="881">
        <f t="shared" si="112"/>
        <v>0</v>
      </c>
      <c r="L247" s="881"/>
      <c r="M247" s="881"/>
      <c r="N247" s="881"/>
      <c r="O247" s="881"/>
      <c r="P247" s="881"/>
      <c r="Q247" s="868"/>
      <c r="R247" s="868"/>
      <c r="S247" s="868"/>
      <c r="T247" s="868"/>
      <c r="U247" s="868"/>
      <c r="V247" s="868"/>
      <c r="W247" s="868"/>
      <c r="X247" s="868"/>
      <c r="Y247" s="868"/>
      <c r="Z247" s="868"/>
    </row>
    <row r="248" spans="1:26" ht="19.5" hidden="1">
      <c r="A248" s="1063"/>
      <c r="B248" s="1070"/>
      <c r="C248" s="1077" t="s">
        <v>333</v>
      </c>
      <c r="D248" s="1064"/>
      <c r="E248" s="1064"/>
      <c r="F248" s="1064"/>
      <c r="G248" s="1066"/>
      <c r="H248" s="260" t="s">
        <v>35</v>
      </c>
      <c r="I248" s="1078" t="str">
        <f t="shared" ref="I248:J248" ca="1" si="113">I255</f>
        <v/>
      </c>
      <c r="J248" s="1078">
        <f t="shared" si="113"/>
        <v>0</v>
      </c>
      <c r="K248" s="1079" t="e">
        <f t="shared" ca="1" si="112"/>
        <v>#VALUE!</v>
      </c>
      <c r="L248" s="1068"/>
      <c r="M248" s="1068"/>
      <c r="N248" s="1068"/>
      <c r="O248" s="1068"/>
      <c r="P248" s="1068"/>
    </row>
    <row r="249" spans="1:26" ht="19.5" hidden="1">
      <c r="A249" s="985"/>
      <c r="B249" s="986"/>
      <c r="C249" s="987" t="s">
        <v>16</v>
      </c>
      <c r="D249" s="1080" t="s">
        <v>17</v>
      </c>
      <c r="E249" s="986"/>
      <c r="F249" s="986"/>
      <c r="G249" s="989"/>
      <c r="H249" s="275" t="s">
        <v>12</v>
      </c>
      <c r="I249" s="1082"/>
      <c r="J249" s="1082"/>
      <c r="K249" s="1083"/>
      <c r="L249" s="992">
        <f ca="1">L250+L251+L252+L253</f>
        <v>0</v>
      </c>
      <c r="M249" s="992"/>
      <c r="N249" s="992">
        <f>N250+N251+N252+N253</f>
        <v>0</v>
      </c>
      <c r="O249" s="992">
        <f ca="1">IF(L249&gt;0,N249*100/L249,0)</f>
        <v>0</v>
      </c>
      <c r="P249" s="992">
        <f>IF(M249&gt;0,N249*100/M249,0)</f>
        <v>0</v>
      </c>
      <c r="Q249" s="868"/>
      <c r="R249" s="868"/>
      <c r="S249" s="868"/>
      <c r="T249" s="868"/>
      <c r="U249" s="868"/>
      <c r="V249" s="868"/>
      <c r="W249" s="868"/>
      <c r="X249" s="868"/>
      <c r="Y249" s="868"/>
      <c r="Z249" s="868"/>
    </row>
    <row r="250" spans="1:26" ht="18.75" hidden="1">
      <c r="A250" s="1117"/>
      <c r="B250" s="1118"/>
      <c r="C250" s="1119"/>
      <c r="D250" s="1120" t="s">
        <v>97</v>
      </c>
      <c r="E250" s="1119"/>
      <c r="F250" s="1119"/>
      <c r="G250" s="1121"/>
      <c r="H250" s="319" t="s">
        <v>12</v>
      </c>
      <c r="I250" s="1122"/>
      <c r="J250" s="1122"/>
      <c r="K250" s="1123"/>
      <c r="L250" s="1124">
        <f ca="1">IFERROR(__xludf.DUMMYFUNCTION("IMPORTRANGE(""https://docs.google.com/spreadsheets/d/1QqKyyYR6Q21VydFLVH3TRQUabQu_ym0Zz7PgGX0-kHA/edit?usp=sharing"",""แผน!AZ86"")"),0)</f>
        <v>0</v>
      </c>
      <c r="M250" s="1124"/>
      <c r="N250" s="1125">
        <v>0</v>
      </c>
      <c r="O250" s="1124"/>
      <c r="P250" s="1124"/>
      <c r="Q250" s="1126"/>
      <c r="R250" s="1126"/>
      <c r="S250" s="1126"/>
      <c r="T250" s="1126"/>
      <c r="U250" s="1126"/>
      <c r="V250" s="1126"/>
      <c r="W250" s="1126"/>
      <c r="X250" s="1126"/>
      <c r="Y250" s="1126"/>
      <c r="Z250" s="1126"/>
    </row>
    <row r="251" spans="1:26" ht="19.5" hidden="1">
      <c r="A251" s="1127"/>
      <c r="B251" s="1118"/>
      <c r="C251" s="1128"/>
      <c r="D251" s="1120" t="s">
        <v>98</v>
      </c>
      <c r="E251" s="1119"/>
      <c r="F251" s="1119"/>
      <c r="G251" s="1121"/>
      <c r="H251" s="319" t="s">
        <v>12</v>
      </c>
      <c r="I251" s="1129"/>
      <c r="J251" s="1129"/>
      <c r="K251" s="1124"/>
      <c r="L251" s="1124">
        <f ca="1">IFERROR(__xludf.DUMMYFUNCTION("IMPORTRANGE(""https://docs.google.com/spreadsheets/d/1QqKyyYR6Q21VydFLVH3TRQUabQu_ym0Zz7PgGX0-kHA/edit?usp=sharing"",""แผน!BA86"")"),0)</f>
        <v>0</v>
      </c>
      <c r="M251" s="1124"/>
      <c r="N251" s="1125">
        <v>0</v>
      </c>
      <c r="O251" s="1124"/>
      <c r="P251" s="1124"/>
      <c r="Q251" s="1130"/>
      <c r="R251" s="1130"/>
      <c r="S251" s="1130"/>
      <c r="T251" s="1130"/>
      <c r="U251" s="1130"/>
      <c r="V251" s="1130"/>
      <c r="W251" s="1130"/>
      <c r="X251" s="1130"/>
      <c r="Y251" s="1130"/>
      <c r="Z251" s="1130"/>
    </row>
    <row r="252" spans="1:26" ht="19.5" hidden="1">
      <c r="A252" s="1127"/>
      <c r="B252" s="1118"/>
      <c r="C252" s="1128"/>
      <c r="D252" s="1120" t="s">
        <v>116</v>
      </c>
      <c r="E252" s="1119"/>
      <c r="F252" s="1119"/>
      <c r="G252" s="1121"/>
      <c r="H252" s="319" t="s">
        <v>12</v>
      </c>
      <c r="I252" s="1129"/>
      <c r="J252" s="1129"/>
      <c r="K252" s="1124"/>
      <c r="L252" s="1124">
        <f ca="1">IFERROR(__xludf.DUMMYFUNCTION("IMPORTRANGE(""https://docs.google.com/spreadsheets/d/1QqKyyYR6Q21VydFLVH3TRQUabQu_ym0Zz7PgGX0-kHA/edit?usp=sharing"",""แผน!BB86"")"),0)</f>
        <v>0</v>
      </c>
      <c r="M252" s="1124"/>
      <c r="N252" s="1125">
        <v>0</v>
      </c>
      <c r="O252" s="1124"/>
      <c r="P252" s="1124"/>
      <c r="Q252" s="1130"/>
      <c r="R252" s="1130"/>
      <c r="S252" s="1130"/>
      <c r="T252" s="1130"/>
      <c r="U252" s="1130"/>
      <c r="V252" s="1130"/>
      <c r="W252" s="1130"/>
      <c r="X252" s="1130"/>
      <c r="Y252" s="1130"/>
      <c r="Z252" s="1130"/>
    </row>
    <row r="253" spans="1:26" ht="19.5" hidden="1">
      <c r="A253" s="1127"/>
      <c r="B253" s="1118"/>
      <c r="C253" s="1128"/>
      <c r="D253" s="1120" t="s">
        <v>100</v>
      </c>
      <c r="E253" s="1119"/>
      <c r="F253" s="1119"/>
      <c r="G253" s="1121"/>
      <c r="H253" s="319" t="s">
        <v>12</v>
      </c>
      <c r="I253" s="1129"/>
      <c r="J253" s="1129"/>
      <c r="K253" s="1124"/>
      <c r="L253" s="1124">
        <f ca="1">IFERROR(__xludf.DUMMYFUNCTION("IMPORTRANGE(""https://docs.google.com/spreadsheets/d/1QqKyyYR6Q21VydFLVH3TRQUabQu_ym0Zz7PgGX0-kHA/edit?usp=sharing"",""แผน!BC86"")"),0)</f>
        <v>0</v>
      </c>
      <c r="M253" s="1124"/>
      <c r="N253" s="1125">
        <v>0</v>
      </c>
      <c r="O253" s="1124"/>
      <c r="P253" s="1124"/>
      <c r="Q253" s="1130"/>
      <c r="R253" s="1130"/>
      <c r="S253" s="1130"/>
      <c r="T253" s="1130"/>
      <c r="U253" s="1130"/>
      <c r="V253" s="1130"/>
      <c r="W253" s="1130"/>
      <c r="X253" s="1130"/>
      <c r="Y253" s="1130"/>
      <c r="Z253" s="1130"/>
    </row>
    <row r="254" spans="1:26" ht="19.5" hidden="1">
      <c r="A254" s="1002"/>
      <c r="B254" s="1003"/>
      <c r="C254" s="1092" t="s">
        <v>16</v>
      </c>
      <c r="D254" s="1004" t="s">
        <v>38</v>
      </c>
      <c r="E254" s="1005"/>
      <c r="F254" s="1005"/>
      <c r="G254" s="1006"/>
      <c r="H254" s="1007"/>
      <c r="I254" s="997"/>
      <c r="J254" s="880"/>
      <c r="K254" s="881"/>
      <c r="L254" s="881"/>
      <c r="M254" s="881"/>
      <c r="N254" s="881"/>
      <c r="O254" s="998"/>
      <c r="P254" s="998"/>
      <c r="Q254" s="868"/>
      <c r="R254" s="868"/>
      <c r="S254" s="868"/>
      <c r="T254" s="868"/>
      <c r="U254" s="868"/>
      <c r="V254" s="868"/>
      <c r="W254" s="868"/>
      <c r="X254" s="868"/>
      <c r="Y254" s="868"/>
      <c r="Z254" s="868"/>
    </row>
    <row r="255" spans="1:26" ht="18.75" hidden="1">
      <c r="A255" s="1002"/>
      <c r="B255" s="1003"/>
      <c r="C255" s="1003"/>
      <c r="D255" s="1009" t="s">
        <v>117</v>
      </c>
      <c r="E255" s="1010"/>
      <c r="F255" s="1010"/>
      <c r="G255" s="1011"/>
      <c r="H255" s="762" t="s">
        <v>35</v>
      </c>
      <c r="I255" s="880" t="str">
        <f ca="1">IFERROR(__xludf.DUMMYFUNCTION("IMPORTRANGE(""https://docs.google.com/spreadsheets/d/1QqKyyYR6Q21VydFLVH3TRQUabQu_ym0Zz7PgGX0-kHA/edit?usp=sharing"",""แผน!BF86"")"),"")</f>
        <v/>
      </c>
      <c r="J255" s="1012">
        <v>0</v>
      </c>
      <c r="K255" s="881" t="e">
        <f ca="1">IF(I255&gt;0,J255*100/I255,0)</f>
        <v>#VALUE!</v>
      </c>
      <c r="L255" s="881"/>
      <c r="M255" s="881"/>
      <c r="N255" s="881"/>
      <c r="O255" s="881"/>
      <c r="P255" s="881"/>
      <c r="Q255" s="868"/>
      <c r="R255" s="868"/>
      <c r="S255" s="868"/>
      <c r="T255" s="868"/>
      <c r="U255" s="868"/>
      <c r="V255" s="868"/>
      <c r="W255" s="868"/>
      <c r="X255" s="868"/>
      <c r="Y255" s="868"/>
      <c r="Z255" s="868"/>
    </row>
    <row r="256" spans="1:26" ht="18.75" hidden="1">
      <c r="A256" s="1002"/>
      <c r="B256" s="1003"/>
      <c r="C256" s="1003"/>
      <c r="D256" s="1131" t="s">
        <v>43</v>
      </c>
      <c r="E256" s="1010"/>
      <c r="F256" s="1010"/>
      <c r="G256" s="1011"/>
      <c r="H256" s="762"/>
      <c r="I256" s="880"/>
      <c r="J256" s="880"/>
      <c r="K256" s="881"/>
      <c r="L256" s="881"/>
      <c r="M256" s="881"/>
      <c r="N256" s="881"/>
      <c r="O256" s="998"/>
      <c r="P256" s="998"/>
      <c r="Q256" s="868"/>
      <c r="R256" s="868"/>
      <c r="S256" s="868"/>
      <c r="T256" s="868"/>
      <c r="U256" s="868"/>
      <c r="V256" s="868"/>
      <c r="W256" s="868"/>
      <c r="X256" s="868"/>
      <c r="Y256" s="868"/>
      <c r="Z256" s="868"/>
    </row>
    <row r="257" spans="1:26" ht="18.75" hidden="1">
      <c r="A257" s="1002"/>
      <c r="B257" s="1003"/>
      <c r="C257" s="1003"/>
      <c r="D257" s="1003"/>
      <c r="E257" s="1008" t="s">
        <v>118</v>
      </c>
      <c r="F257" s="1010"/>
      <c r="G257" s="1011"/>
      <c r="H257" s="762" t="s">
        <v>35</v>
      </c>
      <c r="I257" s="880"/>
      <c r="J257" s="1012">
        <v>0</v>
      </c>
      <c r="K257" s="881">
        <f t="shared" ref="K257:K258" si="114">IF(I257&gt;0,J257*100/I257,0)</f>
        <v>0</v>
      </c>
      <c r="L257" s="881"/>
      <c r="M257" s="881"/>
      <c r="N257" s="881"/>
      <c r="O257" s="881"/>
      <c r="P257" s="881"/>
      <c r="Q257" s="868"/>
      <c r="R257" s="868"/>
      <c r="S257" s="868"/>
      <c r="T257" s="868"/>
      <c r="U257" s="868"/>
      <c r="V257" s="868"/>
      <c r="W257" s="868"/>
      <c r="X257" s="868"/>
      <c r="Y257" s="868"/>
      <c r="Z257" s="868"/>
    </row>
    <row r="258" spans="1:26" ht="18.75" hidden="1">
      <c r="A258" s="1002"/>
      <c r="B258" s="1003"/>
      <c r="C258" s="1003"/>
      <c r="D258" s="1003"/>
      <c r="E258" s="1008" t="s">
        <v>119</v>
      </c>
      <c r="F258" s="1010"/>
      <c r="G258" s="1011"/>
      <c r="H258" s="762" t="s">
        <v>66</v>
      </c>
      <c r="I258" s="880"/>
      <c r="J258" s="1012">
        <v>0</v>
      </c>
      <c r="K258" s="881">
        <f t="shared" si="114"/>
        <v>0</v>
      </c>
      <c r="L258" s="881"/>
      <c r="M258" s="881"/>
      <c r="N258" s="881"/>
      <c r="O258" s="881"/>
      <c r="P258" s="881"/>
      <c r="Q258" s="868"/>
      <c r="R258" s="868"/>
      <c r="S258" s="868"/>
      <c r="T258" s="868"/>
      <c r="U258" s="868"/>
      <c r="V258" s="868"/>
      <c r="W258" s="868"/>
      <c r="X258" s="868"/>
      <c r="Y258" s="868"/>
      <c r="Z258" s="868"/>
    </row>
    <row r="259" spans="1:26" ht="19.5">
      <c r="A259" s="1051" t="s">
        <v>122</v>
      </c>
      <c r="B259" s="1052"/>
      <c r="C259" s="1052"/>
      <c r="D259" s="1053"/>
      <c r="E259" s="1053"/>
      <c r="F259" s="1053"/>
      <c r="G259" s="1054"/>
      <c r="H259" s="1055"/>
      <c r="I259" s="1056"/>
      <c r="J259" s="1056"/>
      <c r="K259" s="1057"/>
      <c r="L259" s="1057"/>
      <c r="M259" s="1057"/>
      <c r="N259" s="1057"/>
      <c r="O259" s="1057"/>
      <c r="P259" s="1057"/>
    </row>
    <row r="260" spans="1:26" ht="19.5">
      <c r="A260" s="1058"/>
      <c r="B260" s="1059" t="s">
        <v>123</v>
      </c>
      <c r="C260" s="1060"/>
      <c r="D260" s="1005"/>
      <c r="E260" s="1005"/>
      <c r="F260" s="1005"/>
      <c r="G260" s="1006"/>
      <c r="H260" s="252" t="s">
        <v>35</v>
      </c>
      <c r="I260" s="1075">
        <f t="shared" ref="I260:J260" ca="1" si="115">I271</f>
        <v>20</v>
      </c>
      <c r="J260" s="1075">
        <f t="shared" si="115"/>
        <v>0</v>
      </c>
      <c r="K260" s="1076">
        <f ca="1">IF(I260&gt;0,J260*100/I260,0)</f>
        <v>0</v>
      </c>
      <c r="L260" s="1062"/>
      <c r="M260" s="1062"/>
      <c r="N260" s="1062"/>
      <c r="O260" s="1062"/>
      <c r="P260" s="1062"/>
    </row>
    <row r="261" spans="1:26" ht="19.5">
      <c r="A261" s="985"/>
      <c r="B261" s="986"/>
      <c r="C261" s="987" t="s">
        <v>16</v>
      </c>
      <c r="D261" s="988" t="s">
        <v>17</v>
      </c>
      <c r="E261" s="986"/>
      <c r="F261" s="986"/>
      <c r="G261" s="989"/>
      <c r="H261" s="152" t="s">
        <v>12</v>
      </c>
      <c r="I261" s="990"/>
      <c r="J261" s="990"/>
      <c r="K261" s="991"/>
      <c r="L261" s="992">
        <f t="shared" ref="L261:N261" ca="1" si="116">L262+L263</f>
        <v>25000</v>
      </c>
      <c r="M261" s="992">
        <f t="shared" ca="1" si="116"/>
        <v>0</v>
      </c>
      <c r="N261" s="992">
        <f t="shared" ca="1" si="116"/>
        <v>0</v>
      </c>
      <c r="O261" s="992">
        <f t="shared" ref="O261:O269" ca="1" si="117">IF(L261&gt;0,N261*100/L261,0)</f>
        <v>0</v>
      </c>
      <c r="P261" s="992">
        <f t="shared" ref="P261:P269" ca="1" si="118">IF(M261&gt;0,N261*100/M261,0)</f>
        <v>0</v>
      </c>
      <c r="Q261" s="868"/>
      <c r="R261" s="868"/>
      <c r="S261" s="868"/>
      <c r="T261" s="868"/>
      <c r="U261" s="868"/>
      <c r="V261" s="868"/>
      <c r="W261" s="868"/>
      <c r="X261" s="868"/>
      <c r="Y261" s="868"/>
      <c r="Z261" s="868"/>
    </row>
    <row r="262" spans="1:26" ht="18.75" hidden="1">
      <c r="A262" s="993"/>
      <c r="B262" s="883"/>
      <c r="C262" s="883"/>
      <c r="D262" s="883"/>
      <c r="E262" s="884" t="s">
        <v>18</v>
      </c>
      <c r="F262" s="883"/>
      <c r="G262" s="994"/>
      <c r="H262" s="158" t="s">
        <v>12</v>
      </c>
      <c r="I262" s="886"/>
      <c r="J262" s="886"/>
      <c r="K262" s="887"/>
      <c r="L262" s="887">
        <f t="shared" ref="L262:N263" si="119">L265+L268</f>
        <v>0</v>
      </c>
      <c r="M262" s="887">
        <f t="shared" si="119"/>
        <v>0</v>
      </c>
      <c r="N262" s="887">
        <f t="shared" si="119"/>
        <v>0</v>
      </c>
      <c r="O262" s="887">
        <f t="shared" si="117"/>
        <v>0</v>
      </c>
      <c r="P262" s="887">
        <f t="shared" si="118"/>
        <v>0</v>
      </c>
      <c r="Q262" s="875"/>
      <c r="R262" s="875"/>
      <c r="S262" s="875"/>
      <c r="T262" s="875"/>
      <c r="U262" s="875"/>
      <c r="V262" s="875"/>
      <c r="W262" s="875"/>
      <c r="X262" s="875"/>
      <c r="Y262" s="875"/>
      <c r="Z262" s="875"/>
    </row>
    <row r="263" spans="1:26" ht="18.75" hidden="1">
      <c r="A263" s="993"/>
      <c r="B263" s="883"/>
      <c r="C263" s="883"/>
      <c r="D263" s="883"/>
      <c r="E263" s="884" t="s">
        <v>19</v>
      </c>
      <c r="F263" s="883"/>
      <c r="G263" s="994"/>
      <c r="H263" s="158" t="s">
        <v>12</v>
      </c>
      <c r="I263" s="886"/>
      <c r="J263" s="886"/>
      <c r="K263" s="887"/>
      <c r="L263" s="887">
        <f t="shared" ca="1" si="119"/>
        <v>25000</v>
      </c>
      <c r="M263" s="887">
        <f t="shared" ca="1" si="119"/>
        <v>0</v>
      </c>
      <c r="N263" s="887">
        <f t="shared" ca="1" si="119"/>
        <v>0</v>
      </c>
      <c r="O263" s="887">
        <f t="shared" ca="1" si="117"/>
        <v>0</v>
      </c>
      <c r="P263" s="887">
        <f t="shared" ca="1" si="118"/>
        <v>0</v>
      </c>
      <c r="Q263" s="875"/>
      <c r="R263" s="875"/>
      <c r="S263" s="875"/>
      <c r="T263" s="875"/>
      <c r="U263" s="875"/>
      <c r="V263" s="875"/>
      <c r="W263" s="875"/>
      <c r="X263" s="875"/>
      <c r="Y263" s="875"/>
      <c r="Z263" s="875"/>
    </row>
    <row r="264" spans="1:26" ht="18.75">
      <c r="A264" s="995"/>
      <c r="B264" s="877"/>
      <c r="C264" s="996"/>
      <c r="D264" s="878" t="s">
        <v>20</v>
      </c>
      <c r="E264" s="877"/>
      <c r="F264" s="877"/>
      <c r="G264" s="879"/>
      <c r="H264" s="161" t="s">
        <v>12</v>
      </c>
      <c r="I264" s="997"/>
      <c r="J264" s="997"/>
      <c r="K264" s="998"/>
      <c r="L264" s="881">
        <f t="shared" ref="L264:N264" ca="1" si="120">L265+L266</f>
        <v>25000</v>
      </c>
      <c r="M264" s="881">
        <f t="shared" ca="1" si="120"/>
        <v>0</v>
      </c>
      <c r="N264" s="881">
        <f t="shared" ca="1" si="120"/>
        <v>0</v>
      </c>
      <c r="O264" s="881">
        <f t="shared" ca="1" si="117"/>
        <v>0</v>
      </c>
      <c r="P264" s="881">
        <f t="shared" ca="1" si="118"/>
        <v>0</v>
      </c>
      <c r="Q264" s="868"/>
      <c r="R264" s="868"/>
      <c r="S264" s="868"/>
      <c r="T264" s="868"/>
      <c r="U264" s="868"/>
      <c r="V264" s="868"/>
      <c r="W264" s="868"/>
      <c r="X264" s="868"/>
      <c r="Y264" s="868"/>
      <c r="Z264" s="868"/>
    </row>
    <row r="265" spans="1:26" ht="19.5" hidden="1">
      <c r="A265" s="993"/>
      <c r="B265" s="883"/>
      <c r="C265" s="999"/>
      <c r="D265" s="883"/>
      <c r="E265" s="884" t="s">
        <v>36</v>
      </c>
      <c r="F265" s="883"/>
      <c r="G265" s="994"/>
      <c r="H265" s="165" t="s">
        <v>12</v>
      </c>
      <c r="I265" s="1000"/>
      <c r="J265" s="1000"/>
      <c r="K265" s="1001"/>
      <c r="L265" s="887">
        <v>0</v>
      </c>
      <c r="M265" s="887">
        <v>0</v>
      </c>
      <c r="N265" s="887">
        <v>0</v>
      </c>
      <c r="O265" s="887">
        <f t="shared" si="117"/>
        <v>0</v>
      </c>
      <c r="P265" s="887">
        <f t="shared" si="118"/>
        <v>0</v>
      </c>
      <c r="Q265" s="875"/>
      <c r="R265" s="875"/>
      <c r="S265" s="875"/>
      <c r="T265" s="875"/>
      <c r="U265" s="875"/>
      <c r="V265" s="875"/>
      <c r="W265" s="875"/>
      <c r="X265" s="875"/>
      <c r="Y265" s="875"/>
      <c r="Z265" s="875"/>
    </row>
    <row r="266" spans="1:26" ht="19.5" hidden="1">
      <c r="A266" s="993"/>
      <c r="B266" s="883"/>
      <c r="C266" s="999"/>
      <c r="D266" s="883"/>
      <c r="E266" s="884" t="s">
        <v>37</v>
      </c>
      <c r="F266" s="883"/>
      <c r="G266" s="994"/>
      <c r="H266" s="165" t="s">
        <v>12</v>
      </c>
      <c r="I266" s="1000"/>
      <c r="J266" s="1000"/>
      <c r="K266" s="1001"/>
      <c r="L266" s="887">
        <f ca="1">IFERROR(__xludf.DUMMYFUNCTION("IMPORTRANGE(""https://docs.google.com/spreadsheets/d/1MeEWN-I1oV_STSDYn1IFDPWt_1FKiwhDph83XaGc0o0/edit?usp=sharing"",""งบพรบ!CY86"")"),25000)</f>
        <v>25000</v>
      </c>
      <c r="M266" s="887">
        <f ca="1">IFERROR(__xludf.DUMMYFUNCTION("IMPORTRANGE(""https://docs.google.com/spreadsheets/d/1MeEWN-I1oV_STSDYn1IFDPWt_1FKiwhDph83XaGc0o0/edit?usp=sharing"",""งบพรบ!DD86"")"),0)</f>
        <v>0</v>
      </c>
      <c r="N266" s="887">
        <f ca="1">IFERROR(__xludf.DUMMYFUNCTION("IMPORTRANGE(""https://docs.google.com/spreadsheets/d/1MeEWN-I1oV_STSDYn1IFDPWt_1FKiwhDph83XaGc0o0/edit?usp=sharing"",""งบพรบ!DF86"")"),0)</f>
        <v>0</v>
      </c>
      <c r="O266" s="887">
        <f t="shared" ca="1" si="117"/>
        <v>0</v>
      </c>
      <c r="P266" s="887">
        <f t="shared" ca="1" si="118"/>
        <v>0</v>
      </c>
      <c r="Q266" s="875"/>
      <c r="R266" s="875"/>
      <c r="S266" s="875"/>
      <c r="T266" s="875"/>
      <c r="U266" s="875"/>
      <c r="V266" s="875"/>
      <c r="W266" s="875"/>
      <c r="X266" s="875"/>
      <c r="Y266" s="875"/>
      <c r="Z266" s="875"/>
    </row>
    <row r="267" spans="1:26" ht="18.75">
      <c r="A267" s="995"/>
      <c r="B267" s="877"/>
      <c r="C267" s="996"/>
      <c r="D267" s="878" t="s">
        <v>21</v>
      </c>
      <c r="E267" s="877"/>
      <c r="F267" s="877"/>
      <c r="G267" s="879"/>
      <c r="H267" s="168" t="s">
        <v>12</v>
      </c>
      <c r="I267" s="997"/>
      <c r="J267" s="997"/>
      <c r="K267" s="998"/>
      <c r="L267" s="881">
        <f t="shared" ref="L267:N267" ca="1" si="121">L268+L269</f>
        <v>0</v>
      </c>
      <c r="M267" s="881">
        <f t="shared" ca="1" si="121"/>
        <v>0</v>
      </c>
      <c r="N267" s="881">
        <f t="shared" ca="1" si="121"/>
        <v>0</v>
      </c>
      <c r="O267" s="881">
        <f t="shared" ca="1" si="117"/>
        <v>0</v>
      </c>
      <c r="P267" s="881">
        <f t="shared" ca="1" si="118"/>
        <v>0</v>
      </c>
      <c r="Q267" s="868"/>
      <c r="R267" s="868"/>
      <c r="S267" s="868"/>
      <c r="T267" s="868"/>
      <c r="U267" s="868"/>
      <c r="V267" s="868"/>
      <c r="W267" s="868"/>
      <c r="X267" s="868"/>
      <c r="Y267" s="868"/>
      <c r="Z267" s="868"/>
    </row>
    <row r="268" spans="1:26" ht="19.5" hidden="1">
      <c r="A268" s="993"/>
      <c r="B268" s="883"/>
      <c r="C268" s="999"/>
      <c r="D268" s="883"/>
      <c r="E268" s="884" t="s">
        <v>18</v>
      </c>
      <c r="F268" s="883"/>
      <c r="G268" s="994"/>
      <c r="H268" s="165" t="s">
        <v>12</v>
      </c>
      <c r="I268" s="1000"/>
      <c r="J268" s="1000"/>
      <c r="K268" s="1001"/>
      <c r="L268" s="887">
        <v>0</v>
      </c>
      <c r="M268" s="887">
        <v>0</v>
      </c>
      <c r="N268" s="887">
        <v>0</v>
      </c>
      <c r="O268" s="887">
        <f t="shared" si="117"/>
        <v>0</v>
      </c>
      <c r="P268" s="887">
        <f t="shared" si="118"/>
        <v>0</v>
      </c>
      <c r="Q268" s="875"/>
      <c r="R268" s="875"/>
      <c r="S268" s="875"/>
      <c r="T268" s="875"/>
      <c r="U268" s="875"/>
      <c r="V268" s="875"/>
      <c r="W268" s="875"/>
      <c r="X268" s="875"/>
      <c r="Y268" s="875"/>
      <c r="Z268" s="875"/>
    </row>
    <row r="269" spans="1:26" ht="19.5" hidden="1">
      <c r="A269" s="993"/>
      <c r="B269" s="883"/>
      <c r="C269" s="999"/>
      <c r="D269" s="883"/>
      <c r="E269" s="884" t="s">
        <v>19</v>
      </c>
      <c r="F269" s="883"/>
      <c r="G269" s="994"/>
      <c r="H269" s="169" t="s">
        <v>12</v>
      </c>
      <c r="I269" s="1000"/>
      <c r="J269" s="1000"/>
      <c r="K269" s="1001"/>
      <c r="L269" s="887">
        <f ca="1">IFERROR(__xludf.DUMMYFUNCTION("IMPORTRANGE(""https://docs.google.com/spreadsheets/d/1MeEWN-I1oV_STSDYn1IFDPWt_1FKiwhDph83XaGc0o0/edit?usp=sharing"",""งบพรบ!DB86"")"),0)</f>
        <v>0</v>
      </c>
      <c r="M269" s="887">
        <f ca="1">IFERROR(__xludf.DUMMYFUNCTION("IMPORTRANGE(""https://docs.google.com/spreadsheets/d/1MeEWN-I1oV_STSDYn1IFDPWt_1FKiwhDph83XaGc0o0/edit?usp=sharing"",""งบพรบ!DE86"")"),0)</f>
        <v>0</v>
      </c>
      <c r="N269" s="887">
        <f ca="1">IFERROR(__xludf.DUMMYFUNCTION("IMPORTRANGE(""https://docs.google.com/spreadsheets/d/1MeEWN-I1oV_STSDYn1IFDPWt_1FKiwhDph83XaGc0o0/edit?usp=sharing"",""งบพรบ!DG86"")"),0)</f>
        <v>0</v>
      </c>
      <c r="O269" s="887">
        <f t="shared" ca="1" si="117"/>
        <v>0</v>
      </c>
      <c r="P269" s="887">
        <f t="shared" ca="1" si="118"/>
        <v>0</v>
      </c>
      <c r="Q269" s="875"/>
      <c r="R269" s="875"/>
      <c r="S269" s="875"/>
      <c r="T269" s="875"/>
      <c r="U269" s="875"/>
      <c r="V269" s="875"/>
      <c r="W269" s="875"/>
      <c r="X269" s="875"/>
      <c r="Y269" s="875"/>
      <c r="Z269" s="875"/>
    </row>
    <row r="270" spans="1:26" ht="19.5">
      <c r="A270" s="1002"/>
      <c r="B270" s="1003"/>
      <c r="C270" s="996" t="s">
        <v>16</v>
      </c>
      <c r="D270" s="1004" t="s">
        <v>38</v>
      </c>
      <c r="E270" s="1005"/>
      <c r="F270" s="1005"/>
      <c r="G270" s="1006"/>
      <c r="H270" s="1007"/>
      <c r="I270" s="997"/>
      <c r="J270" s="997"/>
      <c r="K270" s="998"/>
      <c r="L270" s="998"/>
      <c r="M270" s="998"/>
      <c r="N270" s="998"/>
      <c r="O270" s="998"/>
      <c r="P270" s="998"/>
    </row>
    <row r="271" spans="1:26" ht="18.75">
      <c r="A271" s="1002"/>
      <c r="B271" s="1003"/>
      <c r="C271" s="1003"/>
      <c r="D271" s="1132" t="s">
        <v>124</v>
      </c>
      <c r="E271" s="1010"/>
      <c r="F271" s="1074"/>
      <c r="G271" s="1011"/>
      <c r="H271" s="377" t="s">
        <v>35</v>
      </c>
      <c r="I271" s="880">
        <f ca="1">IFERROR(__xludf.DUMMYFUNCTION("IMPORTRANGE(""https://docs.google.com/spreadsheets/d/1QqKyyYR6Q21VydFLVH3TRQUabQu_ym0Zz7PgGX0-kHA/edit?usp=sharing"",""แผน!EA86"")"),20)</f>
        <v>20</v>
      </c>
      <c r="J271" s="1012">
        <v>0</v>
      </c>
      <c r="K271" s="998">
        <f ca="1">IF(I271&gt;0,J271*100/I271,0)</f>
        <v>0</v>
      </c>
      <c r="L271" s="998"/>
      <c r="M271" s="998"/>
      <c r="N271" s="998"/>
      <c r="O271" s="998"/>
      <c r="P271" s="998"/>
    </row>
    <row r="272" spans="1:26" ht="18.75" hidden="1">
      <c r="A272" s="1133"/>
      <c r="B272" s="1134"/>
      <c r="C272" s="1134"/>
      <c r="D272" s="1135" t="s">
        <v>125</v>
      </c>
      <c r="E272" s="1136"/>
      <c r="F272" s="1136"/>
      <c r="G272" s="1137"/>
      <c r="H272" s="50" t="s">
        <v>35</v>
      </c>
      <c r="I272" s="1138">
        <v>0</v>
      </c>
      <c r="J272" s="1138">
        <v>0</v>
      </c>
      <c r="K272" s="1139">
        <v>0</v>
      </c>
      <c r="L272" s="1139"/>
      <c r="M272" s="1139"/>
      <c r="N272" s="1139"/>
      <c r="O272" s="1139"/>
      <c r="P272" s="1139"/>
    </row>
    <row r="273" spans="1:26" ht="19.5" hidden="1">
      <c r="A273" s="1140" t="s">
        <v>126</v>
      </c>
      <c r="B273" s="1141"/>
      <c r="C273" s="1141"/>
      <c r="D273" s="1141"/>
      <c r="E273" s="1142"/>
      <c r="F273" s="1142"/>
      <c r="G273" s="1143"/>
      <c r="H273" s="1144"/>
      <c r="I273" s="1145"/>
      <c r="J273" s="1145"/>
      <c r="K273" s="1146"/>
      <c r="L273" s="1146"/>
      <c r="M273" s="1146"/>
      <c r="N273" s="1146"/>
      <c r="O273" s="1146"/>
      <c r="P273" s="1146"/>
    </row>
    <row r="274" spans="1:26" ht="19.5" hidden="1">
      <c r="A274" s="1147" t="s">
        <v>127</v>
      </c>
      <c r="B274" s="1148"/>
      <c r="C274" s="1149"/>
      <c r="D274" s="1148"/>
      <c r="E274" s="1148"/>
      <c r="F274" s="1148"/>
      <c r="G274" s="1148"/>
      <c r="H274" s="1150"/>
      <c r="I274" s="1151"/>
      <c r="J274" s="1152"/>
      <c r="K274" s="1153"/>
      <c r="L274" s="1153"/>
      <c r="M274" s="1153"/>
      <c r="N274" s="1153"/>
      <c r="O274" s="1153"/>
      <c r="P274" s="1153"/>
    </row>
    <row r="275" spans="1:26" ht="19.5" hidden="1">
      <c r="A275" s="1154"/>
      <c r="B275" s="1155" t="s">
        <v>128</v>
      </c>
      <c r="C275" s="1156"/>
      <c r="D275" s="1157"/>
      <c r="E275" s="1156"/>
      <c r="F275" s="1156"/>
      <c r="G275" s="1158"/>
      <c r="H275" s="405" t="s">
        <v>35</v>
      </c>
      <c r="I275" s="1159">
        <f t="shared" ref="I275:J275" ca="1" si="122">I288</f>
        <v>0</v>
      </c>
      <c r="J275" s="1159">
        <f t="shared" ca="1" si="122"/>
        <v>0</v>
      </c>
      <c r="K275" s="1160">
        <f t="shared" ref="K275:K276" ca="1" si="123">IF(I275&gt;0,J275*100/I275,0)</f>
        <v>0</v>
      </c>
      <c r="L275" s="1161"/>
      <c r="M275" s="1161"/>
      <c r="N275" s="1161"/>
      <c r="O275" s="1161"/>
      <c r="P275" s="1161"/>
    </row>
    <row r="276" spans="1:26" ht="19.5" hidden="1">
      <c r="A276" s="1154"/>
      <c r="B276" s="1155"/>
      <c r="C276" s="1156"/>
      <c r="D276" s="1157"/>
      <c r="E276" s="1156"/>
      <c r="F276" s="1156"/>
      <c r="G276" s="1158"/>
      <c r="H276" s="405" t="s">
        <v>46</v>
      </c>
      <c r="I276" s="1493">
        <f t="shared" ref="I276:J276" ca="1" si="124">I287</f>
        <v>0</v>
      </c>
      <c r="J276" s="1493">
        <f t="shared" si="124"/>
        <v>0</v>
      </c>
      <c r="K276" s="1161">
        <f t="shared" ca="1" si="123"/>
        <v>0</v>
      </c>
      <c r="L276" s="1161"/>
      <c r="M276" s="1161"/>
      <c r="N276" s="1161"/>
      <c r="O276" s="1161"/>
      <c r="P276" s="1161"/>
    </row>
    <row r="277" spans="1:26" ht="19.5" hidden="1">
      <c r="A277" s="985"/>
      <c r="B277" s="986"/>
      <c r="C277" s="987" t="s">
        <v>16</v>
      </c>
      <c r="D277" s="988" t="s">
        <v>17</v>
      </c>
      <c r="E277" s="986"/>
      <c r="F277" s="986"/>
      <c r="G277" s="989"/>
      <c r="H277" s="152" t="s">
        <v>12</v>
      </c>
      <c r="I277" s="990"/>
      <c r="J277" s="990"/>
      <c r="K277" s="991"/>
      <c r="L277" s="992">
        <f t="shared" ref="L277:N277" ca="1" si="125">L278+L279</f>
        <v>0</v>
      </c>
      <c r="M277" s="992">
        <f t="shared" ca="1" si="125"/>
        <v>0</v>
      </c>
      <c r="N277" s="992">
        <f t="shared" ca="1" si="125"/>
        <v>0</v>
      </c>
      <c r="O277" s="992">
        <f t="shared" ref="O277:O285" ca="1" si="126">IF(L277&gt;0,N277*100/L277,0)</f>
        <v>0</v>
      </c>
      <c r="P277" s="992">
        <f t="shared" ref="P277:P285" ca="1" si="127">IF(M277&gt;0,N277*100/M277,0)</f>
        <v>0</v>
      </c>
      <c r="Q277" s="868"/>
      <c r="R277" s="868"/>
      <c r="S277" s="868"/>
      <c r="T277" s="868"/>
      <c r="U277" s="868"/>
      <c r="V277" s="868"/>
      <c r="W277" s="868"/>
      <c r="X277" s="868"/>
      <c r="Y277" s="868"/>
      <c r="Z277" s="868"/>
    </row>
    <row r="278" spans="1:26" ht="18.75" hidden="1">
      <c r="A278" s="993"/>
      <c r="B278" s="883"/>
      <c r="C278" s="883"/>
      <c r="D278" s="883"/>
      <c r="E278" s="884" t="s">
        <v>18</v>
      </c>
      <c r="F278" s="883"/>
      <c r="G278" s="994"/>
      <c r="H278" s="158" t="s">
        <v>12</v>
      </c>
      <c r="I278" s="886"/>
      <c r="J278" s="886"/>
      <c r="K278" s="887"/>
      <c r="L278" s="887">
        <f t="shared" ref="L278:N279" si="128">L281+L284</f>
        <v>0</v>
      </c>
      <c r="M278" s="887">
        <f t="shared" si="128"/>
        <v>0</v>
      </c>
      <c r="N278" s="887">
        <f t="shared" si="128"/>
        <v>0</v>
      </c>
      <c r="O278" s="887">
        <f t="shared" si="126"/>
        <v>0</v>
      </c>
      <c r="P278" s="887">
        <f t="shared" si="127"/>
        <v>0</v>
      </c>
      <c r="Q278" s="875"/>
      <c r="R278" s="875"/>
      <c r="S278" s="875"/>
      <c r="T278" s="875"/>
      <c r="U278" s="875"/>
      <c r="V278" s="875"/>
      <c r="W278" s="875"/>
      <c r="X278" s="875"/>
      <c r="Y278" s="875"/>
      <c r="Z278" s="875"/>
    </row>
    <row r="279" spans="1:26" ht="18.75" hidden="1">
      <c r="A279" s="993"/>
      <c r="B279" s="883"/>
      <c r="C279" s="883"/>
      <c r="D279" s="883"/>
      <c r="E279" s="884" t="s">
        <v>19</v>
      </c>
      <c r="F279" s="883"/>
      <c r="G279" s="994"/>
      <c r="H279" s="158" t="s">
        <v>12</v>
      </c>
      <c r="I279" s="886"/>
      <c r="J279" s="886"/>
      <c r="K279" s="887"/>
      <c r="L279" s="887">
        <f t="shared" ca="1" si="128"/>
        <v>0</v>
      </c>
      <c r="M279" s="887">
        <f t="shared" ca="1" si="128"/>
        <v>0</v>
      </c>
      <c r="N279" s="887">
        <f t="shared" ca="1" si="128"/>
        <v>0</v>
      </c>
      <c r="O279" s="887">
        <f t="shared" ca="1" si="126"/>
        <v>0</v>
      </c>
      <c r="P279" s="887">
        <f t="shared" ca="1" si="127"/>
        <v>0</v>
      </c>
      <c r="Q279" s="875"/>
      <c r="R279" s="875"/>
      <c r="S279" s="875"/>
      <c r="T279" s="875"/>
      <c r="U279" s="875"/>
      <c r="V279" s="875"/>
      <c r="W279" s="875"/>
      <c r="X279" s="875"/>
      <c r="Y279" s="875"/>
      <c r="Z279" s="875"/>
    </row>
    <row r="280" spans="1:26" ht="18.75" hidden="1">
      <c r="A280" s="995"/>
      <c r="B280" s="877"/>
      <c r="C280" s="996"/>
      <c r="D280" s="878" t="s">
        <v>20</v>
      </c>
      <c r="E280" s="877"/>
      <c r="F280" s="877"/>
      <c r="G280" s="879"/>
      <c r="H280" s="161" t="s">
        <v>12</v>
      </c>
      <c r="I280" s="997"/>
      <c r="J280" s="997"/>
      <c r="K280" s="998"/>
      <c r="L280" s="881">
        <f t="shared" ref="L280:N280" ca="1" si="129">L281+L282</f>
        <v>0</v>
      </c>
      <c r="M280" s="881">
        <f t="shared" ca="1" si="129"/>
        <v>0</v>
      </c>
      <c r="N280" s="881">
        <f t="shared" ca="1" si="129"/>
        <v>0</v>
      </c>
      <c r="O280" s="881">
        <f t="shared" ca="1" si="126"/>
        <v>0</v>
      </c>
      <c r="P280" s="881">
        <f t="shared" ca="1" si="127"/>
        <v>0</v>
      </c>
      <c r="Q280" s="868"/>
      <c r="R280" s="868"/>
      <c r="S280" s="868"/>
      <c r="T280" s="868"/>
      <c r="U280" s="868"/>
      <c r="V280" s="868"/>
      <c r="W280" s="868"/>
      <c r="X280" s="868"/>
      <c r="Y280" s="868"/>
      <c r="Z280" s="868"/>
    </row>
    <row r="281" spans="1:26" ht="19.5" hidden="1">
      <c r="A281" s="993"/>
      <c r="B281" s="883"/>
      <c r="C281" s="999"/>
      <c r="D281" s="883"/>
      <c r="E281" s="884" t="s">
        <v>36</v>
      </c>
      <c r="F281" s="883"/>
      <c r="G281" s="994"/>
      <c r="H281" s="165" t="s">
        <v>12</v>
      </c>
      <c r="I281" s="1000"/>
      <c r="J281" s="1000"/>
      <c r="K281" s="1001"/>
      <c r="L281" s="887">
        <v>0</v>
      </c>
      <c r="M281" s="887">
        <v>0</v>
      </c>
      <c r="N281" s="887">
        <v>0</v>
      </c>
      <c r="O281" s="887">
        <f t="shared" si="126"/>
        <v>0</v>
      </c>
      <c r="P281" s="887">
        <f t="shared" si="127"/>
        <v>0</v>
      </c>
      <c r="Q281" s="875"/>
      <c r="R281" s="875"/>
      <c r="S281" s="875"/>
      <c r="T281" s="875"/>
      <c r="U281" s="875"/>
      <c r="V281" s="875"/>
      <c r="W281" s="875"/>
      <c r="X281" s="875"/>
      <c r="Y281" s="875"/>
      <c r="Z281" s="875"/>
    </row>
    <row r="282" spans="1:26" ht="19.5" hidden="1">
      <c r="A282" s="993"/>
      <c r="B282" s="883"/>
      <c r="C282" s="999"/>
      <c r="D282" s="883"/>
      <c r="E282" s="884" t="s">
        <v>37</v>
      </c>
      <c r="F282" s="883"/>
      <c r="G282" s="994"/>
      <c r="H282" s="165" t="s">
        <v>12</v>
      </c>
      <c r="I282" s="1000"/>
      <c r="J282" s="1000"/>
      <c r="K282" s="1001"/>
      <c r="L282" s="887">
        <f ca="1">IFERROR(__xludf.DUMMYFUNCTION("IMPORTRANGE(""https://docs.google.com/spreadsheets/d/1MeEWN-I1oV_STSDYn1IFDPWt_1FKiwhDph83XaGc0o0/edit?usp=sharing"",""งบพรบ!DI86"")"),0)</f>
        <v>0</v>
      </c>
      <c r="M282" s="887">
        <f ca="1">IFERROR(__xludf.DUMMYFUNCTION("IMPORTRANGE(""https://docs.google.com/spreadsheets/d/1MeEWN-I1oV_STSDYn1IFDPWt_1FKiwhDph83XaGc0o0/edit?usp=sharing"",""งบพรบ!DN86"")"),0)</f>
        <v>0</v>
      </c>
      <c r="N282" s="887">
        <f ca="1">IFERROR(__xludf.DUMMYFUNCTION("IMPORTRANGE(""https://docs.google.com/spreadsheets/d/1MeEWN-I1oV_STSDYn1IFDPWt_1FKiwhDph83XaGc0o0/edit?usp=sharing"",""งบพรบ!DP86"")"),0)</f>
        <v>0</v>
      </c>
      <c r="O282" s="887">
        <f t="shared" ca="1" si="126"/>
        <v>0</v>
      </c>
      <c r="P282" s="887">
        <f t="shared" ca="1" si="127"/>
        <v>0</v>
      </c>
      <c r="Q282" s="875"/>
      <c r="R282" s="875"/>
      <c r="S282" s="875"/>
      <c r="T282" s="875"/>
      <c r="U282" s="875"/>
      <c r="V282" s="875"/>
      <c r="W282" s="875"/>
      <c r="X282" s="875"/>
      <c r="Y282" s="875"/>
      <c r="Z282" s="875"/>
    </row>
    <row r="283" spans="1:26" ht="18.75" hidden="1">
      <c r="A283" s="995"/>
      <c r="B283" s="877"/>
      <c r="C283" s="996"/>
      <c r="D283" s="878" t="s">
        <v>21</v>
      </c>
      <c r="E283" s="877"/>
      <c r="F283" s="877"/>
      <c r="G283" s="879"/>
      <c r="H283" s="168" t="s">
        <v>12</v>
      </c>
      <c r="I283" s="997"/>
      <c r="J283" s="997"/>
      <c r="K283" s="998"/>
      <c r="L283" s="881">
        <f t="shared" ref="L283:N283" ca="1" si="130">L284+L285</f>
        <v>0</v>
      </c>
      <c r="M283" s="881">
        <f t="shared" ca="1" si="130"/>
        <v>0</v>
      </c>
      <c r="N283" s="881">
        <f t="shared" ca="1" si="130"/>
        <v>0</v>
      </c>
      <c r="O283" s="881">
        <f t="shared" ca="1" si="126"/>
        <v>0</v>
      </c>
      <c r="P283" s="881">
        <f t="shared" ca="1" si="127"/>
        <v>0</v>
      </c>
      <c r="Q283" s="868"/>
      <c r="R283" s="868"/>
      <c r="S283" s="868"/>
      <c r="T283" s="868"/>
      <c r="U283" s="868"/>
      <c r="V283" s="868"/>
      <c r="W283" s="868"/>
      <c r="X283" s="868"/>
      <c r="Y283" s="868"/>
      <c r="Z283" s="868"/>
    </row>
    <row r="284" spans="1:26" ht="19.5" hidden="1">
      <c r="A284" s="993"/>
      <c r="B284" s="883"/>
      <c r="C284" s="999"/>
      <c r="D284" s="883"/>
      <c r="E284" s="884" t="s">
        <v>18</v>
      </c>
      <c r="F284" s="883"/>
      <c r="G284" s="994"/>
      <c r="H284" s="165" t="s">
        <v>12</v>
      </c>
      <c r="I284" s="1000"/>
      <c r="J284" s="1000"/>
      <c r="K284" s="1001"/>
      <c r="L284" s="887">
        <v>0</v>
      </c>
      <c r="M284" s="887">
        <v>0</v>
      </c>
      <c r="N284" s="887">
        <v>0</v>
      </c>
      <c r="O284" s="887">
        <f t="shared" si="126"/>
        <v>0</v>
      </c>
      <c r="P284" s="887">
        <f t="shared" si="127"/>
        <v>0</v>
      </c>
      <c r="Q284" s="875"/>
      <c r="R284" s="875"/>
      <c r="S284" s="875"/>
      <c r="T284" s="875"/>
      <c r="U284" s="875"/>
      <c r="V284" s="875"/>
      <c r="W284" s="875"/>
      <c r="X284" s="875"/>
      <c r="Y284" s="875"/>
      <c r="Z284" s="875"/>
    </row>
    <row r="285" spans="1:26" ht="19.5" hidden="1">
      <c r="A285" s="993"/>
      <c r="B285" s="883"/>
      <c r="C285" s="999"/>
      <c r="D285" s="883"/>
      <c r="E285" s="884" t="s">
        <v>19</v>
      </c>
      <c r="F285" s="883"/>
      <c r="G285" s="994"/>
      <c r="H285" s="169" t="s">
        <v>12</v>
      </c>
      <c r="I285" s="1000"/>
      <c r="J285" s="1000"/>
      <c r="K285" s="1001"/>
      <c r="L285" s="887">
        <f ca="1">IFERROR(__xludf.DUMMYFUNCTION("IMPORTRANGE(""https://docs.google.com/spreadsheets/d/1MeEWN-I1oV_STSDYn1IFDPWt_1FKiwhDph83XaGc0o0/edit?usp=sharing"",""งบพรบ!DL86"")"),0)</f>
        <v>0</v>
      </c>
      <c r="M285" s="887">
        <f ca="1">IFERROR(__xludf.DUMMYFUNCTION("IMPORTRANGE(""https://docs.google.com/spreadsheets/d/1MeEWN-I1oV_STSDYn1IFDPWt_1FKiwhDph83XaGc0o0/edit?usp=sharing"",""งบพรบ!DO86"")"),0)</f>
        <v>0</v>
      </c>
      <c r="N285" s="887">
        <f ca="1">IFERROR(__xludf.DUMMYFUNCTION("IMPORTRANGE(""https://docs.google.com/spreadsheets/d/1MeEWN-I1oV_STSDYn1IFDPWt_1FKiwhDph83XaGc0o0/edit?usp=sharing"",""งบพรบ!DQ86"")"),0)</f>
        <v>0</v>
      </c>
      <c r="O285" s="887">
        <f t="shared" ca="1" si="126"/>
        <v>0</v>
      </c>
      <c r="P285" s="887">
        <f t="shared" ca="1" si="127"/>
        <v>0</v>
      </c>
      <c r="Q285" s="875"/>
      <c r="R285" s="875"/>
      <c r="S285" s="875"/>
      <c r="T285" s="875"/>
      <c r="U285" s="875"/>
      <c r="V285" s="875"/>
      <c r="W285" s="875"/>
      <c r="X285" s="875"/>
      <c r="Y285" s="875"/>
      <c r="Z285" s="875"/>
    </row>
    <row r="286" spans="1:26" ht="19.5" hidden="1">
      <c r="A286" s="1002"/>
      <c r="B286" s="1003"/>
      <c r="C286" s="999" t="s">
        <v>16</v>
      </c>
      <c r="D286" s="1004" t="s">
        <v>38</v>
      </c>
      <c r="E286" s="1005"/>
      <c r="F286" s="1005"/>
      <c r="G286" s="1006"/>
      <c r="H286" s="1007"/>
      <c r="I286" s="997"/>
      <c r="J286" s="997"/>
      <c r="K286" s="998"/>
      <c r="L286" s="998"/>
      <c r="M286" s="998"/>
      <c r="N286" s="998"/>
      <c r="O286" s="998"/>
      <c r="P286" s="998"/>
    </row>
    <row r="287" spans="1:26" ht="18.75" hidden="1">
      <c r="A287" s="1002"/>
      <c r="B287" s="1003"/>
      <c r="C287" s="1003"/>
      <c r="D287" s="1014" t="s">
        <v>129</v>
      </c>
      <c r="E287" s="1003"/>
      <c r="F287" s="1010"/>
      <c r="G287" s="1011"/>
      <c r="H287" s="185" t="s">
        <v>46</v>
      </c>
      <c r="I287" s="880">
        <f ca="1">IFERROR(__xludf.DUMMYFUNCTION("IMPORTRANGE(""https://docs.google.com/spreadsheets/d/1QqKyyYR6Q21VydFLVH3TRQUabQu_ym0Zz7PgGX0-kHA/edit?usp=sharing"",""แผน!EC86"")"),0)</f>
        <v>0</v>
      </c>
      <c r="J287" s="880">
        <v>0</v>
      </c>
      <c r="K287" s="998">
        <f t="shared" ref="K287:K288" ca="1" si="131">IF(I287&gt;0,J287*100/I287,0)</f>
        <v>0</v>
      </c>
      <c r="L287" s="998"/>
      <c r="M287" s="998"/>
      <c r="N287" s="998"/>
      <c r="O287" s="998"/>
      <c r="P287" s="998"/>
    </row>
    <row r="288" spans="1:26" ht="19.5" hidden="1">
      <c r="A288" s="1002"/>
      <c r="B288" s="1003"/>
      <c r="C288" s="1003"/>
      <c r="D288" s="1014" t="s">
        <v>130</v>
      </c>
      <c r="E288" s="1003"/>
      <c r="F288" s="1010"/>
      <c r="G288" s="1011"/>
      <c r="H288" s="180" t="s">
        <v>35</v>
      </c>
      <c r="I288" s="1019">
        <f ca="1">IFERROR(__xludf.DUMMYFUNCTION("IMPORTRANGE(""https://docs.google.com/spreadsheets/d/1QqKyyYR6Q21VydFLVH3TRQUabQu_ym0Zz7PgGX0-kHA/edit?usp=sharing"",""แผน!EB86"")"),0)</f>
        <v>0</v>
      </c>
      <c r="J288" s="1019">
        <f ca="1">IF(AND(J291&gt;=I288,J294&gt;=I288),J294,0)</f>
        <v>0</v>
      </c>
      <c r="K288" s="1162">
        <f t="shared" ca="1" si="131"/>
        <v>0</v>
      </c>
      <c r="L288" s="998"/>
      <c r="M288" s="998"/>
      <c r="N288" s="998"/>
      <c r="O288" s="998"/>
      <c r="P288" s="998"/>
    </row>
    <row r="289" spans="1:26" ht="19.5" hidden="1">
      <c r="A289" s="1002"/>
      <c r="B289" s="1003"/>
      <c r="C289" s="1003"/>
      <c r="D289" s="1163"/>
      <c r="E289" s="1164" t="s">
        <v>131</v>
      </c>
      <c r="F289" s="1010"/>
      <c r="G289" s="1011"/>
      <c r="H289" s="762"/>
      <c r="I289" s="997"/>
      <c r="J289" s="880"/>
      <c r="K289" s="998"/>
      <c r="L289" s="998"/>
      <c r="M289" s="998"/>
      <c r="N289" s="998"/>
      <c r="O289" s="998"/>
      <c r="P289" s="998"/>
    </row>
    <row r="290" spans="1:26" ht="19.5" hidden="1">
      <c r="A290" s="1002"/>
      <c r="B290" s="1003"/>
      <c r="C290" s="1003"/>
      <c r="D290" s="1163"/>
      <c r="E290" s="1014" t="s">
        <v>132</v>
      </c>
      <c r="F290" s="1010"/>
      <c r="G290" s="1011"/>
      <c r="H290" s="762" t="s">
        <v>35</v>
      </c>
      <c r="I290" s="997">
        <f ca="1">IFERROR(__xludf.DUMMYFUNCTION("IMPORTRANGE(""https://docs.google.com/spreadsheets/d/1QqKyyYR6Q21VydFLVH3TRQUabQu_ym0Zz7PgGX0-kHA/edit?usp=sharing"",""แผน!EB86"")"),0)</f>
        <v>0</v>
      </c>
      <c r="J290" s="1012">
        <v>0</v>
      </c>
      <c r="K290" s="998">
        <f t="shared" ref="K290:K291" ca="1" si="132">IF(I290&gt;0,J290*100/I290,0)</f>
        <v>0</v>
      </c>
      <c r="L290" s="998"/>
      <c r="M290" s="998"/>
      <c r="N290" s="998"/>
      <c r="O290" s="998"/>
      <c r="P290" s="998"/>
    </row>
    <row r="291" spans="1:26" ht="19.5" hidden="1">
      <c r="A291" s="1002"/>
      <c r="B291" s="1003"/>
      <c r="C291" s="1003"/>
      <c r="D291" s="1010"/>
      <c r="E291" s="1014" t="s">
        <v>338</v>
      </c>
      <c r="F291" s="1010"/>
      <c r="G291" s="1011"/>
      <c r="H291" s="762" t="s">
        <v>35</v>
      </c>
      <c r="I291" s="997">
        <f ca="1">IFERROR(__xludf.DUMMYFUNCTION("IMPORTRANGE(""https://docs.google.com/spreadsheets/d/1QqKyyYR6Q21VydFLVH3TRQUabQu_ym0Zz7PgGX0-kHA/edit?usp=sharing"",""แผน!EB86"")"),0)</f>
        <v>0</v>
      </c>
      <c r="J291" s="1012">
        <v>0</v>
      </c>
      <c r="K291" s="998">
        <f t="shared" ca="1" si="132"/>
        <v>0</v>
      </c>
      <c r="L291" s="998"/>
      <c r="M291" s="998"/>
      <c r="N291" s="998"/>
      <c r="O291" s="998"/>
      <c r="P291" s="998"/>
    </row>
    <row r="292" spans="1:26" ht="19.5" hidden="1">
      <c r="A292" s="1165"/>
      <c r="B292" s="1166"/>
      <c r="C292" s="1166"/>
      <c r="D292" s="1167"/>
      <c r="E292" s="1168" t="s">
        <v>134</v>
      </c>
      <c r="F292" s="1088"/>
      <c r="G292" s="1089"/>
      <c r="H292" s="419"/>
      <c r="I292" s="1082"/>
      <c r="J292" s="990"/>
      <c r="K292" s="1083"/>
      <c r="L292" s="1083"/>
      <c r="M292" s="1083"/>
      <c r="N292" s="1083"/>
      <c r="O292" s="1083"/>
      <c r="P292" s="1083"/>
    </row>
    <row r="293" spans="1:26" ht="19.5" hidden="1">
      <c r="A293" s="1002"/>
      <c r="B293" s="1003"/>
      <c r="C293" s="1003"/>
      <c r="D293" s="1163"/>
      <c r="E293" s="1014" t="s">
        <v>132</v>
      </c>
      <c r="F293" s="1010"/>
      <c r="G293" s="1011"/>
      <c r="H293" s="762" t="s">
        <v>35</v>
      </c>
      <c r="I293" s="997">
        <f ca="1">IFERROR(__xludf.DUMMYFUNCTION("IMPORTRANGE(""https://docs.google.com/spreadsheets/d/1QqKyyYR6Q21VydFLVH3TRQUabQu_ym0Zz7PgGX0-kHA/edit?usp=sharing"",""แผน!EB86"")"),0)</f>
        <v>0</v>
      </c>
      <c r="J293" s="1012">
        <v>0</v>
      </c>
      <c r="K293" s="998">
        <f t="shared" ref="K293:K294" ca="1" si="133">IF(I293&gt;0,J293*100/I293,0)</f>
        <v>0</v>
      </c>
      <c r="L293" s="998"/>
      <c r="M293" s="998"/>
      <c r="N293" s="998"/>
      <c r="O293" s="998"/>
      <c r="P293" s="998"/>
    </row>
    <row r="294" spans="1:26" ht="19.5" hidden="1">
      <c r="A294" s="1133"/>
      <c r="B294" s="1134"/>
      <c r="C294" s="1134"/>
      <c r="D294" s="1136"/>
      <c r="E294" s="1169" t="s">
        <v>338</v>
      </c>
      <c r="F294" s="1136"/>
      <c r="G294" s="1137"/>
      <c r="H294" s="423" t="s">
        <v>35</v>
      </c>
      <c r="I294" s="1170">
        <f ca="1">IFERROR(__xludf.DUMMYFUNCTION("IMPORTRANGE(""https://docs.google.com/spreadsheets/d/1QqKyyYR6Q21VydFLVH3TRQUabQu_ym0Zz7PgGX0-kHA/edit?usp=sharing"",""แผน!EB86"")"),0)</f>
        <v>0</v>
      </c>
      <c r="J294" s="1171">
        <v>0</v>
      </c>
      <c r="K294" s="1139">
        <f t="shared" ca="1" si="133"/>
        <v>0</v>
      </c>
      <c r="L294" s="1139"/>
      <c r="M294" s="1139"/>
      <c r="N294" s="1139"/>
      <c r="O294" s="1139"/>
      <c r="P294" s="1139"/>
    </row>
    <row r="295" spans="1:26" ht="19.5">
      <c r="A295" s="1172" t="s">
        <v>137</v>
      </c>
      <c r="B295" s="1173"/>
      <c r="C295" s="1173"/>
      <c r="D295" s="1173"/>
      <c r="E295" s="1174"/>
      <c r="F295" s="1174"/>
      <c r="G295" s="1175"/>
      <c r="H295" s="1176"/>
      <c r="I295" s="1177"/>
      <c r="J295" s="1177"/>
      <c r="K295" s="1178"/>
      <c r="L295" s="1178"/>
      <c r="M295" s="1178"/>
      <c r="N295" s="1178"/>
      <c r="O295" s="1178"/>
      <c r="P295" s="1178"/>
    </row>
    <row r="296" spans="1:26" ht="19.5">
      <c r="A296" s="1179" t="s">
        <v>138</v>
      </c>
      <c r="B296" s="1180"/>
      <c r="C296" s="1180"/>
      <c r="D296" s="1181"/>
      <c r="E296" s="1181"/>
      <c r="F296" s="1181"/>
      <c r="G296" s="1182"/>
      <c r="H296" s="1183"/>
      <c r="I296" s="1184"/>
      <c r="J296" s="1184"/>
      <c r="K296" s="1185"/>
      <c r="L296" s="1185"/>
      <c r="M296" s="1185"/>
      <c r="N296" s="1185"/>
      <c r="O296" s="1185"/>
      <c r="P296" s="1185"/>
    </row>
    <row r="297" spans="1:26" ht="19.5">
      <c r="A297" s="1186"/>
      <c r="B297" s="1187" t="s">
        <v>139</v>
      </c>
      <c r="C297" s="1188"/>
      <c r="D297" s="1188"/>
      <c r="E297" s="1188"/>
      <c r="F297" s="1188"/>
      <c r="G297" s="1189"/>
      <c r="H297" s="444" t="s">
        <v>35</v>
      </c>
      <c r="I297" s="1190">
        <f t="shared" ref="I297:J297" ca="1" si="134">I309</f>
        <v>20</v>
      </c>
      <c r="J297" s="1190">
        <f t="shared" si="134"/>
        <v>20</v>
      </c>
      <c r="K297" s="1191">
        <f ca="1">IF(I297&gt;0,J297*100/I297,0)</f>
        <v>100</v>
      </c>
      <c r="L297" s="1192"/>
      <c r="M297" s="1192"/>
      <c r="N297" s="1192"/>
      <c r="O297" s="1192"/>
      <c r="P297" s="1192"/>
    </row>
    <row r="298" spans="1:26" ht="19.5">
      <c r="A298" s="985"/>
      <c r="B298" s="986"/>
      <c r="C298" s="987" t="s">
        <v>16</v>
      </c>
      <c r="D298" s="988" t="s">
        <v>17</v>
      </c>
      <c r="E298" s="986"/>
      <c r="F298" s="986"/>
      <c r="G298" s="989"/>
      <c r="H298" s="152" t="s">
        <v>12</v>
      </c>
      <c r="I298" s="990"/>
      <c r="J298" s="990"/>
      <c r="K298" s="991"/>
      <c r="L298" s="992">
        <f t="shared" ref="L298:N298" ca="1" si="135">L299+L300</f>
        <v>82400</v>
      </c>
      <c r="M298" s="992">
        <f t="shared" ca="1" si="135"/>
        <v>64400</v>
      </c>
      <c r="N298" s="992">
        <f t="shared" ca="1" si="135"/>
        <v>59400</v>
      </c>
      <c r="O298" s="992">
        <f t="shared" ref="O298:O306" ca="1" si="136">IF(L298&gt;0,N298*100/L298,0)</f>
        <v>72.087378640776706</v>
      </c>
      <c r="P298" s="992">
        <f t="shared" ref="P298:P306" ca="1" si="137">IF(M298&gt;0,N298*100/M298,0)</f>
        <v>92.236024844720504</v>
      </c>
      <c r="Q298" s="868"/>
      <c r="R298" s="868"/>
      <c r="S298" s="868"/>
      <c r="T298" s="868"/>
      <c r="U298" s="868"/>
      <c r="V298" s="868"/>
      <c r="W298" s="868"/>
      <c r="X298" s="868"/>
      <c r="Y298" s="868"/>
      <c r="Z298" s="868"/>
    </row>
    <row r="299" spans="1:26" ht="18.75" hidden="1">
      <c r="A299" s="993"/>
      <c r="B299" s="883"/>
      <c r="C299" s="883"/>
      <c r="D299" s="883"/>
      <c r="E299" s="884" t="s">
        <v>18</v>
      </c>
      <c r="F299" s="883"/>
      <c r="G299" s="994"/>
      <c r="H299" s="158" t="s">
        <v>12</v>
      </c>
      <c r="I299" s="886"/>
      <c r="J299" s="886"/>
      <c r="K299" s="887"/>
      <c r="L299" s="887">
        <f t="shared" ref="L299:N300" si="138">L302+L305</f>
        <v>0</v>
      </c>
      <c r="M299" s="887">
        <f t="shared" si="138"/>
        <v>0</v>
      </c>
      <c r="N299" s="887">
        <f t="shared" si="138"/>
        <v>0</v>
      </c>
      <c r="O299" s="887">
        <f t="shared" si="136"/>
        <v>0</v>
      </c>
      <c r="P299" s="887">
        <f t="shared" si="137"/>
        <v>0</v>
      </c>
      <c r="Q299" s="875"/>
      <c r="R299" s="875"/>
      <c r="S299" s="875"/>
      <c r="T299" s="875"/>
      <c r="U299" s="875"/>
      <c r="V299" s="875"/>
      <c r="W299" s="875"/>
      <c r="X299" s="875"/>
      <c r="Y299" s="875"/>
      <c r="Z299" s="875"/>
    </row>
    <row r="300" spans="1:26" ht="18.75" hidden="1">
      <c r="A300" s="993"/>
      <c r="B300" s="883"/>
      <c r="C300" s="883"/>
      <c r="D300" s="883"/>
      <c r="E300" s="884" t="s">
        <v>19</v>
      </c>
      <c r="F300" s="883"/>
      <c r="G300" s="994"/>
      <c r="H300" s="158" t="s">
        <v>12</v>
      </c>
      <c r="I300" s="886"/>
      <c r="J300" s="886"/>
      <c r="K300" s="887"/>
      <c r="L300" s="887">
        <f t="shared" ca="1" si="138"/>
        <v>82400</v>
      </c>
      <c r="M300" s="887">
        <f t="shared" ca="1" si="138"/>
        <v>64400</v>
      </c>
      <c r="N300" s="887">
        <f t="shared" ca="1" si="138"/>
        <v>59400</v>
      </c>
      <c r="O300" s="887">
        <f t="shared" ca="1" si="136"/>
        <v>72.087378640776706</v>
      </c>
      <c r="P300" s="887">
        <f t="shared" ca="1" si="137"/>
        <v>92.236024844720504</v>
      </c>
      <c r="Q300" s="875"/>
      <c r="R300" s="875"/>
      <c r="S300" s="875"/>
      <c r="T300" s="875"/>
      <c r="U300" s="875"/>
      <c r="V300" s="875"/>
      <c r="W300" s="875"/>
      <c r="X300" s="875"/>
      <c r="Y300" s="875"/>
      <c r="Z300" s="875"/>
    </row>
    <row r="301" spans="1:26" ht="18.75">
      <c r="A301" s="995"/>
      <c r="B301" s="877"/>
      <c r="C301" s="996"/>
      <c r="D301" s="878" t="s">
        <v>20</v>
      </c>
      <c r="E301" s="877"/>
      <c r="F301" s="877"/>
      <c r="G301" s="879"/>
      <c r="H301" s="161" t="s">
        <v>12</v>
      </c>
      <c r="I301" s="997"/>
      <c r="J301" s="997"/>
      <c r="K301" s="998"/>
      <c r="L301" s="881">
        <f t="shared" ref="L301:N301" ca="1" si="139">L302+L303</f>
        <v>82400</v>
      </c>
      <c r="M301" s="881">
        <f t="shared" ca="1" si="139"/>
        <v>64400</v>
      </c>
      <c r="N301" s="881">
        <f t="shared" ca="1" si="139"/>
        <v>59400</v>
      </c>
      <c r="O301" s="881">
        <f t="shared" ca="1" si="136"/>
        <v>72.087378640776706</v>
      </c>
      <c r="P301" s="881">
        <f t="shared" ca="1" si="137"/>
        <v>92.236024844720504</v>
      </c>
      <c r="Q301" s="868"/>
      <c r="R301" s="868"/>
      <c r="S301" s="868"/>
      <c r="T301" s="868"/>
      <c r="U301" s="868"/>
      <c r="V301" s="868"/>
      <c r="W301" s="868"/>
      <c r="X301" s="868"/>
      <c r="Y301" s="868"/>
      <c r="Z301" s="868"/>
    </row>
    <row r="302" spans="1:26" ht="19.5" hidden="1">
      <c r="A302" s="993"/>
      <c r="B302" s="883"/>
      <c r="C302" s="999"/>
      <c r="D302" s="883"/>
      <c r="E302" s="884" t="s">
        <v>36</v>
      </c>
      <c r="F302" s="883"/>
      <c r="G302" s="994"/>
      <c r="H302" s="165" t="s">
        <v>12</v>
      </c>
      <c r="I302" s="1000"/>
      <c r="J302" s="1000"/>
      <c r="K302" s="1001"/>
      <c r="L302" s="887">
        <v>0</v>
      </c>
      <c r="M302" s="887">
        <v>0</v>
      </c>
      <c r="N302" s="887">
        <v>0</v>
      </c>
      <c r="O302" s="887">
        <f t="shared" si="136"/>
        <v>0</v>
      </c>
      <c r="P302" s="887">
        <f t="shared" si="137"/>
        <v>0</v>
      </c>
      <c r="Q302" s="875"/>
      <c r="R302" s="875"/>
      <c r="S302" s="875"/>
      <c r="T302" s="875"/>
      <c r="U302" s="875"/>
      <c r="V302" s="875"/>
      <c r="W302" s="875"/>
      <c r="X302" s="875"/>
      <c r="Y302" s="875"/>
      <c r="Z302" s="875"/>
    </row>
    <row r="303" spans="1:26" ht="19.5" hidden="1">
      <c r="A303" s="993"/>
      <c r="B303" s="883"/>
      <c r="C303" s="999"/>
      <c r="D303" s="883"/>
      <c r="E303" s="884" t="s">
        <v>37</v>
      </c>
      <c r="F303" s="883"/>
      <c r="G303" s="994"/>
      <c r="H303" s="165" t="s">
        <v>12</v>
      </c>
      <c r="I303" s="1000"/>
      <c r="J303" s="1000"/>
      <c r="K303" s="1001"/>
      <c r="L303" s="887">
        <f ca="1">IFERROR(__xludf.DUMMYFUNCTION("IMPORTRANGE(""https://docs.google.com/spreadsheets/d/1MeEWN-I1oV_STSDYn1IFDPWt_1FKiwhDph83XaGc0o0/edit?usp=sharing"",""งบพรบ!DS86"")"),82400)</f>
        <v>82400</v>
      </c>
      <c r="M303" s="887">
        <f ca="1">IFERROR(__xludf.DUMMYFUNCTION("IMPORTRANGE(""https://docs.google.com/spreadsheets/d/1MeEWN-I1oV_STSDYn1IFDPWt_1FKiwhDph83XaGc0o0/edit?usp=sharing"",""งบพรบ!DX86"")"),64400)</f>
        <v>64400</v>
      </c>
      <c r="N303" s="887">
        <f ca="1">IFERROR(__xludf.DUMMYFUNCTION("IMPORTRANGE(""https://docs.google.com/spreadsheets/d/1MeEWN-I1oV_STSDYn1IFDPWt_1FKiwhDph83XaGc0o0/edit?usp=sharing"",""งบพรบ!DZ86"")"),59400)</f>
        <v>59400</v>
      </c>
      <c r="O303" s="887">
        <f t="shared" ca="1" si="136"/>
        <v>72.087378640776706</v>
      </c>
      <c r="P303" s="887">
        <f t="shared" ca="1" si="137"/>
        <v>92.236024844720504</v>
      </c>
      <c r="Q303" s="875"/>
      <c r="R303" s="875"/>
      <c r="S303" s="875"/>
      <c r="T303" s="875"/>
      <c r="U303" s="875"/>
      <c r="V303" s="875"/>
      <c r="W303" s="875"/>
      <c r="X303" s="875"/>
      <c r="Y303" s="875"/>
      <c r="Z303" s="875"/>
    </row>
    <row r="304" spans="1:26" ht="18.75">
      <c r="A304" s="995"/>
      <c r="B304" s="877"/>
      <c r="C304" s="996"/>
      <c r="D304" s="878" t="s">
        <v>21</v>
      </c>
      <c r="E304" s="877"/>
      <c r="F304" s="877"/>
      <c r="G304" s="879"/>
      <c r="H304" s="168" t="s">
        <v>12</v>
      </c>
      <c r="I304" s="997"/>
      <c r="J304" s="997"/>
      <c r="K304" s="998"/>
      <c r="L304" s="881">
        <f t="shared" ref="L304:N304" ca="1" si="140">L305+L306</f>
        <v>0</v>
      </c>
      <c r="M304" s="881">
        <f t="shared" ca="1" si="140"/>
        <v>0</v>
      </c>
      <c r="N304" s="881">
        <f t="shared" ca="1" si="140"/>
        <v>0</v>
      </c>
      <c r="O304" s="881">
        <f t="shared" ca="1" si="136"/>
        <v>0</v>
      </c>
      <c r="P304" s="881">
        <f t="shared" ca="1" si="137"/>
        <v>0</v>
      </c>
      <c r="Q304" s="868"/>
      <c r="R304" s="868"/>
      <c r="S304" s="868"/>
      <c r="T304" s="868"/>
      <c r="U304" s="868"/>
      <c r="V304" s="868"/>
      <c r="W304" s="868"/>
      <c r="X304" s="868"/>
      <c r="Y304" s="868"/>
      <c r="Z304" s="868"/>
    </row>
    <row r="305" spans="1:26" ht="19.5" hidden="1">
      <c r="A305" s="993"/>
      <c r="B305" s="883"/>
      <c r="C305" s="999"/>
      <c r="D305" s="883"/>
      <c r="E305" s="884" t="s">
        <v>18</v>
      </c>
      <c r="F305" s="883"/>
      <c r="G305" s="994"/>
      <c r="H305" s="165" t="s">
        <v>12</v>
      </c>
      <c r="I305" s="1000"/>
      <c r="J305" s="1000"/>
      <c r="K305" s="1001"/>
      <c r="L305" s="887">
        <v>0</v>
      </c>
      <c r="M305" s="887">
        <v>0</v>
      </c>
      <c r="N305" s="887">
        <v>0</v>
      </c>
      <c r="O305" s="887">
        <f t="shared" si="136"/>
        <v>0</v>
      </c>
      <c r="P305" s="887">
        <f t="shared" si="137"/>
        <v>0</v>
      </c>
      <c r="Q305" s="875"/>
      <c r="R305" s="875"/>
      <c r="S305" s="875"/>
      <c r="T305" s="875"/>
      <c r="U305" s="875"/>
      <c r="V305" s="875"/>
      <c r="W305" s="875"/>
      <c r="X305" s="875"/>
      <c r="Y305" s="875"/>
      <c r="Z305" s="875"/>
    </row>
    <row r="306" spans="1:26" ht="19.5" hidden="1">
      <c r="A306" s="993"/>
      <c r="B306" s="883"/>
      <c r="C306" s="999"/>
      <c r="D306" s="883"/>
      <c r="E306" s="884" t="s">
        <v>19</v>
      </c>
      <c r="F306" s="883"/>
      <c r="G306" s="994"/>
      <c r="H306" s="169" t="s">
        <v>12</v>
      </c>
      <c r="I306" s="1000"/>
      <c r="J306" s="1000"/>
      <c r="K306" s="1001"/>
      <c r="L306" s="887">
        <f ca="1">IFERROR(__xludf.DUMMYFUNCTION("IMPORTRANGE(""https://docs.google.com/spreadsheets/d/1MeEWN-I1oV_STSDYn1IFDPWt_1FKiwhDph83XaGc0o0/edit?usp=sharing"",""งบพรบ!DV86"")"),0)</f>
        <v>0</v>
      </c>
      <c r="M306" s="887">
        <f ca="1">IFERROR(__xludf.DUMMYFUNCTION("IMPORTRANGE(""https://docs.google.com/spreadsheets/d/1MeEWN-I1oV_STSDYn1IFDPWt_1FKiwhDph83XaGc0o0/edit?usp=sharing"",""งบพรบ!DY86"")"),0)</f>
        <v>0</v>
      </c>
      <c r="N306" s="887">
        <f ca="1">IFERROR(__xludf.DUMMYFUNCTION("IMPORTRANGE(""https://docs.google.com/spreadsheets/d/1MeEWN-I1oV_STSDYn1IFDPWt_1FKiwhDph83XaGc0o0/edit?usp=sharing"",""งบพรบ!EA86"")"),0)</f>
        <v>0</v>
      </c>
      <c r="O306" s="887">
        <f t="shared" ca="1" si="136"/>
        <v>0</v>
      </c>
      <c r="P306" s="887">
        <f t="shared" ca="1" si="137"/>
        <v>0</v>
      </c>
      <c r="Q306" s="875"/>
      <c r="R306" s="875"/>
      <c r="S306" s="875"/>
      <c r="T306" s="875"/>
      <c r="U306" s="875"/>
      <c r="V306" s="875"/>
      <c r="W306" s="875"/>
      <c r="X306" s="875"/>
      <c r="Y306" s="875"/>
      <c r="Z306" s="875"/>
    </row>
    <row r="307" spans="1:26" ht="19.5">
      <c r="A307" s="1002"/>
      <c r="B307" s="1003"/>
      <c r="C307" s="999" t="s">
        <v>16</v>
      </c>
      <c r="D307" s="1004" t="s">
        <v>38</v>
      </c>
      <c r="E307" s="1005"/>
      <c r="F307" s="1005"/>
      <c r="G307" s="1006"/>
      <c r="H307" s="1007"/>
      <c r="I307" s="880"/>
      <c r="J307" s="880"/>
      <c r="K307" s="881"/>
      <c r="L307" s="881"/>
      <c r="M307" s="881"/>
      <c r="N307" s="881"/>
      <c r="O307" s="881"/>
      <c r="P307" s="881"/>
    </row>
    <row r="308" spans="1:26" ht="18.75">
      <c r="A308" s="1002"/>
      <c r="B308" s="1003"/>
      <c r="C308" s="1003"/>
      <c r="D308" s="1009" t="s">
        <v>140</v>
      </c>
      <c r="E308" s="1009"/>
      <c r="F308" s="1009"/>
      <c r="G308" s="1011"/>
      <c r="H308" s="762"/>
      <c r="I308" s="880"/>
      <c r="J308" s="1012">
        <v>1</v>
      </c>
      <c r="K308" s="881"/>
      <c r="L308" s="881"/>
      <c r="M308" s="881"/>
      <c r="N308" s="881"/>
      <c r="O308" s="881"/>
      <c r="P308" s="881"/>
    </row>
    <row r="309" spans="1:26" ht="18.75">
      <c r="A309" s="1002"/>
      <c r="B309" s="1003"/>
      <c r="C309" s="1003"/>
      <c r="D309" s="1009" t="s">
        <v>141</v>
      </c>
      <c r="E309" s="1009"/>
      <c r="F309" s="1009"/>
      <c r="G309" s="1011"/>
      <c r="H309" s="762" t="s">
        <v>35</v>
      </c>
      <c r="I309" s="880">
        <f ca="1">IFERROR(__xludf.DUMMYFUNCTION("IMPORTRANGE(""https://docs.google.com/spreadsheets/d/1QqKyyYR6Q21VydFLVH3TRQUabQu_ym0Zz7PgGX0-kHA/edit?usp=sharing"",""แผน!ED86"")"),20)</f>
        <v>20</v>
      </c>
      <c r="J309" s="1012">
        <v>20</v>
      </c>
      <c r="K309" s="881">
        <f t="shared" ref="K309:K312" ca="1" si="141">IF(I309&gt;0,J309*100/I309,0)</f>
        <v>100</v>
      </c>
      <c r="L309" s="881"/>
      <c r="M309" s="881"/>
      <c r="N309" s="881"/>
      <c r="O309" s="881"/>
      <c r="P309" s="881"/>
    </row>
    <row r="310" spans="1:26" ht="18.75">
      <c r="A310" s="1002"/>
      <c r="B310" s="1003"/>
      <c r="C310" s="1003"/>
      <c r="D310" s="1009" t="s">
        <v>142</v>
      </c>
      <c r="E310" s="1009"/>
      <c r="F310" s="1009"/>
      <c r="G310" s="1011"/>
      <c r="H310" s="762" t="s">
        <v>35</v>
      </c>
      <c r="I310" s="880">
        <f ca="1">IFERROR(__xludf.DUMMYFUNCTION("IMPORTRANGE(""https://docs.google.com/spreadsheets/d/1QqKyyYR6Q21VydFLVH3TRQUabQu_ym0Zz7PgGX0-kHA/edit?usp=sharing"",""แผน!ED86"")"),20)</f>
        <v>20</v>
      </c>
      <c r="J310" s="1012">
        <v>20</v>
      </c>
      <c r="K310" s="881">
        <f t="shared" ca="1" si="141"/>
        <v>100</v>
      </c>
      <c r="L310" s="881"/>
      <c r="M310" s="881"/>
      <c r="N310" s="881"/>
      <c r="O310" s="881"/>
      <c r="P310" s="881"/>
    </row>
    <row r="311" spans="1:26" ht="18.75">
      <c r="A311" s="1002"/>
      <c r="B311" s="1003"/>
      <c r="C311" s="1003"/>
      <c r="D311" s="1009" t="s">
        <v>59</v>
      </c>
      <c r="E311" s="1009"/>
      <c r="F311" s="1009"/>
      <c r="G311" s="1011"/>
      <c r="H311" s="762" t="s">
        <v>35</v>
      </c>
      <c r="I311" s="880">
        <f ca="1">IFERROR(__xludf.DUMMYFUNCTION("IMPORTRANGE(""https://docs.google.com/spreadsheets/d/1QqKyyYR6Q21VydFLVH3TRQUabQu_ym0Zz7PgGX0-kHA/edit?usp=sharing"",""แผน!ED86"")"),20)</f>
        <v>20</v>
      </c>
      <c r="J311" s="1012">
        <v>0</v>
      </c>
      <c r="K311" s="881">
        <f t="shared" ca="1" si="141"/>
        <v>0</v>
      </c>
      <c r="L311" s="881"/>
      <c r="M311" s="881"/>
      <c r="N311" s="881"/>
      <c r="O311" s="881"/>
      <c r="P311" s="881"/>
    </row>
    <row r="312" spans="1:26" ht="18.75">
      <c r="A312" s="1002"/>
      <c r="B312" s="1003"/>
      <c r="C312" s="1003"/>
      <c r="D312" s="1009" t="s">
        <v>143</v>
      </c>
      <c r="E312" s="1009"/>
      <c r="F312" s="1009"/>
      <c r="G312" s="1011"/>
      <c r="H312" s="762" t="s">
        <v>35</v>
      </c>
      <c r="I312" s="880">
        <f ca="1">IFERROR(__xludf.DUMMYFUNCTION("IMPORTRANGE(""https://docs.google.com/spreadsheets/d/1QqKyyYR6Q21VydFLVH3TRQUabQu_ym0Zz7PgGX0-kHA/edit?usp=sharing"",""แผน!EE86"")"),4)</f>
        <v>4</v>
      </c>
      <c r="J312" s="1012">
        <v>4</v>
      </c>
      <c r="K312" s="881">
        <f t="shared" ca="1" si="141"/>
        <v>100</v>
      </c>
      <c r="L312" s="881"/>
      <c r="M312" s="881"/>
      <c r="N312" s="881"/>
      <c r="O312" s="881"/>
      <c r="P312" s="881"/>
    </row>
    <row r="313" spans="1:26" ht="19.5">
      <c r="A313" s="1179" t="s">
        <v>144</v>
      </c>
      <c r="B313" s="1180"/>
      <c r="C313" s="1180"/>
      <c r="D313" s="1181"/>
      <c r="E313" s="1180"/>
      <c r="F313" s="1180"/>
      <c r="G313" s="1180"/>
      <c r="H313" s="1193"/>
      <c r="I313" s="1184"/>
      <c r="J313" s="1184"/>
      <c r="K313" s="1185"/>
      <c r="L313" s="1185"/>
      <c r="M313" s="1185"/>
      <c r="N313" s="1185"/>
      <c r="O313" s="1185"/>
      <c r="P313" s="1185"/>
    </row>
    <row r="314" spans="1:26" ht="19.5">
      <c r="A314" s="1194"/>
      <c r="B314" s="1187" t="s">
        <v>145</v>
      </c>
      <c r="C314" s="1195"/>
      <c r="D314" s="1196"/>
      <c r="E314" s="1188"/>
      <c r="F314" s="1188"/>
      <c r="G314" s="1189"/>
      <c r="H314" s="444" t="s">
        <v>146</v>
      </c>
      <c r="I314" s="1190">
        <f t="shared" ref="I314:J314" ca="1" si="142">I325</f>
        <v>1</v>
      </c>
      <c r="J314" s="1190">
        <f t="shared" si="142"/>
        <v>1</v>
      </c>
      <c r="K314" s="1191">
        <f ca="1">IF(I314&gt;0,J314*100/I314,0)</f>
        <v>100</v>
      </c>
      <c r="L314" s="1192"/>
      <c r="M314" s="1192"/>
      <c r="N314" s="1192"/>
      <c r="O314" s="1192"/>
      <c r="P314" s="1192"/>
    </row>
    <row r="315" spans="1:26" ht="19.5">
      <c r="A315" s="985"/>
      <c r="B315" s="986"/>
      <c r="C315" s="987" t="s">
        <v>16</v>
      </c>
      <c r="D315" s="988" t="s">
        <v>17</v>
      </c>
      <c r="E315" s="986"/>
      <c r="F315" s="986"/>
      <c r="G315" s="989"/>
      <c r="H315" s="152" t="s">
        <v>12</v>
      </c>
      <c r="I315" s="990"/>
      <c r="J315" s="990"/>
      <c r="K315" s="991"/>
      <c r="L315" s="992">
        <f t="shared" ref="L315:N315" ca="1" si="143">L316+L317</f>
        <v>296000</v>
      </c>
      <c r="M315" s="992">
        <f t="shared" ca="1" si="143"/>
        <v>218500</v>
      </c>
      <c r="N315" s="992">
        <f t="shared" ca="1" si="143"/>
        <v>117392</v>
      </c>
      <c r="O315" s="992">
        <f t="shared" ref="O315:O323" ca="1" si="144">IF(L315&gt;0,N315*100/L315,0)</f>
        <v>39.659459459459462</v>
      </c>
      <c r="P315" s="992">
        <f t="shared" ref="P315:P323" ca="1" si="145">IF(M315&gt;0,N315*100/M315,0)</f>
        <v>53.726315789473681</v>
      </c>
      <c r="Q315" s="868"/>
      <c r="R315" s="868"/>
      <c r="S315" s="868"/>
      <c r="T315" s="868"/>
      <c r="U315" s="868"/>
      <c r="V315" s="868"/>
      <c r="W315" s="868"/>
      <c r="X315" s="868"/>
      <c r="Y315" s="868"/>
      <c r="Z315" s="868"/>
    </row>
    <row r="316" spans="1:26" ht="18.75" hidden="1">
      <c r="A316" s="993"/>
      <c r="B316" s="883"/>
      <c r="C316" s="883"/>
      <c r="D316" s="883"/>
      <c r="E316" s="884" t="s">
        <v>18</v>
      </c>
      <c r="F316" s="883"/>
      <c r="G316" s="994"/>
      <c r="H316" s="158" t="s">
        <v>12</v>
      </c>
      <c r="I316" s="886"/>
      <c r="J316" s="886"/>
      <c r="K316" s="887"/>
      <c r="L316" s="887">
        <f t="shared" ref="L316:N317" si="146">L319+L322</f>
        <v>0</v>
      </c>
      <c r="M316" s="887">
        <f t="shared" si="146"/>
        <v>0</v>
      </c>
      <c r="N316" s="887">
        <f t="shared" si="146"/>
        <v>0</v>
      </c>
      <c r="O316" s="887">
        <f t="shared" si="144"/>
        <v>0</v>
      </c>
      <c r="P316" s="887">
        <f t="shared" si="145"/>
        <v>0</v>
      </c>
      <c r="Q316" s="875"/>
      <c r="R316" s="875"/>
      <c r="S316" s="875"/>
      <c r="T316" s="875"/>
      <c r="U316" s="875"/>
      <c r="V316" s="875"/>
      <c r="W316" s="875"/>
      <c r="X316" s="875"/>
      <c r="Y316" s="875"/>
      <c r="Z316" s="875"/>
    </row>
    <row r="317" spans="1:26" ht="18.75" hidden="1">
      <c r="A317" s="993"/>
      <c r="B317" s="883"/>
      <c r="C317" s="883"/>
      <c r="D317" s="883"/>
      <c r="E317" s="884" t="s">
        <v>19</v>
      </c>
      <c r="F317" s="883"/>
      <c r="G317" s="994"/>
      <c r="H317" s="158" t="s">
        <v>12</v>
      </c>
      <c r="I317" s="886"/>
      <c r="J317" s="886"/>
      <c r="K317" s="887"/>
      <c r="L317" s="887">
        <f t="shared" ca="1" si="146"/>
        <v>296000</v>
      </c>
      <c r="M317" s="887">
        <f t="shared" ca="1" si="146"/>
        <v>218500</v>
      </c>
      <c r="N317" s="887">
        <f t="shared" ca="1" si="146"/>
        <v>117392</v>
      </c>
      <c r="O317" s="887">
        <f t="shared" ca="1" si="144"/>
        <v>39.659459459459462</v>
      </c>
      <c r="P317" s="887">
        <f t="shared" ca="1" si="145"/>
        <v>53.726315789473681</v>
      </c>
      <c r="Q317" s="875"/>
      <c r="R317" s="875"/>
      <c r="S317" s="875"/>
      <c r="T317" s="875"/>
      <c r="U317" s="875"/>
      <c r="V317" s="875"/>
      <c r="W317" s="875"/>
      <c r="X317" s="875"/>
      <c r="Y317" s="875"/>
      <c r="Z317" s="875"/>
    </row>
    <row r="318" spans="1:26" ht="18.75">
      <c r="A318" s="995"/>
      <c r="B318" s="877"/>
      <c r="C318" s="996"/>
      <c r="D318" s="878" t="s">
        <v>20</v>
      </c>
      <c r="E318" s="877"/>
      <c r="F318" s="877"/>
      <c r="G318" s="879"/>
      <c r="H318" s="161" t="s">
        <v>12</v>
      </c>
      <c r="I318" s="997"/>
      <c r="J318" s="997"/>
      <c r="K318" s="998"/>
      <c r="L318" s="881">
        <f t="shared" ref="L318:N318" ca="1" si="147">L319+L320</f>
        <v>296000</v>
      </c>
      <c r="M318" s="881">
        <f t="shared" ca="1" si="147"/>
        <v>218500</v>
      </c>
      <c r="N318" s="881">
        <f t="shared" ca="1" si="147"/>
        <v>117392</v>
      </c>
      <c r="O318" s="881">
        <f t="shared" ca="1" si="144"/>
        <v>39.659459459459462</v>
      </c>
      <c r="P318" s="881">
        <f t="shared" ca="1" si="145"/>
        <v>53.726315789473681</v>
      </c>
      <c r="Q318" s="868"/>
      <c r="R318" s="868"/>
      <c r="S318" s="868"/>
      <c r="T318" s="868"/>
      <c r="U318" s="868"/>
      <c r="V318" s="868"/>
      <c r="W318" s="868"/>
      <c r="X318" s="868"/>
      <c r="Y318" s="868"/>
      <c r="Z318" s="868"/>
    </row>
    <row r="319" spans="1:26" ht="19.5" hidden="1">
      <c r="A319" s="993"/>
      <c r="B319" s="883"/>
      <c r="C319" s="999"/>
      <c r="D319" s="883"/>
      <c r="E319" s="884" t="s">
        <v>36</v>
      </c>
      <c r="F319" s="883"/>
      <c r="G319" s="994"/>
      <c r="H319" s="165" t="s">
        <v>12</v>
      </c>
      <c r="I319" s="1000"/>
      <c r="J319" s="1000"/>
      <c r="K319" s="1001"/>
      <c r="L319" s="887">
        <v>0</v>
      </c>
      <c r="M319" s="887">
        <v>0</v>
      </c>
      <c r="N319" s="887">
        <v>0</v>
      </c>
      <c r="O319" s="887">
        <f t="shared" si="144"/>
        <v>0</v>
      </c>
      <c r="P319" s="887">
        <f t="shared" si="145"/>
        <v>0</v>
      </c>
      <c r="Q319" s="875"/>
      <c r="R319" s="875"/>
      <c r="S319" s="875"/>
      <c r="T319" s="875"/>
      <c r="U319" s="875"/>
      <c r="V319" s="875"/>
      <c r="W319" s="875"/>
      <c r="X319" s="875"/>
      <c r="Y319" s="875"/>
      <c r="Z319" s="875"/>
    </row>
    <row r="320" spans="1:26" ht="19.5" hidden="1">
      <c r="A320" s="993"/>
      <c r="B320" s="883"/>
      <c r="C320" s="999"/>
      <c r="D320" s="883"/>
      <c r="E320" s="884" t="s">
        <v>37</v>
      </c>
      <c r="F320" s="883"/>
      <c r="G320" s="994"/>
      <c r="H320" s="165" t="s">
        <v>12</v>
      </c>
      <c r="I320" s="1000"/>
      <c r="J320" s="1000"/>
      <c r="K320" s="1001"/>
      <c r="L320" s="887">
        <f ca="1">IFERROR(__xludf.DUMMYFUNCTION("IMPORTRANGE(""https://docs.google.com/spreadsheets/d/1MeEWN-I1oV_STSDYn1IFDPWt_1FKiwhDph83XaGc0o0/edit?usp=sharing"",""งบพรบ!EC86"")"),296000)</f>
        <v>296000</v>
      </c>
      <c r="M320" s="887">
        <f ca="1">IFERROR(__xludf.DUMMYFUNCTION("IMPORTRANGE(""https://docs.google.com/spreadsheets/d/1MeEWN-I1oV_STSDYn1IFDPWt_1FKiwhDph83XaGc0o0/edit?usp=sharing"",""งบพรบ!EH86"")"),218500)</f>
        <v>218500</v>
      </c>
      <c r="N320" s="887">
        <f ca="1">IFERROR(__xludf.DUMMYFUNCTION("IMPORTRANGE(""https://docs.google.com/spreadsheets/d/1MeEWN-I1oV_STSDYn1IFDPWt_1FKiwhDph83XaGc0o0/edit?usp=sharing"",""งบพรบ!EJ86"")"),117392)</f>
        <v>117392</v>
      </c>
      <c r="O320" s="887">
        <f t="shared" ca="1" si="144"/>
        <v>39.659459459459462</v>
      </c>
      <c r="P320" s="887">
        <f t="shared" ca="1" si="145"/>
        <v>53.726315789473681</v>
      </c>
      <c r="Q320" s="875"/>
      <c r="R320" s="875"/>
      <c r="S320" s="875"/>
      <c r="T320" s="875"/>
      <c r="U320" s="875"/>
      <c r="V320" s="875"/>
      <c r="W320" s="875"/>
      <c r="X320" s="875"/>
      <c r="Y320" s="875"/>
      <c r="Z320" s="875"/>
    </row>
    <row r="321" spans="1:26" ht="18.75">
      <c r="A321" s="995"/>
      <c r="B321" s="877"/>
      <c r="C321" s="996"/>
      <c r="D321" s="878" t="s">
        <v>21</v>
      </c>
      <c r="E321" s="877"/>
      <c r="F321" s="877"/>
      <c r="G321" s="879"/>
      <c r="H321" s="168" t="s">
        <v>12</v>
      </c>
      <c r="I321" s="997"/>
      <c r="J321" s="997"/>
      <c r="K321" s="998"/>
      <c r="L321" s="881">
        <f t="shared" ref="L321:N321" ca="1" si="148">L322+L323</f>
        <v>0</v>
      </c>
      <c r="M321" s="881">
        <f t="shared" ca="1" si="148"/>
        <v>0</v>
      </c>
      <c r="N321" s="881">
        <f t="shared" ca="1" si="148"/>
        <v>0</v>
      </c>
      <c r="O321" s="881">
        <f t="shared" ca="1" si="144"/>
        <v>0</v>
      </c>
      <c r="P321" s="881">
        <f t="shared" ca="1" si="145"/>
        <v>0</v>
      </c>
      <c r="Q321" s="868"/>
      <c r="R321" s="868"/>
      <c r="S321" s="868"/>
      <c r="T321" s="868"/>
      <c r="U321" s="868"/>
      <c r="V321" s="868"/>
      <c r="W321" s="868"/>
      <c r="X321" s="868"/>
      <c r="Y321" s="868"/>
      <c r="Z321" s="868"/>
    </row>
    <row r="322" spans="1:26" ht="19.5" hidden="1">
      <c r="A322" s="993"/>
      <c r="B322" s="883"/>
      <c r="C322" s="999"/>
      <c r="D322" s="883"/>
      <c r="E322" s="884" t="s">
        <v>18</v>
      </c>
      <c r="F322" s="883"/>
      <c r="G322" s="994"/>
      <c r="H322" s="165" t="s">
        <v>12</v>
      </c>
      <c r="I322" s="1000"/>
      <c r="J322" s="1000"/>
      <c r="K322" s="1001"/>
      <c r="L322" s="887">
        <v>0</v>
      </c>
      <c r="M322" s="887">
        <v>0</v>
      </c>
      <c r="N322" s="887">
        <v>0</v>
      </c>
      <c r="O322" s="887">
        <f t="shared" si="144"/>
        <v>0</v>
      </c>
      <c r="P322" s="887">
        <f t="shared" si="145"/>
        <v>0</v>
      </c>
      <c r="Q322" s="875"/>
      <c r="R322" s="875"/>
      <c r="S322" s="875"/>
      <c r="T322" s="875"/>
      <c r="U322" s="875"/>
      <c r="V322" s="875"/>
      <c r="W322" s="875"/>
      <c r="X322" s="875"/>
      <c r="Y322" s="875"/>
      <c r="Z322" s="875"/>
    </row>
    <row r="323" spans="1:26" ht="19.5" hidden="1">
      <c r="A323" s="993"/>
      <c r="B323" s="883"/>
      <c r="C323" s="999"/>
      <c r="D323" s="883"/>
      <c r="E323" s="884" t="s">
        <v>19</v>
      </c>
      <c r="F323" s="883"/>
      <c r="G323" s="994"/>
      <c r="H323" s="169" t="s">
        <v>12</v>
      </c>
      <c r="I323" s="1000"/>
      <c r="J323" s="1000"/>
      <c r="K323" s="1001"/>
      <c r="L323" s="887">
        <f ca="1">IFERROR(__xludf.DUMMYFUNCTION("IMPORTRANGE(""https://docs.google.com/spreadsheets/d/1MeEWN-I1oV_STSDYn1IFDPWt_1FKiwhDph83XaGc0o0/edit?usp=sharing"",""งบพรบ!EF86"")"),0)</f>
        <v>0</v>
      </c>
      <c r="M323" s="887">
        <f ca="1">IFERROR(__xludf.DUMMYFUNCTION("IMPORTRANGE(""https://docs.google.com/spreadsheets/d/1MeEWN-I1oV_STSDYn1IFDPWt_1FKiwhDph83XaGc0o0/edit?usp=sharing"",""งบพรบ!EI86"")"),0)</f>
        <v>0</v>
      </c>
      <c r="N323" s="887">
        <f ca="1">IFERROR(__xludf.DUMMYFUNCTION("IMPORTRANGE(""https://docs.google.com/spreadsheets/d/1MeEWN-I1oV_STSDYn1IFDPWt_1FKiwhDph83XaGc0o0/edit?usp=sharing"",""งบพรบ!EK86"")"),0)</f>
        <v>0</v>
      </c>
      <c r="O323" s="887">
        <f t="shared" ca="1" si="144"/>
        <v>0</v>
      </c>
      <c r="P323" s="887">
        <f t="shared" ca="1" si="145"/>
        <v>0</v>
      </c>
      <c r="Q323" s="875"/>
      <c r="R323" s="875"/>
      <c r="S323" s="875"/>
      <c r="T323" s="875"/>
      <c r="U323" s="875"/>
      <c r="V323" s="875"/>
      <c r="W323" s="875"/>
      <c r="X323" s="875"/>
      <c r="Y323" s="875"/>
      <c r="Z323" s="875"/>
    </row>
    <row r="324" spans="1:26" ht="19.5">
      <c r="A324" s="1002"/>
      <c r="B324" s="1003"/>
      <c r="C324" s="999" t="s">
        <v>16</v>
      </c>
      <c r="D324" s="1004" t="s">
        <v>38</v>
      </c>
      <c r="E324" s="1005"/>
      <c r="F324" s="1005"/>
      <c r="G324" s="1006"/>
      <c r="H324" s="1007"/>
      <c r="I324" s="997"/>
      <c r="J324" s="880"/>
      <c r="K324" s="881"/>
      <c r="L324" s="881"/>
      <c r="M324" s="881"/>
      <c r="N324" s="881"/>
      <c r="O324" s="998"/>
      <c r="P324" s="998"/>
    </row>
    <row r="325" spans="1:26" ht="18.75">
      <c r="A325" s="1002"/>
      <c r="B325" s="1003"/>
      <c r="C325" s="1003"/>
      <c r="D325" s="1008" t="s">
        <v>147</v>
      </c>
      <c r="E325" s="1010"/>
      <c r="F325" s="1009"/>
      <c r="G325" s="1011"/>
      <c r="H325" s="622" t="s">
        <v>146</v>
      </c>
      <c r="I325" s="880">
        <f ca="1">IFERROR(__xludf.DUMMYFUNCTION("IMPORTRANGE(""https://docs.google.com/spreadsheets/d/1QqKyyYR6Q21VydFLVH3TRQUabQu_ym0Zz7PgGX0-kHA/edit?usp=sharing"",""แผน!EF86"")"),1)</f>
        <v>1</v>
      </c>
      <c r="J325" s="1012">
        <v>1</v>
      </c>
      <c r="K325" s="881">
        <f ca="1">IF(I325&gt;0,J325*100/I325,0)</f>
        <v>100</v>
      </c>
      <c r="L325" s="881"/>
      <c r="M325" s="881"/>
      <c r="N325" s="881"/>
      <c r="O325" s="998"/>
      <c r="P325" s="998"/>
    </row>
    <row r="326" spans="1:26" ht="19.5">
      <c r="A326" s="1179" t="s">
        <v>148</v>
      </c>
      <c r="B326" s="1180"/>
      <c r="C326" s="1180"/>
      <c r="D326" s="1181"/>
      <c r="E326" s="1180"/>
      <c r="F326" s="1180"/>
      <c r="G326" s="1180"/>
      <c r="H326" s="1193"/>
      <c r="I326" s="1184"/>
      <c r="J326" s="1184"/>
      <c r="K326" s="1185"/>
      <c r="L326" s="1185"/>
      <c r="M326" s="1185"/>
      <c r="N326" s="1185"/>
      <c r="O326" s="1185"/>
      <c r="P326" s="1185"/>
    </row>
    <row r="327" spans="1:26" ht="19.5">
      <c r="A327" s="1186"/>
      <c r="B327" s="1187" t="s">
        <v>149</v>
      </c>
      <c r="C327" s="1196"/>
      <c r="D327" s="1188"/>
      <c r="E327" s="1188"/>
      <c r="F327" s="1188"/>
      <c r="G327" s="1189"/>
      <c r="H327" s="444" t="s">
        <v>35</v>
      </c>
      <c r="I327" s="1190">
        <f ca="1">IFERROR(__xludf.DUMMYFUNCTION("IMPORTRANGE(""https://docs.google.com/spreadsheets/d/1QqKyyYR6Q21VydFLVH3TRQUabQu_ym0Zz7PgGX0-kHA/edit?usp=sharing"",""แผน!EG86"")"),1300)</f>
        <v>1300</v>
      </c>
      <c r="J327" s="1190">
        <f ca="1">J338+J341+J342+J343</f>
        <v>2126</v>
      </c>
      <c r="K327" s="1191">
        <f ca="1">IF(I327&gt;0,J327*100/I327,0)</f>
        <v>163.53846153846155</v>
      </c>
      <c r="L327" s="1192"/>
      <c r="M327" s="1192"/>
      <c r="N327" s="1192"/>
      <c r="O327" s="1192"/>
      <c r="P327" s="1192"/>
    </row>
    <row r="328" spans="1:26" ht="19.5">
      <c r="A328" s="985"/>
      <c r="B328" s="986"/>
      <c r="C328" s="987" t="s">
        <v>16</v>
      </c>
      <c r="D328" s="988" t="s">
        <v>17</v>
      </c>
      <c r="E328" s="986"/>
      <c r="F328" s="986"/>
      <c r="G328" s="989"/>
      <c r="H328" s="152" t="s">
        <v>12</v>
      </c>
      <c r="I328" s="990"/>
      <c r="J328" s="990"/>
      <c r="K328" s="991"/>
      <c r="L328" s="992">
        <f t="shared" ref="L328:N328" ca="1" si="149">L329+L330</f>
        <v>168000</v>
      </c>
      <c r="M328" s="992">
        <f t="shared" ca="1" si="149"/>
        <v>128500</v>
      </c>
      <c r="N328" s="992">
        <f t="shared" ca="1" si="149"/>
        <v>74712</v>
      </c>
      <c r="O328" s="992">
        <f t="shared" ref="O328:O336" ca="1" si="150">IF(L328&gt;0,N328*100/L328,0)</f>
        <v>44.471428571428568</v>
      </c>
      <c r="P328" s="992">
        <f t="shared" ref="P328:P336" ca="1" si="151">IF(M328&gt;0,N328*100/M328,0)</f>
        <v>58.141634241245136</v>
      </c>
      <c r="Q328" s="868"/>
      <c r="R328" s="868"/>
      <c r="S328" s="868"/>
      <c r="T328" s="868"/>
      <c r="U328" s="868"/>
      <c r="V328" s="868"/>
      <c r="W328" s="868"/>
      <c r="X328" s="868"/>
      <c r="Y328" s="868"/>
      <c r="Z328" s="868"/>
    </row>
    <row r="329" spans="1:26" ht="18.75" hidden="1">
      <c r="A329" s="993"/>
      <c r="B329" s="883"/>
      <c r="C329" s="883"/>
      <c r="D329" s="883"/>
      <c r="E329" s="884" t="s">
        <v>18</v>
      </c>
      <c r="F329" s="883"/>
      <c r="G329" s="994"/>
      <c r="H329" s="158" t="s">
        <v>12</v>
      </c>
      <c r="I329" s="886"/>
      <c r="J329" s="886"/>
      <c r="K329" s="887"/>
      <c r="L329" s="887">
        <f t="shared" ref="L329:N330" si="152">L332+L335</f>
        <v>0</v>
      </c>
      <c r="M329" s="887">
        <f t="shared" si="152"/>
        <v>0</v>
      </c>
      <c r="N329" s="887">
        <f t="shared" si="152"/>
        <v>0</v>
      </c>
      <c r="O329" s="887">
        <f t="shared" si="150"/>
        <v>0</v>
      </c>
      <c r="P329" s="887">
        <f t="shared" si="151"/>
        <v>0</v>
      </c>
      <c r="Q329" s="875"/>
      <c r="R329" s="875"/>
      <c r="S329" s="875"/>
      <c r="T329" s="875"/>
      <c r="U329" s="875"/>
      <c r="V329" s="875"/>
      <c r="W329" s="875"/>
      <c r="X329" s="875"/>
      <c r="Y329" s="875"/>
      <c r="Z329" s="875"/>
    </row>
    <row r="330" spans="1:26" ht="18.75" hidden="1">
      <c r="A330" s="993"/>
      <c r="B330" s="883"/>
      <c r="C330" s="883"/>
      <c r="D330" s="883"/>
      <c r="E330" s="884" t="s">
        <v>19</v>
      </c>
      <c r="F330" s="883"/>
      <c r="G330" s="994"/>
      <c r="H330" s="158" t="s">
        <v>12</v>
      </c>
      <c r="I330" s="886"/>
      <c r="J330" s="886"/>
      <c r="K330" s="887"/>
      <c r="L330" s="887">
        <f t="shared" ca="1" si="152"/>
        <v>168000</v>
      </c>
      <c r="M330" s="887">
        <f t="shared" ca="1" si="152"/>
        <v>128500</v>
      </c>
      <c r="N330" s="887">
        <f t="shared" ca="1" si="152"/>
        <v>74712</v>
      </c>
      <c r="O330" s="887">
        <f t="shared" ca="1" si="150"/>
        <v>44.471428571428568</v>
      </c>
      <c r="P330" s="887">
        <f t="shared" ca="1" si="151"/>
        <v>58.141634241245136</v>
      </c>
      <c r="Q330" s="875"/>
      <c r="R330" s="875"/>
      <c r="S330" s="875"/>
      <c r="T330" s="875"/>
      <c r="U330" s="875"/>
      <c r="V330" s="875"/>
      <c r="W330" s="875"/>
      <c r="X330" s="875"/>
      <c r="Y330" s="875"/>
      <c r="Z330" s="875"/>
    </row>
    <row r="331" spans="1:26" ht="18.75">
      <c r="A331" s="995"/>
      <c r="B331" s="877"/>
      <c r="C331" s="996"/>
      <c r="D331" s="878" t="s">
        <v>20</v>
      </c>
      <c r="E331" s="877"/>
      <c r="F331" s="877"/>
      <c r="G331" s="879"/>
      <c r="H331" s="161" t="s">
        <v>12</v>
      </c>
      <c r="I331" s="997"/>
      <c r="J331" s="997"/>
      <c r="K331" s="998"/>
      <c r="L331" s="881">
        <f t="shared" ref="L331:N331" ca="1" si="153">L332+L333</f>
        <v>168000</v>
      </c>
      <c r="M331" s="881">
        <f t="shared" ca="1" si="153"/>
        <v>128500</v>
      </c>
      <c r="N331" s="881">
        <f t="shared" ca="1" si="153"/>
        <v>74712</v>
      </c>
      <c r="O331" s="881">
        <f t="shared" ca="1" si="150"/>
        <v>44.471428571428568</v>
      </c>
      <c r="P331" s="881">
        <f t="shared" ca="1" si="151"/>
        <v>58.141634241245136</v>
      </c>
      <c r="Q331" s="868"/>
      <c r="R331" s="868"/>
      <c r="S331" s="868"/>
      <c r="T331" s="868"/>
      <c r="U331" s="868"/>
      <c r="V331" s="868"/>
      <c r="W331" s="868"/>
      <c r="X331" s="868"/>
      <c r="Y331" s="868"/>
      <c r="Z331" s="868"/>
    </row>
    <row r="332" spans="1:26" ht="19.5" hidden="1">
      <c r="A332" s="993"/>
      <c r="B332" s="883"/>
      <c r="C332" s="999"/>
      <c r="D332" s="883"/>
      <c r="E332" s="884" t="s">
        <v>36</v>
      </c>
      <c r="F332" s="883"/>
      <c r="G332" s="994"/>
      <c r="H332" s="165" t="s">
        <v>12</v>
      </c>
      <c r="I332" s="1000"/>
      <c r="J332" s="1000"/>
      <c r="K332" s="1001"/>
      <c r="L332" s="887">
        <v>0</v>
      </c>
      <c r="M332" s="887">
        <v>0</v>
      </c>
      <c r="N332" s="887">
        <v>0</v>
      </c>
      <c r="O332" s="887">
        <f t="shared" si="150"/>
        <v>0</v>
      </c>
      <c r="P332" s="887">
        <f t="shared" si="151"/>
        <v>0</v>
      </c>
      <c r="Q332" s="875"/>
      <c r="R332" s="875"/>
      <c r="S332" s="875"/>
      <c r="T332" s="875"/>
      <c r="U332" s="875"/>
      <c r="V332" s="875"/>
      <c r="W332" s="875"/>
      <c r="X332" s="875"/>
      <c r="Y332" s="875"/>
      <c r="Z332" s="875"/>
    </row>
    <row r="333" spans="1:26" ht="19.5" hidden="1">
      <c r="A333" s="993"/>
      <c r="B333" s="883"/>
      <c r="C333" s="999"/>
      <c r="D333" s="883"/>
      <c r="E333" s="884" t="s">
        <v>37</v>
      </c>
      <c r="F333" s="883"/>
      <c r="G333" s="994"/>
      <c r="H333" s="165" t="s">
        <v>12</v>
      </c>
      <c r="I333" s="1000"/>
      <c r="J333" s="1000"/>
      <c r="K333" s="1001"/>
      <c r="L333" s="887">
        <f ca="1">IFERROR(__xludf.DUMMYFUNCTION("IMPORTRANGE(""https://docs.google.com/spreadsheets/d/1MeEWN-I1oV_STSDYn1IFDPWt_1FKiwhDph83XaGc0o0/edit?usp=sharing"",""งบพรบ!EM86"")"),168000)</f>
        <v>168000</v>
      </c>
      <c r="M333" s="887">
        <f ca="1">IFERROR(__xludf.DUMMYFUNCTION("IMPORTRANGE(""https://docs.google.com/spreadsheets/d/1MeEWN-I1oV_STSDYn1IFDPWt_1FKiwhDph83XaGc0o0/edit?usp=sharing"",""งบพรบ!ER86"")"),128500)</f>
        <v>128500</v>
      </c>
      <c r="N333" s="887">
        <f ca="1">IFERROR(__xludf.DUMMYFUNCTION("IMPORTRANGE(""https://docs.google.com/spreadsheets/d/1MeEWN-I1oV_STSDYn1IFDPWt_1FKiwhDph83XaGc0o0/edit?usp=sharing"",""งบพรบ!ET86"")"),74712)</f>
        <v>74712</v>
      </c>
      <c r="O333" s="887">
        <f t="shared" ca="1" si="150"/>
        <v>44.471428571428568</v>
      </c>
      <c r="P333" s="887">
        <f t="shared" ca="1" si="151"/>
        <v>58.141634241245136</v>
      </c>
      <c r="Q333" s="875"/>
      <c r="R333" s="875"/>
      <c r="S333" s="875"/>
      <c r="T333" s="875"/>
      <c r="U333" s="875"/>
      <c r="V333" s="875"/>
      <c r="W333" s="875"/>
      <c r="X333" s="875"/>
      <c r="Y333" s="875"/>
      <c r="Z333" s="875"/>
    </row>
    <row r="334" spans="1:26" ht="18.75">
      <c r="A334" s="995"/>
      <c r="B334" s="877"/>
      <c r="C334" s="996"/>
      <c r="D334" s="878" t="s">
        <v>21</v>
      </c>
      <c r="E334" s="877"/>
      <c r="F334" s="877"/>
      <c r="G334" s="879"/>
      <c r="H334" s="168" t="s">
        <v>12</v>
      </c>
      <c r="I334" s="997"/>
      <c r="J334" s="997"/>
      <c r="K334" s="998"/>
      <c r="L334" s="881">
        <f t="shared" ref="L334:N334" ca="1" si="154">L335+L336</f>
        <v>0</v>
      </c>
      <c r="M334" s="881">
        <f t="shared" ca="1" si="154"/>
        <v>0</v>
      </c>
      <c r="N334" s="881">
        <f t="shared" ca="1" si="154"/>
        <v>0</v>
      </c>
      <c r="O334" s="881">
        <f t="shared" ca="1" si="150"/>
        <v>0</v>
      </c>
      <c r="P334" s="881">
        <f t="shared" ca="1" si="151"/>
        <v>0</v>
      </c>
      <c r="Q334" s="868"/>
      <c r="R334" s="868"/>
      <c r="S334" s="868"/>
      <c r="T334" s="868"/>
      <c r="U334" s="868"/>
      <c r="V334" s="868"/>
      <c r="W334" s="868"/>
      <c r="X334" s="868"/>
      <c r="Y334" s="868"/>
      <c r="Z334" s="868"/>
    </row>
    <row r="335" spans="1:26" ht="19.5" hidden="1">
      <c r="A335" s="993"/>
      <c r="B335" s="883"/>
      <c r="C335" s="999"/>
      <c r="D335" s="883"/>
      <c r="E335" s="884" t="s">
        <v>18</v>
      </c>
      <c r="F335" s="883"/>
      <c r="G335" s="994"/>
      <c r="H335" s="165" t="s">
        <v>12</v>
      </c>
      <c r="I335" s="1000"/>
      <c r="J335" s="1000"/>
      <c r="K335" s="1001"/>
      <c r="L335" s="887">
        <v>0</v>
      </c>
      <c r="M335" s="887">
        <v>0</v>
      </c>
      <c r="N335" s="887">
        <v>0</v>
      </c>
      <c r="O335" s="887">
        <f t="shared" si="150"/>
        <v>0</v>
      </c>
      <c r="P335" s="887">
        <f t="shared" si="151"/>
        <v>0</v>
      </c>
      <c r="Q335" s="875"/>
      <c r="R335" s="875"/>
      <c r="S335" s="875"/>
      <c r="T335" s="875"/>
      <c r="U335" s="875"/>
      <c r="V335" s="875"/>
      <c r="W335" s="875"/>
      <c r="X335" s="875"/>
      <c r="Y335" s="875"/>
      <c r="Z335" s="875"/>
    </row>
    <row r="336" spans="1:26" ht="19.5" hidden="1">
      <c r="A336" s="993"/>
      <c r="B336" s="883"/>
      <c r="C336" s="999"/>
      <c r="D336" s="883"/>
      <c r="E336" s="884" t="s">
        <v>19</v>
      </c>
      <c r="F336" s="883"/>
      <c r="G336" s="994"/>
      <c r="H336" s="169" t="s">
        <v>12</v>
      </c>
      <c r="I336" s="1000"/>
      <c r="J336" s="1000"/>
      <c r="K336" s="1001"/>
      <c r="L336" s="887">
        <f ca="1">IFERROR(__xludf.DUMMYFUNCTION("IMPORTRANGE(""https://docs.google.com/spreadsheets/d/1MeEWN-I1oV_STSDYn1IFDPWt_1FKiwhDph83XaGc0o0/edit?usp=sharing"",""งบพรบ!EP86"")"),0)</f>
        <v>0</v>
      </c>
      <c r="M336" s="887">
        <f ca="1">IFERROR(__xludf.DUMMYFUNCTION("IMPORTRANGE(""https://docs.google.com/spreadsheets/d/1MeEWN-I1oV_STSDYn1IFDPWt_1FKiwhDph83XaGc0o0/edit?usp=sharing"",""งบพรบ!ES86"")"),0)</f>
        <v>0</v>
      </c>
      <c r="N336" s="887">
        <f ca="1">IFERROR(__xludf.DUMMYFUNCTION("IMPORTRANGE(""https://docs.google.com/spreadsheets/d/1MeEWN-I1oV_STSDYn1IFDPWt_1FKiwhDph83XaGc0o0/edit?usp=sharing"",""งบพรบ!EU86"")"),0)</f>
        <v>0</v>
      </c>
      <c r="O336" s="887">
        <f t="shared" ca="1" si="150"/>
        <v>0</v>
      </c>
      <c r="P336" s="887">
        <f t="shared" ca="1" si="151"/>
        <v>0</v>
      </c>
      <c r="Q336" s="875"/>
      <c r="R336" s="875"/>
      <c r="S336" s="875"/>
      <c r="T336" s="875"/>
      <c r="U336" s="875"/>
      <c r="V336" s="875"/>
      <c r="W336" s="875"/>
      <c r="X336" s="875"/>
      <c r="Y336" s="875"/>
      <c r="Z336" s="875"/>
    </row>
    <row r="337" spans="1:26" ht="19.5">
      <c r="A337" s="1002"/>
      <c r="B337" s="1003"/>
      <c r="C337" s="999" t="s">
        <v>16</v>
      </c>
      <c r="D337" s="1004" t="s">
        <v>38</v>
      </c>
      <c r="E337" s="1005"/>
      <c r="F337" s="1005"/>
      <c r="G337" s="1006"/>
      <c r="H337" s="1007"/>
      <c r="I337" s="997"/>
      <c r="J337" s="880"/>
      <c r="K337" s="881"/>
      <c r="L337" s="881"/>
      <c r="M337" s="881"/>
      <c r="N337" s="881"/>
      <c r="O337" s="998"/>
      <c r="P337" s="998"/>
    </row>
    <row r="338" spans="1:26" ht="18.75">
      <c r="A338" s="1086"/>
      <c r="B338" s="877"/>
      <c r="C338" s="1084"/>
      <c r="D338" s="1009" t="s">
        <v>150</v>
      </c>
      <c r="E338" s="1003"/>
      <c r="F338" s="877"/>
      <c r="G338" s="879"/>
      <c r="H338" s="277" t="s">
        <v>35</v>
      </c>
      <c r="I338" s="880">
        <f ca="1">IFERROR(__xludf.DUMMYFUNCTION("IMPORTRANGE(""https://docs.google.com/spreadsheets/d/1QqKyyYR6Q21VydFLVH3TRQUabQu_ym0Zz7PgGX0-kHA/edit?usp=sharing"",""แผน!EG86"")"),1300)</f>
        <v>1300</v>
      </c>
      <c r="J338" s="880">
        <f ca="1">IFERROR(__xludf.DUMMYFUNCTION("IMPORTRANGE(""https://docs.google.com/spreadsheets/d/1kVcqe37tkHyjCSG3S0O1AXqVkqjo8mSIZil3BcpIysc/edit?usp=sharing"",""ศูนย์!D86"")"),2003)</f>
        <v>2003</v>
      </c>
      <c r="K338" s="881">
        <f ca="1">IF(I338&gt;0,J338*100/I338,0)</f>
        <v>154.07692307692307</v>
      </c>
      <c r="L338" s="881"/>
      <c r="M338" s="881"/>
      <c r="N338" s="881"/>
      <c r="O338" s="881"/>
      <c r="P338" s="881"/>
    </row>
    <row r="339" spans="1:26" ht="18.75">
      <c r="A339" s="1086"/>
      <c r="B339" s="877"/>
      <c r="C339" s="1084"/>
      <c r="D339" s="1009" t="s">
        <v>151</v>
      </c>
      <c r="E339" s="1003"/>
      <c r="F339" s="877"/>
      <c r="G339" s="879"/>
      <c r="H339" s="277"/>
      <c r="I339" s="880"/>
      <c r="J339" s="880"/>
      <c r="K339" s="881"/>
      <c r="L339" s="881"/>
      <c r="M339" s="881"/>
      <c r="N339" s="881"/>
      <c r="O339" s="881"/>
      <c r="P339" s="881"/>
    </row>
    <row r="340" spans="1:26" ht="18.75">
      <c r="A340" s="1086"/>
      <c r="B340" s="877"/>
      <c r="C340" s="1084"/>
      <c r="D340" s="1010"/>
      <c r="E340" s="1009" t="s">
        <v>152</v>
      </c>
      <c r="F340" s="877"/>
      <c r="G340" s="879"/>
      <c r="H340" s="277" t="s">
        <v>153</v>
      </c>
      <c r="I340" s="880">
        <f ca="1">IFERROR(__xludf.DUMMYFUNCTION("IMPORTRANGE(""https://docs.google.com/spreadsheets/d/1QqKyyYR6Q21VydFLVH3TRQUabQu_ym0Zz7PgGX0-kHA/edit?usp=sharing"",""แผน!EH86"")"),5)</f>
        <v>5</v>
      </c>
      <c r="J340" s="880">
        <f ca="1">IFERROR(__xludf.DUMMYFUNCTION("IMPORTRANGE(""https://docs.google.com/spreadsheets/d/1kVcqe37tkHyjCSG3S0O1AXqVkqjo8mSIZil3BcpIysc/edit?usp=sharing"",""ศูนย์!E86"")"),1)</f>
        <v>1</v>
      </c>
      <c r="K340" s="881">
        <f ca="1">IF(I340&gt;0,J340*100/I340,0)</f>
        <v>20</v>
      </c>
      <c r="L340" s="881"/>
      <c r="M340" s="881"/>
      <c r="N340" s="881"/>
      <c r="O340" s="881"/>
      <c r="P340" s="881"/>
    </row>
    <row r="341" spans="1:26" ht="18.75">
      <c r="A341" s="1086"/>
      <c r="B341" s="877"/>
      <c r="C341" s="1084"/>
      <c r="D341" s="1010"/>
      <c r="E341" s="1009" t="s">
        <v>154</v>
      </c>
      <c r="F341" s="877"/>
      <c r="G341" s="879"/>
      <c r="H341" s="277" t="s">
        <v>35</v>
      </c>
      <c r="I341" s="880"/>
      <c r="J341" s="880">
        <f ca="1">IFERROR(__xludf.DUMMYFUNCTION("IMPORTRANGE(""https://docs.google.com/spreadsheets/d/1kVcqe37tkHyjCSG3S0O1AXqVkqjo8mSIZil3BcpIysc/edit?usp=sharing"",""ศูนย์!F86"")"),90)</f>
        <v>90</v>
      </c>
      <c r="K341" s="881"/>
      <c r="L341" s="881"/>
      <c r="M341" s="881"/>
      <c r="N341" s="881"/>
      <c r="O341" s="881"/>
      <c r="P341" s="881"/>
    </row>
    <row r="342" spans="1:26" ht="18.75">
      <c r="A342" s="1086"/>
      <c r="B342" s="877"/>
      <c r="C342" s="1084"/>
      <c r="D342" s="1009" t="s">
        <v>155</v>
      </c>
      <c r="E342" s="1010"/>
      <c r="F342" s="1010"/>
      <c r="G342" s="879"/>
      <c r="H342" s="277" t="s">
        <v>35</v>
      </c>
      <c r="I342" s="880"/>
      <c r="J342" s="880">
        <f ca="1">IFERROR(__xludf.DUMMYFUNCTION("IMPORTRANGE(""https://docs.google.com/spreadsheets/d/1kVcqe37tkHyjCSG3S0O1AXqVkqjo8mSIZil3BcpIysc/edit?usp=sharing"",""ศูนย์!G86"")"),2)</f>
        <v>2</v>
      </c>
      <c r="K342" s="881"/>
      <c r="L342" s="881"/>
      <c r="M342" s="881"/>
      <c r="N342" s="881"/>
      <c r="O342" s="881"/>
      <c r="P342" s="881"/>
    </row>
    <row r="343" spans="1:26" ht="18.75">
      <c r="A343" s="1086"/>
      <c r="B343" s="877"/>
      <c r="C343" s="1084"/>
      <c r="D343" s="1009" t="s">
        <v>156</v>
      </c>
      <c r="E343" s="1010"/>
      <c r="F343" s="1010"/>
      <c r="G343" s="879"/>
      <c r="H343" s="277" t="s">
        <v>35</v>
      </c>
      <c r="I343" s="880"/>
      <c r="J343" s="880">
        <f ca="1">IFERROR(__xludf.DUMMYFUNCTION("IMPORTRANGE(""https://docs.google.com/spreadsheets/d/1kVcqe37tkHyjCSG3S0O1AXqVkqjo8mSIZil3BcpIysc/edit?usp=sharing"",""ศูนย์!H86"")"),31)</f>
        <v>31</v>
      </c>
      <c r="K343" s="881"/>
      <c r="L343" s="881"/>
      <c r="M343" s="881"/>
      <c r="N343" s="881"/>
      <c r="O343" s="881"/>
      <c r="P343" s="881"/>
    </row>
    <row r="344" spans="1:26" ht="19.5">
      <c r="A344" s="1186"/>
      <c r="B344" s="1187" t="s">
        <v>157</v>
      </c>
      <c r="C344" s="1196"/>
      <c r="D344" s="1188"/>
      <c r="E344" s="1188"/>
      <c r="F344" s="1188"/>
      <c r="G344" s="1189"/>
      <c r="H344" s="444"/>
      <c r="I344" s="1197"/>
      <c r="J344" s="1197"/>
      <c r="K344" s="1192"/>
      <c r="L344" s="1192"/>
      <c r="M344" s="1192"/>
      <c r="N344" s="1192"/>
      <c r="O344" s="1192"/>
      <c r="P344" s="1192"/>
    </row>
    <row r="345" spans="1:26" ht="19.5">
      <c r="A345" s="985"/>
      <c r="B345" s="986"/>
      <c r="C345" s="987" t="s">
        <v>16</v>
      </c>
      <c r="D345" s="988" t="s">
        <v>17</v>
      </c>
      <c r="E345" s="986"/>
      <c r="F345" s="986"/>
      <c r="G345" s="989"/>
      <c r="H345" s="152" t="s">
        <v>12</v>
      </c>
      <c r="I345" s="990"/>
      <c r="J345" s="990"/>
      <c r="K345" s="991"/>
      <c r="L345" s="992">
        <f t="shared" ref="L345:N345" ca="1" si="155">L346+L347</f>
        <v>738610</v>
      </c>
      <c r="M345" s="992">
        <f t="shared" ca="1" si="155"/>
        <v>590170</v>
      </c>
      <c r="N345" s="992">
        <f t="shared" ca="1" si="155"/>
        <v>379879.22</v>
      </c>
      <c r="O345" s="992">
        <f t="shared" ref="O345:O353" ca="1" si="156">IF(L345&gt;0,N345*100/L345,0)</f>
        <v>51.431637806149389</v>
      </c>
      <c r="P345" s="992">
        <f t="shared" ref="P345:P353" ca="1" si="157">IF(M345&gt;0,N345*100/M345,0)</f>
        <v>64.367761831336736</v>
      </c>
      <c r="Q345" s="868"/>
      <c r="R345" s="868"/>
      <c r="S345" s="868"/>
      <c r="T345" s="868"/>
      <c r="U345" s="868"/>
      <c r="V345" s="868"/>
      <c r="W345" s="868"/>
      <c r="X345" s="868"/>
      <c r="Y345" s="868"/>
      <c r="Z345" s="868"/>
    </row>
    <row r="346" spans="1:26" ht="18.75" hidden="1">
      <c r="A346" s="993"/>
      <c r="B346" s="883"/>
      <c r="C346" s="883"/>
      <c r="D346" s="883"/>
      <c r="E346" s="884" t="s">
        <v>18</v>
      </c>
      <c r="F346" s="883"/>
      <c r="G346" s="994"/>
      <c r="H346" s="158" t="s">
        <v>12</v>
      </c>
      <c r="I346" s="886"/>
      <c r="J346" s="886"/>
      <c r="K346" s="887"/>
      <c r="L346" s="887">
        <f t="shared" ref="L346:N347" si="158">L349+L352</f>
        <v>0</v>
      </c>
      <c r="M346" s="887">
        <f t="shared" si="158"/>
        <v>0</v>
      </c>
      <c r="N346" s="887">
        <f t="shared" si="158"/>
        <v>0</v>
      </c>
      <c r="O346" s="887">
        <f t="shared" si="156"/>
        <v>0</v>
      </c>
      <c r="P346" s="887">
        <f t="shared" si="157"/>
        <v>0</v>
      </c>
      <c r="Q346" s="875"/>
      <c r="R346" s="875"/>
      <c r="S346" s="875"/>
      <c r="T346" s="875"/>
      <c r="U346" s="875"/>
      <c r="V346" s="875"/>
      <c r="W346" s="875"/>
      <c r="X346" s="875"/>
      <c r="Y346" s="875"/>
      <c r="Z346" s="875"/>
    </row>
    <row r="347" spans="1:26" ht="18.75" hidden="1">
      <c r="A347" s="993"/>
      <c r="B347" s="883"/>
      <c r="C347" s="883"/>
      <c r="D347" s="883"/>
      <c r="E347" s="884" t="s">
        <v>19</v>
      </c>
      <c r="F347" s="883"/>
      <c r="G347" s="994"/>
      <c r="H347" s="158" t="s">
        <v>12</v>
      </c>
      <c r="I347" s="886"/>
      <c r="J347" s="886"/>
      <c r="K347" s="887"/>
      <c r="L347" s="887">
        <f t="shared" ca="1" si="158"/>
        <v>738610</v>
      </c>
      <c r="M347" s="887">
        <f t="shared" ca="1" si="158"/>
        <v>590170</v>
      </c>
      <c r="N347" s="887">
        <f t="shared" ca="1" si="158"/>
        <v>379879.22</v>
      </c>
      <c r="O347" s="887">
        <f t="shared" ca="1" si="156"/>
        <v>51.431637806149389</v>
      </c>
      <c r="P347" s="887">
        <f t="shared" ca="1" si="157"/>
        <v>64.367761831336736</v>
      </c>
      <c r="Q347" s="875"/>
      <c r="R347" s="875"/>
      <c r="S347" s="875"/>
      <c r="T347" s="875"/>
      <c r="U347" s="875"/>
      <c r="V347" s="875"/>
      <c r="W347" s="875"/>
      <c r="X347" s="875"/>
      <c r="Y347" s="875"/>
      <c r="Z347" s="875"/>
    </row>
    <row r="348" spans="1:26" ht="18.75">
      <c r="A348" s="995"/>
      <c r="B348" s="877"/>
      <c r="C348" s="996"/>
      <c r="D348" s="878" t="s">
        <v>20</v>
      </c>
      <c r="E348" s="877"/>
      <c r="F348" s="877"/>
      <c r="G348" s="879"/>
      <c r="H348" s="161" t="s">
        <v>12</v>
      </c>
      <c r="I348" s="997"/>
      <c r="J348" s="997"/>
      <c r="K348" s="998"/>
      <c r="L348" s="881">
        <f t="shared" ref="L348:N348" ca="1" si="159">L349+L350</f>
        <v>700810</v>
      </c>
      <c r="M348" s="881">
        <f t="shared" ca="1" si="159"/>
        <v>552370</v>
      </c>
      <c r="N348" s="881">
        <f t="shared" ca="1" si="159"/>
        <v>342079.22</v>
      </c>
      <c r="O348" s="881">
        <f t="shared" ca="1" si="156"/>
        <v>48.811977568813234</v>
      </c>
      <c r="P348" s="881">
        <f t="shared" ca="1" si="157"/>
        <v>61.929362564947411</v>
      </c>
      <c r="Q348" s="868"/>
      <c r="R348" s="868"/>
      <c r="S348" s="868"/>
      <c r="T348" s="868"/>
      <c r="U348" s="868"/>
      <c r="V348" s="868"/>
      <c r="W348" s="868"/>
      <c r="X348" s="868"/>
      <c r="Y348" s="868"/>
      <c r="Z348" s="868"/>
    </row>
    <row r="349" spans="1:26" ht="19.5" hidden="1">
      <c r="A349" s="993"/>
      <c r="B349" s="883"/>
      <c r="C349" s="999"/>
      <c r="D349" s="883"/>
      <c r="E349" s="884" t="s">
        <v>36</v>
      </c>
      <c r="F349" s="883"/>
      <c r="G349" s="994"/>
      <c r="H349" s="165" t="s">
        <v>12</v>
      </c>
      <c r="I349" s="1000"/>
      <c r="J349" s="1000"/>
      <c r="K349" s="1001"/>
      <c r="L349" s="887">
        <v>0</v>
      </c>
      <c r="M349" s="887">
        <v>0</v>
      </c>
      <c r="N349" s="887">
        <v>0</v>
      </c>
      <c r="O349" s="887">
        <f t="shared" si="156"/>
        <v>0</v>
      </c>
      <c r="P349" s="887">
        <f t="shared" si="157"/>
        <v>0</v>
      </c>
      <c r="Q349" s="875"/>
      <c r="R349" s="875"/>
      <c r="S349" s="875"/>
      <c r="T349" s="875"/>
      <c r="U349" s="875"/>
      <c r="V349" s="875"/>
      <c r="W349" s="875"/>
      <c r="X349" s="875"/>
      <c r="Y349" s="875"/>
      <c r="Z349" s="875"/>
    </row>
    <row r="350" spans="1:26" ht="19.5" hidden="1">
      <c r="A350" s="993"/>
      <c r="B350" s="883"/>
      <c r="C350" s="999"/>
      <c r="D350" s="883"/>
      <c r="E350" s="884" t="s">
        <v>37</v>
      </c>
      <c r="F350" s="883"/>
      <c r="G350" s="994"/>
      <c r="H350" s="165" t="s">
        <v>12</v>
      </c>
      <c r="I350" s="1000"/>
      <c r="J350" s="1000"/>
      <c r="K350" s="1001"/>
      <c r="L350" s="887">
        <f ca="1">IFERROR(__xludf.DUMMYFUNCTION("IMPORTRANGE(""https://docs.google.com/spreadsheets/d/1MeEWN-I1oV_STSDYn1IFDPWt_1FKiwhDph83XaGc0o0/edit?usp=sharing"",""งบพรบ!EW86"")"),700810)</f>
        <v>700810</v>
      </c>
      <c r="M350" s="887">
        <f ca="1">IFERROR(__xludf.DUMMYFUNCTION("IMPORTRANGE(""https://docs.google.com/spreadsheets/d/1MeEWN-I1oV_STSDYn1IFDPWt_1FKiwhDph83XaGc0o0/edit?usp=sharing"",""งบพรบ!FB86"")"),552370)</f>
        <v>552370</v>
      </c>
      <c r="N350" s="887">
        <f ca="1">IFERROR(__xludf.DUMMYFUNCTION("IMPORTRANGE(""https://docs.google.com/spreadsheets/d/1MeEWN-I1oV_STSDYn1IFDPWt_1FKiwhDph83XaGc0o0/edit?usp=sharing"",""งบพรบ!FD86"")"),342079.22)</f>
        <v>342079.22</v>
      </c>
      <c r="O350" s="887">
        <f t="shared" ca="1" si="156"/>
        <v>48.811977568813234</v>
      </c>
      <c r="P350" s="887">
        <f t="shared" ca="1" si="157"/>
        <v>61.929362564947411</v>
      </c>
      <c r="Q350" s="875"/>
      <c r="R350" s="875"/>
      <c r="S350" s="875"/>
      <c r="T350" s="875"/>
      <c r="U350" s="875"/>
      <c r="V350" s="875"/>
      <c r="W350" s="875"/>
      <c r="X350" s="875"/>
      <c r="Y350" s="875"/>
      <c r="Z350" s="875"/>
    </row>
    <row r="351" spans="1:26" ht="18.75">
      <c r="A351" s="995"/>
      <c r="B351" s="877"/>
      <c r="C351" s="996"/>
      <c r="D351" s="878" t="s">
        <v>21</v>
      </c>
      <c r="E351" s="877"/>
      <c r="F351" s="877"/>
      <c r="G351" s="879"/>
      <c r="H351" s="168" t="s">
        <v>12</v>
      </c>
      <c r="I351" s="997"/>
      <c r="J351" s="997"/>
      <c r="K351" s="998"/>
      <c r="L351" s="881">
        <f t="shared" ref="L351:N351" ca="1" si="160">L352+L353</f>
        <v>37800</v>
      </c>
      <c r="M351" s="881">
        <f t="shared" ca="1" si="160"/>
        <v>37800</v>
      </c>
      <c r="N351" s="881">
        <f t="shared" ca="1" si="160"/>
        <v>37800</v>
      </c>
      <c r="O351" s="881">
        <f t="shared" ca="1" si="156"/>
        <v>100</v>
      </c>
      <c r="P351" s="881">
        <f t="shared" ca="1" si="157"/>
        <v>100</v>
      </c>
      <c r="Q351" s="868"/>
      <c r="R351" s="868"/>
      <c r="S351" s="868"/>
      <c r="T351" s="868"/>
      <c r="U351" s="868"/>
      <c r="V351" s="868"/>
      <c r="W351" s="868"/>
      <c r="X351" s="868"/>
      <c r="Y351" s="868"/>
      <c r="Z351" s="868"/>
    </row>
    <row r="352" spans="1:26" ht="19.5" hidden="1">
      <c r="A352" s="993"/>
      <c r="B352" s="883"/>
      <c r="C352" s="999"/>
      <c r="D352" s="883"/>
      <c r="E352" s="884" t="s">
        <v>18</v>
      </c>
      <c r="F352" s="883"/>
      <c r="G352" s="994"/>
      <c r="H352" s="165" t="s">
        <v>12</v>
      </c>
      <c r="I352" s="1000"/>
      <c r="J352" s="1000"/>
      <c r="K352" s="1001"/>
      <c r="L352" s="887">
        <v>0</v>
      </c>
      <c r="M352" s="887">
        <v>0</v>
      </c>
      <c r="N352" s="887">
        <v>0</v>
      </c>
      <c r="O352" s="887">
        <f t="shared" si="156"/>
        <v>0</v>
      </c>
      <c r="P352" s="887">
        <f t="shared" si="157"/>
        <v>0</v>
      </c>
      <c r="Q352" s="875"/>
      <c r="R352" s="875"/>
      <c r="S352" s="875"/>
      <c r="T352" s="875"/>
      <c r="U352" s="875"/>
      <c r="V352" s="875"/>
      <c r="W352" s="875"/>
      <c r="X352" s="875"/>
      <c r="Y352" s="875"/>
      <c r="Z352" s="875"/>
    </row>
    <row r="353" spans="1:26" ht="19.5" hidden="1">
      <c r="A353" s="993"/>
      <c r="B353" s="883"/>
      <c r="C353" s="999"/>
      <c r="D353" s="883"/>
      <c r="E353" s="884" t="s">
        <v>19</v>
      </c>
      <c r="F353" s="883"/>
      <c r="G353" s="994"/>
      <c r="H353" s="169" t="s">
        <v>12</v>
      </c>
      <c r="I353" s="1000"/>
      <c r="J353" s="1000"/>
      <c r="K353" s="1001"/>
      <c r="L353" s="887">
        <f ca="1">IFERROR(__xludf.DUMMYFUNCTION("IMPORTRANGE(""https://docs.google.com/spreadsheets/d/1MeEWN-I1oV_STSDYn1IFDPWt_1FKiwhDph83XaGc0o0/edit?usp=sharing"",""งบพรบ!EZ86"")"),37800)</f>
        <v>37800</v>
      </c>
      <c r="M353" s="887">
        <f ca="1">IFERROR(__xludf.DUMMYFUNCTION("IMPORTRANGE(""https://docs.google.com/spreadsheets/d/1MeEWN-I1oV_STSDYn1IFDPWt_1FKiwhDph83XaGc0o0/edit?usp=sharing"",""งบพรบ!FC86"")"),37800)</f>
        <v>37800</v>
      </c>
      <c r="N353" s="887">
        <f ca="1">IFERROR(__xludf.DUMMYFUNCTION("IMPORTRANGE(""https://docs.google.com/spreadsheets/d/1MeEWN-I1oV_STSDYn1IFDPWt_1FKiwhDph83XaGc0o0/edit?usp=sharing"",""งบพรบ!FE86"")"),37800)</f>
        <v>37800</v>
      </c>
      <c r="O353" s="887">
        <f t="shared" ca="1" si="156"/>
        <v>100</v>
      </c>
      <c r="P353" s="887">
        <f t="shared" ca="1" si="157"/>
        <v>100</v>
      </c>
      <c r="Q353" s="875"/>
      <c r="R353" s="875"/>
      <c r="S353" s="875"/>
      <c r="T353" s="875"/>
      <c r="U353" s="875"/>
      <c r="V353" s="875"/>
      <c r="W353" s="875"/>
      <c r="X353" s="875"/>
      <c r="Y353" s="875"/>
      <c r="Z353" s="875"/>
    </row>
    <row r="354" spans="1:26" ht="19.5">
      <c r="A354" s="1063"/>
      <c r="B354" s="1070"/>
      <c r="C354" s="1064"/>
      <c r="D354" s="1198" t="s">
        <v>158</v>
      </c>
      <c r="E354" s="1064"/>
      <c r="F354" s="1064"/>
      <c r="G354" s="1066"/>
      <c r="H354" s="1199"/>
      <c r="I354" s="1067"/>
      <c r="J354" s="1067"/>
      <c r="K354" s="1068"/>
      <c r="L354" s="1068"/>
      <c r="M354" s="1068"/>
      <c r="N354" s="1068"/>
      <c r="O354" s="1068"/>
      <c r="P354" s="1068"/>
    </row>
    <row r="355" spans="1:26" ht="19.5">
      <c r="A355" s="1200"/>
      <c r="B355" s="1201"/>
      <c r="C355" s="1202"/>
      <c r="D355" s="1203" t="s">
        <v>159</v>
      </c>
      <c r="E355" s="1204"/>
      <c r="F355" s="1204"/>
      <c r="G355" s="1205"/>
      <c r="H355" s="463" t="s">
        <v>35</v>
      </c>
      <c r="I355" s="1206">
        <f ca="1">IFERROR(__xludf.DUMMYFUNCTION("IMPORTRANGE(""https://docs.google.com/spreadsheets/d/1QqKyyYR6Q21VydFLVH3TRQUabQu_ym0Zz7PgGX0-kHA/edit?usp=sharing"",""แผน!EP86"")"),140)</f>
        <v>140</v>
      </c>
      <c r="J355" s="1206">
        <f ca="1">J362</f>
        <v>88</v>
      </c>
      <c r="K355" s="1207">
        <f ca="1">IF(I355&gt;0,J355*100/I355,0)</f>
        <v>62.857142857142854</v>
      </c>
      <c r="L355" s="1208"/>
      <c r="M355" s="1208"/>
      <c r="N355" s="1208"/>
      <c r="O355" s="1208"/>
      <c r="P355" s="1208"/>
    </row>
    <row r="356" spans="1:26" ht="19.5">
      <c r="A356" s="1200"/>
      <c r="B356" s="1201"/>
      <c r="C356" s="1202"/>
      <c r="D356" s="1209" t="s">
        <v>160</v>
      </c>
      <c r="E356" s="1204"/>
      <c r="F356" s="1204"/>
      <c r="G356" s="1205"/>
      <c r="H356" s="1210"/>
      <c r="I356" s="1211"/>
      <c r="J356" s="1211"/>
      <c r="K356" s="1208"/>
      <c r="L356" s="1208"/>
      <c r="M356" s="1208"/>
      <c r="N356" s="1208"/>
      <c r="O356" s="1208"/>
      <c r="P356" s="1208"/>
    </row>
    <row r="357" spans="1:26" ht="19.5">
      <c r="A357" s="1002"/>
      <c r="B357" s="1003"/>
      <c r="C357" s="999" t="s">
        <v>16</v>
      </c>
      <c r="D357" s="1004" t="s">
        <v>38</v>
      </c>
      <c r="E357" s="1005"/>
      <c r="F357" s="1005"/>
      <c r="G357" s="1006"/>
      <c r="H357" s="1007"/>
      <c r="I357" s="880"/>
      <c r="J357" s="880"/>
      <c r="K357" s="881"/>
      <c r="L357" s="998"/>
      <c r="M357" s="998"/>
      <c r="N357" s="998"/>
      <c r="O357" s="998"/>
      <c r="P357" s="998"/>
    </row>
    <row r="358" spans="1:26" ht="18.75">
      <c r="A358" s="1002"/>
      <c r="B358" s="1010"/>
      <c r="C358" s="1003"/>
      <c r="D358" s="1010"/>
      <c r="E358" s="1008" t="s">
        <v>161</v>
      </c>
      <c r="F358" s="1010"/>
      <c r="G358" s="1011"/>
      <c r="H358" s="185" t="s">
        <v>35</v>
      </c>
      <c r="I358" s="880">
        <v>0</v>
      </c>
      <c r="J358" s="880">
        <f ca="1">IFERROR(__xludf.DUMMYFUNCTION("IMPORTRANGE(""https://docs.google.com/spreadsheets/d/1XWAQStnk-4SwqDmLtmXYiTMKHgktTP8We1SCoS47DrQ/edit?usp=sharing"",""จัดที่ดิน!W86"")"),111)</f>
        <v>111</v>
      </c>
      <c r="K358" s="881">
        <f t="shared" ref="K358:K365" si="161">IF(I358&gt;0,J358*100/I358,0)</f>
        <v>0</v>
      </c>
      <c r="L358" s="998"/>
      <c r="M358" s="998"/>
      <c r="N358" s="998"/>
      <c r="O358" s="998"/>
      <c r="P358" s="998"/>
    </row>
    <row r="359" spans="1:26" ht="18.75">
      <c r="A359" s="1002"/>
      <c r="B359" s="1010"/>
      <c r="C359" s="1003"/>
      <c r="D359" s="1010"/>
      <c r="E359" s="1010"/>
      <c r="F359" s="1010"/>
      <c r="G359" s="1011"/>
      <c r="H359" s="185" t="s">
        <v>46</v>
      </c>
      <c r="I359" s="880">
        <f ca="1">IFERROR(__xludf.DUMMYFUNCTION("IMPORTRANGE(""https://docs.google.com/spreadsheets/d/1QqKyyYR6Q21VydFLVH3TRQUabQu_ym0Zz7PgGX0-kHA/edit?usp=sharing"",""แผน!EO86"")"),1400)</f>
        <v>1400</v>
      </c>
      <c r="J359" s="880">
        <f ca="1">IFERROR(__xludf.DUMMYFUNCTION("IMPORTRANGE(""https://docs.google.com/spreadsheets/d/1XWAQStnk-4SwqDmLtmXYiTMKHgktTP8We1SCoS47DrQ/edit?usp=sharing"",""จัดที่ดิน!X86"")"),835.51)</f>
        <v>835.51</v>
      </c>
      <c r="K359" s="881">
        <f t="shared" ca="1" si="161"/>
        <v>59.679285714285712</v>
      </c>
      <c r="L359" s="998"/>
      <c r="M359" s="998"/>
      <c r="N359" s="998"/>
      <c r="O359" s="998"/>
      <c r="P359" s="998"/>
    </row>
    <row r="360" spans="1:26" ht="18.75">
      <c r="A360" s="1002"/>
      <c r="B360" s="1010"/>
      <c r="C360" s="1003"/>
      <c r="D360" s="1010"/>
      <c r="E360" s="1008" t="s">
        <v>162</v>
      </c>
      <c r="F360" s="1010"/>
      <c r="G360" s="1011"/>
      <c r="H360" s="762" t="s">
        <v>35</v>
      </c>
      <c r="I360" s="880">
        <f ca="1">IFERROR(__xludf.DUMMYFUNCTION("IMPORTRANGE(""https://docs.google.com/spreadsheets/d/1QqKyyYR6Q21VydFLVH3TRQUabQu_ym0Zz7PgGX0-kHA/edit?usp=sharing"",""แผน!EP86"")"),140)</f>
        <v>140</v>
      </c>
      <c r="J360" s="880">
        <f ca="1">IFERROR(__xludf.DUMMYFUNCTION("IMPORTRANGE(""https://docs.google.com/spreadsheets/d/1XWAQStnk-4SwqDmLtmXYiTMKHgktTP8We1SCoS47DrQ/edit?usp=sharing"",""จัดที่ดิน!Y86"")"),87)</f>
        <v>87</v>
      </c>
      <c r="K360" s="881">
        <f t="shared" ca="1" si="161"/>
        <v>62.142857142857146</v>
      </c>
      <c r="L360" s="998"/>
      <c r="M360" s="998"/>
      <c r="N360" s="998"/>
      <c r="O360" s="998"/>
      <c r="P360" s="998"/>
    </row>
    <row r="361" spans="1:26" ht="18.75">
      <c r="A361" s="1002"/>
      <c r="B361" s="1010"/>
      <c r="C361" s="1003"/>
      <c r="D361" s="1010"/>
      <c r="E361" s="1010"/>
      <c r="F361" s="1010"/>
      <c r="G361" s="1011"/>
      <c r="H361" s="762" t="s">
        <v>46</v>
      </c>
      <c r="I361" s="880">
        <v>0</v>
      </c>
      <c r="J361" s="880">
        <f ca="1">IFERROR(__xludf.DUMMYFUNCTION("IMPORTRANGE(""https://docs.google.com/spreadsheets/d/1XWAQStnk-4SwqDmLtmXYiTMKHgktTP8We1SCoS47DrQ/edit?usp=sharing"",""จัดที่ดิน!Z86"")"),650.46)</f>
        <v>650.46</v>
      </c>
      <c r="K361" s="881">
        <f t="shared" si="161"/>
        <v>0</v>
      </c>
      <c r="L361" s="998"/>
      <c r="M361" s="998"/>
      <c r="N361" s="998"/>
      <c r="O361" s="998"/>
      <c r="P361" s="998"/>
    </row>
    <row r="362" spans="1:26" ht="18.75">
      <c r="A362" s="1002"/>
      <c r="B362" s="1010"/>
      <c r="C362" s="1003"/>
      <c r="D362" s="1010"/>
      <c r="E362" s="1008" t="s">
        <v>163</v>
      </c>
      <c r="F362" s="1010"/>
      <c r="G362" s="1011"/>
      <c r="H362" s="762" t="s">
        <v>35</v>
      </c>
      <c r="I362" s="880">
        <f ca="1">IFERROR(__xludf.DUMMYFUNCTION("IMPORTRANGE(""https://docs.google.com/spreadsheets/d/1QqKyyYR6Q21VydFLVH3TRQUabQu_ym0Zz7PgGX0-kHA/edit?usp=sharing"",""แผน!EP86"")"),140)</f>
        <v>140</v>
      </c>
      <c r="J362" s="880">
        <f ca="1">IFERROR(__xludf.DUMMYFUNCTION("IMPORTRANGE(""https://docs.google.com/spreadsheets/d/1XWAQStnk-4SwqDmLtmXYiTMKHgktTP8We1SCoS47DrQ/edit?usp=sharing"",""จัดที่ดิน!AA86"")"),88)</f>
        <v>88</v>
      </c>
      <c r="K362" s="881">
        <f t="shared" ca="1" si="161"/>
        <v>62.857142857142854</v>
      </c>
      <c r="L362" s="998"/>
      <c r="M362" s="998"/>
      <c r="N362" s="998"/>
      <c r="O362" s="998"/>
      <c r="P362" s="998"/>
    </row>
    <row r="363" spans="1:26" ht="18.75">
      <c r="A363" s="1212" t="s">
        <v>164</v>
      </c>
      <c r="B363" s="1010"/>
      <c r="C363" s="1003"/>
      <c r="D363" s="1010"/>
      <c r="E363" s="1009"/>
      <c r="F363" s="1010"/>
      <c r="G363" s="1011"/>
      <c r="H363" s="762" t="s">
        <v>46</v>
      </c>
      <c r="I363" s="880">
        <v>0</v>
      </c>
      <c r="J363" s="880">
        <f ca="1">IFERROR(__xludf.DUMMYFUNCTION("IMPORTRANGE(""https://docs.google.com/spreadsheets/d/1XWAQStnk-4SwqDmLtmXYiTMKHgktTP8We1SCoS47DrQ/edit?usp=sharing"",""จัดที่ดิน!AB86"")"),655.569999999999)</f>
        <v>655.56999999999903</v>
      </c>
      <c r="K363" s="881">
        <f t="shared" si="161"/>
        <v>0</v>
      </c>
      <c r="L363" s="998"/>
      <c r="M363" s="998"/>
      <c r="N363" s="998"/>
      <c r="O363" s="998"/>
      <c r="P363" s="998"/>
    </row>
    <row r="364" spans="1:26" ht="19.5">
      <c r="A364" s="1213"/>
      <c r="B364" s="1214"/>
      <c r="C364" s="1215"/>
      <c r="D364" s="1216" t="s">
        <v>165</v>
      </c>
      <c r="E364" s="1217"/>
      <c r="F364" s="1217"/>
      <c r="G364" s="1218"/>
      <c r="H364" s="478" t="s">
        <v>35</v>
      </c>
      <c r="I364" s="1219">
        <f t="shared" ref="I364:J364" ca="1" si="162">I365+I374</f>
        <v>290</v>
      </c>
      <c r="J364" s="1219">
        <f t="shared" ca="1" si="162"/>
        <v>292</v>
      </c>
      <c r="K364" s="1220">
        <f t="shared" ca="1" si="161"/>
        <v>100.68965517241379</v>
      </c>
      <c r="L364" s="1221"/>
      <c r="M364" s="1221"/>
      <c r="N364" s="1221"/>
      <c r="O364" s="1221"/>
      <c r="P364" s="122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222"/>
      <c r="B365" s="1223"/>
      <c r="C365" s="1224"/>
      <c r="D365" s="1224" t="s">
        <v>166</v>
      </c>
      <c r="E365" s="1225"/>
      <c r="F365" s="1225"/>
      <c r="G365" s="1226"/>
      <c r="H365" s="489" t="s">
        <v>35</v>
      </c>
      <c r="I365" s="1227">
        <f ca="1">IFERROR(__xludf.DUMMYFUNCTION("IMPORTRANGE(""https://docs.google.com/spreadsheets/d/1QqKyyYR6Q21VydFLVH3TRQUabQu_ym0Zz7PgGX0-kHA/edit?usp=sharing"",""แผน!EJ86"")"),40)</f>
        <v>40</v>
      </c>
      <c r="J365" s="1227">
        <f ca="1">J372</f>
        <v>46</v>
      </c>
      <c r="K365" s="1228">
        <f t="shared" ca="1" si="161"/>
        <v>115</v>
      </c>
      <c r="L365" s="1229"/>
      <c r="M365" s="1229"/>
      <c r="N365" s="1229"/>
      <c r="O365" s="1229"/>
      <c r="P365" s="1229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222"/>
      <c r="B366" s="1223"/>
      <c r="C366" s="1224"/>
      <c r="D366" s="1230" t="s">
        <v>167</v>
      </c>
      <c r="E366" s="1225"/>
      <c r="F366" s="1225"/>
      <c r="G366" s="1226"/>
      <c r="H366" s="1231"/>
      <c r="I366" s="1232"/>
      <c r="J366" s="1232"/>
      <c r="K366" s="1229"/>
      <c r="L366" s="1229"/>
      <c r="M366" s="1229"/>
      <c r="N366" s="1229"/>
      <c r="O366" s="1229"/>
      <c r="P366" s="1229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002"/>
      <c r="B367" s="1003"/>
      <c r="C367" s="999" t="s">
        <v>16</v>
      </c>
      <c r="D367" s="1004" t="s">
        <v>38</v>
      </c>
      <c r="E367" s="1005"/>
      <c r="F367" s="1005"/>
      <c r="G367" s="1006"/>
      <c r="H367" s="1007"/>
      <c r="I367" s="880"/>
      <c r="J367" s="880"/>
      <c r="K367" s="881"/>
      <c r="L367" s="998"/>
      <c r="M367" s="998"/>
      <c r="N367" s="998"/>
      <c r="O367" s="998"/>
      <c r="P367" s="998"/>
    </row>
    <row r="368" spans="1:26" ht="18.75">
      <c r="A368" s="1002"/>
      <c r="B368" s="1010"/>
      <c r="C368" s="1003"/>
      <c r="D368" s="1010"/>
      <c r="E368" s="1008" t="s">
        <v>161</v>
      </c>
      <c r="F368" s="1010"/>
      <c r="G368" s="1011"/>
      <c r="H368" s="185" t="s">
        <v>35</v>
      </c>
      <c r="I368" s="880">
        <v>0</v>
      </c>
      <c r="J368" s="880">
        <f ca="1">IFERROR(__xludf.DUMMYFUNCTION("IMPORTRANGE(""https://docs.google.com/spreadsheets/d/1XWAQStnk-4SwqDmLtmXYiTMKHgktTP8We1SCoS47DrQ/edit?usp=sharing"",""จัดที่ดิน!E86"")"),44)</f>
        <v>44</v>
      </c>
      <c r="K368" s="881">
        <f t="shared" ref="K368:K374" si="163">IF(I368&gt;0,J368*100/I368,0)</f>
        <v>0</v>
      </c>
      <c r="L368" s="998"/>
      <c r="M368" s="998"/>
      <c r="N368" s="998"/>
      <c r="O368" s="998"/>
      <c r="P368" s="998"/>
    </row>
    <row r="369" spans="1:26" ht="18.75">
      <c r="A369" s="1002"/>
      <c r="B369" s="1010"/>
      <c r="C369" s="1003"/>
      <c r="D369" s="1010"/>
      <c r="E369" s="1010"/>
      <c r="F369" s="1010"/>
      <c r="G369" s="1011"/>
      <c r="H369" s="185" t="s">
        <v>46</v>
      </c>
      <c r="I369" s="880">
        <f ca="1">IFERROR(__xludf.DUMMYFUNCTION("IMPORTRANGE(""https://docs.google.com/spreadsheets/d/1QqKyyYR6Q21VydFLVH3TRQUabQu_ym0Zz7PgGX0-kHA/edit?usp=sharing"",""แผน!EI86"")"),400)</f>
        <v>400</v>
      </c>
      <c r="J369" s="880">
        <f ca="1">IFERROR(__xludf.DUMMYFUNCTION("IMPORTRANGE(""https://docs.google.com/spreadsheets/d/1XWAQStnk-4SwqDmLtmXYiTMKHgktTP8We1SCoS47DrQ/edit?usp=sharing"",""จัดที่ดิน!F86"")"),282.81)</f>
        <v>282.81</v>
      </c>
      <c r="K369" s="881">
        <f t="shared" ca="1" si="163"/>
        <v>70.702500000000001</v>
      </c>
      <c r="L369" s="998"/>
      <c r="M369" s="998"/>
      <c r="N369" s="998"/>
      <c r="O369" s="998"/>
      <c r="P369" s="998"/>
    </row>
    <row r="370" spans="1:26" ht="18.75">
      <c r="A370" s="1002"/>
      <c r="B370" s="1010"/>
      <c r="C370" s="1003"/>
      <c r="D370" s="1010"/>
      <c r="E370" s="1008" t="s">
        <v>162</v>
      </c>
      <c r="F370" s="1010"/>
      <c r="G370" s="1011"/>
      <c r="H370" s="762" t="s">
        <v>35</v>
      </c>
      <c r="I370" s="880">
        <f ca="1">IFERROR(__xludf.DUMMYFUNCTION("IMPORTRANGE(""https://docs.google.com/spreadsheets/d/1QqKyyYR6Q21VydFLVH3TRQUabQu_ym0Zz7PgGX0-kHA/edit?usp=sharing"",""แผน!EJ86"")"),40)</f>
        <v>40</v>
      </c>
      <c r="J370" s="880">
        <f ca="1">IFERROR(__xludf.DUMMYFUNCTION("IMPORTRANGE(""https://docs.google.com/spreadsheets/d/1XWAQStnk-4SwqDmLtmXYiTMKHgktTP8We1SCoS47DrQ/edit?usp=sharing"",""จัดที่ดิน!G86"")"),46)</f>
        <v>46</v>
      </c>
      <c r="K370" s="881">
        <f t="shared" ca="1" si="163"/>
        <v>115</v>
      </c>
      <c r="L370" s="998"/>
      <c r="M370" s="998"/>
      <c r="N370" s="998"/>
      <c r="O370" s="998"/>
      <c r="P370" s="998"/>
    </row>
    <row r="371" spans="1:26" ht="18.75">
      <c r="A371" s="1002"/>
      <c r="B371" s="1010"/>
      <c r="C371" s="1003"/>
      <c r="D371" s="1010"/>
      <c r="E371" s="1010"/>
      <c r="F371" s="1010"/>
      <c r="G371" s="1011"/>
      <c r="H371" s="762" t="s">
        <v>46</v>
      </c>
      <c r="I371" s="880">
        <v>0</v>
      </c>
      <c r="J371" s="880">
        <f ca="1">IFERROR(__xludf.DUMMYFUNCTION("IMPORTRANGE(""https://docs.google.com/spreadsheets/d/1XWAQStnk-4SwqDmLtmXYiTMKHgktTP8We1SCoS47DrQ/edit?usp=sharing"",""จัดที่ดิน!H86"")"),320.74)</f>
        <v>320.74</v>
      </c>
      <c r="K371" s="881">
        <f t="shared" si="163"/>
        <v>0</v>
      </c>
      <c r="L371" s="998"/>
      <c r="M371" s="998"/>
      <c r="N371" s="998"/>
      <c r="O371" s="998"/>
      <c r="P371" s="998"/>
    </row>
    <row r="372" spans="1:26" ht="18.75">
      <c r="A372" s="1002"/>
      <c r="B372" s="1010"/>
      <c r="C372" s="1003"/>
      <c r="D372" s="1010"/>
      <c r="E372" s="1008" t="s">
        <v>163</v>
      </c>
      <c r="F372" s="1010"/>
      <c r="G372" s="1011"/>
      <c r="H372" s="762" t="s">
        <v>35</v>
      </c>
      <c r="I372" s="880">
        <f ca="1">IFERROR(__xludf.DUMMYFUNCTION("IMPORTRANGE(""https://docs.google.com/spreadsheets/d/1QqKyyYR6Q21VydFLVH3TRQUabQu_ym0Zz7PgGX0-kHA/edit?usp=sharing"",""แผน!EJ86"")"),40)</f>
        <v>40</v>
      </c>
      <c r="J372" s="880">
        <f ca="1">IFERROR(__xludf.DUMMYFUNCTION("IMPORTRANGE(""https://docs.google.com/spreadsheets/d/1XWAQStnk-4SwqDmLtmXYiTMKHgktTP8We1SCoS47DrQ/edit?usp=sharing"",""จัดที่ดิน!I86"")"),46)</f>
        <v>46</v>
      </c>
      <c r="K372" s="881">
        <f t="shared" ca="1" si="163"/>
        <v>115</v>
      </c>
      <c r="L372" s="998"/>
      <c r="M372" s="998"/>
      <c r="N372" s="998"/>
      <c r="O372" s="998"/>
      <c r="P372" s="998"/>
    </row>
    <row r="373" spans="1:26" ht="18.75">
      <c r="A373" s="1212" t="s">
        <v>164</v>
      </c>
      <c r="B373" s="1010"/>
      <c r="C373" s="1003"/>
      <c r="D373" s="1010"/>
      <c r="E373" s="1009"/>
      <c r="F373" s="1010"/>
      <c r="G373" s="1011"/>
      <c r="H373" s="762" t="s">
        <v>46</v>
      </c>
      <c r="I373" s="880">
        <v>0</v>
      </c>
      <c r="J373" s="880">
        <f ca="1">IFERROR(__xludf.DUMMYFUNCTION("IMPORTRANGE(""https://docs.google.com/spreadsheets/d/1XWAQStnk-4SwqDmLtmXYiTMKHgktTP8We1SCoS47DrQ/edit?usp=sharing"",""จัดที่ดิน!J86"")"),320.74)</f>
        <v>320.74</v>
      </c>
      <c r="K373" s="881">
        <f t="shared" si="163"/>
        <v>0</v>
      </c>
      <c r="L373" s="998"/>
      <c r="M373" s="998"/>
      <c r="N373" s="998"/>
      <c r="O373" s="998"/>
      <c r="P373" s="998"/>
    </row>
    <row r="374" spans="1:26" ht="19.5">
      <c r="A374" s="1222"/>
      <c r="B374" s="1223"/>
      <c r="C374" s="1224"/>
      <c r="D374" s="1224" t="s">
        <v>168</v>
      </c>
      <c r="E374" s="1225"/>
      <c r="F374" s="1225"/>
      <c r="G374" s="1226"/>
      <c r="H374" s="489" t="s">
        <v>35</v>
      </c>
      <c r="I374" s="1233">
        <f ca="1">IFERROR(__xludf.DUMMYFUNCTION("IMPORTRANGE(""https://docs.google.com/spreadsheets/d/1QqKyyYR6Q21VydFLVH3TRQUabQu_ym0Zz7PgGX0-kHA/edit?usp=sharing"",""แผน!EU86"")"),250)</f>
        <v>250</v>
      </c>
      <c r="J374" s="1227">
        <f ca="1">J381</f>
        <v>246</v>
      </c>
      <c r="K374" s="1228">
        <f t="shared" ca="1" si="163"/>
        <v>98.4</v>
      </c>
      <c r="L374" s="1229"/>
      <c r="M374" s="1229"/>
      <c r="N374" s="1229"/>
      <c r="O374" s="1229"/>
      <c r="P374" s="1229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222"/>
      <c r="B375" s="1223"/>
      <c r="C375" s="1224"/>
      <c r="D375" s="1230" t="s">
        <v>169</v>
      </c>
      <c r="E375" s="1225"/>
      <c r="F375" s="1225"/>
      <c r="G375" s="1226"/>
      <c r="H375" s="1231"/>
      <c r="I375" s="1232"/>
      <c r="J375" s="1232"/>
      <c r="K375" s="1229"/>
      <c r="L375" s="1229"/>
      <c r="M375" s="1229"/>
      <c r="N375" s="1229"/>
      <c r="O375" s="1229"/>
      <c r="P375" s="1229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002"/>
      <c r="B376" s="1003"/>
      <c r="C376" s="999" t="s">
        <v>16</v>
      </c>
      <c r="D376" s="1004" t="s">
        <v>38</v>
      </c>
      <c r="E376" s="1005"/>
      <c r="F376" s="1005"/>
      <c r="G376" s="1006"/>
      <c r="H376" s="1007"/>
      <c r="I376" s="880"/>
      <c r="J376" s="880"/>
      <c r="K376" s="881"/>
      <c r="L376" s="998"/>
      <c r="M376" s="998"/>
      <c r="N376" s="998"/>
      <c r="O376" s="998"/>
      <c r="P376" s="998"/>
    </row>
    <row r="377" spans="1:26" ht="18.75">
      <c r="A377" s="1002"/>
      <c r="B377" s="1010"/>
      <c r="C377" s="1003"/>
      <c r="D377" s="1010"/>
      <c r="E377" s="1008" t="s">
        <v>161</v>
      </c>
      <c r="F377" s="1010"/>
      <c r="G377" s="1011"/>
      <c r="H377" s="185" t="s">
        <v>35</v>
      </c>
      <c r="I377" s="880">
        <v>0</v>
      </c>
      <c r="J377" s="880">
        <f ca="1">IFERROR(__xludf.DUMMYFUNCTION("IMPORTRANGE(""https://docs.google.com/spreadsheets/d/1XWAQStnk-4SwqDmLtmXYiTMKHgktTP8We1SCoS47DrQ/edit?usp=sharing"",""จัดที่ดิน!AH86"")"),67)</f>
        <v>67</v>
      </c>
      <c r="K377" s="881">
        <f t="shared" ref="K377:K382" si="164">IF(I377&gt;0,J377*100/I377,0)</f>
        <v>0</v>
      </c>
      <c r="L377" s="998"/>
      <c r="M377" s="998"/>
      <c r="N377" s="998"/>
      <c r="O377" s="998"/>
      <c r="P377" s="998"/>
    </row>
    <row r="378" spans="1:26" ht="18.75">
      <c r="A378" s="1002"/>
      <c r="B378" s="1010"/>
      <c r="C378" s="1003"/>
      <c r="D378" s="1010"/>
      <c r="E378" s="1010"/>
      <c r="F378" s="1010"/>
      <c r="G378" s="1011"/>
      <c r="H378" s="185" t="s">
        <v>46</v>
      </c>
      <c r="I378" s="880">
        <f ca="1">IFERROR(__xludf.DUMMYFUNCTION("IMPORTRANGE(""https://docs.google.com/spreadsheets/d/1QqKyyYR6Q21VydFLVH3TRQUabQu_ym0Zz7PgGX0-kHA/edit?usp=sharing"",""แผน!ET86"")"),1000)</f>
        <v>1000</v>
      </c>
      <c r="J378" s="880">
        <f ca="1">IFERROR(__xludf.DUMMYFUNCTION("IMPORTRANGE(""https://docs.google.com/spreadsheets/d/1XWAQStnk-4SwqDmLtmXYiTMKHgktTP8We1SCoS47DrQ/edit?usp=sharing"",""จัดที่ดิน!AI86"")"),552.7)</f>
        <v>552.70000000000005</v>
      </c>
      <c r="K378" s="881">
        <f t="shared" ca="1" si="164"/>
        <v>55.27000000000001</v>
      </c>
      <c r="L378" s="998"/>
      <c r="M378" s="998"/>
      <c r="N378" s="998"/>
      <c r="O378" s="998"/>
      <c r="P378" s="998"/>
    </row>
    <row r="379" spans="1:26" ht="18.75">
      <c r="A379" s="1002"/>
      <c r="B379" s="1010"/>
      <c r="C379" s="1003"/>
      <c r="D379" s="1010"/>
      <c r="E379" s="1008" t="s">
        <v>162</v>
      </c>
      <c r="F379" s="1010"/>
      <c r="G379" s="1011"/>
      <c r="H379" s="762" t="s">
        <v>35</v>
      </c>
      <c r="I379" s="880">
        <f ca="1">IFERROR(__xludf.DUMMYFUNCTION("IMPORTRANGE(""https://docs.google.com/spreadsheets/d/1QqKyyYR6Q21VydFLVH3TRQUabQu_ym0Zz7PgGX0-kHA/edit?usp=sharing"",""แผน!EU86"")"),250)</f>
        <v>250</v>
      </c>
      <c r="J379" s="880">
        <f ca="1">IFERROR(__xludf.DUMMYFUNCTION("IMPORTRANGE(""https://docs.google.com/spreadsheets/d/1XWAQStnk-4SwqDmLtmXYiTMKHgktTP8We1SCoS47DrQ/edit?usp=sharing"",""จัดที่ดิน!AJ86"")"),245)</f>
        <v>245</v>
      </c>
      <c r="K379" s="881">
        <f t="shared" ca="1" si="164"/>
        <v>98</v>
      </c>
      <c r="L379" s="998"/>
      <c r="M379" s="998"/>
      <c r="N379" s="998"/>
      <c r="O379" s="998"/>
      <c r="P379" s="998"/>
    </row>
    <row r="380" spans="1:26" ht="18.75">
      <c r="A380" s="1002"/>
      <c r="B380" s="1010"/>
      <c r="C380" s="1003"/>
      <c r="D380" s="1010"/>
      <c r="E380" s="1010"/>
      <c r="F380" s="1010"/>
      <c r="G380" s="1011"/>
      <c r="H380" s="762" t="s">
        <v>46</v>
      </c>
      <c r="I380" s="880">
        <v>0</v>
      </c>
      <c r="J380" s="880">
        <f ca="1">IFERROR(__xludf.DUMMYFUNCTION("IMPORTRANGE(""https://docs.google.com/spreadsheets/d/1XWAQStnk-4SwqDmLtmXYiTMKHgktTP8We1SCoS47DrQ/edit?usp=sharing"",""จัดที่ดิน!AK86"")"),2822.22)</f>
        <v>2822.22</v>
      </c>
      <c r="K380" s="881">
        <f t="shared" si="164"/>
        <v>0</v>
      </c>
      <c r="L380" s="998"/>
      <c r="M380" s="998"/>
      <c r="N380" s="998"/>
      <c r="O380" s="998"/>
      <c r="P380" s="998"/>
    </row>
    <row r="381" spans="1:26" ht="18.75">
      <c r="A381" s="1002"/>
      <c r="B381" s="1010"/>
      <c r="C381" s="1003"/>
      <c r="D381" s="1010"/>
      <c r="E381" s="1008" t="s">
        <v>163</v>
      </c>
      <c r="F381" s="1010"/>
      <c r="G381" s="1011"/>
      <c r="H381" s="762" t="s">
        <v>35</v>
      </c>
      <c r="I381" s="880">
        <f ca="1">IFERROR(__xludf.DUMMYFUNCTION("IMPORTRANGE(""https://docs.google.com/spreadsheets/d/1QqKyyYR6Q21VydFLVH3TRQUabQu_ym0Zz7PgGX0-kHA/edit?usp=sharing"",""แผน!EU86"")"),250)</f>
        <v>250</v>
      </c>
      <c r="J381" s="880">
        <f ca="1">IFERROR(__xludf.DUMMYFUNCTION("IMPORTRANGE(""https://docs.google.com/spreadsheets/d/1XWAQStnk-4SwqDmLtmXYiTMKHgktTP8We1SCoS47DrQ/edit?usp=sharing"",""จัดที่ดิน!AL86"")"),246)</f>
        <v>246</v>
      </c>
      <c r="K381" s="881">
        <f t="shared" ca="1" si="164"/>
        <v>98.4</v>
      </c>
      <c r="L381" s="998"/>
      <c r="M381" s="998"/>
      <c r="N381" s="998"/>
      <c r="O381" s="998"/>
      <c r="P381" s="998"/>
    </row>
    <row r="382" spans="1:26" ht="18.75">
      <c r="A382" s="1212" t="s">
        <v>164</v>
      </c>
      <c r="B382" s="1010"/>
      <c r="C382" s="1003"/>
      <c r="D382" s="1010"/>
      <c r="E382" s="1009"/>
      <c r="F382" s="1010"/>
      <c r="G382" s="1011"/>
      <c r="H382" s="762" t="s">
        <v>46</v>
      </c>
      <c r="I382" s="880">
        <v>0</v>
      </c>
      <c r="J382" s="880">
        <f ca="1">IFERROR(__xludf.DUMMYFUNCTION("IMPORTRANGE(""https://docs.google.com/spreadsheets/d/1XWAQStnk-4SwqDmLtmXYiTMKHgktTP8We1SCoS47DrQ/edit?usp=sharing"",""จัดที่ดิน!AM86"")"),2827.33)</f>
        <v>2827.33</v>
      </c>
      <c r="K382" s="881">
        <f t="shared" si="164"/>
        <v>0</v>
      </c>
      <c r="L382" s="998"/>
      <c r="M382" s="998"/>
      <c r="N382" s="998"/>
      <c r="O382" s="998"/>
      <c r="P382" s="998"/>
    </row>
    <row r="383" spans="1:26" ht="19.5">
      <c r="A383" s="1234"/>
      <c r="B383" s="1235"/>
      <c r="C383" s="1091"/>
      <c r="D383" s="1236" t="s">
        <v>170</v>
      </c>
      <c r="E383" s="1091"/>
      <c r="F383" s="1091"/>
      <c r="G383" s="1237"/>
      <c r="H383" s="1199"/>
      <c r="I383" s="1067"/>
      <c r="J383" s="1067"/>
      <c r="K383" s="1068"/>
      <c r="L383" s="1068"/>
      <c r="M383" s="1068"/>
      <c r="N383" s="1068"/>
      <c r="O383" s="1068"/>
      <c r="P383" s="1068"/>
    </row>
    <row r="384" spans="1:26" ht="19.5">
      <c r="A384" s="1002"/>
      <c r="B384" s="1003"/>
      <c r="C384" s="877" t="s">
        <v>16</v>
      </c>
      <c r="D384" s="1004" t="s">
        <v>38</v>
      </c>
      <c r="E384" s="1005"/>
      <c r="F384" s="1005"/>
      <c r="G384" s="1006"/>
      <c r="H384" s="1007"/>
      <c r="I384" s="880"/>
      <c r="J384" s="880"/>
      <c r="K384" s="881"/>
      <c r="L384" s="998"/>
      <c r="M384" s="998"/>
      <c r="N384" s="998"/>
      <c r="O384" s="998"/>
      <c r="P384" s="998"/>
    </row>
    <row r="385" spans="1:26" ht="18.75">
      <c r="A385" s="1133"/>
      <c r="B385" s="1136"/>
      <c r="C385" s="1134"/>
      <c r="D385" s="1136"/>
      <c r="E385" s="1238" t="s">
        <v>171</v>
      </c>
      <c r="F385" s="1136"/>
      <c r="G385" s="1137"/>
      <c r="H385" s="504" t="s">
        <v>35</v>
      </c>
      <c r="I385" s="1138">
        <f ca="1">IFERROR(__xludf.DUMMYFUNCTION("IMPORTRANGE(""https://docs.google.com/spreadsheets/d/1QqKyyYR6Q21VydFLVH3TRQUabQu_ym0Zz7PgGX0-kHA/edit?usp=sharing"",""แผน!EW86"")"),20)</f>
        <v>20</v>
      </c>
      <c r="J385" s="1138">
        <f ca="1">IFERROR(__xludf.DUMMYFUNCTION("IMPORTRANGE(""https://docs.google.com/spreadsheets/d/1XWAQStnk-4SwqDmLtmXYiTMKHgktTP8We1SCoS47DrQ/edit?usp=sharing"",""จัดที่ดิน!AP86"")"),9)</f>
        <v>9</v>
      </c>
      <c r="K385" s="1239">
        <f ca="1">IF(I385&gt;0,J385*100/I385,0)</f>
        <v>45</v>
      </c>
      <c r="L385" s="1139"/>
      <c r="M385" s="1139"/>
      <c r="N385" s="1139"/>
      <c r="O385" s="1139"/>
      <c r="P385" s="1139"/>
    </row>
    <row r="386" spans="1:26" ht="19.5" hidden="1">
      <c r="A386" s="1240" t="s">
        <v>172</v>
      </c>
      <c r="B386" s="1241"/>
      <c r="C386" s="1241"/>
      <c r="D386" s="1241"/>
      <c r="E386" s="1242"/>
      <c r="F386" s="1242"/>
      <c r="G386" s="1243"/>
      <c r="H386" s="1244"/>
      <c r="I386" s="1245"/>
      <c r="J386" s="1245"/>
      <c r="K386" s="1246"/>
      <c r="L386" s="1246"/>
      <c r="M386" s="1246"/>
      <c r="N386" s="1246"/>
      <c r="O386" s="1246"/>
      <c r="P386" s="1246"/>
    </row>
    <row r="387" spans="1:26" ht="19.5" hidden="1">
      <c r="A387" s="1247" t="s">
        <v>173</v>
      </c>
      <c r="B387" s="1248"/>
      <c r="C387" s="1248"/>
      <c r="D387" s="1249"/>
      <c r="E387" s="1248"/>
      <c r="F387" s="1248"/>
      <c r="G387" s="1248"/>
      <c r="H387" s="1250"/>
      <c r="I387" s="1251"/>
      <c r="J387" s="1251"/>
      <c r="K387" s="1252"/>
      <c r="L387" s="1252"/>
      <c r="M387" s="1252"/>
      <c r="N387" s="1252"/>
      <c r="O387" s="1252"/>
      <c r="P387" s="1252"/>
    </row>
    <row r="388" spans="1:26" ht="19.5" hidden="1">
      <c r="A388" s="1253"/>
      <c r="B388" s="1254" t="s">
        <v>174</v>
      </c>
      <c r="C388" s="1255"/>
      <c r="D388" s="1256"/>
      <c r="E388" s="1256"/>
      <c r="F388" s="1256"/>
      <c r="G388" s="1257"/>
      <c r="H388" s="525" t="s">
        <v>66</v>
      </c>
      <c r="I388" s="1258">
        <f t="shared" ref="I388:J388" si="165">I400</f>
        <v>0</v>
      </c>
      <c r="J388" s="1258">
        <f t="shared" si="165"/>
        <v>0</v>
      </c>
      <c r="K388" s="1259">
        <f>IF(I388&gt;0,J388*100/I388,0)</f>
        <v>0</v>
      </c>
      <c r="L388" s="1260"/>
      <c r="M388" s="1260"/>
      <c r="N388" s="1260"/>
      <c r="O388" s="1260"/>
      <c r="P388" s="1260"/>
    </row>
    <row r="389" spans="1:26" ht="19.5" hidden="1">
      <c r="A389" s="985"/>
      <c r="B389" s="986"/>
      <c r="C389" s="987" t="s">
        <v>16</v>
      </c>
      <c r="D389" s="988" t="s">
        <v>17</v>
      </c>
      <c r="E389" s="986"/>
      <c r="F389" s="986"/>
      <c r="G389" s="989"/>
      <c r="H389" s="152" t="s">
        <v>12</v>
      </c>
      <c r="I389" s="990"/>
      <c r="J389" s="990"/>
      <c r="K389" s="991"/>
      <c r="L389" s="992">
        <f t="shared" ref="L389:N389" ca="1" si="166">L390+L391</f>
        <v>0</v>
      </c>
      <c r="M389" s="992">
        <f t="shared" ca="1" si="166"/>
        <v>0</v>
      </c>
      <c r="N389" s="992">
        <f t="shared" ca="1" si="166"/>
        <v>0</v>
      </c>
      <c r="O389" s="992">
        <f t="shared" ref="O389:O397" ca="1" si="167">IF(L389&gt;0,N389*100/L389,0)</f>
        <v>0</v>
      </c>
      <c r="P389" s="992">
        <f t="shared" ref="P389:P397" ca="1" si="168">IF(M389&gt;0,N389*100/M389,0)</f>
        <v>0</v>
      </c>
      <c r="Q389" s="868"/>
      <c r="R389" s="868"/>
      <c r="S389" s="868"/>
      <c r="T389" s="868"/>
      <c r="U389" s="868"/>
      <c r="V389" s="868"/>
      <c r="W389" s="868"/>
      <c r="X389" s="868"/>
      <c r="Y389" s="868"/>
      <c r="Z389" s="868"/>
    </row>
    <row r="390" spans="1:26" ht="18.75" hidden="1">
      <c r="A390" s="993"/>
      <c r="B390" s="883"/>
      <c r="C390" s="883"/>
      <c r="D390" s="883"/>
      <c r="E390" s="884" t="s">
        <v>18</v>
      </c>
      <c r="F390" s="883"/>
      <c r="G390" s="994"/>
      <c r="H390" s="158" t="s">
        <v>12</v>
      </c>
      <c r="I390" s="886"/>
      <c r="J390" s="886"/>
      <c r="K390" s="887"/>
      <c r="L390" s="887">
        <f t="shared" ref="L390:N391" si="169">L393+L396</f>
        <v>0</v>
      </c>
      <c r="M390" s="887">
        <f t="shared" si="169"/>
        <v>0</v>
      </c>
      <c r="N390" s="887">
        <f t="shared" si="169"/>
        <v>0</v>
      </c>
      <c r="O390" s="887">
        <f t="shared" si="167"/>
        <v>0</v>
      </c>
      <c r="P390" s="887">
        <f t="shared" si="168"/>
        <v>0</v>
      </c>
      <c r="Q390" s="875"/>
      <c r="R390" s="875"/>
      <c r="S390" s="875"/>
      <c r="T390" s="875"/>
      <c r="U390" s="875"/>
      <c r="V390" s="875"/>
      <c r="W390" s="875"/>
      <c r="X390" s="875"/>
      <c r="Y390" s="875"/>
      <c r="Z390" s="875"/>
    </row>
    <row r="391" spans="1:26" ht="18.75" hidden="1">
      <c r="A391" s="993"/>
      <c r="B391" s="883"/>
      <c r="C391" s="883"/>
      <c r="D391" s="883"/>
      <c r="E391" s="884" t="s">
        <v>19</v>
      </c>
      <c r="F391" s="883"/>
      <c r="G391" s="994"/>
      <c r="H391" s="158" t="s">
        <v>12</v>
      </c>
      <c r="I391" s="886"/>
      <c r="J391" s="886"/>
      <c r="K391" s="887"/>
      <c r="L391" s="887">
        <f t="shared" ca="1" si="169"/>
        <v>0</v>
      </c>
      <c r="M391" s="887">
        <f t="shared" ca="1" si="169"/>
        <v>0</v>
      </c>
      <c r="N391" s="887">
        <f t="shared" ca="1" si="169"/>
        <v>0</v>
      </c>
      <c r="O391" s="887">
        <f t="shared" ca="1" si="167"/>
        <v>0</v>
      </c>
      <c r="P391" s="887">
        <f t="shared" ca="1" si="168"/>
        <v>0</v>
      </c>
      <c r="Q391" s="875"/>
      <c r="R391" s="875"/>
      <c r="S391" s="875"/>
      <c r="T391" s="875"/>
      <c r="U391" s="875"/>
      <c r="V391" s="875"/>
      <c r="W391" s="875"/>
      <c r="X391" s="875"/>
      <c r="Y391" s="875"/>
      <c r="Z391" s="875"/>
    </row>
    <row r="392" spans="1:26" ht="18.75" hidden="1">
      <c r="A392" s="995"/>
      <c r="B392" s="877"/>
      <c r="C392" s="996"/>
      <c r="D392" s="878" t="s">
        <v>20</v>
      </c>
      <c r="E392" s="877"/>
      <c r="F392" s="877"/>
      <c r="G392" s="879"/>
      <c r="H392" s="161" t="s">
        <v>12</v>
      </c>
      <c r="I392" s="997"/>
      <c r="J392" s="997"/>
      <c r="K392" s="998"/>
      <c r="L392" s="881">
        <f t="shared" ref="L392:N392" ca="1" si="170">L393+L394</f>
        <v>0</v>
      </c>
      <c r="M392" s="881">
        <f t="shared" ca="1" si="170"/>
        <v>0</v>
      </c>
      <c r="N392" s="881">
        <f t="shared" ca="1" si="170"/>
        <v>0</v>
      </c>
      <c r="O392" s="881">
        <f t="shared" ca="1" si="167"/>
        <v>0</v>
      </c>
      <c r="P392" s="881">
        <f t="shared" ca="1" si="168"/>
        <v>0</v>
      </c>
      <c r="Q392" s="868"/>
      <c r="R392" s="868"/>
      <c r="S392" s="868"/>
      <c r="T392" s="868"/>
      <c r="U392" s="868"/>
      <c r="V392" s="868"/>
      <c r="W392" s="868"/>
      <c r="X392" s="868"/>
      <c r="Y392" s="868"/>
      <c r="Z392" s="868"/>
    </row>
    <row r="393" spans="1:26" ht="19.5" hidden="1">
      <c r="A393" s="993"/>
      <c r="B393" s="883"/>
      <c r="C393" s="999"/>
      <c r="D393" s="883"/>
      <c r="E393" s="884" t="s">
        <v>36</v>
      </c>
      <c r="F393" s="883"/>
      <c r="G393" s="994"/>
      <c r="H393" s="165" t="s">
        <v>12</v>
      </c>
      <c r="I393" s="1000"/>
      <c r="J393" s="1000"/>
      <c r="K393" s="1001"/>
      <c r="L393" s="887">
        <v>0</v>
      </c>
      <c r="M393" s="887">
        <v>0</v>
      </c>
      <c r="N393" s="887">
        <v>0</v>
      </c>
      <c r="O393" s="887">
        <f t="shared" si="167"/>
        <v>0</v>
      </c>
      <c r="P393" s="887">
        <f t="shared" si="168"/>
        <v>0</v>
      </c>
      <c r="Q393" s="875"/>
      <c r="R393" s="875"/>
      <c r="S393" s="875"/>
      <c r="T393" s="875"/>
      <c r="U393" s="875"/>
      <c r="V393" s="875"/>
      <c r="W393" s="875"/>
      <c r="X393" s="875"/>
      <c r="Y393" s="875"/>
      <c r="Z393" s="875"/>
    </row>
    <row r="394" spans="1:26" ht="19.5" hidden="1">
      <c r="A394" s="993"/>
      <c r="B394" s="883"/>
      <c r="C394" s="999"/>
      <c r="D394" s="883"/>
      <c r="E394" s="884" t="s">
        <v>37</v>
      </c>
      <c r="F394" s="883"/>
      <c r="G394" s="994"/>
      <c r="H394" s="165" t="s">
        <v>12</v>
      </c>
      <c r="I394" s="1000"/>
      <c r="J394" s="1000"/>
      <c r="K394" s="1001"/>
      <c r="L394" s="887">
        <f ca="1">IFERROR(__xludf.DUMMYFUNCTION("IMPORTRANGE(""https://docs.google.com/spreadsheets/d/1MeEWN-I1oV_STSDYn1IFDPWt_1FKiwhDph83XaGc0o0/edit?usp=sharing"",""งบพรบ!FG86"")"),0)</f>
        <v>0</v>
      </c>
      <c r="M394" s="887">
        <f ca="1">IFERROR(__xludf.DUMMYFUNCTION("IMPORTRANGE(""https://docs.google.com/spreadsheets/d/1MeEWN-I1oV_STSDYn1IFDPWt_1FKiwhDph83XaGc0o0/edit?usp=sharing"",""งบพรบ!FL86"")"),0)</f>
        <v>0</v>
      </c>
      <c r="N394" s="887">
        <f ca="1">IFERROR(__xludf.DUMMYFUNCTION("IMPORTRANGE(""https://docs.google.com/spreadsheets/d/1MeEWN-I1oV_STSDYn1IFDPWt_1FKiwhDph83XaGc0o0/edit?usp=sharing"",""งบพรบ!FN86"")"),0)</f>
        <v>0</v>
      </c>
      <c r="O394" s="887">
        <f t="shared" ca="1" si="167"/>
        <v>0</v>
      </c>
      <c r="P394" s="887">
        <f t="shared" ca="1" si="168"/>
        <v>0</v>
      </c>
      <c r="Q394" s="875"/>
      <c r="R394" s="875"/>
      <c r="S394" s="875"/>
      <c r="T394" s="875"/>
      <c r="U394" s="875"/>
      <c r="V394" s="875"/>
      <c r="W394" s="875"/>
      <c r="X394" s="875"/>
      <c r="Y394" s="875"/>
      <c r="Z394" s="875"/>
    </row>
    <row r="395" spans="1:26" ht="18.75" hidden="1">
      <c r="A395" s="995"/>
      <c r="B395" s="877"/>
      <c r="C395" s="996"/>
      <c r="D395" s="878" t="s">
        <v>21</v>
      </c>
      <c r="E395" s="877"/>
      <c r="F395" s="877"/>
      <c r="G395" s="879"/>
      <c r="H395" s="168" t="s">
        <v>12</v>
      </c>
      <c r="I395" s="997"/>
      <c r="J395" s="997"/>
      <c r="K395" s="998"/>
      <c r="L395" s="881">
        <f t="shared" ref="L395:N395" ca="1" si="171">L396+L397</f>
        <v>0</v>
      </c>
      <c r="M395" s="881">
        <f t="shared" ca="1" si="171"/>
        <v>0</v>
      </c>
      <c r="N395" s="881">
        <f t="shared" ca="1" si="171"/>
        <v>0</v>
      </c>
      <c r="O395" s="881">
        <f t="shared" ca="1" si="167"/>
        <v>0</v>
      </c>
      <c r="P395" s="881">
        <f t="shared" ca="1" si="168"/>
        <v>0</v>
      </c>
      <c r="Q395" s="868"/>
      <c r="R395" s="868"/>
      <c r="S395" s="868"/>
      <c r="T395" s="868"/>
      <c r="U395" s="868"/>
      <c r="V395" s="868"/>
      <c r="W395" s="868"/>
      <c r="X395" s="868"/>
      <c r="Y395" s="868"/>
      <c r="Z395" s="868"/>
    </row>
    <row r="396" spans="1:26" ht="19.5" hidden="1">
      <c r="A396" s="993"/>
      <c r="B396" s="883"/>
      <c r="C396" s="999"/>
      <c r="D396" s="883"/>
      <c r="E396" s="884" t="s">
        <v>18</v>
      </c>
      <c r="F396" s="883"/>
      <c r="G396" s="994"/>
      <c r="H396" s="165" t="s">
        <v>12</v>
      </c>
      <c r="I396" s="1000"/>
      <c r="J396" s="1000"/>
      <c r="K396" s="1001"/>
      <c r="L396" s="887">
        <v>0</v>
      </c>
      <c r="M396" s="887">
        <v>0</v>
      </c>
      <c r="N396" s="887">
        <v>0</v>
      </c>
      <c r="O396" s="887">
        <f t="shared" si="167"/>
        <v>0</v>
      </c>
      <c r="P396" s="887">
        <f t="shared" si="168"/>
        <v>0</v>
      </c>
      <c r="Q396" s="875"/>
      <c r="R396" s="875"/>
      <c r="S396" s="875"/>
      <c r="T396" s="875"/>
      <c r="U396" s="875"/>
      <c r="V396" s="875"/>
      <c r="W396" s="875"/>
      <c r="X396" s="875"/>
      <c r="Y396" s="875"/>
      <c r="Z396" s="875"/>
    </row>
    <row r="397" spans="1:26" ht="19.5" hidden="1">
      <c r="A397" s="993"/>
      <c r="B397" s="883"/>
      <c r="C397" s="999"/>
      <c r="D397" s="883"/>
      <c r="E397" s="884" t="s">
        <v>19</v>
      </c>
      <c r="F397" s="883"/>
      <c r="G397" s="994"/>
      <c r="H397" s="169" t="s">
        <v>12</v>
      </c>
      <c r="I397" s="1000"/>
      <c r="J397" s="1000"/>
      <c r="K397" s="1001"/>
      <c r="L397" s="887">
        <f ca="1">IFERROR(__xludf.DUMMYFUNCTION("IMPORTRANGE(""https://docs.google.com/spreadsheets/d/1MeEWN-I1oV_STSDYn1IFDPWt_1FKiwhDph83XaGc0o0/edit?usp=sharing"",""งบพรบ!FJ86"")"),0)</f>
        <v>0</v>
      </c>
      <c r="M397" s="887">
        <f ca="1">IFERROR(__xludf.DUMMYFUNCTION("IMPORTRANGE(""https://docs.google.com/spreadsheets/d/1MeEWN-I1oV_STSDYn1IFDPWt_1FKiwhDph83XaGc0o0/edit?usp=sharing"",""งบพรบ!FM86"")"),0)</f>
        <v>0</v>
      </c>
      <c r="N397" s="887">
        <f ca="1">IFERROR(__xludf.DUMMYFUNCTION("IMPORTRANGE(""https://docs.google.com/spreadsheets/d/1MeEWN-I1oV_STSDYn1IFDPWt_1FKiwhDph83XaGc0o0/edit?usp=sharing"",""งบพรบ!FO86"")"),0)</f>
        <v>0</v>
      </c>
      <c r="O397" s="887">
        <f t="shared" ca="1" si="167"/>
        <v>0</v>
      </c>
      <c r="P397" s="887">
        <f t="shared" ca="1" si="168"/>
        <v>0</v>
      </c>
      <c r="Q397" s="875"/>
      <c r="R397" s="875"/>
      <c r="S397" s="875"/>
      <c r="T397" s="875"/>
      <c r="U397" s="875"/>
      <c r="V397" s="875"/>
      <c r="W397" s="875"/>
      <c r="X397" s="875"/>
      <c r="Y397" s="875"/>
      <c r="Z397" s="875"/>
    </row>
    <row r="398" spans="1:26" ht="19.5" hidden="1">
      <c r="A398" s="1002"/>
      <c r="B398" s="1003"/>
      <c r="C398" s="999" t="s">
        <v>16</v>
      </c>
      <c r="D398" s="1004" t="s">
        <v>38</v>
      </c>
      <c r="E398" s="1005"/>
      <c r="F398" s="1005"/>
      <c r="G398" s="1006"/>
      <c r="H398" s="1007"/>
      <c r="I398" s="997"/>
      <c r="J398" s="880"/>
      <c r="K398" s="881"/>
      <c r="L398" s="881"/>
      <c r="M398" s="881"/>
      <c r="N398" s="881"/>
      <c r="O398" s="998"/>
      <c r="P398" s="998"/>
    </row>
    <row r="399" spans="1:26" ht="18.75" hidden="1">
      <c r="A399" s="1261"/>
      <c r="B399" s="986"/>
      <c r="C399" s="1262"/>
      <c r="D399" s="1021" t="s">
        <v>175</v>
      </c>
      <c r="E399" s="1166"/>
      <c r="F399" s="986"/>
      <c r="G399" s="989"/>
      <c r="H399" s="532" t="s">
        <v>9</v>
      </c>
      <c r="I399" s="880">
        <v>0</v>
      </c>
      <c r="J399" s="1012">
        <v>0</v>
      </c>
      <c r="K399" s="881">
        <f t="shared" ref="K399:K401" si="172">IF(I399&gt;0,J399*100/I399,0)</f>
        <v>0</v>
      </c>
      <c r="L399" s="1263"/>
      <c r="M399" s="1263"/>
      <c r="N399" s="1263"/>
      <c r="O399" s="1263"/>
      <c r="P399" s="1263"/>
      <c r="Q399" s="868"/>
      <c r="R399" s="868"/>
      <c r="S399" s="868"/>
      <c r="T399" s="868"/>
      <c r="U399" s="868"/>
      <c r="V399" s="868"/>
      <c r="W399" s="868"/>
      <c r="X399" s="868"/>
      <c r="Y399" s="868"/>
      <c r="Z399" s="868"/>
    </row>
    <row r="400" spans="1:26" ht="18.75" hidden="1">
      <c r="A400" s="1086"/>
      <c r="B400" s="877"/>
      <c r="C400" s="1084"/>
      <c r="D400" s="1009" t="s">
        <v>176</v>
      </c>
      <c r="E400" s="1003"/>
      <c r="F400" s="877"/>
      <c r="G400" s="879"/>
      <c r="H400" s="277" t="s">
        <v>66</v>
      </c>
      <c r="I400" s="880">
        <v>0</v>
      </c>
      <c r="J400" s="1012">
        <v>0</v>
      </c>
      <c r="K400" s="881">
        <f t="shared" si="172"/>
        <v>0</v>
      </c>
      <c r="L400" s="881"/>
      <c r="M400" s="881"/>
      <c r="N400" s="881"/>
      <c r="O400" s="881"/>
      <c r="P400" s="881"/>
    </row>
    <row r="401" spans="1:26" ht="19.5" hidden="1">
      <c r="A401" s="1253"/>
      <c r="B401" s="1254" t="s">
        <v>177</v>
      </c>
      <c r="C401" s="1255"/>
      <c r="D401" s="1256"/>
      <c r="E401" s="1256"/>
      <c r="F401" s="1256"/>
      <c r="G401" s="1257"/>
      <c r="H401" s="525" t="s">
        <v>66</v>
      </c>
      <c r="I401" s="1258">
        <f t="shared" ref="I401:J401" si="173">I412</f>
        <v>0</v>
      </c>
      <c r="J401" s="1258">
        <f t="shared" si="173"/>
        <v>0</v>
      </c>
      <c r="K401" s="1259">
        <f t="shared" si="172"/>
        <v>0</v>
      </c>
      <c r="L401" s="1260"/>
      <c r="M401" s="1260"/>
      <c r="N401" s="1260"/>
      <c r="O401" s="1260"/>
      <c r="P401" s="1260"/>
    </row>
    <row r="402" spans="1:26" ht="19.5" hidden="1">
      <c r="A402" s="985"/>
      <c r="B402" s="986"/>
      <c r="C402" s="987" t="s">
        <v>16</v>
      </c>
      <c r="D402" s="988" t="s">
        <v>17</v>
      </c>
      <c r="E402" s="986"/>
      <c r="F402" s="986"/>
      <c r="G402" s="989"/>
      <c r="H402" s="152" t="s">
        <v>12</v>
      </c>
      <c r="I402" s="990"/>
      <c r="J402" s="990"/>
      <c r="K402" s="991"/>
      <c r="L402" s="992">
        <f t="shared" ref="L402:N402" ca="1" si="174">L403+L404</f>
        <v>0</v>
      </c>
      <c r="M402" s="992">
        <f t="shared" ca="1" si="174"/>
        <v>0</v>
      </c>
      <c r="N402" s="992">
        <f t="shared" ca="1" si="174"/>
        <v>0</v>
      </c>
      <c r="O402" s="992">
        <f t="shared" ref="O402:O410" ca="1" si="175">IF(L402&gt;0,N402*100/L402,0)</f>
        <v>0</v>
      </c>
      <c r="P402" s="992">
        <f t="shared" ref="P402:P410" ca="1" si="176">IF(M402&gt;0,N402*100/M402,0)</f>
        <v>0</v>
      </c>
      <c r="Q402" s="868"/>
      <c r="R402" s="868"/>
      <c r="S402" s="868"/>
      <c r="T402" s="868"/>
      <c r="U402" s="868"/>
      <c r="V402" s="868"/>
      <c r="W402" s="868"/>
      <c r="X402" s="868"/>
      <c r="Y402" s="868"/>
      <c r="Z402" s="868"/>
    </row>
    <row r="403" spans="1:26" ht="18.75" hidden="1">
      <c r="A403" s="993"/>
      <c r="B403" s="883"/>
      <c r="C403" s="883"/>
      <c r="D403" s="883"/>
      <c r="E403" s="884" t="s">
        <v>18</v>
      </c>
      <c r="F403" s="883"/>
      <c r="G403" s="994"/>
      <c r="H403" s="158" t="s">
        <v>12</v>
      </c>
      <c r="I403" s="886"/>
      <c r="J403" s="886"/>
      <c r="K403" s="887"/>
      <c r="L403" s="887">
        <f t="shared" ref="L403:N404" si="177">L406+L409</f>
        <v>0</v>
      </c>
      <c r="M403" s="887">
        <f t="shared" si="177"/>
        <v>0</v>
      </c>
      <c r="N403" s="887">
        <f t="shared" si="177"/>
        <v>0</v>
      </c>
      <c r="O403" s="887">
        <f t="shared" si="175"/>
        <v>0</v>
      </c>
      <c r="P403" s="887">
        <f t="shared" si="176"/>
        <v>0</v>
      </c>
      <c r="Q403" s="875"/>
      <c r="R403" s="875"/>
      <c r="S403" s="875"/>
      <c r="T403" s="875"/>
      <c r="U403" s="875"/>
      <c r="V403" s="875"/>
      <c r="W403" s="875"/>
      <c r="X403" s="875"/>
      <c r="Y403" s="875"/>
      <c r="Z403" s="875"/>
    </row>
    <row r="404" spans="1:26" ht="18.75" hidden="1">
      <c r="A404" s="993"/>
      <c r="B404" s="883"/>
      <c r="C404" s="883"/>
      <c r="D404" s="883"/>
      <c r="E404" s="884" t="s">
        <v>19</v>
      </c>
      <c r="F404" s="883"/>
      <c r="G404" s="994"/>
      <c r="H404" s="158" t="s">
        <v>12</v>
      </c>
      <c r="I404" s="886"/>
      <c r="J404" s="886"/>
      <c r="K404" s="887"/>
      <c r="L404" s="887">
        <f t="shared" ca="1" si="177"/>
        <v>0</v>
      </c>
      <c r="M404" s="887">
        <f t="shared" ca="1" si="177"/>
        <v>0</v>
      </c>
      <c r="N404" s="887">
        <f t="shared" ca="1" si="177"/>
        <v>0</v>
      </c>
      <c r="O404" s="887">
        <f t="shared" ca="1" si="175"/>
        <v>0</v>
      </c>
      <c r="P404" s="887">
        <f t="shared" ca="1" si="176"/>
        <v>0</v>
      </c>
      <c r="Q404" s="875"/>
      <c r="R404" s="875"/>
      <c r="S404" s="875"/>
      <c r="T404" s="875"/>
      <c r="U404" s="875"/>
      <c r="V404" s="875"/>
      <c r="W404" s="875"/>
      <c r="X404" s="875"/>
      <c r="Y404" s="875"/>
      <c r="Z404" s="875"/>
    </row>
    <row r="405" spans="1:26" ht="18.75" hidden="1">
      <c r="A405" s="995"/>
      <c r="B405" s="877"/>
      <c r="C405" s="996"/>
      <c r="D405" s="878" t="s">
        <v>20</v>
      </c>
      <c r="E405" s="877"/>
      <c r="F405" s="877"/>
      <c r="G405" s="879"/>
      <c r="H405" s="161" t="s">
        <v>12</v>
      </c>
      <c r="I405" s="997"/>
      <c r="J405" s="997"/>
      <c r="K405" s="998"/>
      <c r="L405" s="881">
        <f t="shared" ref="L405:N405" ca="1" si="178">L406+L407</f>
        <v>0</v>
      </c>
      <c r="M405" s="881">
        <f t="shared" ca="1" si="178"/>
        <v>0</v>
      </c>
      <c r="N405" s="881">
        <f t="shared" ca="1" si="178"/>
        <v>0</v>
      </c>
      <c r="O405" s="881">
        <f t="shared" ca="1" si="175"/>
        <v>0</v>
      </c>
      <c r="P405" s="881">
        <f t="shared" ca="1" si="176"/>
        <v>0</v>
      </c>
      <c r="Q405" s="868"/>
      <c r="R405" s="868"/>
      <c r="S405" s="868"/>
      <c r="T405" s="868"/>
      <c r="U405" s="868"/>
      <c r="V405" s="868"/>
      <c r="W405" s="868"/>
      <c r="X405" s="868"/>
      <c r="Y405" s="868"/>
      <c r="Z405" s="868"/>
    </row>
    <row r="406" spans="1:26" ht="19.5" hidden="1">
      <c r="A406" s="993"/>
      <c r="B406" s="883"/>
      <c r="C406" s="999"/>
      <c r="D406" s="883"/>
      <c r="E406" s="884" t="s">
        <v>36</v>
      </c>
      <c r="F406" s="883"/>
      <c r="G406" s="994"/>
      <c r="H406" s="165" t="s">
        <v>12</v>
      </c>
      <c r="I406" s="1000"/>
      <c r="J406" s="1000"/>
      <c r="K406" s="1001"/>
      <c r="L406" s="887">
        <v>0</v>
      </c>
      <c r="M406" s="887">
        <v>0</v>
      </c>
      <c r="N406" s="887">
        <v>0</v>
      </c>
      <c r="O406" s="887">
        <f t="shared" si="175"/>
        <v>0</v>
      </c>
      <c r="P406" s="887">
        <f t="shared" si="176"/>
        <v>0</v>
      </c>
      <c r="Q406" s="875"/>
      <c r="R406" s="875"/>
      <c r="S406" s="875"/>
      <c r="T406" s="875"/>
      <c r="U406" s="875"/>
      <c r="V406" s="875"/>
      <c r="W406" s="875"/>
      <c r="X406" s="875"/>
      <c r="Y406" s="875"/>
      <c r="Z406" s="875"/>
    </row>
    <row r="407" spans="1:26" ht="19.5" hidden="1">
      <c r="A407" s="993"/>
      <c r="B407" s="883"/>
      <c r="C407" s="999"/>
      <c r="D407" s="883"/>
      <c r="E407" s="884" t="s">
        <v>37</v>
      </c>
      <c r="F407" s="883"/>
      <c r="G407" s="994"/>
      <c r="H407" s="165" t="s">
        <v>12</v>
      </c>
      <c r="I407" s="1000"/>
      <c r="J407" s="1000"/>
      <c r="K407" s="1001"/>
      <c r="L407" s="887">
        <f ca="1">IFERROR(__xludf.DUMMYFUNCTION("IMPORTRANGE(""https://docs.google.com/spreadsheets/d/1MeEWN-I1oV_STSDYn1IFDPWt_1FKiwhDph83XaGc0o0/edit?usp=sharing"",""งบพรบ!FQ86"")"),0)</f>
        <v>0</v>
      </c>
      <c r="M407" s="887">
        <f ca="1">IFERROR(__xludf.DUMMYFUNCTION("IMPORTRANGE(""https://docs.google.com/spreadsheets/d/1MeEWN-I1oV_STSDYn1IFDPWt_1FKiwhDph83XaGc0o0/edit?usp=sharing"",""งบพรบ!FV86"")"),0)</f>
        <v>0</v>
      </c>
      <c r="N407" s="887">
        <f ca="1">IFERROR(__xludf.DUMMYFUNCTION("IMPORTRANGE(""https://docs.google.com/spreadsheets/d/1MeEWN-I1oV_STSDYn1IFDPWt_1FKiwhDph83XaGc0o0/edit?usp=sharing"",""งบพรบ!FX86"")"),0)</f>
        <v>0</v>
      </c>
      <c r="O407" s="887">
        <f t="shared" ca="1" si="175"/>
        <v>0</v>
      </c>
      <c r="P407" s="887">
        <f t="shared" ca="1" si="176"/>
        <v>0</v>
      </c>
      <c r="Q407" s="875"/>
      <c r="R407" s="875"/>
      <c r="S407" s="875"/>
      <c r="T407" s="875"/>
      <c r="U407" s="875"/>
      <c r="V407" s="875"/>
      <c r="W407" s="875"/>
      <c r="X407" s="875"/>
      <c r="Y407" s="875"/>
      <c r="Z407" s="875"/>
    </row>
    <row r="408" spans="1:26" ht="18.75" hidden="1">
      <c r="A408" s="995"/>
      <c r="B408" s="877"/>
      <c r="C408" s="996"/>
      <c r="D408" s="878" t="s">
        <v>21</v>
      </c>
      <c r="E408" s="877"/>
      <c r="F408" s="877"/>
      <c r="G408" s="879"/>
      <c r="H408" s="168" t="s">
        <v>12</v>
      </c>
      <c r="I408" s="997"/>
      <c r="J408" s="997"/>
      <c r="K408" s="998"/>
      <c r="L408" s="881">
        <f t="shared" ref="L408:N408" ca="1" si="179">L409+L410</f>
        <v>0</v>
      </c>
      <c r="M408" s="881">
        <f t="shared" ca="1" si="179"/>
        <v>0</v>
      </c>
      <c r="N408" s="881">
        <f t="shared" ca="1" si="179"/>
        <v>0</v>
      </c>
      <c r="O408" s="881">
        <f t="shared" ca="1" si="175"/>
        <v>0</v>
      </c>
      <c r="P408" s="881">
        <f t="shared" ca="1" si="176"/>
        <v>0</v>
      </c>
      <c r="Q408" s="868"/>
      <c r="R408" s="868"/>
      <c r="S408" s="868"/>
      <c r="T408" s="868"/>
      <c r="U408" s="868"/>
      <c r="V408" s="868"/>
      <c r="W408" s="868"/>
      <c r="X408" s="868"/>
      <c r="Y408" s="868"/>
      <c r="Z408" s="868"/>
    </row>
    <row r="409" spans="1:26" ht="19.5" hidden="1">
      <c r="A409" s="993"/>
      <c r="B409" s="883"/>
      <c r="C409" s="999"/>
      <c r="D409" s="883"/>
      <c r="E409" s="884" t="s">
        <v>18</v>
      </c>
      <c r="F409" s="883"/>
      <c r="G409" s="994"/>
      <c r="H409" s="165" t="s">
        <v>12</v>
      </c>
      <c r="I409" s="1000"/>
      <c r="J409" s="1000"/>
      <c r="K409" s="1001"/>
      <c r="L409" s="887">
        <v>0</v>
      </c>
      <c r="M409" s="887">
        <v>0</v>
      </c>
      <c r="N409" s="887">
        <v>0</v>
      </c>
      <c r="O409" s="887">
        <f t="shared" si="175"/>
        <v>0</v>
      </c>
      <c r="P409" s="887">
        <f t="shared" si="176"/>
        <v>0</v>
      </c>
      <c r="Q409" s="875"/>
      <c r="R409" s="875"/>
      <c r="S409" s="875"/>
      <c r="T409" s="875"/>
      <c r="U409" s="875"/>
      <c r="V409" s="875"/>
      <c r="W409" s="875"/>
      <c r="X409" s="875"/>
      <c r="Y409" s="875"/>
      <c r="Z409" s="875"/>
    </row>
    <row r="410" spans="1:26" ht="19.5" hidden="1">
      <c r="A410" s="993"/>
      <c r="B410" s="883"/>
      <c r="C410" s="999"/>
      <c r="D410" s="883"/>
      <c r="E410" s="884" t="s">
        <v>19</v>
      </c>
      <c r="F410" s="883"/>
      <c r="G410" s="994"/>
      <c r="H410" s="169" t="s">
        <v>12</v>
      </c>
      <c r="I410" s="1000"/>
      <c r="J410" s="1000"/>
      <c r="K410" s="1001"/>
      <c r="L410" s="887">
        <f ca="1">IFERROR(__xludf.DUMMYFUNCTION("IMPORTRANGE(""https://docs.google.com/spreadsheets/d/1MeEWN-I1oV_STSDYn1IFDPWt_1FKiwhDph83XaGc0o0/edit?usp=sharing"",""งบพรบ!FT86"")"),0)</f>
        <v>0</v>
      </c>
      <c r="M410" s="887">
        <f ca="1">IFERROR(__xludf.DUMMYFUNCTION("IMPORTRANGE(""https://docs.google.com/spreadsheets/d/1MeEWN-I1oV_STSDYn1IFDPWt_1FKiwhDph83XaGc0o0/edit?usp=sharing"",""งบพรบ!FW86"")"),0)</f>
        <v>0</v>
      </c>
      <c r="N410" s="887">
        <f ca="1">IFERROR(__xludf.DUMMYFUNCTION("IMPORTRANGE(""https://docs.google.com/spreadsheets/d/1MeEWN-I1oV_STSDYn1IFDPWt_1FKiwhDph83XaGc0o0/edit?usp=sharing"",""งบพรบ!FY86"")"),0)</f>
        <v>0</v>
      </c>
      <c r="O410" s="887">
        <f t="shared" ca="1" si="175"/>
        <v>0</v>
      </c>
      <c r="P410" s="887">
        <f t="shared" ca="1" si="176"/>
        <v>0</v>
      </c>
      <c r="Q410" s="875"/>
      <c r="R410" s="875"/>
      <c r="S410" s="875"/>
      <c r="T410" s="875"/>
      <c r="U410" s="875"/>
      <c r="V410" s="875"/>
      <c r="W410" s="875"/>
      <c r="X410" s="875"/>
      <c r="Y410" s="875"/>
      <c r="Z410" s="875"/>
    </row>
    <row r="411" spans="1:26" ht="19.5" hidden="1">
      <c r="A411" s="1002"/>
      <c r="B411" s="1003"/>
      <c r="C411" s="999" t="s">
        <v>16</v>
      </c>
      <c r="D411" s="1264" t="s">
        <v>38</v>
      </c>
      <c r="E411" s="1265"/>
      <c r="F411" s="1265"/>
      <c r="G411" s="1266"/>
      <c r="H411" s="1007"/>
      <c r="I411" s="880"/>
      <c r="J411" s="880"/>
      <c r="K411" s="881"/>
      <c r="L411" s="998"/>
      <c r="M411" s="998"/>
      <c r="N411" s="998"/>
      <c r="O411" s="998"/>
      <c r="P411" s="998"/>
    </row>
    <row r="412" spans="1:26" ht="18.75" hidden="1">
      <c r="A412" s="1002"/>
      <c r="B412" s="1010"/>
      <c r="C412" s="1010"/>
      <c r="D412" s="1009" t="s">
        <v>178</v>
      </c>
      <c r="E412" s="1010"/>
      <c r="F412" s="1010"/>
      <c r="G412" s="1011"/>
      <c r="H412" s="537" t="s">
        <v>66</v>
      </c>
      <c r="I412" s="880">
        <v>0</v>
      </c>
      <c r="J412" s="1012">
        <v>0</v>
      </c>
      <c r="K412" s="881">
        <f t="shared" ref="K412:K413" si="180">IF(I412&gt;0,J412*100/I412,0)</f>
        <v>0</v>
      </c>
      <c r="L412" s="998"/>
      <c r="M412" s="998"/>
      <c r="N412" s="998"/>
      <c r="O412" s="998"/>
      <c r="P412" s="998"/>
    </row>
    <row r="413" spans="1:26" ht="19.5" hidden="1" thickBot="1">
      <c r="A413" s="1267"/>
      <c r="B413" s="1268"/>
      <c r="C413" s="1268"/>
      <c r="D413" s="1269" t="s">
        <v>179</v>
      </c>
      <c r="E413" s="1268"/>
      <c r="F413" s="1268"/>
      <c r="G413" s="1270"/>
      <c r="H413" s="542" t="s">
        <v>180</v>
      </c>
      <c r="I413" s="1271">
        <v>0</v>
      </c>
      <c r="J413" s="1272">
        <v>0</v>
      </c>
      <c r="K413" s="1273">
        <f t="shared" si="180"/>
        <v>0</v>
      </c>
      <c r="L413" s="1274"/>
      <c r="M413" s="1274"/>
      <c r="N413" s="1274"/>
      <c r="O413" s="1274"/>
      <c r="P413" s="1274"/>
    </row>
    <row r="414" spans="1:26" ht="19.5">
      <c r="A414" s="1275" t="s">
        <v>181</v>
      </c>
      <c r="B414" s="1276"/>
      <c r="C414" s="1276"/>
      <c r="D414" s="1276"/>
      <c r="E414" s="1276"/>
      <c r="F414" s="1276"/>
      <c r="G414" s="1277"/>
      <c r="H414" s="1278"/>
      <c r="I414" s="1279"/>
      <c r="J414" s="1279"/>
      <c r="K414" s="1280"/>
      <c r="L414" s="1281">
        <f t="shared" ref="L414:N414" ca="1" si="181">L419+L444+L467+L502+L523+L544+L629+L655+L685+L737+L754+L770+L786+L805</f>
        <v>1882353</v>
      </c>
      <c r="M414" s="1281">
        <f t="shared" ca="1" si="181"/>
        <v>1882353</v>
      </c>
      <c r="N414" s="1281">
        <f t="shared" si="181"/>
        <v>834145</v>
      </c>
      <c r="O414" s="1281">
        <f ca="1">IF(L414&gt;0,N414*100/L414,0)</f>
        <v>44.313951740189005</v>
      </c>
      <c r="P414" s="1281">
        <f ca="1">IF(M414&gt;0,N414*100/M414,0)</f>
        <v>44.313951740189005</v>
      </c>
    </row>
    <row r="415" spans="1:26" ht="19.5">
      <c r="A415" s="1282" t="s">
        <v>182</v>
      </c>
      <c r="B415" s="1283"/>
      <c r="C415" s="1283"/>
      <c r="D415" s="1283"/>
      <c r="E415" s="1283"/>
      <c r="F415" s="1283"/>
      <c r="G415" s="1283"/>
      <c r="H415" s="1284"/>
      <c r="I415" s="1285"/>
      <c r="J415" s="1285"/>
      <c r="K415" s="1286"/>
      <c r="L415" s="1287"/>
      <c r="M415" s="1287"/>
      <c r="N415" s="1287"/>
      <c r="O415" s="1287"/>
      <c r="P415" s="1287"/>
    </row>
    <row r="416" spans="1:26" ht="19.5">
      <c r="A416" s="1282" t="s">
        <v>183</v>
      </c>
      <c r="B416" s="1283"/>
      <c r="C416" s="1283"/>
      <c r="D416" s="1283"/>
      <c r="E416" s="1283"/>
      <c r="F416" s="1283"/>
      <c r="G416" s="1288"/>
      <c r="H416" s="1289"/>
      <c r="I416" s="1290"/>
      <c r="J416" s="1290"/>
      <c r="K416" s="1287"/>
      <c r="L416" s="1287"/>
      <c r="M416" s="1287"/>
      <c r="N416" s="1287"/>
      <c r="O416" s="1287"/>
      <c r="P416" s="1287"/>
    </row>
    <row r="417" spans="1:26" ht="39">
      <c r="A417" s="563">
        <v>1</v>
      </c>
      <c r="B417" s="1291" t="s">
        <v>184</v>
      </c>
      <c r="C417" s="1291"/>
      <c r="D417" s="1292"/>
      <c r="E417" s="1292"/>
      <c r="F417" s="1292"/>
      <c r="G417" s="1293"/>
      <c r="H417" s="568" t="s">
        <v>35</v>
      </c>
      <c r="I417" s="1294">
        <f t="shared" ref="I417:J418" ca="1" si="182">I433</f>
        <v>20</v>
      </c>
      <c r="J417" s="1294">
        <f t="shared" ca="1" si="182"/>
        <v>20</v>
      </c>
      <c r="K417" s="1295">
        <f t="shared" ref="K417:K418" ca="1" si="183">IF(I417&gt;0,J417*100/I417,0)</f>
        <v>100</v>
      </c>
      <c r="L417" s="1296"/>
      <c r="M417" s="1296"/>
      <c r="N417" s="1296"/>
      <c r="O417" s="1296"/>
      <c r="P417" s="1296"/>
    </row>
    <row r="418" spans="1:26" ht="19.5">
      <c r="A418" s="1297"/>
      <c r="B418" s="563"/>
      <c r="C418" s="1291"/>
      <c r="D418" s="1292"/>
      <c r="E418" s="1292"/>
      <c r="F418" s="1292"/>
      <c r="G418" s="1293"/>
      <c r="H418" s="568" t="s">
        <v>49</v>
      </c>
      <c r="I418" s="1294">
        <f t="shared" ca="1" si="182"/>
        <v>1</v>
      </c>
      <c r="J418" s="1294">
        <f t="shared" si="182"/>
        <v>0</v>
      </c>
      <c r="K418" s="1295">
        <f t="shared" ca="1" si="183"/>
        <v>0</v>
      </c>
      <c r="L418" s="1296"/>
      <c r="M418" s="1296"/>
      <c r="N418" s="1296"/>
      <c r="O418" s="1296"/>
      <c r="P418" s="1296"/>
    </row>
    <row r="419" spans="1:26" ht="19.5">
      <c r="A419" s="985"/>
      <c r="B419" s="986"/>
      <c r="C419" s="986" t="s">
        <v>16</v>
      </c>
      <c r="D419" s="1298" t="s">
        <v>17</v>
      </c>
      <c r="E419" s="846"/>
      <c r="F419" s="846"/>
      <c r="G419" s="989"/>
      <c r="H419" s="275" t="s">
        <v>12</v>
      </c>
      <c r="I419" s="990"/>
      <c r="J419" s="990"/>
      <c r="K419" s="991"/>
      <c r="L419" s="992">
        <f t="shared" ref="L419:N419" ca="1" si="184">L420+L421</f>
        <v>78660</v>
      </c>
      <c r="M419" s="992">
        <f t="shared" ca="1" si="184"/>
        <v>78660</v>
      </c>
      <c r="N419" s="992">
        <f t="shared" si="184"/>
        <v>69670</v>
      </c>
      <c r="O419" s="992">
        <f t="shared" ref="O419:O424" ca="1" si="185">IF(L419&gt;0,N419*100/L419,0)</f>
        <v>88.571065344520719</v>
      </c>
      <c r="P419" s="992">
        <f t="shared" ref="P419:P424" ca="1" si="186">IF(M419&gt;0,N419*100/M419,0)</f>
        <v>88.571065344520719</v>
      </c>
      <c r="Q419" s="868"/>
      <c r="R419" s="868"/>
      <c r="S419" s="868"/>
      <c r="T419" s="868"/>
      <c r="U419" s="868"/>
      <c r="V419" s="868"/>
      <c r="W419" s="868"/>
      <c r="X419" s="868"/>
      <c r="Y419" s="868"/>
      <c r="Z419" s="868"/>
    </row>
    <row r="420" spans="1:26" ht="18.75" hidden="1">
      <c r="A420" s="993"/>
      <c r="B420" s="883"/>
      <c r="C420" s="883"/>
      <c r="D420" s="1114"/>
      <c r="E420" s="884" t="s">
        <v>185</v>
      </c>
      <c r="F420" s="883"/>
      <c r="G420" s="994"/>
      <c r="H420" s="165" t="s">
        <v>12</v>
      </c>
      <c r="I420" s="886"/>
      <c r="J420" s="886"/>
      <c r="K420" s="887"/>
      <c r="L420" s="887">
        <f t="shared" ref="L420:N421" si="187">L423+L430</f>
        <v>0</v>
      </c>
      <c r="M420" s="887">
        <f t="shared" si="187"/>
        <v>0</v>
      </c>
      <c r="N420" s="887">
        <f t="shared" si="187"/>
        <v>0</v>
      </c>
      <c r="O420" s="887">
        <f t="shared" si="185"/>
        <v>0</v>
      </c>
      <c r="P420" s="887">
        <f t="shared" si="186"/>
        <v>0</v>
      </c>
      <c r="Q420" s="875"/>
      <c r="R420" s="875"/>
      <c r="S420" s="875"/>
      <c r="T420" s="875"/>
      <c r="U420" s="875"/>
      <c r="V420" s="875"/>
      <c r="W420" s="875"/>
      <c r="X420" s="875"/>
      <c r="Y420" s="875"/>
      <c r="Z420" s="875"/>
    </row>
    <row r="421" spans="1:26" ht="18.75" hidden="1">
      <c r="A421" s="993"/>
      <c r="B421" s="883"/>
      <c r="C421" s="883"/>
      <c r="D421" s="1114"/>
      <c r="E421" s="884" t="s">
        <v>186</v>
      </c>
      <c r="F421" s="883"/>
      <c r="G421" s="994"/>
      <c r="H421" s="165" t="s">
        <v>12</v>
      </c>
      <c r="I421" s="886"/>
      <c r="J421" s="886"/>
      <c r="K421" s="887"/>
      <c r="L421" s="887">
        <f t="shared" ca="1" si="187"/>
        <v>78660</v>
      </c>
      <c r="M421" s="887">
        <f t="shared" ca="1" si="187"/>
        <v>78660</v>
      </c>
      <c r="N421" s="887">
        <f t="shared" si="187"/>
        <v>69670</v>
      </c>
      <c r="O421" s="887">
        <f t="shared" ca="1" si="185"/>
        <v>88.571065344520719</v>
      </c>
      <c r="P421" s="887">
        <f t="shared" ca="1" si="186"/>
        <v>88.571065344520719</v>
      </c>
      <c r="Q421" s="875"/>
      <c r="R421" s="875"/>
      <c r="S421" s="875"/>
      <c r="T421" s="875"/>
      <c r="U421" s="875"/>
      <c r="V421" s="875"/>
      <c r="W421" s="875"/>
      <c r="X421" s="875"/>
      <c r="Y421" s="875"/>
      <c r="Z421" s="875"/>
    </row>
    <row r="422" spans="1:26" ht="18.75">
      <c r="A422" s="995"/>
      <c r="B422" s="1084"/>
      <c r="C422" s="877"/>
      <c r="D422" s="878" t="s">
        <v>20</v>
      </c>
      <c r="E422" s="877"/>
      <c r="F422" s="877"/>
      <c r="G422" s="879"/>
      <c r="H422" s="161" t="s">
        <v>12</v>
      </c>
      <c r="I422" s="997"/>
      <c r="J422" s="997"/>
      <c r="K422" s="998"/>
      <c r="L422" s="881">
        <f t="shared" ref="L422:N422" ca="1" si="188">L423+L424</f>
        <v>78660</v>
      </c>
      <c r="M422" s="881">
        <f t="shared" ca="1" si="188"/>
        <v>78660</v>
      </c>
      <c r="N422" s="881">
        <f t="shared" si="188"/>
        <v>69670</v>
      </c>
      <c r="O422" s="881">
        <f t="shared" ca="1" si="185"/>
        <v>88.571065344520719</v>
      </c>
      <c r="P422" s="881">
        <f t="shared" ca="1" si="186"/>
        <v>88.571065344520719</v>
      </c>
      <c r="Q422" s="868"/>
      <c r="R422" s="868"/>
      <c r="S422" s="868"/>
      <c r="T422" s="868"/>
      <c r="U422" s="868"/>
      <c r="V422" s="868"/>
      <c r="W422" s="868"/>
      <c r="X422" s="868"/>
      <c r="Y422" s="868"/>
      <c r="Z422" s="868"/>
    </row>
    <row r="423" spans="1:26" ht="18.75" hidden="1">
      <c r="A423" s="993"/>
      <c r="B423" s="883"/>
      <c r="C423" s="883"/>
      <c r="D423" s="1114"/>
      <c r="E423" s="884" t="s">
        <v>185</v>
      </c>
      <c r="F423" s="883"/>
      <c r="G423" s="994"/>
      <c r="H423" s="165" t="s">
        <v>12</v>
      </c>
      <c r="I423" s="886"/>
      <c r="J423" s="886"/>
      <c r="K423" s="887"/>
      <c r="L423" s="887">
        <v>0</v>
      </c>
      <c r="M423" s="887">
        <v>0</v>
      </c>
      <c r="N423" s="887">
        <v>0</v>
      </c>
      <c r="O423" s="887">
        <f t="shared" si="185"/>
        <v>0</v>
      </c>
      <c r="P423" s="887">
        <f t="shared" si="186"/>
        <v>0</v>
      </c>
      <c r="Q423" s="875"/>
      <c r="R423" s="875"/>
      <c r="S423" s="875"/>
      <c r="T423" s="875"/>
      <c r="U423" s="875"/>
      <c r="V423" s="875"/>
      <c r="W423" s="875"/>
      <c r="X423" s="875"/>
      <c r="Y423" s="875"/>
      <c r="Z423" s="875"/>
    </row>
    <row r="424" spans="1:26" ht="18.75" hidden="1">
      <c r="A424" s="993"/>
      <c r="B424" s="883"/>
      <c r="C424" s="883"/>
      <c r="D424" s="1114"/>
      <c r="E424" s="884" t="s">
        <v>186</v>
      </c>
      <c r="F424" s="883"/>
      <c r="G424" s="994"/>
      <c r="H424" s="165" t="s">
        <v>12</v>
      </c>
      <c r="I424" s="886"/>
      <c r="J424" s="886"/>
      <c r="K424" s="887"/>
      <c r="L424" s="887">
        <f ca="1">IFERROR(__xludf.DUMMYFUNCTION("IMPORTRANGE(""https://docs.google.com/spreadsheets/d/1QqKyyYR6Q21VydFLVH3TRQUabQu_ym0Zz7PgGX0-kHA/edit?usp=sharing"",""แผน!EY86"")"),78660)</f>
        <v>78660</v>
      </c>
      <c r="M424" s="887">
        <f ca="1">L424</f>
        <v>78660</v>
      </c>
      <c r="N424" s="887">
        <f>N425+N426+N427+N428</f>
        <v>69670</v>
      </c>
      <c r="O424" s="887">
        <f t="shared" ca="1" si="185"/>
        <v>88.571065344520719</v>
      </c>
      <c r="P424" s="887">
        <f t="shared" ca="1" si="186"/>
        <v>88.571065344520719</v>
      </c>
      <c r="Q424" s="875"/>
      <c r="R424" s="875"/>
      <c r="S424" s="875"/>
      <c r="T424" s="875"/>
      <c r="U424" s="875"/>
      <c r="V424" s="875"/>
      <c r="W424" s="875"/>
      <c r="X424" s="875"/>
      <c r="Y424" s="875"/>
      <c r="Z424" s="875"/>
    </row>
    <row r="425" spans="1:26" ht="18.75">
      <c r="A425" s="1299"/>
      <c r="B425" s="1300"/>
      <c r="C425" s="1301"/>
      <c r="D425" s="1301"/>
      <c r="E425" s="1301"/>
      <c r="F425" s="1301" t="s">
        <v>187</v>
      </c>
      <c r="G425" s="1016"/>
      <c r="H425" s="161" t="s">
        <v>12</v>
      </c>
      <c r="I425" s="880"/>
      <c r="J425" s="880"/>
      <c r="K425" s="881"/>
      <c r="L425" s="881"/>
      <c r="M425" s="881"/>
      <c r="N425" s="1085">
        <v>48400</v>
      </c>
      <c r="O425" s="881"/>
      <c r="P425" s="881"/>
      <c r="Q425" s="1302"/>
      <c r="R425" s="1302"/>
      <c r="S425" s="1302"/>
      <c r="T425" s="1302"/>
      <c r="U425" s="1302"/>
      <c r="V425" s="1302"/>
      <c r="W425" s="1302"/>
      <c r="X425" s="1302"/>
      <c r="Y425" s="1302"/>
      <c r="Z425" s="1302"/>
    </row>
    <row r="426" spans="1:26" ht="18.75">
      <c r="A426" s="1299"/>
      <c r="B426" s="1300"/>
      <c r="C426" s="1301"/>
      <c r="D426" s="1301"/>
      <c r="E426" s="1301"/>
      <c r="F426" s="1301" t="s">
        <v>188</v>
      </c>
      <c r="G426" s="1016"/>
      <c r="H426" s="161" t="s">
        <v>12</v>
      </c>
      <c r="I426" s="880"/>
      <c r="J426" s="880"/>
      <c r="K426" s="881"/>
      <c r="L426" s="881"/>
      <c r="M426" s="881"/>
      <c r="N426" s="1085">
        <v>0</v>
      </c>
      <c r="O426" s="881"/>
      <c r="P426" s="881"/>
      <c r="Q426" s="1302"/>
      <c r="R426" s="1302"/>
      <c r="S426" s="1302"/>
      <c r="T426" s="1302"/>
      <c r="U426" s="1302"/>
      <c r="V426" s="1302"/>
      <c r="W426" s="1302"/>
      <c r="X426" s="1302"/>
      <c r="Y426" s="1302"/>
      <c r="Z426" s="1302"/>
    </row>
    <row r="427" spans="1:26" ht="18.75">
      <c r="A427" s="1299"/>
      <c r="B427" s="1300"/>
      <c r="C427" s="1301"/>
      <c r="D427" s="1301"/>
      <c r="E427" s="1301"/>
      <c r="F427" s="1301" t="s">
        <v>189</v>
      </c>
      <c r="G427" s="1016"/>
      <c r="H427" s="161" t="s">
        <v>12</v>
      </c>
      <c r="I427" s="880"/>
      <c r="J427" s="880"/>
      <c r="K427" s="881"/>
      <c r="L427" s="881"/>
      <c r="M427" s="881"/>
      <c r="N427" s="1085">
        <v>0</v>
      </c>
      <c r="O427" s="881"/>
      <c r="P427" s="881"/>
      <c r="Q427" s="1302"/>
      <c r="R427" s="1302"/>
      <c r="S427" s="1302"/>
      <c r="T427" s="1302"/>
      <c r="U427" s="1302"/>
      <c r="V427" s="1302"/>
      <c r="W427" s="1302"/>
      <c r="X427" s="1302"/>
      <c r="Y427" s="1302"/>
      <c r="Z427" s="1302"/>
    </row>
    <row r="428" spans="1:26" ht="18.75">
      <c r="A428" s="1086"/>
      <c r="B428" s="1084"/>
      <c r="C428" s="877"/>
      <c r="D428" s="877"/>
      <c r="E428" s="877"/>
      <c r="F428" s="996" t="s">
        <v>190</v>
      </c>
      <c r="G428" s="1030"/>
      <c r="H428" s="161" t="s">
        <v>12</v>
      </c>
      <c r="I428" s="880"/>
      <c r="J428" s="880"/>
      <c r="K428" s="881"/>
      <c r="L428" s="881"/>
      <c r="M428" s="881"/>
      <c r="N428" s="1085">
        <v>21270</v>
      </c>
      <c r="O428" s="881"/>
      <c r="P428" s="881"/>
      <c r="Q428" s="868"/>
      <c r="R428" s="868"/>
      <c r="S428" s="868"/>
      <c r="T428" s="868"/>
      <c r="U428" s="868"/>
      <c r="V428" s="868"/>
      <c r="W428" s="868"/>
      <c r="X428" s="868"/>
      <c r="Y428" s="868"/>
      <c r="Z428" s="868"/>
    </row>
    <row r="429" spans="1:26" ht="18.75">
      <c r="A429" s="995"/>
      <c r="B429" s="1084"/>
      <c r="C429" s="877"/>
      <c r="D429" s="878" t="s">
        <v>21</v>
      </c>
      <c r="E429" s="877"/>
      <c r="F429" s="877"/>
      <c r="G429" s="879"/>
      <c r="H429" s="168" t="s">
        <v>12</v>
      </c>
      <c r="I429" s="997"/>
      <c r="J429" s="997"/>
      <c r="K429" s="998"/>
      <c r="L429" s="881">
        <f t="shared" ref="L429:N429" ca="1" si="189">L430+L431</f>
        <v>0</v>
      </c>
      <c r="M429" s="881">
        <f t="shared" si="189"/>
        <v>0</v>
      </c>
      <c r="N429" s="881">
        <f t="shared" si="189"/>
        <v>0</v>
      </c>
      <c r="O429" s="881">
        <f t="shared" ref="O429:O431" ca="1" si="190">IF(L429&gt;0,N429*100/L429,0)</f>
        <v>0</v>
      </c>
      <c r="P429" s="881">
        <f t="shared" ref="P429:P431" si="191">IF(M429&gt;0,N429*100/M429,0)</f>
        <v>0</v>
      </c>
      <c r="Q429" s="868"/>
      <c r="R429" s="868"/>
      <c r="S429" s="868"/>
      <c r="T429" s="868"/>
      <c r="U429" s="868"/>
      <c r="V429" s="868"/>
      <c r="W429" s="868"/>
      <c r="X429" s="868"/>
      <c r="Y429" s="868"/>
      <c r="Z429" s="868"/>
    </row>
    <row r="430" spans="1:26" ht="18.75" hidden="1">
      <c r="A430" s="993"/>
      <c r="B430" s="1105"/>
      <c r="C430" s="883"/>
      <c r="D430" s="883"/>
      <c r="E430" s="884" t="s">
        <v>18</v>
      </c>
      <c r="F430" s="883"/>
      <c r="G430" s="885"/>
      <c r="H430" s="165" t="s">
        <v>12</v>
      </c>
      <c r="I430" s="1000"/>
      <c r="J430" s="1000"/>
      <c r="K430" s="1001"/>
      <c r="L430" s="887">
        <v>0</v>
      </c>
      <c r="M430" s="887">
        <v>0</v>
      </c>
      <c r="N430" s="887">
        <v>0</v>
      </c>
      <c r="O430" s="887">
        <f t="shared" si="190"/>
        <v>0</v>
      </c>
      <c r="P430" s="887">
        <f t="shared" si="191"/>
        <v>0</v>
      </c>
      <c r="Q430" s="875"/>
      <c r="R430" s="875"/>
      <c r="S430" s="875"/>
      <c r="T430" s="875"/>
      <c r="U430" s="875"/>
      <c r="V430" s="875"/>
      <c r="W430" s="875"/>
      <c r="X430" s="875"/>
      <c r="Y430" s="875"/>
      <c r="Z430" s="875"/>
    </row>
    <row r="431" spans="1:26" ht="18.75" hidden="1">
      <c r="A431" s="993"/>
      <c r="B431" s="1105"/>
      <c r="C431" s="883"/>
      <c r="D431" s="883"/>
      <c r="E431" s="884" t="s">
        <v>19</v>
      </c>
      <c r="F431" s="883"/>
      <c r="G431" s="885"/>
      <c r="H431" s="169" t="s">
        <v>12</v>
      </c>
      <c r="I431" s="1000"/>
      <c r="J431" s="1000"/>
      <c r="K431" s="1001"/>
      <c r="L431" s="887">
        <f ca="1">IFERROR(__xludf.DUMMYFUNCTION("IMPORTRANGE(""https://docs.google.com/spreadsheets/d/1QqKyyYR6Q21VydFLVH3TRQUabQu_ym0Zz7PgGX0-kHA/edit?usp=sharing"",""แผน!FB86"")"),0)</f>
        <v>0</v>
      </c>
      <c r="M431" s="887">
        <v>0</v>
      </c>
      <c r="N431" s="887">
        <v>0</v>
      </c>
      <c r="O431" s="887">
        <f t="shared" ca="1" si="190"/>
        <v>0</v>
      </c>
      <c r="P431" s="887">
        <f t="shared" si="191"/>
        <v>0</v>
      </c>
      <c r="Q431" s="875"/>
      <c r="R431" s="875"/>
      <c r="S431" s="875"/>
      <c r="T431" s="875"/>
      <c r="U431" s="875"/>
      <c r="V431" s="875"/>
      <c r="W431" s="875"/>
      <c r="X431" s="875"/>
      <c r="Y431" s="875"/>
      <c r="Z431" s="875"/>
    </row>
    <row r="432" spans="1:26" ht="19.5">
      <c r="A432" s="1165"/>
      <c r="B432" s="1166"/>
      <c r="C432" s="986" t="s">
        <v>16</v>
      </c>
      <c r="D432" s="1303" t="s">
        <v>38</v>
      </c>
      <c r="E432" s="1304"/>
      <c r="F432" s="1304"/>
      <c r="G432" s="1305"/>
      <c r="H432" s="1306"/>
      <c r="I432" s="990"/>
      <c r="J432" s="990"/>
      <c r="K432" s="991"/>
      <c r="L432" s="991"/>
      <c r="M432" s="991"/>
      <c r="N432" s="991"/>
      <c r="O432" s="991"/>
      <c r="P432" s="991"/>
      <c r="Q432" s="868"/>
      <c r="R432" s="868"/>
      <c r="S432" s="868"/>
      <c r="T432" s="868"/>
      <c r="U432" s="868"/>
      <c r="V432" s="868"/>
      <c r="W432" s="868"/>
      <c r="X432" s="868"/>
      <c r="Y432" s="868"/>
      <c r="Z432" s="868"/>
    </row>
    <row r="433" spans="1:26" ht="19.5">
      <c r="A433" s="1002"/>
      <c r="B433" s="1003"/>
      <c r="C433" s="1003"/>
      <c r="D433" s="1013" t="s">
        <v>191</v>
      </c>
      <c r="E433" s="1010"/>
      <c r="F433" s="1010"/>
      <c r="G433" s="1011"/>
      <c r="H433" s="196" t="s">
        <v>35</v>
      </c>
      <c r="I433" s="1019">
        <f ca="1">I435</f>
        <v>20</v>
      </c>
      <c r="J433" s="1019">
        <f ca="1">IF(AND(J435=I435,J437=I437,J439=I439),I437+I439,IF(AND(J435=I437,J437=I437),I437,IF(AND(J435=I439,J439=I439),I439,0)))</f>
        <v>20</v>
      </c>
      <c r="K433" s="1020">
        <f t="shared" ref="K433:K435" ca="1" si="192">IF(I433&gt;0,J433*100/I433,0)</f>
        <v>100</v>
      </c>
      <c r="L433" s="881"/>
      <c r="M433" s="881"/>
      <c r="N433" s="881"/>
      <c r="O433" s="881"/>
      <c r="P433" s="881"/>
      <c r="Q433" s="868"/>
      <c r="R433" s="868"/>
      <c r="S433" s="868"/>
      <c r="T433" s="868"/>
      <c r="U433" s="868"/>
      <c r="V433" s="868"/>
      <c r="W433" s="868"/>
      <c r="X433" s="868"/>
      <c r="Y433" s="868"/>
      <c r="Z433" s="868"/>
    </row>
    <row r="434" spans="1:26" ht="19.5">
      <c r="A434" s="1002"/>
      <c r="B434" s="1003"/>
      <c r="C434" s="1003"/>
      <c r="D434" s="1013" t="s">
        <v>192</v>
      </c>
      <c r="E434" s="1010"/>
      <c r="F434" s="1010"/>
      <c r="G434" s="1011"/>
      <c r="H434" s="196" t="s">
        <v>49</v>
      </c>
      <c r="I434" s="1019">
        <f t="shared" ref="I434:J434" ca="1" si="193">I438+I440</f>
        <v>1</v>
      </c>
      <c r="J434" s="1019">
        <f t="shared" si="193"/>
        <v>0</v>
      </c>
      <c r="K434" s="1020">
        <f t="shared" ca="1" si="192"/>
        <v>0</v>
      </c>
      <c r="L434" s="881"/>
      <c r="M434" s="881"/>
      <c r="N434" s="881"/>
      <c r="O434" s="881"/>
      <c r="P434" s="881"/>
      <c r="Q434" s="868"/>
      <c r="R434" s="868"/>
      <c r="S434" s="868"/>
      <c r="T434" s="868"/>
      <c r="U434" s="868"/>
      <c r="V434" s="868"/>
      <c r="W434" s="868"/>
      <c r="X434" s="868"/>
      <c r="Y434" s="868"/>
      <c r="Z434" s="868"/>
    </row>
    <row r="435" spans="1:26" ht="18.75">
      <c r="A435" s="1002"/>
      <c r="B435" s="1003"/>
      <c r="C435" s="1003"/>
      <c r="D435" s="1009" t="s">
        <v>193</v>
      </c>
      <c r="E435" s="1010"/>
      <c r="F435" s="1010"/>
      <c r="G435" s="1011"/>
      <c r="H435" s="622" t="s">
        <v>35</v>
      </c>
      <c r="I435" s="582">
        <f ca="1">IFERROR(__xludf.DUMMYFUNCTION("IMPORTRANGE(""https://docs.google.com/spreadsheets/d/1QqKyyYR6Q21VydFLVH3TRQUabQu_ym0Zz7PgGX0-kHA/edit?usp=sharing"",""แผน!FC86"")"),20)</f>
        <v>20</v>
      </c>
      <c r="J435" s="583">
        <v>20</v>
      </c>
      <c r="K435" s="881">
        <f t="shared" ca="1" si="192"/>
        <v>100</v>
      </c>
      <c r="L435" s="881"/>
      <c r="M435" s="881"/>
      <c r="N435" s="881"/>
      <c r="O435" s="881"/>
      <c r="P435" s="881"/>
      <c r="Q435" s="868"/>
      <c r="R435" s="868"/>
      <c r="S435" s="868"/>
      <c r="T435" s="868"/>
      <c r="U435" s="868"/>
      <c r="V435" s="868"/>
      <c r="W435" s="868"/>
      <c r="X435" s="868"/>
      <c r="Y435" s="868"/>
      <c r="Z435" s="868"/>
    </row>
    <row r="436" spans="1:26" ht="18.75">
      <c r="A436" s="1002"/>
      <c r="B436" s="1003"/>
      <c r="C436" s="1003"/>
      <c r="D436" s="1009" t="s">
        <v>194</v>
      </c>
      <c r="E436" s="1010"/>
      <c r="F436" s="1010"/>
      <c r="G436" s="1011"/>
      <c r="H436" s="622"/>
      <c r="I436" s="880"/>
      <c r="J436" s="880"/>
      <c r="K436" s="881"/>
      <c r="L436" s="881"/>
      <c r="M436" s="881"/>
      <c r="N436" s="881"/>
      <c r="O436" s="881"/>
      <c r="P436" s="881"/>
      <c r="Q436" s="868"/>
      <c r="R436" s="868"/>
      <c r="S436" s="868"/>
      <c r="T436" s="868"/>
      <c r="U436" s="868"/>
      <c r="V436" s="868"/>
      <c r="W436" s="868"/>
      <c r="X436" s="868"/>
      <c r="Y436" s="868"/>
      <c r="Z436" s="868"/>
    </row>
    <row r="437" spans="1:26" ht="18.75">
      <c r="A437" s="1002"/>
      <c r="B437" s="1003"/>
      <c r="C437" s="1003"/>
      <c r="D437" s="1009" t="s">
        <v>195</v>
      </c>
      <c r="E437" s="1010"/>
      <c r="F437" s="1010"/>
      <c r="G437" s="1011"/>
      <c r="H437" s="622" t="s">
        <v>35</v>
      </c>
      <c r="I437" s="582">
        <f ca="1">IFERROR(__xludf.DUMMYFUNCTION("IMPORTRANGE(""https://docs.google.com/spreadsheets/d/1QqKyyYR6Q21VydFLVH3TRQUabQu_ym0Zz7PgGX0-kHA/edit?usp=sharing"",""แผน!FD86"")"),0)</f>
        <v>0</v>
      </c>
      <c r="J437" s="583">
        <v>0</v>
      </c>
      <c r="K437" s="881">
        <f t="shared" ref="K437:K443" ca="1" si="194">IF(I437&gt;0,J437*100/I437,0)</f>
        <v>0</v>
      </c>
      <c r="L437" s="881"/>
      <c r="M437" s="881"/>
      <c r="N437" s="881"/>
      <c r="O437" s="881"/>
      <c r="P437" s="881"/>
      <c r="Q437" s="868"/>
      <c r="R437" s="868"/>
      <c r="S437" s="868"/>
      <c r="T437" s="868"/>
      <c r="U437" s="868"/>
      <c r="V437" s="868"/>
      <c r="W437" s="868"/>
      <c r="X437" s="868"/>
      <c r="Y437" s="868"/>
      <c r="Z437" s="868"/>
    </row>
    <row r="438" spans="1:26" ht="18.75">
      <c r="A438" s="1002"/>
      <c r="B438" s="1003"/>
      <c r="C438" s="1003"/>
      <c r="D438" s="1009" t="s">
        <v>196</v>
      </c>
      <c r="E438" s="1010"/>
      <c r="F438" s="1010"/>
      <c r="G438" s="1011"/>
      <c r="H438" s="622" t="s">
        <v>49</v>
      </c>
      <c r="I438" s="880">
        <f ca="1">IFERROR(__xludf.DUMMYFUNCTION("IMPORTRANGE(""https://docs.google.com/spreadsheets/d/1QqKyyYR6Q21VydFLVH3TRQUabQu_ym0Zz7PgGX0-kHA/edit?usp=sharing"",""แผน!FE86"")"),0)</f>
        <v>0</v>
      </c>
      <c r="J438" s="1012">
        <v>0</v>
      </c>
      <c r="K438" s="881">
        <f t="shared" ca="1" si="194"/>
        <v>0</v>
      </c>
      <c r="L438" s="881"/>
      <c r="M438" s="881"/>
      <c r="N438" s="881"/>
      <c r="O438" s="881"/>
      <c r="P438" s="881"/>
      <c r="Q438" s="868"/>
      <c r="R438" s="868"/>
      <c r="S438" s="868"/>
      <c r="T438" s="868"/>
      <c r="U438" s="868"/>
      <c r="V438" s="868"/>
      <c r="W438" s="868"/>
      <c r="X438" s="868"/>
      <c r="Y438" s="868"/>
      <c r="Z438" s="868"/>
    </row>
    <row r="439" spans="1:26" ht="18.75">
      <c r="A439" s="1002"/>
      <c r="B439" s="1003"/>
      <c r="C439" s="1003"/>
      <c r="D439" s="1009" t="s">
        <v>197</v>
      </c>
      <c r="E439" s="1010"/>
      <c r="F439" s="1010"/>
      <c r="G439" s="1011"/>
      <c r="H439" s="622" t="s">
        <v>35</v>
      </c>
      <c r="I439" s="582">
        <f ca="1">IFERROR(__xludf.DUMMYFUNCTION("IMPORTRANGE(""https://docs.google.com/spreadsheets/d/1QqKyyYR6Q21VydFLVH3TRQUabQu_ym0Zz7PgGX0-kHA/edit?usp=sharing"",""แผน!FF86"")"),20)</f>
        <v>20</v>
      </c>
      <c r="J439" s="583">
        <v>20</v>
      </c>
      <c r="K439" s="881">
        <f t="shared" ca="1" si="194"/>
        <v>100</v>
      </c>
      <c r="L439" s="881"/>
      <c r="M439" s="881"/>
      <c r="N439" s="881"/>
      <c r="O439" s="881"/>
      <c r="P439" s="881"/>
      <c r="Q439" s="868"/>
      <c r="R439" s="868"/>
      <c r="S439" s="868"/>
      <c r="T439" s="868"/>
      <c r="U439" s="868"/>
      <c r="V439" s="868"/>
      <c r="W439" s="868"/>
      <c r="X439" s="868"/>
      <c r="Y439" s="868"/>
      <c r="Z439" s="868"/>
    </row>
    <row r="440" spans="1:26" ht="18.75">
      <c r="A440" s="1002"/>
      <c r="B440" s="1003"/>
      <c r="C440" s="1003"/>
      <c r="D440" s="1009" t="s">
        <v>198</v>
      </c>
      <c r="E440" s="1010"/>
      <c r="F440" s="1010"/>
      <c r="G440" s="1011"/>
      <c r="H440" s="622" t="s">
        <v>49</v>
      </c>
      <c r="I440" s="880">
        <f ca="1">IFERROR(__xludf.DUMMYFUNCTION("IMPORTRANGE(""https://docs.google.com/spreadsheets/d/1QqKyyYR6Q21VydFLVH3TRQUabQu_ym0Zz7PgGX0-kHA/edit?usp=sharing"",""แผน!FG86"")"),1)</f>
        <v>1</v>
      </c>
      <c r="J440" s="1012">
        <v>0</v>
      </c>
      <c r="K440" s="881">
        <f t="shared" ca="1" si="194"/>
        <v>0</v>
      </c>
      <c r="L440" s="881"/>
      <c r="M440" s="881"/>
      <c r="N440" s="881"/>
      <c r="O440" s="881"/>
      <c r="P440" s="881"/>
      <c r="Q440" s="868"/>
      <c r="R440" s="868"/>
      <c r="S440" s="868"/>
      <c r="T440" s="868"/>
      <c r="U440" s="868"/>
      <c r="V440" s="868"/>
      <c r="W440" s="868"/>
      <c r="X440" s="868"/>
      <c r="Y440" s="868"/>
      <c r="Z440" s="868"/>
    </row>
    <row r="441" spans="1:26" ht="18.75">
      <c r="A441" s="1002"/>
      <c r="B441" s="1003"/>
      <c r="C441" s="1003"/>
      <c r="D441" s="1009" t="s">
        <v>199</v>
      </c>
      <c r="E441" s="1010"/>
      <c r="F441" s="1010"/>
      <c r="G441" s="1011"/>
      <c r="H441" s="622" t="s">
        <v>35</v>
      </c>
      <c r="I441" s="880">
        <f ca="1">IFERROR(__xludf.DUMMYFUNCTION("IMPORTRANGE(""https://docs.google.com/spreadsheets/d/1QqKyyYR6Q21VydFLVH3TRQUabQu_ym0Zz7PgGX0-kHA/edit?usp=sharing"",""แผน!FH86"")"),0)</f>
        <v>0</v>
      </c>
      <c r="J441" s="880">
        <v>0</v>
      </c>
      <c r="K441" s="881">
        <f t="shared" ca="1" si="194"/>
        <v>0</v>
      </c>
      <c r="L441" s="881"/>
      <c r="M441" s="881"/>
      <c r="N441" s="881"/>
      <c r="O441" s="881"/>
      <c r="P441" s="881"/>
      <c r="Q441" s="868"/>
      <c r="R441" s="868"/>
      <c r="S441" s="868"/>
      <c r="T441" s="868"/>
      <c r="U441" s="868"/>
      <c r="V441" s="868"/>
      <c r="W441" s="868"/>
      <c r="X441" s="868"/>
      <c r="Y441" s="868"/>
      <c r="Z441" s="868"/>
    </row>
    <row r="442" spans="1:26" ht="19.5">
      <c r="A442" s="584">
        <v>2</v>
      </c>
      <c r="B442" s="1307" t="s">
        <v>200</v>
      </c>
      <c r="C442" s="1308"/>
      <c r="D442" s="1308"/>
      <c r="E442" s="1308"/>
      <c r="F442" s="1308"/>
      <c r="G442" s="1309"/>
      <c r="H442" s="588" t="s">
        <v>35</v>
      </c>
      <c r="I442" s="1310">
        <f t="shared" ref="I442:J442" ca="1" si="195">I460</f>
        <v>60</v>
      </c>
      <c r="J442" s="1310">
        <f t="shared" si="195"/>
        <v>60</v>
      </c>
      <c r="K442" s="1311">
        <f t="shared" ca="1" si="194"/>
        <v>100</v>
      </c>
      <c r="L442" s="1312"/>
      <c r="M442" s="1312"/>
      <c r="N442" s="1312"/>
      <c r="O442" s="1312"/>
      <c r="P442" s="1312"/>
      <c r="Q442" s="1302"/>
      <c r="R442" s="1302"/>
      <c r="S442" s="1302"/>
      <c r="T442" s="1302"/>
      <c r="U442" s="1302"/>
      <c r="V442" s="1302"/>
      <c r="W442" s="1302"/>
      <c r="X442" s="1302"/>
      <c r="Y442" s="1302"/>
      <c r="Z442" s="1302"/>
    </row>
    <row r="443" spans="1:26" ht="19.5">
      <c r="A443" s="1313"/>
      <c r="B443" s="1314"/>
      <c r="C443" s="1315"/>
      <c r="D443" s="1315"/>
      <c r="E443" s="1315"/>
      <c r="F443" s="1315"/>
      <c r="G443" s="1316"/>
      <c r="H443" s="568" t="s">
        <v>46</v>
      </c>
      <c r="I443" s="1294">
        <f t="shared" ref="I443:J443" ca="1" si="196">I462</f>
        <v>280</v>
      </c>
      <c r="J443" s="1294">
        <f t="shared" si="196"/>
        <v>280</v>
      </c>
      <c r="K443" s="1295">
        <f t="shared" ca="1" si="194"/>
        <v>100</v>
      </c>
      <c r="L443" s="1296"/>
      <c r="M443" s="1296"/>
      <c r="N443" s="1296"/>
      <c r="O443" s="1296"/>
      <c r="P443" s="1296"/>
      <c r="Q443" s="1302"/>
      <c r="R443" s="1302"/>
      <c r="S443" s="1302"/>
      <c r="T443" s="1302"/>
      <c r="U443" s="1302"/>
      <c r="V443" s="1302"/>
      <c r="W443" s="1302"/>
      <c r="X443" s="1302"/>
      <c r="Y443" s="1302"/>
      <c r="Z443" s="1302"/>
    </row>
    <row r="444" spans="1:26" ht="19.5">
      <c r="A444" s="1317"/>
      <c r="B444" s="1301"/>
      <c r="C444" s="1301" t="s">
        <v>16</v>
      </c>
      <c r="D444" s="1318" t="s">
        <v>17</v>
      </c>
      <c r="E444" s="841"/>
      <c r="F444" s="841"/>
      <c r="G444" s="1016"/>
      <c r="H444" s="597" t="s">
        <v>12</v>
      </c>
      <c r="I444" s="880"/>
      <c r="J444" s="880"/>
      <c r="K444" s="881"/>
      <c r="L444" s="1020">
        <f t="shared" ref="L444:N444" ca="1" si="197">L445+L446</f>
        <v>555600</v>
      </c>
      <c r="M444" s="1020">
        <f t="shared" ca="1" si="197"/>
        <v>555600</v>
      </c>
      <c r="N444" s="1020">
        <f t="shared" si="197"/>
        <v>166300</v>
      </c>
      <c r="O444" s="1020">
        <f t="shared" ref="O444:O449" ca="1" si="198">IF(L444&gt;0,N444*100/L444,0)</f>
        <v>29.931605471562275</v>
      </c>
      <c r="P444" s="1020">
        <f t="shared" ref="P444:P449" ca="1" si="199">IF(M444&gt;0,N444*100/M444,0)</f>
        <v>29.931605471562275</v>
      </c>
      <c r="Q444" s="1302"/>
      <c r="R444" s="1302"/>
      <c r="S444" s="1302"/>
      <c r="T444" s="1302"/>
      <c r="U444" s="1302"/>
      <c r="V444" s="1302"/>
      <c r="W444" s="1302"/>
      <c r="X444" s="1302"/>
      <c r="Y444" s="1302"/>
      <c r="Z444" s="1302"/>
    </row>
    <row r="445" spans="1:26" ht="18.75" hidden="1">
      <c r="A445" s="1319"/>
      <c r="B445" s="1320"/>
      <c r="C445" s="1320"/>
      <c r="D445" s="1321"/>
      <c r="E445" s="1320" t="s">
        <v>185</v>
      </c>
      <c r="F445" s="1320"/>
      <c r="G445" s="1322"/>
      <c r="H445" s="165" t="s">
        <v>12</v>
      </c>
      <c r="I445" s="886"/>
      <c r="J445" s="886"/>
      <c r="K445" s="887"/>
      <c r="L445" s="887">
        <f t="shared" ref="L445:N446" si="200">L448+L455</f>
        <v>0</v>
      </c>
      <c r="M445" s="887">
        <f t="shared" si="200"/>
        <v>0</v>
      </c>
      <c r="N445" s="887">
        <f t="shared" si="200"/>
        <v>0</v>
      </c>
      <c r="O445" s="887">
        <f t="shared" si="198"/>
        <v>0</v>
      </c>
      <c r="P445" s="887">
        <f t="shared" si="199"/>
        <v>0</v>
      </c>
      <c r="Q445" s="1323"/>
      <c r="R445" s="1323"/>
      <c r="S445" s="1323"/>
      <c r="T445" s="1323"/>
      <c r="U445" s="1323"/>
      <c r="V445" s="1323"/>
      <c r="W445" s="1323"/>
      <c r="X445" s="1323"/>
      <c r="Y445" s="1323"/>
      <c r="Z445" s="1323"/>
    </row>
    <row r="446" spans="1:26" ht="18.75" hidden="1">
      <c r="A446" s="1319"/>
      <c r="B446" s="1324"/>
      <c r="C446" s="1320"/>
      <c r="D446" s="1321"/>
      <c r="E446" s="1320" t="s">
        <v>186</v>
      </c>
      <c r="F446" s="1320"/>
      <c r="G446" s="1322"/>
      <c r="H446" s="165" t="s">
        <v>12</v>
      </c>
      <c r="I446" s="886"/>
      <c r="J446" s="886"/>
      <c r="K446" s="887"/>
      <c r="L446" s="887">
        <f t="shared" ca="1" si="200"/>
        <v>555600</v>
      </c>
      <c r="M446" s="887">
        <f t="shared" ca="1" si="200"/>
        <v>555600</v>
      </c>
      <c r="N446" s="887">
        <f t="shared" si="200"/>
        <v>166300</v>
      </c>
      <c r="O446" s="887">
        <f t="shared" ca="1" si="198"/>
        <v>29.931605471562275</v>
      </c>
      <c r="P446" s="887">
        <f t="shared" ca="1" si="199"/>
        <v>29.931605471562275</v>
      </c>
      <c r="Q446" s="1323"/>
      <c r="R446" s="1323"/>
      <c r="S446" s="1323"/>
      <c r="T446" s="1323"/>
      <c r="U446" s="1323"/>
      <c r="V446" s="1323"/>
      <c r="W446" s="1323"/>
      <c r="X446" s="1323"/>
      <c r="Y446" s="1323"/>
      <c r="Z446" s="1323"/>
    </row>
    <row r="447" spans="1:26" ht="18.75">
      <c r="A447" s="1317"/>
      <c r="B447" s="1300"/>
      <c r="C447" s="1301"/>
      <c r="D447" s="1325" t="s">
        <v>20</v>
      </c>
      <c r="E447" s="1301"/>
      <c r="F447" s="1301"/>
      <c r="G447" s="1016"/>
      <c r="H447" s="161" t="s">
        <v>12</v>
      </c>
      <c r="I447" s="997"/>
      <c r="J447" s="997"/>
      <c r="K447" s="998"/>
      <c r="L447" s="881">
        <f t="shared" ref="L447:N447" ca="1" si="201">L448+L449</f>
        <v>555600</v>
      </c>
      <c r="M447" s="881">
        <f t="shared" ca="1" si="201"/>
        <v>555600</v>
      </c>
      <c r="N447" s="881">
        <f t="shared" si="201"/>
        <v>166300</v>
      </c>
      <c r="O447" s="881">
        <f t="shared" ca="1" si="198"/>
        <v>29.931605471562275</v>
      </c>
      <c r="P447" s="881">
        <f t="shared" ca="1" si="199"/>
        <v>29.931605471562275</v>
      </c>
      <c r="Q447" s="1302"/>
      <c r="R447" s="1302"/>
      <c r="S447" s="1302"/>
      <c r="T447" s="1302"/>
      <c r="U447" s="1302"/>
      <c r="V447" s="1302"/>
      <c r="W447" s="1302"/>
      <c r="X447" s="1302"/>
      <c r="Y447" s="1302"/>
      <c r="Z447" s="1302"/>
    </row>
    <row r="448" spans="1:26" ht="18.75" hidden="1">
      <c r="A448" s="1319"/>
      <c r="B448" s="1324"/>
      <c r="C448" s="1320"/>
      <c r="D448" s="1321"/>
      <c r="E448" s="1320" t="s">
        <v>185</v>
      </c>
      <c r="F448" s="1320"/>
      <c r="G448" s="1322"/>
      <c r="H448" s="165" t="s">
        <v>12</v>
      </c>
      <c r="I448" s="886"/>
      <c r="J448" s="886"/>
      <c r="K448" s="887"/>
      <c r="L448" s="887">
        <v>0</v>
      </c>
      <c r="M448" s="887">
        <v>0</v>
      </c>
      <c r="N448" s="887">
        <v>0</v>
      </c>
      <c r="O448" s="887">
        <f t="shared" si="198"/>
        <v>0</v>
      </c>
      <c r="P448" s="887">
        <f t="shared" si="199"/>
        <v>0</v>
      </c>
      <c r="Q448" s="1323"/>
      <c r="R448" s="1323"/>
      <c r="S448" s="1323"/>
      <c r="T448" s="1323"/>
      <c r="U448" s="1323"/>
      <c r="V448" s="1323"/>
      <c r="W448" s="1323"/>
      <c r="X448" s="1323"/>
      <c r="Y448" s="1323"/>
      <c r="Z448" s="1323"/>
    </row>
    <row r="449" spans="1:26" ht="18.75" hidden="1">
      <c r="A449" s="1319"/>
      <c r="B449" s="1324"/>
      <c r="C449" s="1320"/>
      <c r="D449" s="1321"/>
      <c r="E449" s="1320" t="s">
        <v>186</v>
      </c>
      <c r="F449" s="1320"/>
      <c r="G449" s="1322"/>
      <c r="H449" s="165" t="s">
        <v>12</v>
      </c>
      <c r="I449" s="886"/>
      <c r="J449" s="886"/>
      <c r="K449" s="887"/>
      <c r="L449" s="887">
        <f ca="1">IFERROR(__xludf.DUMMYFUNCTION("IMPORTRANGE(""https://docs.google.com/spreadsheets/d/1QqKyyYR6Q21VydFLVH3TRQUabQu_ym0Zz7PgGX0-kHA/edit?usp=sharing"",""แผน!FJ86"")"),555600)</f>
        <v>555600</v>
      </c>
      <c r="M449" s="887">
        <f ca="1">L449</f>
        <v>555600</v>
      </c>
      <c r="N449" s="887">
        <f>N450+N451+N452+N453</f>
        <v>166300</v>
      </c>
      <c r="O449" s="887">
        <f t="shared" ca="1" si="198"/>
        <v>29.931605471562275</v>
      </c>
      <c r="P449" s="887">
        <f t="shared" ca="1" si="199"/>
        <v>29.931605471562275</v>
      </c>
      <c r="Q449" s="1323"/>
      <c r="R449" s="1323"/>
      <c r="S449" s="1323"/>
      <c r="T449" s="1323"/>
      <c r="U449" s="1323"/>
      <c r="V449" s="1323"/>
      <c r="W449" s="1323"/>
      <c r="X449" s="1323"/>
      <c r="Y449" s="1323"/>
      <c r="Z449" s="1323"/>
    </row>
    <row r="450" spans="1:26" ht="18.75">
      <c r="A450" s="1299"/>
      <c r="B450" s="1300"/>
      <c r="C450" s="1301"/>
      <c r="D450" s="1301"/>
      <c r="E450" s="1301"/>
      <c r="F450" s="1301" t="s">
        <v>187</v>
      </c>
      <c r="G450" s="1016"/>
      <c r="H450" s="161" t="s">
        <v>12</v>
      </c>
      <c r="I450" s="880"/>
      <c r="J450" s="880"/>
      <c r="K450" s="881"/>
      <c r="L450" s="881"/>
      <c r="M450" s="881"/>
      <c r="N450" s="1085">
        <v>79200</v>
      </c>
      <c r="O450" s="881"/>
      <c r="P450" s="881"/>
      <c r="Q450" s="1302"/>
      <c r="R450" s="1302"/>
      <c r="S450" s="1302"/>
      <c r="T450" s="1302"/>
      <c r="U450" s="1302"/>
      <c r="V450" s="1302"/>
      <c r="W450" s="1302"/>
      <c r="X450" s="1302"/>
      <c r="Y450" s="1302"/>
      <c r="Z450" s="1302"/>
    </row>
    <row r="451" spans="1:26" ht="18.75">
      <c r="A451" s="1299"/>
      <c r="B451" s="1300"/>
      <c r="C451" s="1301"/>
      <c r="D451" s="1301"/>
      <c r="E451" s="1301"/>
      <c r="F451" s="1301" t="s">
        <v>188</v>
      </c>
      <c r="G451" s="1016"/>
      <c r="H451" s="161" t="s">
        <v>12</v>
      </c>
      <c r="I451" s="880"/>
      <c r="J451" s="880"/>
      <c r="K451" s="881"/>
      <c r="L451" s="881"/>
      <c r="M451" s="881"/>
      <c r="N451" s="1085">
        <v>0</v>
      </c>
      <c r="O451" s="881"/>
      <c r="P451" s="881"/>
      <c r="Q451" s="1302"/>
      <c r="R451" s="1302"/>
      <c r="S451" s="1302"/>
      <c r="T451" s="1302"/>
      <c r="U451" s="1302"/>
      <c r="V451" s="1302"/>
      <c r="W451" s="1302"/>
      <c r="X451" s="1302"/>
      <c r="Y451" s="1302"/>
      <c r="Z451" s="1302"/>
    </row>
    <row r="452" spans="1:26" ht="18.75">
      <c r="A452" s="1299"/>
      <c r="B452" s="1300"/>
      <c r="C452" s="1300"/>
      <c r="D452" s="1300"/>
      <c r="E452" s="1300"/>
      <c r="F452" s="1301" t="s">
        <v>189</v>
      </c>
      <c r="G452" s="1016"/>
      <c r="H452" s="161" t="s">
        <v>12</v>
      </c>
      <c r="I452" s="880"/>
      <c r="J452" s="880"/>
      <c r="K452" s="881"/>
      <c r="L452" s="881"/>
      <c r="M452" s="881"/>
      <c r="N452" s="1085">
        <v>65000</v>
      </c>
      <c r="O452" s="881"/>
      <c r="P452" s="881"/>
      <c r="Q452" s="1302"/>
      <c r="R452" s="1302"/>
      <c r="S452" s="1302"/>
      <c r="T452" s="1302"/>
      <c r="U452" s="1302"/>
      <c r="V452" s="1302"/>
      <c r="W452" s="1302"/>
      <c r="X452" s="1302"/>
      <c r="Y452" s="1302"/>
      <c r="Z452" s="1302"/>
    </row>
    <row r="453" spans="1:26" ht="18.75">
      <c r="A453" s="1299"/>
      <c r="B453" s="1300"/>
      <c r="C453" s="1300"/>
      <c r="D453" s="1300"/>
      <c r="E453" s="1300"/>
      <c r="F453" s="1301" t="s">
        <v>190</v>
      </c>
      <c r="G453" s="1016"/>
      <c r="H453" s="161" t="s">
        <v>12</v>
      </c>
      <c r="I453" s="880"/>
      <c r="J453" s="880"/>
      <c r="K453" s="881"/>
      <c r="L453" s="881"/>
      <c r="M453" s="881"/>
      <c r="N453" s="1085">
        <v>22100</v>
      </c>
      <c r="O453" s="881"/>
      <c r="P453" s="881"/>
      <c r="Q453" s="1302"/>
      <c r="R453" s="1302"/>
      <c r="S453" s="1302"/>
      <c r="T453" s="1302"/>
      <c r="U453" s="1302"/>
      <c r="V453" s="1302"/>
      <c r="W453" s="1302"/>
      <c r="X453" s="1302"/>
      <c r="Y453" s="1302"/>
      <c r="Z453" s="1302"/>
    </row>
    <row r="454" spans="1:26" ht="18.75">
      <c r="A454" s="1317"/>
      <c r="B454" s="1300"/>
      <c r="C454" s="1300"/>
      <c r="D454" s="1325" t="s">
        <v>21</v>
      </c>
      <c r="E454" s="1300"/>
      <c r="F454" s="1301"/>
      <c r="G454" s="1016"/>
      <c r="H454" s="168" t="s">
        <v>12</v>
      </c>
      <c r="I454" s="997"/>
      <c r="J454" s="997"/>
      <c r="K454" s="998"/>
      <c r="L454" s="881">
        <f t="shared" ref="L454:N454" ca="1" si="202">L455+L456</f>
        <v>0</v>
      </c>
      <c r="M454" s="881">
        <f t="shared" si="202"/>
        <v>0</v>
      </c>
      <c r="N454" s="881">
        <f t="shared" si="202"/>
        <v>0</v>
      </c>
      <c r="O454" s="881">
        <f t="shared" ref="O454:O456" ca="1" si="203">IF(L454&gt;0,N454*100/L454,0)</f>
        <v>0</v>
      </c>
      <c r="P454" s="881">
        <f t="shared" ref="P454:P456" si="204">IF(M454&gt;0,N454*100/M454,0)</f>
        <v>0</v>
      </c>
      <c r="Q454" s="1302"/>
      <c r="R454" s="1302"/>
      <c r="S454" s="1302"/>
      <c r="T454" s="1302"/>
      <c r="U454" s="1302"/>
      <c r="V454" s="1302"/>
      <c r="W454" s="1302"/>
      <c r="X454" s="1302"/>
      <c r="Y454" s="1302"/>
      <c r="Z454" s="1302"/>
    </row>
    <row r="455" spans="1:26" ht="18.75" hidden="1">
      <c r="A455" s="1319"/>
      <c r="B455" s="1324"/>
      <c r="C455" s="1324"/>
      <c r="D455" s="1324"/>
      <c r="E455" s="1324" t="s">
        <v>18</v>
      </c>
      <c r="F455" s="1320"/>
      <c r="G455" s="1322"/>
      <c r="H455" s="165" t="s">
        <v>12</v>
      </c>
      <c r="I455" s="1000"/>
      <c r="J455" s="1000"/>
      <c r="K455" s="1001"/>
      <c r="L455" s="887">
        <v>0</v>
      </c>
      <c r="M455" s="887">
        <v>0</v>
      </c>
      <c r="N455" s="887">
        <v>0</v>
      </c>
      <c r="O455" s="887">
        <f t="shared" si="203"/>
        <v>0</v>
      </c>
      <c r="P455" s="887">
        <f t="shared" si="204"/>
        <v>0</v>
      </c>
      <c r="Q455" s="1323"/>
      <c r="R455" s="1323"/>
      <c r="S455" s="1323"/>
      <c r="T455" s="1323"/>
      <c r="U455" s="1323"/>
      <c r="V455" s="1323"/>
      <c r="W455" s="1323"/>
      <c r="X455" s="1323"/>
      <c r="Y455" s="1323"/>
      <c r="Z455" s="1323"/>
    </row>
    <row r="456" spans="1:26" ht="18.75" hidden="1">
      <c r="A456" s="1319"/>
      <c r="B456" s="1324"/>
      <c r="C456" s="1324"/>
      <c r="D456" s="1324"/>
      <c r="E456" s="1324" t="s">
        <v>19</v>
      </c>
      <c r="F456" s="1320"/>
      <c r="G456" s="1322"/>
      <c r="H456" s="169" t="s">
        <v>12</v>
      </c>
      <c r="I456" s="1000"/>
      <c r="J456" s="1000"/>
      <c r="K456" s="1001"/>
      <c r="L456" s="887">
        <f ca="1">IFERROR(__xludf.DUMMYFUNCTION("IMPORTRANGE(""https://docs.google.com/spreadsheets/d/1QqKyyYR6Q21VydFLVH3TRQUabQu_ym0Zz7PgGX0-kHA/edit?usp=sharing"",""แผน!FM86"")"),0)</f>
        <v>0</v>
      </c>
      <c r="M456" s="887">
        <v>0</v>
      </c>
      <c r="N456" s="887">
        <v>0</v>
      </c>
      <c r="O456" s="887">
        <f t="shared" ca="1" si="203"/>
        <v>0</v>
      </c>
      <c r="P456" s="887">
        <f t="shared" si="204"/>
        <v>0</v>
      </c>
      <c r="Q456" s="1323"/>
      <c r="R456" s="1323"/>
      <c r="S456" s="1323"/>
      <c r="T456" s="1323"/>
      <c r="U456" s="1323"/>
      <c r="V456" s="1323"/>
      <c r="W456" s="1323"/>
      <c r="X456" s="1323"/>
      <c r="Y456" s="1323"/>
      <c r="Z456" s="1323"/>
    </row>
    <row r="457" spans="1:26" ht="19.5">
      <c r="A457" s="1326"/>
      <c r="B457" s="1327"/>
      <c r="C457" s="1300" t="s">
        <v>16</v>
      </c>
      <c r="D457" s="1328" t="s">
        <v>38</v>
      </c>
      <c r="E457" s="1329"/>
      <c r="F457" s="1330"/>
      <c r="G457" s="1331"/>
      <c r="H457" s="1007"/>
      <c r="I457" s="880"/>
      <c r="J457" s="880"/>
      <c r="K457" s="881"/>
      <c r="L457" s="881"/>
      <c r="M457" s="881"/>
      <c r="N457" s="881"/>
      <c r="O457" s="881"/>
      <c r="P457" s="881"/>
      <c r="Q457" s="1302"/>
      <c r="R457" s="1302"/>
      <c r="S457" s="1302"/>
      <c r="T457" s="1302"/>
      <c r="U457" s="1302"/>
      <c r="V457" s="1302"/>
      <c r="W457" s="1302"/>
      <c r="X457" s="1302"/>
      <c r="Y457" s="1302"/>
      <c r="Z457" s="1302"/>
    </row>
    <row r="458" spans="1:26" ht="18.75" hidden="1">
      <c r="A458" s="1332"/>
      <c r="B458" s="1333"/>
      <c r="C458" s="1333"/>
      <c r="D458" s="1333" t="s">
        <v>201</v>
      </c>
      <c r="E458" s="1333"/>
      <c r="F458" s="1321"/>
      <c r="G458" s="1113"/>
      <c r="H458" s="370" t="s">
        <v>35</v>
      </c>
      <c r="I458" s="886">
        <v>0</v>
      </c>
      <c r="J458" s="886">
        <v>0</v>
      </c>
      <c r="K458" s="887">
        <f>IF(I458&gt;0,J458*100/I458,0)</f>
        <v>0</v>
      </c>
      <c r="L458" s="887"/>
      <c r="M458" s="887"/>
      <c r="N458" s="887"/>
      <c r="O458" s="887"/>
      <c r="P458" s="887"/>
      <c r="Q458" s="1323"/>
      <c r="R458" s="1323"/>
      <c r="S458" s="1323"/>
      <c r="T458" s="1323"/>
      <c r="U458" s="1323"/>
      <c r="V458" s="1323"/>
      <c r="W458" s="1323"/>
      <c r="X458" s="1323"/>
      <c r="Y458" s="1323"/>
      <c r="Z458" s="1323"/>
    </row>
    <row r="459" spans="1:26" ht="18.75" hidden="1">
      <c r="A459" s="1332"/>
      <c r="B459" s="1333"/>
      <c r="C459" s="1333"/>
      <c r="D459" s="1333" t="s">
        <v>202</v>
      </c>
      <c r="E459" s="1333"/>
      <c r="F459" s="1321"/>
      <c r="G459" s="1113"/>
      <c r="H459" s="370"/>
      <c r="I459" s="886"/>
      <c r="J459" s="886"/>
      <c r="K459" s="887"/>
      <c r="L459" s="887"/>
      <c r="M459" s="887"/>
      <c r="N459" s="887"/>
      <c r="O459" s="887"/>
      <c r="P459" s="887"/>
      <c r="Q459" s="1323"/>
      <c r="R459" s="1323"/>
      <c r="S459" s="1323"/>
      <c r="T459" s="1323"/>
      <c r="U459" s="1323"/>
      <c r="V459" s="1323"/>
      <c r="W459" s="1323"/>
      <c r="X459" s="1323"/>
      <c r="Y459" s="1323"/>
      <c r="Z459" s="1323"/>
    </row>
    <row r="460" spans="1:26" ht="18.75">
      <c r="A460" s="1326"/>
      <c r="B460" s="1327"/>
      <c r="C460" s="1327"/>
      <c r="D460" s="1327" t="s">
        <v>203</v>
      </c>
      <c r="E460" s="1327"/>
      <c r="F460" s="1014"/>
      <c r="G460" s="1007"/>
      <c r="H460" s="762" t="s">
        <v>35</v>
      </c>
      <c r="I460" s="880">
        <f ca="1">IFERROR(__xludf.DUMMYFUNCTION("IMPORTRANGE(""https://docs.google.com/spreadsheets/d/1QqKyyYR6Q21VydFLVH3TRQUabQu_ym0Zz7PgGX0-kHA/edit?usp=sharing"",""แผน!FN86"")"),60)</f>
        <v>60</v>
      </c>
      <c r="J460" s="1012">
        <v>60</v>
      </c>
      <c r="K460" s="881">
        <f ca="1">IF(I460&gt;0,J460*100/I460,0)</f>
        <v>100</v>
      </c>
      <c r="L460" s="881"/>
      <c r="M460" s="881"/>
      <c r="N460" s="881"/>
      <c r="O460" s="881"/>
      <c r="P460" s="881"/>
      <c r="Q460" s="1302"/>
      <c r="R460" s="1302"/>
      <c r="S460" s="1302"/>
      <c r="T460" s="1302"/>
      <c r="U460" s="1302"/>
      <c r="V460" s="1302"/>
      <c r="W460" s="1302"/>
      <c r="X460" s="1302"/>
      <c r="Y460" s="1302"/>
      <c r="Z460" s="1302"/>
    </row>
    <row r="461" spans="1:26" ht="18.75">
      <c r="A461" s="1326"/>
      <c r="B461" s="1327"/>
      <c r="C461" s="1327"/>
      <c r="D461" s="1327" t="s">
        <v>204</v>
      </c>
      <c r="E461" s="1014"/>
      <c r="F461" s="1014"/>
      <c r="G461" s="1007"/>
      <c r="H461" s="762"/>
      <c r="I461" s="880"/>
      <c r="J461" s="880"/>
      <c r="K461" s="881"/>
      <c r="L461" s="881"/>
      <c r="M461" s="881"/>
      <c r="N461" s="881"/>
      <c r="O461" s="881"/>
      <c r="P461" s="881"/>
      <c r="Q461" s="1302"/>
      <c r="R461" s="1302"/>
      <c r="S461" s="1302"/>
      <c r="T461" s="1302"/>
      <c r="U461" s="1302"/>
      <c r="V461" s="1302"/>
      <c r="W461" s="1302"/>
      <c r="X461" s="1302"/>
      <c r="Y461" s="1302"/>
      <c r="Z461" s="1302"/>
    </row>
    <row r="462" spans="1:26" ht="18.75">
      <c r="A462" s="1326"/>
      <c r="B462" s="1327"/>
      <c r="C462" s="1327"/>
      <c r="D462" s="1327" t="s">
        <v>205</v>
      </c>
      <c r="E462" s="1014"/>
      <c r="F462" s="1014"/>
      <c r="G462" s="1007"/>
      <c r="H462" s="762" t="s">
        <v>46</v>
      </c>
      <c r="I462" s="880">
        <f ca="1">IFERROR(__xludf.DUMMYFUNCTION("IMPORTRANGE(""https://docs.google.com/spreadsheets/d/1QqKyyYR6Q21VydFLVH3TRQUabQu_ym0Zz7PgGX0-kHA/edit?usp=sharing"",""แผน!FO86"")"),280)</f>
        <v>280</v>
      </c>
      <c r="J462" s="1012">
        <v>280</v>
      </c>
      <c r="K462" s="881">
        <f ca="1">IF(I462&gt;0,J462*100/I462,0)</f>
        <v>100</v>
      </c>
      <c r="L462" s="881"/>
      <c r="M462" s="881"/>
      <c r="N462" s="881"/>
      <c r="O462" s="881"/>
      <c r="P462" s="881"/>
      <c r="Q462" s="1302"/>
      <c r="R462" s="1302"/>
      <c r="S462" s="1302"/>
      <c r="T462" s="1302"/>
      <c r="U462" s="1302"/>
      <c r="V462" s="1302"/>
      <c r="W462" s="1302"/>
      <c r="X462" s="1302"/>
      <c r="Y462" s="1302"/>
      <c r="Z462" s="1302"/>
    </row>
    <row r="463" spans="1:26" ht="18.75">
      <c r="A463" s="1326"/>
      <c r="B463" s="1327"/>
      <c r="C463" s="1327"/>
      <c r="D463" s="1327" t="s">
        <v>59</v>
      </c>
      <c r="E463" s="1014"/>
      <c r="F463" s="1301"/>
      <c r="G463" s="1016"/>
      <c r="H463" s="762" t="s">
        <v>46</v>
      </c>
      <c r="I463" s="880">
        <f ca="1">IFERROR(__xludf.DUMMYFUNCTION("IMPORTRANGE(""https://docs.google.com/spreadsheets/d/1QqKyyYR6Q21VydFLVH3TRQUabQu_ym0Zz7PgGX0-kHA/edit?usp=sharing"",""แผน!FO86"")"),280)</f>
        <v>280</v>
      </c>
      <c r="J463" s="1012">
        <v>0</v>
      </c>
      <c r="K463" s="881"/>
      <c r="L463" s="881"/>
      <c r="M463" s="881"/>
      <c r="N463" s="881"/>
      <c r="O463" s="881"/>
      <c r="P463" s="881"/>
      <c r="Q463" s="1302"/>
      <c r="R463" s="1302"/>
      <c r="S463" s="1302"/>
      <c r="T463" s="1302"/>
      <c r="U463" s="1302"/>
      <c r="V463" s="1302"/>
      <c r="W463" s="1302"/>
      <c r="X463" s="1302"/>
      <c r="Y463" s="1302"/>
      <c r="Z463" s="1302"/>
    </row>
    <row r="464" spans="1:26" ht="19.5">
      <c r="A464" s="1326"/>
      <c r="B464" s="1327"/>
      <c r="C464" s="1327"/>
      <c r="D464" s="1327"/>
      <c r="E464" s="1014"/>
      <c r="F464" s="1014"/>
      <c r="G464" s="1334"/>
      <c r="H464" s="762" t="s">
        <v>35</v>
      </c>
      <c r="I464" s="880">
        <f ca="1">IFERROR(__xludf.DUMMYFUNCTION("IMPORTRANGE(""https://docs.google.com/spreadsheets/d/1QqKyyYR6Q21VydFLVH3TRQUabQu_ym0Zz7PgGX0-kHA/edit?usp=sharing"",""แผน!FN86"")"),60)</f>
        <v>60</v>
      </c>
      <c r="J464" s="1012">
        <v>0</v>
      </c>
      <c r="K464" s="881"/>
      <c r="L464" s="881"/>
      <c r="M464" s="881"/>
      <c r="N464" s="881"/>
      <c r="O464" s="881"/>
      <c r="P464" s="881"/>
      <c r="Q464" s="1302"/>
      <c r="R464" s="1302"/>
      <c r="S464" s="1302"/>
      <c r="T464" s="1302"/>
      <c r="U464" s="1302"/>
      <c r="V464" s="1302"/>
      <c r="W464" s="1302"/>
      <c r="X464" s="1302"/>
      <c r="Y464" s="1302"/>
      <c r="Z464" s="1302"/>
    </row>
    <row r="465" spans="1:26" ht="19.5">
      <c r="A465" s="584">
        <v>3</v>
      </c>
      <c r="B465" s="1307" t="s">
        <v>206</v>
      </c>
      <c r="C465" s="1308"/>
      <c r="D465" s="1308"/>
      <c r="E465" s="1308"/>
      <c r="F465" s="1308"/>
      <c r="G465" s="1309"/>
      <c r="H465" s="588" t="s">
        <v>35</v>
      </c>
      <c r="I465" s="1310">
        <f ca="1">IFERROR(__xludf.DUMMYFUNCTION("IMPORTRANGE(""https://docs.google.com/spreadsheets/d/1QqKyyYR6Q21VydFLVH3TRQUabQu_ym0Zz7PgGX0-kHA/edit?usp=sharing"",""แผน!FX86"")"),21)</f>
        <v>21</v>
      </c>
      <c r="J465" s="1310">
        <f>J485+J489+J492</f>
        <v>21</v>
      </c>
      <c r="K465" s="1311">
        <f t="shared" ref="K465:K466" ca="1" si="205">IF(I465&gt;0,J465*100/I465,0)</f>
        <v>100</v>
      </c>
      <c r="L465" s="1312"/>
      <c r="M465" s="1312"/>
      <c r="N465" s="1312"/>
      <c r="O465" s="1312"/>
      <c r="P465" s="1312"/>
      <c r="Q465" s="1302"/>
      <c r="R465" s="1302"/>
      <c r="S465" s="1302"/>
      <c r="T465" s="1302"/>
      <c r="U465" s="1302"/>
      <c r="V465" s="1302"/>
      <c r="W465" s="1302"/>
      <c r="X465" s="1302"/>
      <c r="Y465" s="1302"/>
      <c r="Z465" s="1302"/>
    </row>
    <row r="466" spans="1:26" ht="19.5">
      <c r="A466" s="1313"/>
      <c r="B466" s="1314"/>
      <c r="C466" s="1315"/>
      <c r="D466" s="1315"/>
      <c r="E466" s="1315"/>
      <c r="F466" s="1315"/>
      <c r="G466" s="1316"/>
      <c r="H466" s="568" t="s">
        <v>46</v>
      </c>
      <c r="I466" s="1294">
        <f ca="1">IFERROR(__xludf.DUMMYFUNCTION("IMPORTRANGE(""https://docs.google.com/spreadsheets/d/1QqKyyYR6Q21VydFLVH3TRQUabQu_ym0Zz7PgGX0-kHA/edit?usp=sharing"",""แผน!FW86"")"),200)</f>
        <v>200</v>
      </c>
      <c r="J466" s="1294">
        <f>J495+J498</f>
        <v>0</v>
      </c>
      <c r="K466" s="1295">
        <f t="shared" ca="1" si="205"/>
        <v>0</v>
      </c>
      <c r="L466" s="1296"/>
      <c r="M466" s="1296"/>
      <c r="N466" s="1296"/>
      <c r="O466" s="1296"/>
      <c r="P466" s="1296"/>
      <c r="Q466" s="1302"/>
      <c r="R466" s="1302"/>
      <c r="S466" s="1302"/>
      <c r="T466" s="1302"/>
      <c r="U466" s="1302"/>
      <c r="V466" s="1302"/>
      <c r="W466" s="1302"/>
      <c r="X466" s="1302"/>
      <c r="Y466" s="1302"/>
      <c r="Z466" s="1302"/>
    </row>
    <row r="467" spans="1:26" ht="19.5">
      <c r="A467" s="1317"/>
      <c r="B467" s="1301"/>
      <c r="C467" s="1301" t="s">
        <v>16</v>
      </c>
      <c r="D467" s="1318" t="s">
        <v>17</v>
      </c>
      <c r="E467" s="841"/>
      <c r="F467" s="841"/>
      <c r="G467" s="1016"/>
      <c r="H467" s="597" t="s">
        <v>12</v>
      </c>
      <c r="I467" s="880"/>
      <c r="J467" s="880"/>
      <c r="K467" s="881"/>
      <c r="L467" s="1020">
        <f t="shared" ref="L467:N467" ca="1" si="206">L468+L469</f>
        <v>189883</v>
      </c>
      <c r="M467" s="1020">
        <f t="shared" ca="1" si="206"/>
        <v>189883</v>
      </c>
      <c r="N467" s="1020">
        <f t="shared" si="206"/>
        <v>75143</v>
      </c>
      <c r="O467" s="1020">
        <f t="shared" ref="O467:O472" ca="1" si="207">IF(L467&gt;0,N467*100/L467,0)</f>
        <v>39.573316199975771</v>
      </c>
      <c r="P467" s="1020">
        <f t="shared" ref="P467:P472" ca="1" si="208">IF(M467&gt;0,N467*100/M467,0)</f>
        <v>39.573316199975771</v>
      </c>
      <c r="Q467" s="1302"/>
      <c r="R467" s="1302"/>
      <c r="S467" s="1302"/>
      <c r="T467" s="1302"/>
      <c r="U467" s="1302"/>
      <c r="V467" s="1302"/>
      <c r="W467" s="1302"/>
      <c r="X467" s="1302"/>
      <c r="Y467" s="1302"/>
      <c r="Z467" s="1302"/>
    </row>
    <row r="468" spans="1:26" ht="18.75" hidden="1">
      <c r="A468" s="1319"/>
      <c r="B468" s="1320"/>
      <c r="C468" s="1320"/>
      <c r="D468" s="1321"/>
      <c r="E468" s="1320" t="s">
        <v>185</v>
      </c>
      <c r="F468" s="1320"/>
      <c r="G468" s="1322"/>
      <c r="H468" s="165" t="s">
        <v>12</v>
      </c>
      <c r="I468" s="886"/>
      <c r="J468" s="886"/>
      <c r="K468" s="887"/>
      <c r="L468" s="887">
        <f t="shared" ref="L468:N469" si="209">L471+L478</f>
        <v>0</v>
      </c>
      <c r="M468" s="887">
        <f t="shared" si="209"/>
        <v>0</v>
      </c>
      <c r="N468" s="887">
        <f t="shared" si="209"/>
        <v>0</v>
      </c>
      <c r="O468" s="887">
        <f t="shared" si="207"/>
        <v>0</v>
      </c>
      <c r="P468" s="887">
        <f t="shared" si="208"/>
        <v>0</v>
      </c>
      <c r="Q468" s="1323"/>
      <c r="R468" s="1323"/>
      <c r="S468" s="1323"/>
      <c r="T468" s="1323"/>
      <c r="U468" s="1323"/>
      <c r="V468" s="1323"/>
      <c r="W468" s="1323"/>
      <c r="X468" s="1323"/>
      <c r="Y468" s="1323"/>
      <c r="Z468" s="1323"/>
    </row>
    <row r="469" spans="1:26" ht="18.75" hidden="1">
      <c r="A469" s="1319"/>
      <c r="B469" s="1324"/>
      <c r="C469" s="1320"/>
      <c r="D469" s="1321"/>
      <c r="E469" s="1320" t="s">
        <v>186</v>
      </c>
      <c r="F469" s="1320"/>
      <c r="G469" s="1322"/>
      <c r="H469" s="165" t="s">
        <v>12</v>
      </c>
      <c r="I469" s="886"/>
      <c r="J469" s="886"/>
      <c r="K469" s="887"/>
      <c r="L469" s="887">
        <f t="shared" ca="1" si="209"/>
        <v>189883</v>
      </c>
      <c r="M469" s="887">
        <f t="shared" ca="1" si="209"/>
        <v>189883</v>
      </c>
      <c r="N469" s="887">
        <f t="shared" si="209"/>
        <v>75143</v>
      </c>
      <c r="O469" s="887">
        <f t="shared" ca="1" si="207"/>
        <v>39.573316199975771</v>
      </c>
      <c r="P469" s="887">
        <f t="shared" ca="1" si="208"/>
        <v>39.573316199975771</v>
      </c>
      <c r="Q469" s="1323"/>
      <c r="R469" s="1323"/>
      <c r="S469" s="1323"/>
      <c r="T469" s="1323"/>
      <c r="U469" s="1323"/>
      <c r="V469" s="1323"/>
      <c r="W469" s="1323"/>
      <c r="X469" s="1323"/>
      <c r="Y469" s="1323"/>
      <c r="Z469" s="1323"/>
    </row>
    <row r="470" spans="1:26" ht="18.75">
      <c r="A470" s="1317"/>
      <c r="B470" s="1300"/>
      <c r="C470" s="1301"/>
      <c r="D470" s="1325" t="s">
        <v>20</v>
      </c>
      <c r="E470" s="1301"/>
      <c r="F470" s="1301"/>
      <c r="G470" s="1016"/>
      <c r="H470" s="161" t="s">
        <v>12</v>
      </c>
      <c r="I470" s="997"/>
      <c r="J470" s="997"/>
      <c r="K470" s="998"/>
      <c r="L470" s="881">
        <f t="shared" ref="L470:N470" ca="1" si="210">L471+L472</f>
        <v>189883</v>
      </c>
      <c r="M470" s="881">
        <f t="shared" ca="1" si="210"/>
        <v>189883</v>
      </c>
      <c r="N470" s="881">
        <f t="shared" si="210"/>
        <v>75143</v>
      </c>
      <c r="O470" s="881">
        <f t="shared" ca="1" si="207"/>
        <v>39.573316199975771</v>
      </c>
      <c r="P470" s="881">
        <f t="shared" ca="1" si="208"/>
        <v>39.573316199975771</v>
      </c>
      <c r="Q470" s="1302"/>
      <c r="R470" s="1302"/>
      <c r="S470" s="1302"/>
      <c r="T470" s="1302"/>
      <c r="U470" s="1302"/>
      <c r="V470" s="1302"/>
      <c r="W470" s="1302"/>
      <c r="X470" s="1302"/>
      <c r="Y470" s="1302"/>
      <c r="Z470" s="1302"/>
    </row>
    <row r="471" spans="1:26" ht="18.75" hidden="1">
      <c r="A471" s="1319"/>
      <c r="B471" s="1324"/>
      <c r="C471" s="1320"/>
      <c r="D471" s="1321"/>
      <c r="E471" s="1320" t="s">
        <v>185</v>
      </c>
      <c r="F471" s="1320"/>
      <c r="G471" s="1322"/>
      <c r="H471" s="165" t="s">
        <v>12</v>
      </c>
      <c r="I471" s="886"/>
      <c r="J471" s="886"/>
      <c r="K471" s="887"/>
      <c r="L471" s="887">
        <v>0</v>
      </c>
      <c r="M471" s="887">
        <v>0</v>
      </c>
      <c r="N471" s="887">
        <v>0</v>
      </c>
      <c r="O471" s="887">
        <f t="shared" si="207"/>
        <v>0</v>
      </c>
      <c r="P471" s="887">
        <f t="shared" si="208"/>
        <v>0</v>
      </c>
      <c r="Q471" s="1323"/>
      <c r="R471" s="1323"/>
      <c r="S471" s="1323"/>
      <c r="T471" s="1323"/>
      <c r="U471" s="1323"/>
      <c r="V471" s="1323"/>
      <c r="W471" s="1323"/>
      <c r="X471" s="1323"/>
      <c r="Y471" s="1323"/>
      <c r="Z471" s="1323"/>
    </row>
    <row r="472" spans="1:26" ht="18.75" hidden="1">
      <c r="A472" s="1319"/>
      <c r="B472" s="1324"/>
      <c r="C472" s="1320"/>
      <c r="D472" s="1321"/>
      <c r="E472" s="1320" t="s">
        <v>186</v>
      </c>
      <c r="F472" s="1320"/>
      <c r="G472" s="1322"/>
      <c r="H472" s="165" t="s">
        <v>12</v>
      </c>
      <c r="I472" s="886"/>
      <c r="J472" s="886"/>
      <c r="K472" s="887"/>
      <c r="L472" s="887">
        <f ca="1">IFERROR(__xludf.DUMMYFUNCTION("IMPORTRANGE(""https://docs.google.com/spreadsheets/d/1QqKyyYR6Q21VydFLVH3TRQUabQu_ym0Zz7PgGX0-kHA/edit?usp=sharing"",""แผน!FS86"")"),189883)</f>
        <v>189883</v>
      </c>
      <c r="M472" s="887">
        <f ca="1">L472</f>
        <v>189883</v>
      </c>
      <c r="N472" s="887">
        <f>N473+N474+N475+N476</f>
        <v>75143</v>
      </c>
      <c r="O472" s="887">
        <f t="shared" ca="1" si="207"/>
        <v>39.573316199975771</v>
      </c>
      <c r="P472" s="887">
        <f t="shared" ca="1" si="208"/>
        <v>39.573316199975771</v>
      </c>
      <c r="Q472" s="1323"/>
      <c r="R472" s="1323"/>
      <c r="S472" s="1323"/>
      <c r="T472" s="1323"/>
      <c r="U472" s="1323"/>
      <c r="V472" s="1323"/>
      <c r="W472" s="1323"/>
      <c r="X472" s="1323"/>
      <c r="Y472" s="1323"/>
      <c r="Z472" s="1323"/>
    </row>
    <row r="473" spans="1:26" ht="18.75">
      <c r="A473" s="1299"/>
      <c r="B473" s="1300"/>
      <c r="C473" s="1301"/>
      <c r="D473" s="1301"/>
      <c r="E473" s="1301"/>
      <c r="F473" s="1301" t="s">
        <v>187</v>
      </c>
      <c r="G473" s="1016"/>
      <c r="H473" s="161" t="s">
        <v>12</v>
      </c>
      <c r="I473" s="880"/>
      <c r="J473" s="880"/>
      <c r="K473" s="881"/>
      <c r="L473" s="881"/>
      <c r="M473" s="881"/>
      <c r="N473" s="1085">
        <v>39933</v>
      </c>
      <c r="O473" s="881"/>
      <c r="P473" s="881"/>
      <c r="Q473" s="1302"/>
      <c r="R473" s="1302"/>
      <c r="S473" s="1302"/>
      <c r="T473" s="1302"/>
      <c r="U473" s="1302"/>
      <c r="V473" s="1302"/>
      <c r="W473" s="1302"/>
      <c r="X473" s="1302"/>
      <c r="Y473" s="1302"/>
      <c r="Z473" s="1302"/>
    </row>
    <row r="474" spans="1:26" ht="18.75">
      <c r="A474" s="1299"/>
      <c r="B474" s="1300"/>
      <c r="C474" s="1301"/>
      <c r="D474" s="1301"/>
      <c r="E474" s="1301"/>
      <c r="F474" s="1301" t="s">
        <v>188</v>
      </c>
      <c r="G474" s="1016"/>
      <c r="H474" s="161" t="s">
        <v>12</v>
      </c>
      <c r="I474" s="880"/>
      <c r="J474" s="880"/>
      <c r="K474" s="881"/>
      <c r="L474" s="881"/>
      <c r="M474" s="881"/>
      <c r="N474" s="1085">
        <v>24000</v>
      </c>
      <c r="O474" s="881"/>
      <c r="P474" s="881"/>
      <c r="Q474" s="1302"/>
      <c r="R474" s="1302"/>
      <c r="S474" s="1302"/>
      <c r="T474" s="1302"/>
      <c r="U474" s="1302"/>
      <c r="V474" s="1302"/>
      <c r="W474" s="1302"/>
      <c r="X474" s="1302"/>
      <c r="Y474" s="1302"/>
      <c r="Z474" s="1302"/>
    </row>
    <row r="475" spans="1:26" ht="18.75">
      <c r="A475" s="1299"/>
      <c r="B475" s="1300"/>
      <c r="C475" s="1300"/>
      <c r="D475" s="1300"/>
      <c r="E475" s="1300"/>
      <c r="F475" s="1301" t="s">
        <v>189</v>
      </c>
      <c r="G475" s="1016"/>
      <c r="H475" s="161" t="s">
        <v>12</v>
      </c>
      <c r="I475" s="880"/>
      <c r="J475" s="880"/>
      <c r="K475" s="881"/>
      <c r="L475" s="881"/>
      <c r="M475" s="881"/>
      <c r="N475" s="1085">
        <v>0</v>
      </c>
      <c r="O475" s="881"/>
      <c r="P475" s="881"/>
      <c r="Q475" s="1302"/>
      <c r="R475" s="1302"/>
      <c r="S475" s="1302"/>
      <c r="T475" s="1302"/>
      <c r="U475" s="1302"/>
      <c r="V475" s="1302"/>
      <c r="W475" s="1302"/>
      <c r="X475" s="1302"/>
      <c r="Y475" s="1302"/>
      <c r="Z475" s="1302"/>
    </row>
    <row r="476" spans="1:26" ht="18.75">
      <c r="A476" s="1299"/>
      <c r="B476" s="1300"/>
      <c r="C476" s="1300"/>
      <c r="D476" s="1300"/>
      <c r="E476" s="1300"/>
      <c r="F476" s="1301" t="s">
        <v>190</v>
      </c>
      <c r="G476" s="1016"/>
      <c r="H476" s="161" t="s">
        <v>12</v>
      </c>
      <c r="I476" s="880"/>
      <c r="J476" s="880"/>
      <c r="K476" s="881"/>
      <c r="L476" s="881"/>
      <c r="M476" s="881"/>
      <c r="N476" s="1085">
        <v>11210</v>
      </c>
      <c r="O476" s="881"/>
      <c r="P476" s="881"/>
      <c r="Q476" s="1302"/>
      <c r="R476" s="1302"/>
      <c r="S476" s="1302"/>
      <c r="T476" s="1302"/>
      <c r="U476" s="1302"/>
      <c r="V476" s="1302"/>
      <c r="W476" s="1302"/>
      <c r="X476" s="1302"/>
      <c r="Y476" s="1302"/>
      <c r="Z476" s="1302"/>
    </row>
    <row r="477" spans="1:26" ht="18.75">
      <c r="A477" s="1317"/>
      <c r="B477" s="1300"/>
      <c r="C477" s="1300"/>
      <c r="D477" s="1325" t="s">
        <v>21</v>
      </c>
      <c r="E477" s="1300"/>
      <c r="F477" s="1300"/>
      <c r="G477" s="1016"/>
      <c r="H477" s="168" t="s">
        <v>12</v>
      </c>
      <c r="I477" s="997"/>
      <c r="J477" s="997"/>
      <c r="K477" s="998"/>
      <c r="L477" s="881">
        <f t="shared" ref="L477:N477" ca="1" si="211">L478+L479</f>
        <v>0</v>
      </c>
      <c r="M477" s="881">
        <f t="shared" si="211"/>
        <v>0</v>
      </c>
      <c r="N477" s="881">
        <f t="shared" si="211"/>
        <v>0</v>
      </c>
      <c r="O477" s="881">
        <f t="shared" ref="O477:O479" ca="1" si="212">IF(L477&gt;0,N477*100/L477,0)</f>
        <v>0</v>
      </c>
      <c r="P477" s="881">
        <f t="shared" ref="P477:P479" si="213">IF(M477&gt;0,N477*100/M477,0)</f>
        <v>0</v>
      </c>
      <c r="Q477" s="1302"/>
      <c r="R477" s="1302"/>
      <c r="S477" s="1302"/>
      <c r="T477" s="1302"/>
      <c r="U477" s="1302"/>
      <c r="V477" s="1302"/>
      <c r="W477" s="1302"/>
      <c r="X477" s="1302"/>
      <c r="Y477" s="1302"/>
      <c r="Z477" s="1302"/>
    </row>
    <row r="478" spans="1:26" ht="18.75" hidden="1">
      <c r="A478" s="1319"/>
      <c r="B478" s="1324"/>
      <c r="C478" s="1324"/>
      <c r="D478" s="1324"/>
      <c r="E478" s="1324" t="s">
        <v>18</v>
      </c>
      <c r="F478" s="1324"/>
      <c r="G478" s="1322"/>
      <c r="H478" s="165" t="s">
        <v>12</v>
      </c>
      <c r="I478" s="1000"/>
      <c r="J478" s="1000"/>
      <c r="K478" s="1001"/>
      <c r="L478" s="887">
        <v>0</v>
      </c>
      <c r="M478" s="887">
        <v>0</v>
      </c>
      <c r="N478" s="887">
        <v>0</v>
      </c>
      <c r="O478" s="887">
        <f t="shared" si="212"/>
        <v>0</v>
      </c>
      <c r="P478" s="887">
        <f t="shared" si="213"/>
        <v>0</v>
      </c>
      <c r="Q478" s="1323"/>
      <c r="R478" s="1323"/>
      <c r="S478" s="1323"/>
      <c r="T478" s="1323"/>
      <c r="U478" s="1323"/>
      <c r="V478" s="1323"/>
      <c r="W478" s="1323"/>
      <c r="X478" s="1323"/>
      <c r="Y478" s="1323"/>
      <c r="Z478" s="1323"/>
    </row>
    <row r="479" spans="1:26" ht="18.75" hidden="1">
      <c r="A479" s="1319"/>
      <c r="B479" s="1324"/>
      <c r="C479" s="1324"/>
      <c r="D479" s="1324"/>
      <c r="E479" s="1324" t="s">
        <v>19</v>
      </c>
      <c r="F479" s="1324"/>
      <c r="G479" s="1322"/>
      <c r="H479" s="169" t="s">
        <v>12</v>
      </c>
      <c r="I479" s="1000"/>
      <c r="J479" s="1000"/>
      <c r="K479" s="1001"/>
      <c r="L479" s="887">
        <f ca="1">IFERROR(__xludf.DUMMYFUNCTION("IMPORTRANGE(""https://docs.google.com/spreadsheets/d/1QqKyyYR6Q21VydFLVH3TRQUabQu_ym0Zz7PgGX0-kHA/edit?usp=sharing"",""แผน!FV86"")"),0)</f>
        <v>0</v>
      </c>
      <c r="M479" s="887">
        <v>0</v>
      </c>
      <c r="N479" s="887">
        <v>0</v>
      </c>
      <c r="O479" s="887">
        <f t="shared" ca="1" si="212"/>
        <v>0</v>
      </c>
      <c r="P479" s="887">
        <f t="shared" si="213"/>
        <v>0</v>
      </c>
      <c r="Q479" s="1323"/>
      <c r="R479" s="1323"/>
      <c r="S479" s="1323"/>
      <c r="T479" s="1323"/>
      <c r="U479" s="1323"/>
      <c r="V479" s="1323"/>
      <c r="W479" s="1323"/>
      <c r="X479" s="1323"/>
      <c r="Y479" s="1323"/>
      <c r="Z479" s="1323"/>
    </row>
    <row r="480" spans="1:26" ht="19.5">
      <c r="A480" s="1326"/>
      <c r="B480" s="1327"/>
      <c r="C480" s="1300" t="s">
        <v>16</v>
      </c>
      <c r="D480" s="1335" t="s">
        <v>38</v>
      </c>
      <c r="E480" s="1329"/>
      <c r="F480" s="1330"/>
      <c r="G480" s="1331"/>
      <c r="H480" s="1007"/>
      <c r="I480" s="880"/>
      <c r="J480" s="880"/>
      <c r="K480" s="881"/>
      <c r="L480" s="881"/>
      <c r="M480" s="881"/>
      <c r="N480" s="881"/>
      <c r="O480" s="881"/>
      <c r="P480" s="881"/>
      <c r="Q480" s="1302"/>
      <c r="R480" s="1302"/>
      <c r="S480" s="1302"/>
      <c r="T480" s="1302"/>
      <c r="U480" s="1302"/>
      <c r="V480" s="1302"/>
      <c r="W480" s="1302"/>
      <c r="X480" s="1302"/>
      <c r="Y480" s="1302"/>
      <c r="Z480" s="1302"/>
    </row>
    <row r="481" spans="1:26" ht="19.5">
      <c r="A481" s="1326"/>
      <c r="B481" s="1327"/>
      <c r="C481" s="1327"/>
      <c r="D481" s="1336" t="s">
        <v>207</v>
      </c>
      <c r="E481" s="1327"/>
      <c r="F481" s="1327"/>
      <c r="G481" s="1007"/>
      <c r="H481" s="1016"/>
      <c r="I481" s="880"/>
      <c r="J481" s="880"/>
      <c r="K481" s="881"/>
      <c r="L481" s="881"/>
      <c r="M481" s="881"/>
      <c r="N481" s="881"/>
      <c r="O481" s="881"/>
      <c r="P481" s="881"/>
      <c r="Q481" s="1302"/>
      <c r="R481" s="1302"/>
      <c r="S481" s="1302"/>
      <c r="T481" s="1302"/>
      <c r="U481" s="1302"/>
      <c r="V481" s="1302"/>
      <c r="W481" s="1302"/>
      <c r="X481" s="1302"/>
      <c r="Y481" s="1302"/>
      <c r="Z481" s="1302"/>
    </row>
    <row r="482" spans="1:26" ht="18.75">
      <c r="A482" s="1326"/>
      <c r="B482" s="1327"/>
      <c r="C482" s="1327"/>
      <c r="D482" s="1327"/>
      <c r="E482" s="1327" t="s">
        <v>208</v>
      </c>
      <c r="F482" s="1327"/>
      <c r="G482" s="1007"/>
      <c r="H482" s="1016"/>
      <c r="I482" s="880"/>
      <c r="J482" s="880"/>
      <c r="K482" s="881"/>
      <c r="L482" s="881"/>
      <c r="M482" s="881"/>
      <c r="N482" s="881"/>
      <c r="O482" s="881"/>
      <c r="P482" s="881"/>
      <c r="Q482" s="1302"/>
      <c r="R482" s="1302"/>
      <c r="S482" s="1302"/>
      <c r="T482" s="1302"/>
      <c r="U482" s="1302"/>
      <c r="V482" s="1302"/>
      <c r="W482" s="1302"/>
      <c r="X482" s="1302"/>
      <c r="Y482" s="1302"/>
      <c r="Z482" s="1302"/>
    </row>
    <row r="483" spans="1:26" ht="18.75">
      <c r="A483" s="1326"/>
      <c r="B483" s="1327"/>
      <c r="C483" s="1327"/>
      <c r="D483" s="1327"/>
      <c r="E483" s="1327"/>
      <c r="F483" s="1327" t="s">
        <v>209</v>
      </c>
      <c r="G483" s="1007"/>
      <c r="H483" s="622" t="s">
        <v>46</v>
      </c>
      <c r="I483" s="880">
        <f ca="1">IFERROR(__xludf.DUMMYFUNCTION("IMPORTRANGE(""https://docs.google.com/spreadsheets/d/1QqKyyYR6Q21VydFLVH3TRQUabQu_ym0Zz7PgGX0-kHA/edit?usp=sharing"",""แผน!FY86"")"),180)</f>
        <v>180</v>
      </c>
      <c r="J483" s="1012">
        <v>181.36</v>
      </c>
      <c r="K483" s="881">
        <f ca="1">IF(I483&gt;0,J483*100/I483,0)</f>
        <v>100.75555555555556</v>
      </c>
      <c r="L483" s="881"/>
      <c r="M483" s="881"/>
      <c r="N483" s="881"/>
      <c r="O483" s="881"/>
      <c r="P483" s="881"/>
      <c r="Q483" s="1302"/>
      <c r="R483" s="1302"/>
      <c r="S483" s="1302"/>
      <c r="T483" s="1302"/>
      <c r="U483" s="1302"/>
      <c r="V483" s="1302"/>
      <c r="W483" s="1302"/>
      <c r="X483" s="1302"/>
      <c r="Y483" s="1302"/>
      <c r="Z483" s="1302"/>
    </row>
    <row r="484" spans="1:26" ht="18.75">
      <c r="A484" s="1326"/>
      <c r="B484" s="1327"/>
      <c r="C484" s="1327"/>
      <c r="D484" s="1327"/>
      <c r="E484" s="1327"/>
      <c r="F484" s="1327" t="s">
        <v>210</v>
      </c>
      <c r="G484" s="1007"/>
      <c r="H484" s="622" t="s">
        <v>35</v>
      </c>
      <c r="I484" s="880"/>
      <c r="J484" s="1012">
        <v>21</v>
      </c>
      <c r="K484" s="881"/>
      <c r="L484" s="881"/>
      <c r="M484" s="881"/>
      <c r="N484" s="881"/>
      <c r="O484" s="881"/>
      <c r="P484" s="881"/>
      <c r="Q484" s="1302"/>
      <c r="R484" s="1302"/>
      <c r="S484" s="1302"/>
      <c r="T484" s="1302"/>
      <c r="U484" s="1302"/>
      <c r="V484" s="1302"/>
      <c r="W484" s="1302"/>
      <c r="X484" s="1302"/>
      <c r="Y484" s="1302"/>
      <c r="Z484" s="1302"/>
    </row>
    <row r="485" spans="1:26" ht="18.75">
      <c r="A485" s="1326"/>
      <c r="B485" s="1327"/>
      <c r="C485" s="1327"/>
      <c r="D485" s="1327"/>
      <c r="E485" s="1327"/>
      <c r="F485" s="1327" t="s">
        <v>211</v>
      </c>
      <c r="G485" s="1007"/>
      <c r="H485" s="622" t="s">
        <v>35</v>
      </c>
      <c r="I485" s="880">
        <f ca="1">IFERROR(__xludf.DUMMYFUNCTION("IMPORTRANGE(""https://docs.google.com/spreadsheets/d/1QqKyyYR6Q21VydFLVH3TRQUabQu_ym0Zz7PgGX0-kHA/edit?usp=sharing"",""แผน!FZ86"")"),18)</f>
        <v>18</v>
      </c>
      <c r="J485" s="1012">
        <v>18</v>
      </c>
      <c r="K485" s="881">
        <f ca="1">IF(I485&gt;0,J485*100/I485,0)</f>
        <v>100</v>
      </c>
      <c r="L485" s="881"/>
      <c r="M485" s="881"/>
      <c r="N485" s="881"/>
      <c r="O485" s="881"/>
      <c r="P485" s="881"/>
      <c r="Q485" s="1302"/>
      <c r="R485" s="1302"/>
      <c r="S485" s="1302"/>
      <c r="T485" s="1302"/>
      <c r="U485" s="1302"/>
      <c r="V485" s="1302"/>
      <c r="W485" s="1302"/>
      <c r="X485" s="1302"/>
      <c r="Y485" s="1302"/>
      <c r="Z485" s="1302"/>
    </row>
    <row r="486" spans="1:26" ht="18.75">
      <c r="A486" s="1326"/>
      <c r="B486" s="1327"/>
      <c r="C486" s="1327"/>
      <c r="D486" s="1327"/>
      <c r="E486" s="1327" t="s">
        <v>62</v>
      </c>
      <c r="F486" s="1327"/>
      <c r="G486" s="1007"/>
      <c r="H486" s="622"/>
      <c r="I486" s="880"/>
      <c r="J486" s="880"/>
      <c r="K486" s="881"/>
      <c r="L486" s="881"/>
      <c r="M486" s="881"/>
      <c r="N486" s="881"/>
      <c r="O486" s="881"/>
      <c r="P486" s="881"/>
      <c r="Q486" s="1302"/>
      <c r="R486" s="1302"/>
      <c r="S486" s="1302"/>
      <c r="T486" s="1302"/>
      <c r="U486" s="1302"/>
      <c r="V486" s="1302"/>
      <c r="W486" s="1302"/>
      <c r="X486" s="1302"/>
      <c r="Y486" s="1302"/>
      <c r="Z486" s="1302"/>
    </row>
    <row r="487" spans="1:26" ht="18.75">
      <c r="A487" s="1326"/>
      <c r="B487" s="1327"/>
      <c r="C487" s="1327"/>
      <c r="D487" s="1327"/>
      <c r="E487" s="1327"/>
      <c r="F487" s="1327" t="s">
        <v>209</v>
      </c>
      <c r="G487" s="1007"/>
      <c r="H487" s="622" t="s">
        <v>46</v>
      </c>
      <c r="I487" s="880">
        <f ca="1">IFERROR(__xludf.DUMMYFUNCTION("IMPORTRANGE(""https://docs.google.com/spreadsheets/d/1QqKyyYR6Q21VydFLVH3TRQUabQu_ym0Zz7PgGX0-kHA/edit?usp=sharing"",""แผน!GA86"")"),20)</f>
        <v>20</v>
      </c>
      <c r="J487" s="1012">
        <v>23</v>
      </c>
      <c r="K487" s="881">
        <f ca="1">IF(I487&gt;0,J487*100/I487,0)</f>
        <v>115</v>
      </c>
      <c r="L487" s="881"/>
      <c r="M487" s="881"/>
      <c r="N487" s="881"/>
      <c r="O487" s="881"/>
      <c r="P487" s="881"/>
      <c r="Q487" s="1302"/>
      <c r="R487" s="1302"/>
      <c r="S487" s="1302"/>
      <c r="T487" s="1302"/>
      <c r="U487" s="1302"/>
      <c r="V487" s="1302"/>
      <c r="W487" s="1302"/>
      <c r="X487" s="1302"/>
      <c r="Y487" s="1302"/>
      <c r="Z487" s="1302"/>
    </row>
    <row r="488" spans="1:26" ht="18.75">
      <c r="A488" s="1326"/>
      <c r="B488" s="1327"/>
      <c r="C488" s="1327"/>
      <c r="D488" s="1327"/>
      <c r="E488" s="1327"/>
      <c r="F488" s="1327" t="s">
        <v>212</v>
      </c>
      <c r="G488" s="1007"/>
      <c r="H488" s="622" t="s">
        <v>35</v>
      </c>
      <c r="I488" s="880"/>
      <c r="J488" s="1012">
        <v>2</v>
      </c>
      <c r="K488" s="881"/>
      <c r="L488" s="881"/>
      <c r="M488" s="881"/>
      <c r="N488" s="881"/>
      <c r="O488" s="881"/>
      <c r="P488" s="881"/>
      <c r="Q488" s="1302"/>
      <c r="R488" s="1302"/>
      <c r="S488" s="1302"/>
      <c r="T488" s="1302"/>
      <c r="U488" s="1302"/>
      <c r="V488" s="1302"/>
      <c r="W488" s="1302"/>
      <c r="X488" s="1302"/>
      <c r="Y488" s="1302"/>
      <c r="Z488" s="1302"/>
    </row>
    <row r="489" spans="1:26" ht="18.75">
      <c r="A489" s="1326"/>
      <c r="B489" s="1327"/>
      <c r="C489" s="1327"/>
      <c r="D489" s="1327"/>
      <c r="E489" s="1327"/>
      <c r="F489" s="1327" t="s">
        <v>213</v>
      </c>
      <c r="G489" s="1007"/>
      <c r="H489" s="622" t="s">
        <v>35</v>
      </c>
      <c r="I489" s="880">
        <f ca="1">IFERROR(__xludf.DUMMYFUNCTION("IMPORTRANGE(""https://docs.google.com/spreadsheets/d/1QqKyyYR6Q21VydFLVH3TRQUabQu_ym0Zz7PgGX0-kHA/edit?usp=sharing"",""แผน!GB86"")"),2)</f>
        <v>2</v>
      </c>
      <c r="J489" s="1012">
        <v>2</v>
      </c>
      <c r="K489" s="881">
        <f ca="1">IF(I489&gt;0,J489*100/I489,0)</f>
        <v>100</v>
      </c>
      <c r="L489" s="881"/>
      <c r="M489" s="881"/>
      <c r="N489" s="881"/>
      <c r="O489" s="881"/>
      <c r="P489" s="881"/>
      <c r="Q489" s="1302"/>
      <c r="R489" s="1302"/>
      <c r="S489" s="1302"/>
      <c r="T489" s="1302"/>
      <c r="U489" s="1302"/>
      <c r="V489" s="1302"/>
      <c r="W489" s="1302"/>
      <c r="X489" s="1302"/>
      <c r="Y489" s="1302"/>
      <c r="Z489" s="1302"/>
    </row>
    <row r="490" spans="1:26" ht="18.75">
      <c r="A490" s="1326"/>
      <c r="B490" s="1327"/>
      <c r="C490" s="1327"/>
      <c r="D490" s="1327"/>
      <c r="E490" s="1327" t="s">
        <v>63</v>
      </c>
      <c r="F490" s="1014"/>
      <c r="G490" s="1007"/>
      <c r="H490" s="622"/>
      <c r="I490" s="880"/>
      <c r="J490" s="880"/>
      <c r="K490" s="881"/>
      <c r="L490" s="881"/>
      <c r="M490" s="881"/>
      <c r="N490" s="881"/>
      <c r="O490" s="881"/>
      <c r="P490" s="881"/>
      <c r="Q490" s="1302"/>
      <c r="R490" s="1302"/>
      <c r="S490" s="1302"/>
      <c r="T490" s="1302"/>
      <c r="U490" s="1302"/>
      <c r="V490" s="1302"/>
      <c r="W490" s="1302"/>
      <c r="X490" s="1302"/>
      <c r="Y490" s="1302"/>
      <c r="Z490" s="1302"/>
    </row>
    <row r="491" spans="1:26" ht="18.75">
      <c r="A491" s="1326"/>
      <c r="B491" s="1327"/>
      <c r="C491" s="1327"/>
      <c r="D491" s="1327"/>
      <c r="E491" s="1327"/>
      <c r="F491" s="1327" t="s">
        <v>214</v>
      </c>
      <c r="G491" s="1007"/>
      <c r="H491" s="622" t="s">
        <v>35</v>
      </c>
      <c r="I491" s="880"/>
      <c r="J491" s="1012">
        <v>1</v>
      </c>
      <c r="K491" s="881"/>
      <c r="L491" s="881"/>
      <c r="M491" s="881"/>
      <c r="N491" s="881"/>
      <c r="O491" s="881"/>
      <c r="P491" s="881"/>
      <c r="Q491" s="1302"/>
      <c r="R491" s="1302"/>
      <c r="S491" s="1302"/>
      <c r="T491" s="1302"/>
      <c r="U491" s="1302"/>
      <c r="V491" s="1302"/>
      <c r="W491" s="1302"/>
      <c r="X491" s="1302"/>
      <c r="Y491" s="1302"/>
      <c r="Z491" s="1302"/>
    </row>
    <row r="492" spans="1:26" ht="18.75">
      <c r="A492" s="1326"/>
      <c r="B492" s="1327"/>
      <c r="C492" s="1327"/>
      <c r="D492" s="1327"/>
      <c r="E492" s="1327"/>
      <c r="F492" s="1327" t="s">
        <v>215</v>
      </c>
      <c r="G492" s="1007"/>
      <c r="H492" s="622" t="s">
        <v>35</v>
      </c>
      <c r="I492" s="880">
        <f ca="1">IFERROR(__xludf.DUMMYFUNCTION("IMPORTRANGE(""https://docs.google.com/spreadsheets/d/1QqKyyYR6Q21VydFLVH3TRQUabQu_ym0Zz7PgGX0-kHA/edit?usp=sharing"",""แผน!GC86"")"),1)</f>
        <v>1</v>
      </c>
      <c r="J492" s="1012">
        <v>1</v>
      </c>
      <c r="K492" s="881">
        <f ca="1">IF(I492&gt;0,J492*100/I492,0)</f>
        <v>100</v>
      </c>
      <c r="L492" s="881"/>
      <c r="M492" s="881"/>
      <c r="N492" s="881"/>
      <c r="O492" s="881"/>
      <c r="P492" s="881"/>
      <c r="Q492" s="1302"/>
      <c r="R492" s="1302"/>
      <c r="S492" s="1302"/>
      <c r="T492" s="1302"/>
      <c r="U492" s="1302"/>
      <c r="V492" s="1302"/>
      <c r="W492" s="1302"/>
      <c r="X492" s="1302"/>
      <c r="Y492" s="1302"/>
      <c r="Z492" s="1302"/>
    </row>
    <row r="493" spans="1:26" ht="19.5">
      <c r="A493" s="1326"/>
      <c r="B493" s="1327"/>
      <c r="C493" s="1327"/>
      <c r="D493" s="1336" t="s">
        <v>59</v>
      </c>
      <c r="E493" s="1327"/>
      <c r="F493" s="1014"/>
      <c r="G493" s="1007"/>
      <c r="H493" s="1016"/>
      <c r="I493" s="880"/>
      <c r="J493" s="880"/>
      <c r="K493" s="881"/>
      <c r="L493" s="881"/>
      <c r="M493" s="881"/>
      <c r="N493" s="881"/>
      <c r="O493" s="881"/>
      <c r="P493" s="881"/>
      <c r="Q493" s="1302"/>
      <c r="R493" s="1302"/>
      <c r="S493" s="1302"/>
      <c r="T493" s="1302"/>
      <c r="U493" s="1302"/>
      <c r="V493" s="1302"/>
      <c r="W493" s="1302"/>
      <c r="X493" s="1302"/>
      <c r="Y493" s="1302"/>
      <c r="Z493" s="1302"/>
    </row>
    <row r="494" spans="1:26" ht="18.75">
      <c r="A494" s="1326"/>
      <c r="B494" s="1327"/>
      <c r="C494" s="1327"/>
      <c r="D494" s="1327"/>
      <c r="E494" s="1327" t="s">
        <v>208</v>
      </c>
      <c r="F494" s="1014"/>
      <c r="G494" s="1007"/>
      <c r="H494" s="1016"/>
      <c r="I494" s="880"/>
      <c r="J494" s="880"/>
      <c r="K494" s="881"/>
      <c r="L494" s="881"/>
      <c r="M494" s="881"/>
      <c r="N494" s="881"/>
      <c r="O494" s="881"/>
      <c r="P494" s="881"/>
      <c r="Q494" s="1302"/>
      <c r="R494" s="1302"/>
      <c r="S494" s="1302"/>
      <c r="T494" s="1302"/>
      <c r="U494" s="1302"/>
      <c r="V494" s="1302"/>
      <c r="W494" s="1302"/>
      <c r="X494" s="1302"/>
      <c r="Y494" s="1302"/>
      <c r="Z494" s="1302"/>
    </row>
    <row r="495" spans="1:26" ht="18.75">
      <c r="A495" s="1326"/>
      <c r="B495" s="1327"/>
      <c r="C495" s="1327"/>
      <c r="D495" s="1327"/>
      <c r="E495" s="1327"/>
      <c r="F495" s="1014" t="s">
        <v>216</v>
      </c>
      <c r="G495" s="1007"/>
      <c r="H495" s="622" t="s">
        <v>46</v>
      </c>
      <c r="I495" s="880">
        <f ca="1">IFERROR(__xludf.DUMMYFUNCTION("IMPORTRANGE(""https://docs.google.com/spreadsheets/d/1QqKyyYR6Q21VydFLVH3TRQUabQu_ym0Zz7PgGX0-kHA/edit?usp=sharing"",""แผน!FY86"")"),180)</f>
        <v>180</v>
      </c>
      <c r="J495" s="1012"/>
      <c r="K495" s="881">
        <f ca="1">IF(I495&gt;0,J495*100/I495,0)</f>
        <v>0</v>
      </c>
      <c r="L495" s="881"/>
      <c r="M495" s="881"/>
      <c r="N495" s="881"/>
      <c r="O495" s="881"/>
      <c r="P495" s="881"/>
      <c r="Q495" s="1302"/>
      <c r="R495" s="1302"/>
      <c r="S495" s="1302"/>
      <c r="T495" s="1302"/>
      <c r="U495" s="1302"/>
      <c r="V495" s="1302"/>
      <c r="W495" s="1302"/>
      <c r="X495" s="1302"/>
      <c r="Y495" s="1302"/>
      <c r="Z495" s="1302"/>
    </row>
    <row r="496" spans="1:26" ht="18.75">
      <c r="A496" s="1326"/>
      <c r="B496" s="1327"/>
      <c r="C496" s="1327"/>
      <c r="D496" s="1327"/>
      <c r="E496" s="1327"/>
      <c r="F496" s="1014" t="s">
        <v>217</v>
      </c>
      <c r="G496" s="1007"/>
      <c r="H496" s="622" t="s">
        <v>46</v>
      </c>
      <c r="I496" s="880"/>
      <c r="J496" s="1012">
        <v>0</v>
      </c>
      <c r="K496" s="881"/>
      <c r="L496" s="881"/>
      <c r="M496" s="881"/>
      <c r="N496" s="881"/>
      <c r="O496" s="881"/>
      <c r="P496" s="881"/>
      <c r="Q496" s="1302"/>
      <c r="R496" s="1302"/>
      <c r="S496" s="1302"/>
      <c r="T496" s="1302"/>
      <c r="U496" s="1302"/>
      <c r="V496" s="1302"/>
      <c r="W496" s="1302"/>
      <c r="X496" s="1302"/>
      <c r="Y496" s="1302"/>
      <c r="Z496" s="1302"/>
    </row>
    <row r="497" spans="1:26" ht="18.75">
      <c r="A497" s="1326"/>
      <c r="B497" s="1327"/>
      <c r="C497" s="1327"/>
      <c r="D497" s="1327"/>
      <c r="E497" s="1327" t="s">
        <v>62</v>
      </c>
      <c r="F497" s="1014"/>
      <c r="G497" s="1007"/>
      <c r="H497" s="1016"/>
      <c r="I497" s="880"/>
      <c r="J497" s="880"/>
      <c r="K497" s="881"/>
      <c r="L497" s="881"/>
      <c r="M497" s="881"/>
      <c r="N497" s="881"/>
      <c r="O497" s="881"/>
      <c r="P497" s="881"/>
      <c r="Q497" s="1302"/>
      <c r="R497" s="1302"/>
      <c r="S497" s="1302"/>
      <c r="T497" s="1302"/>
      <c r="U497" s="1302"/>
      <c r="V497" s="1302"/>
      <c r="W497" s="1302"/>
      <c r="X497" s="1302"/>
      <c r="Y497" s="1302"/>
      <c r="Z497" s="1302"/>
    </row>
    <row r="498" spans="1:26" ht="18.75">
      <c r="A498" s="1326"/>
      <c r="B498" s="1327"/>
      <c r="C498" s="1327"/>
      <c r="D498" s="1327"/>
      <c r="E498" s="1014"/>
      <c r="F498" s="1014" t="s">
        <v>218</v>
      </c>
      <c r="G498" s="1007"/>
      <c r="H498" s="622" t="s">
        <v>46</v>
      </c>
      <c r="I498" s="880">
        <f ca="1">IFERROR(__xludf.DUMMYFUNCTION("IMPORTRANGE(""https://docs.google.com/spreadsheets/d/1QqKyyYR6Q21VydFLVH3TRQUabQu_ym0Zz7PgGX0-kHA/edit?usp=sharing"",""แผน!GA86"")"),20)</f>
        <v>20</v>
      </c>
      <c r="J498" s="1012">
        <v>0</v>
      </c>
      <c r="K498" s="881">
        <f ca="1">IF(I498&gt;0,J498*100/I498,0)</f>
        <v>0</v>
      </c>
      <c r="L498" s="881"/>
      <c r="M498" s="881"/>
      <c r="N498" s="881"/>
      <c r="O498" s="881"/>
      <c r="P498" s="881"/>
      <c r="Q498" s="1302"/>
      <c r="R498" s="1302"/>
      <c r="S498" s="1302"/>
      <c r="T498" s="1302"/>
      <c r="U498" s="1302"/>
      <c r="V498" s="1302"/>
      <c r="W498" s="1302"/>
      <c r="X498" s="1302"/>
      <c r="Y498" s="1302"/>
      <c r="Z498" s="1302"/>
    </row>
    <row r="499" spans="1:26" ht="18.75">
      <c r="A499" s="1326"/>
      <c r="B499" s="1327"/>
      <c r="C499" s="1327"/>
      <c r="D499" s="1327"/>
      <c r="E499" s="1014"/>
      <c r="F499" s="1014" t="s">
        <v>219</v>
      </c>
      <c r="G499" s="1007"/>
      <c r="H499" s="622" t="s">
        <v>46</v>
      </c>
      <c r="I499" s="880"/>
      <c r="J499" s="1012">
        <v>0</v>
      </c>
      <c r="K499" s="881"/>
      <c r="L499" s="881"/>
      <c r="M499" s="881"/>
      <c r="N499" s="881"/>
      <c r="O499" s="881"/>
      <c r="P499" s="881"/>
      <c r="Q499" s="1302"/>
      <c r="R499" s="1302"/>
      <c r="S499" s="1302"/>
      <c r="T499" s="1302"/>
      <c r="U499" s="1302"/>
      <c r="V499" s="1302"/>
      <c r="W499" s="1302"/>
      <c r="X499" s="1302"/>
      <c r="Y499" s="1302"/>
      <c r="Z499" s="1302"/>
    </row>
    <row r="500" spans="1:26" ht="19.5" hidden="1">
      <c r="A500" s="626">
        <v>4</v>
      </c>
      <c r="B500" s="1337" t="s">
        <v>220</v>
      </c>
      <c r="C500" s="1338"/>
      <c r="D500" s="1339"/>
      <c r="E500" s="1339"/>
      <c r="F500" s="1339"/>
      <c r="G500" s="1340"/>
      <c r="H500" s="631" t="s">
        <v>109</v>
      </c>
      <c r="I500" s="1341"/>
      <c r="J500" s="1341">
        <f t="shared" ref="J500:J501" si="214">J516</f>
        <v>0</v>
      </c>
      <c r="K500" s="1342">
        <f t="shared" ref="K500:K501" si="215">IF(I500&gt;0,J500*100/I500,0)</f>
        <v>0</v>
      </c>
      <c r="L500" s="1343"/>
      <c r="M500" s="1343"/>
      <c r="N500" s="1343"/>
      <c r="O500" s="1343"/>
      <c r="P500" s="1343"/>
      <c r="Q500" s="1323"/>
      <c r="R500" s="1323"/>
      <c r="S500" s="1323"/>
      <c r="T500" s="1323"/>
      <c r="U500" s="1323"/>
      <c r="V500" s="1323"/>
      <c r="W500" s="1323"/>
      <c r="X500" s="1323"/>
      <c r="Y500" s="1323"/>
      <c r="Z500" s="1323"/>
    </row>
    <row r="501" spans="1:26" ht="19.5" hidden="1">
      <c r="A501" s="1344"/>
      <c r="B501" s="1345" t="s">
        <v>221</v>
      </c>
      <c r="C501" s="1345"/>
      <c r="D501" s="1346"/>
      <c r="E501" s="1346"/>
      <c r="F501" s="1346"/>
      <c r="G501" s="1347"/>
      <c r="H501" s="640" t="s">
        <v>35</v>
      </c>
      <c r="I501" s="1348"/>
      <c r="J501" s="1348">
        <f t="shared" si="214"/>
        <v>0</v>
      </c>
      <c r="K501" s="1349">
        <f t="shared" si="215"/>
        <v>0</v>
      </c>
      <c r="L501" s="1350"/>
      <c r="M501" s="1350"/>
      <c r="N501" s="1350"/>
      <c r="O501" s="1350"/>
      <c r="P501" s="1350"/>
      <c r="Q501" s="1323"/>
      <c r="R501" s="1323"/>
      <c r="S501" s="1323"/>
      <c r="T501" s="1323"/>
      <c r="U501" s="1323"/>
      <c r="V501" s="1323"/>
      <c r="W501" s="1323"/>
      <c r="X501" s="1323"/>
      <c r="Y501" s="1323"/>
      <c r="Z501" s="1323"/>
    </row>
    <row r="502" spans="1:26" ht="19.5" hidden="1">
      <c r="A502" s="1319"/>
      <c r="B502" s="1320"/>
      <c r="C502" s="1320" t="s">
        <v>16</v>
      </c>
      <c r="D502" s="1351" t="s">
        <v>17</v>
      </c>
      <c r="E502" s="841"/>
      <c r="F502" s="841"/>
      <c r="G502" s="1322"/>
      <c r="H502" s="644" t="s">
        <v>12</v>
      </c>
      <c r="I502" s="886"/>
      <c r="J502" s="886"/>
      <c r="K502" s="887"/>
      <c r="L502" s="1352">
        <f t="shared" ref="L502:N502" si="216">L503+L504</f>
        <v>0</v>
      </c>
      <c r="M502" s="1352">
        <f t="shared" si="216"/>
        <v>0</v>
      </c>
      <c r="N502" s="1352">
        <f t="shared" si="216"/>
        <v>0</v>
      </c>
      <c r="O502" s="1352">
        <f t="shared" ref="O502:O507" si="217">IF(L502&gt;0,N502*100/L502,0)</f>
        <v>0</v>
      </c>
      <c r="P502" s="1352">
        <f t="shared" ref="P502:P507" si="218">IF(M502&gt;0,N502*100/M502,0)</f>
        <v>0</v>
      </c>
      <c r="Q502" s="1323"/>
      <c r="R502" s="1323"/>
      <c r="S502" s="1323"/>
      <c r="T502" s="1323"/>
      <c r="U502" s="1323"/>
      <c r="V502" s="1323"/>
      <c r="W502" s="1323"/>
      <c r="X502" s="1323"/>
      <c r="Y502" s="1323"/>
      <c r="Z502" s="1323"/>
    </row>
    <row r="503" spans="1:26" ht="18.75" hidden="1">
      <c r="A503" s="1319"/>
      <c r="B503" s="1320"/>
      <c r="C503" s="1320"/>
      <c r="D503" s="1321"/>
      <c r="E503" s="1320" t="s">
        <v>185</v>
      </c>
      <c r="F503" s="1320"/>
      <c r="G503" s="1322"/>
      <c r="H503" s="165" t="s">
        <v>12</v>
      </c>
      <c r="I503" s="886"/>
      <c r="J503" s="886"/>
      <c r="K503" s="887"/>
      <c r="L503" s="887">
        <f t="shared" ref="L503:N504" si="219">L506+L513</f>
        <v>0</v>
      </c>
      <c r="M503" s="887">
        <f t="shared" si="219"/>
        <v>0</v>
      </c>
      <c r="N503" s="887">
        <f t="shared" si="219"/>
        <v>0</v>
      </c>
      <c r="O503" s="887">
        <f t="shared" si="217"/>
        <v>0</v>
      </c>
      <c r="P503" s="887">
        <f t="shared" si="218"/>
        <v>0</v>
      </c>
      <c r="Q503" s="1323"/>
      <c r="R503" s="1323"/>
      <c r="S503" s="1323"/>
      <c r="T503" s="1323"/>
      <c r="U503" s="1323"/>
      <c r="V503" s="1323"/>
      <c r="W503" s="1323"/>
      <c r="X503" s="1323"/>
      <c r="Y503" s="1323"/>
      <c r="Z503" s="1323"/>
    </row>
    <row r="504" spans="1:26" ht="18.75" hidden="1">
      <c r="A504" s="1319"/>
      <c r="B504" s="1324"/>
      <c r="C504" s="1320"/>
      <c r="D504" s="1321"/>
      <c r="E504" s="1320" t="s">
        <v>186</v>
      </c>
      <c r="F504" s="1320"/>
      <c r="G504" s="1322"/>
      <c r="H504" s="165" t="s">
        <v>12</v>
      </c>
      <c r="I504" s="886"/>
      <c r="J504" s="886"/>
      <c r="K504" s="887"/>
      <c r="L504" s="887">
        <f t="shared" si="219"/>
        <v>0</v>
      </c>
      <c r="M504" s="887">
        <f t="shared" si="219"/>
        <v>0</v>
      </c>
      <c r="N504" s="887">
        <f t="shared" si="219"/>
        <v>0</v>
      </c>
      <c r="O504" s="887">
        <f t="shared" si="217"/>
        <v>0</v>
      </c>
      <c r="P504" s="887">
        <f t="shared" si="218"/>
        <v>0</v>
      </c>
      <c r="Q504" s="1323"/>
      <c r="R504" s="1323"/>
      <c r="S504" s="1323"/>
      <c r="T504" s="1323"/>
      <c r="U504" s="1323"/>
      <c r="V504" s="1323"/>
      <c r="W504" s="1323"/>
      <c r="X504" s="1323"/>
      <c r="Y504" s="1323"/>
      <c r="Z504" s="1323"/>
    </row>
    <row r="505" spans="1:26" ht="18.75" hidden="1">
      <c r="A505" s="1319"/>
      <c r="B505" s="1324"/>
      <c r="C505" s="1320"/>
      <c r="D505" s="1353" t="s">
        <v>20</v>
      </c>
      <c r="E505" s="1320"/>
      <c r="F505" s="1320"/>
      <c r="G505" s="1322"/>
      <c r="H505" s="165" t="s">
        <v>12</v>
      </c>
      <c r="I505" s="1000"/>
      <c r="J505" s="1000"/>
      <c r="K505" s="1001"/>
      <c r="L505" s="887">
        <f t="shared" ref="L505:N505" si="220">L506+L507</f>
        <v>0</v>
      </c>
      <c r="M505" s="887">
        <f t="shared" si="220"/>
        <v>0</v>
      </c>
      <c r="N505" s="887">
        <f t="shared" si="220"/>
        <v>0</v>
      </c>
      <c r="O505" s="887">
        <f t="shared" si="217"/>
        <v>0</v>
      </c>
      <c r="P505" s="887">
        <f t="shared" si="218"/>
        <v>0</v>
      </c>
      <c r="Q505" s="1323"/>
      <c r="R505" s="1323"/>
      <c r="S505" s="1323"/>
      <c r="T505" s="1323"/>
      <c r="U505" s="1323"/>
      <c r="V505" s="1323"/>
      <c r="W505" s="1323"/>
      <c r="X505" s="1323"/>
      <c r="Y505" s="1323"/>
      <c r="Z505" s="1323"/>
    </row>
    <row r="506" spans="1:26" ht="18.75" hidden="1">
      <c r="A506" s="1319"/>
      <c r="B506" s="1324"/>
      <c r="C506" s="1320"/>
      <c r="D506" s="1321"/>
      <c r="E506" s="1320" t="s">
        <v>185</v>
      </c>
      <c r="F506" s="1320"/>
      <c r="G506" s="1322"/>
      <c r="H506" s="165" t="s">
        <v>12</v>
      </c>
      <c r="I506" s="886"/>
      <c r="J506" s="886"/>
      <c r="K506" s="887"/>
      <c r="L506" s="887">
        <v>0</v>
      </c>
      <c r="M506" s="887">
        <v>0</v>
      </c>
      <c r="N506" s="887">
        <v>0</v>
      </c>
      <c r="O506" s="887">
        <f t="shared" si="217"/>
        <v>0</v>
      </c>
      <c r="P506" s="887">
        <f t="shared" si="218"/>
        <v>0</v>
      </c>
      <c r="Q506" s="1323"/>
      <c r="R506" s="1323"/>
      <c r="S506" s="1323"/>
      <c r="T506" s="1323"/>
      <c r="U506" s="1323"/>
      <c r="V506" s="1323"/>
      <c r="W506" s="1323"/>
      <c r="X506" s="1323"/>
      <c r="Y506" s="1323"/>
      <c r="Z506" s="1323"/>
    </row>
    <row r="507" spans="1:26" ht="18.75" hidden="1">
      <c r="A507" s="1319"/>
      <c r="B507" s="1324"/>
      <c r="C507" s="1320"/>
      <c r="D507" s="1321"/>
      <c r="E507" s="1320" t="s">
        <v>186</v>
      </c>
      <c r="F507" s="1320"/>
      <c r="G507" s="1322"/>
      <c r="H507" s="165" t="s">
        <v>12</v>
      </c>
      <c r="I507" s="886"/>
      <c r="J507" s="886"/>
      <c r="K507" s="887"/>
      <c r="L507" s="887">
        <v>0</v>
      </c>
      <c r="M507" s="887">
        <v>0</v>
      </c>
      <c r="N507" s="887">
        <f>N508+N509+N510+N511</f>
        <v>0</v>
      </c>
      <c r="O507" s="887">
        <f t="shared" si="217"/>
        <v>0</v>
      </c>
      <c r="P507" s="887">
        <f t="shared" si="218"/>
        <v>0</v>
      </c>
      <c r="Q507" s="1323"/>
      <c r="R507" s="1323"/>
      <c r="S507" s="1323"/>
      <c r="T507" s="1323"/>
      <c r="U507" s="1323"/>
      <c r="V507" s="1323"/>
      <c r="W507" s="1323"/>
      <c r="X507" s="1323"/>
      <c r="Y507" s="1323"/>
      <c r="Z507" s="1323"/>
    </row>
    <row r="508" spans="1:26" ht="18.75" hidden="1">
      <c r="A508" s="1354"/>
      <c r="B508" s="1324"/>
      <c r="C508" s="1320"/>
      <c r="D508" s="1320"/>
      <c r="E508" s="1320"/>
      <c r="F508" s="1320" t="s">
        <v>187</v>
      </c>
      <c r="G508" s="1322"/>
      <c r="H508" s="165" t="s">
        <v>12</v>
      </c>
      <c r="I508" s="886"/>
      <c r="J508" s="886"/>
      <c r="K508" s="887"/>
      <c r="L508" s="887"/>
      <c r="M508" s="887"/>
      <c r="N508" s="887">
        <v>0</v>
      </c>
      <c r="O508" s="887"/>
      <c r="P508" s="887"/>
      <c r="Q508" s="1323"/>
      <c r="R508" s="1323"/>
      <c r="S508" s="1323"/>
      <c r="T508" s="1323"/>
      <c r="U508" s="1323"/>
      <c r="V508" s="1323"/>
      <c r="W508" s="1323"/>
      <c r="X508" s="1323"/>
      <c r="Y508" s="1323"/>
      <c r="Z508" s="1323"/>
    </row>
    <row r="509" spans="1:26" ht="18.75" hidden="1">
      <c r="A509" s="1354"/>
      <c r="B509" s="1324"/>
      <c r="C509" s="1320"/>
      <c r="D509" s="1320"/>
      <c r="E509" s="1320"/>
      <c r="F509" s="1320" t="s">
        <v>188</v>
      </c>
      <c r="G509" s="1322"/>
      <c r="H509" s="165" t="s">
        <v>12</v>
      </c>
      <c r="I509" s="886"/>
      <c r="J509" s="886"/>
      <c r="K509" s="887"/>
      <c r="L509" s="887"/>
      <c r="M509" s="887"/>
      <c r="N509" s="887">
        <v>0</v>
      </c>
      <c r="O509" s="887"/>
      <c r="P509" s="887"/>
      <c r="Q509" s="1323"/>
      <c r="R509" s="1323"/>
      <c r="S509" s="1323"/>
      <c r="T509" s="1323"/>
      <c r="U509" s="1323"/>
      <c r="V509" s="1323"/>
      <c r="W509" s="1323"/>
      <c r="X509" s="1323"/>
      <c r="Y509" s="1323"/>
      <c r="Z509" s="1323"/>
    </row>
    <row r="510" spans="1:26" ht="18.75" hidden="1">
      <c r="A510" s="1354"/>
      <c r="B510" s="1324"/>
      <c r="C510" s="1324"/>
      <c r="D510" s="1324"/>
      <c r="E510" s="1320"/>
      <c r="F510" s="1320" t="s">
        <v>189</v>
      </c>
      <c r="G510" s="1322"/>
      <c r="H510" s="165" t="s">
        <v>12</v>
      </c>
      <c r="I510" s="886"/>
      <c r="J510" s="886"/>
      <c r="K510" s="887"/>
      <c r="L510" s="887"/>
      <c r="M510" s="887"/>
      <c r="N510" s="887">
        <v>0</v>
      </c>
      <c r="O510" s="887"/>
      <c r="P510" s="887"/>
      <c r="Q510" s="1323"/>
      <c r="R510" s="1323"/>
      <c r="S510" s="1323"/>
      <c r="T510" s="1323"/>
      <c r="U510" s="1323"/>
      <c r="V510" s="1323"/>
      <c r="W510" s="1323"/>
      <c r="X510" s="1323"/>
      <c r="Y510" s="1323"/>
      <c r="Z510" s="1323"/>
    </row>
    <row r="511" spans="1:26" ht="18.75" hidden="1">
      <c r="A511" s="1354"/>
      <c r="B511" s="1324"/>
      <c r="C511" s="1324"/>
      <c r="D511" s="1324"/>
      <c r="E511" s="1320"/>
      <c r="F511" s="1320" t="s">
        <v>190</v>
      </c>
      <c r="G511" s="1322"/>
      <c r="H511" s="165" t="s">
        <v>12</v>
      </c>
      <c r="I511" s="886"/>
      <c r="J511" s="886"/>
      <c r="K511" s="887"/>
      <c r="L511" s="887"/>
      <c r="M511" s="887"/>
      <c r="N511" s="887">
        <v>0</v>
      </c>
      <c r="O511" s="887"/>
      <c r="P511" s="887"/>
      <c r="Q511" s="1323"/>
      <c r="R511" s="1323"/>
      <c r="S511" s="1323"/>
      <c r="T511" s="1323"/>
      <c r="U511" s="1323"/>
      <c r="V511" s="1323"/>
      <c r="W511" s="1323"/>
      <c r="X511" s="1323"/>
      <c r="Y511" s="1323"/>
      <c r="Z511" s="1323"/>
    </row>
    <row r="512" spans="1:26" ht="18.75" hidden="1">
      <c r="A512" s="1319"/>
      <c r="B512" s="1324"/>
      <c r="C512" s="1324"/>
      <c r="D512" s="1353" t="s">
        <v>21</v>
      </c>
      <c r="E512" s="1324"/>
      <c r="F512" s="1320"/>
      <c r="G512" s="1322"/>
      <c r="H512" s="169" t="s">
        <v>12</v>
      </c>
      <c r="I512" s="1000"/>
      <c r="J512" s="1000"/>
      <c r="K512" s="1001"/>
      <c r="L512" s="887">
        <f t="shared" ref="L512:N512" si="221">L513+L514</f>
        <v>0</v>
      </c>
      <c r="M512" s="887">
        <f t="shared" si="221"/>
        <v>0</v>
      </c>
      <c r="N512" s="887">
        <f t="shared" si="221"/>
        <v>0</v>
      </c>
      <c r="O512" s="887">
        <f t="shared" ref="O512:O514" si="222">IF(L512&gt;0,N512*100/L512,0)</f>
        <v>0</v>
      </c>
      <c r="P512" s="887">
        <f t="shared" ref="P512:P514" si="223">IF(M512&gt;0,N512*100/M512,0)</f>
        <v>0</v>
      </c>
      <c r="Q512" s="1323"/>
      <c r="R512" s="1323"/>
      <c r="S512" s="1323"/>
      <c r="T512" s="1323"/>
      <c r="U512" s="1323"/>
      <c r="V512" s="1323"/>
      <c r="W512" s="1323"/>
      <c r="X512" s="1323"/>
      <c r="Y512" s="1323"/>
      <c r="Z512" s="1323"/>
    </row>
    <row r="513" spans="1:26" ht="18.75" hidden="1">
      <c r="A513" s="1319"/>
      <c r="B513" s="1324"/>
      <c r="C513" s="1324"/>
      <c r="D513" s="1324"/>
      <c r="E513" s="1324" t="s">
        <v>18</v>
      </c>
      <c r="F513" s="1320"/>
      <c r="G513" s="1322"/>
      <c r="H513" s="165" t="s">
        <v>12</v>
      </c>
      <c r="I513" s="1000"/>
      <c r="J513" s="1000"/>
      <c r="K513" s="1001"/>
      <c r="L513" s="887">
        <v>0</v>
      </c>
      <c r="M513" s="887">
        <v>0</v>
      </c>
      <c r="N513" s="887">
        <v>0</v>
      </c>
      <c r="O513" s="887">
        <f t="shared" si="222"/>
        <v>0</v>
      </c>
      <c r="P513" s="887">
        <f t="shared" si="223"/>
        <v>0</v>
      </c>
      <c r="Q513" s="1323"/>
      <c r="R513" s="1323"/>
      <c r="S513" s="1323"/>
      <c r="T513" s="1323"/>
      <c r="U513" s="1323"/>
      <c r="V513" s="1323"/>
      <c r="W513" s="1323"/>
      <c r="X513" s="1323"/>
      <c r="Y513" s="1323"/>
      <c r="Z513" s="1323"/>
    </row>
    <row r="514" spans="1:26" ht="18.75" hidden="1">
      <c r="A514" s="1319"/>
      <c r="B514" s="1324"/>
      <c r="C514" s="1324"/>
      <c r="D514" s="1320"/>
      <c r="E514" s="1324" t="s">
        <v>19</v>
      </c>
      <c r="F514" s="1320"/>
      <c r="G514" s="1322"/>
      <c r="H514" s="169" t="s">
        <v>12</v>
      </c>
      <c r="I514" s="1000"/>
      <c r="J514" s="1000"/>
      <c r="K514" s="1001"/>
      <c r="L514" s="887">
        <v>0</v>
      </c>
      <c r="M514" s="887">
        <v>0</v>
      </c>
      <c r="N514" s="887">
        <v>0</v>
      </c>
      <c r="O514" s="887">
        <f t="shared" si="222"/>
        <v>0</v>
      </c>
      <c r="P514" s="887">
        <f t="shared" si="223"/>
        <v>0</v>
      </c>
      <c r="Q514" s="1323"/>
      <c r="R514" s="1323"/>
      <c r="S514" s="1323"/>
      <c r="T514" s="1323"/>
      <c r="U514" s="1323"/>
      <c r="V514" s="1323"/>
      <c r="W514" s="1323"/>
      <c r="X514" s="1323"/>
      <c r="Y514" s="1323"/>
      <c r="Z514" s="1323"/>
    </row>
    <row r="515" spans="1:26" ht="19.5" hidden="1">
      <c r="A515" s="1332"/>
      <c r="B515" s="1333"/>
      <c r="C515" s="1324" t="s">
        <v>16</v>
      </c>
      <c r="D515" s="1355" t="s">
        <v>38</v>
      </c>
      <c r="E515" s="1356"/>
      <c r="F515" s="1356"/>
      <c r="G515" s="1357"/>
      <c r="H515" s="1113"/>
      <c r="I515" s="1000"/>
      <c r="J515" s="1000"/>
      <c r="K515" s="1001"/>
      <c r="L515" s="1001"/>
      <c r="M515" s="1001"/>
      <c r="N515" s="1001"/>
      <c r="O515" s="1001"/>
      <c r="P515" s="1001"/>
      <c r="Q515" s="1323"/>
      <c r="R515" s="1323"/>
      <c r="S515" s="1323"/>
      <c r="T515" s="1323"/>
      <c r="U515" s="1323"/>
      <c r="V515" s="1323"/>
      <c r="W515" s="1323"/>
      <c r="X515" s="1323"/>
      <c r="Y515" s="1323"/>
      <c r="Z515" s="1323"/>
    </row>
    <row r="516" spans="1:26" ht="18.75" hidden="1">
      <c r="A516" s="1332"/>
      <c r="B516" s="1333"/>
      <c r="C516" s="1333"/>
      <c r="D516" s="1333" t="s">
        <v>222</v>
      </c>
      <c r="E516" s="1321"/>
      <c r="F516" s="1321"/>
      <c r="G516" s="1113"/>
      <c r="H516" s="651" t="s">
        <v>109</v>
      </c>
      <c r="I516" s="886"/>
      <c r="J516" s="886">
        <v>0</v>
      </c>
      <c r="K516" s="1001">
        <f t="shared" ref="K516:K517" si="224">IF(I516&gt;0,J516*100/I516,0)</f>
        <v>0</v>
      </c>
      <c r="L516" s="1001"/>
      <c r="M516" s="1001"/>
      <c r="N516" s="1001"/>
      <c r="O516" s="1001"/>
      <c r="P516" s="1001"/>
      <c r="Q516" s="1323"/>
      <c r="R516" s="1323"/>
      <c r="S516" s="1323"/>
      <c r="T516" s="1323"/>
      <c r="U516" s="1323"/>
      <c r="V516" s="1323"/>
      <c r="W516" s="1323"/>
      <c r="X516" s="1323"/>
      <c r="Y516" s="1323"/>
      <c r="Z516" s="1323"/>
    </row>
    <row r="517" spans="1:26" ht="19.5" hidden="1">
      <c r="A517" s="1332"/>
      <c r="B517" s="1333"/>
      <c r="C517" s="1333"/>
      <c r="D517" s="1333" t="s">
        <v>223</v>
      </c>
      <c r="E517" s="1321"/>
      <c r="F517" s="1321"/>
      <c r="G517" s="1113"/>
      <c r="H517" s="652" t="s">
        <v>35</v>
      </c>
      <c r="I517" s="1358"/>
      <c r="J517" s="1358">
        <f>J518+J519</f>
        <v>0</v>
      </c>
      <c r="K517" s="1359">
        <f t="shared" si="224"/>
        <v>0</v>
      </c>
      <c r="L517" s="1001"/>
      <c r="M517" s="1001"/>
      <c r="N517" s="1001"/>
      <c r="O517" s="1001"/>
      <c r="P517" s="1001"/>
      <c r="Q517" s="1323"/>
      <c r="R517" s="1323"/>
      <c r="S517" s="1323"/>
      <c r="T517" s="1323"/>
      <c r="U517" s="1323"/>
      <c r="V517" s="1323"/>
      <c r="W517" s="1323"/>
      <c r="X517" s="1323"/>
      <c r="Y517" s="1323"/>
      <c r="Z517" s="1323"/>
    </row>
    <row r="518" spans="1:26" ht="18.75" hidden="1">
      <c r="A518" s="1332"/>
      <c r="B518" s="1333"/>
      <c r="C518" s="1333"/>
      <c r="D518" s="1333"/>
      <c r="E518" s="1333" t="s">
        <v>224</v>
      </c>
      <c r="F518" s="1321"/>
      <c r="G518" s="1113"/>
      <c r="H518" s="370" t="s">
        <v>35</v>
      </c>
      <c r="I518" s="886"/>
      <c r="J518" s="886"/>
      <c r="K518" s="1001"/>
      <c r="L518" s="1001"/>
      <c r="M518" s="1001"/>
      <c r="N518" s="1001"/>
      <c r="O518" s="1001"/>
      <c r="P518" s="1001"/>
      <c r="Q518" s="1323"/>
      <c r="R518" s="1323"/>
      <c r="S518" s="1323"/>
      <c r="T518" s="1323"/>
      <c r="U518" s="1323"/>
      <c r="V518" s="1323"/>
      <c r="W518" s="1323"/>
      <c r="X518" s="1323"/>
      <c r="Y518" s="1323"/>
      <c r="Z518" s="1323"/>
    </row>
    <row r="519" spans="1:26" ht="18.75" hidden="1">
      <c r="A519" s="1332"/>
      <c r="B519" s="1333"/>
      <c r="C519" s="1333"/>
      <c r="D519" s="1333"/>
      <c r="E519" s="1333" t="s">
        <v>225</v>
      </c>
      <c r="F519" s="1321"/>
      <c r="G519" s="1113"/>
      <c r="H519" s="651" t="s">
        <v>35</v>
      </c>
      <c r="I519" s="886"/>
      <c r="J519" s="886"/>
      <c r="K519" s="1001"/>
      <c r="L519" s="1001"/>
      <c r="M519" s="1001"/>
      <c r="N519" s="1001"/>
      <c r="O519" s="1001"/>
      <c r="P519" s="1001"/>
      <c r="Q519" s="1323"/>
      <c r="R519" s="1323"/>
      <c r="S519" s="1323"/>
      <c r="T519" s="1323"/>
      <c r="U519" s="1323"/>
      <c r="V519" s="1323"/>
      <c r="W519" s="1323"/>
      <c r="X519" s="1323"/>
      <c r="Y519" s="1323"/>
      <c r="Z519" s="1323"/>
    </row>
    <row r="520" spans="1:26" ht="19.5">
      <c r="A520" s="1360" t="s">
        <v>137</v>
      </c>
      <c r="B520" s="1361"/>
      <c r="C520" s="1361"/>
      <c r="D520" s="1362"/>
      <c r="E520" s="1362"/>
      <c r="F520" s="1362"/>
      <c r="G520" s="1363"/>
      <c r="H520" s="1364"/>
      <c r="I520" s="1365"/>
      <c r="J520" s="1365"/>
      <c r="K520" s="1366"/>
      <c r="L520" s="1366"/>
      <c r="M520" s="1366"/>
      <c r="N520" s="1366"/>
      <c r="O520" s="1366"/>
      <c r="P520" s="1366"/>
    </row>
    <row r="521" spans="1:26" ht="19.5">
      <c r="A521" s="662">
        <v>5</v>
      </c>
      <c r="B521" s="1367" t="s">
        <v>226</v>
      </c>
      <c r="C521" s="1368"/>
      <c r="D521" s="1369"/>
      <c r="E521" s="1369"/>
      <c r="F521" s="1369"/>
      <c r="G521" s="1369"/>
      <c r="H521" s="1370"/>
      <c r="I521" s="1371"/>
      <c r="J521" s="1371"/>
      <c r="K521" s="1372"/>
      <c r="L521" s="1372"/>
      <c r="M521" s="1372"/>
      <c r="N521" s="1372"/>
      <c r="O521" s="1372"/>
      <c r="P521" s="1372"/>
      <c r="Q521" s="1302"/>
      <c r="R521" s="1302"/>
      <c r="S521" s="1302"/>
      <c r="T521" s="1302"/>
      <c r="U521" s="1302"/>
      <c r="V521" s="1302"/>
      <c r="W521" s="1302"/>
      <c r="X521" s="1302"/>
      <c r="Y521" s="1302"/>
      <c r="Z521" s="1302"/>
    </row>
    <row r="522" spans="1:26" ht="19.5">
      <c r="A522" s="1373"/>
      <c r="B522" s="1374" t="s">
        <v>227</v>
      </c>
      <c r="C522" s="1375"/>
      <c r="D522" s="1375"/>
      <c r="E522" s="1375"/>
      <c r="F522" s="1375"/>
      <c r="G522" s="1376"/>
      <c r="H522" s="673" t="s">
        <v>35</v>
      </c>
      <c r="I522" s="1377">
        <f t="shared" ref="I522:J522" ca="1" si="225">I537</f>
        <v>30</v>
      </c>
      <c r="J522" s="1377">
        <f t="shared" ca="1" si="225"/>
        <v>30</v>
      </c>
      <c r="K522" s="1378">
        <f ca="1">IF(I522&gt;0,J522*100/I522,0)</f>
        <v>100</v>
      </c>
      <c r="L522" s="1379"/>
      <c r="M522" s="1379"/>
      <c r="N522" s="1379"/>
      <c r="O522" s="1379"/>
      <c r="P522" s="1379"/>
      <c r="Q522" s="1302"/>
      <c r="R522" s="1302"/>
      <c r="S522" s="1302"/>
      <c r="T522" s="1302"/>
      <c r="U522" s="1302"/>
      <c r="V522" s="1302"/>
      <c r="W522" s="1302"/>
      <c r="X522" s="1302"/>
      <c r="Y522" s="1302"/>
      <c r="Z522" s="1302"/>
    </row>
    <row r="523" spans="1:26" ht="19.5">
      <c r="A523" s="1317"/>
      <c r="B523" s="1301"/>
      <c r="C523" s="1301" t="s">
        <v>16</v>
      </c>
      <c r="D523" s="1318" t="s">
        <v>17</v>
      </c>
      <c r="E523" s="841"/>
      <c r="F523" s="841"/>
      <c r="G523" s="1016"/>
      <c r="H523" s="597" t="s">
        <v>12</v>
      </c>
      <c r="I523" s="880"/>
      <c r="J523" s="880"/>
      <c r="K523" s="881"/>
      <c r="L523" s="1020">
        <f t="shared" ref="L523:N523" ca="1" si="226">L524+L525</f>
        <v>288960</v>
      </c>
      <c r="M523" s="1020">
        <f t="shared" ca="1" si="226"/>
        <v>288960</v>
      </c>
      <c r="N523" s="1020">
        <f t="shared" si="226"/>
        <v>118680</v>
      </c>
      <c r="O523" s="1020">
        <f t="shared" ref="O523:O528" ca="1" si="227">IF(L523&gt;0,N523*100/L523,0)</f>
        <v>41.071428571428569</v>
      </c>
      <c r="P523" s="1020">
        <f t="shared" ref="P523:P528" ca="1" si="228">IF(M523&gt;0,N523*100/M523,0)</f>
        <v>41.071428571428569</v>
      </c>
      <c r="Q523" s="1302"/>
      <c r="R523" s="1302"/>
      <c r="S523" s="1302"/>
      <c r="T523" s="1302"/>
      <c r="U523" s="1302"/>
      <c r="V523" s="1302"/>
      <c r="W523" s="1302"/>
      <c r="X523" s="1302"/>
      <c r="Y523" s="1302"/>
      <c r="Z523" s="1302"/>
    </row>
    <row r="524" spans="1:26" ht="18.75" hidden="1">
      <c r="A524" s="1319"/>
      <c r="B524" s="1320"/>
      <c r="C524" s="1320"/>
      <c r="D524" s="1321"/>
      <c r="E524" s="1320" t="s">
        <v>185</v>
      </c>
      <c r="F524" s="1320"/>
      <c r="G524" s="1322"/>
      <c r="H524" s="165" t="s">
        <v>12</v>
      </c>
      <c r="I524" s="886"/>
      <c r="J524" s="886"/>
      <c r="K524" s="887"/>
      <c r="L524" s="887">
        <f t="shared" ref="L524:N525" si="229">L527+L534</f>
        <v>0</v>
      </c>
      <c r="M524" s="887">
        <f t="shared" si="229"/>
        <v>0</v>
      </c>
      <c r="N524" s="887">
        <f t="shared" si="229"/>
        <v>0</v>
      </c>
      <c r="O524" s="887">
        <f t="shared" si="227"/>
        <v>0</v>
      </c>
      <c r="P524" s="887">
        <f t="shared" si="228"/>
        <v>0</v>
      </c>
      <c r="Q524" s="1323"/>
      <c r="R524" s="1323"/>
      <c r="S524" s="1323"/>
      <c r="T524" s="1323"/>
      <c r="U524" s="1323"/>
      <c r="V524" s="1323"/>
      <c r="W524" s="1323"/>
      <c r="X524" s="1323"/>
      <c r="Y524" s="1323"/>
      <c r="Z524" s="1323"/>
    </row>
    <row r="525" spans="1:26" ht="18.75" hidden="1">
      <c r="A525" s="1319"/>
      <c r="B525" s="1324"/>
      <c r="C525" s="1320"/>
      <c r="D525" s="1321"/>
      <c r="E525" s="1320" t="s">
        <v>186</v>
      </c>
      <c r="F525" s="1320"/>
      <c r="G525" s="1322"/>
      <c r="H525" s="165" t="s">
        <v>12</v>
      </c>
      <c r="I525" s="886"/>
      <c r="J525" s="886"/>
      <c r="K525" s="887"/>
      <c r="L525" s="887">
        <f t="shared" ca="1" si="229"/>
        <v>288960</v>
      </c>
      <c r="M525" s="887">
        <f t="shared" ca="1" si="229"/>
        <v>288960</v>
      </c>
      <c r="N525" s="887">
        <f t="shared" si="229"/>
        <v>118680</v>
      </c>
      <c r="O525" s="887">
        <f t="shared" ca="1" si="227"/>
        <v>41.071428571428569</v>
      </c>
      <c r="P525" s="887">
        <f t="shared" ca="1" si="228"/>
        <v>41.071428571428569</v>
      </c>
      <c r="Q525" s="1323"/>
      <c r="R525" s="1323"/>
      <c r="S525" s="1323"/>
      <c r="T525" s="1323"/>
      <c r="U525" s="1323"/>
      <c r="V525" s="1323"/>
      <c r="W525" s="1323"/>
      <c r="X525" s="1323"/>
      <c r="Y525" s="1323"/>
      <c r="Z525" s="1323"/>
    </row>
    <row r="526" spans="1:26" ht="18.75">
      <c r="A526" s="1317"/>
      <c r="B526" s="1300"/>
      <c r="C526" s="1301"/>
      <c r="D526" s="1325" t="s">
        <v>20</v>
      </c>
      <c r="E526" s="1301"/>
      <c r="F526" s="1301"/>
      <c r="G526" s="1016"/>
      <c r="H526" s="161" t="s">
        <v>12</v>
      </c>
      <c r="I526" s="997"/>
      <c r="J526" s="997"/>
      <c r="K526" s="998"/>
      <c r="L526" s="881">
        <f t="shared" ref="L526:N526" ca="1" si="230">L527+L528</f>
        <v>288960</v>
      </c>
      <c r="M526" s="881">
        <f t="shared" ca="1" si="230"/>
        <v>288960</v>
      </c>
      <c r="N526" s="881">
        <f t="shared" si="230"/>
        <v>118680</v>
      </c>
      <c r="O526" s="881">
        <f t="shared" ca="1" si="227"/>
        <v>41.071428571428569</v>
      </c>
      <c r="P526" s="881">
        <f t="shared" ca="1" si="228"/>
        <v>41.071428571428569</v>
      </c>
      <c r="Q526" s="1302"/>
      <c r="R526" s="1302"/>
      <c r="S526" s="1302"/>
      <c r="T526" s="1302"/>
      <c r="U526" s="1302"/>
      <c r="V526" s="1302"/>
      <c r="W526" s="1302"/>
      <c r="X526" s="1302"/>
      <c r="Y526" s="1302"/>
      <c r="Z526" s="1302"/>
    </row>
    <row r="527" spans="1:26" ht="18.75" hidden="1">
      <c r="A527" s="1319"/>
      <c r="B527" s="1324"/>
      <c r="C527" s="1320"/>
      <c r="D527" s="1321"/>
      <c r="E527" s="1320" t="s">
        <v>185</v>
      </c>
      <c r="F527" s="1320"/>
      <c r="G527" s="1322"/>
      <c r="H527" s="165" t="s">
        <v>12</v>
      </c>
      <c r="I527" s="886"/>
      <c r="J527" s="886"/>
      <c r="K527" s="887"/>
      <c r="L527" s="887">
        <v>0</v>
      </c>
      <c r="M527" s="887">
        <v>0</v>
      </c>
      <c r="N527" s="887">
        <v>0</v>
      </c>
      <c r="O527" s="887">
        <f t="shared" si="227"/>
        <v>0</v>
      </c>
      <c r="P527" s="887">
        <f t="shared" si="228"/>
        <v>0</v>
      </c>
      <c r="Q527" s="1323"/>
      <c r="R527" s="1323"/>
      <c r="S527" s="1323"/>
      <c r="T527" s="1323"/>
      <c r="U527" s="1323"/>
      <c r="V527" s="1323"/>
      <c r="W527" s="1323"/>
      <c r="X527" s="1323"/>
      <c r="Y527" s="1323"/>
      <c r="Z527" s="1323"/>
    </row>
    <row r="528" spans="1:26" ht="18.75" hidden="1">
      <c r="A528" s="1319"/>
      <c r="B528" s="1324"/>
      <c r="C528" s="1320"/>
      <c r="D528" s="1321"/>
      <c r="E528" s="1320" t="s">
        <v>186</v>
      </c>
      <c r="F528" s="1320"/>
      <c r="G528" s="1322"/>
      <c r="H528" s="165" t="s">
        <v>12</v>
      </c>
      <c r="I528" s="886"/>
      <c r="J528" s="886"/>
      <c r="K528" s="887"/>
      <c r="L528" s="887">
        <f ca="1">IFERROR(__xludf.DUMMYFUNCTION("IMPORTRANGE(""https://docs.google.com/spreadsheets/d/1QqKyyYR6Q21VydFLVH3TRQUabQu_ym0Zz7PgGX0-kHA/edit?usp=sharing"",""แผน!GQ86"")"),288960)</f>
        <v>288960</v>
      </c>
      <c r="M528" s="887">
        <f ca="1">L528</f>
        <v>288960</v>
      </c>
      <c r="N528" s="887">
        <f>N529+N530+N531+N532</f>
        <v>118680</v>
      </c>
      <c r="O528" s="887">
        <f t="shared" ca="1" si="227"/>
        <v>41.071428571428569</v>
      </c>
      <c r="P528" s="887">
        <f t="shared" ca="1" si="228"/>
        <v>41.071428571428569</v>
      </c>
      <c r="Q528" s="1323"/>
      <c r="R528" s="1323"/>
      <c r="S528" s="1323"/>
      <c r="T528" s="1323"/>
      <c r="U528" s="1323"/>
      <c r="V528" s="1323"/>
      <c r="W528" s="1323"/>
      <c r="X528" s="1323"/>
      <c r="Y528" s="1323"/>
      <c r="Z528" s="1323"/>
    </row>
    <row r="529" spans="1:26" ht="18.75">
      <c r="A529" s="1299"/>
      <c r="B529" s="1300"/>
      <c r="C529" s="1301"/>
      <c r="D529" s="1301"/>
      <c r="E529" s="1301"/>
      <c r="F529" s="1301" t="s">
        <v>187</v>
      </c>
      <c r="G529" s="1016"/>
      <c r="H529" s="161" t="s">
        <v>12</v>
      </c>
      <c r="I529" s="880"/>
      <c r="J529" s="880"/>
      <c r="K529" s="881"/>
      <c r="L529" s="881"/>
      <c r="M529" s="881"/>
      <c r="N529" s="1085">
        <v>106200</v>
      </c>
      <c r="O529" s="881"/>
      <c r="P529" s="881"/>
      <c r="Q529" s="1302"/>
      <c r="R529" s="1302"/>
      <c r="S529" s="1302"/>
      <c r="T529" s="1302"/>
      <c r="U529" s="1302"/>
      <c r="V529" s="1302"/>
      <c r="W529" s="1302"/>
      <c r="X529" s="1302"/>
      <c r="Y529" s="1302"/>
      <c r="Z529" s="1302"/>
    </row>
    <row r="530" spans="1:26" ht="18.75">
      <c r="A530" s="1299"/>
      <c r="B530" s="1300"/>
      <c r="C530" s="1301"/>
      <c r="D530" s="1301"/>
      <c r="E530" s="1301"/>
      <c r="F530" s="1301" t="s">
        <v>188</v>
      </c>
      <c r="G530" s="1016"/>
      <c r="H530" s="161" t="s">
        <v>12</v>
      </c>
      <c r="I530" s="880"/>
      <c r="J530" s="880"/>
      <c r="K530" s="881"/>
      <c r="L530" s="881"/>
      <c r="M530" s="881"/>
      <c r="N530" s="1085">
        <v>0</v>
      </c>
      <c r="O530" s="881"/>
      <c r="P530" s="881"/>
      <c r="Q530" s="1302"/>
      <c r="R530" s="1302"/>
      <c r="S530" s="1302"/>
      <c r="T530" s="1302"/>
      <c r="U530" s="1302"/>
      <c r="V530" s="1302"/>
      <c r="W530" s="1302"/>
      <c r="X530" s="1302"/>
      <c r="Y530" s="1302"/>
      <c r="Z530" s="1302"/>
    </row>
    <row r="531" spans="1:26" ht="18.75">
      <c r="A531" s="1299"/>
      <c r="B531" s="1300"/>
      <c r="C531" s="1301"/>
      <c r="D531" s="1301"/>
      <c r="E531" s="1301"/>
      <c r="F531" s="1301" t="s">
        <v>189</v>
      </c>
      <c r="G531" s="1016"/>
      <c r="H531" s="161" t="s">
        <v>12</v>
      </c>
      <c r="I531" s="880"/>
      <c r="J531" s="880"/>
      <c r="K531" s="881"/>
      <c r="L531" s="881"/>
      <c r="M531" s="881"/>
      <c r="N531" s="1085">
        <v>0</v>
      </c>
      <c r="O531" s="881"/>
      <c r="P531" s="881"/>
      <c r="Q531" s="1302"/>
      <c r="R531" s="1302"/>
      <c r="S531" s="1302"/>
      <c r="T531" s="1302"/>
      <c r="U531" s="1302"/>
      <c r="V531" s="1302"/>
      <c r="W531" s="1302"/>
      <c r="X531" s="1302"/>
      <c r="Y531" s="1302"/>
      <c r="Z531" s="1302"/>
    </row>
    <row r="532" spans="1:26" ht="18.75">
      <c r="A532" s="1299"/>
      <c r="B532" s="1300"/>
      <c r="C532" s="1301"/>
      <c r="D532" s="1301"/>
      <c r="E532" s="1301"/>
      <c r="F532" s="1301" t="s">
        <v>190</v>
      </c>
      <c r="G532" s="1016"/>
      <c r="H532" s="161" t="s">
        <v>12</v>
      </c>
      <c r="I532" s="880"/>
      <c r="J532" s="880"/>
      <c r="K532" s="881"/>
      <c r="L532" s="881"/>
      <c r="M532" s="881"/>
      <c r="N532" s="1085">
        <v>12480</v>
      </c>
      <c r="O532" s="881"/>
      <c r="P532" s="881"/>
      <c r="Q532" s="1302"/>
      <c r="R532" s="1302"/>
      <c r="S532" s="1302"/>
      <c r="T532" s="1302"/>
      <c r="U532" s="1302"/>
      <c r="V532" s="1302"/>
      <c r="W532" s="1302"/>
      <c r="X532" s="1302"/>
      <c r="Y532" s="1302"/>
      <c r="Z532" s="1302"/>
    </row>
    <row r="533" spans="1:26" ht="18.75">
      <c r="A533" s="1317"/>
      <c r="B533" s="1300"/>
      <c r="C533" s="1301"/>
      <c r="D533" s="1325" t="s">
        <v>21</v>
      </c>
      <c r="E533" s="1301"/>
      <c r="F533" s="1301"/>
      <c r="G533" s="1016"/>
      <c r="H533" s="168" t="s">
        <v>12</v>
      </c>
      <c r="I533" s="997"/>
      <c r="J533" s="997"/>
      <c r="K533" s="998"/>
      <c r="L533" s="881">
        <f t="shared" ref="L533:N533" ca="1" si="231">L534+L535</f>
        <v>0</v>
      </c>
      <c r="M533" s="881">
        <f t="shared" si="231"/>
        <v>0</v>
      </c>
      <c r="N533" s="881">
        <f t="shared" si="231"/>
        <v>0</v>
      </c>
      <c r="O533" s="881">
        <f t="shared" ref="O533:O535" ca="1" si="232">IF(L533&gt;0,N533*100/L533,0)</f>
        <v>0</v>
      </c>
      <c r="P533" s="881">
        <f t="shared" ref="P533:P535" si="233">IF(M533&gt;0,N533*100/M533,0)</f>
        <v>0</v>
      </c>
      <c r="Q533" s="1302"/>
      <c r="R533" s="1302"/>
      <c r="S533" s="1302"/>
      <c r="T533" s="1302"/>
      <c r="U533" s="1302"/>
      <c r="V533" s="1302"/>
      <c r="W533" s="1302"/>
      <c r="X533" s="1302"/>
      <c r="Y533" s="1302"/>
      <c r="Z533" s="1302"/>
    </row>
    <row r="534" spans="1:26" ht="18.75" hidden="1">
      <c r="A534" s="1319"/>
      <c r="B534" s="1324"/>
      <c r="C534" s="1320"/>
      <c r="D534" s="1320"/>
      <c r="E534" s="1320" t="s">
        <v>18</v>
      </c>
      <c r="F534" s="1320"/>
      <c r="G534" s="1322"/>
      <c r="H534" s="165" t="s">
        <v>12</v>
      </c>
      <c r="I534" s="1000"/>
      <c r="J534" s="1000"/>
      <c r="K534" s="1001"/>
      <c r="L534" s="887">
        <v>0</v>
      </c>
      <c r="M534" s="887">
        <v>0</v>
      </c>
      <c r="N534" s="887">
        <v>0</v>
      </c>
      <c r="O534" s="887">
        <f t="shared" si="232"/>
        <v>0</v>
      </c>
      <c r="P534" s="887">
        <f t="shared" si="233"/>
        <v>0</v>
      </c>
      <c r="Q534" s="1323"/>
      <c r="R534" s="1323"/>
      <c r="S534" s="1323"/>
      <c r="T534" s="1323"/>
      <c r="U534" s="1323"/>
      <c r="V534" s="1323"/>
      <c r="W534" s="1323"/>
      <c r="X534" s="1323"/>
      <c r="Y534" s="1323"/>
      <c r="Z534" s="1323"/>
    </row>
    <row r="535" spans="1:26" ht="18.75" hidden="1">
      <c r="A535" s="1319"/>
      <c r="B535" s="1324"/>
      <c r="C535" s="1320"/>
      <c r="D535" s="1320"/>
      <c r="E535" s="1320" t="s">
        <v>19</v>
      </c>
      <c r="F535" s="1320"/>
      <c r="G535" s="1322"/>
      <c r="H535" s="169" t="s">
        <v>12</v>
      </c>
      <c r="I535" s="1000"/>
      <c r="J535" s="1000"/>
      <c r="K535" s="1001"/>
      <c r="L535" s="887">
        <f ca="1">IFERROR(__xludf.DUMMYFUNCTION("IMPORTRANGE(""https://docs.google.com/spreadsheets/d/1QqKyyYR6Q21VydFLVH3TRQUabQu_ym0Zz7PgGX0-kHA/edit?usp=sharing"",""แผน!GT86"")"),0)</f>
        <v>0</v>
      </c>
      <c r="M535" s="887">
        <v>0</v>
      </c>
      <c r="N535" s="887">
        <v>0</v>
      </c>
      <c r="O535" s="887">
        <f t="shared" ca="1" si="232"/>
        <v>0</v>
      </c>
      <c r="P535" s="887">
        <f t="shared" si="233"/>
        <v>0</v>
      </c>
      <c r="Q535" s="1323"/>
      <c r="R535" s="1323"/>
      <c r="S535" s="1323"/>
      <c r="T535" s="1323"/>
      <c r="U535" s="1323"/>
      <c r="V535" s="1323"/>
      <c r="W535" s="1323"/>
      <c r="X535" s="1323"/>
      <c r="Y535" s="1323"/>
      <c r="Z535" s="1323"/>
    </row>
    <row r="536" spans="1:26" ht="19.5">
      <c r="A536" s="1326"/>
      <c r="B536" s="1327"/>
      <c r="C536" s="1301" t="s">
        <v>16</v>
      </c>
      <c r="D536" s="1380" t="s">
        <v>38</v>
      </c>
      <c r="E536" s="1330"/>
      <c r="F536" s="1330"/>
      <c r="G536" s="1331"/>
      <c r="H536" s="1007"/>
      <c r="I536" s="997"/>
      <c r="J536" s="997"/>
      <c r="K536" s="998"/>
      <c r="L536" s="998"/>
      <c r="M536" s="998"/>
      <c r="N536" s="998"/>
      <c r="O536" s="998"/>
      <c r="P536" s="998"/>
      <c r="Q536" s="1302"/>
      <c r="R536" s="1302"/>
      <c r="S536" s="1302"/>
      <c r="T536" s="1302"/>
      <c r="U536" s="1302"/>
      <c r="V536" s="1302"/>
      <c r="W536" s="1302"/>
      <c r="X536" s="1302"/>
      <c r="Y536" s="1302"/>
      <c r="Z536" s="1302"/>
    </row>
    <row r="537" spans="1:26" ht="19.5">
      <c r="A537" s="1299"/>
      <c r="B537" s="1300"/>
      <c r="C537" s="1301"/>
      <c r="D537" s="1301" t="s">
        <v>228</v>
      </c>
      <c r="E537" s="1301"/>
      <c r="F537" s="1301"/>
      <c r="G537" s="1016"/>
      <c r="H537" s="622" t="s">
        <v>35</v>
      </c>
      <c r="I537" s="1019">
        <f ca="1">IFERROR(__xludf.DUMMYFUNCTION("IMPORTRANGE(""https://docs.google.com/spreadsheets/d/1QqKyyYR6Q21VydFLVH3TRQUabQu_ym0Zz7PgGX0-kHA/edit?usp=sharing"",""แผน!GU86"")"),30)</f>
        <v>30</v>
      </c>
      <c r="J537" s="1019">
        <f ca="1">IF(AND(J538=I538,J539=I539,J540=I540,J541=I541),I537,0)</f>
        <v>30</v>
      </c>
      <c r="K537" s="881">
        <f t="shared" ref="K537:K543" ca="1" si="234">IF(I537&gt;0,J537*100/I537,0)</f>
        <v>100</v>
      </c>
      <c r="L537" s="881"/>
      <c r="M537" s="881"/>
      <c r="N537" s="881"/>
      <c r="O537" s="881"/>
      <c r="P537" s="881"/>
      <c r="Q537" s="1381"/>
      <c r="R537" s="1381"/>
      <c r="S537" s="1381"/>
      <c r="T537" s="1381"/>
      <c r="U537" s="1381"/>
      <c r="V537" s="1381"/>
      <c r="W537" s="1381"/>
      <c r="X537" s="1381"/>
      <c r="Y537" s="1381"/>
      <c r="Z537" s="1381"/>
    </row>
    <row r="538" spans="1:26" ht="18.75">
      <c r="A538" s="1299"/>
      <c r="B538" s="1300"/>
      <c r="C538" s="1301"/>
      <c r="D538" s="1301"/>
      <c r="E538" s="1301" t="s">
        <v>229</v>
      </c>
      <c r="F538" s="1301"/>
      <c r="G538" s="1016"/>
      <c r="H538" s="622" t="s">
        <v>35</v>
      </c>
      <c r="I538" s="880">
        <f ca="1">IFERROR(__xludf.DUMMYFUNCTION("IMPORTRANGE(""https://docs.google.com/spreadsheets/d/1QqKyyYR6Q21VydFLVH3TRQUabQu_ym0Zz7PgGX0-kHA/edit?usp=sharing"",""แผน!GV86"")"),30)</f>
        <v>30</v>
      </c>
      <c r="J538" s="1012">
        <v>30</v>
      </c>
      <c r="K538" s="881">
        <f t="shared" ca="1" si="234"/>
        <v>100</v>
      </c>
      <c r="L538" s="881"/>
      <c r="M538" s="881"/>
      <c r="N538" s="881"/>
      <c r="O538" s="881"/>
      <c r="P538" s="881"/>
      <c r="Q538" s="1381"/>
      <c r="R538" s="1381"/>
      <c r="S538" s="1381"/>
      <c r="T538" s="1381"/>
      <c r="U538" s="1381"/>
      <c r="V538" s="1381"/>
      <c r="W538" s="1381"/>
      <c r="X538" s="1381"/>
      <c r="Y538" s="1381"/>
      <c r="Z538" s="1381"/>
    </row>
    <row r="539" spans="1:26" ht="18.75">
      <c r="A539" s="1299"/>
      <c r="B539" s="1300"/>
      <c r="C539" s="1301"/>
      <c r="D539" s="1301"/>
      <c r="E539" s="1301" t="s">
        <v>230</v>
      </c>
      <c r="F539" s="1301"/>
      <c r="G539" s="1016"/>
      <c r="H539" s="622" t="s">
        <v>35</v>
      </c>
      <c r="I539" s="880">
        <f ca="1">IFERROR(__xludf.DUMMYFUNCTION("IMPORTRANGE(""https://docs.google.com/spreadsheets/d/1QqKyyYR6Q21VydFLVH3TRQUabQu_ym0Zz7PgGX0-kHA/edit?usp=sharing"",""แผน!GW86"")"),30)</f>
        <v>30</v>
      </c>
      <c r="J539" s="1012">
        <v>30</v>
      </c>
      <c r="K539" s="881">
        <f t="shared" ca="1" si="234"/>
        <v>100</v>
      </c>
      <c r="L539" s="881"/>
      <c r="M539" s="881"/>
      <c r="N539" s="881"/>
      <c r="O539" s="881"/>
      <c r="P539" s="881"/>
      <c r="Q539" s="1381"/>
      <c r="R539" s="1381"/>
      <c r="S539" s="1381"/>
      <c r="T539" s="1381"/>
      <c r="U539" s="1381"/>
      <c r="V539" s="1381"/>
      <c r="W539" s="1381"/>
      <c r="X539" s="1381"/>
      <c r="Y539" s="1381"/>
      <c r="Z539" s="1381"/>
    </row>
    <row r="540" spans="1:26" ht="18.75">
      <c r="A540" s="1299"/>
      <c r="B540" s="1300"/>
      <c r="C540" s="1301"/>
      <c r="D540" s="1301"/>
      <c r="E540" s="1301" t="s">
        <v>231</v>
      </c>
      <c r="F540" s="1301"/>
      <c r="G540" s="1016"/>
      <c r="H540" s="622" t="s">
        <v>35</v>
      </c>
      <c r="I540" s="880">
        <f ca="1">IFERROR(__xludf.DUMMYFUNCTION("IMPORTRANGE(""https://docs.google.com/spreadsheets/d/1QqKyyYR6Q21VydFLVH3TRQUabQu_ym0Zz7PgGX0-kHA/edit?usp=sharing"",""แผน!GX86"")"),30)</f>
        <v>30</v>
      </c>
      <c r="J540" s="1012">
        <v>30</v>
      </c>
      <c r="K540" s="881">
        <f t="shared" ca="1" si="234"/>
        <v>100</v>
      </c>
      <c r="L540" s="881"/>
      <c r="M540" s="881"/>
      <c r="N540" s="881"/>
      <c r="O540" s="881"/>
      <c r="P540" s="881"/>
      <c r="Q540" s="1381"/>
      <c r="R540" s="1381"/>
      <c r="S540" s="1381"/>
      <c r="T540" s="1381"/>
      <c r="U540" s="1381"/>
      <c r="V540" s="1381"/>
      <c r="W540" s="1381"/>
      <c r="X540" s="1381"/>
      <c r="Y540" s="1381"/>
      <c r="Z540" s="1381"/>
    </row>
    <row r="541" spans="1:26" ht="18.75">
      <c r="A541" s="1299"/>
      <c r="B541" s="1300"/>
      <c r="C541" s="1301"/>
      <c r="D541" s="1301"/>
      <c r="E541" s="1382" t="s">
        <v>232</v>
      </c>
      <c r="F541" s="1301"/>
      <c r="G541" s="1016"/>
      <c r="H541" s="622" t="s">
        <v>35</v>
      </c>
      <c r="I541" s="880">
        <f ca="1">IFERROR(__xludf.DUMMYFUNCTION("IMPORTRANGE(""https://docs.google.com/spreadsheets/d/1QqKyyYR6Q21VydFLVH3TRQUabQu_ym0Zz7PgGX0-kHA/edit?usp=sharing"",""แผน!GY86"")"),0)</f>
        <v>0</v>
      </c>
      <c r="J541" s="1012">
        <v>0</v>
      </c>
      <c r="K541" s="881">
        <f t="shared" ca="1" si="234"/>
        <v>0</v>
      </c>
      <c r="L541" s="881"/>
      <c r="M541" s="881"/>
      <c r="N541" s="881"/>
      <c r="O541" s="881"/>
      <c r="P541" s="881"/>
      <c r="Q541" s="1381"/>
      <c r="R541" s="1381"/>
      <c r="S541" s="1381"/>
      <c r="T541" s="1381"/>
      <c r="U541" s="1381"/>
      <c r="V541" s="1381"/>
      <c r="W541" s="1381"/>
      <c r="X541" s="1381"/>
      <c r="Y541" s="1381"/>
      <c r="Z541" s="1381"/>
    </row>
    <row r="542" spans="1:26" ht="18.75">
      <c r="A542" s="1299"/>
      <c r="B542" s="1300"/>
      <c r="C542" s="1301"/>
      <c r="D542" s="1301" t="s">
        <v>59</v>
      </c>
      <c r="E542" s="1301"/>
      <c r="F542" s="1301"/>
      <c r="G542" s="1016"/>
      <c r="H542" s="622" t="s">
        <v>35</v>
      </c>
      <c r="I542" s="880">
        <f ca="1">IFERROR(__xludf.DUMMYFUNCTION("IMPORTRANGE(""https://docs.google.com/spreadsheets/d/1QqKyyYR6Q21VydFLVH3TRQUabQu_ym0Zz7PgGX0-kHA/edit?usp=sharing"",""แผน!GZ86"")"),30)</f>
        <v>30</v>
      </c>
      <c r="J542" s="1012">
        <v>0</v>
      </c>
      <c r="K542" s="881">
        <f t="shared" ca="1" si="234"/>
        <v>0</v>
      </c>
      <c r="L542" s="881"/>
      <c r="M542" s="881"/>
      <c r="N542" s="881"/>
      <c r="O542" s="881"/>
      <c r="P542" s="881"/>
      <c r="Q542" s="1381"/>
      <c r="R542" s="1381"/>
      <c r="S542" s="1381"/>
      <c r="T542" s="1381"/>
      <c r="U542" s="1381"/>
      <c r="V542" s="1381"/>
      <c r="W542" s="1381"/>
      <c r="X542" s="1381"/>
      <c r="Y542" s="1381"/>
      <c r="Z542" s="1381"/>
    </row>
    <row r="543" spans="1:26" ht="19.5">
      <c r="A543" s="662">
        <v>6</v>
      </c>
      <c r="B543" s="1383" t="s">
        <v>233</v>
      </c>
      <c r="C543" s="1369"/>
      <c r="D543" s="1369"/>
      <c r="E543" s="1369"/>
      <c r="F543" s="1369"/>
      <c r="G543" s="1370"/>
      <c r="H543" s="684" t="s">
        <v>46</v>
      </c>
      <c r="I543" s="1384">
        <f t="shared" ref="I543:J543" ca="1" si="235">I559</f>
        <v>32464</v>
      </c>
      <c r="J543" s="1384">
        <f t="shared" si="235"/>
        <v>0</v>
      </c>
      <c r="K543" s="1385">
        <f t="shared" ca="1" si="234"/>
        <v>0</v>
      </c>
      <c r="L543" s="1372"/>
      <c r="M543" s="1372"/>
      <c r="N543" s="1372"/>
      <c r="O543" s="1372"/>
      <c r="P543" s="1372"/>
      <c r="Q543" s="1302"/>
      <c r="R543" s="1302"/>
      <c r="S543" s="1302"/>
      <c r="T543" s="1302"/>
      <c r="U543" s="1302"/>
      <c r="V543" s="1302"/>
      <c r="W543" s="1302"/>
      <c r="X543" s="1302"/>
      <c r="Y543" s="1302"/>
      <c r="Z543" s="1302"/>
    </row>
    <row r="544" spans="1:26" ht="19.5">
      <c r="A544" s="1386"/>
      <c r="B544" s="1387"/>
      <c r="C544" s="1387" t="s">
        <v>16</v>
      </c>
      <c r="D544" s="1388" t="s">
        <v>17</v>
      </c>
      <c r="E544" s="846"/>
      <c r="F544" s="846"/>
      <c r="G544" s="1389"/>
      <c r="H544" s="275" t="s">
        <v>12</v>
      </c>
      <c r="I544" s="990"/>
      <c r="J544" s="990"/>
      <c r="K544" s="991"/>
      <c r="L544" s="992">
        <f t="shared" ref="L544:N544" ca="1" si="236">L545+L546</f>
        <v>388395</v>
      </c>
      <c r="M544" s="992">
        <f t="shared" ca="1" si="236"/>
        <v>388395</v>
      </c>
      <c r="N544" s="992">
        <f t="shared" si="236"/>
        <v>235802</v>
      </c>
      <c r="O544" s="992">
        <f t="shared" ref="O544:O549" ca="1" si="237">IF(L544&gt;0,N544*100/L544,0)</f>
        <v>60.711904118230152</v>
      </c>
      <c r="P544" s="992">
        <f t="shared" ref="P544:P549" ca="1" si="238">IF(M544&gt;0,N544*100/M544,0)</f>
        <v>60.711904118230152</v>
      </c>
      <c r="Q544" s="1302"/>
      <c r="R544" s="1302"/>
      <c r="S544" s="1302"/>
      <c r="T544" s="1302"/>
      <c r="U544" s="1302"/>
      <c r="V544" s="1302"/>
      <c r="W544" s="1302"/>
      <c r="X544" s="1302"/>
      <c r="Y544" s="1302"/>
      <c r="Z544" s="1302"/>
    </row>
    <row r="545" spans="1:26" ht="18.75" hidden="1">
      <c r="A545" s="1319"/>
      <c r="B545" s="1320"/>
      <c r="C545" s="1320"/>
      <c r="D545" s="1320"/>
      <c r="E545" s="1320" t="s">
        <v>185</v>
      </c>
      <c r="F545" s="1320"/>
      <c r="G545" s="1322"/>
      <c r="H545" s="165" t="s">
        <v>12</v>
      </c>
      <c r="I545" s="886"/>
      <c r="J545" s="886"/>
      <c r="K545" s="887"/>
      <c r="L545" s="887">
        <f t="shared" ref="L545:L546" si="239">L548+L556</f>
        <v>0</v>
      </c>
      <c r="M545" s="887">
        <f t="shared" ref="M545:N546" si="240">M548+M555</f>
        <v>0</v>
      </c>
      <c r="N545" s="887">
        <f t="shared" si="240"/>
        <v>0</v>
      </c>
      <c r="O545" s="887">
        <f t="shared" si="237"/>
        <v>0</v>
      </c>
      <c r="P545" s="887">
        <f t="shared" si="238"/>
        <v>0</v>
      </c>
      <c r="Q545" s="1323"/>
      <c r="R545" s="1323"/>
      <c r="S545" s="1323"/>
      <c r="T545" s="1323"/>
      <c r="U545" s="1323"/>
      <c r="V545" s="1323"/>
      <c r="W545" s="1323"/>
      <c r="X545" s="1323"/>
      <c r="Y545" s="1323"/>
      <c r="Z545" s="1323"/>
    </row>
    <row r="546" spans="1:26" ht="18.75" hidden="1">
      <c r="A546" s="1319"/>
      <c r="B546" s="1324"/>
      <c r="C546" s="1320"/>
      <c r="D546" s="1320"/>
      <c r="E546" s="1320" t="s">
        <v>186</v>
      </c>
      <c r="F546" s="1320"/>
      <c r="G546" s="1322"/>
      <c r="H546" s="165" t="s">
        <v>12</v>
      </c>
      <c r="I546" s="886"/>
      <c r="J546" s="886"/>
      <c r="K546" s="887"/>
      <c r="L546" s="887">
        <f t="shared" ca="1" si="239"/>
        <v>388395</v>
      </c>
      <c r="M546" s="887">
        <f t="shared" ca="1" si="240"/>
        <v>388395</v>
      </c>
      <c r="N546" s="887">
        <f t="shared" si="240"/>
        <v>235802</v>
      </c>
      <c r="O546" s="887">
        <f t="shared" ca="1" si="237"/>
        <v>60.711904118230152</v>
      </c>
      <c r="P546" s="887">
        <f t="shared" ca="1" si="238"/>
        <v>60.711904118230152</v>
      </c>
      <c r="Q546" s="1323"/>
      <c r="R546" s="1323"/>
      <c r="S546" s="1323"/>
      <c r="T546" s="1323"/>
      <c r="U546" s="1323"/>
      <c r="V546" s="1323"/>
      <c r="W546" s="1323"/>
      <c r="X546" s="1323"/>
      <c r="Y546" s="1323"/>
      <c r="Z546" s="1323"/>
    </row>
    <row r="547" spans="1:26" ht="18.75">
      <c r="A547" s="1317"/>
      <c r="B547" s="1300"/>
      <c r="C547" s="1301"/>
      <c r="D547" s="1325" t="s">
        <v>20</v>
      </c>
      <c r="E547" s="1301"/>
      <c r="F547" s="1301"/>
      <c r="G547" s="1016"/>
      <c r="H547" s="161" t="s">
        <v>12</v>
      </c>
      <c r="I547" s="997"/>
      <c r="J547" s="997"/>
      <c r="K547" s="998"/>
      <c r="L547" s="881">
        <f t="shared" ref="L547:N547" ca="1" si="241">L548+L549</f>
        <v>388395</v>
      </c>
      <c r="M547" s="881">
        <f t="shared" ca="1" si="241"/>
        <v>388395</v>
      </c>
      <c r="N547" s="881">
        <f t="shared" si="241"/>
        <v>235802</v>
      </c>
      <c r="O547" s="881">
        <f t="shared" ca="1" si="237"/>
        <v>60.711904118230152</v>
      </c>
      <c r="P547" s="881">
        <f t="shared" ca="1" si="238"/>
        <v>60.711904118230152</v>
      </c>
      <c r="Q547" s="1302"/>
      <c r="R547" s="1302"/>
      <c r="S547" s="1302"/>
      <c r="T547" s="1302"/>
      <c r="U547" s="1302"/>
      <c r="V547" s="1302"/>
      <c r="W547" s="1302"/>
      <c r="X547" s="1302"/>
      <c r="Y547" s="1302"/>
      <c r="Z547" s="1302"/>
    </row>
    <row r="548" spans="1:26" ht="18.75" hidden="1">
      <c r="A548" s="1319"/>
      <c r="B548" s="1324"/>
      <c r="C548" s="1320"/>
      <c r="D548" s="1321"/>
      <c r="E548" s="1320" t="s">
        <v>185</v>
      </c>
      <c r="F548" s="1320"/>
      <c r="G548" s="1322"/>
      <c r="H548" s="165" t="s">
        <v>12</v>
      </c>
      <c r="I548" s="886"/>
      <c r="J548" s="886"/>
      <c r="K548" s="887"/>
      <c r="L548" s="887">
        <v>0</v>
      </c>
      <c r="M548" s="887">
        <v>0</v>
      </c>
      <c r="N548" s="887">
        <v>0</v>
      </c>
      <c r="O548" s="887">
        <f t="shared" si="237"/>
        <v>0</v>
      </c>
      <c r="P548" s="887">
        <f t="shared" si="238"/>
        <v>0</v>
      </c>
      <c r="Q548" s="1323"/>
      <c r="R548" s="1323"/>
      <c r="S548" s="1323"/>
      <c r="T548" s="1323"/>
      <c r="U548" s="1323"/>
      <c r="V548" s="1323"/>
      <c r="W548" s="1323"/>
      <c r="X548" s="1323"/>
      <c r="Y548" s="1323"/>
      <c r="Z548" s="1323"/>
    </row>
    <row r="549" spans="1:26" ht="18.75" hidden="1">
      <c r="A549" s="1319"/>
      <c r="B549" s="1324"/>
      <c r="C549" s="1320"/>
      <c r="D549" s="1321"/>
      <c r="E549" s="1320" t="s">
        <v>186</v>
      </c>
      <c r="F549" s="1320"/>
      <c r="G549" s="1322"/>
      <c r="H549" s="165" t="s">
        <v>12</v>
      </c>
      <c r="I549" s="886"/>
      <c r="J549" s="886"/>
      <c r="K549" s="887"/>
      <c r="L549" s="887">
        <f ca="1">IFERROR(__xludf.DUMMYFUNCTION("IMPORTRANGE(""https://docs.google.com/spreadsheets/d/1QqKyyYR6Q21VydFLVH3TRQUabQu_ym0Zz7PgGX0-kHA/edit?usp=sharing"",""แผน!HB86"")"),388395)</f>
        <v>388395</v>
      </c>
      <c r="M549" s="887">
        <f ca="1">L549</f>
        <v>388395</v>
      </c>
      <c r="N549" s="887">
        <f>N550+N551+N552+N553+N554</f>
        <v>235802</v>
      </c>
      <c r="O549" s="887">
        <f t="shared" ca="1" si="237"/>
        <v>60.711904118230152</v>
      </c>
      <c r="P549" s="887">
        <f t="shared" ca="1" si="238"/>
        <v>60.711904118230152</v>
      </c>
      <c r="Q549" s="1323"/>
      <c r="R549" s="1323"/>
      <c r="S549" s="1323"/>
      <c r="T549" s="1323"/>
      <c r="U549" s="1323"/>
      <c r="V549" s="1323"/>
      <c r="W549" s="1323"/>
      <c r="X549" s="1323"/>
      <c r="Y549" s="1323"/>
      <c r="Z549" s="1323"/>
    </row>
    <row r="550" spans="1:26" ht="18.75">
      <c r="A550" s="1299"/>
      <c r="B550" s="1300"/>
      <c r="C550" s="1301"/>
      <c r="D550" s="1301"/>
      <c r="E550" s="1301"/>
      <c r="F550" s="1301" t="s">
        <v>187</v>
      </c>
      <c r="G550" s="1016"/>
      <c r="H550" s="161" t="s">
        <v>12</v>
      </c>
      <c r="I550" s="880"/>
      <c r="J550" s="880"/>
      <c r="K550" s="881"/>
      <c r="L550" s="881"/>
      <c r="M550" s="881"/>
      <c r="N550" s="1085">
        <v>0</v>
      </c>
      <c r="O550" s="881"/>
      <c r="P550" s="881"/>
      <c r="Q550" s="1302"/>
      <c r="R550" s="1302"/>
      <c r="S550" s="1302"/>
      <c r="T550" s="1302"/>
      <c r="U550" s="1302"/>
      <c r="V550" s="1302"/>
      <c r="W550" s="1302"/>
      <c r="X550" s="1302"/>
      <c r="Y550" s="1302"/>
      <c r="Z550" s="1302"/>
    </row>
    <row r="551" spans="1:26" ht="18.75">
      <c r="A551" s="1299"/>
      <c r="B551" s="1300"/>
      <c r="C551" s="1300"/>
      <c r="D551" s="1300"/>
      <c r="E551" s="1301"/>
      <c r="F551" s="1301" t="s">
        <v>188</v>
      </c>
      <c r="G551" s="1016"/>
      <c r="H551" s="161" t="s">
        <v>12</v>
      </c>
      <c r="I551" s="880"/>
      <c r="J551" s="880"/>
      <c r="K551" s="881"/>
      <c r="L551" s="881"/>
      <c r="M551" s="881"/>
      <c r="N551" s="1085">
        <v>0</v>
      </c>
      <c r="O551" s="881"/>
      <c r="P551" s="881"/>
      <c r="Q551" s="1302"/>
      <c r="R551" s="1302"/>
      <c r="S551" s="1302"/>
      <c r="T551" s="1302"/>
      <c r="U551" s="1302"/>
      <c r="V551" s="1302"/>
      <c r="W551" s="1302"/>
      <c r="X551" s="1302"/>
      <c r="Y551" s="1302"/>
      <c r="Z551" s="1302"/>
    </row>
    <row r="552" spans="1:26" ht="18.75">
      <c r="A552" s="1299"/>
      <c r="B552" s="1300"/>
      <c r="C552" s="1301"/>
      <c r="D552" s="1301"/>
      <c r="E552" s="1301"/>
      <c r="F552" s="1301" t="s">
        <v>189</v>
      </c>
      <c r="G552" s="1016"/>
      <c r="H552" s="161" t="s">
        <v>12</v>
      </c>
      <c r="I552" s="880"/>
      <c r="J552" s="880"/>
      <c r="K552" s="881"/>
      <c r="L552" s="881"/>
      <c r="M552" s="881"/>
      <c r="N552" s="1085">
        <v>65000</v>
      </c>
      <c r="O552" s="881"/>
      <c r="P552" s="881"/>
      <c r="Q552" s="1302"/>
      <c r="R552" s="1302"/>
      <c r="S552" s="1302"/>
      <c r="T552" s="1302"/>
      <c r="U552" s="1302"/>
      <c r="V552" s="1302"/>
      <c r="W552" s="1302"/>
      <c r="X552" s="1302"/>
      <c r="Y552" s="1302"/>
      <c r="Z552" s="1302"/>
    </row>
    <row r="553" spans="1:26" ht="18.75">
      <c r="A553" s="1299"/>
      <c r="B553" s="1300"/>
      <c r="C553" s="1300"/>
      <c r="D553" s="1300"/>
      <c r="E553" s="1301"/>
      <c r="F553" s="1301" t="s">
        <v>190</v>
      </c>
      <c r="G553" s="1016"/>
      <c r="H553" s="161" t="s">
        <v>12</v>
      </c>
      <c r="I553" s="880"/>
      <c r="J553" s="880"/>
      <c r="K553" s="881"/>
      <c r="L553" s="881"/>
      <c r="M553" s="881"/>
      <c r="N553" s="1085">
        <v>135802</v>
      </c>
      <c r="O553" s="881"/>
      <c r="P553" s="881"/>
      <c r="Q553" s="1302"/>
      <c r="R553" s="1302"/>
      <c r="S553" s="1302"/>
      <c r="T553" s="1302"/>
      <c r="U553" s="1302"/>
      <c r="V553" s="1302"/>
      <c r="W553" s="1302"/>
      <c r="X553" s="1302"/>
      <c r="Y553" s="1302"/>
      <c r="Z553" s="1302"/>
    </row>
    <row r="554" spans="1:26" ht="18.75">
      <c r="A554" s="1299"/>
      <c r="B554" s="1300"/>
      <c r="C554" s="1300"/>
      <c r="D554" s="1300"/>
      <c r="E554" s="1301"/>
      <c r="F554" s="1301" t="s">
        <v>234</v>
      </c>
      <c r="G554" s="1016"/>
      <c r="H554" s="161" t="s">
        <v>12</v>
      </c>
      <c r="I554" s="880"/>
      <c r="J554" s="880"/>
      <c r="K554" s="881"/>
      <c r="L554" s="881"/>
      <c r="M554" s="881"/>
      <c r="N554" s="1085">
        <v>35000</v>
      </c>
      <c r="O554" s="881"/>
      <c r="P554" s="881"/>
      <c r="Q554" s="1302"/>
      <c r="R554" s="1302"/>
      <c r="S554" s="1302"/>
      <c r="T554" s="1302"/>
      <c r="U554" s="1302"/>
      <c r="V554" s="1302"/>
      <c r="W554" s="1302"/>
      <c r="X554" s="1302"/>
      <c r="Y554" s="1302"/>
      <c r="Z554" s="1302"/>
    </row>
    <row r="555" spans="1:26" ht="18.75">
      <c r="A555" s="1317"/>
      <c r="B555" s="1300"/>
      <c r="C555" s="1300"/>
      <c r="D555" s="1325" t="s">
        <v>21</v>
      </c>
      <c r="E555" s="1301"/>
      <c r="F555" s="1301"/>
      <c r="G555" s="1016"/>
      <c r="H555" s="168" t="s">
        <v>12</v>
      </c>
      <c r="I555" s="997"/>
      <c r="J555" s="997"/>
      <c r="K555" s="998"/>
      <c r="L555" s="881">
        <f t="shared" ref="L555:N555" ca="1" si="242">L556+L557</f>
        <v>0</v>
      </c>
      <c r="M555" s="881">
        <f t="shared" si="242"/>
        <v>0</v>
      </c>
      <c r="N555" s="881">
        <f t="shared" si="242"/>
        <v>0</v>
      </c>
      <c r="O555" s="881">
        <f t="shared" ref="O555:O557" ca="1" si="243">IF(L555&gt;0,N555*100/L555,0)</f>
        <v>0</v>
      </c>
      <c r="P555" s="881">
        <f t="shared" ref="P555:P557" si="244">IF(M555&gt;0,N555*100/M555,0)</f>
        <v>0</v>
      </c>
      <c r="Q555" s="1302"/>
      <c r="R555" s="1302"/>
      <c r="S555" s="1302"/>
      <c r="T555" s="1302"/>
      <c r="U555" s="1302"/>
      <c r="V555" s="1302"/>
      <c r="W555" s="1302"/>
      <c r="X555" s="1302"/>
      <c r="Y555" s="1302"/>
      <c r="Z555" s="1302"/>
    </row>
    <row r="556" spans="1:26" ht="18.75" hidden="1">
      <c r="A556" s="1319"/>
      <c r="B556" s="1324"/>
      <c r="C556" s="1324"/>
      <c r="D556" s="1320"/>
      <c r="E556" s="1320" t="s">
        <v>18</v>
      </c>
      <c r="F556" s="1320"/>
      <c r="G556" s="1322"/>
      <c r="H556" s="165" t="s">
        <v>12</v>
      </c>
      <c r="I556" s="1000"/>
      <c r="J556" s="1000"/>
      <c r="K556" s="1001"/>
      <c r="L556" s="887">
        <v>0</v>
      </c>
      <c r="M556" s="887">
        <v>0</v>
      </c>
      <c r="N556" s="887">
        <v>0</v>
      </c>
      <c r="O556" s="887">
        <f t="shared" si="243"/>
        <v>0</v>
      </c>
      <c r="P556" s="887">
        <f t="shared" si="244"/>
        <v>0</v>
      </c>
      <c r="Q556" s="1323"/>
      <c r="R556" s="1323"/>
      <c r="S556" s="1323"/>
      <c r="T556" s="1323"/>
      <c r="U556" s="1323"/>
      <c r="V556" s="1323"/>
      <c r="W556" s="1323"/>
      <c r="X556" s="1323"/>
      <c r="Y556" s="1323"/>
      <c r="Z556" s="1323"/>
    </row>
    <row r="557" spans="1:26" ht="18.75" hidden="1">
      <c r="A557" s="1319"/>
      <c r="B557" s="1324"/>
      <c r="C557" s="1324"/>
      <c r="D557" s="1320"/>
      <c r="E557" s="1320" t="s">
        <v>19</v>
      </c>
      <c r="F557" s="1320"/>
      <c r="G557" s="1322"/>
      <c r="H557" s="169" t="s">
        <v>12</v>
      </c>
      <c r="I557" s="1000"/>
      <c r="J557" s="1000"/>
      <c r="K557" s="1001"/>
      <c r="L557" s="887">
        <f ca="1">IFERROR(__xludf.DUMMYFUNCTION("IMPORTRANGE(""https://docs.google.com/spreadsheets/d/1QqKyyYR6Q21VydFLVH3TRQUabQu_ym0Zz7PgGX0-kHA/edit?usp=sharing"",""แผน!HF86"")"),0)</f>
        <v>0</v>
      </c>
      <c r="M557" s="887">
        <v>0</v>
      </c>
      <c r="N557" s="887">
        <v>0</v>
      </c>
      <c r="O557" s="887">
        <f t="shared" ca="1" si="243"/>
        <v>0</v>
      </c>
      <c r="P557" s="887">
        <f t="shared" si="244"/>
        <v>0</v>
      </c>
      <c r="Q557" s="1323"/>
      <c r="R557" s="1323"/>
      <c r="S557" s="1323"/>
      <c r="T557" s="1323"/>
      <c r="U557" s="1323"/>
      <c r="V557" s="1323"/>
      <c r="W557" s="1323"/>
      <c r="X557" s="1323"/>
      <c r="Y557" s="1323"/>
      <c r="Z557" s="1323"/>
    </row>
    <row r="558" spans="1:26" ht="19.5">
      <c r="A558" s="1326"/>
      <c r="B558" s="1327"/>
      <c r="C558" s="1300" t="s">
        <v>16</v>
      </c>
      <c r="D558" s="1380" t="s">
        <v>38</v>
      </c>
      <c r="E558" s="1330"/>
      <c r="F558" s="1330"/>
      <c r="G558" s="1331"/>
      <c r="H558" s="1007"/>
      <c r="I558" s="997"/>
      <c r="J558" s="997"/>
      <c r="K558" s="998"/>
      <c r="L558" s="998"/>
      <c r="M558" s="998"/>
      <c r="N558" s="998"/>
      <c r="O558" s="998"/>
      <c r="P558" s="998"/>
      <c r="Q558" s="1302"/>
      <c r="R558" s="1302"/>
      <c r="S558" s="1302"/>
      <c r="T558" s="1302"/>
      <c r="U558" s="1302"/>
      <c r="V558" s="1302"/>
      <c r="W558" s="1302"/>
      <c r="X558" s="1302"/>
      <c r="Y558" s="1302"/>
      <c r="Z558" s="1302"/>
    </row>
    <row r="559" spans="1:26" ht="19.5">
      <c r="A559" s="1390"/>
      <c r="B559" s="1391" t="s">
        <v>235</v>
      </c>
      <c r="C559" s="1392"/>
      <c r="D559" s="1392"/>
      <c r="E559" s="1375"/>
      <c r="F559" s="1375"/>
      <c r="G559" s="1376"/>
      <c r="H559" s="693" t="s">
        <v>46</v>
      </c>
      <c r="I559" s="1377">
        <f t="shared" ref="I559:J559" ca="1" si="245">I576</f>
        <v>32464</v>
      </c>
      <c r="J559" s="1377">
        <f t="shared" si="245"/>
        <v>0</v>
      </c>
      <c r="K559" s="1378">
        <f t="shared" ref="K559:K561" ca="1" si="246">IF(I559&gt;0,J559*100/I559,0)</f>
        <v>0</v>
      </c>
      <c r="L559" s="1379"/>
      <c r="M559" s="1379"/>
      <c r="N559" s="1379"/>
      <c r="O559" s="1379"/>
      <c r="P559" s="1379"/>
      <c r="Q559" s="1302"/>
      <c r="R559" s="1302"/>
      <c r="S559" s="1302"/>
      <c r="T559" s="1302"/>
      <c r="U559" s="1302"/>
      <c r="V559" s="1302"/>
      <c r="W559" s="1302"/>
      <c r="X559" s="1302"/>
      <c r="Y559" s="1302"/>
      <c r="Z559" s="1302"/>
    </row>
    <row r="560" spans="1:26" ht="19.5">
      <c r="A560" s="1326"/>
      <c r="B560" s="1327"/>
      <c r="C560" s="1336" t="s">
        <v>236</v>
      </c>
      <c r="D560" s="1327"/>
      <c r="E560" s="1014"/>
      <c r="F560" s="1014"/>
      <c r="G560" s="1007"/>
      <c r="H560" s="765" t="s">
        <v>46</v>
      </c>
      <c r="I560" s="1018">
        <f ca="1">IFERROR(__xludf.DUMMYFUNCTION("IMPORTRANGE(""https://docs.google.com/spreadsheets/d/1QqKyyYR6Q21VydFLVH3TRQUabQu_ym0Zz7PgGX0-kHA/edit?usp=sharing"",""แผน!HH86"")"),32464)</f>
        <v>32464</v>
      </c>
      <c r="J560" s="1018">
        <f t="shared" ref="J560:J561" si="247">J562+J564+J566</f>
        <v>32464.06</v>
      </c>
      <c r="K560" s="1162">
        <f t="shared" ca="1" si="246"/>
        <v>100.00018482010843</v>
      </c>
      <c r="L560" s="998"/>
      <c r="M560" s="998"/>
      <c r="N560" s="998"/>
      <c r="O560" s="998"/>
      <c r="P560" s="998"/>
      <c r="Q560" s="1302"/>
      <c r="R560" s="1302"/>
      <c r="S560" s="1302"/>
      <c r="T560" s="1302"/>
      <c r="U560" s="1302"/>
      <c r="V560" s="1302"/>
      <c r="W560" s="1302"/>
      <c r="X560" s="1302"/>
      <c r="Y560" s="1302"/>
      <c r="Z560" s="1302"/>
    </row>
    <row r="561" spans="1:26" ht="19.5">
      <c r="A561" s="1326"/>
      <c r="B561" s="1327"/>
      <c r="C561" s="1327"/>
      <c r="D561" s="1014"/>
      <c r="E561" s="1014"/>
      <c r="F561" s="1014"/>
      <c r="G561" s="1007"/>
      <c r="H561" s="765" t="s">
        <v>34</v>
      </c>
      <c r="I561" s="1018">
        <f ca="1">IFERROR(__xludf.DUMMYFUNCTION("IMPORTRANGE(""https://docs.google.com/spreadsheets/d/1QqKyyYR6Q21VydFLVH3TRQUabQu_ym0Zz7PgGX0-kHA/edit?usp=sharing"",""แผน!HG86"")"),4075)</f>
        <v>4075</v>
      </c>
      <c r="J561" s="1018">
        <f t="shared" si="247"/>
        <v>4075</v>
      </c>
      <c r="K561" s="1162">
        <f t="shared" ca="1" si="246"/>
        <v>100</v>
      </c>
      <c r="L561" s="998"/>
      <c r="M561" s="998"/>
      <c r="N561" s="998"/>
      <c r="O561" s="998"/>
      <c r="P561" s="998"/>
      <c r="Q561" s="1302"/>
      <c r="R561" s="1302"/>
      <c r="S561" s="1302"/>
      <c r="T561" s="1302"/>
      <c r="U561" s="1302"/>
      <c r="V561" s="1302"/>
      <c r="W561" s="1302"/>
      <c r="X561" s="1302"/>
      <c r="Y561" s="1302"/>
      <c r="Z561" s="1302"/>
    </row>
    <row r="562" spans="1:26" ht="18.75">
      <c r="A562" s="1326"/>
      <c r="B562" s="1327"/>
      <c r="C562" s="1327"/>
      <c r="D562" s="1014" t="s">
        <v>237</v>
      </c>
      <c r="E562" s="1014"/>
      <c r="F562" s="1014"/>
      <c r="G562" s="1007"/>
      <c r="H562" s="762" t="s">
        <v>46</v>
      </c>
      <c r="I562" s="997"/>
      <c r="J562" s="1012">
        <v>29538.06</v>
      </c>
      <c r="K562" s="998"/>
      <c r="L562" s="998"/>
      <c r="M562" s="998"/>
      <c r="N562" s="998"/>
      <c r="O562" s="998"/>
      <c r="P562" s="998"/>
      <c r="Q562" s="1302"/>
      <c r="R562" s="1302"/>
      <c r="S562" s="1302"/>
      <c r="T562" s="1302"/>
      <c r="U562" s="1302"/>
      <c r="V562" s="1302"/>
      <c r="W562" s="1302"/>
      <c r="X562" s="1302"/>
      <c r="Y562" s="1302"/>
      <c r="Z562" s="1302"/>
    </row>
    <row r="563" spans="1:26" ht="18.75">
      <c r="A563" s="1326"/>
      <c r="B563" s="1327"/>
      <c r="C563" s="1327"/>
      <c r="D563" s="1327"/>
      <c r="E563" s="1014"/>
      <c r="F563" s="1014"/>
      <c r="G563" s="1007"/>
      <c r="H563" s="762" t="s">
        <v>34</v>
      </c>
      <c r="I563" s="997"/>
      <c r="J563" s="1012">
        <v>3715</v>
      </c>
      <c r="K563" s="998"/>
      <c r="L563" s="998"/>
      <c r="M563" s="998"/>
      <c r="N563" s="998"/>
      <c r="O563" s="998"/>
      <c r="P563" s="998"/>
      <c r="Q563" s="1302"/>
      <c r="R563" s="1302"/>
      <c r="S563" s="1302"/>
      <c r="T563" s="1302"/>
      <c r="U563" s="1302"/>
      <c r="V563" s="1302"/>
      <c r="W563" s="1302"/>
      <c r="X563" s="1302"/>
      <c r="Y563" s="1302"/>
      <c r="Z563" s="1302"/>
    </row>
    <row r="564" spans="1:26" ht="18.75">
      <c r="A564" s="1326"/>
      <c r="B564" s="1327"/>
      <c r="C564" s="1327"/>
      <c r="D564" s="1014" t="s">
        <v>238</v>
      </c>
      <c r="E564" s="1014"/>
      <c r="F564" s="1014"/>
      <c r="G564" s="1007"/>
      <c r="H564" s="762" t="s">
        <v>46</v>
      </c>
      <c r="I564" s="997"/>
      <c r="J564" s="1012">
        <v>2117</v>
      </c>
      <c r="K564" s="998"/>
      <c r="L564" s="998"/>
      <c r="M564" s="998"/>
      <c r="N564" s="998"/>
      <c r="O564" s="998"/>
      <c r="P564" s="998"/>
      <c r="Q564" s="1302"/>
      <c r="R564" s="1302"/>
      <c r="S564" s="1302"/>
      <c r="T564" s="1302"/>
      <c r="U564" s="1302"/>
      <c r="V564" s="1302"/>
      <c r="W564" s="1302"/>
      <c r="X564" s="1302"/>
      <c r="Y564" s="1302"/>
      <c r="Z564" s="1302"/>
    </row>
    <row r="565" spans="1:26" ht="18.75">
      <c r="A565" s="1326"/>
      <c r="B565" s="1327"/>
      <c r="C565" s="1327"/>
      <c r="D565" s="1014"/>
      <c r="E565" s="1014"/>
      <c r="F565" s="1014"/>
      <c r="G565" s="1007"/>
      <c r="H565" s="762" t="s">
        <v>34</v>
      </c>
      <c r="I565" s="997"/>
      <c r="J565" s="1012">
        <v>255</v>
      </c>
      <c r="K565" s="998"/>
      <c r="L565" s="998"/>
      <c r="M565" s="998"/>
      <c r="N565" s="998"/>
      <c r="O565" s="998"/>
      <c r="P565" s="998"/>
      <c r="Q565" s="1302"/>
      <c r="R565" s="1302"/>
      <c r="S565" s="1302"/>
      <c r="T565" s="1302"/>
      <c r="U565" s="1302"/>
      <c r="V565" s="1302"/>
      <c r="W565" s="1302"/>
      <c r="X565" s="1302"/>
      <c r="Y565" s="1302"/>
      <c r="Z565" s="1302"/>
    </row>
    <row r="566" spans="1:26" ht="18.75">
      <c r="A566" s="1326"/>
      <c r="B566" s="1327"/>
      <c r="C566" s="1327"/>
      <c r="D566" s="1014" t="s">
        <v>239</v>
      </c>
      <c r="E566" s="1014"/>
      <c r="F566" s="1014"/>
      <c r="G566" s="1007"/>
      <c r="H566" s="762" t="s">
        <v>46</v>
      </c>
      <c r="I566" s="997"/>
      <c r="J566" s="1012">
        <v>809</v>
      </c>
      <c r="K566" s="998"/>
      <c r="L566" s="998"/>
      <c r="M566" s="998"/>
      <c r="N566" s="998"/>
      <c r="O566" s="998"/>
      <c r="P566" s="998"/>
      <c r="Q566" s="1302"/>
      <c r="R566" s="1302"/>
      <c r="S566" s="1302"/>
      <c r="T566" s="1302"/>
      <c r="U566" s="1302"/>
      <c r="V566" s="1302"/>
      <c r="W566" s="1302"/>
      <c r="X566" s="1302"/>
      <c r="Y566" s="1302"/>
      <c r="Z566" s="1302"/>
    </row>
    <row r="567" spans="1:26" ht="18.75">
      <c r="A567" s="1326"/>
      <c r="B567" s="1327"/>
      <c r="C567" s="1327"/>
      <c r="D567" s="1014"/>
      <c r="E567" s="1014"/>
      <c r="F567" s="1014"/>
      <c r="G567" s="1007"/>
      <c r="H567" s="762" t="s">
        <v>34</v>
      </c>
      <c r="I567" s="997"/>
      <c r="J567" s="1012">
        <v>105</v>
      </c>
      <c r="K567" s="998"/>
      <c r="L567" s="998"/>
      <c r="M567" s="998"/>
      <c r="N567" s="998"/>
      <c r="O567" s="998"/>
      <c r="P567" s="998"/>
      <c r="Q567" s="1302"/>
      <c r="R567" s="1302"/>
      <c r="S567" s="1302"/>
      <c r="T567" s="1302"/>
      <c r="U567" s="1302"/>
      <c r="V567" s="1302"/>
      <c r="W567" s="1302"/>
      <c r="X567" s="1302"/>
      <c r="Y567" s="1302"/>
      <c r="Z567" s="1302"/>
    </row>
    <row r="568" spans="1:26" ht="19.5">
      <c r="A568" s="1326"/>
      <c r="B568" s="1327"/>
      <c r="C568" s="1336" t="s">
        <v>240</v>
      </c>
      <c r="D568" s="1014"/>
      <c r="E568" s="1014"/>
      <c r="F568" s="1014"/>
      <c r="G568" s="1007"/>
      <c r="H568" s="765" t="s">
        <v>46</v>
      </c>
      <c r="I568" s="1018">
        <f ca="1">IFERROR(__xludf.DUMMYFUNCTION("IMPORTRANGE(""https://docs.google.com/spreadsheets/d/1QqKyyYR6Q21VydFLVH3TRQUabQu_ym0Zz7PgGX0-kHA/edit?usp=sharing"",""แผน!HH86"")"),32464)</f>
        <v>32464</v>
      </c>
      <c r="J568" s="1019">
        <f t="shared" ref="J568:J569" si="248">J570+J572+J574</f>
        <v>32464</v>
      </c>
      <c r="K568" s="1162">
        <f t="shared" ref="K568:K569" ca="1" si="249">IF(I568&gt;0,J568*100/I568,0)</f>
        <v>100</v>
      </c>
      <c r="L568" s="998"/>
      <c r="M568" s="998"/>
      <c r="N568" s="998"/>
      <c r="O568" s="998"/>
      <c r="P568" s="998"/>
      <c r="Q568" s="1302"/>
      <c r="R568" s="1302"/>
      <c r="S568" s="1302"/>
      <c r="T568" s="1302"/>
      <c r="U568" s="1302"/>
      <c r="V568" s="1302"/>
      <c r="W568" s="1302"/>
      <c r="X568" s="1302"/>
      <c r="Y568" s="1302"/>
      <c r="Z568" s="1302"/>
    </row>
    <row r="569" spans="1:26" ht="19.5">
      <c r="A569" s="1326"/>
      <c r="B569" s="1327"/>
      <c r="C569" s="1327"/>
      <c r="D569" s="1327"/>
      <c r="E569" s="1014"/>
      <c r="F569" s="1014"/>
      <c r="G569" s="1007"/>
      <c r="H569" s="765" t="s">
        <v>34</v>
      </c>
      <c r="I569" s="1018">
        <f ca="1">IFERROR(__xludf.DUMMYFUNCTION("IMPORTRANGE(""https://docs.google.com/spreadsheets/d/1QqKyyYR6Q21VydFLVH3TRQUabQu_ym0Zz7PgGX0-kHA/edit?usp=sharing"",""แผน!HG86"")"),4075)</f>
        <v>4075</v>
      </c>
      <c r="J569" s="1019">
        <f t="shared" si="248"/>
        <v>4075</v>
      </c>
      <c r="K569" s="1162">
        <f t="shared" ca="1" si="249"/>
        <v>100</v>
      </c>
      <c r="L569" s="998"/>
      <c r="M569" s="998"/>
      <c r="N569" s="998"/>
      <c r="O569" s="998"/>
      <c r="P569" s="998"/>
      <c r="Q569" s="1302"/>
      <c r="R569" s="1302"/>
      <c r="S569" s="1302"/>
      <c r="T569" s="1302"/>
      <c r="U569" s="1302"/>
      <c r="V569" s="1302"/>
      <c r="W569" s="1302"/>
      <c r="X569" s="1302"/>
      <c r="Y569" s="1302"/>
      <c r="Z569" s="1302"/>
    </row>
    <row r="570" spans="1:26" ht="18.75">
      <c r="A570" s="1326"/>
      <c r="B570" s="1327"/>
      <c r="C570" s="1327"/>
      <c r="D570" s="1014" t="s">
        <v>241</v>
      </c>
      <c r="E570" s="1327"/>
      <c r="F570" s="1014"/>
      <c r="G570" s="1007"/>
      <c r="H570" s="762" t="s">
        <v>46</v>
      </c>
      <c r="I570" s="997"/>
      <c r="J570" s="1012">
        <v>29664</v>
      </c>
      <c r="K570" s="998"/>
      <c r="L570" s="998"/>
      <c r="M570" s="998"/>
      <c r="N570" s="998"/>
      <c r="O570" s="998"/>
      <c r="P570" s="998"/>
      <c r="Q570" s="1302"/>
      <c r="R570" s="1302"/>
      <c r="S570" s="1302"/>
      <c r="T570" s="1302"/>
      <c r="U570" s="1302"/>
      <c r="V570" s="1302"/>
      <c r="W570" s="1302"/>
      <c r="X570" s="1302"/>
      <c r="Y570" s="1302"/>
      <c r="Z570" s="1302"/>
    </row>
    <row r="571" spans="1:26" ht="18.75">
      <c r="A571" s="1326"/>
      <c r="B571" s="1327"/>
      <c r="C571" s="1327"/>
      <c r="D571" s="1327"/>
      <c r="E571" s="1014"/>
      <c r="F571" s="1014"/>
      <c r="G571" s="1007"/>
      <c r="H571" s="762" t="s">
        <v>34</v>
      </c>
      <c r="I571" s="997"/>
      <c r="J571" s="1012">
        <v>3730</v>
      </c>
      <c r="K571" s="998"/>
      <c r="L571" s="998"/>
      <c r="M571" s="998"/>
      <c r="N571" s="998"/>
      <c r="O571" s="998"/>
      <c r="P571" s="998"/>
      <c r="Q571" s="1302"/>
      <c r="R571" s="1302"/>
      <c r="S571" s="1302"/>
      <c r="T571" s="1302"/>
      <c r="U571" s="1302"/>
      <c r="V571" s="1302"/>
      <c r="W571" s="1302"/>
      <c r="X571" s="1302"/>
      <c r="Y571" s="1302"/>
      <c r="Z571" s="1302"/>
    </row>
    <row r="572" spans="1:26" ht="18.75">
      <c r="A572" s="1326"/>
      <c r="B572" s="1327"/>
      <c r="C572" s="1327"/>
      <c r="D572" s="1014" t="s">
        <v>242</v>
      </c>
      <c r="E572" s="1014"/>
      <c r="F572" s="1014"/>
      <c r="G572" s="1007"/>
      <c r="H572" s="762" t="s">
        <v>46</v>
      </c>
      <c r="I572" s="997"/>
      <c r="J572" s="1012">
        <v>1977</v>
      </c>
      <c r="K572" s="998"/>
      <c r="L572" s="998"/>
      <c r="M572" s="998"/>
      <c r="N572" s="998"/>
      <c r="O572" s="998"/>
      <c r="P572" s="998"/>
      <c r="Q572" s="1302"/>
      <c r="R572" s="1302"/>
      <c r="S572" s="1302"/>
      <c r="T572" s="1302"/>
      <c r="U572" s="1302"/>
      <c r="V572" s="1302"/>
      <c r="W572" s="1302"/>
      <c r="X572" s="1302"/>
      <c r="Y572" s="1302"/>
      <c r="Z572" s="1302"/>
    </row>
    <row r="573" spans="1:26" ht="18.75">
      <c r="A573" s="1326"/>
      <c r="B573" s="1327"/>
      <c r="C573" s="1327"/>
      <c r="D573" s="1014"/>
      <c r="E573" s="1014"/>
      <c r="F573" s="1014"/>
      <c r="G573" s="1007"/>
      <c r="H573" s="762" t="s">
        <v>34</v>
      </c>
      <c r="I573" s="997"/>
      <c r="J573" s="1012">
        <v>240</v>
      </c>
      <c r="K573" s="998"/>
      <c r="L573" s="998"/>
      <c r="M573" s="998"/>
      <c r="N573" s="998"/>
      <c r="O573" s="998"/>
      <c r="P573" s="998"/>
      <c r="Q573" s="1302"/>
      <c r="R573" s="1302"/>
      <c r="S573" s="1302"/>
      <c r="T573" s="1302"/>
      <c r="U573" s="1302"/>
      <c r="V573" s="1302"/>
      <c r="W573" s="1302"/>
      <c r="X573" s="1302"/>
      <c r="Y573" s="1302"/>
      <c r="Z573" s="1302"/>
    </row>
    <row r="574" spans="1:26" ht="18.75">
      <c r="A574" s="1326"/>
      <c r="B574" s="1327"/>
      <c r="C574" s="1327"/>
      <c r="D574" s="1014" t="s">
        <v>243</v>
      </c>
      <c r="E574" s="1014"/>
      <c r="F574" s="1014"/>
      <c r="G574" s="1007"/>
      <c r="H574" s="762" t="s">
        <v>46</v>
      </c>
      <c r="I574" s="997"/>
      <c r="J574" s="1012">
        <v>823</v>
      </c>
      <c r="K574" s="998"/>
      <c r="L574" s="998"/>
      <c r="M574" s="998"/>
      <c r="N574" s="998"/>
      <c r="O574" s="998"/>
      <c r="P574" s="998"/>
      <c r="Q574" s="1302"/>
      <c r="R574" s="1302"/>
      <c r="S574" s="1302"/>
      <c r="T574" s="1302"/>
      <c r="U574" s="1302"/>
      <c r="V574" s="1302"/>
      <c r="W574" s="1302"/>
      <c r="X574" s="1302"/>
      <c r="Y574" s="1302"/>
      <c r="Z574" s="1302"/>
    </row>
    <row r="575" spans="1:26" ht="18.75">
      <c r="A575" s="1326"/>
      <c r="B575" s="1327"/>
      <c r="C575" s="1327"/>
      <c r="D575" s="1327"/>
      <c r="E575" s="1014"/>
      <c r="F575" s="1014"/>
      <c r="G575" s="1007"/>
      <c r="H575" s="762" t="s">
        <v>34</v>
      </c>
      <c r="I575" s="997"/>
      <c r="J575" s="1012">
        <v>105</v>
      </c>
      <c r="K575" s="998"/>
      <c r="L575" s="998"/>
      <c r="M575" s="998"/>
      <c r="N575" s="998"/>
      <c r="O575" s="998"/>
      <c r="P575" s="998"/>
      <c r="Q575" s="1302"/>
      <c r="R575" s="1302"/>
      <c r="S575" s="1302"/>
      <c r="T575" s="1302"/>
      <c r="U575" s="1302"/>
      <c r="V575" s="1302"/>
      <c r="W575" s="1302"/>
      <c r="X575" s="1302"/>
      <c r="Y575" s="1302"/>
      <c r="Z575" s="1302"/>
    </row>
    <row r="576" spans="1:26" ht="19.5">
      <c r="A576" s="1326"/>
      <c r="B576" s="1327"/>
      <c r="C576" s="1336" t="s">
        <v>244</v>
      </c>
      <c r="D576" s="1327"/>
      <c r="E576" s="1327"/>
      <c r="F576" s="1014"/>
      <c r="G576" s="1007"/>
      <c r="H576" s="765" t="s">
        <v>46</v>
      </c>
      <c r="I576" s="1018">
        <f ca="1">IFERROR(__xludf.DUMMYFUNCTION("IMPORTRANGE(""https://docs.google.com/spreadsheets/d/1QqKyyYR6Q21VydFLVH3TRQUabQu_ym0Zz7PgGX0-kHA/edit?usp=sharing"",""แผน!HH86"")"),32464)</f>
        <v>32464</v>
      </c>
      <c r="J576" s="1019">
        <f t="shared" ref="J576:J577" si="250">J578+J580+J582+J588+J590</f>
        <v>0</v>
      </c>
      <c r="K576" s="1162">
        <f t="shared" ref="K576:K577" ca="1" si="251">IF(I576&gt;0,J576*100/I576,0)</f>
        <v>0</v>
      </c>
      <c r="L576" s="998"/>
      <c r="M576" s="998"/>
      <c r="N576" s="998"/>
      <c r="O576" s="998"/>
      <c r="P576" s="998"/>
      <c r="Q576" s="1302"/>
      <c r="R576" s="1302"/>
      <c r="S576" s="1302"/>
      <c r="T576" s="1302"/>
      <c r="U576" s="1302"/>
      <c r="V576" s="1302"/>
      <c r="W576" s="1302"/>
      <c r="X576" s="1302"/>
      <c r="Y576" s="1302"/>
      <c r="Z576" s="1302"/>
    </row>
    <row r="577" spans="1:26" ht="19.5">
      <c r="A577" s="1326"/>
      <c r="B577" s="1327"/>
      <c r="C577" s="1327"/>
      <c r="D577" s="1327"/>
      <c r="E577" s="1014"/>
      <c r="F577" s="1014"/>
      <c r="G577" s="1007"/>
      <c r="H577" s="765" t="s">
        <v>34</v>
      </c>
      <c r="I577" s="1018">
        <f ca="1">IFERROR(__xludf.DUMMYFUNCTION("IMPORTRANGE(""https://docs.google.com/spreadsheets/d/1QqKyyYR6Q21VydFLVH3TRQUabQu_ym0Zz7PgGX0-kHA/edit?usp=sharing"",""แผน!HG86"")"),4075)</f>
        <v>4075</v>
      </c>
      <c r="J577" s="1019">
        <f t="shared" si="250"/>
        <v>0</v>
      </c>
      <c r="K577" s="1162">
        <f t="shared" ca="1" si="251"/>
        <v>0</v>
      </c>
      <c r="L577" s="998"/>
      <c r="M577" s="998"/>
      <c r="N577" s="998"/>
      <c r="O577" s="998"/>
      <c r="P577" s="998"/>
      <c r="Q577" s="1302"/>
      <c r="R577" s="1302"/>
      <c r="S577" s="1302"/>
      <c r="T577" s="1302"/>
      <c r="U577" s="1302"/>
      <c r="V577" s="1302"/>
      <c r="W577" s="1302"/>
      <c r="X577" s="1302"/>
      <c r="Y577" s="1302"/>
      <c r="Z577" s="1302"/>
    </row>
    <row r="578" spans="1:26" ht="18.75">
      <c r="A578" s="1326"/>
      <c r="B578" s="1327"/>
      <c r="C578" s="1327"/>
      <c r="D578" s="1014" t="s">
        <v>245</v>
      </c>
      <c r="E578" s="1014"/>
      <c r="F578" s="1014"/>
      <c r="G578" s="1007"/>
      <c r="H578" s="762" t="s">
        <v>46</v>
      </c>
      <c r="I578" s="997"/>
      <c r="J578" s="1012"/>
      <c r="K578" s="998"/>
      <c r="L578" s="998"/>
      <c r="M578" s="998"/>
      <c r="N578" s="998"/>
      <c r="O578" s="998"/>
      <c r="P578" s="998"/>
      <c r="Q578" s="1302"/>
      <c r="R578" s="1302"/>
      <c r="S578" s="1302"/>
      <c r="T578" s="1302"/>
      <c r="U578" s="1302"/>
      <c r="V578" s="1302"/>
      <c r="W578" s="1302"/>
      <c r="X578" s="1302"/>
      <c r="Y578" s="1302"/>
      <c r="Z578" s="1302"/>
    </row>
    <row r="579" spans="1:26" ht="18.75">
      <c r="A579" s="1326"/>
      <c r="B579" s="1327"/>
      <c r="C579" s="1327"/>
      <c r="D579" s="1327"/>
      <c r="E579" s="1014"/>
      <c r="F579" s="1014"/>
      <c r="G579" s="1007"/>
      <c r="H579" s="762" t="s">
        <v>34</v>
      </c>
      <c r="I579" s="997"/>
      <c r="J579" s="1012"/>
      <c r="K579" s="998"/>
      <c r="L579" s="998"/>
      <c r="M579" s="998"/>
      <c r="N579" s="998"/>
      <c r="O579" s="998"/>
      <c r="P579" s="998"/>
      <c r="Q579" s="1302"/>
      <c r="R579" s="1302"/>
      <c r="S579" s="1302"/>
      <c r="T579" s="1302"/>
      <c r="U579" s="1302"/>
      <c r="V579" s="1302"/>
      <c r="W579" s="1302"/>
      <c r="X579" s="1302"/>
      <c r="Y579" s="1302"/>
      <c r="Z579" s="1302"/>
    </row>
    <row r="580" spans="1:26" ht="18.75">
      <c r="A580" s="1326"/>
      <c r="B580" s="1327"/>
      <c r="C580" s="1327"/>
      <c r="D580" s="1014" t="s">
        <v>246</v>
      </c>
      <c r="E580" s="1014"/>
      <c r="F580" s="1014"/>
      <c r="G580" s="1007"/>
      <c r="H580" s="762" t="s">
        <v>46</v>
      </c>
      <c r="I580" s="997"/>
      <c r="J580" s="1012"/>
      <c r="K580" s="998"/>
      <c r="L580" s="998"/>
      <c r="M580" s="998"/>
      <c r="N580" s="998"/>
      <c r="O580" s="998"/>
      <c r="P580" s="998"/>
      <c r="Q580" s="1302"/>
      <c r="R580" s="1302"/>
      <c r="S580" s="1302"/>
      <c r="T580" s="1302"/>
      <c r="U580" s="1302"/>
      <c r="V580" s="1302"/>
      <c r="W580" s="1302"/>
      <c r="X580" s="1302"/>
      <c r="Y580" s="1302"/>
      <c r="Z580" s="1302"/>
    </row>
    <row r="581" spans="1:26" ht="18.75">
      <c r="A581" s="1326"/>
      <c r="B581" s="1327"/>
      <c r="C581" s="1327"/>
      <c r="D581" s="1327"/>
      <c r="E581" s="1014"/>
      <c r="F581" s="1014"/>
      <c r="G581" s="1007"/>
      <c r="H581" s="762" t="s">
        <v>34</v>
      </c>
      <c r="I581" s="997"/>
      <c r="J581" s="1012"/>
      <c r="K581" s="998"/>
      <c r="L581" s="998"/>
      <c r="M581" s="998"/>
      <c r="N581" s="998"/>
      <c r="O581" s="998"/>
      <c r="P581" s="998"/>
      <c r="Q581" s="1302"/>
      <c r="R581" s="1302"/>
      <c r="S581" s="1302"/>
      <c r="T581" s="1302"/>
      <c r="U581" s="1302"/>
      <c r="V581" s="1302"/>
      <c r="W581" s="1302"/>
      <c r="X581" s="1302"/>
      <c r="Y581" s="1302"/>
      <c r="Z581" s="1302"/>
    </row>
    <row r="582" spans="1:26" ht="19.5">
      <c r="A582" s="1326"/>
      <c r="B582" s="1327"/>
      <c r="C582" s="1327"/>
      <c r="D582" s="1014" t="s">
        <v>247</v>
      </c>
      <c r="E582" s="1014"/>
      <c r="F582" s="1014"/>
      <c r="G582" s="1007"/>
      <c r="H582" s="762" t="s">
        <v>46</v>
      </c>
      <c r="I582" s="997"/>
      <c r="J582" s="1019">
        <f t="shared" ref="J582:J583" si="252">J584+J586</f>
        <v>0</v>
      </c>
      <c r="K582" s="1162"/>
      <c r="L582" s="998"/>
      <c r="M582" s="998"/>
      <c r="N582" s="998"/>
      <c r="O582" s="998"/>
      <c r="P582" s="998"/>
      <c r="Q582" s="1302"/>
      <c r="R582" s="1302"/>
      <c r="S582" s="1302"/>
      <c r="T582" s="1302"/>
      <c r="U582" s="1302"/>
      <c r="V582" s="1302"/>
      <c r="W582" s="1302"/>
      <c r="X582" s="1302"/>
      <c r="Y582" s="1302"/>
      <c r="Z582" s="1302"/>
    </row>
    <row r="583" spans="1:26" ht="19.5">
      <c r="A583" s="1326"/>
      <c r="B583" s="1327"/>
      <c r="C583" s="1327"/>
      <c r="D583" s="1327"/>
      <c r="E583" s="1014"/>
      <c r="F583" s="1014"/>
      <c r="G583" s="1007"/>
      <c r="H583" s="762" t="s">
        <v>34</v>
      </c>
      <c r="I583" s="997"/>
      <c r="J583" s="1019">
        <f t="shared" si="252"/>
        <v>0</v>
      </c>
      <c r="K583" s="1162"/>
      <c r="L583" s="998"/>
      <c r="M583" s="998"/>
      <c r="N583" s="998"/>
      <c r="O583" s="998"/>
      <c r="P583" s="998"/>
      <c r="Q583" s="1302"/>
      <c r="R583" s="1302"/>
      <c r="S583" s="1302"/>
      <c r="T583" s="1302"/>
      <c r="U583" s="1302"/>
      <c r="V583" s="1302"/>
      <c r="W583" s="1302"/>
      <c r="X583" s="1302"/>
      <c r="Y583" s="1302"/>
      <c r="Z583" s="1302"/>
    </row>
    <row r="584" spans="1:26" ht="18.75">
      <c r="A584" s="1326"/>
      <c r="B584" s="1327"/>
      <c r="C584" s="1327"/>
      <c r="D584" s="1327"/>
      <c r="E584" s="1014" t="s">
        <v>248</v>
      </c>
      <c r="F584" s="1014"/>
      <c r="G584" s="1007"/>
      <c r="H584" s="762" t="s">
        <v>46</v>
      </c>
      <c r="I584" s="997"/>
      <c r="J584" s="1012"/>
      <c r="K584" s="998"/>
      <c r="L584" s="998"/>
      <c r="M584" s="998"/>
      <c r="N584" s="998"/>
      <c r="O584" s="998"/>
      <c r="P584" s="998"/>
      <c r="Q584" s="1302"/>
      <c r="R584" s="1302"/>
      <c r="S584" s="1302"/>
      <c r="T584" s="1302"/>
      <c r="U584" s="1302"/>
      <c r="V584" s="1302"/>
      <c r="W584" s="1302"/>
      <c r="X584" s="1302"/>
      <c r="Y584" s="1302"/>
      <c r="Z584" s="1302"/>
    </row>
    <row r="585" spans="1:26" ht="18.75">
      <c r="A585" s="1326"/>
      <c r="B585" s="1327"/>
      <c r="C585" s="1327"/>
      <c r="D585" s="1327"/>
      <c r="E585" s="1014"/>
      <c r="F585" s="1014"/>
      <c r="G585" s="1007"/>
      <c r="H585" s="762" t="s">
        <v>34</v>
      </c>
      <c r="I585" s="997"/>
      <c r="J585" s="1012"/>
      <c r="K585" s="998"/>
      <c r="L585" s="998"/>
      <c r="M585" s="998"/>
      <c r="N585" s="998"/>
      <c r="O585" s="998"/>
      <c r="P585" s="998"/>
      <c r="Q585" s="1302"/>
      <c r="R585" s="1302"/>
      <c r="S585" s="1302"/>
      <c r="T585" s="1302"/>
      <c r="U585" s="1302"/>
      <c r="V585" s="1302"/>
      <c r="W585" s="1302"/>
      <c r="X585" s="1302"/>
      <c r="Y585" s="1302"/>
      <c r="Z585" s="1302"/>
    </row>
    <row r="586" spans="1:26" ht="18.75">
      <c r="A586" s="1326"/>
      <c r="B586" s="1327"/>
      <c r="C586" s="1327"/>
      <c r="D586" s="1327"/>
      <c r="E586" s="1014" t="s">
        <v>249</v>
      </c>
      <c r="F586" s="1014"/>
      <c r="G586" s="1007"/>
      <c r="H586" s="762" t="s">
        <v>46</v>
      </c>
      <c r="I586" s="997"/>
      <c r="J586" s="1012"/>
      <c r="K586" s="998"/>
      <c r="L586" s="998"/>
      <c r="M586" s="998"/>
      <c r="N586" s="998"/>
      <c r="O586" s="998"/>
      <c r="P586" s="998"/>
      <c r="Q586" s="1302"/>
      <c r="R586" s="1302"/>
      <c r="S586" s="1302"/>
      <c r="T586" s="1302"/>
      <c r="U586" s="1302"/>
      <c r="V586" s="1302"/>
      <c r="W586" s="1302"/>
      <c r="X586" s="1302"/>
      <c r="Y586" s="1302"/>
      <c r="Z586" s="1302"/>
    </row>
    <row r="587" spans="1:26" ht="18.75">
      <c r="A587" s="1326"/>
      <c r="B587" s="1327"/>
      <c r="C587" s="1327"/>
      <c r="D587" s="1327"/>
      <c r="E587" s="1327"/>
      <c r="F587" s="1014"/>
      <c r="G587" s="1007"/>
      <c r="H587" s="762" t="s">
        <v>34</v>
      </c>
      <c r="I587" s="997"/>
      <c r="J587" s="1012"/>
      <c r="K587" s="998"/>
      <c r="L587" s="998"/>
      <c r="M587" s="998"/>
      <c r="N587" s="998"/>
      <c r="O587" s="998"/>
      <c r="P587" s="998"/>
      <c r="Q587" s="1302"/>
      <c r="R587" s="1302"/>
      <c r="S587" s="1302"/>
      <c r="T587" s="1302"/>
      <c r="U587" s="1302"/>
      <c r="V587" s="1302"/>
      <c r="W587" s="1302"/>
      <c r="X587" s="1302"/>
      <c r="Y587" s="1302"/>
      <c r="Z587" s="1302"/>
    </row>
    <row r="588" spans="1:26" ht="18.75">
      <c r="A588" s="1326"/>
      <c r="B588" s="1327"/>
      <c r="C588" s="1327"/>
      <c r="D588" s="1014" t="s">
        <v>250</v>
      </c>
      <c r="E588" s="1014"/>
      <c r="F588" s="1014"/>
      <c r="G588" s="1007"/>
      <c r="H588" s="762" t="s">
        <v>46</v>
      </c>
      <c r="I588" s="997"/>
      <c r="J588" s="1012">
        <v>0</v>
      </c>
      <c r="K588" s="998"/>
      <c r="L588" s="998"/>
      <c r="M588" s="998"/>
      <c r="N588" s="998"/>
      <c r="O588" s="998"/>
      <c r="P588" s="998"/>
      <c r="Q588" s="1302"/>
      <c r="R588" s="1302"/>
      <c r="S588" s="1302"/>
      <c r="T588" s="1302"/>
      <c r="U588" s="1302"/>
      <c r="V588" s="1302"/>
      <c r="W588" s="1302"/>
      <c r="X588" s="1302"/>
      <c r="Y588" s="1302"/>
      <c r="Z588" s="1302"/>
    </row>
    <row r="589" spans="1:26" ht="18.75">
      <c r="A589" s="1326"/>
      <c r="B589" s="1327"/>
      <c r="C589" s="1327"/>
      <c r="D589" s="1327"/>
      <c r="E589" s="1327"/>
      <c r="F589" s="1014"/>
      <c r="G589" s="1007"/>
      <c r="H589" s="762" t="s">
        <v>34</v>
      </c>
      <c r="I589" s="997"/>
      <c r="J589" s="1012">
        <v>0</v>
      </c>
      <c r="K589" s="998"/>
      <c r="L589" s="998"/>
      <c r="M589" s="998"/>
      <c r="N589" s="998"/>
      <c r="O589" s="998"/>
      <c r="P589" s="998"/>
      <c r="Q589" s="1302"/>
      <c r="R589" s="1302"/>
      <c r="S589" s="1302"/>
      <c r="T589" s="1302"/>
      <c r="U589" s="1302"/>
      <c r="V589" s="1302"/>
      <c r="W589" s="1302"/>
      <c r="X589" s="1302"/>
      <c r="Y589" s="1302"/>
      <c r="Z589" s="1302"/>
    </row>
    <row r="590" spans="1:26" ht="18.75">
      <c r="A590" s="1326"/>
      <c r="B590" s="1327"/>
      <c r="C590" s="1327"/>
      <c r="D590" s="1014" t="s">
        <v>251</v>
      </c>
      <c r="E590" s="1014"/>
      <c r="F590" s="1014"/>
      <c r="G590" s="1007"/>
      <c r="H590" s="762" t="s">
        <v>46</v>
      </c>
      <c r="I590" s="997"/>
      <c r="J590" s="1012">
        <v>0</v>
      </c>
      <c r="K590" s="998"/>
      <c r="L590" s="998"/>
      <c r="M590" s="998"/>
      <c r="N590" s="998"/>
      <c r="O590" s="998"/>
      <c r="P590" s="998"/>
      <c r="Q590" s="1302"/>
      <c r="R590" s="1302"/>
      <c r="S590" s="1302"/>
      <c r="T590" s="1302"/>
      <c r="U590" s="1302"/>
      <c r="V590" s="1302"/>
      <c r="W590" s="1302"/>
      <c r="X590" s="1302"/>
      <c r="Y590" s="1302"/>
      <c r="Z590" s="1302"/>
    </row>
    <row r="591" spans="1:26" ht="18.75">
      <c r="A591" s="1393"/>
      <c r="B591" s="1394"/>
      <c r="C591" s="1394"/>
      <c r="D591" s="1394"/>
      <c r="E591" s="1302"/>
      <c r="F591" s="1302"/>
      <c r="G591" s="1395"/>
      <c r="H591" s="697" t="s">
        <v>34</v>
      </c>
      <c r="I591" s="1396"/>
      <c r="J591" s="1397">
        <v>0</v>
      </c>
      <c r="K591" s="1398"/>
      <c r="L591" s="1398"/>
      <c r="M591" s="1398"/>
      <c r="N591" s="1398"/>
      <c r="O591" s="1398"/>
      <c r="P591" s="1398"/>
      <c r="Q591" s="1302"/>
      <c r="R591" s="1302"/>
      <c r="S591" s="1302"/>
      <c r="T591" s="1302"/>
      <c r="U591" s="1302"/>
      <c r="V591" s="1302"/>
      <c r="W591" s="1302"/>
      <c r="X591" s="1302"/>
      <c r="Y591" s="1302"/>
      <c r="Z591" s="1302"/>
    </row>
    <row r="592" spans="1:26" ht="19.5">
      <c r="A592" s="1390"/>
      <c r="B592" s="1391" t="s">
        <v>252</v>
      </c>
      <c r="C592" s="1392"/>
      <c r="D592" s="1392"/>
      <c r="E592" s="1375"/>
      <c r="F592" s="1375"/>
      <c r="G592" s="1376"/>
      <c r="H592" s="693" t="s">
        <v>46</v>
      </c>
      <c r="I592" s="1399">
        <f t="shared" ref="I592:J592" ca="1" si="253">I593</f>
        <v>414.26</v>
      </c>
      <c r="J592" s="1377">
        <f t="shared" si="253"/>
        <v>348</v>
      </c>
      <c r="K592" s="1378">
        <f t="shared" ref="K592:K594" ca="1" si="254">IF(I592&gt;0,J592*100/I592,0)</f>
        <v>84.005214116738287</v>
      </c>
      <c r="L592" s="1379"/>
      <c r="M592" s="1379"/>
      <c r="N592" s="1379"/>
      <c r="O592" s="1379"/>
      <c r="P592" s="1379"/>
      <c r="Q592" s="1302"/>
      <c r="R592" s="1302"/>
      <c r="S592" s="1302"/>
      <c r="T592" s="1302"/>
      <c r="U592" s="1302"/>
      <c r="V592" s="1302"/>
      <c r="W592" s="1302"/>
      <c r="X592" s="1302"/>
      <c r="Y592" s="1302"/>
      <c r="Z592" s="1302"/>
    </row>
    <row r="593" spans="1:26" ht="19.5">
      <c r="A593" s="1326"/>
      <c r="B593" s="1327"/>
      <c r="C593" s="1336" t="s">
        <v>253</v>
      </c>
      <c r="D593" s="1327"/>
      <c r="E593" s="1327"/>
      <c r="F593" s="1014"/>
      <c r="G593" s="1007"/>
      <c r="H593" s="765" t="s">
        <v>46</v>
      </c>
      <c r="I593" s="1400">
        <f ca="1">IFERROR(__xludf.DUMMYFUNCTION("IMPORTRANGE(""https://docs.google.com/spreadsheets/d/1QqKyyYR6Q21VydFLVH3TRQUabQu_ym0Zz7PgGX0-kHA/edit?usp=sharing"",""แผน!HJ86"")"),414.26)</f>
        <v>414.26</v>
      </c>
      <c r="J593" s="1018">
        <f t="shared" ref="J593:J594" si="255">J595+J603+J609</f>
        <v>348</v>
      </c>
      <c r="K593" s="1162">
        <f t="shared" ca="1" si="254"/>
        <v>84.005214116738287</v>
      </c>
      <c r="L593" s="998"/>
      <c r="M593" s="998"/>
      <c r="N593" s="998"/>
      <c r="O593" s="998"/>
      <c r="P593" s="998"/>
      <c r="Q593" s="1302"/>
      <c r="R593" s="1302"/>
      <c r="S593" s="1302"/>
      <c r="T593" s="1302"/>
      <c r="U593" s="1302"/>
      <c r="V593" s="1302"/>
      <c r="W593" s="1302"/>
      <c r="X593" s="1302"/>
      <c r="Y593" s="1302"/>
      <c r="Z593" s="1302"/>
    </row>
    <row r="594" spans="1:26" ht="19.5">
      <c r="A594" s="1326"/>
      <c r="B594" s="1327"/>
      <c r="C594" s="1327"/>
      <c r="D594" s="1327"/>
      <c r="E594" s="1014"/>
      <c r="F594" s="1014"/>
      <c r="G594" s="1007"/>
      <c r="H594" s="765" t="s">
        <v>34</v>
      </c>
      <c r="I594" s="1018">
        <f ca="1">IFERROR(__xludf.DUMMYFUNCTION("IMPORTRANGE(""https://docs.google.com/spreadsheets/d/1QqKyyYR6Q21VydFLVH3TRQUabQu_ym0Zz7PgGX0-kHA/edit?usp=sharing"",""แผน!HI86"")"),47)</f>
        <v>47</v>
      </c>
      <c r="J594" s="1018">
        <f t="shared" si="255"/>
        <v>36</v>
      </c>
      <c r="K594" s="1162">
        <f t="shared" ca="1" si="254"/>
        <v>76.59574468085107</v>
      </c>
      <c r="L594" s="998"/>
      <c r="M594" s="998"/>
      <c r="N594" s="998"/>
      <c r="O594" s="998"/>
      <c r="P594" s="998"/>
      <c r="Q594" s="1302"/>
      <c r="R594" s="1302"/>
      <c r="S594" s="1302"/>
      <c r="T594" s="1302"/>
      <c r="U594" s="1302"/>
      <c r="V594" s="1302"/>
      <c r="W594" s="1302"/>
      <c r="X594" s="1302"/>
      <c r="Y594" s="1302"/>
      <c r="Z594" s="1302"/>
    </row>
    <row r="595" spans="1:26" ht="18.75">
      <c r="A595" s="1326"/>
      <c r="B595" s="1327"/>
      <c r="C595" s="1327" t="s">
        <v>254</v>
      </c>
      <c r="D595" s="1327"/>
      <c r="E595" s="1327"/>
      <c r="F595" s="1014"/>
      <c r="G595" s="1007"/>
      <c r="H595" s="762" t="s">
        <v>46</v>
      </c>
      <c r="I595" s="997"/>
      <c r="J595" s="997">
        <f t="shared" ref="J595:J596" si="256">J597+J599</f>
        <v>348</v>
      </c>
      <c r="K595" s="998"/>
      <c r="L595" s="998"/>
      <c r="M595" s="998"/>
      <c r="N595" s="998"/>
      <c r="O595" s="998"/>
      <c r="P595" s="998"/>
      <c r="Q595" s="1302"/>
      <c r="R595" s="1302"/>
      <c r="S595" s="1302"/>
      <c r="T595" s="1302"/>
      <c r="U595" s="1302"/>
      <c r="V595" s="1302"/>
      <c r="W595" s="1302"/>
      <c r="X595" s="1302"/>
      <c r="Y595" s="1302"/>
      <c r="Z595" s="1302"/>
    </row>
    <row r="596" spans="1:26" ht="18.75">
      <c r="A596" s="1326"/>
      <c r="B596" s="1327"/>
      <c r="C596" s="1327"/>
      <c r="D596" s="1327"/>
      <c r="E596" s="1014"/>
      <c r="F596" s="1014"/>
      <c r="G596" s="1007"/>
      <c r="H596" s="762" t="s">
        <v>34</v>
      </c>
      <c r="I596" s="997"/>
      <c r="J596" s="997">
        <f t="shared" si="256"/>
        <v>36</v>
      </c>
      <c r="K596" s="998"/>
      <c r="L596" s="998"/>
      <c r="M596" s="998"/>
      <c r="N596" s="998"/>
      <c r="O596" s="998"/>
      <c r="P596" s="998"/>
      <c r="Q596" s="1302"/>
      <c r="R596" s="1302"/>
      <c r="S596" s="1302"/>
      <c r="T596" s="1302"/>
      <c r="U596" s="1302"/>
      <c r="V596" s="1302"/>
      <c r="W596" s="1302"/>
      <c r="X596" s="1302"/>
      <c r="Y596" s="1302"/>
      <c r="Z596" s="1302"/>
    </row>
    <row r="597" spans="1:26" ht="18.75">
      <c r="A597" s="1326"/>
      <c r="B597" s="1327"/>
      <c r="C597" s="1327"/>
      <c r="D597" s="1069" t="s">
        <v>255</v>
      </c>
      <c r="E597" s="1014"/>
      <c r="F597" s="1014"/>
      <c r="G597" s="1007"/>
      <c r="H597" s="762" t="s">
        <v>46</v>
      </c>
      <c r="I597" s="997"/>
      <c r="J597" s="1012">
        <v>348</v>
      </c>
      <c r="K597" s="998"/>
      <c r="L597" s="998"/>
      <c r="M597" s="998"/>
      <c r="N597" s="998"/>
      <c r="O597" s="998"/>
      <c r="P597" s="998"/>
      <c r="Q597" s="1302"/>
      <c r="R597" s="1302"/>
      <c r="S597" s="1302"/>
      <c r="T597" s="1302"/>
      <c r="U597" s="1302"/>
      <c r="V597" s="1302"/>
      <c r="W597" s="1302"/>
      <c r="X597" s="1302"/>
      <c r="Y597" s="1302"/>
      <c r="Z597" s="1302"/>
    </row>
    <row r="598" spans="1:26" ht="18.75">
      <c r="A598" s="1326"/>
      <c r="B598" s="1327"/>
      <c r="C598" s="1327"/>
      <c r="D598" s="1327"/>
      <c r="E598" s="1014"/>
      <c r="F598" s="1014"/>
      <c r="G598" s="1007"/>
      <c r="H598" s="762" t="s">
        <v>34</v>
      </c>
      <c r="I598" s="880"/>
      <c r="J598" s="1012">
        <v>36</v>
      </c>
      <c r="K598" s="998"/>
      <c r="L598" s="998"/>
      <c r="M598" s="998"/>
      <c r="N598" s="998"/>
      <c r="O598" s="998"/>
      <c r="P598" s="998"/>
      <c r="Q598" s="1302"/>
      <c r="R598" s="1302"/>
      <c r="S598" s="1302"/>
      <c r="T598" s="1302"/>
      <c r="U598" s="1302"/>
      <c r="V598" s="1302"/>
      <c r="W598" s="1302"/>
      <c r="X598" s="1302"/>
      <c r="Y598" s="1302"/>
      <c r="Z598" s="1302"/>
    </row>
    <row r="599" spans="1:26" ht="18.75">
      <c r="A599" s="1326"/>
      <c r="B599" s="1327"/>
      <c r="C599" s="1327"/>
      <c r="D599" s="1069" t="s">
        <v>256</v>
      </c>
      <c r="E599" s="1014"/>
      <c r="F599" s="1014"/>
      <c r="G599" s="1007"/>
      <c r="H599" s="762" t="s">
        <v>46</v>
      </c>
      <c r="I599" s="880"/>
      <c r="J599" s="1012">
        <v>0</v>
      </c>
      <c r="K599" s="998"/>
      <c r="L599" s="998"/>
      <c r="M599" s="998"/>
      <c r="N599" s="998"/>
      <c r="O599" s="998"/>
      <c r="P599" s="998"/>
      <c r="Q599" s="1302"/>
      <c r="R599" s="1302"/>
      <c r="S599" s="1302"/>
      <c r="T599" s="1302"/>
      <c r="U599" s="1302"/>
      <c r="V599" s="1302"/>
      <c r="W599" s="1302"/>
      <c r="X599" s="1302"/>
      <c r="Y599" s="1302"/>
      <c r="Z599" s="1302"/>
    </row>
    <row r="600" spans="1:26" ht="18.75">
      <c r="A600" s="1326"/>
      <c r="B600" s="1327"/>
      <c r="C600" s="1327"/>
      <c r="D600" s="1327"/>
      <c r="E600" s="1014"/>
      <c r="F600" s="1014"/>
      <c r="G600" s="1007"/>
      <c r="H600" s="762" t="s">
        <v>34</v>
      </c>
      <c r="I600" s="880"/>
      <c r="J600" s="1012">
        <v>0</v>
      </c>
      <c r="K600" s="998"/>
      <c r="L600" s="998"/>
      <c r="M600" s="998"/>
      <c r="N600" s="998"/>
      <c r="O600" s="998"/>
      <c r="P600" s="998"/>
      <c r="Q600" s="1302"/>
      <c r="R600" s="1302"/>
      <c r="S600" s="1302"/>
      <c r="T600" s="1302"/>
      <c r="U600" s="1302"/>
      <c r="V600" s="1302"/>
      <c r="W600" s="1302"/>
      <c r="X600" s="1302"/>
      <c r="Y600" s="1302"/>
      <c r="Z600" s="1302"/>
    </row>
    <row r="601" spans="1:26" ht="18.75">
      <c r="A601" s="1326"/>
      <c r="B601" s="1327"/>
      <c r="C601" s="1327"/>
      <c r="D601" s="1069" t="s">
        <v>257</v>
      </c>
      <c r="E601" s="1014"/>
      <c r="F601" s="1014"/>
      <c r="G601" s="1007"/>
      <c r="H601" s="762" t="s">
        <v>46</v>
      </c>
      <c r="I601" s="880"/>
      <c r="J601" s="1012">
        <v>0</v>
      </c>
      <c r="K601" s="998"/>
      <c r="L601" s="998"/>
      <c r="M601" s="998"/>
      <c r="N601" s="998"/>
      <c r="O601" s="998"/>
      <c r="P601" s="998"/>
      <c r="Q601" s="1302"/>
      <c r="R601" s="1302"/>
      <c r="S601" s="1302"/>
      <c r="T601" s="1302"/>
      <c r="U601" s="1302"/>
      <c r="V601" s="1302"/>
      <c r="W601" s="1302"/>
      <c r="X601" s="1302"/>
      <c r="Y601" s="1302"/>
      <c r="Z601" s="1302"/>
    </row>
    <row r="602" spans="1:26" ht="18.75">
      <c r="A602" s="1326"/>
      <c r="B602" s="1327"/>
      <c r="C602" s="1327"/>
      <c r="D602" s="1327"/>
      <c r="E602" s="1014"/>
      <c r="F602" s="1014"/>
      <c r="G602" s="1007"/>
      <c r="H602" s="762" t="s">
        <v>34</v>
      </c>
      <c r="I602" s="880"/>
      <c r="J602" s="1012">
        <v>0</v>
      </c>
      <c r="K602" s="998"/>
      <c r="L602" s="998"/>
      <c r="M602" s="998"/>
      <c r="N602" s="998"/>
      <c r="O602" s="998"/>
      <c r="P602" s="998"/>
      <c r="Q602" s="1302"/>
      <c r="R602" s="1302"/>
      <c r="S602" s="1302"/>
      <c r="T602" s="1302"/>
      <c r="U602" s="1302"/>
      <c r="V602" s="1302"/>
      <c r="W602" s="1302"/>
      <c r="X602" s="1302"/>
      <c r="Y602" s="1302"/>
      <c r="Z602" s="1302"/>
    </row>
    <row r="603" spans="1:26" ht="18.75">
      <c r="A603" s="1326"/>
      <c r="B603" s="1327"/>
      <c r="C603" s="1401" t="s">
        <v>258</v>
      </c>
      <c r="D603" s="1327"/>
      <c r="E603" s="1327"/>
      <c r="F603" s="1014"/>
      <c r="G603" s="1007"/>
      <c r="H603" s="762" t="s">
        <v>46</v>
      </c>
      <c r="I603" s="880"/>
      <c r="J603" s="880">
        <f t="shared" ref="J603:J604" si="257">J605+J607</f>
        <v>0</v>
      </c>
      <c r="K603" s="998"/>
      <c r="L603" s="998"/>
      <c r="M603" s="998"/>
      <c r="N603" s="998"/>
      <c r="O603" s="998"/>
      <c r="P603" s="998"/>
      <c r="Q603" s="1302"/>
      <c r="R603" s="1302"/>
      <c r="S603" s="1302"/>
      <c r="T603" s="1302"/>
      <c r="U603" s="1302"/>
      <c r="V603" s="1302"/>
      <c r="W603" s="1302"/>
      <c r="X603" s="1302"/>
      <c r="Y603" s="1302"/>
      <c r="Z603" s="1302"/>
    </row>
    <row r="604" spans="1:26" ht="18.75">
      <c r="A604" s="1326"/>
      <c r="B604" s="1327"/>
      <c r="C604" s="1327"/>
      <c r="D604" s="1327"/>
      <c r="E604" s="1014"/>
      <c r="F604" s="1014"/>
      <c r="G604" s="1007"/>
      <c r="H604" s="762" t="s">
        <v>34</v>
      </c>
      <c r="I604" s="880"/>
      <c r="J604" s="880">
        <f t="shared" si="257"/>
        <v>0</v>
      </c>
      <c r="K604" s="998"/>
      <c r="L604" s="998"/>
      <c r="M604" s="998"/>
      <c r="N604" s="998"/>
      <c r="O604" s="998"/>
      <c r="P604" s="998"/>
      <c r="Q604" s="1302"/>
      <c r="R604" s="1302"/>
      <c r="S604" s="1302"/>
      <c r="T604" s="1302"/>
      <c r="U604" s="1302"/>
      <c r="V604" s="1302"/>
      <c r="W604" s="1302"/>
      <c r="X604" s="1302"/>
      <c r="Y604" s="1302"/>
      <c r="Z604" s="1302"/>
    </row>
    <row r="605" spans="1:26" ht="18.75">
      <c r="A605" s="1326"/>
      <c r="B605" s="1327"/>
      <c r="C605" s="1327"/>
      <c r="D605" s="1401" t="s">
        <v>259</v>
      </c>
      <c r="E605" s="1014"/>
      <c r="F605" s="1014"/>
      <c r="G605" s="1007"/>
      <c r="H605" s="762" t="s">
        <v>46</v>
      </c>
      <c r="I605" s="880"/>
      <c r="J605" s="1012">
        <v>0</v>
      </c>
      <c r="K605" s="998"/>
      <c r="L605" s="998"/>
      <c r="M605" s="998"/>
      <c r="N605" s="998"/>
      <c r="O605" s="998"/>
      <c r="P605" s="998"/>
      <c r="Q605" s="1302"/>
      <c r="R605" s="1302"/>
      <c r="S605" s="1302"/>
      <c r="T605" s="1302"/>
      <c r="U605" s="1302"/>
      <c r="V605" s="1302"/>
      <c r="W605" s="1302"/>
      <c r="X605" s="1302"/>
      <c r="Y605" s="1302"/>
      <c r="Z605" s="1302"/>
    </row>
    <row r="606" spans="1:26" ht="18.75">
      <c r="A606" s="1326"/>
      <c r="B606" s="1327"/>
      <c r="C606" s="1327"/>
      <c r="D606" s="1327"/>
      <c r="E606" s="1327"/>
      <c r="F606" s="1014"/>
      <c r="G606" s="1007"/>
      <c r="H606" s="762" t="s">
        <v>34</v>
      </c>
      <c r="I606" s="880"/>
      <c r="J606" s="1012">
        <v>0</v>
      </c>
      <c r="K606" s="998"/>
      <c r="L606" s="998"/>
      <c r="M606" s="998"/>
      <c r="N606" s="998"/>
      <c r="O606" s="998"/>
      <c r="P606" s="998"/>
      <c r="Q606" s="1302"/>
      <c r="R606" s="1302"/>
      <c r="S606" s="1302"/>
      <c r="T606" s="1302"/>
      <c r="U606" s="1302"/>
      <c r="V606" s="1302"/>
      <c r="W606" s="1302"/>
      <c r="X606" s="1302"/>
      <c r="Y606" s="1302"/>
      <c r="Z606" s="1302"/>
    </row>
    <row r="607" spans="1:26" ht="18.75">
      <c r="A607" s="1326"/>
      <c r="B607" s="1327"/>
      <c r="C607" s="1327"/>
      <c r="D607" s="1401" t="s">
        <v>260</v>
      </c>
      <c r="E607" s="1327"/>
      <c r="F607" s="1014"/>
      <c r="G607" s="1007"/>
      <c r="H607" s="762" t="s">
        <v>46</v>
      </c>
      <c r="I607" s="880"/>
      <c r="J607" s="1012">
        <v>0</v>
      </c>
      <c r="K607" s="998"/>
      <c r="L607" s="998"/>
      <c r="M607" s="998"/>
      <c r="N607" s="998"/>
      <c r="O607" s="998"/>
      <c r="P607" s="998"/>
      <c r="Q607" s="1302"/>
      <c r="R607" s="1302"/>
      <c r="S607" s="1302"/>
      <c r="T607" s="1302"/>
      <c r="U607" s="1302"/>
      <c r="V607" s="1302"/>
      <c r="W607" s="1302"/>
      <c r="X607" s="1302"/>
      <c r="Y607" s="1302"/>
      <c r="Z607" s="1302"/>
    </row>
    <row r="608" spans="1:26" ht="18.75">
      <c r="A608" s="1326"/>
      <c r="B608" s="1327"/>
      <c r="C608" s="1327"/>
      <c r="D608" s="1327"/>
      <c r="E608" s="1014"/>
      <c r="F608" s="1014"/>
      <c r="G608" s="1007"/>
      <c r="H608" s="762" t="s">
        <v>34</v>
      </c>
      <c r="I608" s="880"/>
      <c r="J608" s="1012">
        <v>0</v>
      </c>
      <c r="K608" s="998"/>
      <c r="L608" s="998"/>
      <c r="M608" s="998"/>
      <c r="N608" s="998"/>
      <c r="O608" s="998"/>
      <c r="P608" s="998"/>
      <c r="Q608" s="1302"/>
      <c r="R608" s="1302"/>
      <c r="S608" s="1302"/>
      <c r="T608" s="1302"/>
      <c r="U608" s="1302"/>
      <c r="V608" s="1302"/>
      <c r="W608" s="1302"/>
      <c r="X608" s="1302"/>
      <c r="Y608" s="1302"/>
      <c r="Z608" s="1302"/>
    </row>
    <row r="609" spans="1:26" ht="18.75">
      <c r="A609" s="1326"/>
      <c r="B609" s="1327"/>
      <c r="C609" s="1327" t="s">
        <v>261</v>
      </c>
      <c r="D609" s="1327"/>
      <c r="E609" s="1327"/>
      <c r="F609" s="1014"/>
      <c r="G609" s="1007"/>
      <c r="H609" s="762" t="s">
        <v>46</v>
      </c>
      <c r="I609" s="880"/>
      <c r="J609" s="1012">
        <v>0</v>
      </c>
      <c r="K609" s="998"/>
      <c r="L609" s="998"/>
      <c r="M609" s="998"/>
      <c r="N609" s="998"/>
      <c r="O609" s="998"/>
      <c r="P609" s="998"/>
      <c r="Q609" s="1302"/>
      <c r="R609" s="1302"/>
      <c r="S609" s="1302"/>
      <c r="T609" s="1302"/>
      <c r="U609" s="1302"/>
      <c r="V609" s="1302"/>
      <c r="W609" s="1302"/>
      <c r="X609" s="1302"/>
      <c r="Y609" s="1302"/>
      <c r="Z609" s="1302"/>
    </row>
    <row r="610" spans="1:26" ht="18.75">
      <c r="A610" s="1326"/>
      <c r="B610" s="1327"/>
      <c r="C610" s="1327"/>
      <c r="D610" s="1327"/>
      <c r="E610" s="1014"/>
      <c r="F610" s="1014"/>
      <c r="G610" s="1007"/>
      <c r="H610" s="762" t="s">
        <v>34</v>
      </c>
      <c r="I610" s="880"/>
      <c r="J610" s="1012">
        <v>0</v>
      </c>
      <c r="K610" s="998"/>
      <c r="L610" s="998"/>
      <c r="M610" s="998"/>
      <c r="N610" s="998"/>
      <c r="O610" s="998"/>
      <c r="P610" s="998"/>
      <c r="Q610" s="1302"/>
      <c r="R610" s="1302"/>
      <c r="S610" s="1302"/>
      <c r="T610" s="1302"/>
      <c r="U610" s="1302"/>
      <c r="V610" s="1302"/>
      <c r="W610" s="1302"/>
      <c r="X610" s="1302"/>
      <c r="Y610" s="1302"/>
      <c r="Z610" s="1302"/>
    </row>
    <row r="611" spans="1:26" ht="19.5" hidden="1">
      <c r="A611" s="1390"/>
      <c r="B611" s="1402" t="s">
        <v>262</v>
      </c>
      <c r="C611" s="1392"/>
      <c r="D611" s="1392"/>
      <c r="E611" s="1375"/>
      <c r="F611" s="1375"/>
      <c r="G611" s="1376"/>
      <c r="H611" s="705" t="s">
        <v>46</v>
      </c>
      <c r="I611" s="1377">
        <v>0</v>
      </c>
      <c r="J611" s="1377">
        <f>J614+J616</f>
        <v>0</v>
      </c>
      <c r="K611" s="1378">
        <f t="shared" ref="K611:K613" si="258">IF(I611&gt;0,J611*100/I611,0)</f>
        <v>0</v>
      </c>
      <c r="L611" s="1379"/>
      <c r="M611" s="1379"/>
      <c r="N611" s="1379"/>
      <c r="O611" s="1379"/>
      <c r="P611" s="1379"/>
      <c r="Q611" s="1302"/>
      <c r="R611" s="1302"/>
      <c r="S611" s="1302"/>
      <c r="T611" s="1302"/>
      <c r="U611" s="1302"/>
      <c r="V611" s="1302"/>
      <c r="W611" s="1302"/>
      <c r="X611" s="1302"/>
      <c r="Y611" s="1302"/>
      <c r="Z611" s="1302"/>
    </row>
    <row r="612" spans="1:26" ht="19.5" hidden="1">
      <c r="A612" s="1403"/>
      <c r="B612" s="1404"/>
      <c r="C612" s="1405" t="s">
        <v>263</v>
      </c>
      <c r="D612" s="1404"/>
      <c r="E612" s="1404"/>
      <c r="F612" s="1406"/>
      <c r="G612" s="1407"/>
      <c r="H612" s="712" t="s">
        <v>46</v>
      </c>
      <c r="I612" s="1408">
        <v>0</v>
      </c>
      <c r="J612" s="1408">
        <f t="shared" ref="J612:J613" si="259">J614+J616</f>
        <v>0</v>
      </c>
      <c r="K612" s="1409">
        <f t="shared" si="258"/>
        <v>0</v>
      </c>
      <c r="L612" s="1410"/>
      <c r="M612" s="1410"/>
      <c r="N612" s="1410"/>
      <c r="O612" s="1410"/>
      <c r="P612" s="1410"/>
      <c r="Q612" s="1323"/>
      <c r="R612" s="1323"/>
      <c r="S612" s="1323"/>
      <c r="T612" s="1323"/>
      <c r="U612" s="1323"/>
      <c r="V612" s="1323"/>
      <c r="W612" s="1323"/>
      <c r="X612" s="1323"/>
      <c r="Y612" s="1323"/>
      <c r="Z612" s="1323"/>
    </row>
    <row r="613" spans="1:26" ht="19.5" hidden="1">
      <c r="A613" s="1403"/>
      <c r="B613" s="1404"/>
      <c r="C613" s="1404" t="s">
        <v>264</v>
      </c>
      <c r="D613" s="1404"/>
      <c r="E613" s="1404"/>
      <c r="F613" s="1406"/>
      <c r="G613" s="1407"/>
      <c r="H613" s="712" t="s">
        <v>34</v>
      </c>
      <c r="I613" s="1408">
        <v>0</v>
      </c>
      <c r="J613" s="1408">
        <f t="shared" si="259"/>
        <v>0</v>
      </c>
      <c r="K613" s="1409">
        <f t="shared" si="258"/>
        <v>0</v>
      </c>
      <c r="L613" s="1410"/>
      <c r="M613" s="1410"/>
      <c r="N613" s="1410"/>
      <c r="O613" s="1410"/>
      <c r="P613" s="1410"/>
      <c r="Q613" s="1323"/>
      <c r="R613" s="1323"/>
      <c r="S613" s="1323"/>
      <c r="T613" s="1323"/>
      <c r="U613" s="1323"/>
      <c r="V613" s="1323"/>
      <c r="W613" s="1323"/>
      <c r="X613" s="1323"/>
      <c r="Y613" s="1323"/>
      <c r="Z613" s="1323"/>
    </row>
    <row r="614" spans="1:26" ht="18.75" hidden="1">
      <c r="A614" s="1332"/>
      <c r="B614" s="1333"/>
      <c r="C614" s="1333"/>
      <c r="D614" s="1321" t="s">
        <v>265</v>
      </c>
      <c r="E614" s="1333"/>
      <c r="F614" s="1321"/>
      <c r="G614" s="1113"/>
      <c r="H614" s="370" t="s">
        <v>46</v>
      </c>
      <c r="I614" s="886"/>
      <c r="J614" s="886">
        <v>0</v>
      </c>
      <c r="K614" s="1001"/>
      <c r="L614" s="1001"/>
      <c r="M614" s="1001"/>
      <c r="N614" s="1001"/>
      <c r="O614" s="1001"/>
      <c r="P614" s="1001"/>
      <c r="Q614" s="1323"/>
      <c r="R614" s="1323"/>
      <c r="S614" s="1323"/>
      <c r="T614" s="1323"/>
      <c r="U614" s="1323"/>
      <c r="V614" s="1323"/>
      <c r="W614" s="1323"/>
      <c r="X614" s="1323"/>
      <c r="Y614" s="1323"/>
      <c r="Z614" s="1323"/>
    </row>
    <row r="615" spans="1:26" ht="18.75" hidden="1">
      <c r="A615" s="1332"/>
      <c r="B615" s="1333"/>
      <c r="C615" s="1333"/>
      <c r="D615" s="1333"/>
      <c r="E615" s="1333"/>
      <c r="F615" s="1321"/>
      <c r="G615" s="1113"/>
      <c r="H615" s="370" t="s">
        <v>34</v>
      </c>
      <c r="I615" s="886"/>
      <c r="J615" s="886">
        <v>0</v>
      </c>
      <c r="K615" s="1001"/>
      <c r="L615" s="1001"/>
      <c r="M615" s="1001"/>
      <c r="N615" s="1001"/>
      <c r="O615" s="1001"/>
      <c r="P615" s="1001"/>
      <c r="Q615" s="1323"/>
      <c r="R615" s="1323"/>
      <c r="S615" s="1323"/>
      <c r="T615" s="1323"/>
      <c r="U615" s="1323"/>
      <c r="V615" s="1323"/>
      <c r="W615" s="1323"/>
      <c r="X615" s="1323"/>
      <c r="Y615" s="1323"/>
      <c r="Z615" s="1323"/>
    </row>
    <row r="616" spans="1:26" ht="18.75" hidden="1">
      <c r="A616" s="1332"/>
      <c r="B616" s="1333"/>
      <c r="C616" s="1333"/>
      <c r="D616" s="1411" t="s">
        <v>265</v>
      </c>
      <c r="E616" s="1321"/>
      <c r="F616" s="1321"/>
      <c r="G616" s="1113"/>
      <c r="H616" s="370" t="s">
        <v>46</v>
      </c>
      <c r="I616" s="886"/>
      <c r="J616" s="886">
        <v>0</v>
      </c>
      <c r="K616" s="1001"/>
      <c r="L616" s="1001"/>
      <c r="M616" s="1001"/>
      <c r="N616" s="1001"/>
      <c r="O616" s="1001"/>
      <c r="P616" s="1001"/>
      <c r="Q616" s="1323"/>
      <c r="R616" s="1323"/>
      <c r="S616" s="1323"/>
      <c r="T616" s="1323"/>
      <c r="U616" s="1323"/>
      <c r="V616" s="1323"/>
      <c r="W616" s="1323"/>
      <c r="X616" s="1323"/>
      <c r="Y616" s="1323"/>
      <c r="Z616" s="1323"/>
    </row>
    <row r="617" spans="1:26" ht="18.75" hidden="1">
      <c r="A617" s="1332"/>
      <c r="B617" s="1333"/>
      <c r="C617" s="1333"/>
      <c r="D617" s="1333"/>
      <c r="E617" s="1321"/>
      <c r="F617" s="1321"/>
      <c r="G617" s="1113"/>
      <c r="H617" s="370" t="s">
        <v>34</v>
      </c>
      <c r="I617" s="886"/>
      <c r="J617" s="886">
        <v>0</v>
      </c>
      <c r="K617" s="1001"/>
      <c r="L617" s="1001"/>
      <c r="M617" s="1001"/>
      <c r="N617" s="1001"/>
      <c r="O617" s="1001"/>
      <c r="P617" s="1001"/>
      <c r="Q617" s="1323"/>
      <c r="R617" s="1323"/>
      <c r="S617" s="1323"/>
      <c r="T617" s="1323"/>
      <c r="U617" s="1323"/>
      <c r="V617" s="1323"/>
      <c r="W617" s="1323"/>
      <c r="X617" s="1323"/>
      <c r="Y617" s="1323"/>
      <c r="Z617" s="1323"/>
    </row>
    <row r="618" spans="1:26" ht="18.75" hidden="1">
      <c r="A618" s="1332"/>
      <c r="B618" s="1333"/>
      <c r="C618" s="1333"/>
      <c r="D618" s="1411" t="s">
        <v>266</v>
      </c>
      <c r="E618" s="1321"/>
      <c r="F618" s="1321"/>
      <c r="G618" s="1113"/>
      <c r="H618" s="370" t="s">
        <v>46</v>
      </c>
      <c r="I618" s="886"/>
      <c r="J618" s="886">
        <v>0</v>
      </c>
      <c r="K618" s="1001"/>
      <c r="L618" s="1001"/>
      <c r="M618" s="1001"/>
      <c r="N618" s="1001"/>
      <c r="O618" s="1001"/>
      <c r="P618" s="1001"/>
      <c r="Q618" s="1323"/>
      <c r="R618" s="1323"/>
      <c r="S618" s="1323"/>
      <c r="T618" s="1323"/>
      <c r="U618" s="1323"/>
      <c r="V618" s="1323"/>
      <c r="W618" s="1323"/>
      <c r="X618" s="1323"/>
      <c r="Y618" s="1323"/>
      <c r="Z618" s="1323"/>
    </row>
    <row r="619" spans="1:26" ht="18.75" hidden="1">
      <c r="A619" s="1332"/>
      <c r="B619" s="1333"/>
      <c r="C619" s="1333"/>
      <c r="D619" s="1333"/>
      <c r="E619" s="1321"/>
      <c r="F619" s="1321"/>
      <c r="G619" s="1113"/>
      <c r="H619" s="370" t="s">
        <v>34</v>
      </c>
      <c r="I619" s="886"/>
      <c r="J619" s="886">
        <v>0</v>
      </c>
      <c r="K619" s="1001"/>
      <c r="L619" s="1001"/>
      <c r="M619" s="1001"/>
      <c r="N619" s="1001"/>
      <c r="O619" s="1001"/>
      <c r="P619" s="1001"/>
      <c r="Q619" s="1323"/>
      <c r="R619" s="1323"/>
      <c r="S619" s="1323"/>
      <c r="T619" s="1323"/>
      <c r="U619" s="1323"/>
      <c r="V619" s="1323"/>
      <c r="W619" s="1323"/>
      <c r="X619" s="1323"/>
      <c r="Y619" s="1323"/>
      <c r="Z619" s="1323"/>
    </row>
    <row r="620" spans="1:26" ht="19.5" hidden="1">
      <c r="A620" s="1412"/>
      <c r="B620" s="1413"/>
      <c r="C620" s="1414" t="s">
        <v>267</v>
      </c>
      <c r="D620" s="1413"/>
      <c r="E620" s="1413"/>
      <c r="F620" s="1415"/>
      <c r="G620" s="1416"/>
      <c r="H620" s="725" t="s">
        <v>46</v>
      </c>
      <c r="I620" s="1417">
        <f ca="1">IFERROR(__xludf.DUMMYFUNCTION("IMPORTRANGE(""https://docs.google.com/spreadsheets/d/1QqKyyYR6Q21VydFLVH3TRQUabQu_ym0Zz7PgGX0-kHA/edit?usp=sharing"",""แผน!HL86"")"),140)</f>
        <v>140</v>
      </c>
      <c r="J620" s="1417">
        <f t="shared" ref="J620:J621" si="260">J622+J624+J626</f>
        <v>0</v>
      </c>
      <c r="K620" s="1418">
        <f t="shared" ref="K620:K621" ca="1" si="261">IF(I620&gt;0,J620*100/I620,0)</f>
        <v>0</v>
      </c>
      <c r="L620" s="1419"/>
      <c r="M620" s="1419"/>
      <c r="N620" s="1419"/>
      <c r="O620" s="1419"/>
      <c r="P620" s="1419"/>
      <c r="Q620" s="1302"/>
      <c r="R620" s="1302"/>
      <c r="S620" s="1302"/>
      <c r="T620" s="1302"/>
      <c r="U620" s="1302"/>
      <c r="V620" s="1302"/>
      <c r="W620" s="1302"/>
      <c r="X620" s="1302"/>
      <c r="Y620" s="1302"/>
      <c r="Z620" s="1302"/>
    </row>
    <row r="621" spans="1:26" ht="19.5" hidden="1">
      <c r="A621" s="1412"/>
      <c r="B621" s="1413"/>
      <c r="C621" s="1413" t="s">
        <v>268</v>
      </c>
      <c r="D621" s="1413"/>
      <c r="E621" s="1413"/>
      <c r="F621" s="1415"/>
      <c r="G621" s="1416"/>
      <c r="H621" s="725" t="s">
        <v>34</v>
      </c>
      <c r="I621" s="1417">
        <f ca="1">IFERROR(__xludf.DUMMYFUNCTION("IMPORTRANGE(""https://docs.google.com/spreadsheets/d/1QqKyyYR6Q21VydFLVH3TRQUabQu_ym0Zz7PgGX0-kHA/edit?usp=sharing"",""แผน!HK86"")"),17)</f>
        <v>17</v>
      </c>
      <c r="J621" s="1417">
        <f t="shared" si="260"/>
        <v>0</v>
      </c>
      <c r="K621" s="1418">
        <f t="shared" ca="1" si="261"/>
        <v>0</v>
      </c>
      <c r="L621" s="1419"/>
      <c r="M621" s="1419"/>
      <c r="N621" s="1419"/>
      <c r="O621" s="1419"/>
      <c r="P621" s="1419"/>
      <c r="Q621" s="1302"/>
      <c r="R621" s="1302"/>
      <c r="S621" s="1302"/>
      <c r="T621" s="1302"/>
      <c r="U621" s="1302"/>
      <c r="V621" s="1302"/>
      <c r="W621" s="1302"/>
      <c r="X621" s="1302"/>
      <c r="Y621" s="1302"/>
      <c r="Z621" s="1302"/>
    </row>
    <row r="622" spans="1:26" ht="18.75" hidden="1">
      <c r="A622" s="1326"/>
      <c r="B622" s="1327"/>
      <c r="C622" s="1327"/>
      <c r="D622" s="1069" t="s">
        <v>269</v>
      </c>
      <c r="E622" s="1014"/>
      <c r="F622" s="1014"/>
      <c r="G622" s="1007"/>
      <c r="H622" s="762" t="s">
        <v>46</v>
      </c>
      <c r="I622" s="880"/>
      <c r="J622" s="1012">
        <v>0</v>
      </c>
      <c r="K622" s="998"/>
      <c r="L622" s="998"/>
      <c r="M622" s="998"/>
      <c r="N622" s="998"/>
      <c r="O622" s="998"/>
      <c r="P622" s="998"/>
      <c r="Q622" s="1302"/>
      <c r="R622" s="1302"/>
      <c r="S622" s="1302"/>
      <c r="T622" s="1302"/>
      <c r="U622" s="1302"/>
      <c r="V622" s="1302"/>
      <c r="W622" s="1302"/>
      <c r="X622" s="1302"/>
      <c r="Y622" s="1302"/>
      <c r="Z622" s="1302"/>
    </row>
    <row r="623" spans="1:26" ht="18.75" hidden="1">
      <c r="A623" s="1326"/>
      <c r="B623" s="1327"/>
      <c r="C623" s="1327"/>
      <c r="D623" s="1327"/>
      <c r="E623" s="1014"/>
      <c r="F623" s="1014"/>
      <c r="G623" s="1007"/>
      <c r="H623" s="762" t="s">
        <v>34</v>
      </c>
      <c r="I623" s="880"/>
      <c r="J623" s="1012">
        <v>0</v>
      </c>
      <c r="K623" s="998"/>
      <c r="L623" s="998"/>
      <c r="M623" s="998"/>
      <c r="N623" s="998"/>
      <c r="O623" s="998"/>
      <c r="P623" s="998"/>
      <c r="Q623" s="1302"/>
      <c r="R623" s="1302"/>
      <c r="S623" s="1302"/>
      <c r="T623" s="1302"/>
      <c r="U623" s="1302"/>
      <c r="V623" s="1302"/>
      <c r="W623" s="1302"/>
      <c r="X623" s="1302"/>
      <c r="Y623" s="1302"/>
      <c r="Z623" s="1302"/>
    </row>
    <row r="624" spans="1:26" ht="18.75" hidden="1">
      <c r="A624" s="1326"/>
      <c r="B624" s="1327"/>
      <c r="C624" s="1327"/>
      <c r="D624" s="1069" t="s">
        <v>265</v>
      </c>
      <c r="E624" s="1014"/>
      <c r="F624" s="1014"/>
      <c r="G624" s="1007"/>
      <c r="H624" s="762" t="s">
        <v>46</v>
      </c>
      <c r="I624" s="880"/>
      <c r="J624" s="1012">
        <v>0</v>
      </c>
      <c r="K624" s="998"/>
      <c r="L624" s="998"/>
      <c r="M624" s="998"/>
      <c r="N624" s="998"/>
      <c r="O624" s="998"/>
      <c r="P624" s="998"/>
      <c r="Q624" s="1302"/>
      <c r="R624" s="1302"/>
      <c r="S624" s="1302"/>
      <c r="T624" s="1302"/>
      <c r="U624" s="1302"/>
      <c r="V624" s="1302"/>
      <c r="W624" s="1302"/>
      <c r="X624" s="1302"/>
      <c r="Y624" s="1302"/>
      <c r="Z624" s="1302"/>
    </row>
    <row r="625" spans="1:26" ht="18.75" hidden="1">
      <c r="A625" s="1326"/>
      <c r="B625" s="1327"/>
      <c r="C625" s="1327"/>
      <c r="D625" s="1327"/>
      <c r="E625" s="1014"/>
      <c r="F625" s="1014"/>
      <c r="G625" s="1007"/>
      <c r="H625" s="762" t="s">
        <v>34</v>
      </c>
      <c r="I625" s="880"/>
      <c r="J625" s="1012">
        <v>0</v>
      </c>
      <c r="K625" s="998"/>
      <c r="L625" s="998"/>
      <c r="M625" s="998"/>
      <c r="N625" s="998"/>
      <c r="O625" s="998"/>
      <c r="P625" s="998"/>
      <c r="Q625" s="1302"/>
      <c r="R625" s="1302"/>
      <c r="S625" s="1302"/>
      <c r="T625" s="1302"/>
      <c r="U625" s="1302"/>
      <c r="V625" s="1302"/>
      <c r="W625" s="1302"/>
      <c r="X625" s="1302"/>
      <c r="Y625" s="1302"/>
      <c r="Z625" s="1302"/>
    </row>
    <row r="626" spans="1:26" ht="18.75" hidden="1">
      <c r="A626" s="1326"/>
      <c r="B626" s="1327"/>
      <c r="C626" s="1327"/>
      <c r="D626" s="1069" t="s">
        <v>270</v>
      </c>
      <c r="E626" s="1014"/>
      <c r="F626" s="1014"/>
      <c r="G626" s="1007"/>
      <c r="H626" s="762" t="s">
        <v>46</v>
      </c>
      <c r="I626" s="880"/>
      <c r="J626" s="1012">
        <v>0</v>
      </c>
      <c r="K626" s="998"/>
      <c r="L626" s="998"/>
      <c r="M626" s="998"/>
      <c r="N626" s="998"/>
      <c r="O626" s="998"/>
      <c r="P626" s="998"/>
      <c r="Q626" s="1302"/>
      <c r="R626" s="1302"/>
      <c r="S626" s="1302"/>
      <c r="T626" s="1302"/>
      <c r="U626" s="1302"/>
      <c r="V626" s="1302"/>
      <c r="W626" s="1302"/>
      <c r="X626" s="1302"/>
      <c r="Y626" s="1302"/>
      <c r="Z626" s="1302"/>
    </row>
    <row r="627" spans="1:26" ht="18.75" hidden="1">
      <c r="A627" s="1420"/>
      <c r="B627" s="1421"/>
      <c r="C627" s="1421"/>
      <c r="D627" s="1421"/>
      <c r="E627" s="1169"/>
      <c r="F627" s="1169"/>
      <c r="G627" s="1422"/>
      <c r="H627" s="423" t="s">
        <v>34</v>
      </c>
      <c r="I627" s="1138"/>
      <c r="J627" s="1171">
        <v>0</v>
      </c>
      <c r="K627" s="1139"/>
      <c r="L627" s="1139"/>
      <c r="M627" s="1139"/>
      <c r="N627" s="1139"/>
      <c r="O627" s="1139"/>
      <c r="P627" s="1139"/>
      <c r="Q627" s="1302"/>
      <c r="R627" s="1302"/>
      <c r="S627" s="1302"/>
      <c r="T627" s="1302"/>
      <c r="U627" s="1302"/>
      <c r="V627" s="1302"/>
      <c r="W627" s="1302"/>
      <c r="X627" s="1302"/>
      <c r="Y627" s="1302"/>
      <c r="Z627" s="1302"/>
    </row>
    <row r="628" spans="1:26" ht="19.5">
      <c r="A628" s="734">
        <v>7</v>
      </c>
      <c r="B628" s="1423" t="s">
        <v>271</v>
      </c>
      <c r="C628" s="1424"/>
      <c r="D628" s="1424"/>
      <c r="E628" s="1424"/>
      <c r="F628" s="1424"/>
      <c r="G628" s="1425"/>
      <c r="H628" s="738" t="s">
        <v>35</v>
      </c>
      <c r="I628" s="1426">
        <f t="shared" ref="I628:J628" ca="1" si="262">I651</f>
        <v>100</v>
      </c>
      <c r="J628" s="1426">
        <f t="shared" ca="1" si="262"/>
        <v>58</v>
      </c>
      <c r="K628" s="1427">
        <f ca="1">IF(I628&gt;0,J628*100/I628,0)</f>
        <v>58</v>
      </c>
      <c r="L628" s="1428"/>
      <c r="M628" s="1428"/>
      <c r="N628" s="1428"/>
      <c r="O628" s="1428"/>
      <c r="P628" s="1428"/>
      <c r="Q628" s="1302"/>
      <c r="R628" s="1302"/>
      <c r="S628" s="1302"/>
      <c r="T628" s="1302"/>
      <c r="U628" s="1302"/>
      <c r="V628" s="1302"/>
      <c r="W628" s="1302"/>
      <c r="X628" s="1302"/>
      <c r="Y628" s="1302"/>
      <c r="Z628" s="1302"/>
    </row>
    <row r="629" spans="1:26" ht="19.5">
      <c r="A629" s="1317"/>
      <c r="B629" s="1301"/>
      <c r="C629" s="1301" t="s">
        <v>16</v>
      </c>
      <c r="D629" s="1318" t="s">
        <v>17</v>
      </c>
      <c r="E629" s="841"/>
      <c r="F629" s="841"/>
      <c r="G629" s="1016"/>
      <c r="H629" s="597" t="s">
        <v>12</v>
      </c>
      <c r="I629" s="880"/>
      <c r="J629" s="880"/>
      <c r="K629" s="881"/>
      <c r="L629" s="1020">
        <f t="shared" ref="L629:N629" ca="1" si="263">L630+L631</f>
        <v>368255</v>
      </c>
      <c r="M629" s="1020">
        <f t="shared" ca="1" si="263"/>
        <v>368255</v>
      </c>
      <c r="N629" s="1020">
        <f t="shared" si="263"/>
        <v>162450</v>
      </c>
      <c r="O629" s="1020">
        <f t="shared" ref="O629:O634" ca="1" si="264">IF(L629&gt;0,N629*100/L629,0)</f>
        <v>44.113453992478036</v>
      </c>
      <c r="P629" s="1020">
        <f t="shared" ref="P629:P634" ca="1" si="265">IF(M629&gt;0,N629*100/M629,0)</f>
        <v>44.113453992478036</v>
      </c>
      <c r="Q629" s="1302"/>
      <c r="R629" s="1302"/>
      <c r="S629" s="1302"/>
      <c r="T629" s="1302"/>
      <c r="U629" s="1302"/>
      <c r="V629" s="1302"/>
      <c r="W629" s="1302"/>
      <c r="X629" s="1302"/>
      <c r="Y629" s="1302"/>
      <c r="Z629" s="1302"/>
    </row>
    <row r="630" spans="1:26" ht="18.75" hidden="1">
      <c r="A630" s="1319"/>
      <c r="B630" s="1320"/>
      <c r="C630" s="1320"/>
      <c r="D630" s="1321"/>
      <c r="E630" s="1320" t="s">
        <v>185</v>
      </c>
      <c r="F630" s="1320"/>
      <c r="G630" s="1322"/>
      <c r="H630" s="165" t="s">
        <v>12</v>
      </c>
      <c r="I630" s="886"/>
      <c r="J630" s="886"/>
      <c r="K630" s="887"/>
      <c r="L630" s="887">
        <f t="shared" ref="L630:N631" si="266">L633+L640</f>
        <v>0</v>
      </c>
      <c r="M630" s="887">
        <f t="shared" si="266"/>
        <v>0</v>
      </c>
      <c r="N630" s="887">
        <f t="shared" si="266"/>
        <v>0</v>
      </c>
      <c r="O630" s="887">
        <f t="shared" si="264"/>
        <v>0</v>
      </c>
      <c r="P630" s="887">
        <f t="shared" si="265"/>
        <v>0</v>
      </c>
      <c r="Q630" s="1323"/>
      <c r="R630" s="1323"/>
      <c r="S630" s="1323"/>
      <c r="T630" s="1323"/>
      <c r="U630" s="1323"/>
      <c r="V630" s="1323"/>
      <c r="W630" s="1323"/>
      <c r="X630" s="1323"/>
      <c r="Y630" s="1323"/>
      <c r="Z630" s="1323"/>
    </row>
    <row r="631" spans="1:26" ht="18.75" hidden="1">
      <c r="A631" s="1319"/>
      <c r="B631" s="1324"/>
      <c r="C631" s="1320"/>
      <c r="D631" s="1321"/>
      <c r="E631" s="1320" t="s">
        <v>186</v>
      </c>
      <c r="F631" s="1320"/>
      <c r="G631" s="1322"/>
      <c r="H631" s="165" t="s">
        <v>12</v>
      </c>
      <c r="I631" s="886"/>
      <c r="J631" s="886"/>
      <c r="K631" s="887"/>
      <c r="L631" s="887">
        <f t="shared" ca="1" si="266"/>
        <v>368255</v>
      </c>
      <c r="M631" s="887">
        <f t="shared" ca="1" si="266"/>
        <v>368255</v>
      </c>
      <c r="N631" s="887">
        <f t="shared" si="266"/>
        <v>162450</v>
      </c>
      <c r="O631" s="887">
        <f t="shared" ca="1" si="264"/>
        <v>44.113453992478036</v>
      </c>
      <c r="P631" s="887">
        <f t="shared" ca="1" si="265"/>
        <v>44.113453992478036</v>
      </c>
      <c r="Q631" s="1323"/>
      <c r="R631" s="1323"/>
      <c r="S631" s="1323"/>
      <c r="T631" s="1323"/>
      <c r="U631" s="1323"/>
      <c r="V631" s="1323"/>
      <c r="W631" s="1323"/>
      <c r="X631" s="1323"/>
      <c r="Y631" s="1323"/>
      <c r="Z631" s="1323"/>
    </row>
    <row r="632" spans="1:26" ht="18.75">
      <c r="A632" s="1317"/>
      <c r="B632" s="1300"/>
      <c r="C632" s="1301"/>
      <c r="D632" s="1325" t="s">
        <v>20</v>
      </c>
      <c r="E632" s="1301"/>
      <c r="F632" s="1301"/>
      <c r="G632" s="1016"/>
      <c r="H632" s="161" t="s">
        <v>12</v>
      </c>
      <c r="I632" s="997"/>
      <c r="J632" s="997"/>
      <c r="K632" s="998"/>
      <c r="L632" s="881">
        <f t="shared" ref="L632:N632" ca="1" si="267">L633+L634</f>
        <v>368255</v>
      </c>
      <c r="M632" s="881">
        <f t="shared" ca="1" si="267"/>
        <v>368255</v>
      </c>
      <c r="N632" s="881">
        <f t="shared" si="267"/>
        <v>162450</v>
      </c>
      <c r="O632" s="881">
        <f t="shared" ca="1" si="264"/>
        <v>44.113453992478036</v>
      </c>
      <c r="P632" s="881">
        <f t="shared" ca="1" si="265"/>
        <v>44.113453992478036</v>
      </c>
      <c r="Q632" s="1302"/>
      <c r="R632" s="1302"/>
      <c r="S632" s="1302"/>
      <c r="T632" s="1302"/>
      <c r="U632" s="1302"/>
      <c r="V632" s="1302"/>
      <c r="W632" s="1302"/>
      <c r="X632" s="1302"/>
      <c r="Y632" s="1302"/>
      <c r="Z632" s="1302"/>
    </row>
    <row r="633" spans="1:26" ht="18.75" hidden="1">
      <c r="A633" s="1319"/>
      <c r="B633" s="1324"/>
      <c r="C633" s="1320"/>
      <c r="D633" s="1321"/>
      <c r="E633" s="1320" t="s">
        <v>185</v>
      </c>
      <c r="F633" s="1320"/>
      <c r="G633" s="1322"/>
      <c r="H633" s="165" t="s">
        <v>12</v>
      </c>
      <c r="I633" s="886"/>
      <c r="J633" s="886"/>
      <c r="K633" s="887"/>
      <c r="L633" s="887">
        <v>0</v>
      </c>
      <c r="M633" s="887">
        <v>0</v>
      </c>
      <c r="N633" s="887">
        <v>0</v>
      </c>
      <c r="O633" s="887">
        <f t="shared" si="264"/>
        <v>0</v>
      </c>
      <c r="P633" s="887">
        <f t="shared" si="265"/>
        <v>0</v>
      </c>
      <c r="Q633" s="1323"/>
      <c r="R633" s="1323"/>
      <c r="S633" s="1323"/>
      <c r="T633" s="1323"/>
      <c r="U633" s="1323"/>
      <c r="V633" s="1323"/>
      <c r="W633" s="1323"/>
      <c r="X633" s="1323"/>
      <c r="Y633" s="1323"/>
      <c r="Z633" s="1323"/>
    </row>
    <row r="634" spans="1:26" ht="18.75" hidden="1">
      <c r="A634" s="1319"/>
      <c r="B634" s="1324"/>
      <c r="C634" s="1320"/>
      <c r="D634" s="1321"/>
      <c r="E634" s="1320" t="s">
        <v>186</v>
      </c>
      <c r="F634" s="1320"/>
      <c r="G634" s="1322"/>
      <c r="H634" s="165" t="s">
        <v>12</v>
      </c>
      <c r="I634" s="886"/>
      <c r="J634" s="886"/>
      <c r="K634" s="887"/>
      <c r="L634" s="887">
        <f ca="1">IFERROR(__xludf.DUMMYFUNCTION("IMPORTRANGE(""https://docs.google.com/spreadsheets/d/1QqKyyYR6Q21VydFLVH3TRQUabQu_ym0Zz7PgGX0-kHA/edit?usp=sharing"",""แผน!HN86"")"),368255)</f>
        <v>368255</v>
      </c>
      <c r="M634" s="887">
        <f ca="1">L634</f>
        <v>368255</v>
      </c>
      <c r="N634" s="887">
        <f>N635+N636+N637+N638</f>
        <v>162450</v>
      </c>
      <c r="O634" s="887">
        <f t="shared" ca="1" si="264"/>
        <v>44.113453992478036</v>
      </c>
      <c r="P634" s="887">
        <f t="shared" ca="1" si="265"/>
        <v>44.113453992478036</v>
      </c>
      <c r="Q634" s="1323"/>
      <c r="R634" s="1323"/>
      <c r="S634" s="1323"/>
      <c r="T634" s="1323"/>
      <c r="U634" s="1323"/>
      <c r="V634" s="1323"/>
      <c r="W634" s="1323"/>
      <c r="X634" s="1323"/>
      <c r="Y634" s="1323"/>
      <c r="Z634" s="1323"/>
    </row>
    <row r="635" spans="1:26" ht="18.75">
      <c r="A635" s="1299"/>
      <c r="B635" s="1300"/>
      <c r="C635" s="1301"/>
      <c r="D635" s="1301"/>
      <c r="E635" s="1301"/>
      <c r="F635" s="1301" t="s">
        <v>187</v>
      </c>
      <c r="G635" s="1016"/>
      <c r="H635" s="161" t="s">
        <v>12</v>
      </c>
      <c r="I635" s="880"/>
      <c r="J635" s="880"/>
      <c r="K635" s="881"/>
      <c r="L635" s="881"/>
      <c r="M635" s="881"/>
      <c r="N635" s="1085">
        <v>0</v>
      </c>
      <c r="O635" s="881"/>
      <c r="P635" s="881"/>
      <c r="Q635" s="1302"/>
      <c r="R635" s="1302"/>
      <c r="S635" s="1302"/>
      <c r="T635" s="1302"/>
      <c r="U635" s="1302"/>
      <c r="V635" s="1302"/>
      <c r="W635" s="1302"/>
      <c r="X635" s="1302"/>
      <c r="Y635" s="1302"/>
      <c r="Z635" s="1302"/>
    </row>
    <row r="636" spans="1:26" ht="18.75">
      <c r="A636" s="1299"/>
      <c r="B636" s="1300"/>
      <c r="C636" s="1301"/>
      <c r="D636" s="1301"/>
      <c r="E636" s="1301"/>
      <c r="F636" s="1301" t="s">
        <v>188</v>
      </c>
      <c r="G636" s="1016"/>
      <c r="H636" s="161" t="s">
        <v>12</v>
      </c>
      <c r="I636" s="880"/>
      <c r="J636" s="880"/>
      <c r="K636" s="881"/>
      <c r="L636" s="881"/>
      <c r="M636" s="881"/>
      <c r="N636" s="1085">
        <v>0</v>
      </c>
      <c r="O636" s="881"/>
      <c r="P636" s="881"/>
      <c r="Q636" s="1302"/>
      <c r="R636" s="1302"/>
      <c r="S636" s="1302"/>
      <c r="T636" s="1302"/>
      <c r="U636" s="1302"/>
      <c r="V636" s="1302"/>
      <c r="W636" s="1302"/>
      <c r="X636" s="1302"/>
      <c r="Y636" s="1302"/>
      <c r="Z636" s="1302"/>
    </row>
    <row r="637" spans="1:26" ht="18.75">
      <c r="A637" s="1299"/>
      <c r="B637" s="1300"/>
      <c r="C637" s="1301"/>
      <c r="D637" s="1301"/>
      <c r="E637" s="1301"/>
      <c r="F637" s="1301" t="s">
        <v>189</v>
      </c>
      <c r="G637" s="1016"/>
      <c r="H637" s="161" t="s">
        <v>12</v>
      </c>
      <c r="I637" s="880"/>
      <c r="J637" s="880"/>
      <c r="K637" s="881"/>
      <c r="L637" s="881"/>
      <c r="M637" s="881"/>
      <c r="N637" s="1085">
        <v>65000</v>
      </c>
      <c r="O637" s="881"/>
      <c r="P637" s="881"/>
      <c r="Q637" s="1302"/>
      <c r="R637" s="1302"/>
      <c r="S637" s="1302"/>
      <c r="T637" s="1302"/>
      <c r="U637" s="1302"/>
      <c r="V637" s="1302"/>
      <c r="W637" s="1302"/>
      <c r="X637" s="1302"/>
      <c r="Y637" s="1302"/>
      <c r="Z637" s="1302"/>
    </row>
    <row r="638" spans="1:26" ht="18.75">
      <c r="A638" s="1299"/>
      <c r="B638" s="1300"/>
      <c r="C638" s="1301"/>
      <c r="D638" s="1301"/>
      <c r="E638" s="1301"/>
      <c r="F638" s="1301" t="s">
        <v>190</v>
      </c>
      <c r="G638" s="1016"/>
      <c r="H638" s="161" t="s">
        <v>12</v>
      </c>
      <c r="I638" s="880"/>
      <c r="J638" s="880"/>
      <c r="K638" s="881"/>
      <c r="L638" s="881"/>
      <c r="M638" s="881"/>
      <c r="N638" s="1085">
        <v>97450</v>
      </c>
      <c r="O638" s="881"/>
      <c r="P638" s="881"/>
      <c r="Q638" s="1302"/>
      <c r="R638" s="1302"/>
      <c r="S638" s="1302"/>
      <c r="T638" s="1302"/>
      <c r="U638" s="1302"/>
      <c r="V638" s="1302"/>
      <c r="W638" s="1302"/>
      <c r="X638" s="1302"/>
      <c r="Y638" s="1302"/>
      <c r="Z638" s="1302"/>
    </row>
    <row r="639" spans="1:26" ht="18.75">
      <c r="A639" s="1317"/>
      <c r="B639" s="1300"/>
      <c r="C639" s="1301"/>
      <c r="D639" s="1325" t="s">
        <v>21</v>
      </c>
      <c r="E639" s="1301"/>
      <c r="F639" s="1301"/>
      <c r="G639" s="1016"/>
      <c r="H639" s="168" t="s">
        <v>12</v>
      </c>
      <c r="I639" s="997"/>
      <c r="J639" s="997"/>
      <c r="K639" s="998"/>
      <c r="L639" s="881">
        <f t="shared" ref="L639:N639" ca="1" si="268">L640+L641</f>
        <v>0</v>
      </c>
      <c r="M639" s="881">
        <f t="shared" si="268"/>
        <v>0</v>
      </c>
      <c r="N639" s="881">
        <f t="shared" si="268"/>
        <v>0</v>
      </c>
      <c r="O639" s="881">
        <f t="shared" ref="O639:O641" ca="1" si="269">IF(L639&gt;0,N639*100/L639,0)</f>
        <v>0</v>
      </c>
      <c r="P639" s="881">
        <f t="shared" ref="P639:P641" si="270">IF(M639&gt;0,N639*100/M639,0)</f>
        <v>0</v>
      </c>
      <c r="Q639" s="1302"/>
      <c r="R639" s="1302"/>
      <c r="S639" s="1302"/>
      <c r="T639" s="1302"/>
      <c r="U639" s="1302"/>
      <c r="V639" s="1302"/>
      <c r="W639" s="1302"/>
      <c r="X639" s="1302"/>
      <c r="Y639" s="1302"/>
      <c r="Z639" s="1302"/>
    </row>
    <row r="640" spans="1:26" ht="18.75" hidden="1">
      <c r="A640" s="1319"/>
      <c r="B640" s="1324"/>
      <c r="C640" s="1320"/>
      <c r="D640" s="1320"/>
      <c r="E640" s="1320" t="s">
        <v>18</v>
      </c>
      <c r="F640" s="1320"/>
      <c r="G640" s="1322"/>
      <c r="H640" s="165" t="s">
        <v>12</v>
      </c>
      <c r="I640" s="1000"/>
      <c r="J640" s="1000"/>
      <c r="K640" s="1001"/>
      <c r="L640" s="887">
        <v>0</v>
      </c>
      <c r="M640" s="887">
        <v>0</v>
      </c>
      <c r="N640" s="887">
        <v>0</v>
      </c>
      <c r="O640" s="887">
        <f t="shared" si="269"/>
        <v>0</v>
      </c>
      <c r="P640" s="887">
        <f t="shared" si="270"/>
        <v>0</v>
      </c>
      <c r="Q640" s="1323"/>
      <c r="R640" s="1323"/>
      <c r="S640" s="1323"/>
      <c r="T640" s="1323"/>
      <c r="U640" s="1323"/>
      <c r="V640" s="1323"/>
      <c r="W640" s="1323"/>
      <c r="X640" s="1323"/>
      <c r="Y640" s="1323"/>
      <c r="Z640" s="1323"/>
    </row>
    <row r="641" spans="1:26" ht="18.75" hidden="1">
      <c r="A641" s="1319"/>
      <c r="B641" s="1324"/>
      <c r="C641" s="1320"/>
      <c r="D641" s="1320"/>
      <c r="E641" s="1320" t="s">
        <v>19</v>
      </c>
      <c r="F641" s="1320"/>
      <c r="G641" s="1322"/>
      <c r="H641" s="169" t="s">
        <v>12</v>
      </c>
      <c r="I641" s="1000"/>
      <c r="J641" s="1000"/>
      <c r="K641" s="1001"/>
      <c r="L641" s="887">
        <f ca="1">IFERROR(__xludf.DUMMYFUNCTION("IMPORTRANGE(""https://docs.google.com/spreadsheets/d/1QqKyyYR6Q21VydFLVH3TRQUabQu_ym0Zz7PgGX0-kHA/edit?usp=sharing"",""แผน!HQ86"")"),0)</f>
        <v>0</v>
      </c>
      <c r="M641" s="887">
        <v>0</v>
      </c>
      <c r="N641" s="887">
        <v>0</v>
      </c>
      <c r="O641" s="887">
        <f t="shared" ca="1" si="269"/>
        <v>0</v>
      </c>
      <c r="P641" s="887">
        <f t="shared" si="270"/>
        <v>0</v>
      </c>
      <c r="Q641" s="1323"/>
      <c r="R641" s="1323"/>
      <c r="S641" s="1323"/>
      <c r="T641" s="1323"/>
      <c r="U641" s="1323"/>
      <c r="V641" s="1323"/>
      <c r="W641" s="1323"/>
      <c r="X641" s="1323"/>
      <c r="Y641" s="1323"/>
      <c r="Z641" s="1323"/>
    </row>
    <row r="642" spans="1:26" ht="19.5">
      <c r="A642" s="1326"/>
      <c r="B642" s="1327"/>
      <c r="C642" s="1301" t="s">
        <v>16</v>
      </c>
      <c r="D642" s="1380" t="s">
        <v>38</v>
      </c>
      <c r="E642" s="1330"/>
      <c r="F642" s="1330"/>
      <c r="G642" s="1331"/>
      <c r="H642" s="1007"/>
      <c r="I642" s="997"/>
      <c r="J642" s="997"/>
      <c r="K642" s="998"/>
      <c r="L642" s="998"/>
      <c r="M642" s="998"/>
      <c r="N642" s="998"/>
      <c r="O642" s="998"/>
      <c r="P642" s="998"/>
      <c r="Q642" s="1302"/>
      <c r="R642" s="1302"/>
      <c r="S642" s="1302"/>
      <c r="T642" s="1302"/>
      <c r="U642" s="1302"/>
      <c r="V642" s="1302"/>
      <c r="W642" s="1302"/>
      <c r="X642" s="1302"/>
      <c r="Y642" s="1302"/>
      <c r="Z642" s="1302"/>
    </row>
    <row r="643" spans="1:26" ht="18.75">
      <c r="A643" s="1429"/>
      <c r="B643" s="1300"/>
      <c r="C643" s="1301"/>
      <c r="D643" s="1014"/>
      <c r="E643" s="1069" t="s">
        <v>272</v>
      </c>
      <c r="F643" s="1014"/>
      <c r="G643" s="1007"/>
      <c r="H643" s="762" t="s">
        <v>273</v>
      </c>
      <c r="I643" s="880">
        <f ca="1">IFERROR(__xludf.DUMMYFUNCTION("IMPORTRANGE(""https://docs.google.com/spreadsheets/d/1QqKyyYR6Q21VydFLVH3TRQUabQu_ym0Zz7PgGX0-kHA/edit?usp=sharing"",""แผน!HR86"")"),0)</f>
        <v>0</v>
      </c>
      <c r="J643" s="1012">
        <v>0</v>
      </c>
      <c r="K643" s="998">
        <f t="shared" ref="K643:K652" ca="1" si="271">IF(I643&gt;0,J643*100/I643,0)</f>
        <v>0</v>
      </c>
      <c r="L643" s="998"/>
      <c r="M643" s="998"/>
      <c r="N643" s="881"/>
      <c r="O643" s="998"/>
      <c r="P643" s="998"/>
      <c r="Q643" s="1302"/>
      <c r="R643" s="1302"/>
      <c r="S643" s="1302"/>
      <c r="T643" s="1302"/>
      <c r="U643" s="1302"/>
      <c r="V643" s="1302"/>
      <c r="W643" s="1302"/>
      <c r="X643" s="1302"/>
      <c r="Y643" s="1302"/>
      <c r="Z643" s="1302"/>
    </row>
    <row r="644" spans="1:26" ht="18.75">
      <c r="A644" s="1429"/>
      <c r="B644" s="1300"/>
      <c r="C644" s="1301"/>
      <c r="D644" s="1014"/>
      <c r="E644" s="1069" t="s">
        <v>274</v>
      </c>
      <c r="F644" s="1014"/>
      <c r="G644" s="1007"/>
      <c r="H644" s="762" t="s">
        <v>275</v>
      </c>
      <c r="I644" s="880">
        <f ca="1">IFERROR(__xludf.DUMMYFUNCTION("IMPORTRANGE(""https://docs.google.com/spreadsheets/d/1QqKyyYR6Q21VydFLVH3TRQUabQu_ym0Zz7PgGX0-kHA/edit?usp=sharing"",""แผน!HR86"")"),0)</f>
        <v>0</v>
      </c>
      <c r="J644" s="1012">
        <v>0</v>
      </c>
      <c r="K644" s="998">
        <f t="shared" ca="1" si="271"/>
        <v>0</v>
      </c>
      <c r="L644" s="998"/>
      <c r="M644" s="998"/>
      <c r="N644" s="881"/>
      <c r="O644" s="998"/>
      <c r="P644" s="998"/>
      <c r="Q644" s="1302"/>
      <c r="R644" s="1302"/>
      <c r="S644" s="1302"/>
      <c r="T644" s="1302"/>
      <c r="U644" s="1302"/>
      <c r="V644" s="1302"/>
      <c r="W644" s="1302"/>
      <c r="X644" s="1302"/>
      <c r="Y644" s="1302"/>
      <c r="Z644" s="1302"/>
    </row>
    <row r="645" spans="1:26" ht="18.75">
      <c r="A645" s="1429"/>
      <c r="B645" s="1300"/>
      <c r="C645" s="1301"/>
      <c r="D645" s="1014"/>
      <c r="E645" s="1069" t="s">
        <v>276</v>
      </c>
      <c r="F645" s="1014"/>
      <c r="G645" s="1007"/>
      <c r="H645" s="762" t="s">
        <v>34</v>
      </c>
      <c r="I645" s="880">
        <v>0</v>
      </c>
      <c r="J645" s="880">
        <f ca="1">IFERROR(__xludf.DUMMYFUNCTION("IMPORTRANGE(""https://docs.google.com/spreadsheets/d/1XWAQStnk-4SwqDmLtmXYiTMKHgktTP8We1SCoS47DrQ/edit?usp=sharing"",""จัดที่ดิน!AS86"")"),0)</f>
        <v>0</v>
      </c>
      <c r="K645" s="998">
        <f t="shared" si="271"/>
        <v>0</v>
      </c>
      <c r="L645" s="998"/>
      <c r="M645" s="998"/>
      <c r="N645" s="881"/>
      <c r="O645" s="998"/>
      <c r="P645" s="998"/>
      <c r="Q645" s="1302"/>
      <c r="R645" s="1302"/>
      <c r="S645" s="1302"/>
      <c r="T645" s="1302"/>
      <c r="U645" s="1302"/>
      <c r="V645" s="1302"/>
      <c r="W645" s="1302"/>
      <c r="X645" s="1302"/>
      <c r="Y645" s="1302"/>
      <c r="Z645" s="1302"/>
    </row>
    <row r="646" spans="1:26" ht="18.75">
      <c r="A646" s="1429"/>
      <c r="B646" s="1300"/>
      <c r="C646" s="1301"/>
      <c r="D646" s="1014"/>
      <c r="E646" s="1014"/>
      <c r="F646" s="1014"/>
      <c r="G646" s="1007"/>
      <c r="H646" s="762" t="s">
        <v>46</v>
      </c>
      <c r="I646" s="880">
        <v>0</v>
      </c>
      <c r="J646" s="880">
        <f ca="1">IFERROR(__xludf.DUMMYFUNCTION("IMPORTRANGE(""https://docs.google.com/spreadsheets/d/1XWAQStnk-4SwqDmLtmXYiTMKHgktTP8We1SCoS47DrQ/edit?usp=sharing"",""จัดที่ดิน!AT86"")"),0)</f>
        <v>0</v>
      </c>
      <c r="K646" s="881">
        <f t="shared" si="271"/>
        <v>0</v>
      </c>
      <c r="L646" s="998"/>
      <c r="M646" s="998"/>
      <c r="N646" s="881"/>
      <c r="O646" s="998"/>
      <c r="P646" s="998"/>
      <c r="Q646" s="1302"/>
      <c r="R646" s="1302"/>
      <c r="S646" s="1302"/>
      <c r="T646" s="1302"/>
      <c r="U646" s="1302"/>
      <c r="V646" s="1302"/>
      <c r="W646" s="1302"/>
      <c r="X646" s="1302"/>
      <c r="Y646" s="1302"/>
      <c r="Z646" s="1302"/>
    </row>
    <row r="647" spans="1:26" ht="18.75">
      <c r="A647" s="1429"/>
      <c r="B647" s="1300"/>
      <c r="C647" s="1301"/>
      <c r="D647" s="1014"/>
      <c r="E647" s="1069" t="s">
        <v>162</v>
      </c>
      <c r="F647" s="1014"/>
      <c r="G647" s="1007"/>
      <c r="H647" s="762" t="s">
        <v>35</v>
      </c>
      <c r="I647" s="880">
        <f ca="1">IFERROR(__xludf.DUMMYFUNCTION("IMPORTRANGE(""https://docs.google.com/spreadsheets/d/1QqKyyYR6Q21VydFLVH3TRQUabQu_ym0Zz7PgGX0-kHA/edit?usp=sharing"",""แผน!HS86"")"),100)</f>
        <v>100</v>
      </c>
      <c r="J647" s="880">
        <f ca="1">IFERROR(__xludf.DUMMYFUNCTION("IMPORTRANGE(""https://docs.google.com/spreadsheets/d/1XWAQStnk-4SwqDmLtmXYiTMKHgktTP8We1SCoS47DrQ/edit?usp=sharing"",""จัดที่ดิน!AU86"")"),59)</f>
        <v>59</v>
      </c>
      <c r="K647" s="998">
        <f t="shared" ca="1" si="271"/>
        <v>59</v>
      </c>
      <c r="L647" s="998"/>
      <c r="M647" s="998"/>
      <c r="N647" s="998"/>
      <c r="O647" s="998"/>
      <c r="P647" s="998"/>
      <c r="Q647" s="1302"/>
      <c r="R647" s="1302"/>
      <c r="S647" s="1302"/>
      <c r="T647" s="1302"/>
      <c r="U647" s="1302"/>
      <c r="V647" s="1302"/>
      <c r="W647" s="1302"/>
      <c r="X647" s="1302"/>
      <c r="Y647" s="1302"/>
      <c r="Z647" s="1302"/>
    </row>
    <row r="648" spans="1:26" ht="18.75">
      <c r="A648" s="1429"/>
      <c r="B648" s="1300"/>
      <c r="C648" s="1301"/>
      <c r="D648" s="1014"/>
      <c r="E648" s="1014"/>
      <c r="F648" s="1014"/>
      <c r="G648" s="1007"/>
      <c r="H648" s="762" t="s">
        <v>46</v>
      </c>
      <c r="I648" s="880">
        <v>0</v>
      </c>
      <c r="J648" s="880">
        <f ca="1">IFERROR(__xludf.DUMMYFUNCTION("IMPORTRANGE(""https://docs.google.com/spreadsheets/d/1XWAQStnk-4SwqDmLtmXYiTMKHgktTP8We1SCoS47DrQ/edit?usp=sharing"",""จัดที่ดิน!AV86"")"),15.1)</f>
        <v>15.1</v>
      </c>
      <c r="K648" s="881">
        <f t="shared" si="271"/>
        <v>0</v>
      </c>
      <c r="L648" s="998"/>
      <c r="M648" s="998"/>
      <c r="N648" s="998"/>
      <c r="O648" s="998"/>
      <c r="P648" s="998"/>
      <c r="Q648" s="1302"/>
      <c r="R648" s="1302"/>
      <c r="S648" s="1302"/>
      <c r="T648" s="1302"/>
      <c r="U648" s="1302"/>
      <c r="V648" s="1302"/>
      <c r="W648" s="1302"/>
      <c r="X648" s="1302"/>
      <c r="Y648" s="1302"/>
      <c r="Z648" s="1302"/>
    </row>
    <row r="649" spans="1:26" ht="18.75">
      <c r="A649" s="1429"/>
      <c r="B649" s="1300"/>
      <c r="C649" s="1301"/>
      <c r="D649" s="1014"/>
      <c r="E649" s="1069" t="s">
        <v>277</v>
      </c>
      <c r="F649" s="1014"/>
      <c r="G649" s="1007"/>
      <c r="H649" s="762" t="s">
        <v>35</v>
      </c>
      <c r="I649" s="880">
        <f ca="1">IFERROR(__xludf.DUMMYFUNCTION("IMPORTRANGE(""https://docs.google.com/spreadsheets/d/1QqKyyYR6Q21VydFLVH3TRQUabQu_ym0Zz7PgGX0-kHA/edit?usp=sharing"",""แผน!HS86"")"),100)</f>
        <v>100</v>
      </c>
      <c r="J649" s="880">
        <f ca="1">IFERROR(__xludf.DUMMYFUNCTION("IMPORTRANGE(""https://docs.google.com/spreadsheets/d/1XWAQStnk-4SwqDmLtmXYiTMKHgktTP8We1SCoS47DrQ/edit?usp=sharing"",""จัดที่ดิน!AW86"")"),59)</f>
        <v>59</v>
      </c>
      <c r="K649" s="998">
        <f t="shared" ca="1" si="271"/>
        <v>59</v>
      </c>
      <c r="L649" s="998"/>
      <c r="M649" s="998"/>
      <c r="N649" s="998"/>
      <c r="O649" s="998"/>
      <c r="P649" s="998"/>
      <c r="Q649" s="1302"/>
      <c r="R649" s="1302"/>
      <c r="S649" s="1302"/>
      <c r="T649" s="1302"/>
      <c r="U649" s="1302"/>
      <c r="V649" s="1302"/>
      <c r="W649" s="1302"/>
      <c r="X649" s="1302"/>
      <c r="Y649" s="1302"/>
      <c r="Z649" s="1302"/>
    </row>
    <row r="650" spans="1:26" ht="18.75">
      <c r="A650" s="1429"/>
      <c r="B650" s="1300"/>
      <c r="C650" s="1301"/>
      <c r="D650" s="1014"/>
      <c r="E650" s="1014"/>
      <c r="F650" s="1014"/>
      <c r="G650" s="1007"/>
      <c r="H650" s="762" t="s">
        <v>46</v>
      </c>
      <c r="I650" s="880">
        <v>0</v>
      </c>
      <c r="J650" s="880">
        <f ca="1">IFERROR(__xludf.DUMMYFUNCTION("IMPORTRANGE(""https://docs.google.com/spreadsheets/d/1XWAQStnk-4SwqDmLtmXYiTMKHgktTP8We1SCoS47DrQ/edit?usp=sharing"",""จัดที่ดิน!AX86"")"),15.1)</f>
        <v>15.1</v>
      </c>
      <c r="K650" s="881">
        <f t="shared" si="271"/>
        <v>0</v>
      </c>
      <c r="L650" s="998"/>
      <c r="M650" s="998"/>
      <c r="N650" s="998"/>
      <c r="O650" s="998"/>
      <c r="P650" s="998"/>
      <c r="Q650" s="1302"/>
      <c r="R650" s="1302"/>
      <c r="S650" s="1302"/>
      <c r="T650" s="1302"/>
      <c r="U650" s="1302"/>
      <c r="V650" s="1302"/>
      <c r="W650" s="1302"/>
      <c r="X650" s="1302"/>
      <c r="Y650" s="1302"/>
      <c r="Z650" s="1302"/>
    </row>
    <row r="651" spans="1:26" ht="18.75">
      <c r="A651" s="1429"/>
      <c r="B651" s="1300"/>
      <c r="C651" s="1301"/>
      <c r="D651" s="1014"/>
      <c r="E651" s="1069" t="s">
        <v>278</v>
      </c>
      <c r="F651" s="1014"/>
      <c r="G651" s="1007"/>
      <c r="H651" s="762" t="s">
        <v>35</v>
      </c>
      <c r="I651" s="880">
        <f ca="1">IFERROR(__xludf.DUMMYFUNCTION("IMPORTRANGE(""https://docs.google.com/spreadsheets/d/1QqKyyYR6Q21VydFLVH3TRQUabQu_ym0Zz7PgGX0-kHA/edit?usp=sharing"",""แผน!HS86"")"),100)</f>
        <v>100</v>
      </c>
      <c r="J651" s="880">
        <f ca="1">IFERROR(__xludf.DUMMYFUNCTION("IMPORTRANGE(""https://docs.google.com/spreadsheets/d/1XWAQStnk-4SwqDmLtmXYiTMKHgktTP8We1SCoS47DrQ/edit?usp=sharing"",""จัดที่ดิน!AY86"")"),58)</f>
        <v>58</v>
      </c>
      <c r="K651" s="998">
        <f t="shared" ca="1" si="271"/>
        <v>58</v>
      </c>
      <c r="L651" s="998"/>
      <c r="M651" s="998"/>
      <c r="N651" s="998"/>
      <c r="O651" s="998"/>
      <c r="P651" s="998"/>
      <c r="Q651" s="1302"/>
      <c r="R651" s="1302"/>
      <c r="S651" s="1302"/>
      <c r="T651" s="1302"/>
      <c r="U651" s="1302"/>
      <c r="V651" s="1302"/>
      <c r="W651" s="1302"/>
      <c r="X651" s="1302"/>
      <c r="Y651" s="1302"/>
      <c r="Z651" s="1302"/>
    </row>
    <row r="652" spans="1:26" ht="18.75">
      <c r="A652" s="1430"/>
      <c r="B652" s="1431"/>
      <c r="C652" s="1432"/>
      <c r="D652" s="1169"/>
      <c r="E652" s="1169"/>
      <c r="F652" s="1169"/>
      <c r="G652" s="1422"/>
      <c r="H652" s="504" t="s">
        <v>46</v>
      </c>
      <c r="I652" s="1138">
        <v>0</v>
      </c>
      <c r="J652" s="1138">
        <f ca="1">IFERROR(__xludf.DUMMYFUNCTION("IMPORTRANGE(""https://docs.google.com/spreadsheets/d/1XWAQStnk-4SwqDmLtmXYiTMKHgktTP8We1SCoS47DrQ/edit?usp=sharing"",""จัดที่ดิน!AZ86"")"),14.7425)</f>
        <v>14.7425</v>
      </c>
      <c r="K652" s="1239">
        <f t="shared" si="271"/>
        <v>0</v>
      </c>
      <c r="L652" s="1139"/>
      <c r="M652" s="1139"/>
      <c r="N652" s="1139"/>
      <c r="O652" s="1139"/>
      <c r="P652" s="1139"/>
      <c r="Q652" s="1302"/>
      <c r="R652" s="1302"/>
      <c r="S652" s="1302"/>
      <c r="T652" s="1302"/>
      <c r="U652" s="1302"/>
      <c r="V652" s="1302"/>
      <c r="W652" s="1302"/>
      <c r="X652" s="1302"/>
      <c r="Y652" s="1302"/>
      <c r="Z652" s="1302"/>
    </row>
    <row r="653" spans="1:26" ht="19.5">
      <c r="A653" s="748">
        <v>8</v>
      </c>
      <c r="B653" s="1423" t="s">
        <v>279</v>
      </c>
      <c r="C653" s="1424"/>
      <c r="D653" s="1424"/>
      <c r="E653" s="1424"/>
      <c r="F653" s="1424"/>
      <c r="G653" s="1425"/>
      <c r="H653" s="1425"/>
      <c r="I653" s="1433"/>
      <c r="J653" s="1433"/>
      <c r="K653" s="1428"/>
      <c r="L653" s="1428"/>
      <c r="M653" s="1428"/>
      <c r="N653" s="1428"/>
      <c r="O653" s="1428"/>
      <c r="P653" s="1428"/>
      <c r="Q653" s="1302"/>
      <c r="R653" s="1302"/>
      <c r="S653" s="1302"/>
      <c r="T653" s="1302"/>
      <c r="U653" s="1302"/>
      <c r="V653" s="1302"/>
      <c r="W653" s="1302"/>
      <c r="X653" s="1302"/>
      <c r="Y653" s="1302"/>
      <c r="Z653" s="1302"/>
    </row>
    <row r="654" spans="1:26" ht="19.5">
      <c r="A654" s="1375"/>
      <c r="B654" s="1374" t="s">
        <v>280</v>
      </c>
      <c r="C654" s="1375"/>
      <c r="D654" s="1375"/>
      <c r="E654" s="1375"/>
      <c r="F654" s="1375"/>
      <c r="G654" s="1376"/>
      <c r="H654" s="705" t="s">
        <v>46</v>
      </c>
      <c r="I654" s="1377">
        <f t="shared" ref="I654:J654" ca="1" si="272">I669</f>
        <v>50</v>
      </c>
      <c r="J654" s="1377">
        <f t="shared" si="272"/>
        <v>0</v>
      </c>
      <c r="K654" s="1378">
        <f ca="1">IF(I654&gt;0,J654*100/I654,0)</f>
        <v>0</v>
      </c>
      <c r="L654" s="1379"/>
      <c r="M654" s="1379"/>
      <c r="N654" s="1379"/>
      <c r="O654" s="1379"/>
      <c r="P654" s="1379"/>
      <c r="Q654" s="1302"/>
      <c r="R654" s="1302"/>
      <c r="S654" s="1302"/>
      <c r="T654" s="1302"/>
      <c r="U654" s="1302"/>
      <c r="V654" s="1302"/>
      <c r="W654" s="1302"/>
      <c r="X654" s="1302"/>
      <c r="Y654" s="1302"/>
      <c r="Z654" s="1302"/>
    </row>
    <row r="655" spans="1:26" ht="19.5">
      <c r="A655" s="1317"/>
      <c r="B655" s="1301"/>
      <c r="C655" s="1301" t="s">
        <v>16</v>
      </c>
      <c r="D655" s="1318" t="s">
        <v>17</v>
      </c>
      <c r="E655" s="841"/>
      <c r="F655" s="841"/>
      <c r="G655" s="1016"/>
      <c r="H655" s="597" t="s">
        <v>12</v>
      </c>
      <c r="I655" s="880"/>
      <c r="J655" s="880"/>
      <c r="K655" s="881"/>
      <c r="L655" s="1020">
        <f t="shared" ref="L655:N655" ca="1" si="273">L656+L657</f>
        <v>12600</v>
      </c>
      <c r="M655" s="1020">
        <f t="shared" ca="1" si="273"/>
        <v>12600</v>
      </c>
      <c r="N655" s="1020">
        <f t="shared" si="273"/>
        <v>6100</v>
      </c>
      <c r="O655" s="1020">
        <f t="shared" ref="O655:O660" ca="1" si="274">IF(L655&gt;0,N655*100/L655,0)</f>
        <v>48.412698412698411</v>
      </c>
      <c r="P655" s="1020">
        <f t="shared" ref="P655:P660" ca="1" si="275">IF(M655&gt;0,N655*100/M655,0)</f>
        <v>48.412698412698411</v>
      </c>
      <c r="Q655" s="1302"/>
      <c r="R655" s="1302"/>
      <c r="S655" s="1302"/>
      <c r="T655" s="1302"/>
      <c r="U655" s="1302"/>
      <c r="V655" s="1302"/>
      <c r="W655" s="1302"/>
      <c r="X655" s="1302"/>
      <c r="Y655" s="1302"/>
      <c r="Z655" s="1302"/>
    </row>
    <row r="656" spans="1:26" ht="18.75" hidden="1">
      <c r="A656" s="1319"/>
      <c r="B656" s="1320"/>
      <c r="C656" s="1320"/>
      <c r="D656" s="1321"/>
      <c r="E656" s="1320" t="s">
        <v>185</v>
      </c>
      <c r="F656" s="1320"/>
      <c r="G656" s="1322"/>
      <c r="H656" s="165" t="s">
        <v>12</v>
      </c>
      <c r="I656" s="886"/>
      <c r="J656" s="886"/>
      <c r="K656" s="887"/>
      <c r="L656" s="887">
        <f t="shared" ref="L656:N657" si="276">L659+L666</f>
        <v>0</v>
      </c>
      <c r="M656" s="887">
        <f t="shared" si="276"/>
        <v>0</v>
      </c>
      <c r="N656" s="887">
        <f t="shared" si="276"/>
        <v>0</v>
      </c>
      <c r="O656" s="887">
        <f t="shared" si="274"/>
        <v>0</v>
      </c>
      <c r="P656" s="887">
        <f t="shared" si="275"/>
        <v>0</v>
      </c>
      <c r="Q656" s="1323"/>
      <c r="R656" s="1323"/>
      <c r="S656" s="1323"/>
      <c r="T656" s="1323"/>
      <c r="U656" s="1323"/>
      <c r="V656" s="1323"/>
      <c r="W656" s="1323"/>
      <c r="X656" s="1323"/>
      <c r="Y656" s="1323"/>
      <c r="Z656" s="1323"/>
    </row>
    <row r="657" spans="1:26" ht="18.75" hidden="1">
      <c r="A657" s="1319"/>
      <c r="B657" s="1324"/>
      <c r="C657" s="1320"/>
      <c r="D657" s="1321"/>
      <c r="E657" s="1320" t="s">
        <v>186</v>
      </c>
      <c r="F657" s="1320"/>
      <c r="G657" s="1322"/>
      <c r="H657" s="165" t="s">
        <v>12</v>
      </c>
      <c r="I657" s="886"/>
      <c r="J657" s="886"/>
      <c r="K657" s="887"/>
      <c r="L657" s="887">
        <f t="shared" ca="1" si="276"/>
        <v>12600</v>
      </c>
      <c r="M657" s="887">
        <f t="shared" ca="1" si="276"/>
        <v>12600</v>
      </c>
      <c r="N657" s="887">
        <f t="shared" si="276"/>
        <v>6100</v>
      </c>
      <c r="O657" s="887">
        <f t="shared" ca="1" si="274"/>
        <v>48.412698412698411</v>
      </c>
      <c r="P657" s="887">
        <f t="shared" ca="1" si="275"/>
        <v>48.412698412698411</v>
      </c>
      <c r="Q657" s="1323"/>
      <c r="R657" s="1323"/>
      <c r="S657" s="1323"/>
      <c r="T657" s="1323"/>
      <c r="U657" s="1323"/>
      <c r="V657" s="1323"/>
      <c r="W657" s="1323"/>
      <c r="X657" s="1323"/>
      <c r="Y657" s="1323"/>
      <c r="Z657" s="1323"/>
    </row>
    <row r="658" spans="1:26" ht="18.75">
      <c r="A658" s="1317"/>
      <c r="B658" s="1300"/>
      <c r="C658" s="1301"/>
      <c r="D658" s="1325" t="s">
        <v>20</v>
      </c>
      <c r="E658" s="1301"/>
      <c r="F658" s="1301"/>
      <c r="G658" s="1016"/>
      <c r="H658" s="161" t="s">
        <v>12</v>
      </c>
      <c r="I658" s="997"/>
      <c r="J658" s="997"/>
      <c r="K658" s="998"/>
      <c r="L658" s="881">
        <f t="shared" ref="L658:N658" ca="1" si="277">L659+L660</f>
        <v>12600</v>
      </c>
      <c r="M658" s="881">
        <f t="shared" ca="1" si="277"/>
        <v>12600</v>
      </c>
      <c r="N658" s="881">
        <f t="shared" si="277"/>
        <v>6100</v>
      </c>
      <c r="O658" s="881">
        <f t="shared" ca="1" si="274"/>
        <v>48.412698412698411</v>
      </c>
      <c r="P658" s="881">
        <f t="shared" ca="1" si="275"/>
        <v>48.412698412698411</v>
      </c>
      <c r="Q658" s="1302"/>
      <c r="R658" s="1302"/>
      <c r="S658" s="1302"/>
      <c r="T658" s="1302"/>
      <c r="U658" s="1302"/>
      <c r="V658" s="1302"/>
      <c r="W658" s="1302"/>
      <c r="X658" s="1302"/>
      <c r="Y658" s="1302"/>
      <c r="Z658" s="1302"/>
    </row>
    <row r="659" spans="1:26" ht="18.75" hidden="1">
      <c r="A659" s="1319"/>
      <c r="B659" s="1324"/>
      <c r="C659" s="1320"/>
      <c r="D659" s="1321"/>
      <c r="E659" s="1320" t="s">
        <v>185</v>
      </c>
      <c r="F659" s="1320"/>
      <c r="G659" s="1322"/>
      <c r="H659" s="165" t="s">
        <v>12</v>
      </c>
      <c r="I659" s="886"/>
      <c r="J659" s="886"/>
      <c r="K659" s="887"/>
      <c r="L659" s="887">
        <v>0</v>
      </c>
      <c r="M659" s="887">
        <v>0</v>
      </c>
      <c r="N659" s="887">
        <v>0</v>
      </c>
      <c r="O659" s="887">
        <f t="shared" si="274"/>
        <v>0</v>
      </c>
      <c r="P659" s="887">
        <f t="shared" si="275"/>
        <v>0</v>
      </c>
      <c r="Q659" s="1323"/>
      <c r="R659" s="1323"/>
      <c r="S659" s="1323"/>
      <c r="T659" s="1323"/>
      <c r="U659" s="1323"/>
      <c r="V659" s="1323"/>
      <c r="W659" s="1323"/>
      <c r="X659" s="1323"/>
      <c r="Y659" s="1323"/>
      <c r="Z659" s="1323"/>
    </row>
    <row r="660" spans="1:26" ht="18.75" hidden="1">
      <c r="A660" s="1319"/>
      <c r="B660" s="1324"/>
      <c r="C660" s="1320"/>
      <c r="D660" s="1321"/>
      <c r="E660" s="1320" t="s">
        <v>186</v>
      </c>
      <c r="F660" s="1320"/>
      <c r="G660" s="1322"/>
      <c r="H660" s="165" t="s">
        <v>12</v>
      </c>
      <c r="I660" s="886"/>
      <c r="J660" s="886"/>
      <c r="K660" s="887"/>
      <c r="L660" s="887">
        <f ca="1">IFERROR(__xludf.DUMMYFUNCTION("IMPORTRANGE(""https://docs.google.com/spreadsheets/d/1QqKyyYR6Q21VydFLVH3TRQUabQu_ym0Zz7PgGX0-kHA/edit?usp=sharing"",""แผน!HV86"")"),12600)</f>
        <v>12600</v>
      </c>
      <c r="M660" s="887">
        <f ca="1">L660</f>
        <v>12600</v>
      </c>
      <c r="N660" s="887">
        <f>N661+N662+N663+N664</f>
        <v>6100</v>
      </c>
      <c r="O660" s="887">
        <f t="shared" ca="1" si="274"/>
        <v>48.412698412698411</v>
      </c>
      <c r="P660" s="887">
        <f t="shared" ca="1" si="275"/>
        <v>48.412698412698411</v>
      </c>
      <c r="Q660" s="1323"/>
      <c r="R660" s="1323"/>
      <c r="S660" s="1323"/>
      <c r="T660" s="1323"/>
      <c r="U660" s="1323"/>
      <c r="V660" s="1323"/>
      <c r="W660" s="1323"/>
      <c r="X660" s="1323"/>
      <c r="Y660" s="1323"/>
      <c r="Z660" s="1323"/>
    </row>
    <row r="661" spans="1:26" ht="18.75">
      <c r="A661" s="1299"/>
      <c r="B661" s="1300"/>
      <c r="C661" s="1301"/>
      <c r="D661" s="1301"/>
      <c r="E661" s="1301"/>
      <c r="F661" s="1301" t="s">
        <v>187</v>
      </c>
      <c r="G661" s="1016"/>
      <c r="H661" s="161" t="s">
        <v>12</v>
      </c>
      <c r="I661" s="880"/>
      <c r="J661" s="880"/>
      <c r="K661" s="881"/>
      <c r="L661" s="881"/>
      <c r="M661" s="881"/>
      <c r="N661" s="1085">
        <v>0</v>
      </c>
      <c r="O661" s="881"/>
      <c r="P661" s="881"/>
      <c r="Q661" s="1302"/>
      <c r="R661" s="1302"/>
      <c r="S661" s="1302"/>
      <c r="T661" s="1302"/>
      <c r="U661" s="1302"/>
      <c r="V661" s="1302"/>
      <c r="W661" s="1302"/>
      <c r="X661" s="1302"/>
      <c r="Y661" s="1302"/>
      <c r="Z661" s="1302"/>
    </row>
    <row r="662" spans="1:26" ht="18.75">
      <c r="A662" s="1299"/>
      <c r="B662" s="1300"/>
      <c r="C662" s="1301"/>
      <c r="D662" s="1301"/>
      <c r="E662" s="1301"/>
      <c r="F662" s="1301" t="s">
        <v>188</v>
      </c>
      <c r="G662" s="1016"/>
      <c r="H662" s="161" t="s">
        <v>12</v>
      </c>
      <c r="I662" s="880"/>
      <c r="J662" s="880"/>
      <c r="K662" s="881"/>
      <c r="L662" s="881"/>
      <c r="M662" s="881"/>
      <c r="N662" s="1085">
        <v>0</v>
      </c>
      <c r="O662" s="881"/>
      <c r="P662" s="881"/>
      <c r="Q662" s="1302"/>
      <c r="R662" s="1302"/>
      <c r="S662" s="1302"/>
      <c r="T662" s="1302"/>
      <c r="U662" s="1302"/>
      <c r="V662" s="1302"/>
      <c r="W662" s="1302"/>
      <c r="X662" s="1302"/>
      <c r="Y662" s="1302"/>
      <c r="Z662" s="1302"/>
    </row>
    <row r="663" spans="1:26" ht="18.75">
      <c r="A663" s="1299"/>
      <c r="B663" s="1300"/>
      <c r="C663" s="1300"/>
      <c r="D663" s="1301"/>
      <c r="E663" s="1301"/>
      <c r="F663" s="1301" t="s">
        <v>189</v>
      </c>
      <c r="G663" s="1016"/>
      <c r="H663" s="161" t="s">
        <v>12</v>
      </c>
      <c r="I663" s="880"/>
      <c r="J663" s="880"/>
      <c r="K663" s="881"/>
      <c r="L663" s="881"/>
      <c r="M663" s="881"/>
      <c r="N663" s="1085">
        <v>0</v>
      </c>
      <c r="O663" s="881"/>
      <c r="P663" s="881"/>
      <c r="Q663" s="1302"/>
      <c r="R663" s="1302"/>
      <c r="S663" s="1302"/>
      <c r="T663" s="1302"/>
      <c r="U663" s="1302"/>
      <c r="V663" s="1302"/>
      <c r="W663" s="1302"/>
      <c r="X663" s="1302"/>
      <c r="Y663" s="1302"/>
      <c r="Z663" s="1302"/>
    </row>
    <row r="664" spans="1:26" ht="18.75">
      <c r="A664" s="1299"/>
      <c r="B664" s="1300"/>
      <c r="C664" s="1300"/>
      <c r="D664" s="1300"/>
      <c r="E664" s="1301"/>
      <c r="F664" s="1301" t="s">
        <v>190</v>
      </c>
      <c r="G664" s="1016"/>
      <c r="H664" s="161" t="s">
        <v>12</v>
      </c>
      <c r="I664" s="880"/>
      <c r="J664" s="880"/>
      <c r="K664" s="881"/>
      <c r="L664" s="881"/>
      <c r="M664" s="881"/>
      <c r="N664" s="1085">
        <v>6100</v>
      </c>
      <c r="O664" s="881"/>
      <c r="P664" s="881"/>
      <c r="Q664" s="1302"/>
      <c r="R664" s="1302"/>
      <c r="S664" s="1302"/>
      <c r="T664" s="1302"/>
      <c r="U664" s="1302"/>
      <c r="V664" s="1302"/>
      <c r="W664" s="1302"/>
      <c r="X664" s="1302"/>
      <c r="Y664" s="1302"/>
      <c r="Z664" s="1302"/>
    </row>
    <row r="665" spans="1:26" ht="18.75">
      <c r="A665" s="1317"/>
      <c r="B665" s="1300"/>
      <c r="C665" s="1300"/>
      <c r="D665" s="1325" t="s">
        <v>21</v>
      </c>
      <c r="E665" s="1301"/>
      <c r="F665" s="1301"/>
      <c r="G665" s="1016"/>
      <c r="H665" s="168" t="s">
        <v>12</v>
      </c>
      <c r="I665" s="997"/>
      <c r="J665" s="997"/>
      <c r="K665" s="998"/>
      <c r="L665" s="881">
        <f t="shared" ref="L665:N665" si="278">L666+L667</f>
        <v>0</v>
      </c>
      <c r="M665" s="881">
        <f t="shared" si="278"/>
        <v>0</v>
      </c>
      <c r="N665" s="881">
        <f t="shared" si="278"/>
        <v>0</v>
      </c>
      <c r="O665" s="881">
        <f t="shared" ref="O665:O667" si="279">IF(L665&gt;0,N665*100/L665,0)</f>
        <v>0</v>
      </c>
      <c r="P665" s="881">
        <f t="shared" ref="P665:P667" si="280">IF(M665&gt;0,N665*100/M665,0)</f>
        <v>0</v>
      </c>
      <c r="Q665" s="1302"/>
      <c r="R665" s="1302"/>
      <c r="S665" s="1302"/>
      <c r="T665" s="1302"/>
      <c r="U665" s="1302"/>
      <c r="V665" s="1302"/>
      <c r="W665" s="1302"/>
      <c r="X665" s="1302"/>
      <c r="Y665" s="1302"/>
      <c r="Z665" s="1302"/>
    </row>
    <row r="666" spans="1:26" ht="18.75" hidden="1">
      <c r="A666" s="1319"/>
      <c r="B666" s="1324"/>
      <c r="C666" s="1324"/>
      <c r="D666" s="1324"/>
      <c r="E666" s="1320" t="s">
        <v>18</v>
      </c>
      <c r="F666" s="1320"/>
      <c r="G666" s="1322"/>
      <c r="H666" s="165" t="s">
        <v>12</v>
      </c>
      <c r="I666" s="1000"/>
      <c r="J666" s="1000"/>
      <c r="K666" s="1001"/>
      <c r="L666" s="887">
        <v>0</v>
      </c>
      <c r="M666" s="887">
        <v>0</v>
      </c>
      <c r="N666" s="887">
        <v>0</v>
      </c>
      <c r="O666" s="887">
        <f t="shared" si="279"/>
        <v>0</v>
      </c>
      <c r="P666" s="887">
        <f t="shared" si="280"/>
        <v>0</v>
      </c>
      <c r="Q666" s="1323"/>
      <c r="R666" s="1323"/>
      <c r="S666" s="1323"/>
      <c r="T666" s="1323"/>
      <c r="U666" s="1323"/>
      <c r="V666" s="1323"/>
      <c r="W666" s="1323"/>
      <c r="X666" s="1323"/>
      <c r="Y666" s="1323"/>
      <c r="Z666" s="1323"/>
    </row>
    <row r="667" spans="1:26" ht="18.75" hidden="1">
      <c r="A667" s="1319"/>
      <c r="B667" s="1324"/>
      <c r="C667" s="1324"/>
      <c r="D667" s="1324"/>
      <c r="E667" s="1320" t="s">
        <v>19</v>
      </c>
      <c r="F667" s="1320"/>
      <c r="G667" s="1322"/>
      <c r="H667" s="169" t="s">
        <v>12</v>
      </c>
      <c r="I667" s="1000"/>
      <c r="J667" s="1000"/>
      <c r="K667" s="1001"/>
      <c r="L667" s="887">
        <v>0</v>
      </c>
      <c r="M667" s="887">
        <v>0</v>
      </c>
      <c r="N667" s="887">
        <v>0</v>
      </c>
      <c r="O667" s="887">
        <f t="shared" si="279"/>
        <v>0</v>
      </c>
      <c r="P667" s="887">
        <f t="shared" si="280"/>
        <v>0</v>
      </c>
      <c r="Q667" s="1323"/>
      <c r="R667" s="1323"/>
      <c r="S667" s="1323"/>
      <c r="T667" s="1323"/>
      <c r="U667" s="1323"/>
      <c r="V667" s="1323"/>
      <c r="W667" s="1323"/>
      <c r="X667" s="1323"/>
      <c r="Y667" s="1323"/>
      <c r="Z667" s="1323"/>
    </row>
    <row r="668" spans="1:26" ht="19.5">
      <c r="A668" s="1326"/>
      <c r="B668" s="1327"/>
      <c r="C668" s="1300" t="s">
        <v>16</v>
      </c>
      <c r="D668" s="1328" t="s">
        <v>38</v>
      </c>
      <c r="E668" s="1330"/>
      <c r="F668" s="1330"/>
      <c r="G668" s="1331"/>
      <c r="H668" s="1007"/>
      <c r="I668" s="997"/>
      <c r="J668" s="997"/>
      <c r="K668" s="998"/>
      <c r="L668" s="998"/>
      <c r="M668" s="998"/>
      <c r="N668" s="998"/>
      <c r="O668" s="998"/>
      <c r="P668" s="998"/>
      <c r="Q668" s="1302"/>
      <c r="R668" s="1302"/>
      <c r="S668" s="1302"/>
      <c r="T668" s="1302"/>
      <c r="U668" s="1302"/>
      <c r="V668" s="1302"/>
      <c r="W668" s="1302"/>
      <c r="X668" s="1302"/>
      <c r="Y668" s="1302"/>
      <c r="Z668" s="1302"/>
    </row>
    <row r="669" spans="1:26" ht="19.5">
      <c r="A669" s="1326"/>
      <c r="B669" s="1327"/>
      <c r="C669" s="1327"/>
      <c r="D669" s="1327" t="s">
        <v>281</v>
      </c>
      <c r="E669" s="1014"/>
      <c r="F669" s="1014"/>
      <c r="G669" s="1007"/>
      <c r="H669" s="765" t="s">
        <v>46</v>
      </c>
      <c r="I669" s="1019">
        <f ca="1">IFERROR(__xludf.DUMMYFUNCTION("IMPORTRANGE(""https://docs.google.com/spreadsheets/d/1QqKyyYR6Q21VydFLVH3TRQUabQu_ym0Zz7PgGX0-kHA/edit?usp=sharing"",""แผน!IA86"")"),50)</f>
        <v>50</v>
      </c>
      <c r="J669" s="1019">
        <f>J675</f>
        <v>0</v>
      </c>
      <c r="K669" s="1020">
        <f ca="1">IF(I669&gt;0,J669*100/I669,0)</f>
        <v>0</v>
      </c>
      <c r="L669" s="998"/>
      <c r="M669" s="998"/>
      <c r="N669" s="998"/>
      <c r="O669" s="998"/>
      <c r="P669" s="998"/>
      <c r="Q669" s="1302"/>
      <c r="R669" s="1302"/>
      <c r="S669" s="1302"/>
      <c r="T669" s="1302"/>
      <c r="U669" s="1302"/>
      <c r="V669" s="1302"/>
      <c r="W669" s="1302"/>
      <c r="X669" s="1302"/>
      <c r="Y669" s="1302"/>
      <c r="Z669" s="1302"/>
    </row>
    <row r="670" spans="1:26" ht="18.75">
      <c r="A670" s="1326"/>
      <c r="B670" s="1327"/>
      <c r="C670" s="1327"/>
      <c r="D670" s="1327"/>
      <c r="E670" s="1014" t="s">
        <v>282</v>
      </c>
      <c r="F670" s="1014"/>
      <c r="G670" s="1007"/>
      <c r="H670" s="762" t="s">
        <v>66</v>
      </c>
      <c r="I670" s="880">
        <f ca="1">IFERROR(__xludf.DUMMYFUNCTION("IMPORTRANGE(""https://docs.google.com/spreadsheets/d/1QqKyyYR6Q21VydFLVH3TRQUabQu_ym0Zz7PgGX0-kHA/edit?usp=sharing"",""แผน!HZ86"")"),6)</f>
        <v>6</v>
      </c>
      <c r="J670" s="1012">
        <v>6</v>
      </c>
      <c r="K670" s="881">
        <f ca="1">IF(I670&gt;0,(J670*100)/I670,0)</f>
        <v>100</v>
      </c>
      <c r="L670" s="998"/>
      <c r="M670" s="998"/>
      <c r="N670" s="998"/>
      <c r="O670" s="998"/>
      <c r="P670" s="998"/>
      <c r="Q670" s="1302"/>
      <c r="R670" s="1302"/>
      <c r="S670" s="1302"/>
      <c r="T670" s="1302"/>
      <c r="U670" s="1302"/>
      <c r="V670" s="1302"/>
      <c r="W670" s="1302"/>
      <c r="X670" s="1302"/>
      <c r="Y670" s="1302"/>
      <c r="Z670" s="1302"/>
    </row>
    <row r="671" spans="1:26" ht="18.75">
      <c r="A671" s="1326"/>
      <c r="B671" s="1327"/>
      <c r="C671" s="1327"/>
      <c r="D671" s="1327"/>
      <c r="E671" s="1014" t="s">
        <v>283</v>
      </c>
      <c r="F671" s="1014"/>
      <c r="G671" s="1007"/>
      <c r="H671" s="762" t="s">
        <v>66</v>
      </c>
      <c r="I671" s="880">
        <f ca="1">IFERROR(__xludf.DUMMYFUNCTION("IMPORTRANGE(""https://docs.google.com/spreadsheets/d/1QqKyyYR6Q21VydFLVH3TRQUabQu_ym0Zz7PgGX0-kHA/edit?usp=sharing"",""แผน!HZ86"")"),6)</f>
        <v>6</v>
      </c>
      <c r="J671" s="1012">
        <v>6</v>
      </c>
      <c r="K671" s="881">
        <f ca="1">IF(I$671&gt;0,J671*100/I$671,0)</f>
        <v>100</v>
      </c>
      <c r="L671" s="998"/>
      <c r="M671" s="998"/>
      <c r="N671" s="998"/>
      <c r="O671" s="998"/>
      <c r="P671" s="998"/>
      <c r="Q671" s="1302"/>
      <c r="R671" s="1302"/>
      <c r="S671" s="1302"/>
      <c r="T671" s="1302"/>
      <c r="U671" s="1302"/>
      <c r="V671" s="1302"/>
      <c r="W671" s="1302"/>
      <c r="X671" s="1302"/>
      <c r="Y671" s="1302"/>
      <c r="Z671" s="1302"/>
    </row>
    <row r="672" spans="1:26" ht="18.75">
      <c r="A672" s="1326"/>
      <c r="B672" s="1327"/>
      <c r="C672" s="1327"/>
      <c r="D672" s="1327"/>
      <c r="E672" s="1014" t="s">
        <v>284</v>
      </c>
      <c r="F672" s="1014"/>
      <c r="G672" s="1007"/>
      <c r="H672" s="762" t="s">
        <v>46</v>
      </c>
      <c r="I672" s="880"/>
      <c r="J672" s="1012">
        <v>0</v>
      </c>
      <c r="K672" s="881">
        <f t="shared" ref="K672:K675" ca="1" si="281">IF(I$669&gt;0,J672*100/I$669,0)</f>
        <v>0</v>
      </c>
      <c r="L672" s="998"/>
      <c r="M672" s="998"/>
      <c r="N672" s="998"/>
      <c r="O672" s="998"/>
      <c r="P672" s="998"/>
      <c r="Q672" s="1302"/>
      <c r="R672" s="1302"/>
      <c r="S672" s="1302"/>
      <c r="T672" s="1302"/>
      <c r="U672" s="1302"/>
      <c r="V672" s="1302"/>
      <c r="W672" s="1302"/>
      <c r="X672" s="1302"/>
      <c r="Y672" s="1302"/>
      <c r="Z672" s="1302"/>
    </row>
    <row r="673" spans="1:26" ht="18.75">
      <c r="A673" s="1326"/>
      <c r="B673" s="1327"/>
      <c r="C673" s="1327"/>
      <c r="D673" s="1327"/>
      <c r="E673" s="1014" t="s">
        <v>285</v>
      </c>
      <c r="F673" s="1014"/>
      <c r="G673" s="1007"/>
      <c r="H673" s="762" t="s">
        <v>46</v>
      </c>
      <c r="I673" s="880"/>
      <c r="J673" s="1012">
        <v>0</v>
      </c>
      <c r="K673" s="881">
        <f t="shared" ca="1" si="281"/>
        <v>0</v>
      </c>
      <c r="L673" s="998"/>
      <c r="M673" s="998"/>
      <c r="N673" s="998"/>
      <c r="O673" s="998"/>
      <c r="P673" s="998"/>
      <c r="Q673" s="1302"/>
      <c r="R673" s="1302"/>
      <c r="S673" s="1302"/>
      <c r="T673" s="1302"/>
      <c r="U673" s="1302"/>
      <c r="V673" s="1302"/>
      <c r="W673" s="1302"/>
      <c r="X673" s="1302"/>
      <c r="Y673" s="1302"/>
      <c r="Z673" s="1302"/>
    </row>
    <row r="674" spans="1:26" ht="18.75">
      <c r="A674" s="1326"/>
      <c r="B674" s="1327"/>
      <c r="C674" s="1327"/>
      <c r="D674" s="1327"/>
      <c r="E674" s="1014" t="s">
        <v>286</v>
      </c>
      <c r="F674" s="1014"/>
      <c r="G674" s="1007"/>
      <c r="H674" s="762" t="s">
        <v>46</v>
      </c>
      <c r="I674" s="880"/>
      <c r="J674" s="1012">
        <v>0</v>
      </c>
      <c r="K674" s="881">
        <f t="shared" ca="1" si="281"/>
        <v>0</v>
      </c>
      <c r="L674" s="998"/>
      <c r="M674" s="998"/>
      <c r="N674" s="998"/>
      <c r="O674" s="998"/>
      <c r="P674" s="998"/>
      <c r="Q674" s="1302"/>
      <c r="R674" s="1302"/>
      <c r="S674" s="1302"/>
      <c r="T674" s="1302"/>
      <c r="U674" s="1302"/>
      <c r="V674" s="1302"/>
      <c r="W674" s="1302"/>
      <c r="X674" s="1302"/>
      <c r="Y674" s="1302"/>
      <c r="Z674" s="1302"/>
    </row>
    <row r="675" spans="1:26" ht="19.5">
      <c r="A675" s="1326"/>
      <c r="B675" s="1327"/>
      <c r="C675" s="1327"/>
      <c r="D675" s="1327"/>
      <c r="E675" s="1014" t="s">
        <v>287</v>
      </c>
      <c r="F675" s="1014"/>
      <c r="G675" s="1007"/>
      <c r="H675" s="762" t="s">
        <v>46</v>
      </c>
      <c r="I675" s="880"/>
      <c r="J675" s="1019">
        <f>J676+J677</f>
        <v>0</v>
      </c>
      <c r="K675" s="1020">
        <f t="shared" ca="1" si="281"/>
        <v>0</v>
      </c>
      <c r="L675" s="998"/>
      <c r="M675" s="998"/>
      <c r="N675" s="998"/>
      <c r="O675" s="998"/>
      <c r="P675" s="998"/>
      <c r="Q675" s="1302"/>
      <c r="R675" s="1302"/>
      <c r="S675" s="1302"/>
      <c r="T675" s="1302"/>
      <c r="U675" s="1302"/>
      <c r="V675" s="1302"/>
      <c r="W675" s="1302"/>
      <c r="X675" s="1302"/>
      <c r="Y675" s="1302"/>
      <c r="Z675" s="1302"/>
    </row>
    <row r="676" spans="1:26" ht="18.75">
      <c r="A676" s="1326"/>
      <c r="B676" s="1327"/>
      <c r="C676" s="1327"/>
      <c r="D676" s="1327"/>
      <c r="E676" s="1014"/>
      <c r="F676" s="1014" t="s">
        <v>288</v>
      </c>
      <c r="G676" s="1007"/>
      <c r="H676" s="762" t="s">
        <v>46</v>
      </c>
      <c r="I676" s="880"/>
      <c r="J676" s="1012">
        <v>0</v>
      </c>
      <c r="K676" s="881"/>
      <c r="L676" s="998"/>
      <c r="M676" s="998"/>
      <c r="N676" s="998"/>
      <c r="O676" s="998"/>
      <c r="P676" s="998"/>
      <c r="Q676" s="1302"/>
      <c r="R676" s="1302"/>
      <c r="S676" s="1302"/>
      <c r="T676" s="1302"/>
      <c r="U676" s="1302"/>
      <c r="V676" s="1302"/>
      <c r="W676" s="1302"/>
      <c r="X676" s="1302"/>
      <c r="Y676" s="1302"/>
      <c r="Z676" s="1302"/>
    </row>
    <row r="677" spans="1:26" ht="18.75">
      <c r="A677" s="1326"/>
      <c r="B677" s="1327"/>
      <c r="C677" s="1327"/>
      <c r="D677" s="1327"/>
      <c r="E677" s="1014"/>
      <c r="F677" s="1014" t="s">
        <v>289</v>
      </c>
      <c r="G677" s="1007"/>
      <c r="H677" s="762" t="s">
        <v>46</v>
      </c>
      <c r="I677" s="880"/>
      <c r="J677" s="1012">
        <v>0</v>
      </c>
      <c r="K677" s="881"/>
      <c r="L677" s="998"/>
      <c r="M677" s="998"/>
      <c r="N677" s="998"/>
      <c r="O677" s="998"/>
      <c r="P677" s="998"/>
      <c r="Q677" s="1302"/>
      <c r="R677" s="1302"/>
      <c r="S677" s="1302"/>
      <c r="T677" s="1302"/>
      <c r="U677" s="1302"/>
      <c r="V677" s="1302"/>
      <c r="W677" s="1302"/>
      <c r="X677" s="1302"/>
      <c r="Y677" s="1302"/>
      <c r="Z677" s="1302"/>
    </row>
    <row r="678" spans="1:26" ht="19.5">
      <c r="A678" s="1326"/>
      <c r="B678" s="1327"/>
      <c r="C678" s="1327"/>
      <c r="D678" s="1327" t="s">
        <v>290</v>
      </c>
      <c r="E678" s="1014"/>
      <c r="F678" s="1014"/>
      <c r="G678" s="1007"/>
      <c r="H678" s="762" t="s">
        <v>46</v>
      </c>
      <c r="I678" s="1019">
        <f ca="1">IFERROR(__xludf.DUMMYFUNCTION("IMPORTRANGE(""https://docs.google.com/spreadsheets/d/1QqKyyYR6Q21VydFLVH3TRQUabQu_ym0Zz7PgGX0-kHA/edit?usp=sharing"",""แผน!IB86"")"),0)</f>
        <v>0</v>
      </c>
      <c r="J678" s="1019">
        <f>J679</f>
        <v>168.76</v>
      </c>
      <c r="K678" s="1020">
        <f ca="1">IF(I678&gt;0,J678*100/I678,0)</f>
        <v>0</v>
      </c>
      <c r="L678" s="998"/>
      <c r="M678" s="998"/>
      <c r="N678" s="998"/>
      <c r="O678" s="998"/>
      <c r="P678" s="998"/>
      <c r="Q678" s="1302"/>
      <c r="R678" s="1302"/>
      <c r="S678" s="1302"/>
      <c r="T678" s="1302"/>
      <c r="U678" s="1302"/>
      <c r="V678" s="1302"/>
      <c r="W678" s="1302"/>
      <c r="X678" s="1302"/>
      <c r="Y678" s="1302"/>
      <c r="Z678" s="1302"/>
    </row>
    <row r="679" spans="1:26" ht="18.75">
      <c r="A679" s="1326"/>
      <c r="B679" s="1327"/>
      <c r="C679" s="1327"/>
      <c r="D679" s="1327"/>
      <c r="E679" s="1014" t="s">
        <v>291</v>
      </c>
      <c r="F679" s="1014"/>
      <c r="G679" s="1007"/>
      <c r="H679" s="762" t="s">
        <v>46</v>
      </c>
      <c r="I679" s="880"/>
      <c r="J679" s="880">
        <f>J680+J681</f>
        <v>168.76</v>
      </c>
      <c r="K679" s="881"/>
      <c r="L679" s="998"/>
      <c r="M679" s="998"/>
      <c r="N679" s="998"/>
      <c r="O679" s="998"/>
      <c r="P679" s="998"/>
      <c r="Q679" s="1302"/>
      <c r="R679" s="1302"/>
      <c r="S679" s="1302"/>
      <c r="T679" s="1302"/>
      <c r="U679" s="1302"/>
      <c r="V679" s="1302"/>
      <c r="W679" s="1302"/>
      <c r="X679" s="1302"/>
      <c r="Y679" s="1302"/>
      <c r="Z679" s="1302"/>
    </row>
    <row r="680" spans="1:26" ht="18.75">
      <c r="A680" s="1326"/>
      <c r="B680" s="1327"/>
      <c r="C680" s="1327"/>
      <c r="D680" s="1327"/>
      <c r="E680" s="1014"/>
      <c r="F680" s="1014" t="s">
        <v>288</v>
      </c>
      <c r="G680" s="1007"/>
      <c r="H680" s="762" t="s">
        <v>46</v>
      </c>
      <c r="I680" s="880"/>
      <c r="J680" s="1527">
        <v>31.56</v>
      </c>
      <c r="K680" s="881"/>
      <c r="L680" s="998"/>
      <c r="M680" s="998"/>
      <c r="N680" s="998"/>
      <c r="O680" s="998"/>
      <c r="P680" s="998"/>
      <c r="Q680" s="1302"/>
      <c r="R680" s="1302"/>
      <c r="S680" s="1302"/>
      <c r="T680" s="1302"/>
      <c r="U680" s="1302"/>
      <c r="V680" s="1302"/>
      <c r="W680" s="1302"/>
      <c r="X680" s="1302"/>
      <c r="Y680" s="1302"/>
      <c r="Z680" s="1302"/>
    </row>
    <row r="681" spans="1:26" ht="18.75">
      <c r="A681" s="1326"/>
      <c r="B681" s="1327"/>
      <c r="C681" s="1327"/>
      <c r="D681" s="1327"/>
      <c r="E681" s="1014"/>
      <c r="F681" s="1014" t="s">
        <v>289</v>
      </c>
      <c r="G681" s="1007"/>
      <c r="H681" s="762" t="s">
        <v>46</v>
      </c>
      <c r="I681" s="880"/>
      <c r="J681" s="1527">
        <v>137.19999999999999</v>
      </c>
      <c r="K681" s="881"/>
      <c r="L681" s="998"/>
      <c r="M681" s="998"/>
      <c r="N681" s="998"/>
      <c r="O681" s="998"/>
      <c r="P681" s="998"/>
      <c r="Q681" s="1302"/>
      <c r="R681" s="1302"/>
      <c r="S681" s="1302"/>
      <c r="T681" s="1302"/>
      <c r="U681" s="1302"/>
      <c r="V681" s="1302"/>
      <c r="W681" s="1302"/>
      <c r="X681" s="1302"/>
      <c r="Y681" s="1302"/>
      <c r="Z681" s="1302"/>
    </row>
    <row r="682" spans="1:26" ht="18.75">
      <c r="A682" s="1326"/>
      <c r="B682" s="1327"/>
      <c r="C682" s="1327"/>
      <c r="D682" s="1327"/>
      <c r="E682" s="1014" t="s">
        <v>292</v>
      </c>
      <c r="F682" s="1014"/>
      <c r="G682" s="1007"/>
      <c r="H682" s="762" t="s">
        <v>46</v>
      </c>
      <c r="I682" s="880"/>
      <c r="J682" s="1012">
        <v>0</v>
      </c>
      <c r="K682" s="881"/>
      <c r="L682" s="998"/>
      <c r="M682" s="998"/>
      <c r="N682" s="998"/>
      <c r="O682" s="998"/>
      <c r="P682" s="998"/>
      <c r="Q682" s="1302"/>
      <c r="R682" s="1302"/>
      <c r="S682" s="1302"/>
      <c r="T682" s="1302"/>
      <c r="U682" s="1302"/>
      <c r="V682" s="1302"/>
      <c r="W682" s="1302"/>
      <c r="X682" s="1302"/>
      <c r="Y682" s="1302"/>
      <c r="Z682" s="1302"/>
    </row>
    <row r="683" spans="1:26" ht="18.75">
      <c r="A683" s="1326"/>
      <c r="B683" s="1327"/>
      <c r="C683" s="1327"/>
      <c r="D683" s="1327"/>
      <c r="E683" s="1014"/>
      <c r="F683" s="1014" t="s">
        <v>293</v>
      </c>
      <c r="G683" s="1007"/>
      <c r="H683" s="762" t="s">
        <v>46</v>
      </c>
      <c r="I683" s="880"/>
      <c r="J683" s="1012">
        <v>0</v>
      </c>
      <c r="K683" s="881"/>
      <c r="L683" s="998"/>
      <c r="M683" s="998"/>
      <c r="N683" s="998"/>
      <c r="O683" s="998"/>
      <c r="P683" s="998"/>
      <c r="Q683" s="1302"/>
      <c r="R683" s="1302"/>
      <c r="S683" s="1302"/>
      <c r="T683" s="1302"/>
      <c r="U683" s="1302"/>
      <c r="V683" s="1302"/>
      <c r="W683" s="1302"/>
      <c r="X683" s="1302"/>
      <c r="Y683" s="1302"/>
      <c r="Z683" s="1302"/>
    </row>
    <row r="684" spans="1:26" ht="19.5" hidden="1">
      <c r="A684" s="1434"/>
      <c r="B684" s="1435" t="s">
        <v>294</v>
      </c>
      <c r="C684" s="1434"/>
      <c r="D684" s="1434"/>
      <c r="E684" s="1434"/>
      <c r="F684" s="1434"/>
      <c r="G684" s="1436"/>
      <c r="H684" s="1436"/>
      <c r="I684" s="1437"/>
      <c r="J684" s="1437"/>
      <c r="K684" s="1438"/>
      <c r="L684" s="1438"/>
      <c r="M684" s="1438"/>
      <c r="N684" s="1438"/>
      <c r="O684" s="1438"/>
      <c r="P684" s="1438"/>
      <c r="Q684" s="1302"/>
      <c r="R684" s="1302"/>
      <c r="S684" s="1302"/>
      <c r="T684" s="1302"/>
      <c r="U684" s="1302"/>
      <c r="V684" s="1302"/>
      <c r="W684" s="1302"/>
      <c r="X684" s="1302"/>
      <c r="Y684" s="1302"/>
      <c r="Z684" s="1302"/>
    </row>
    <row r="685" spans="1:26" ht="19.5" hidden="1">
      <c r="A685" s="1317"/>
      <c r="B685" s="1301"/>
      <c r="C685" s="1301" t="s">
        <v>16</v>
      </c>
      <c r="D685" s="1318" t="s">
        <v>17</v>
      </c>
      <c r="E685" s="841"/>
      <c r="F685" s="841"/>
      <c r="G685" s="1016"/>
      <c r="H685" s="597" t="s">
        <v>12</v>
      </c>
      <c r="I685" s="880"/>
      <c r="J685" s="880"/>
      <c r="K685" s="881"/>
      <c r="L685" s="1020">
        <f t="shared" ref="L685:N685" ca="1" si="282">L686+L687</f>
        <v>0</v>
      </c>
      <c r="M685" s="1020">
        <f t="shared" si="282"/>
        <v>0</v>
      </c>
      <c r="N685" s="1020">
        <f t="shared" si="282"/>
        <v>0</v>
      </c>
      <c r="O685" s="1020">
        <f t="shared" ref="O685:O688" ca="1" si="283">IF(L685&gt;0,N685*100/L685,0)</f>
        <v>0</v>
      </c>
      <c r="P685" s="1020">
        <f t="shared" ref="P685:P688" si="284">IF(M685&gt;0,N685*100/M685,0)</f>
        <v>0</v>
      </c>
      <c r="Q685" s="1302"/>
      <c r="R685" s="1302"/>
      <c r="S685" s="1302"/>
      <c r="T685" s="1302"/>
      <c r="U685" s="1302"/>
      <c r="V685" s="1302"/>
      <c r="W685" s="1302"/>
      <c r="X685" s="1302"/>
      <c r="Y685" s="1302"/>
      <c r="Z685" s="1302"/>
    </row>
    <row r="686" spans="1:26" ht="18.75" hidden="1">
      <c r="A686" s="1319"/>
      <c r="B686" s="1320"/>
      <c r="C686" s="1320"/>
      <c r="D686" s="1321"/>
      <c r="E686" s="1320" t="s">
        <v>185</v>
      </c>
      <c r="F686" s="1320"/>
      <c r="G686" s="1322"/>
      <c r="H686" s="165" t="s">
        <v>12</v>
      </c>
      <c r="I686" s="886"/>
      <c r="J686" s="886"/>
      <c r="K686" s="887"/>
      <c r="L686" s="887">
        <f t="shared" ref="L686:N687" si="285">L689+L696</f>
        <v>0</v>
      </c>
      <c r="M686" s="887">
        <f t="shared" si="285"/>
        <v>0</v>
      </c>
      <c r="N686" s="887">
        <f t="shared" si="285"/>
        <v>0</v>
      </c>
      <c r="O686" s="887">
        <f t="shared" si="283"/>
        <v>0</v>
      </c>
      <c r="P686" s="887">
        <f t="shared" si="284"/>
        <v>0</v>
      </c>
      <c r="Q686" s="1323"/>
      <c r="R686" s="1323"/>
      <c r="S686" s="1323"/>
      <c r="T686" s="1323"/>
      <c r="U686" s="1323"/>
      <c r="V686" s="1323"/>
      <c r="W686" s="1323"/>
      <c r="X686" s="1323"/>
      <c r="Y686" s="1323"/>
      <c r="Z686" s="1323"/>
    </row>
    <row r="687" spans="1:26" ht="18.75" hidden="1">
      <c r="A687" s="1319"/>
      <c r="B687" s="1324"/>
      <c r="C687" s="1320"/>
      <c r="D687" s="1321"/>
      <c r="E687" s="1320" t="s">
        <v>186</v>
      </c>
      <c r="F687" s="1320"/>
      <c r="G687" s="1322"/>
      <c r="H687" s="165" t="s">
        <v>12</v>
      </c>
      <c r="I687" s="886"/>
      <c r="J687" s="886"/>
      <c r="K687" s="887"/>
      <c r="L687" s="887">
        <f t="shared" ca="1" si="285"/>
        <v>0</v>
      </c>
      <c r="M687" s="887">
        <f t="shared" si="285"/>
        <v>0</v>
      </c>
      <c r="N687" s="887">
        <f t="shared" si="285"/>
        <v>0</v>
      </c>
      <c r="O687" s="887">
        <f t="shared" ca="1" si="283"/>
        <v>0</v>
      </c>
      <c r="P687" s="887">
        <f t="shared" si="284"/>
        <v>0</v>
      </c>
      <c r="Q687" s="1323"/>
      <c r="R687" s="1323"/>
      <c r="S687" s="1323"/>
      <c r="T687" s="1323"/>
      <c r="U687" s="1323"/>
      <c r="V687" s="1323"/>
      <c r="W687" s="1323"/>
      <c r="X687" s="1323"/>
      <c r="Y687" s="1323"/>
      <c r="Z687" s="1323"/>
    </row>
    <row r="688" spans="1:26" ht="18.75" hidden="1">
      <c r="A688" s="1317"/>
      <c r="B688" s="1300"/>
      <c r="C688" s="1301"/>
      <c r="D688" s="1325" t="s">
        <v>20</v>
      </c>
      <c r="E688" s="1301"/>
      <c r="F688" s="1301"/>
      <c r="G688" s="1016"/>
      <c r="H688" s="161" t="s">
        <v>12</v>
      </c>
      <c r="I688" s="997"/>
      <c r="J688" s="997"/>
      <c r="K688" s="998"/>
      <c r="L688" s="881">
        <f t="shared" ref="L688:N688" ca="1" si="286">L689+L690</f>
        <v>0</v>
      </c>
      <c r="M688" s="881">
        <f t="shared" si="286"/>
        <v>0</v>
      </c>
      <c r="N688" s="881">
        <f t="shared" si="286"/>
        <v>0</v>
      </c>
      <c r="O688" s="881">
        <f t="shared" ca="1" si="283"/>
        <v>0</v>
      </c>
      <c r="P688" s="881">
        <f t="shared" si="284"/>
        <v>0</v>
      </c>
      <c r="Q688" s="1302"/>
      <c r="R688" s="1302"/>
      <c r="S688" s="1302"/>
      <c r="T688" s="1302"/>
      <c r="U688" s="1302"/>
      <c r="V688" s="1302"/>
      <c r="W688" s="1302"/>
      <c r="X688" s="1302"/>
      <c r="Y688" s="1302"/>
      <c r="Z688" s="1302"/>
    </row>
    <row r="689" spans="1:26" ht="18.75" hidden="1">
      <c r="A689" s="1319"/>
      <c r="B689" s="1324"/>
      <c r="C689" s="1320"/>
      <c r="D689" s="1321"/>
      <c r="E689" s="1320" t="s">
        <v>185</v>
      </c>
      <c r="F689" s="1320"/>
      <c r="G689" s="1322"/>
      <c r="H689" s="165" t="s">
        <v>12</v>
      </c>
      <c r="I689" s="886"/>
      <c r="J689" s="886"/>
      <c r="K689" s="887"/>
      <c r="L689" s="887">
        <v>0</v>
      </c>
      <c r="M689" s="887">
        <v>0</v>
      </c>
      <c r="N689" s="887">
        <v>0</v>
      </c>
      <c r="O689" s="887"/>
      <c r="P689" s="887"/>
      <c r="Q689" s="1323"/>
      <c r="R689" s="1323"/>
      <c r="S689" s="1323"/>
      <c r="T689" s="1323"/>
      <c r="U689" s="1323"/>
      <c r="V689" s="1323"/>
      <c r="W689" s="1323"/>
      <c r="X689" s="1323"/>
      <c r="Y689" s="1323"/>
      <c r="Z689" s="1323"/>
    </row>
    <row r="690" spans="1:26" ht="18.75" hidden="1">
      <c r="A690" s="1319"/>
      <c r="B690" s="1324"/>
      <c r="C690" s="1320"/>
      <c r="D690" s="1321"/>
      <c r="E690" s="1320" t="s">
        <v>186</v>
      </c>
      <c r="F690" s="1320"/>
      <c r="G690" s="1322"/>
      <c r="H690" s="165" t="s">
        <v>12</v>
      </c>
      <c r="I690" s="886"/>
      <c r="J690" s="886"/>
      <c r="K690" s="887"/>
      <c r="L690" s="887">
        <f ca="1">IFERROR(__xludf.DUMMYFUNCTION("IMPORTRANGE(""https://docs.google.com/spreadsheets/d/1QqKyyYR6Q21VydFLVH3TRQUabQu_ym0Zz7PgGX0-kHA/edit?usp=sharing"",""แผน!HW86"")"),0)</f>
        <v>0</v>
      </c>
      <c r="M690" s="887">
        <v>0</v>
      </c>
      <c r="N690" s="887">
        <f>N691+N692+N693+N694</f>
        <v>0</v>
      </c>
      <c r="O690" s="887">
        <f ca="1">IF(L690&gt;0,N690*100/L690,0)</f>
        <v>0</v>
      </c>
      <c r="P690" s="887">
        <f>IF(M690&gt;0,N690*100/M690,0)</f>
        <v>0</v>
      </c>
      <c r="Q690" s="1323"/>
      <c r="R690" s="1323"/>
      <c r="S690" s="1323"/>
      <c r="T690" s="1323"/>
      <c r="U690" s="1323"/>
      <c r="V690" s="1323"/>
      <c r="W690" s="1323"/>
      <c r="X690" s="1323"/>
      <c r="Y690" s="1323"/>
      <c r="Z690" s="1323"/>
    </row>
    <row r="691" spans="1:26" ht="18.75" hidden="1">
      <c r="A691" s="1299"/>
      <c r="B691" s="1300"/>
      <c r="C691" s="1301"/>
      <c r="D691" s="1301"/>
      <c r="E691" s="1301"/>
      <c r="F691" s="1301" t="s">
        <v>187</v>
      </c>
      <c r="G691" s="1016"/>
      <c r="H691" s="161" t="s">
        <v>12</v>
      </c>
      <c r="I691" s="880"/>
      <c r="J691" s="880"/>
      <c r="K691" s="881"/>
      <c r="L691" s="881"/>
      <c r="M691" s="881"/>
      <c r="N691" s="1085">
        <v>0</v>
      </c>
      <c r="O691" s="881"/>
      <c r="P691" s="881"/>
      <c r="Q691" s="1302"/>
      <c r="R691" s="1302"/>
      <c r="S691" s="1302"/>
      <c r="T691" s="1302"/>
      <c r="U691" s="1302"/>
      <c r="V691" s="1302"/>
      <c r="W691" s="1302"/>
      <c r="X691" s="1302"/>
      <c r="Y691" s="1302"/>
      <c r="Z691" s="1302"/>
    </row>
    <row r="692" spans="1:26" ht="18.75" hidden="1">
      <c r="A692" s="1299"/>
      <c r="B692" s="1300"/>
      <c r="C692" s="1301"/>
      <c r="D692" s="1301"/>
      <c r="E692" s="1301"/>
      <c r="F692" s="1301" t="s">
        <v>188</v>
      </c>
      <c r="G692" s="1016"/>
      <c r="H692" s="161" t="s">
        <v>12</v>
      </c>
      <c r="I692" s="880"/>
      <c r="J692" s="880"/>
      <c r="K692" s="881"/>
      <c r="L692" s="881"/>
      <c r="M692" s="881"/>
      <c r="N692" s="1085">
        <v>0</v>
      </c>
      <c r="O692" s="881"/>
      <c r="P692" s="881"/>
      <c r="Q692" s="1302"/>
      <c r="R692" s="1302"/>
      <c r="S692" s="1302"/>
      <c r="T692" s="1302"/>
      <c r="U692" s="1302"/>
      <c r="V692" s="1302"/>
      <c r="W692" s="1302"/>
      <c r="X692" s="1302"/>
      <c r="Y692" s="1302"/>
      <c r="Z692" s="1302"/>
    </row>
    <row r="693" spans="1:26" ht="18.75" hidden="1">
      <c r="A693" s="1299"/>
      <c r="B693" s="1300"/>
      <c r="C693" s="1301"/>
      <c r="D693" s="1301"/>
      <c r="E693" s="1301"/>
      <c r="F693" s="1301" t="s">
        <v>189</v>
      </c>
      <c r="G693" s="1016"/>
      <c r="H693" s="161" t="s">
        <v>12</v>
      </c>
      <c r="I693" s="880"/>
      <c r="J693" s="880"/>
      <c r="K693" s="881"/>
      <c r="L693" s="881"/>
      <c r="M693" s="881"/>
      <c r="N693" s="1085">
        <v>0</v>
      </c>
      <c r="O693" s="881"/>
      <c r="P693" s="881"/>
      <c r="Q693" s="1302"/>
      <c r="R693" s="1302"/>
      <c r="S693" s="1302"/>
      <c r="T693" s="1302"/>
      <c r="U693" s="1302"/>
      <c r="V693" s="1302"/>
      <c r="W693" s="1302"/>
      <c r="X693" s="1302"/>
      <c r="Y693" s="1302"/>
      <c r="Z693" s="1302"/>
    </row>
    <row r="694" spans="1:26" ht="18.75" hidden="1">
      <c r="A694" s="1299"/>
      <c r="B694" s="1300"/>
      <c r="C694" s="1301"/>
      <c r="D694" s="1301"/>
      <c r="E694" s="1301"/>
      <c r="F694" s="1301" t="s">
        <v>190</v>
      </c>
      <c r="G694" s="1016"/>
      <c r="H694" s="161" t="s">
        <v>12</v>
      </c>
      <c r="I694" s="880"/>
      <c r="J694" s="880"/>
      <c r="K694" s="881"/>
      <c r="L694" s="881"/>
      <c r="M694" s="881"/>
      <c r="N694" s="1085">
        <v>0</v>
      </c>
      <c r="O694" s="881"/>
      <c r="P694" s="881"/>
      <c r="Q694" s="1302"/>
      <c r="R694" s="1302"/>
      <c r="S694" s="1302"/>
      <c r="T694" s="1302"/>
      <c r="U694" s="1302"/>
      <c r="V694" s="1302"/>
      <c r="W694" s="1302"/>
      <c r="X694" s="1302"/>
      <c r="Y694" s="1302"/>
      <c r="Z694" s="1302"/>
    </row>
    <row r="695" spans="1:26" ht="18.75" hidden="1">
      <c r="A695" s="1317"/>
      <c r="B695" s="1300"/>
      <c r="C695" s="1301"/>
      <c r="D695" s="1325" t="s">
        <v>21</v>
      </c>
      <c r="E695" s="1301"/>
      <c r="F695" s="1301"/>
      <c r="G695" s="1016"/>
      <c r="H695" s="168" t="s">
        <v>12</v>
      </c>
      <c r="I695" s="997"/>
      <c r="J695" s="997"/>
      <c r="K695" s="998"/>
      <c r="L695" s="881">
        <f t="shared" ref="L695:N695" si="287">L696+L697</f>
        <v>0</v>
      </c>
      <c r="M695" s="881">
        <f t="shared" si="287"/>
        <v>0</v>
      </c>
      <c r="N695" s="881">
        <f t="shared" si="287"/>
        <v>0</v>
      </c>
      <c r="O695" s="881">
        <f t="shared" ref="O695:O697" si="288">IF(L695&gt;0,N695*100/L695,0)</f>
        <v>0</v>
      </c>
      <c r="P695" s="881">
        <f t="shared" ref="P695:P697" si="289">IF(M695&gt;0,N695*100/M695,0)</f>
        <v>0</v>
      </c>
      <c r="Q695" s="1302"/>
      <c r="R695" s="1302"/>
      <c r="S695" s="1302"/>
      <c r="T695" s="1302"/>
      <c r="U695" s="1302"/>
      <c r="V695" s="1302"/>
      <c r="W695" s="1302"/>
      <c r="X695" s="1302"/>
      <c r="Y695" s="1302"/>
      <c r="Z695" s="1302"/>
    </row>
    <row r="696" spans="1:26" ht="18.75" hidden="1">
      <c r="A696" s="1319"/>
      <c r="B696" s="1324"/>
      <c r="C696" s="1320"/>
      <c r="D696" s="1320"/>
      <c r="E696" s="1320" t="s">
        <v>18</v>
      </c>
      <c r="F696" s="1320"/>
      <c r="G696" s="1322"/>
      <c r="H696" s="165" t="s">
        <v>12</v>
      </c>
      <c r="I696" s="1000"/>
      <c r="J696" s="1000"/>
      <c r="K696" s="1001"/>
      <c r="L696" s="887">
        <v>0</v>
      </c>
      <c r="M696" s="887">
        <v>0</v>
      </c>
      <c r="N696" s="887">
        <v>0</v>
      </c>
      <c r="O696" s="887">
        <f t="shared" si="288"/>
        <v>0</v>
      </c>
      <c r="P696" s="887">
        <f t="shared" si="289"/>
        <v>0</v>
      </c>
      <c r="Q696" s="1323"/>
      <c r="R696" s="1323"/>
      <c r="S696" s="1323"/>
      <c r="T696" s="1323"/>
      <c r="U696" s="1323"/>
      <c r="V696" s="1323"/>
      <c r="W696" s="1323"/>
      <c r="X696" s="1323"/>
      <c r="Y696" s="1323"/>
      <c r="Z696" s="1323"/>
    </row>
    <row r="697" spans="1:26" ht="18.75" hidden="1">
      <c r="A697" s="1319"/>
      <c r="B697" s="1324"/>
      <c r="C697" s="1320"/>
      <c r="D697" s="1320"/>
      <c r="E697" s="1320" t="s">
        <v>19</v>
      </c>
      <c r="F697" s="1320"/>
      <c r="G697" s="1322"/>
      <c r="H697" s="169" t="s">
        <v>12</v>
      </c>
      <c r="I697" s="1000"/>
      <c r="J697" s="1000"/>
      <c r="K697" s="1001"/>
      <c r="L697" s="887">
        <v>0</v>
      </c>
      <c r="M697" s="887">
        <v>0</v>
      </c>
      <c r="N697" s="887">
        <v>0</v>
      </c>
      <c r="O697" s="887">
        <f t="shared" si="288"/>
        <v>0</v>
      </c>
      <c r="P697" s="887">
        <f t="shared" si="289"/>
        <v>0</v>
      </c>
      <c r="Q697" s="1323"/>
      <c r="R697" s="1323"/>
      <c r="S697" s="1323"/>
      <c r="T697" s="1323"/>
      <c r="U697" s="1323"/>
      <c r="V697" s="1323"/>
      <c r="W697" s="1323"/>
      <c r="X697" s="1323"/>
      <c r="Y697" s="1323"/>
      <c r="Z697" s="1323"/>
    </row>
    <row r="698" spans="1:26" ht="19.5" hidden="1">
      <c r="A698" s="1326"/>
      <c r="B698" s="1327"/>
      <c r="C698" s="1301" t="s">
        <v>16</v>
      </c>
      <c r="D698" s="1439" t="s">
        <v>38</v>
      </c>
      <c r="E698" s="1330"/>
      <c r="F698" s="1330"/>
      <c r="G698" s="1331"/>
      <c r="H698" s="1007"/>
      <c r="I698" s="997"/>
      <c r="J698" s="997"/>
      <c r="K698" s="998"/>
      <c r="L698" s="998"/>
      <c r="M698" s="998"/>
      <c r="N698" s="998"/>
      <c r="O698" s="998"/>
      <c r="P698" s="998"/>
      <c r="Q698" s="1302"/>
      <c r="R698" s="1302"/>
      <c r="S698" s="1302"/>
      <c r="T698" s="1302"/>
      <c r="U698" s="1302"/>
      <c r="V698" s="1302"/>
      <c r="W698" s="1302"/>
      <c r="X698" s="1302"/>
      <c r="Y698" s="1302"/>
      <c r="Z698" s="1302"/>
    </row>
    <row r="699" spans="1:26" ht="18.75" hidden="1">
      <c r="A699" s="1429"/>
      <c r="B699" s="1301"/>
      <c r="C699" s="1301"/>
      <c r="D699" s="1301" t="s">
        <v>295</v>
      </c>
      <c r="E699" s="1301"/>
      <c r="F699" s="1301"/>
      <c r="G699" s="1016"/>
      <c r="H699" s="762" t="s">
        <v>46</v>
      </c>
      <c r="I699" s="1440">
        <f ca="1">IFERROR(__xludf.DUMMYFUNCTION("IMPORTRANGE(""https://docs.google.com/spreadsheets/d/1QqKyyYR6Q21VydFLVH3TRQUabQu_ym0Zz7PgGX0-kHA/edit?usp=sharing"",""แผน!IC86"")"),0)</f>
        <v>0</v>
      </c>
      <c r="J699" s="880">
        <f ca="1">IFERROR(__xludf.DUMMYFUNCTION("IMPORTRANGE(""https://docs.google.com/spreadsheets/d/1XWAQStnk-4SwqDmLtmXYiTMKHgktTP8We1SCoS47DrQ/edit?usp=sharing"",""จัดที่ดิน!BB86"")"),0)</f>
        <v>0</v>
      </c>
      <c r="K699" s="881">
        <f t="shared" ref="K699:K701" ca="1" si="290">IF(I699&gt;0,J699*100/I699,0)</f>
        <v>0</v>
      </c>
      <c r="L699" s="881"/>
      <c r="M699" s="1016"/>
      <c r="N699" s="1441"/>
      <c r="O699" s="881"/>
      <c r="P699" s="881"/>
      <c r="Q699" s="1302"/>
      <c r="R699" s="1302"/>
      <c r="S699" s="1302"/>
      <c r="T699" s="1302"/>
      <c r="U699" s="1302"/>
      <c r="V699" s="1302"/>
      <c r="W699" s="1302"/>
      <c r="X699" s="1302"/>
      <c r="Y699" s="1302"/>
      <c r="Z699" s="1302"/>
    </row>
    <row r="700" spans="1:26" ht="18.75" hidden="1">
      <c r="A700" s="1429"/>
      <c r="B700" s="1301"/>
      <c r="C700" s="1301"/>
      <c r="D700" s="1301" t="s">
        <v>296</v>
      </c>
      <c r="E700" s="1301"/>
      <c r="F700" s="1301"/>
      <c r="G700" s="1016"/>
      <c r="H700" s="762" t="s">
        <v>35</v>
      </c>
      <c r="I700" s="1440">
        <f ca="1">IFERROR(__xludf.DUMMYFUNCTION("IMPORTRANGE(""https://docs.google.com/spreadsheets/d/1QqKyyYR6Q21VydFLVH3TRQUabQu_ym0Zz7PgGX0-kHA/edit?usp=sharing"",""แผน!ID86"")"),0)</f>
        <v>0</v>
      </c>
      <c r="J700" s="880">
        <f ca="1">IFERROR(__xludf.DUMMYFUNCTION("IMPORTRANGE(""https://docs.google.com/spreadsheets/d/1XWAQStnk-4SwqDmLtmXYiTMKHgktTP8We1SCoS47DrQ/edit?usp=sharing"",""จัดที่ดิน!BD86"")"),0)</f>
        <v>0</v>
      </c>
      <c r="K700" s="881">
        <f t="shared" ca="1" si="290"/>
        <v>0</v>
      </c>
      <c r="L700" s="881"/>
      <c r="M700" s="1016"/>
      <c r="N700" s="1441"/>
      <c r="O700" s="881"/>
      <c r="P700" s="881"/>
      <c r="Q700" s="1302"/>
      <c r="R700" s="1302"/>
      <c r="S700" s="1302"/>
      <c r="T700" s="1302"/>
      <c r="U700" s="1302"/>
      <c r="V700" s="1302"/>
      <c r="W700" s="1302"/>
      <c r="X700" s="1302"/>
      <c r="Y700" s="1302"/>
      <c r="Z700" s="1302"/>
    </row>
    <row r="701" spans="1:26" ht="19.5" hidden="1">
      <c r="A701" s="1429"/>
      <c r="B701" s="1301"/>
      <c r="C701" s="1301"/>
      <c r="D701" s="1301" t="s">
        <v>297</v>
      </c>
      <c r="E701" s="1301"/>
      <c r="F701" s="1301"/>
      <c r="G701" s="1016"/>
      <c r="H701" s="765" t="s">
        <v>46</v>
      </c>
      <c r="I701" s="1442">
        <f ca="1">IFERROR(__xludf.DUMMYFUNCTION("IMPORTRANGE(""https://docs.google.com/spreadsheets/d/1QqKyyYR6Q21VydFLVH3TRQUabQu_ym0Zz7PgGX0-kHA/edit?usp=sharing"",""แผน!IE86"")"),0)</f>
        <v>0</v>
      </c>
      <c r="J701" s="1019">
        <f>J704+J707</f>
        <v>0</v>
      </c>
      <c r="K701" s="1020">
        <f t="shared" ca="1" si="290"/>
        <v>0</v>
      </c>
      <c r="L701" s="881"/>
      <c r="M701" s="1016"/>
      <c r="N701" s="1441"/>
      <c r="O701" s="881"/>
      <c r="P701" s="881"/>
      <c r="Q701" s="1302"/>
      <c r="R701" s="1302"/>
      <c r="S701" s="1302"/>
      <c r="T701" s="1302"/>
      <c r="U701" s="1302"/>
      <c r="V701" s="1302"/>
      <c r="W701" s="1302"/>
      <c r="X701" s="1302"/>
      <c r="Y701" s="1302"/>
      <c r="Z701" s="1302"/>
    </row>
    <row r="702" spans="1:26" ht="18.75" hidden="1">
      <c r="A702" s="1429"/>
      <c r="B702" s="1301"/>
      <c r="C702" s="1301"/>
      <c r="D702" s="1301"/>
      <c r="E702" s="1301" t="s">
        <v>298</v>
      </c>
      <c r="F702" s="1301"/>
      <c r="G702" s="1016"/>
      <c r="H702" s="762" t="s">
        <v>35</v>
      </c>
      <c r="I702" s="1440"/>
      <c r="J702" s="1012">
        <v>0</v>
      </c>
      <c r="K702" s="881"/>
      <c r="L702" s="881"/>
      <c r="M702" s="1016"/>
      <c r="N702" s="1441"/>
      <c r="O702" s="881"/>
      <c r="P702" s="881"/>
      <c r="Q702" s="1302"/>
      <c r="R702" s="1302"/>
      <c r="S702" s="1302"/>
      <c r="T702" s="1302"/>
      <c r="U702" s="1302"/>
      <c r="V702" s="1302"/>
      <c r="W702" s="1302"/>
      <c r="X702" s="1302"/>
      <c r="Y702" s="1302"/>
      <c r="Z702" s="1302"/>
    </row>
    <row r="703" spans="1:26" ht="18.75" hidden="1">
      <c r="A703" s="1429"/>
      <c r="B703" s="1301"/>
      <c r="C703" s="1301"/>
      <c r="D703" s="1301"/>
      <c r="E703" s="1301"/>
      <c r="F703" s="1301"/>
      <c r="G703" s="1016"/>
      <c r="H703" s="762" t="s">
        <v>34</v>
      </c>
      <c r="I703" s="1440"/>
      <c r="J703" s="1012">
        <v>0</v>
      </c>
      <c r="K703" s="881"/>
      <c r="L703" s="881"/>
      <c r="M703" s="1016"/>
      <c r="N703" s="1441"/>
      <c r="O703" s="881"/>
      <c r="P703" s="881"/>
      <c r="Q703" s="1302"/>
      <c r="R703" s="1302"/>
      <c r="S703" s="1302"/>
      <c r="T703" s="1302"/>
      <c r="U703" s="1302"/>
      <c r="V703" s="1302"/>
      <c r="W703" s="1302"/>
      <c r="X703" s="1302"/>
      <c r="Y703" s="1302"/>
      <c r="Z703" s="1302"/>
    </row>
    <row r="704" spans="1:26" ht="18.75" hidden="1">
      <c r="A704" s="1429"/>
      <c r="B704" s="1301"/>
      <c r="C704" s="1301"/>
      <c r="D704" s="1301"/>
      <c r="E704" s="1301"/>
      <c r="F704" s="1301"/>
      <c r="G704" s="1016"/>
      <c r="H704" s="762" t="s">
        <v>46</v>
      </c>
      <c r="I704" s="1440">
        <f ca="1">IFERROR(__xludf.DUMMYFUNCTION("IMPORTRANGE(""https://docs.google.com/spreadsheets/d/1QqKyyYR6Q21VydFLVH3TRQUabQu_ym0Zz7PgGX0-kHA/edit?usp=sharing"",""แผน!IF86"")"),0)</f>
        <v>0</v>
      </c>
      <c r="J704" s="1012">
        <v>0</v>
      </c>
      <c r="K704" s="881"/>
      <c r="L704" s="881"/>
      <c r="M704" s="1016"/>
      <c r="N704" s="1441"/>
      <c r="O704" s="881"/>
      <c r="P704" s="881"/>
      <c r="Q704" s="1302"/>
      <c r="R704" s="1302"/>
      <c r="S704" s="1302"/>
      <c r="T704" s="1302"/>
      <c r="U704" s="1302"/>
      <c r="V704" s="1302"/>
      <c r="W704" s="1302"/>
      <c r="X704" s="1302"/>
      <c r="Y704" s="1302"/>
      <c r="Z704" s="1302"/>
    </row>
    <row r="705" spans="1:26" ht="18.75" hidden="1">
      <c r="A705" s="1429"/>
      <c r="B705" s="1301"/>
      <c r="C705" s="1301"/>
      <c r="D705" s="1301"/>
      <c r="E705" s="1301" t="s">
        <v>299</v>
      </c>
      <c r="F705" s="1301"/>
      <c r="G705" s="1016"/>
      <c r="H705" s="762" t="s">
        <v>35</v>
      </c>
      <c r="I705" s="1440"/>
      <c r="J705" s="1012">
        <v>0</v>
      </c>
      <c r="K705" s="881"/>
      <c r="L705" s="881"/>
      <c r="M705" s="1016"/>
      <c r="N705" s="1441"/>
      <c r="O705" s="881"/>
      <c r="P705" s="881"/>
      <c r="Q705" s="1302"/>
      <c r="R705" s="1302"/>
      <c r="S705" s="1302"/>
      <c r="T705" s="1302"/>
      <c r="U705" s="1302"/>
      <c r="V705" s="1302"/>
      <c r="W705" s="1302"/>
      <c r="X705" s="1302"/>
      <c r="Y705" s="1302"/>
      <c r="Z705" s="1302"/>
    </row>
    <row r="706" spans="1:26" ht="18.75" hidden="1">
      <c r="A706" s="1429"/>
      <c r="B706" s="1301"/>
      <c r="C706" s="1301"/>
      <c r="D706" s="1301"/>
      <c r="E706" s="1301"/>
      <c r="F706" s="1301"/>
      <c r="G706" s="1016"/>
      <c r="H706" s="762" t="s">
        <v>34</v>
      </c>
      <c r="I706" s="1440"/>
      <c r="J706" s="1012">
        <v>0</v>
      </c>
      <c r="K706" s="881"/>
      <c r="L706" s="881"/>
      <c r="M706" s="1016"/>
      <c r="N706" s="1441"/>
      <c r="O706" s="881"/>
      <c r="P706" s="881"/>
      <c r="Q706" s="1302"/>
      <c r="R706" s="1302"/>
      <c r="S706" s="1302"/>
      <c r="T706" s="1302"/>
      <c r="U706" s="1302"/>
      <c r="V706" s="1302"/>
      <c r="W706" s="1302"/>
      <c r="X706" s="1302"/>
      <c r="Y706" s="1302"/>
      <c r="Z706" s="1302"/>
    </row>
    <row r="707" spans="1:26" ht="18.75" hidden="1">
      <c r="A707" s="1429"/>
      <c r="B707" s="1301"/>
      <c r="C707" s="1301"/>
      <c r="D707" s="1301"/>
      <c r="E707" s="1301"/>
      <c r="F707" s="1301"/>
      <c r="G707" s="1016"/>
      <c r="H707" s="762" t="s">
        <v>46</v>
      </c>
      <c r="I707" s="1440">
        <f ca="1">IFERROR(__xludf.DUMMYFUNCTION("IMPORTRANGE(""https://docs.google.com/spreadsheets/d/1QqKyyYR6Q21VydFLVH3TRQUabQu_ym0Zz7PgGX0-kHA/edit?usp=sharing"",""แผน!IG86"")"),0)</f>
        <v>0</v>
      </c>
      <c r="J707" s="1012">
        <v>0</v>
      </c>
      <c r="K707" s="881"/>
      <c r="L707" s="881"/>
      <c r="M707" s="1016"/>
      <c r="N707" s="1441"/>
      <c r="O707" s="881"/>
      <c r="P707" s="881"/>
      <c r="Q707" s="1302"/>
      <c r="R707" s="1302"/>
      <c r="S707" s="1302"/>
      <c r="T707" s="1302"/>
      <c r="U707" s="1302"/>
      <c r="V707" s="1302"/>
      <c r="W707" s="1302"/>
      <c r="X707" s="1302"/>
      <c r="Y707" s="1302"/>
      <c r="Z707" s="1302"/>
    </row>
    <row r="708" spans="1:26" ht="19.5" hidden="1">
      <c r="A708" s="1429"/>
      <c r="B708" s="1301"/>
      <c r="C708" s="1301"/>
      <c r="D708" s="1382" t="s">
        <v>300</v>
      </c>
      <c r="E708" s="1301"/>
      <c r="F708" s="1301"/>
      <c r="G708" s="1016"/>
      <c r="H708" s="765" t="s">
        <v>46</v>
      </c>
      <c r="I708" s="1442">
        <f ca="1">IFERROR(__xludf.DUMMYFUNCTION("IMPORTRANGE(""https://docs.google.com/spreadsheets/d/1QqKyyYR6Q21VydFLVH3TRQUabQu_ym0Zz7PgGX0-kHA/edit?usp=sharing"",""แผน!IH86"")"),0)</f>
        <v>0</v>
      </c>
      <c r="J708" s="1019">
        <f>J714+J717</f>
        <v>0</v>
      </c>
      <c r="K708" s="1020">
        <f ca="1">IF(I708&gt;0,J708*100/I708,0)</f>
        <v>0</v>
      </c>
      <c r="L708" s="881"/>
      <c r="M708" s="1016"/>
      <c r="N708" s="1441"/>
      <c r="O708" s="881"/>
      <c r="P708" s="881"/>
      <c r="Q708" s="1302"/>
      <c r="R708" s="1302"/>
      <c r="S708" s="1302"/>
      <c r="T708" s="1302"/>
      <c r="U708" s="1302"/>
      <c r="V708" s="1302"/>
      <c r="W708" s="1302"/>
      <c r="X708" s="1302"/>
      <c r="Y708" s="1302"/>
      <c r="Z708" s="1302"/>
    </row>
    <row r="709" spans="1:26" ht="18.75" hidden="1">
      <c r="A709" s="1429"/>
      <c r="B709" s="1301"/>
      <c r="C709" s="1301"/>
      <c r="D709" s="1301"/>
      <c r="E709" s="1301" t="s">
        <v>301</v>
      </c>
      <c r="F709" s="1301"/>
      <c r="G709" s="1016"/>
      <c r="H709" s="762" t="s">
        <v>34</v>
      </c>
      <c r="I709" s="1440"/>
      <c r="J709" s="1012">
        <v>0</v>
      </c>
      <c r="K709" s="881"/>
      <c r="L709" s="1441"/>
      <c r="M709" s="1016"/>
      <c r="N709" s="1441"/>
      <c r="O709" s="881"/>
      <c r="P709" s="881"/>
      <c r="Q709" s="1302"/>
      <c r="R709" s="1302"/>
      <c r="S709" s="1302"/>
      <c r="T709" s="1302"/>
      <c r="U709" s="1302"/>
      <c r="V709" s="1302"/>
      <c r="W709" s="1302"/>
      <c r="X709" s="1302"/>
      <c r="Y709" s="1302"/>
      <c r="Z709" s="1302"/>
    </row>
    <row r="710" spans="1:26" ht="18.75" hidden="1">
      <c r="A710" s="1429"/>
      <c r="B710" s="1301"/>
      <c r="C710" s="1301"/>
      <c r="D710" s="1301"/>
      <c r="E710" s="1301"/>
      <c r="F710" s="1301"/>
      <c r="G710" s="1016"/>
      <c r="H710" s="762" t="s">
        <v>46</v>
      </c>
      <c r="I710" s="1440"/>
      <c r="J710" s="1012">
        <v>0</v>
      </c>
      <c r="K710" s="881"/>
      <c r="L710" s="1441"/>
      <c r="M710" s="1016"/>
      <c r="N710" s="1441"/>
      <c r="O710" s="881"/>
      <c r="P710" s="881"/>
      <c r="Q710" s="1302"/>
      <c r="R710" s="1302"/>
      <c r="S710" s="1302"/>
      <c r="T710" s="1302"/>
      <c r="U710" s="1302"/>
      <c r="V710" s="1302"/>
      <c r="W710" s="1302"/>
      <c r="X710" s="1302"/>
      <c r="Y710" s="1302"/>
      <c r="Z710" s="1302"/>
    </row>
    <row r="711" spans="1:26" ht="18.75" hidden="1">
      <c r="A711" s="1429"/>
      <c r="B711" s="1301"/>
      <c r="C711" s="1301"/>
      <c r="D711" s="1301"/>
      <c r="E711" s="1301" t="s">
        <v>302</v>
      </c>
      <c r="F711" s="1301"/>
      <c r="G711" s="1016"/>
      <c r="H711" s="1007"/>
      <c r="I711" s="1440"/>
      <c r="J711" s="880"/>
      <c r="K711" s="881"/>
      <c r="L711" s="1441"/>
      <c r="M711" s="1016"/>
      <c r="N711" s="1441"/>
      <c r="O711" s="881"/>
      <c r="P711" s="881"/>
      <c r="Q711" s="1302"/>
      <c r="R711" s="1302"/>
      <c r="S711" s="1302"/>
      <c r="T711" s="1302"/>
      <c r="U711" s="1302"/>
      <c r="V711" s="1302"/>
      <c r="W711" s="1302"/>
      <c r="X711" s="1302"/>
      <c r="Y711" s="1302"/>
      <c r="Z711" s="1302"/>
    </row>
    <row r="712" spans="1:26" ht="18.75" hidden="1">
      <c r="A712" s="1429"/>
      <c r="B712" s="1301"/>
      <c r="C712" s="1301"/>
      <c r="D712" s="1301"/>
      <c r="E712" s="1301"/>
      <c r="F712" s="1301" t="s">
        <v>303</v>
      </c>
      <c r="G712" s="1016"/>
      <c r="H712" s="762" t="s">
        <v>35</v>
      </c>
      <c r="I712" s="1440"/>
      <c r="J712" s="1012">
        <v>0</v>
      </c>
      <c r="K712" s="881"/>
      <c r="L712" s="1441"/>
      <c r="M712" s="1016"/>
      <c r="N712" s="1441"/>
      <c r="O712" s="881"/>
      <c r="P712" s="881"/>
      <c r="Q712" s="1302"/>
      <c r="R712" s="1302"/>
      <c r="S712" s="1302"/>
      <c r="T712" s="1302"/>
      <c r="U712" s="1302"/>
      <c r="V712" s="1302"/>
      <c r="W712" s="1302"/>
      <c r="X712" s="1302"/>
      <c r="Y712" s="1302"/>
      <c r="Z712" s="1302"/>
    </row>
    <row r="713" spans="1:26" ht="18.75" hidden="1">
      <c r="A713" s="1429"/>
      <c r="B713" s="1301"/>
      <c r="C713" s="1301"/>
      <c r="D713" s="1301"/>
      <c r="E713" s="1301"/>
      <c r="F713" s="1301"/>
      <c r="G713" s="1016"/>
      <c r="H713" s="762" t="s">
        <v>34</v>
      </c>
      <c r="I713" s="1440"/>
      <c r="J713" s="1012">
        <v>0</v>
      </c>
      <c r="K713" s="881"/>
      <c r="L713" s="1441"/>
      <c r="M713" s="1016"/>
      <c r="N713" s="1441"/>
      <c r="O713" s="881"/>
      <c r="P713" s="881"/>
      <c r="Q713" s="1302"/>
      <c r="R713" s="1302"/>
      <c r="S713" s="1302"/>
      <c r="T713" s="1302"/>
      <c r="U713" s="1302"/>
      <c r="V713" s="1302"/>
      <c r="W713" s="1302"/>
      <c r="X713" s="1302"/>
      <c r="Y713" s="1302"/>
      <c r="Z713" s="1302"/>
    </row>
    <row r="714" spans="1:26" ht="18.75" hidden="1">
      <c r="A714" s="1429"/>
      <c r="B714" s="1301"/>
      <c r="C714" s="1301"/>
      <c r="D714" s="1301"/>
      <c r="E714" s="1301"/>
      <c r="F714" s="1301"/>
      <c r="G714" s="1016"/>
      <c r="H714" s="762" t="s">
        <v>46</v>
      </c>
      <c r="I714" s="1440"/>
      <c r="J714" s="1012">
        <v>0</v>
      </c>
      <c r="K714" s="881"/>
      <c r="L714" s="1441"/>
      <c r="M714" s="1016"/>
      <c r="N714" s="1441"/>
      <c r="O714" s="881"/>
      <c r="P714" s="881"/>
      <c r="Q714" s="1302"/>
      <c r="R714" s="1302"/>
      <c r="S714" s="1302"/>
      <c r="T714" s="1302"/>
      <c r="U714" s="1302"/>
      <c r="V714" s="1302"/>
      <c r="W714" s="1302"/>
      <c r="X714" s="1302"/>
      <c r="Y714" s="1302"/>
      <c r="Z714" s="1302"/>
    </row>
    <row r="715" spans="1:26" ht="18.75" hidden="1">
      <c r="A715" s="1429"/>
      <c r="B715" s="1301"/>
      <c r="C715" s="1301"/>
      <c r="D715" s="1301"/>
      <c r="E715" s="1301"/>
      <c r="F715" s="1301" t="s">
        <v>304</v>
      </c>
      <c r="G715" s="1016"/>
      <c r="H715" s="762" t="s">
        <v>35</v>
      </c>
      <c r="I715" s="1440"/>
      <c r="J715" s="1012">
        <v>0</v>
      </c>
      <c r="K715" s="881"/>
      <c r="L715" s="1441"/>
      <c r="M715" s="1016"/>
      <c r="N715" s="1441"/>
      <c r="O715" s="881"/>
      <c r="P715" s="881"/>
      <c r="Q715" s="1302"/>
      <c r="R715" s="1302"/>
      <c r="S715" s="1302"/>
      <c r="T715" s="1302"/>
      <c r="U715" s="1302"/>
      <c r="V715" s="1302"/>
      <c r="W715" s="1302"/>
      <c r="X715" s="1302"/>
      <c r="Y715" s="1302"/>
      <c r="Z715" s="1302"/>
    </row>
    <row r="716" spans="1:26" ht="18.75" hidden="1">
      <c r="A716" s="1429"/>
      <c r="B716" s="1301"/>
      <c r="C716" s="1301"/>
      <c r="D716" s="1301"/>
      <c r="E716" s="1301"/>
      <c r="F716" s="1301"/>
      <c r="G716" s="1016"/>
      <c r="H716" s="762" t="s">
        <v>34</v>
      </c>
      <c r="I716" s="1440"/>
      <c r="J716" s="1012">
        <v>0</v>
      </c>
      <c r="K716" s="881"/>
      <c r="L716" s="1441"/>
      <c r="M716" s="1016"/>
      <c r="N716" s="1441"/>
      <c r="O716" s="881"/>
      <c r="P716" s="881"/>
      <c r="Q716" s="1302"/>
      <c r="R716" s="1302"/>
      <c r="S716" s="1302"/>
      <c r="T716" s="1302"/>
      <c r="U716" s="1302"/>
      <c r="V716" s="1302"/>
      <c r="W716" s="1302"/>
      <c r="X716" s="1302"/>
      <c r="Y716" s="1302"/>
      <c r="Z716" s="1302"/>
    </row>
    <row r="717" spans="1:26" ht="18.75" hidden="1">
      <c r="A717" s="1429"/>
      <c r="B717" s="1301"/>
      <c r="C717" s="1301"/>
      <c r="D717" s="1301"/>
      <c r="E717" s="1301"/>
      <c r="F717" s="1301"/>
      <c r="G717" s="1016"/>
      <c r="H717" s="762" t="s">
        <v>46</v>
      </c>
      <c r="I717" s="1440"/>
      <c r="J717" s="1012">
        <v>0</v>
      </c>
      <c r="K717" s="881"/>
      <c r="L717" s="1441"/>
      <c r="M717" s="1016"/>
      <c r="N717" s="1441"/>
      <c r="O717" s="881"/>
      <c r="P717" s="881"/>
      <c r="Q717" s="1302"/>
      <c r="R717" s="1302"/>
      <c r="S717" s="1302"/>
      <c r="T717" s="1302"/>
      <c r="U717" s="1302"/>
      <c r="V717" s="1302"/>
      <c r="W717" s="1302"/>
      <c r="X717" s="1302"/>
      <c r="Y717" s="1302"/>
      <c r="Z717" s="1302"/>
    </row>
    <row r="718" spans="1:26" ht="18.75" hidden="1">
      <c r="A718" s="1429"/>
      <c r="B718" s="1301"/>
      <c r="C718" s="1301"/>
      <c r="D718" s="1301" t="s">
        <v>305</v>
      </c>
      <c r="E718" s="1301"/>
      <c r="F718" s="1301"/>
      <c r="G718" s="1016"/>
      <c r="H718" s="762" t="s">
        <v>35</v>
      </c>
      <c r="I718" s="1440"/>
      <c r="J718" s="880">
        <f ca="1">IFERROR(__xludf.DUMMYFUNCTION("IMPORTRANGE(""https://docs.google.com/spreadsheets/d/1XWAQStnk-4SwqDmLtmXYiTMKHgktTP8We1SCoS47DrQ/edit?usp=sharing"",""จัดที่ดิน!BF86"")"),0)</f>
        <v>0</v>
      </c>
      <c r="K718" s="881"/>
      <c r="L718" s="881"/>
      <c r="M718" s="1016"/>
      <c r="N718" s="1441"/>
      <c r="O718" s="881"/>
      <c r="P718" s="881"/>
      <c r="Q718" s="1302"/>
      <c r="R718" s="1302"/>
      <c r="S718" s="1302"/>
      <c r="T718" s="1302"/>
      <c r="U718" s="1302"/>
      <c r="V718" s="1302"/>
      <c r="W718" s="1302"/>
      <c r="X718" s="1302"/>
      <c r="Y718" s="1302"/>
      <c r="Z718" s="1302"/>
    </row>
    <row r="719" spans="1:26" ht="18.75" hidden="1">
      <c r="A719" s="1429"/>
      <c r="B719" s="1301"/>
      <c r="C719" s="1301"/>
      <c r="D719" s="1301"/>
      <c r="E719" s="1301"/>
      <c r="F719" s="1301"/>
      <c r="G719" s="1016"/>
      <c r="H719" s="762" t="s">
        <v>34</v>
      </c>
      <c r="I719" s="1440"/>
      <c r="J719" s="880">
        <f ca="1">IFERROR(__xludf.DUMMYFUNCTION("IMPORTRANGE(""https://docs.google.com/spreadsheets/d/1XWAQStnk-4SwqDmLtmXYiTMKHgktTP8We1SCoS47DrQ/edit?usp=sharing"",""จัดที่ดิน!BG86"")"),0)</f>
        <v>0</v>
      </c>
      <c r="K719" s="881"/>
      <c r="L719" s="1441"/>
      <c r="M719" s="1016"/>
      <c r="N719" s="1441"/>
      <c r="O719" s="881"/>
      <c r="P719" s="881"/>
      <c r="Q719" s="1302"/>
      <c r="R719" s="1302"/>
      <c r="S719" s="1302"/>
      <c r="T719" s="1302"/>
      <c r="U719" s="1302"/>
      <c r="V719" s="1302"/>
      <c r="W719" s="1302"/>
      <c r="X719" s="1302"/>
      <c r="Y719" s="1302"/>
      <c r="Z719" s="1302"/>
    </row>
    <row r="720" spans="1:26" ht="18.75" hidden="1">
      <c r="A720" s="1429"/>
      <c r="B720" s="1301"/>
      <c r="C720" s="1301"/>
      <c r="D720" s="1301"/>
      <c r="E720" s="1301"/>
      <c r="F720" s="1301"/>
      <c r="G720" s="1016"/>
      <c r="H720" s="762" t="s">
        <v>46</v>
      </c>
      <c r="I720" s="1440">
        <f ca="1">IFERROR(__xludf.DUMMYFUNCTION("IMPORTRANGE(""https://docs.google.com/spreadsheets/d/1QqKyyYR6Q21VydFLVH3TRQUabQu_ym0Zz7PgGX0-kHA/edit?usp=sharing"",""แผน!II86"")"),0)</f>
        <v>0</v>
      </c>
      <c r="J720" s="880">
        <f ca="1">IFERROR(__xludf.DUMMYFUNCTION("IMPORTRANGE(""https://docs.google.com/spreadsheets/d/1XWAQStnk-4SwqDmLtmXYiTMKHgktTP8We1SCoS47DrQ/edit?usp=sharing"",""จัดที่ดิน!BH86"")"),0)</f>
        <v>0</v>
      </c>
      <c r="K720" s="881">
        <f t="shared" ref="K720:K723" ca="1" si="291">IF(I720&gt;0,J720*100/I720,0)</f>
        <v>0</v>
      </c>
      <c r="L720" s="1441"/>
      <c r="M720" s="1016"/>
      <c r="N720" s="1441"/>
      <c r="O720" s="881"/>
      <c r="P720" s="881"/>
      <c r="Q720" s="1302"/>
      <c r="R720" s="1302"/>
      <c r="S720" s="1302"/>
      <c r="T720" s="1302"/>
      <c r="U720" s="1302"/>
      <c r="V720" s="1302"/>
      <c r="W720" s="1302"/>
      <c r="X720" s="1302"/>
      <c r="Y720" s="1302"/>
      <c r="Z720" s="1302"/>
    </row>
    <row r="721" spans="1:26" ht="19.5" hidden="1">
      <c r="A721" s="1429"/>
      <c r="B721" s="1301"/>
      <c r="C721" s="1301"/>
      <c r="D721" s="1301" t="s">
        <v>306</v>
      </c>
      <c r="E721" s="1301"/>
      <c r="F721" s="1301"/>
      <c r="G721" s="1016"/>
      <c r="H721" s="765" t="s">
        <v>35</v>
      </c>
      <c r="I721" s="1442">
        <f ca="1">IFERROR(__xludf.DUMMYFUNCTION("IMPORTRANGE(""https://docs.google.com/spreadsheets/d/1QqKyyYR6Q21VydFLVH3TRQUabQu_ym0Zz7PgGX0-kHA/edit?usp=sharing"",""แผน!IJ86"")"),0)</f>
        <v>0</v>
      </c>
      <c r="J721" s="1019">
        <f ca="1">J723+J726</f>
        <v>0</v>
      </c>
      <c r="K721" s="1020">
        <f t="shared" ca="1" si="291"/>
        <v>0</v>
      </c>
      <c r="L721" s="1441"/>
      <c r="M721" s="1016"/>
      <c r="N721" s="1441"/>
      <c r="O721" s="881"/>
      <c r="P721" s="881"/>
      <c r="Q721" s="1302"/>
      <c r="R721" s="1302"/>
      <c r="S721" s="1302"/>
      <c r="T721" s="1302"/>
      <c r="U721" s="1302"/>
      <c r="V721" s="1302"/>
      <c r="W721" s="1302"/>
      <c r="X721" s="1302"/>
      <c r="Y721" s="1302"/>
      <c r="Z721" s="1302"/>
    </row>
    <row r="722" spans="1:26" ht="19.5" hidden="1">
      <c r="A722" s="1429"/>
      <c r="B722" s="1301"/>
      <c r="C722" s="1301"/>
      <c r="D722" s="1301"/>
      <c r="E722" s="1301"/>
      <c r="F722" s="1301"/>
      <c r="G722" s="1016"/>
      <c r="H722" s="765" t="s">
        <v>46</v>
      </c>
      <c r="I722" s="1442">
        <f ca="1">IFERROR(__xludf.DUMMYFUNCTION("IMPORTRANGE(""https://docs.google.com/spreadsheets/d/1QqKyyYR6Q21VydFLVH3TRQUabQu_ym0Zz7PgGX0-kHA/edit?usp=sharing"",""แผน!IK86"")"),0)</f>
        <v>0</v>
      </c>
      <c r="J722" s="1019">
        <f ca="1">J725+J728</f>
        <v>0</v>
      </c>
      <c r="K722" s="1020">
        <f t="shared" ca="1" si="291"/>
        <v>0</v>
      </c>
      <c r="L722" s="881"/>
      <c r="M722" s="1016"/>
      <c r="N722" s="1441"/>
      <c r="O722" s="881"/>
      <c r="P722" s="881"/>
      <c r="Q722" s="1302"/>
      <c r="R722" s="1302"/>
      <c r="S722" s="1302"/>
      <c r="T722" s="1302"/>
      <c r="U722" s="1302"/>
      <c r="V722" s="1302"/>
      <c r="W722" s="1302"/>
      <c r="X722" s="1302"/>
      <c r="Y722" s="1302"/>
      <c r="Z722" s="1302"/>
    </row>
    <row r="723" spans="1:26" ht="18.75" hidden="1">
      <c r="A723" s="1429"/>
      <c r="B723" s="1301"/>
      <c r="C723" s="1301"/>
      <c r="D723" s="1301"/>
      <c r="E723" s="1301" t="s">
        <v>307</v>
      </c>
      <c r="F723" s="1301"/>
      <c r="G723" s="1016"/>
      <c r="H723" s="762" t="s">
        <v>35</v>
      </c>
      <c r="I723" s="1440">
        <f ca="1">IFERROR(__xludf.DUMMYFUNCTION("IMPORTRANGE(""https://docs.google.com/spreadsheets/d/1QqKyyYR6Q21VydFLVH3TRQUabQu_ym0Zz7PgGX0-kHA/edit?usp=sharing"",""แผน!IL86"")"),0)</f>
        <v>0</v>
      </c>
      <c r="J723" s="880">
        <f ca="1">IFERROR(__xludf.DUMMYFUNCTION("IMPORTRANGE(""https://docs.google.com/spreadsheets/d/1XWAQStnk-4SwqDmLtmXYiTMKHgktTP8We1SCoS47DrQ/edit?usp=sharing"",""จัดที่ดิน!BM86"")"),0)</f>
        <v>0</v>
      </c>
      <c r="K723" s="881">
        <f t="shared" ca="1" si="291"/>
        <v>0</v>
      </c>
      <c r="L723" s="881"/>
      <c r="M723" s="1016"/>
      <c r="N723" s="1441"/>
      <c r="O723" s="881"/>
      <c r="P723" s="881"/>
      <c r="Q723" s="1302"/>
      <c r="R723" s="1302"/>
      <c r="S723" s="1302"/>
      <c r="T723" s="1302"/>
      <c r="U723" s="1302"/>
      <c r="V723" s="1302"/>
      <c r="W723" s="1302"/>
      <c r="X723" s="1302"/>
      <c r="Y723" s="1302"/>
      <c r="Z723" s="1302"/>
    </row>
    <row r="724" spans="1:26" ht="18.75" hidden="1">
      <c r="A724" s="1429"/>
      <c r="B724" s="1301"/>
      <c r="C724" s="1301"/>
      <c r="D724" s="1301"/>
      <c r="E724" s="1301"/>
      <c r="F724" s="1301"/>
      <c r="G724" s="1016"/>
      <c r="H724" s="762" t="s">
        <v>34</v>
      </c>
      <c r="I724" s="1440"/>
      <c r="J724" s="880">
        <f ca="1">IFERROR(__xludf.DUMMYFUNCTION("IMPORTRANGE(""https://docs.google.com/spreadsheets/d/1XWAQStnk-4SwqDmLtmXYiTMKHgktTP8We1SCoS47DrQ/edit?usp=sharing"",""จัดที่ดิน!BN86"")"),0)</f>
        <v>0</v>
      </c>
      <c r="K724" s="881"/>
      <c r="L724" s="1441"/>
      <c r="M724" s="1016"/>
      <c r="N724" s="1441"/>
      <c r="O724" s="881"/>
      <c r="P724" s="881"/>
      <c r="Q724" s="1302"/>
      <c r="R724" s="1302"/>
      <c r="S724" s="1302"/>
      <c r="T724" s="1302"/>
      <c r="U724" s="1302"/>
      <c r="V724" s="1302"/>
      <c r="W724" s="1302"/>
      <c r="X724" s="1302"/>
      <c r="Y724" s="1302"/>
      <c r="Z724" s="1302"/>
    </row>
    <row r="725" spans="1:26" ht="18.75" hidden="1">
      <c r="A725" s="1429"/>
      <c r="B725" s="1301"/>
      <c r="C725" s="1301"/>
      <c r="D725" s="1301"/>
      <c r="E725" s="1301"/>
      <c r="F725" s="1301"/>
      <c r="G725" s="1016"/>
      <c r="H725" s="762" t="s">
        <v>46</v>
      </c>
      <c r="I725" s="1440">
        <f ca="1">IFERROR(__xludf.DUMMYFUNCTION("IMPORTRANGE(""https://docs.google.com/spreadsheets/d/1QqKyyYR6Q21VydFLVH3TRQUabQu_ym0Zz7PgGX0-kHA/edit?usp=sharing"",""แผน!IM86"")"),0)</f>
        <v>0</v>
      </c>
      <c r="J725" s="880">
        <f ca="1">IFERROR(__xludf.DUMMYFUNCTION("IMPORTRANGE(""https://docs.google.com/spreadsheets/d/1XWAQStnk-4SwqDmLtmXYiTMKHgktTP8We1SCoS47DrQ/edit?usp=sharing"",""จัดที่ดิน!BO86"")"),0)</f>
        <v>0</v>
      </c>
      <c r="K725" s="881">
        <f t="shared" ref="K725:K726" ca="1" si="292">IF(I725&gt;0,J725*100/I725,0)</f>
        <v>0</v>
      </c>
      <c r="L725" s="1441"/>
      <c r="M725" s="1016"/>
      <c r="N725" s="1441"/>
      <c r="O725" s="881"/>
      <c r="P725" s="881"/>
      <c r="Q725" s="1302"/>
      <c r="R725" s="1302"/>
      <c r="S725" s="1302"/>
      <c r="T725" s="1302"/>
      <c r="U725" s="1302"/>
      <c r="V725" s="1302"/>
      <c r="W725" s="1302"/>
      <c r="X725" s="1302"/>
      <c r="Y725" s="1302"/>
      <c r="Z725" s="1302"/>
    </row>
    <row r="726" spans="1:26" ht="18.75" hidden="1">
      <c r="A726" s="1429"/>
      <c r="B726" s="1301"/>
      <c r="C726" s="1301"/>
      <c r="D726" s="1301"/>
      <c r="E726" s="1301" t="s">
        <v>308</v>
      </c>
      <c r="F726" s="1301"/>
      <c r="G726" s="1016"/>
      <c r="H726" s="762" t="s">
        <v>35</v>
      </c>
      <c r="I726" s="1440">
        <f ca="1">IFERROR(__xludf.DUMMYFUNCTION("IMPORTRANGE(""https://docs.google.com/spreadsheets/d/1QqKyyYR6Q21VydFLVH3TRQUabQu_ym0Zz7PgGX0-kHA/edit?usp=sharing"",""แผน!IN86"")"),0)</f>
        <v>0</v>
      </c>
      <c r="J726" s="880">
        <f ca="1">IFERROR(__xludf.DUMMYFUNCTION("IMPORTRANGE(""https://docs.google.com/spreadsheets/d/1XWAQStnk-4SwqDmLtmXYiTMKHgktTP8We1SCoS47DrQ/edit?usp=sharing"",""จัดที่ดิน!BR86"")"),0)</f>
        <v>0</v>
      </c>
      <c r="K726" s="881">
        <f t="shared" ca="1" si="292"/>
        <v>0</v>
      </c>
      <c r="L726" s="881"/>
      <c r="M726" s="1016"/>
      <c r="N726" s="1441"/>
      <c r="O726" s="881"/>
      <c r="P726" s="881"/>
      <c r="Q726" s="1302"/>
      <c r="R726" s="1302"/>
      <c r="S726" s="1302"/>
      <c r="T726" s="1302"/>
      <c r="U726" s="1302"/>
      <c r="V726" s="1302"/>
      <c r="W726" s="1302"/>
      <c r="X726" s="1302"/>
      <c r="Y726" s="1302"/>
      <c r="Z726" s="1302"/>
    </row>
    <row r="727" spans="1:26" ht="18.75" hidden="1">
      <c r="A727" s="1429"/>
      <c r="B727" s="1301"/>
      <c r="C727" s="1301"/>
      <c r="D727" s="1301"/>
      <c r="E727" s="1301"/>
      <c r="F727" s="1301"/>
      <c r="G727" s="1016"/>
      <c r="H727" s="762" t="s">
        <v>34</v>
      </c>
      <c r="I727" s="1440"/>
      <c r="J727" s="880">
        <f ca="1">IFERROR(__xludf.DUMMYFUNCTION("IMPORTRANGE(""https://docs.google.com/spreadsheets/d/1XWAQStnk-4SwqDmLtmXYiTMKHgktTP8We1SCoS47DrQ/edit?usp=sharing"",""จัดที่ดิน!BS86"")"),0)</f>
        <v>0</v>
      </c>
      <c r="K727" s="881"/>
      <c r="L727" s="1441"/>
      <c r="M727" s="1016"/>
      <c r="N727" s="1441"/>
      <c r="O727" s="881"/>
      <c r="P727" s="881"/>
      <c r="Q727" s="1302"/>
      <c r="R727" s="1302"/>
      <c r="S727" s="1302"/>
      <c r="T727" s="1302"/>
      <c r="U727" s="1302"/>
      <c r="V727" s="1302"/>
      <c r="W727" s="1302"/>
      <c r="X727" s="1302"/>
      <c r="Y727" s="1302"/>
      <c r="Z727" s="1302"/>
    </row>
    <row r="728" spans="1:26" ht="18.75" hidden="1">
      <c r="A728" s="1429"/>
      <c r="B728" s="1301"/>
      <c r="C728" s="1301"/>
      <c r="D728" s="1301"/>
      <c r="E728" s="1301"/>
      <c r="F728" s="1301"/>
      <c r="G728" s="1016"/>
      <c r="H728" s="762" t="s">
        <v>46</v>
      </c>
      <c r="I728" s="1440">
        <f ca="1">IFERROR(__xludf.DUMMYFUNCTION("IMPORTRANGE(""https://docs.google.com/spreadsheets/d/1QqKyyYR6Q21VydFLVH3TRQUabQu_ym0Zz7PgGX0-kHA/edit?usp=sharing"",""แผน!IO86"")"),0)</f>
        <v>0</v>
      </c>
      <c r="J728" s="880">
        <f ca="1">IFERROR(__xludf.DUMMYFUNCTION("IMPORTRANGE(""https://docs.google.com/spreadsheets/d/1XWAQStnk-4SwqDmLtmXYiTMKHgktTP8We1SCoS47DrQ/edit?usp=sharing"",""จัดที่ดิน!BT86"")"),0)</f>
        <v>0</v>
      </c>
      <c r="K728" s="881">
        <f t="shared" ref="K728:K729" ca="1" si="293">IF(I728&gt;0,J728*100/I728,0)</f>
        <v>0</v>
      </c>
      <c r="L728" s="1441"/>
      <c r="M728" s="1016"/>
      <c r="N728" s="1441"/>
      <c r="O728" s="881"/>
      <c r="P728" s="881"/>
      <c r="Q728" s="1302"/>
      <c r="R728" s="1302"/>
      <c r="S728" s="1302"/>
      <c r="T728" s="1302"/>
      <c r="U728" s="1302"/>
      <c r="V728" s="1302"/>
      <c r="W728" s="1302"/>
      <c r="X728" s="1302"/>
      <c r="Y728" s="1302"/>
      <c r="Z728" s="1302"/>
    </row>
    <row r="729" spans="1:26" ht="19.5" hidden="1">
      <c r="A729" s="1429"/>
      <c r="B729" s="1301"/>
      <c r="C729" s="1301"/>
      <c r="D729" s="1301" t="s">
        <v>309</v>
      </c>
      <c r="E729" s="1301"/>
      <c r="F729" s="1301"/>
      <c r="G729" s="1016"/>
      <c r="H729" s="765" t="s">
        <v>46</v>
      </c>
      <c r="I729" s="1442">
        <f ca="1">IFERROR(__xludf.DUMMYFUNCTION("IMPORTRANGE(""https://docs.google.com/spreadsheets/d/1QqKyyYR6Q21VydFLVH3TRQUabQu_ym0Zz7PgGX0-kHA/edit?usp=sharing"",""แผน!IP86"")"),0)</f>
        <v>0</v>
      </c>
      <c r="J729" s="1019">
        <f>J732+J735</f>
        <v>0</v>
      </c>
      <c r="K729" s="1020">
        <f t="shared" ca="1" si="293"/>
        <v>0</v>
      </c>
      <c r="L729" s="881"/>
      <c r="M729" s="1016"/>
      <c r="N729" s="1441"/>
      <c r="O729" s="881"/>
      <c r="P729" s="881"/>
      <c r="Q729" s="1302"/>
      <c r="R729" s="1302"/>
      <c r="S729" s="1302"/>
      <c r="T729" s="1302"/>
      <c r="U729" s="1302"/>
      <c r="V729" s="1302"/>
      <c r="W729" s="1302"/>
      <c r="X729" s="1302"/>
      <c r="Y729" s="1302"/>
      <c r="Z729" s="1302"/>
    </row>
    <row r="730" spans="1:26" ht="18.75" hidden="1">
      <c r="A730" s="1429"/>
      <c r="B730" s="1301"/>
      <c r="C730" s="1301"/>
      <c r="D730" s="1301"/>
      <c r="E730" s="1301" t="s">
        <v>310</v>
      </c>
      <c r="F730" s="1301"/>
      <c r="G730" s="1016"/>
      <c r="H730" s="762" t="s">
        <v>35</v>
      </c>
      <c r="I730" s="1440"/>
      <c r="J730" s="1012">
        <v>0</v>
      </c>
      <c r="K730" s="881"/>
      <c r="L730" s="1441"/>
      <c r="M730" s="881"/>
      <c r="N730" s="1441"/>
      <c r="O730" s="881"/>
      <c r="P730" s="881"/>
      <c r="Q730" s="1302"/>
      <c r="R730" s="1302"/>
      <c r="S730" s="1302"/>
      <c r="T730" s="1302"/>
      <c r="U730" s="1302"/>
      <c r="V730" s="1302"/>
      <c r="W730" s="1302"/>
      <c r="X730" s="1302"/>
      <c r="Y730" s="1302"/>
      <c r="Z730" s="1302"/>
    </row>
    <row r="731" spans="1:26" ht="18.75" hidden="1">
      <c r="A731" s="1429"/>
      <c r="B731" s="1301"/>
      <c r="C731" s="1301"/>
      <c r="D731" s="1301"/>
      <c r="E731" s="1301"/>
      <c r="F731" s="1301"/>
      <c r="G731" s="1016"/>
      <c r="H731" s="762" t="s">
        <v>34</v>
      </c>
      <c r="I731" s="1440"/>
      <c r="J731" s="1012">
        <v>0</v>
      </c>
      <c r="K731" s="881"/>
      <c r="L731" s="1441"/>
      <c r="M731" s="881"/>
      <c r="N731" s="1441"/>
      <c r="O731" s="881"/>
      <c r="P731" s="881"/>
      <c r="Q731" s="1302"/>
      <c r="R731" s="1302"/>
      <c r="S731" s="1302"/>
      <c r="T731" s="1302"/>
      <c r="U731" s="1302"/>
      <c r="V731" s="1302"/>
      <c r="W731" s="1302"/>
      <c r="X731" s="1302"/>
      <c r="Y731" s="1302"/>
      <c r="Z731" s="1302"/>
    </row>
    <row r="732" spans="1:26" ht="18.75" hidden="1">
      <c r="A732" s="1429"/>
      <c r="B732" s="1301"/>
      <c r="C732" s="1301"/>
      <c r="D732" s="1301"/>
      <c r="E732" s="1301"/>
      <c r="F732" s="1301"/>
      <c r="G732" s="1016"/>
      <c r="H732" s="762" t="s">
        <v>46</v>
      </c>
      <c r="I732" s="1440"/>
      <c r="J732" s="1012">
        <v>0</v>
      </c>
      <c r="K732" s="881"/>
      <c r="L732" s="1441"/>
      <c r="M732" s="881"/>
      <c r="N732" s="1441"/>
      <c r="O732" s="881"/>
      <c r="P732" s="881"/>
      <c r="Q732" s="1302"/>
      <c r="R732" s="1302"/>
      <c r="S732" s="1302"/>
      <c r="T732" s="1302"/>
      <c r="U732" s="1302"/>
      <c r="V732" s="1302"/>
      <c r="W732" s="1302"/>
      <c r="X732" s="1302"/>
      <c r="Y732" s="1302"/>
      <c r="Z732" s="1302"/>
    </row>
    <row r="733" spans="1:26" ht="18.75" hidden="1">
      <c r="A733" s="1429"/>
      <c r="B733" s="1301"/>
      <c r="C733" s="1301"/>
      <c r="D733" s="1301"/>
      <c r="E733" s="1301" t="s">
        <v>311</v>
      </c>
      <c r="F733" s="1301"/>
      <c r="G733" s="1016"/>
      <c r="H733" s="762" t="s">
        <v>35</v>
      </c>
      <c r="I733" s="1440"/>
      <c r="J733" s="1012">
        <v>0</v>
      </c>
      <c r="K733" s="881"/>
      <c r="L733" s="1441"/>
      <c r="M733" s="881"/>
      <c r="N733" s="1441"/>
      <c r="O733" s="881"/>
      <c r="P733" s="881"/>
      <c r="Q733" s="1302"/>
      <c r="R733" s="1302"/>
      <c r="S733" s="1302"/>
      <c r="T733" s="1302"/>
      <c r="U733" s="1302"/>
      <c r="V733" s="1302"/>
      <c r="W733" s="1302"/>
      <c r="X733" s="1302"/>
      <c r="Y733" s="1302"/>
      <c r="Z733" s="1302"/>
    </row>
    <row r="734" spans="1:26" ht="18.75" hidden="1">
      <c r="A734" s="1429"/>
      <c r="B734" s="1301"/>
      <c r="C734" s="1301"/>
      <c r="D734" s="1301"/>
      <c r="E734" s="1301"/>
      <c r="F734" s="1301"/>
      <c r="G734" s="1016"/>
      <c r="H734" s="762" t="s">
        <v>34</v>
      </c>
      <c r="I734" s="1440"/>
      <c r="J734" s="1012">
        <v>0</v>
      </c>
      <c r="K734" s="881"/>
      <c r="L734" s="1441"/>
      <c r="M734" s="881"/>
      <c r="N734" s="1441"/>
      <c r="O734" s="881"/>
      <c r="P734" s="881"/>
      <c r="Q734" s="1302"/>
      <c r="R734" s="1302"/>
      <c r="S734" s="1302"/>
      <c r="T734" s="1302"/>
      <c r="U734" s="1302"/>
      <c r="V734" s="1302"/>
      <c r="W734" s="1302"/>
      <c r="X734" s="1302"/>
      <c r="Y734" s="1302"/>
      <c r="Z734" s="1302"/>
    </row>
    <row r="735" spans="1:26" ht="19.5" hidden="1">
      <c r="A735" s="1443"/>
      <c r="B735" s="1444" t="s">
        <v>312</v>
      </c>
      <c r="C735" s="1169"/>
      <c r="D735" s="1169"/>
      <c r="E735" s="1169"/>
      <c r="F735" s="1169"/>
      <c r="G735" s="1422"/>
      <c r="H735" s="423" t="s">
        <v>46</v>
      </c>
      <c r="I735" s="1445"/>
      <c r="J735" s="1171">
        <v>0</v>
      </c>
      <c r="K735" s="1239"/>
      <c r="L735" s="1446"/>
      <c r="M735" s="1239"/>
      <c r="N735" s="1446"/>
      <c r="O735" s="1239"/>
      <c r="P735" s="1239"/>
      <c r="Q735" s="1302"/>
      <c r="R735" s="1302"/>
      <c r="S735" s="1302"/>
      <c r="T735" s="1302"/>
      <c r="U735" s="1302"/>
      <c r="V735" s="1302"/>
      <c r="W735" s="1302"/>
      <c r="X735" s="1302"/>
      <c r="Y735" s="1302"/>
      <c r="Z735" s="1302"/>
    </row>
    <row r="736" spans="1:26" ht="19.5" hidden="1">
      <c r="A736" s="772">
        <v>9</v>
      </c>
      <c r="B736" s="1447" t="s">
        <v>313</v>
      </c>
      <c r="C736" s="1448"/>
      <c r="D736" s="1448"/>
      <c r="E736" s="1448"/>
      <c r="F736" s="1448"/>
      <c r="G736" s="1449"/>
      <c r="H736" s="776" t="s">
        <v>46</v>
      </c>
      <c r="I736" s="1450"/>
      <c r="J736" s="1450">
        <f>J751</f>
        <v>0</v>
      </c>
      <c r="K736" s="1451">
        <f>IF(I736&gt;0,J736*100/I736,0)</f>
        <v>0</v>
      </c>
      <c r="L736" s="1452"/>
      <c r="M736" s="1452"/>
      <c r="N736" s="1452"/>
      <c r="O736" s="1452"/>
      <c r="P736" s="1452"/>
      <c r="Q736" s="1323"/>
      <c r="R736" s="1323"/>
      <c r="S736" s="1323"/>
      <c r="T736" s="1323"/>
      <c r="U736" s="1323"/>
      <c r="V736" s="1323"/>
      <c r="W736" s="1323"/>
      <c r="X736" s="1323"/>
      <c r="Y736" s="1323"/>
      <c r="Z736" s="1323"/>
    </row>
    <row r="737" spans="1:26" ht="19.5" hidden="1">
      <c r="A737" s="1319"/>
      <c r="B737" s="1320"/>
      <c r="C737" s="1320" t="s">
        <v>16</v>
      </c>
      <c r="D737" s="1351" t="s">
        <v>17</v>
      </c>
      <c r="E737" s="841"/>
      <c r="F737" s="841"/>
      <c r="G737" s="1322"/>
      <c r="H737" s="644" t="s">
        <v>12</v>
      </c>
      <c r="I737" s="886"/>
      <c r="J737" s="886"/>
      <c r="K737" s="887"/>
      <c r="L737" s="1352">
        <f t="shared" ref="L737:N737" si="294">L738+L739</f>
        <v>0</v>
      </c>
      <c r="M737" s="1352">
        <f t="shared" si="294"/>
        <v>0</v>
      </c>
      <c r="N737" s="1352">
        <f t="shared" si="294"/>
        <v>0</v>
      </c>
      <c r="O737" s="1352">
        <f t="shared" ref="O737:O742" si="295">IF(L737&gt;0,N737*100/L737,0)</f>
        <v>0</v>
      </c>
      <c r="P737" s="1352">
        <f t="shared" ref="P737:P742" si="296">IF(M737&gt;0,N737*100/M737,0)</f>
        <v>0</v>
      </c>
      <c r="Q737" s="1323"/>
      <c r="R737" s="1323"/>
      <c r="S737" s="1323"/>
      <c r="T737" s="1323"/>
      <c r="U737" s="1323"/>
      <c r="V737" s="1323"/>
      <c r="W737" s="1323"/>
      <c r="X737" s="1323"/>
      <c r="Y737" s="1323"/>
      <c r="Z737" s="1323"/>
    </row>
    <row r="738" spans="1:26" ht="18.75" hidden="1">
      <c r="A738" s="1319"/>
      <c r="B738" s="1320"/>
      <c r="C738" s="1320"/>
      <c r="D738" s="1321"/>
      <c r="E738" s="1320" t="s">
        <v>185</v>
      </c>
      <c r="F738" s="1320"/>
      <c r="G738" s="1322"/>
      <c r="H738" s="165" t="s">
        <v>12</v>
      </c>
      <c r="I738" s="886"/>
      <c r="J738" s="886"/>
      <c r="K738" s="887"/>
      <c r="L738" s="887">
        <f t="shared" ref="L738:N739" si="297">L741+L748</f>
        <v>0</v>
      </c>
      <c r="M738" s="887">
        <f t="shared" si="297"/>
        <v>0</v>
      </c>
      <c r="N738" s="887">
        <f t="shared" si="297"/>
        <v>0</v>
      </c>
      <c r="O738" s="887">
        <f t="shared" si="295"/>
        <v>0</v>
      </c>
      <c r="P738" s="887">
        <f t="shared" si="296"/>
        <v>0</v>
      </c>
      <c r="Q738" s="1323"/>
      <c r="R738" s="1323"/>
      <c r="S738" s="1323"/>
      <c r="T738" s="1323"/>
      <c r="U738" s="1323"/>
      <c r="V738" s="1323"/>
      <c r="W738" s="1323"/>
      <c r="X738" s="1323"/>
      <c r="Y738" s="1323"/>
      <c r="Z738" s="1323"/>
    </row>
    <row r="739" spans="1:26" ht="18.75" hidden="1">
      <c r="A739" s="1319"/>
      <c r="B739" s="1324"/>
      <c r="C739" s="1320"/>
      <c r="D739" s="1321"/>
      <c r="E739" s="1320" t="s">
        <v>186</v>
      </c>
      <c r="F739" s="1320"/>
      <c r="G739" s="1322"/>
      <c r="H739" s="165" t="s">
        <v>12</v>
      </c>
      <c r="I739" s="886"/>
      <c r="J739" s="886"/>
      <c r="K739" s="887"/>
      <c r="L739" s="887">
        <f t="shared" si="297"/>
        <v>0</v>
      </c>
      <c r="M739" s="887">
        <f t="shared" si="297"/>
        <v>0</v>
      </c>
      <c r="N739" s="887">
        <f t="shared" si="297"/>
        <v>0</v>
      </c>
      <c r="O739" s="887">
        <f t="shared" si="295"/>
        <v>0</v>
      </c>
      <c r="P739" s="887">
        <f t="shared" si="296"/>
        <v>0</v>
      </c>
      <c r="Q739" s="1323"/>
      <c r="R739" s="1323"/>
      <c r="S739" s="1323"/>
      <c r="T739" s="1323"/>
      <c r="U739" s="1323"/>
      <c r="V739" s="1323"/>
      <c r="W739" s="1323"/>
      <c r="X739" s="1323"/>
      <c r="Y739" s="1323"/>
      <c r="Z739" s="1323"/>
    </row>
    <row r="740" spans="1:26" ht="19.5" hidden="1">
      <c r="A740" s="1319"/>
      <c r="B740" s="1324"/>
      <c r="C740" s="1320"/>
      <c r="D740" s="1453" t="s">
        <v>20</v>
      </c>
      <c r="E740" s="1320"/>
      <c r="F740" s="1320"/>
      <c r="G740" s="1322"/>
      <c r="H740" s="644" t="s">
        <v>12</v>
      </c>
      <c r="I740" s="1000"/>
      <c r="J740" s="1000"/>
      <c r="K740" s="1001"/>
      <c r="L740" s="1352">
        <f t="shared" ref="L740:N740" si="298">L741+L742</f>
        <v>0</v>
      </c>
      <c r="M740" s="1352">
        <f t="shared" si="298"/>
        <v>0</v>
      </c>
      <c r="N740" s="1352">
        <f t="shared" si="298"/>
        <v>0</v>
      </c>
      <c r="O740" s="1352">
        <f t="shared" si="295"/>
        <v>0</v>
      </c>
      <c r="P740" s="1352">
        <f t="shared" si="296"/>
        <v>0</v>
      </c>
      <c r="Q740" s="1323"/>
      <c r="R740" s="1323"/>
      <c r="S740" s="1323"/>
      <c r="T740" s="1323"/>
      <c r="U740" s="1323"/>
      <c r="V740" s="1323"/>
      <c r="W740" s="1323"/>
      <c r="X740" s="1323"/>
      <c r="Y740" s="1323"/>
      <c r="Z740" s="1323"/>
    </row>
    <row r="741" spans="1:26" ht="18.75" hidden="1">
      <c r="A741" s="1319"/>
      <c r="B741" s="1324"/>
      <c r="C741" s="1320"/>
      <c r="D741" s="1321"/>
      <c r="E741" s="1320" t="s">
        <v>185</v>
      </c>
      <c r="F741" s="1320"/>
      <c r="G741" s="1322"/>
      <c r="H741" s="165" t="s">
        <v>12</v>
      </c>
      <c r="I741" s="886"/>
      <c r="J741" s="886"/>
      <c r="K741" s="887"/>
      <c r="L741" s="887">
        <v>0</v>
      </c>
      <c r="M741" s="887">
        <v>0</v>
      </c>
      <c r="N741" s="887">
        <v>0</v>
      </c>
      <c r="O741" s="887">
        <f t="shared" si="295"/>
        <v>0</v>
      </c>
      <c r="P741" s="887">
        <f t="shared" si="296"/>
        <v>0</v>
      </c>
      <c r="Q741" s="1323"/>
      <c r="R741" s="1323"/>
      <c r="S741" s="1323"/>
      <c r="T741" s="1323"/>
      <c r="U741" s="1323"/>
      <c r="V741" s="1323"/>
      <c r="W741" s="1323"/>
      <c r="X741" s="1323"/>
      <c r="Y741" s="1323"/>
      <c r="Z741" s="1323"/>
    </row>
    <row r="742" spans="1:26" ht="18.75" hidden="1">
      <c r="A742" s="1319"/>
      <c r="B742" s="1324"/>
      <c r="C742" s="1320"/>
      <c r="D742" s="1321"/>
      <c r="E742" s="1320" t="s">
        <v>186</v>
      </c>
      <c r="F742" s="1320"/>
      <c r="G742" s="1322"/>
      <c r="H742" s="165" t="s">
        <v>12</v>
      </c>
      <c r="I742" s="886"/>
      <c r="J742" s="886"/>
      <c r="K742" s="887"/>
      <c r="L742" s="887">
        <v>0</v>
      </c>
      <c r="M742" s="887">
        <v>0</v>
      </c>
      <c r="N742" s="887">
        <f>N743+N744+N745+N746</f>
        <v>0</v>
      </c>
      <c r="O742" s="887">
        <f t="shared" si="295"/>
        <v>0</v>
      </c>
      <c r="P742" s="887">
        <f t="shared" si="296"/>
        <v>0</v>
      </c>
      <c r="Q742" s="1323"/>
      <c r="R742" s="1323"/>
      <c r="S742" s="1323"/>
      <c r="T742" s="1323"/>
      <c r="U742" s="1323"/>
      <c r="V742" s="1323"/>
      <c r="W742" s="1323"/>
      <c r="X742" s="1323"/>
      <c r="Y742" s="1323"/>
      <c r="Z742" s="1323"/>
    </row>
    <row r="743" spans="1:26" ht="18.75" hidden="1">
      <c r="A743" s="1354"/>
      <c r="B743" s="1324"/>
      <c r="C743" s="1320"/>
      <c r="D743" s="1320"/>
      <c r="E743" s="1320"/>
      <c r="F743" s="1320" t="s">
        <v>187</v>
      </c>
      <c r="G743" s="1322"/>
      <c r="H743" s="165" t="s">
        <v>12</v>
      </c>
      <c r="I743" s="886"/>
      <c r="J743" s="886"/>
      <c r="K743" s="887"/>
      <c r="L743" s="887"/>
      <c r="M743" s="887"/>
      <c r="N743" s="887"/>
      <c r="O743" s="887"/>
      <c r="P743" s="887"/>
      <c r="Q743" s="1323"/>
      <c r="R743" s="1323"/>
      <c r="S743" s="1323"/>
      <c r="T743" s="1323"/>
      <c r="U743" s="1323"/>
      <c r="V743" s="1323"/>
      <c r="W743" s="1323"/>
      <c r="X743" s="1323"/>
      <c r="Y743" s="1323"/>
      <c r="Z743" s="1323"/>
    </row>
    <row r="744" spans="1:26" ht="18.75" hidden="1">
      <c r="A744" s="1354"/>
      <c r="B744" s="1324"/>
      <c r="C744" s="1320"/>
      <c r="D744" s="1320"/>
      <c r="E744" s="1320"/>
      <c r="F744" s="1320" t="s">
        <v>188</v>
      </c>
      <c r="G744" s="1322"/>
      <c r="H744" s="165" t="s">
        <v>12</v>
      </c>
      <c r="I744" s="886"/>
      <c r="J744" s="886"/>
      <c r="K744" s="887"/>
      <c r="L744" s="887"/>
      <c r="M744" s="887"/>
      <c r="N744" s="887"/>
      <c r="O744" s="887"/>
      <c r="P744" s="887"/>
      <c r="Q744" s="1323"/>
      <c r="R744" s="1323"/>
      <c r="S744" s="1323"/>
      <c r="T744" s="1323"/>
      <c r="U744" s="1323"/>
      <c r="V744" s="1323"/>
      <c r="W744" s="1323"/>
      <c r="X744" s="1323"/>
      <c r="Y744" s="1323"/>
      <c r="Z744" s="1323"/>
    </row>
    <row r="745" spans="1:26" ht="18.75" hidden="1">
      <c r="A745" s="1354"/>
      <c r="B745" s="1324"/>
      <c r="C745" s="1320"/>
      <c r="D745" s="1320"/>
      <c r="E745" s="1320"/>
      <c r="F745" s="1320" t="s">
        <v>189</v>
      </c>
      <c r="G745" s="1322"/>
      <c r="H745" s="165" t="s">
        <v>12</v>
      </c>
      <c r="I745" s="886"/>
      <c r="J745" s="886"/>
      <c r="K745" s="887"/>
      <c r="L745" s="887"/>
      <c r="M745" s="887"/>
      <c r="N745" s="887"/>
      <c r="O745" s="887"/>
      <c r="P745" s="887"/>
      <c r="Q745" s="1323"/>
      <c r="R745" s="1323"/>
      <c r="S745" s="1323"/>
      <c r="T745" s="1323"/>
      <c r="U745" s="1323"/>
      <c r="V745" s="1323"/>
      <c r="W745" s="1323"/>
      <c r="X745" s="1323"/>
      <c r="Y745" s="1323"/>
      <c r="Z745" s="1323"/>
    </row>
    <row r="746" spans="1:26" ht="18.75" hidden="1">
      <c r="A746" s="1354"/>
      <c r="B746" s="1324"/>
      <c r="C746" s="1320"/>
      <c r="D746" s="1320"/>
      <c r="E746" s="1320"/>
      <c r="F746" s="1320" t="s">
        <v>190</v>
      </c>
      <c r="G746" s="1322"/>
      <c r="H746" s="165" t="s">
        <v>12</v>
      </c>
      <c r="I746" s="886"/>
      <c r="J746" s="886"/>
      <c r="K746" s="887"/>
      <c r="L746" s="887"/>
      <c r="M746" s="887"/>
      <c r="N746" s="887"/>
      <c r="O746" s="887"/>
      <c r="P746" s="887"/>
      <c r="Q746" s="1323"/>
      <c r="R746" s="1323"/>
      <c r="S746" s="1323"/>
      <c r="T746" s="1323"/>
      <c r="U746" s="1323"/>
      <c r="V746" s="1323"/>
      <c r="W746" s="1323"/>
      <c r="X746" s="1323"/>
      <c r="Y746" s="1323"/>
      <c r="Z746" s="1323"/>
    </row>
    <row r="747" spans="1:26" ht="19.5" hidden="1">
      <c r="A747" s="1319"/>
      <c r="B747" s="1324"/>
      <c r="C747" s="1320"/>
      <c r="D747" s="1453" t="s">
        <v>21</v>
      </c>
      <c r="E747" s="1320"/>
      <c r="F747" s="1320"/>
      <c r="G747" s="1322"/>
      <c r="H747" s="781" t="s">
        <v>12</v>
      </c>
      <c r="I747" s="1000"/>
      <c r="J747" s="1000"/>
      <c r="K747" s="1001"/>
      <c r="L747" s="1352">
        <f t="shared" ref="L747:N747" si="299">L748+L749</f>
        <v>0</v>
      </c>
      <c r="M747" s="1352">
        <f t="shared" si="299"/>
        <v>0</v>
      </c>
      <c r="N747" s="1352">
        <f t="shared" si="299"/>
        <v>0</v>
      </c>
      <c r="O747" s="1352">
        <f t="shared" ref="O747:O749" si="300">IF(L747&gt;0,N747*100/L747,0)</f>
        <v>0</v>
      </c>
      <c r="P747" s="1352">
        <f t="shared" ref="P747:P749" si="301">IF(M747&gt;0,N747*100/M747,0)</f>
        <v>0</v>
      </c>
      <c r="Q747" s="1323"/>
      <c r="R747" s="1323"/>
      <c r="S747" s="1323"/>
      <c r="T747" s="1323"/>
      <c r="U747" s="1323"/>
      <c r="V747" s="1323"/>
      <c r="W747" s="1323"/>
      <c r="X747" s="1323"/>
      <c r="Y747" s="1323"/>
      <c r="Z747" s="1323"/>
    </row>
    <row r="748" spans="1:26" ht="18.75" hidden="1">
      <c r="A748" s="1319"/>
      <c r="B748" s="1324"/>
      <c r="C748" s="1320"/>
      <c r="D748" s="1320"/>
      <c r="E748" s="1320" t="s">
        <v>18</v>
      </c>
      <c r="F748" s="1320"/>
      <c r="G748" s="1322"/>
      <c r="H748" s="165" t="s">
        <v>12</v>
      </c>
      <c r="I748" s="1000"/>
      <c r="J748" s="1000"/>
      <c r="K748" s="1001"/>
      <c r="L748" s="887">
        <v>0</v>
      </c>
      <c r="M748" s="887">
        <v>0</v>
      </c>
      <c r="N748" s="887">
        <v>0</v>
      </c>
      <c r="O748" s="887">
        <f t="shared" si="300"/>
        <v>0</v>
      </c>
      <c r="P748" s="887">
        <f t="shared" si="301"/>
        <v>0</v>
      </c>
      <c r="Q748" s="1323"/>
      <c r="R748" s="1323"/>
      <c r="S748" s="1323"/>
      <c r="T748" s="1323"/>
      <c r="U748" s="1323"/>
      <c r="V748" s="1323"/>
      <c r="W748" s="1323"/>
      <c r="X748" s="1323"/>
      <c r="Y748" s="1323"/>
      <c r="Z748" s="1323"/>
    </row>
    <row r="749" spans="1:26" ht="18.75" hidden="1">
      <c r="A749" s="1319"/>
      <c r="B749" s="1324"/>
      <c r="C749" s="1320"/>
      <c r="D749" s="1320"/>
      <c r="E749" s="1320" t="s">
        <v>19</v>
      </c>
      <c r="F749" s="1320"/>
      <c r="G749" s="1322"/>
      <c r="H749" s="169" t="s">
        <v>12</v>
      </c>
      <c r="I749" s="1000"/>
      <c r="J749" s="1000"/>
      <c r="K749" s="1001"/>
      <c r="L749" s="887">
        <v>0</v>
      </c>
      <c r="M749" s="887">
        <v>0</v>
      </c>
      <c r="N749" s="887">
        <v>0</v>
      </c>
      <c r="O749" s="887">
        <f t="shared" si="300"/>
        <v>0</v>
      </c>
      <c r="P749" s="887">
        <f t="shared" si="301"/>
        <v>0</v>
      </c>
      <c r="Q749" s="1323"/>
      <c r="R749" s="1323"/>
      <c r="S749" s="1323"/>
      <c r="T749" s="1323"/>
      <c r="U749" s="1323"/>
      <c r="V749" s="1323"/>
      <c r="W749" s="1323"/>
      <c r="X749" s="1323"/>
      <c r="Y749" s="1323"/>
      <c r="Z749" s="1323"/>
    </row>
    <row r="750" spans="1:26" ht="19.5" hidden="1">
      <c r="A750" s="1332"/>
      <c r="B750" s="1333"/>
      <c r="C750" s="1320" t="s">
        <v>16</v>
      </c>
      <c r="D750" s="1454" t="s">
        <v>38</v>
      </c>
      <c r="E750" s="1356"/>
      <c r="F750" s="1356"/>
      <c r="G750" s="1357"/>
      <c r="H750" s="1113"/>
      <c r="I750" s="1000"/>
      <c r="J750" s="1000"/>
      <c r="K750" s="1001"/>
      <c r="L750" s="1001"/>
      <c r="M750" s="1001"/>
      <c r="N750" s="1001"/>
      <c r="O750" s="1001"/>
      <c r="P750" s="1001"/>
      <c r="Q750" s="1323"/>
      <c r="R750" s="1323"/>
      <c r="S750" s="1323"/>
      <c r="T750" s="1323"/>
      <c r="U750" s="1323"/>
      <c r="V750" s="1323"/>
      <c r="W750" s="1323"/>
      <c r="X750" s="1323"/>
      <c r="Y750" s="1323"/>
      <c r="Z750" s="1323"/>
    </row>
    <row r="751" spans="1:26" ht="18.75" hidden="1">
      <c r="A751" s="1354"/>
      <c r="B751" s="1324"/>
      <c r="C751" s="1320"/>
      <c r="D751" s="1320"/>
      <c r="E751" s="1320" t="s">
        <v>314</v>
      </c>
      <c r="F751" s="1320"/>
      <c r="G751" s="1322"/>
      <c r="H751" s="165" t="s">
        <v>46</v>
      </c>
      <c r="I751" s="886"/>
      <c r="J751" s="886"/>
      <c r="K751" s="887"/>
      <c r="L751" s="887"/>
      <c r="M751" s="887"/>
      <c r="N751" s="887"/>
      <c r="O751" s="887"/>
      <c r="P751" s="887"/>
      <c r="Q751" s="1323"/>
      <c r="R751" s="1323"/>
      <c r="S751" s="1323"/>
      <c r="T751" s="1323"/>
      <c r="U751" s="1323"/>
      <c r="V751" s="1323"/>
      <c r="W751" s="1323"/>
      <c r="X751" s="1323"/>
      <c r="Y751" s="1323"/>
      <c r="Z751" s="1323"/>
    </row>
    <row r="752" spans="1:26" ht="18.75" hidden="1">
      <c r="A752" s="1354"/>
      <c r="B752" s="1324"/>
      <c r="C752" s="1320"/>
      <c r="D752" s="1320"/>
      <c r="E752" s="1320"/>
      <c r="F752" s="1320"/>
      <c r="G752" s="1322"/>
      <c r="H752" s="165" t="s">
        <v>315</v>
      </c>
      <c r="I752" s="886"/>
      <c r="J752" s="886"/>
      <c r="K752" s="887"/>
      <c r="L752" s="887"/>
      <c r="M752" s="887"/>
      <c r="N752" s="887"/>
      <c r="O752" s="887"/>
      <c r="P752" s="887"/>
      <c r="Q752" s="1323"/>
      <c r="R752" s="1323"/>
      <c r="S752" s="1323"/>
      <c r="T752" s="1323"/>
      <c r="U752" s="1323"/>
      <c r="V752" s="1323"/>
      <c r="W752" s="1323"/>
      <c r="X752" s="1323"/>
      <c r="Y752" s="1323"/>
      <c r="Z752" s="1323"/>
    </row>
    <row r="753" spans="1:26" ht="19.5" hidden="1">
      <c r="A753" s="783">
        <v>10</v>
      </c>
      <c r="B753" s="1455" t="s">
        <v>316</v>
      </c>
      <c r="C753" s="1456"/>
      <c r="D753" s="1456"/>
      <c r="E753" s="1456"/>
      <c r="F753" s="1456"/>
      <c r="G753" s="1457"/>
      <c r="H753" s="787" t="s">
        <v>46</v>
      </c>
      <c r="I753" s="1458"/>
      <c r="J753" s="1458">
        <f>J768</f>
        <v>0</v>
      </c>
      <c r="K753" s="1459">
        <f>IF(I753&gt;0,J753*100/I753,0)</f>
        <v>0</v>
      </c>
      <c r="L753" s="1460"/>
      <c r="M753" s="1460"/>
      <c r="N753" s="1460"/>
      <c r="O753" s="1460"/>
      <c r="P753" s="1460"/>
      <c r="Q753" s="1323"/>
      <c r="R753" s="1323"/>
      <c r="S753" s="1323"/>
      <c r="T753" s="1323"/>
      <c r="U753" s="1323"/>
      <c r="V753" s="1323"/>
      <c r="W753" s="1323"/>
      <c r="X753" s="1323"/>
      <c r="Y753" s="1323"/>
      <c r="Z753" s="1323"/>
    </row>
    <row r="754" spans="1:26" ht="19.5" hidden="1">
      <c r="A754" s="1319"/>
      <c r="B754" s="1320"/>
      <c r="C754" s="1320" t="s">
        <v>16</v>
      </c>
      <c r="D754" s="1351" t="s">
        <v>17</v>
      </c>
      <c r="E754" s="841"/>
      <c r="F754" s="841"/>
      <c r="G754" s="1322"/>
      <c r="H754" s="644" t="s">
        <v>12</v>
      </c>
      <c r="I754" s="886"/>
      <c r="J754" s="886"/>
      <c r="K754" s="887"/>
      <c r="L754" s="1352">
        <f t="shared" ref="L754:N754" si="302">L755+L756</f>
        <v>0</v>
      </c>
      <c r="M754" s="1352">
        <f t="shared" si="302"/>
        <v>0</v>
      </c>
      <c r="N754" s="1352">
        <f t="shared" si="302"/>
        <v>0</v>
      </c>
      <c r="O754" s="1352">
        <f t="shared" ref="O754:O759" si="303">IF(L754&gt;0,N754*100/L754,0)</f>
        <v>0</v>
      </c>
      <c r="P754" s="1352">
        <f t="shared" ref="P754:P759" si="304">IF(M754&gt;0,N754*100/M754,0)</f>
        <v>0</v>
      </c>
      <c r="Q754" s="1323"/>
      <c r="R754" s="1323"/>
      <c r="S754" s="1323"/>
      <c r="T754" s="1323"/>
      <c r="U754" s="1323"/>
      <c r="V754" s="1323"/>
      <c r="W754" s="1323"/>
      <c r="X754" s="1323"/>
      <c r="Y754" s="1323"/>
      <c r="Z754" s="1323"/>
    </row>
    <row r="755" spans="1:26" ht="18.75" hidden="1">
      <c r="A755" s="1319"/>
      <c r="B755" s="1320"/>
      <c r="C755" s="1320"/>
      <c r="D755" s="1321"/>
      <c r="E755" s="1320" t="s">
        <v>185</v>
      </c>
      <c r="F755" s="1320"/>
      <c r="G755" s="1322"/>
      <c r="H755" s="165" t="s">
        <v>12</v>
      </c>
      <c r="I755" s="886"/>
      <c r="J755" s="886"/>
      <c r="K755" s="887"/>
      <c r="L755" s="887">
        <f t="shared" ref="L755:N756" si="305">L758+L765</f>
        <v>0</v>
      </c>
      <c r="M755" s="887">
        <f t="shared" si="305"/>
        <v>0</v>
      </c>
      <c r="N755" s="887">
        <f t="shared" si="305"/>
        <v>0</v>
      </c>
      <c r="O755" s="887">
        <f t="shared" si="303"/>
        <v>0</v>
      </c>
      <c r="P755" s="887">
        <f t="shared" si="304"/>
        <v>0</v>
      </c>
      <c r="Q755" s="1323"/>
      <c r="R755" s="1323"/>
      <c r="S755" s="1323"/>
      <c r="T755" s="1323"/>
      <c r="U755" s="1323"/>
      <c r="V755" s="1323"/>
      <c r="W755" s="1323"/>
      <c r="X755" s="1323"/>
      <c r="Y755" s="1323"/>
      <c r="Z755" s="1323"/>
    </row>
    <row r="756" spans="1:26" ht="18.75" hidden="1">
      <c r="A756" s="1319"/>
      <c r="B756" s="1324"/>
      <c r="C756" s="1320"/>
      <c r="D756" s="1321"/>
      <c r="E756" s="1320" t="s">
        <v>186</v>
      </c>
      <c r="F756" s="1320"/>
      <c r="G756" s="1322"/>
      <c r="H756" s="165" t="s">
        <v>12</v>
      </c>
      <c r="I756" s="886"/>
      <c r="J756" s="886"/>
      <c r="K756" s="887"/>
      <c r="L756" s="887">
        <f t="shared" si="305"/>
        <v>0</v>
      </c>
      <c r="M756" s="887">
        <f t="shared" si="305"/>
        <v>0</v>
      </c>
      <c r="N756" s="887">
        <f t="shared" si="305"/>
        <v>0</v>
      </c>
      <c r="O756" s="887">
        <f t="shared" si="303"/>
        <v>0</v>
      </c>
      <c r="P756" s="887">
        <f t="shared" si="304"/>
        <v>0</v>
      </c>
      <c r="Q756" s="1323"/>
      <c r="R756" s="1323"/>
      <c r="S756" s="1323"/>
      <c r="T756" s="1323"/>
      <c r="U756" s="1323"/>
      <c r="V756" s="1323"/>
      <c r="W756" s="1323"/>
      <c r="X756" s="1323"/>
      <c r="Y756" s="1323"/>
      <c r="Z756" s="1323"/>
    </row>
    <row r="757" spans="1:26" ht="19.5" hidden="1">
      <c r="A757" s="1319"/>
      <c r="B757" s="1324"/>
      <c r="C757" s="1320"/>
      <c r="D757" s="1453" t="s">
        <v>20</v>
      </c>
      <c r="E757" s="1320"/>
      <c r="F757" s="1320"/>
      <c r="G757" s="1322"/>
      <c r="H757" s="644" t="s">
        <v>12</v>
      </c>
      <c r="I757" s="1000"/>
      <c r="J757" s="1000"/>
      <c r="K757" s="1001"/>
      <c r="L757" s="1352">
        <f t="shared" ref="L757:N757" si="306">L758+L759</f>
        <v>0</v>
      </c>
      <c r="M757" s="1352">
        <f t="shared" si="306"/>
        <v>0</v>
      </c>
      <c r="N757" s="1352">
        <f t="shared" si="306"/>
        <v>0</v>
      </c>
      <c r="O757" s="1352">
        <f t="shared" si="303"/>
        <v>0</v>
      </c>
      <c r="P757" s="1352">
        <f t="shared" si="304"/>
        <v>0</v>
      </c>
      <c r="Q757" s="1323"/>
      <c r="R757" s="1323"/>
      <c r="S757" s="1323"/>
      <c r="T757" s="1323"/>
      <c r="U757" s="1323"/>
      <c r="V757" s="1323"/>
      <c r="W757" s="1323"/>
      <c r="X757" s="1323"/>
      <c r="Y757" s="1323"/>
      <c r="Z757" s="1323"/>
    </row>
    <row r="758" spans="1:26" ht="18.75" hidden="1">
      <c r="A758" s="1319"/>
      <c r="B758" s="1324"/>
      <c r="C758" s="1320"/>
      <c r="D758" s="1321"/>
      <c r="E758" s="1320" t="s">
        <v>185</v>
      </c>
      <c r="F758" s="1320"/>
      <c r="G758" s="1322"/>
      <c r="H758" s="165" t="s">
        <v>12</v>
      </c>
      <c r="I758" s="886"/>
      <c r="J758" s="886"/>
      <c r="K758" s="887"/>
      <c r="L758" s="887">
        <v>0</v>
      </c>
      <c r="M758" s="887">
        <v>0</v>
      </c>
      <c r="N758" s="887">
        <v>0</v>
      </c>
      <c r="O758" s="887">
        <f t="shared" si="303"/>
        <v>0</v>
      </c>
      <c r="P758" s="887">
        <f t="shared" si="304"/>
        <v>0</v>
      </c>
      <c r="Q758" s="1323"/>
      <c r="R758" s="1323"/>
      <c r="S758" s="1323"/>
      <c r="T758" s="1323"/>
      <c r="U758" s="1323"/>
      <c r="V758" s="1323"/>
      <c r="W758" s="1323"/>
      <c r="X758" s="1323"/>
      <c r="Y758" s="1323"/>
      <c r="Z758" s="1323"/>
    </row>
    <row r="759" spans="1:26" ht="18.75" hidden="1">
      <c r="A759" s="1319"/>
      <c r="B759" s="1324"/>
      <c r="C759" s="1320"/>
      <c r="D759" s="1321"/>
      <c r="E759" s="1320" t="s">
        <v>186</v>
      </c>
      <c r="F759" s="1320"/>
      <c r="G759" s="1322"/>
      <c r="H759" s="165" t="s">
        <v>12</v>
      </c>
      <c r="I759" s="886"/>
      <c r="J759" s="886"/>
      <c r="K759" s="887"/>
      <c r="L759" s="887">
        <v>0</v>
      </c>
      <c r="M759" s="887">
        <v>0</v>
      </c>
      <c r="N759" s="887">
        <f>N760+N761+N762+N763</f>
        <v>0</v>
      </c>
      <c r="O759" s="887">
        <f t="shared" si="303"/>
        <v>0</v>
      </c>
      <c r="P759" s="887">
        <f t="shared" si="304"/>
        <v>0</v>
      </c>
      <c r="Q759" s="1323"/>
      <c r="R759" s="1323"/>
      <c r="S759" s="1323"/>
      <c r="T759" s="1323"/>
      <c r="U759" s="1323"/>
      <c r="V759" s="1323"/>
      <c r="W759" s="1323"/>
      <c r="X759" s="1323"/>
      <c r="Y759" s="1323"/>
      <c r="Z759" s="1323"/>
    </row>
    <row r="760" spans="1:26" ht="18.75" hidden="1">
      <c r="A760" s="1354"/>
      <c r="B760" s="1324"/>
      <c r="C760" s="1320"/>
      <c r="D760" s="1320"/>
      <c r="E760" s="1320"/>
      <c r="F760" s="1320" t="s">
        <v>187</v>
      </c>
      <c r="G760" s="1322"/>
      <c r="H760" s="165" t="s">
        <v>12</v>
      </c>
      <c r="I760" s="886"/>
      <c r="J760" s="886"/>
      <c r="K760" s="887"/>
      <c r="L760" s="887"/>
      <c r="M760" s="887"/>
      <c r="N760" s="887"/>
      <c r="O760" s="887"/>
      <c r="P760" s="887"/>
      <c r="Q760" s="1323"/>
      <c r="R760" s="1323"/>
      <c r="S760" s="1323"/>
      <c r="T760" s="1323"/>
      <c r="U760" s="1323"/>
      <c r="V760" s="1323"/>
      <c r="W760" s="1323"/>
      <c r="X760" s="1323"/>
      <c r="Y760" s="1323"/>
      <c r="Z760" s="1323"/>
    </row>
    <row r="761" spans="1:26" ht="18.75" hidden="1">
      <c r="A761" s="1354"/>
      <c r="B761" s="1324"/>
      <c r="C761" s="1320"/>
      <c r="D761" s="1320"/>
      <c r="E761" s="1320"/>
      <c r="F761" s="1320" t="s">
        <v>188</v>
      </c>
      <c r="G761" s="1322"/>
      <c r="H761" s="165" t="s">
        <v>12</v>
      </c>
      <c r="I761" s="886"/>
      <c r="J761" s="886"/>
      <c r="K761" s="887"/>
      <c r="L761" s="887"/>
      <c r="M761" s="887"/>
      <c r="N761" s="887"/>
      <c r="O761" s="887"/>
      <c r="P761" s="887"/>
      <c r="Q761" s="1323"/>
      <c r="R761" s="1323"/>
      <c r="S761" s="1323"/>
      <c r="T761" s="1323"/>
      <c r="U761" s="1323"/>
      <c r="V761" s="1323"/>
      <c r="W761" s="1323"/>
      <c r="X761" s="1323"/>
      <c r="Y761" s="1323"/>
      <c r="Z761" s="1323"/>
    </row>
    <row r="762" spans="1:26" ht="18.75" hidden="1">
      <c r="A762" s="1354"/>
      <c r="B762" s="1324"/>
      <c r="C762" s="1320"/>
      <c r="D762" s="1320"/>
      <c r="E762" s="1320"/>
      <c r="F762" s="1320" t="s">
        <v>189</v>
      </c>
      <c r="G762" s="1322"/>
      <c r="H762" s="165" t="s">
        <v>12</v>
      </c>
      <c r="I762" s="886"/>
      <c r="J762" s="886"/>
      <c r="K762" s="887"/>
      <c r="L762" s="887"/>
      <c r="M762" s="887"/>
      <c r="N762" s="887"/>
      <c r="O762" s="887"/>
      <c r="P762" s="887"/>
      <c r="Q762" s="1323"/>
      <c r="R762" s="1323"/>
      <c r="S762" s="1323"/>
      <c r="T762" s="1323"/>
      <c r="U762" s="1323"/>
      <c r="V762" s="1323"/>
      <c r="W762" s="1323"/>
      <c r="X762" s="1323"/>
      <c r="Y762" s="1323"/>
      <c r="Z762" s="1323"/>
    </row>
    <row r="763" spans="1:26" ht="18.75" hidden="1">
      <c r="A763" s="1354"/>
      <c r="B763" s="1324"/>
      <c r="C763" s="1320"/>
      <c r="D763" s="1320"/>
      <c r="E763" s="1320"/>
      <c r="F763" s="1320" t="s">
        <v>190</v>
      </c>
      <c r="G763" s="1322"/>
      <c r="H763" s="165" t="s">
        <v>12</v>
      </c>
      <c r="I763" s="886"/>
      <c r="J763" s="886"/>
      <c r="K763" s="887"/>
      <c r="L763" s="887"/>
      <c r="M763" s="887"/>
      <c r="N763" s="887"/>
      <c r="O763" s="887"/>
      <c r="P763" s="887"/>
      <c r="Q763" s="1323"/>
      <c r="R763" s="1323"/>
      <c r="S763" s="1323"/>
      <c r="T763" s="1323"/>
      <c r="U763" s="1323"/>
      <c r="V763" s="1323"/>
      <c r="W763" s="1323"/>
      <c r="X763" s="1323"/>
      <c r="Y763" s="1323"/>
      <c r="Z763" s="1323"/>
    </row>
    <row r="764" spans="1:26" ht="19.5" hidden="1">
      <c r="A764" s="1319"/>
      <c r="B764" s="1324"/>
      <c r="C764" s="1320"/>
      <c r="D764" s="1453" t="s">
        <v>21</v>
      </c>
      <c r="E764" s="1320"/>
      <c r="F764" s="1320"/>
      <c r="G764" s="1322"/>
      <c r="H764" s="781" t="s">
        <v>12</v>
      </c>
      <c r="I764" s="1000"/>
      <c r="J764" s="1000"/>
      <c r="K764" s="1001"/>
      <c r="L764" s="1352">
        <f t="shared" ref="L764:N764" si="307">L765+L766</f>
        <v>0</v>
      </c>
      <c r="M764" s="1352">
        <f t="shared" si="307"/>
        <v>0</v>
      </c>
      <c r="N764" s="1352">
        <f t="shared" si="307"/>
        <v>0</v>
      </c>
      <c r="O764" s="1352">
        <f t="shared" ref="O764:O766" si="308">IF(L764&gt;0,N764*100/L764,0)</f>
        <v>0</v>
      </c>
      <c r="P764" s="1352">
        <f t="shared" ref="P764:P766" si="309">IF(M764&gt;0,N764*100/M764,0)</f>
        <v>0</v>
      </c>
      <c r="Q764" s="1323"/>
      <c r="R764" s="1323"/>
      <c r="S764" s="1323"/>
      <c r="T764" s="1323"/>
      <c r="U764" s="1323"/>
      <c r="V764" s="1323"/>
      <c r="W764" s="1323"/>
      <c r="X764" s="1323"/>
      <c r="Y764" s="1323"/>
      <c r="Z764" s="1323"/>
    </row>
    <row r="765" spans="1:26" ht="18.75" hidden="1">
      <c r="A765" s="1319"/>
      <c r="B765" s="1324"/>
      <c r="C765" s="1320"/>
      <c r="D765" s="1320"/>
      <c r="E765" s="1320" t="s">
        <v>18</v>
      </c>
      <c r="F765" s="1320"/>
      <c r="G765" s="1322"/>
      <c r="H765" s="165" t="s">
        <v>12</v>
      </c>
      <c r="I765" s="1000"/>
      <c r="J765" s="1000"/>
      <c r="K765" s="1001"/>
      <c r="L765" s="887">
        <v>0</v>
      </c>
      <c r="M765" s="887">
        <v>0</v>
      </c>
      <c r="N765" s="887">
        <v>0</v>
      </c>
      <c r="O765" s="887">
        <f t="shared" si="308"/>
        <v>0</v>
      </c>
      <c r="P765" s="887">
        <f t="shared" si="309"/>
        <v>0</v>
      </c>
      <c r="Q765" s="1323"/>
      <c r="R765" s="1323"/>
      <c r="S765" s="1323"/>
      <c r="T765" s="1323"/>
      <c r="U765" s="1323"/>
      <c r="V765" s="1323"/>
      <c r="W765" s="1323"/>
      <c r="X765" s="1323"/>
      <c r="Y765" s="1323"/>
      <c r="Z765" s="1323"/>
    </row>
    <row r="766" spans="1:26" ht="18.75" hidden="1">
      <c r="A766" s="1319"/>
      <c r="B766" s="1324"/>
      <c r="C766" s="1320"/>
      <c r="D766" s="1320"/>
      <c r="E766" s="1320" t="s">
        <v>19</v>
      </c>
      <c r="F766" s="1320"/>
      <c r="G766" s="1322"/>
      <c r="H766" s="169" t="s">
        <v>12</v>
      </c>
      <c r="I766" s="1000"/>
      <c r="J766" s="1000"/>
      <c r="K766" s="1001"/>
      <c r="L766" s="887">
        <v>0</v>
      </c>
      <c r="M766" s="887">
        <v>0</v>
      </c>
      <c r="N766" s="887">
        <v>0</v>
      </c>
      <c r="O766" s="887">
        <f t="shared" si="308"/>
        <v>0</v>
      </c>
      <c r="P766" s="887">
        <f t="shared" si="309"/>
        <v>0</v>
      </c>
      <c r="Q766" s="1323"/>
      <c r="R766" s="1323"/>
      <c r="S766" s="1323"/>
      <c r="T766" s="1323"/>
      <c r="U766" s="1323"/>
      <c r="V766" s="1323"/>
      <c r="W766" s="1323"/>
      <c r="X766" s="1323"/>
      <c r="Y766" s="1323"/>
      <c r="Z766" s="1323"/>
    </row>
    <row r="767" spans="1:26" ht="19.5" hidden="1">
      <c r="A767" s="1332"/>
      <c r="B767" s="1333"/>
      <c r="C767" s="1320" t="s">
        <v>16</v>
      </c>
      <c r="D767" s="1454" t="s">
        <v>38</v>
      </c>
      <c r="E767" s="1356"/>
      <c r="F767" s="1356"/>
      <c r="G767" s="1357"/>
      <c r="H767" s="1113"/>
      <c r="I767" s="1000"/>
      <c r="J767" s="1000"/>
      <c r="K767" s="1001"/>
      <c r="L767" s="1001"/>
      <c r="M767" s="1001"/>
      <c r="N767" s="1001"/>
      <c r="O767" s="1001"/>
      <c r="P767" s="1001"/>
      <c r="Q767" s="1323"/>
      <c r="R767" s="1323"/>
      <c r="S767" s="1323"/>
      <c r="T767" s="1323"/>
      <c r="U767" s="1323"/>
      <c r="V767" s="1323"/>
      <c r="W767" s="1323"/>
      <c r="X767" s="1323"/>
      <c r="Y767" s="1323"/>
      <c r="Z767" s="1323"/>
    </row>
    <row r="768" spans="1:26" ht="18.75" hidden="1">
      <c r="A768" s="1354"/>
      <c r="B768" s="1324"/>
      <c r="C768" s="1320"/>
      <c r="D768" s="1320"/>
      <c r="E768" s="1320" t="s">
        <v>317</v>
      </c>
      <c r="F768" s="1320"/>
      <c r="G768" s="1322"/>
      <c r="H768" s="165" t="s">
        <v>46</v>
      </c>
      <c r="I768" s="886"/>
      <c r="J768" s="886"/>
      <c r="K768" s="887"/>
      <c r="L768" s="887"/>
      <c r="M768" s="887"/>
      <c r="N768" s="887"/>
      <c r="O768" s="887"/>
      <c r="P768" s="887"/>
      <c r="Q768" s="1323"/>
      <c r="R768" s="1323"/>
      <c r="S768" s="1323"/>
      <c r="T768" s="1323"/>
      <c r="U768" s="1323"/>
      <c r="V768" s="1323"/>
      <c r="W768" s="1323"/>
      <c r="X768" s="1323"/>
      <c r="Y768" s="1323"/>
      <c r="Z768" s="1323"/>
    </row>
    <row r="769" spans="1:26" ht="19.5" hidden="1">
      <c r="A769" s="791">
        <v>11</v>
      </c>
      <c r="B769" s="1461" t="s">
        <v>318</v>
      </c>
      <c r="C769" s="1462"/>
      <c r="D769" s="1462"/>
      <c r="E769" s="1462"/>
      <c r="F769" s="1462"/>
      <c r="G769" s="1463"/>
      <c r="H769" s="795" t="s">
        <v>46</v>
      </c>
      <c r="I769" s="1464"/>
      <c r="J769" s="1464">
        <f>J784</f>
        <v>0</v>
      </c>
      <c r="K769" s="1465">
        <f>IF(I769&gt;0,J769*100/I769,0)</f>
        <v>0</v>
      </c>
      <c r="L769" s="1466"/>
      <c r="M769" s="1466"/>
      <c r="N769" s="1466"/>
      <c r="O769" s="1466"/>
      <c r="P769" s="1466"/>
      <c r="Q769" s="1323"/>
      <c r="R769" s="1323"/>
      <c r="S769" s="1323"/>
      <c r="T769" s="1323"/>
      <c r="U769" s="1323"/>
      <c r="V769" s="1323"/>
      <c r="W769" s="1323"/>
      <c r="X769" s="1323"/>
      <c r="Y769" s="1323"/>
      <c r="Z769" s="1323"/>
    </row>
    <row r="770" spans="1:26" ht="19.5" hidden="1">
      <c r="A770" s="1319"/>
      <c r="B770" s="1320"/>
      <c r="C770" s="1320" t="s">
        <v>16</v>
      </c>
      <c r="D770" s="1351" t="s">
        <v>17</v>
      </c>
      <c r="E770" s="841"/>
      <c r="F770" s="841"/>
      <c r="G770" s="1322"/>
      <c r="H770" s="644" t="s">
        <v>12</v>
      </c>
      <c r="I770" s="886"/>
      <c r="J770" s="886"/>
      <c r="K770" s="887"/>
      <c r="L770" s="1352">
        <f t="shared" ref="L770:N770" si="310">L771+L772</f>
        <v>0</v>
      </c>
      <c r="M770" s="1352">
        <f t="shared" si="310"/>
        <v>0</v>
      </c>
      <c r="N770" s="1352">
        <f t="shared" si="310"/>
        <v>0</v>
      </c>
      <c r="O770" s="1352">
        <f t="shared" ref="O770:O775" si="311">IF(L770&gt;0,N770*100/L770,0)</f>
        <v>0</v>
      </c>
      <c r="P770" s="1352">
        <f t="shared" ref="P770:P775" si="312">IF(M770&gt;0,N770*100/M770,0)</f>
        <v>0</v>
      </c>
      <c r="Q770" s="1323"/>
      <c r="R770" s="1323"/>
      <c r="S770" s="1323"/>
      <c r="T770" s="1323"/>
      <c r="U770" s="1323"/>
      <c r="V770" s="1323"/>
      <c r="W770" s="1323"/>
      <c r="X770" s="1323"/>
      <c r="Y770" s="1323"/>
      <c r="Z770" s="1323"/>
    </row>
    <row r="771" spans="1:26" ht="18.75" hidden="1">
      <c r="A771" s="1319"/>
      <c r="B771" s="1320"/>
      <c r="C771" s="1320"/>
      <c r="D771" s="1321"/>
      <c r="E771" s="1320" t="s">
        <v>185</v>
      </c>
      <c r="F771" s="1320"/>
      <c r="G771" s="1322"/>
      <c r="H771" s="165" t="s">
        <v>12</v>
      </c>
      <c r="I771" s="886"/>
      <c r="J771" s="886"/>
      <c r="K771" s="887"/>
      <c r="L771" s="887">
        <f t="shared" ref="L771:N772" si="313">L774+L781</f>
        <v>0</v>
      </c>
      <c r="M771" s="887">
        <f t="shared" si="313"/>
        <v>0</v>
      </c>
      <c r="N771" s="887">
        <f t="shared" si="313"/>
        <v>0</v>
      </c>
      <c r="O771" s="887">
        <f t="shared" si="311"/>
        <v>0</v>
      </c>
      <c r="P771" s="887">
        <f t="shared" si="312"/>
        <v>0</v>
      </c>
      <c r="Q771" s="1323"/>
      <c r="R771" s="1323"/>
      <c r="S771" s="1323"/>
      <c r="T771" s="1323"/>
      <c r="U771" s="1323"/>
      <c r="V771" s="1323"/>
      <c r="W771" s="1323"/>
      <c r="X771" s="1323"/>
      <c r="Y771" s="1323"/>
      <c r="Z771" s="1323"/>
    </row>
    <row r="772" spans="1:26" ht="18.75" hidden="1">
      <c r="A772" s="1319"/>
      <c r="B772" s="1324"/>
      <c r="C772" s="1320"/>
      <c r="D772" s="1321"/>
      <c r="E772" s="1320" t="s">
        <v>186</v>
      </c>
      <c r="F772" s="1320"/>
      <c r="G772" s="1322"/>
      <c r="H772" s="165" t="s">
        <v>12</v>
      </c>
      <c r="I772" s="886"/>
      <c r="J772" s="886"/>
      <c r="K772" s="887"/>
      <c r="L772" s="887">
        <f t="shared" si="313"/>
        <v>0</v>
      </c>
      <c r="M772" s="887">
        <f t="shared" si="313"/>
        <v>0</v>
      </c>
      <c r="N772" s="887">
        <f t="shared" si="313"/>
        <v>0</v>
      </c>
      <c r="O772" s="887">
        <f t="shared" si="311"/>
        <v>0</v>
      </c>
      <c r="P772" s="887">
        <f t="shared" si="312"/>
        <v>0</v>
      </c>
      <c r="Q772" s="1323"/>
      <c r="R772" s="1323"/>
      <c r="S772" s="1323"/>
      <c r="T772" s="1323"/>
      <c r="U772" s="1323"/>
      <c r="V772" s="1323"/>
      <c r="W772" s="1323"/>
      <c r="X772" s="1323"/>
      <c r="Y772" s="1323"/>
      <c r="Z772" s="1323"/>
    </row>
    <row r="773" spans="1:26" ht="19.5" hidden="1">
      <c r="A773" s="1319"/>
      <c r="B773" s="1324"/>
      <c r="C773" s="1320"/>
      <c r="D773" s="1453" t="s">
        <v>20</v>
      </c>
      <c r="E773" s="1320"/>
      <c r="F773" s="1320"/>
      <c r="G773" s="1322"/>
      <c r="H773" s="644" t="s">
        <v>12</v>
      </c>
      <c r="I773" s="1000"/>
      <c r="J773" s="1000"/>
      <c r="K773" s="1001"/>
      <c r="L773" s="1352">
        <f t="shared" ref="L773:N773" si="314">L774+L775</f>
        <v>0</v>
      </c>
      <c r="M773" s="1352">
        <f t="shared" si="314"/>
        <v>0</v>
      </c>
      <c r="N773" s="1352">
        <f t="shared" si="314"/>
        <v>0</v>
      </c>
      <c r="O773" s="1352">
        <f t="shared" si="311"/>
        <v>0</v>
      </c>
      <c r="P773" s="1352">
        <f t="shared" si="312"/>
        <v>0</v>
      </c>
      <c r="Q773" s="1323"/>
      <c r="R773" s="1323"/>
      <c r="S773" s="1323"/>
      <c r="T773" s="1323"/>
      <c r="U773" s="1323"/>
      <c r="V773" s="1323"/>
      <c r="W773" s="1323"/>
      <c r="X773" s="1323"/>
      <c r="Y773" s="1323"/>
      <c r="Z773" s="1323"/>
    </row>
    <row r="774" spans="1:26" ht="18.75" hidden="1">
      <c r="A774" s="1319"/>
      <c r="B774" s="1324"/>
      <c r="C774" s="1320"/>
      <c r="D774" s="1321"/>
      <c r="E774" s="1320" t="s">
        <v>185</v>
      </c>
      <c r="F774" s="1320"/>
      <c r="G774" s="1322"/>
      <c r="H774" s="165" t="s">
        <v>12</v>
      </c>
      <c r="I774" s="886"/>
      <c r="J774" s="886"/>
      <c r="K774" s="887"/>
      <c r="L774" s="887">
        <v>0</v>
      </c>
      <c r="M774" s="887">
        <v>0</v>
      </c>
      <c r="N774" s="887">
        <v>0</v>
      </c>
      <c r="O774" s="887">
        <f t="shared" si="311"/>
        <v>0</v>
      </c>
      <c r="P774" s="887">
        <f t="shared" si="312"/>
        <v>0</v>
      </c>
      <c r="Q774" s="1323"/>
      <c r="R774" s="1323"/>
      <c r="S774" s="1323"/>
      <c r="T774" s="1323"/>
      <c r="U774" s="1323"/>
      <c r="V774" s="1323"/>
      <c r="W774" s="1323"/>
      <c r="X774" s="1323"/>
      <c r="Y774" s="1323"/>
      <c r="Z774" s="1323"/>
    </row>
    <row r="775" spans="1:26" ht="18.75" hidden="1">
      <c r="A775" s="1319"/>
      <c r="B775" s="1324"/>
      <c r="C775" s="1320"/>
      <c r="D775" s="1321"/>
      <c r="E775" s="1320" t="s">
        <v>186</v>
      </c>
      <c r="F775" s="1320"/>
      <c r="G775" s="1322"/>
      <c r="H775" s="165" t="s">
        <v>12</v>
      </c>
      <c r="I775" s="886"/>
      <c r="J775" s="886"/>
      <c r="K775" s="887"/>
      <c r="L775" s="887">
        <v>0</v>
      </c>
      <c r="M775" s="887">
        <v>0</v>
      </c>
      <c r="N775" s="887">
        <f>N776+N777+N778+N779</f>
        <v>0</v>
      </c>
      <c r="O775" s="887">
        <f t="shared" si="311"/>
        <v>0</v>
      </c>
      <c r="P775" s="887">
        <f t="shared" si="312"/>
        <v>0</v>
      </c>
      <c r="Q775" s="1323"/>
      <c r="R775" s="1323"/>
      <c r="S775" s="1323"/>
      <c r="T775" s="1323"/>
      <c r="U775" s="1323"/>
      <c r="V775" s="1323"/>
      <c r="W775" s="1323"/>
      <c r="X775" s="1323"/>
      <c r="Y775" s="1323"/>
      <c r="Z775" s="1323"/>
    </row>
    <row r="776" spans="1:26" ht="18.75" hidden="1">
      <c r="A776" s="1354"/>
      <c r="B776" s="1324"/>
      <c r="C776" s="1320"/>
      <c r="D776" s="1320"/>
      <c r="E776" s="1320"/>
      <c r="F776" s="1320" t="s">
        <v>187</v>
      </c>
      <c r="G776" s="1322"/>
      <c r="H776" s="165" t="s">
        <v>12</v>
      </c>
      <c r="I776" s="886"/>
      <c r="J776" s="886"/>
      <c r="K776" s="887"/>
      <c r="L776" s="887"/>
      <c r="M776" s="887"/>
      <c r="N776" s="887"/>
      <c r="O776" s="887"/>
      <c r="P776" s="887"/>
      <c r="Q776" s="1323"/>
      <c r="R776" s="1323"/>
      <c r="S776" s="1323"/>
      <c r="T776" s="1323"/>
      <c r="U776" s="1323"/>
      <c r="V776" s="1323"/>
      <c r="W776" s="1323"/>
      <c r="X776" s="1323"/>
      <c r="Y776" s="1323"/>
      <c r="Z776" s="1323"/>
    </row>
    <row r="777" spans="1:26" ht="18.75" hidden="1">
      <c r="A777" s="1354"/>
      <c r="B777" s="1324"/>
      <c r="C777" s="1320"/>
      <c r="D777" s="1320"/>
      <c r="E777" s="1320"/>
      <c r="F777" s="1320" t="s">
        <v>188</v>
      </c>
      <c r="G777" s="1322"/>
      <c r="H777" s="165" t="s">
        <v>12</v>
      </c>
      <c r="I777" s="886"/>
      <c r="J777" s="886"/>
      <c r="K777" s="887"/>
      <c r="L777" s="887"/>
      <c r="M777" s="887"/>
      <c r="N777" s="887"/>
      <c r="O777" s="887"/>
      <c r="P777" s="887"/>
      <c r="Q777" s="1323"/>
      <c r="R777" s="1323"/>
      <c r="S777" s="1323"/>
      <c r="T777" s="1323"/>
      <c r="U777" s="1323"/>
      <c r="V777" s="1323"/>
      <c r="W777" s="1323"/>
      <c r="X777" s="1323"/>
      <c r="Y777" s="1323"/>
      <c r="Z777" s="1323"/>
    </row>
    <row r="778" spans="1:26" ht="18.75" hidden="1">
      <c r="A778" s="1354"/>
      <c r="B778" s="1324"/>
      <c r="C778" s="1320"/>
      <c r="D778" s="1320"/>
      <c r="E778" s="1320"/>
      <c r="F778" s="1320" t="s">
        <v>189</v>
      </c>
      <c r="G778" s="1322"/>
      <c r="H778" s="165" t="s">
        <v>12</v>
      </c>
      <c r="I778" s="886"/>
      <c r="J778" s="886"/>
      <c r="K778" s="887"/>
      <c r="L778" s="887"/>
      <c r="M778" s="887"/>
      <c r="N778" s="887"/>
      <c r="O778" s="887"/>
      <c r="P778" s="887"/>
      <c r="Q778" s="1323"/>
      <c r="R778" s="1323"/>
      <c r="S778" s="1323"/>
      <c r="T778" s="1323"/>
      <c r="U778" s="1323"/>
      <c r="V778" s="1323"/>
      <c r="W778" s="1323"/>
      <c r="X778" s="1323"/>
      <c r="Y778" s="1323"/>
      <c r="Z778" s="1323"/>
    </row>
    <row r="779" spans="1:26" ht="18.75" hidden="1">
      <c r="A779" s="1354"/>
      <c r="B779" s="1324"/>
      <c r="C779" s="1320"/>
      <c r="D779" s="1320"/>
      <c r="E779" s="1320"/>
      <c r="F779" s="1320" t="s">
        <v>190</v>
      </c>
      <c r="G779" s="1322"/>
      <c r="H779" s="165" t="s">
        <v>12</v>
      </c>
      <c r="I779" s="886"/>
      <c r="J779" s="886"/>
      <c r="K779" s="887"/>
      <c r="L779" s="887"/>
      <c r="M779" s="887"/>
      <c r="N779" s="887"/>
      <c r="O779" s="887"/>
      <c r="P779" s="887"/>
      <c r="Q779" s="1323"/>
      <c r="R779" s="1323"/>
      <c r="S779" s="1323"/>
      <c r="T779" s="1323"/>
      <c r="U779" s="1323"/>
      <c r="V779" s="1323"/>
      <c r="W779" s="1323"/>
      <c r="X779" s="1323"/>
      <c r="Y779" s="1323"/>
      <c r="Z779" s="1323"/>
    </row>
    <row r="780" spans="1:26" ht="19.5" hidden="1">
      <c r="A780" s="1319"/>
      <c r="B780" s="1324"/>
      <c r="C780" s="1320"/>
      <c r="D780" s="1453" t="s">
        <v>21</v>
      </c>
      <c r="E780" s="1320"/>
      <c r="F780" s="1320"/>
      <c r="G780" s="1322"/>
      <c r="H780" s="781" t="s">
        <v>12</v>
      </c>
      <c r="I780" s="1000"/>
      <c r="J780" s="1000"/>
      <c r="K780" s="1001"/>
      <c r="L780" s="1352">
        <f t="shared" ref="L780:N780" si="315">L781+L782</f>
        <v>0</v>
      </c>
      <c r="M780" s="1352">
        <f t="shared" si="315"/>
        <v>0</v>
      </c>
      <c r="N780" s="1352">
        <f t="shared" si="315"/>
        <v>0</v>
      </c>
      <c r="O780" s="1352">
        <f t="shared" ref="O780:O782" si="316">IF(L780&gt;0,N780*100/L780,0)</f>
        <v>0</v>
      </c>
      <c r="P780" s="1352">
        <f t="shared" ref="P780:P782" si="317">IF(M780&gt;0,N780*100/M780,0)</f>
        <v>0</v>
      </c>
      <c r="Q780" s="1323"/>
      <c r="R780" s="1323"/>
      <c r="S780" s="1323"/>
      <c r="T780" s="1323"/>
      <c r="U780" s="1323"/>
      <c r="V780" s="1323"/>
      <c r="W780" s="1323"/>
      <c r="X780" s="1323"/>
      <c r="Y780" s="1323"/>
      <c r="Z780" s="1323"/>
    </row>
    <row r="781" spans="1:26" ht="18.75" hidden="1">
      <c r="A781" s="1319"/>
      <c r="B781" s="1324"/>
      <c r="C781" s="1320"/>
      <c r="D781" s="1320"/>
      <c r="E781" s="1320" t="s">
        <v>18</v>
      </c>
      <c r="F781" s="1320"/>
      <c r="G781" s="1322"/>
      <c r="H781" s="165" t="s">
        <v>12</v>
      </c>
      <c r="I781" s="1000"/>
      <c r="J781" s="1000"/>
      <c r="K781" s="1001"/>
      <c r="L781" s="887">
        <v>0</v>
      </c>
      <c r="M781" s="887">
        <v>0</v>
      </c>
      <c r="N781" s="887">
        <v>0</v>
      </c>
      <c r="O781" s="887">
        <f t="shared" si="316"/>
        <v>0</v>
      </c>
      <c r="P781" s="887">
        <f t="shared" si="317"/>
        <v>0</v>
      </c>
      <c r="Q781" s="1323"/>
      <c r="R781" s="1323"/>
      <c r="S781" s="1323"/>
      <c r="T781" s="1323"/>
      <c r="U781" s="1323"/>
      <c r="V781" s="1323"/>
      <c r="W781" s="1323"/>
      <c r="X781" s="1323"/>
      <c r="Y781" s="1323"/>
      <c r="Z781" s="1323"/>
    </row>
    <row r="782" spans="1:26" ht="18.75" hidden="1">
      <c r="A782" s="1319"/>
      <c r="B782" s="1324"/>
      <c r="C782" s="1320"/>
      <c r="D782" s="1320"/>
      <c r="E782" s="1320" t="s">
        <v>19</v>
      </c>
      <c r="F782" s="1320"/>
      <c r="G782" s="1322"/>
      <c r="H782" s="169" t="s">
        <v>12</v>
      </c>
      <c r="I782" s="1000"/>
      <c r="J782" s="1000"/>
      <c r="K782" s="1001"/>
      <c r="L782" s="887">
        <v>0</v>
      </c>
      <c r="M782" s="887">
        <v>0</v>
      </c>
      <c r="N782" s="887">
        <v>0</v>
      </c>
      <c r="O782" s="887">
        <f t="shared" si="316"/>
        <v>0</v>
      </c>
      <c r="P782" s="887">
        <f t="shared" si="317"/>
        <v>0</v>
      </c>
      <c r="Q782" s="1323"/>
      <c r="R782" s="1323"/>
      <c r="S782" s="1323"/>
      <c r="T782" s="1323"/>
      <c r="U782" s="1323"/>
      <c r="V782" s="1323"/>
      <c r="W782" s="1323"/>
      <c r="X782" s="1323"/>
      <c r="Y782" s="1323"/>
      <c r="Z782" s="1323"/>
    </row>
    <row r="783" spans="1:26" ht="19.5" hidden="1">
      <c r="A783" s="1332"/>
      <c r="B783" s="1333"/>
      <c r="C783" s="1320" t="s">
        <v>16</v>
      </c>
      <c r="D783" s="1454" t="s">
        <v>38</v>
      </c>
      <c r="E783" s="1356"/>
      <c r="F783" s="1356"/>
      <c r="G783" s="1357"/>
      <c r="H783" s="1467"/>
      <c r="I783" s="1000"/>
      <c r="J783" s="1000"/>
      <c r="K783" s="1001"/>
      <c r="L783" s="1001"/>
      <c r="M783" s="1001"/>
      <c r="N783" s="1001"/>
      <c r="O783" s="1001"/>
      <c r="P783" s="1001"/>
      <c r="Q783" s="1323"/>
      <c r="R783" s="1323"/>
      <c r="S783" s="1323"/>
      <c r="T783" s="1323"/>
      <c r="U783" s="1323"/>
      <c r="V783" s="1323"/>
      <c r="W783" s="1323"/>
      <c r="X783" s="1323"/>
      <c r="Y783" s="1323"/>
      <c r="Z783" s="1323"/>
    </row>
    <row r="784" spans="1:26" ht="18.75" hidden="1">
      <c r="A784" s="1354"/>
      <c r="B784" s="1324"/>
      <c r="C784" s="1320"/>
      <c r="D784" s="1320"/>
      <c r="E784" s="1320" t="s">
        <v>319</v>
      </c>
      <c r="F784" s="1320"/>
      <c r="G784" s="1322"/>
      <c r="H784" s="165" t="s">
        <v>46</v>
      </c>
      <c r="I784" s="886"/>
      <c r="J784" s="886"/>
      <c r="K784" s="887"/>
      <c r="L784" s="887"/>
      <c r="M784" s="887"/>
      <c r="N784" s="887"/>
      <c r="O784" s="887"/>
      <c r="P784" s="887"/>
      <c r="Q784" s="1323"/>
      <c r="R784" s="1323"/>
      <c r="S784" s="1323"/>
      <c r="T784" s="1323"/>
      <c r="U784" s="1323"/>
      <c r="V784" s="1323"/>
      <c r="W784" s="1323"/>
      <c r="X784" s="1323"/>
      <c r="Y784" s="1323"/>
      <c r="Z784" s="1323"/>
    </row>
    <row r="785" spans="1:26" ht="19.5" hidden="1">
      <c r="A785" s="800">
        <v>12</v>
      </c>
      <c r="B785" s="1468" t="s">
        <v>320</v>
      </c>
      <c r="C785" s="1469"/>
      <c r="D785" s="1469"/>
      <c r="E785" s="1469"/>
      <c r="F785" s="1469"/>
      <c r="G785" s="1470"/>
      <c r="H785" s="804" t="s">
        <v>46</v>
      </c>
      <c r="I785" s="1471">
        <f t="shared" ref="I785:J785" ca="1" si="318">I800</f>
        <v>0</v>
      </c>
      <c r="J785" s="1472">
        <f t="shared" ca="1" si="318"/>
        <v>0</v>
      </c>
      <c r="K785" s="1473">
        <f ca="1">IF(I785&gt;0,J785*100/I785,0)</f>
        <v>0</v>
      </c>
      <c r="L785" s="1474"/>
      <c r="M785" s="1474"/>
      <c r="N785" s="1474"/>
      <c r="O785" s="1474"/>
      <c r="P785" s="1474"/>
      <c r="Q785" s="1302"/>
      <c r="R785" s="1302"/>
      <c r="S785" s="1302"/>
      <c r="T785" s="1302"/>
      <c r="U785" s="1302"/>
      <c r="V785" s="1302"/>
      <c r="W785" s="1302"/>
      <c r="X785" s="1302"/>
      <c r="Y785" s="1302"/>
      <c r="Z785" s="1302"/>
    </row>
    <row r="786" spans="1:26" ht="19.5" hidden="1">
      <c r="A786" s="1317"/>
      <c r="B786" s="1300"/>
      <c r="C786" s="1301" t="s">
        <v>16</v>
      </c>
      <c r="D786" s="1318" t="s">
        <v>17</v>
      </c>
      <c r="E786" s="841"/>
      <c r="F786" s="841"/>
      <c r="G786" s="1016"/>
      <c r="H786" s="597" t="s">
        <v>12</v>
      </c>
      <c r="I786" s="880"/>
      <c r="J786" s="880"/>
      <c r="K786" s="881"/>
      <c r="L786" s="1020">
        <f t="shared" ref="L786:N786" ca="1" si="319">L787+L788</f>
        <v>0</v>
      </c>
      <c r="M786" s="1020">
        <f t="shared" si="319"/>
        <v>0</v>
      </c>
      <c r="N786" s="1020">
        <f t="shared" si="319"/>
        <v>0</v>
      </c>
      <c r="O786" s="1020">
        <f t="shared" ref="O786:O791" ca="1" si="320">IF(L786&gt;0,N786*100/L786,0)</f>
        <v>0</v>
      </c>
      <c r="P786" s="1020">
        <f t="shared" ref="P786:P791" si="321">IF(M786&gt;0,N786*100/M786,0)</f>
        <v>0</v>
      </c>
      <c r="Q786" s="1302"/>
      <c r="R786" s="1302"/>
      <c r="S786" s="1302"/>
      <c r="T786" s="1302"/>
      <c r="U786" s="1302"/>
      <c r="V786" s="1302"/>
      <c r="W786" s="1302"/>
      <c r="X786" s="1302"/>
      <c r="Y786" s="1302"/>
      <c r="Z786" s="1302"/>
    </row>
    <row r="787" spans="1:26" ht="18.75" hidden="1">
      <c r="A787" s="1319"/>
      <c r="B787" s="1324"/>
      <c r="C787" s="1320"/>
      <c r="D787" s="1321"/>
      <c r="E787" s="1320" t="s">
        <v>185</v>
      </c>
      <c r="F787" s="1320"/>
      <c r="G787" s="1322"/>
      <c r="H787" s="165" t="s">
        <v>12</v>
      </c>
      <c r="I787" s="886"/>
      <c r="J787" s="886"/>
      <c r="K787" s="887"/>
      <c r="L787" s="887">
        <f t="shared" ref="L787:N788" si="322">L790+L797</f>
        <v>0</v>
      </c>
      <c r="M787" s="887">
        <f t="shared" si="322"/>
        <v>0</v>
      </c>
      <c r="N787" s="887">
        <f t="shared" si="322"/>
        <v>0</v>
      </c>
      <c r="O787" s="887">
        <f t="shared" si="320"/>
        <v>0</v>
      </c>
      <c r="P787" s="887">
        <f t="shared" si="321"/>
        <v>0</v>
      </c>
      <c r="Q787" s="1323"/>
      <c r="R787" s="1323"/>
      <c r="S787" s="1323"/>
      <c r="T787" s="1323"/>
      <c r="U787" s="1323"/>
      <c r="V787" s="1323"/>
      <c r="W787" s="1323"/>
      <c r="X787" s="1323"/>
      <c r="Y787" s="1323"/>
      <c r="Z787" s="1323"/>
    </row>
    <row r="788" spans="1:26" ht="18.75" hidden="1">
      <c r="A788" s="1319"/>
      <c r="B788" s="1324"/>
      <c r="C788" s="1324"/>
      <c r="D788" s="1333"/>
      <c r="E788" s="1320" t="s">
        <v>186</v>
      </c>
      <c r="F788" s="1320"/>
      <c r="G788" s="1322"/>
      <c r="H788" s="165" t="s">
        <v>12</v>
      </c>
      <c r="I788" s="886"/>
      <c r="J788" s="886"/>
      <c r="K788" s="887"/>
      <c r="L788" s="887">
        <f t="shared" ca="1" si="322"/>
        <v>0</v>
      </c>
      <c r="M788" s="887">
        <f t="shared" si="322"/>
        <v>0</v>
      </c>
      <c r="N788" s="887">
        <f t="shared" si="322"/>
        <v>0</v>
      </c>
      <c r="O788" s="887">
        <f t="shared" ca="1" si="320"/>
        <v>0</v>
      </c>
      <c r="P788" s="887">
        <f t="shared" si="321"/>
        <v>0</v>
      </c>
      <c r="Q788" s="1323"/>
      <c r="R788" s="1323"/>
      <c r="S788" s="1323"/>
      <c r="T788" s="1323"/>
      <c r="U788" s="1323"/>
      <c r="V788" s="1323"/>
      <c r="W788" s="1323"/>
      <c r="X788" s="1323"/>
      <c r="Y788" s="1323"/>
      <c r="Z788" s="1323"/>
    </row>
    <row r="789" spans="1:26" ht="18.75" hidden="1">
      <c r="A789" s="1317"/>
      <c r="B789" s="1300"/>
      <c r="C789" s="1300"/>
      <c r="D789" s="1325" t="s">
        <v>20</v>
      </c>
      <c r="E789" s="1301"/>
      <c r="F789" s="1301"/>
      <c r="G789" s="1016"/>
      <c r="H789" s="161" t="s">
        <v>12</v>
      </c>
      <c r="I789" s="997"/>
      <c r="J789" s="997"/>
      <c r="K789" s="998"/>
      <c r="L789" s="881">
        <f t="shared" ref="L789:N789" ca="1" si="323">L790+L791</f>
        <v>0</v>
      </c>
      <c r="M789" s="881">
        <f t="shared" si="323"/>
        <v>0</v>
      </c>
      <c r="N789" s="881">
        <f t="shared" si="323"/>
        <v>0</v>
      </c>
      <c r="O789" s="881">
        <f t="shared" ca="1" si="320"/>
        <v>0</v>
      </c>
      <c r="P789" s="881">
        <f t="shared" si="321"/>
        <v>0</v>
      </c>
      <c r="Q789" s="1302"/>
      <c r="R789" s="1302"/>
      <c r="S789" s="1302"/>
      <c r="T789" s="1302"/>
      <c r="U789" s="1302"/>
      <c r="V789" s="1302"/>
      <c r="W789" s="1302"/>
      <c r="X789" s="1302"/>
      <c r="Y789" s="1302"/>
      <c r="Z789" s="1302"/>
    </row>
    <row r="790" spans="1:26" ht="18.75" hidden="1">
      <c r="A790" s="1319"/>
      <c r="B790" s="1324"/>
      <c r="C790" s="1324"/>
      <c r="D790" s="1333"/>
      <c r="E790" s="1320" t="s">
        <v>185</v>
      </c>
      <c r="F790" s="1320"/>
      <c r="G790" s="1322"/>
      <c r="H790" s="165" t="s">
        <v>12</v>
      </c>
      <c r="I790" s="886"/>
      <c r="J790" s="886"/>
      <c r="K790" s="887"/>
      <c r="L790" s="887">
        <v>0</v>
      </c>
      <c r="M790" s="887">
        <v>0</v>
      </c>
      <c r="N790" s="887">
        <v>0</v>
      </c>
      <c r="O790" s="887">
        <f t="shared" si="320"/>
        <v>0</v>
      </c>
      <c r="P790" s="887">
        <f t="shared" si="321"/>
        <v>0</v>
      </c>
      <c r="Q790" s="1323"/>
      <c r="R790" s="1323"/>
      <c r="S790" s="1323"/>
      <c r="T790" s="1323"/>
      <c r="U790" s="1323"/>
      <c r="V790" s="1323"/>
      <c r="W790" s="1323"/>
      <c r="X790" s="1323"/>
      <c r="Y790" s="1323"/>
      <c r="Z790" s="1323"/>
    </row>
    <row r="791" spans="1:26" ht="18.75" hidden="1">
      <c r="A791" s="1319"/>
      <c r="B791" s="1324"/>
      <c r="C791" s="1324"/>
      <c r="D791" s="1333"/>
      <c r="E791" s="1320" t="s">
        <v>186</v>
      </c>
      <c r="F791" s="1320"/>
      <c r="G791" s="1322"/>
      <c r="H791" s="165" t="s">
        <v>12</v>
      </c>
      <c r="I791" s="886"/>
      <c r="J791" s="886"/>
      <c r="K791" s="887"/>
      <c r="L791" s="887">
        <f ca="1">IFERROR(__xludf.DUMMYFUNCTION("IMPORTRANGE(""https://docs.google.com/spreadsheets/d/1QqKyyYR6Q21VydFLVH3TRQUabQu_ym0Zz7PgGX0-kHA/edit?usp=sharing"",""แผน!JJ86"")"),0)</f>
        <v>0</v>
      </c>
      <c r="M791" s="887">
        <v>0</v>
      </c>
      <c r="N791" s="887">
        <f>N792+N793+N794+N795</f>
        <v>0</v>
      </c>
      <c r="O791" s="887">
        <f t="shared" ca="1" si="320"/>
        <v>0</v>
      </c>
      <c r="P791" s="887">
        <f t="shared" si="321"/>
        <v>0</v>
      </c>
      <c r="Q791" s="1323"/>
      <c r="R791" s="1323"/>
      <c r="S791" s="1323"/>
      <c r="T791" s="1323"/>
      <c r="U791" s="1323"/>
      <c r="V791" s="1323"/>
      <c r="W791" s="1323"/>
      <c r="X791" s="1323"/>
      <c r="Y791" s="1323"/>
      <c r="Z791" s="1323"/>
    </row>
    <row r="792" spans="1:26" ht="18.75" hidden="1">
      <c r="A792" s="1299"/>
      <c r="B792" s="1300"/>
      <c r="C792" s="1301"/>
      <c r="D792" s="1301"/>
      <c r="E792" s="1301"/>
      <c r="F792" s="1301" t="s">
        <v>187</v>
      </c>
      <c r="G792" s="1016"/>
      <c r="H792" s="161" t="s">
        <v>12</v>
      </c>
      <c r="I792" s="880"/>
      <c r="J792" s="880"/>
      <c r="K792" s="881"/>
      <c r="L792" s="881"/>
      <c r="M792" s="881"/>
      <c r="N792" s="1085">
        <v>0</v>
      </c>
      <c r="O792" s="881"/>
      <c r="P792" s="881"/>
      <c r="Q792" s="1302"/>
      <c r="R792" s="1302"/>
      <c r="S792" s="1302"/>
      <c r="T792" s="1302"/>
      <c r="U792" s="1302"/>
      <c r="V792" s="1302"/>
      <c r="W792" s="1302"/>
      <c r="X792" s="1302"/>
      <c r="Y792" s="1302"/>
      <c r="Z792" s="1302"/>
    </row>
    <row r="793" spans="1:26" ht="18.75" hidden="1">
      <c r="A793" s="1299"/>
      <c r="B793" s="1300"/>
      <c r="C793" s="1301"/>
      <c r="D793" s="1301"/>
      <c r="E793" s="1301"/>
      <c r="F793" s="1301" t="s">
        <v>188</v>
      </c>
      <c r="G793" s="1016"/>
      <c r="H793" s="161" t="s">
        <v>12</v>
      </c>
      <c r="I793" s="880"/>
      <c r="J793" s="880"/>
      <c r="K793" s="881"/>
      <c r="L793" s="881"/>
      <c r="M793" s="881"/>
      <c r="N793" s="1085">
        <v>0</v>
      </c>
      <c r="O793" s="881"/>
      <c r="P793" s="881"/>
      <c r="Q793" s="1302"/>
      <c r="R793" s="1302"/>
      <c r="S793" s="1302"/>
      <c r="T793" s="1302"/>
      <c r="U793" s="1302"/>
      <c r="V793" s="1302"/>
      <c r="W793" s="1302"/>
      <c r="X793" s="1302"/>
      <c r="Y793" s="1302"/>
      <c r="Z793" s="1302"/>
    </row>
    <row r="794" spans="1:26" ht="18.75" hidden="1">
      <c r="A794" s="1299"/>
      <c r="B794" s="1300"/>
      <c r="C794" s="1301"/>
      <c r="D794" s="1301"/>
      <c r="E794" s="1301"/>
      <c r="F794" s="1301" t="s">
        <v>189</v>
      </c>
      <c r="G794" s="1016"/>
      <c r="H794" s="161" t="s">
        <v>12</v>
      </c>
      <c r="I794" s="880"/>
      <c r="J794" s="880"/>
      <c r="K794" s="881"/>
      <c r="L794" s="881"/>
      <c r="M794" s="881"/>
      <c r="N794" s="1085">
        <v>0</v>
      </c>
      <c r="O794" s="881"/>
      <c r="P794" s="881"/>
      <c r="Q794" s="1302"/>
      <c r="R794" s="1302"/>
      <c r="S794" s="1302"/>
      <c r="T794" s="1302"/>
      <c r="U794" s="1302"/>
      <c r="V794" s="1302"/>
      <c r="W794" s="1302"/>
      <c r="X794" s="1302"/>
      <c r="Y794" s="1302"/>
      <c r="Z794" s="1302"/>
    </row>
    <row r="795" spans="1:26" ht="18.75" hidden="1">
      <c r="A795" s="1299"/>
      <c r="B795" s="1300"/>
      <c r="C795" s="1301"/>
      <c r="D795" s="1301"/>
      <c r="E795" s="1301"/>
      <c r="F795" s="1301" t="s">
        <v>190</v>
      </c>
      <c r="G795" s="1016"/>
      <c r="H795" s="161" t="s">
        <v>12</v>
      </c>
      <c r="I795" s="880"/>
      <c r="J795" s="880"/>
      <c r="K795" s="881"/>
      <c r="L795" s="881"/>
      <c r="M795" s="881"/>
      <c r="N795" s="1085">
        <v>0</v>
      </c>
      <c r="O795" s="881"/>
      <c r="P795" s="881"/>
      <c r="Q795" s="1302"/>
      <c r="R795" s="1302"/>
      <c r="S795" s="1302"/>
      <c r="T795" s="1302"/>
      <c r="U795" s="1302"/>
      <c r="V795" s="1302"/>
      <c r="W795" s="1302"/>
      <c r="X795" s="1302"/>
      <c r="Y795" s="1302"/>
      <c r="Z795" s="1302"/>
    </row>
    <row r="796" spans="1:26" ht="18.75" hidden="1">
      <c r="A796" s="1317"/>
      <c r="B796" s="1300"/>
      <c r="C796" s="1301"/>
      <c r="D796" s="1325" t="s">
        <v>21</v>
      </c>
      <c r="E796" s="1301"/>
      <c r="F796" s="1301"/>
      <c r="G796" s="1016"/>
      <c r="H796" s="168" t="s">
        <v>12</v>
      </c>
      <c r="I796" s="997"/>
      <c r="J796" s="997"/>
      <c r="K796" s="998"/>
      <c r="L796" s="881">
        <f t="shared" ref="L796:N796" si="324">L797+L798</f>
        <v>0</v>
      </c>
      <c r="M796" s="881">
        <f t="shared" si="324"/>
        <v>0</v>
      </c>
      <c r="N796" s="881">
        <f t="shared" si="324"/>
        <v>0</v>
      </c>
      <c r="O796" s="881">
        <f t="shared" ref="O796:O798" si="325">IF(L796&gt;0,N796*100/L796,0)</f>
        <v>0</v>
      </c>
      <c r="P796" s="881">
        <f t="shared" ref="P796:P798" si="326">IF(M796&gt;0,N796*100/M796,0)</f>
        <v>0</v>
      </c>
      <c r="Q796" s="1302"/>
      <c r="R796" s="1302"/>
      <c r="S796" s="1302"/>
      <c r="T796" s="1302"/>
      <c r="U796" s="1302"/>
      <c r="V796" s="1302"/>
      <c r="W796" s="1302"/>
      <c r="X796" s="1302"/>
      <c r="Y796" s="1302"/>
      <c r="Z796" s="1302"/>
    </row>
    <row r="797" spans="1:26" ht="18.75" hidden="1">
      <c r="A797" s="1319"/>
      <c r="B797" s="1324"/>
      <c r="C797" s="1320"/>
      <c r="D797" s="1320"/>
      <c r="E797" s="1320" t="s">
        <v>18</v>
      </c>
      <c r="F797" s="1320"/>
      <c r="G797" s="1322"/>
      <c r="H797" s="165" t="s">
        <v>12</v>
      </c>
      <c r="I797" s="1000"/>
      <c r="J797" s="1000"/>
      <c r="K797" s="1001"/>
      <c r="L797" s="887">
        <v>0</v>
      </c>
      <c r="M797" s="887">
        <v>0</v>
      </c>
      <c r="N797" s="887">
        <v>0</v>
      </c>
      <c r="O797" s="887">
        <f t="shared" si="325"/>
        <v>0</v>
      </c>
      <c r="P797" s="887">
        <f t="shared" si="326"/>
        <v>0</v>
      </c>
      <c r="Q797" s="1323"/>
      <c r="R797" s="1323"/>
      <c r="S797" s="1323"/>
      <c r="T797" s="1323"/>
      <c r="U797" s="1323"/>
      <c r="V797" s="1323"/>
      <c r="W797" s="1323"/>
      <c r="X797" s="1323"/>
      <c r="Y797" s="1323"/>
      <c r="Z797" s="1323"/>
    </row>
    <row r="798" spans="1:26" ht="18.75" hidden="1">
      <c r="A798" s="1319"/>
      <c r="B798" s="1324"/>
      <c r="C798" s="1320"/>
      <c r="D798" s="1320"/>
      <c r="E798" s="1320" t="s">
        <v>19</v>
      </c>
      <c r="F798" s="1320"/>
      <c r="G798" s="1322"/>
      <c r="H798" s="169" t="s">
        <v>12</v>
      </c>
      <c r="I798" s="1000"/>
      <c r="J798" s="1000"/>
      <c r="K798" s="1001"/>
      <c r="L798" s="887">
        <v>0</v>
      </c>
      <c r="M798" s="887">
        <v>0</v>
      </c>
      <c r="N798" s="887">
        <v>0</v>
      </c>
      <c r="O798" s="887">
        <f t="shared" si="325"/>
        <v>0</v>
      </c>
      <c r="P798" s="887">
        <f t="shared" si="326"/>
        <v>0</v>
      </c>
      <c r="Q798" s="1323"/>
      <c r="R798" s="1323"/>
      <c r="S798" s="1323"/>
      <c r="T798" s="1323"/>
      <c r="U798" s="1323"/>
      <c r="V798" s="1323"/>
      <c r="W798" s="1323"/>
      <c r="X798" s="1323"/>
      <c r="Y798" s="1323"/>
      <c r="Z798" s="1323"/>
    </row>
    <row r="799" spans="1:26" ht="19.5" hidden="1">
      <c r="A799" s="1326"/>
      <c r="B799" s="1327"/>
      <c r="C799" s="1301" t="s">
        <v>16</v>
      </c>
      <c r="D799" s="1439" t="s">
        <v>38</v>
      </c>
      <c r="E799" s="1330"/>
      <c r="F799" s="1330"/>
      <c r="G799" s="1331"/>
      <c r="H799" s="1475"/>
      <c r="I799" s="997"/>
      <c r="J799" s="997"/>
      <c r="K799" s="998"/>
      <c r="L799" s="998"/>
      <c r="M799" s="998"/>
      <c r="N799" s="998"/>
      <c r="O799" s="998"/>
      <c r="P799" s="998"/>
      <c r="Q799" s="1302"/>
      <c r="R799" s="1302"/>
      <c r="S799" s="1302"/>
      <c r="T799" s="1302"/>
      <c r="U799" s="1302"/>
      <c r="V799" s="1302"/>
      <c r="W799" s="1302"/>
      <c r="X799" s="1302"/>
      <c r="Y799" s="1302"/>
      <c r="Z799" s="1302"/>
    </row>
    <row r="800" spans="1:26" ht="18.75" hidden="1">
      <c r="A800" s="1326"/>
      <c r="B800" s="1327"/>
      <c r="C800" s="1327"/>
      <c r="D800" s="1327"/>
      <c r="E800" s="1014"/>
      <c r="F800" s="1014" t="s">
        <v>321</v>
      </c>
      <c r="G800" s="1007"/>
      <c r="H800" s="185" t="s">
        <v>46</v>
      </c>
      <c r="I800" s="997">
        <f ca="1">IFERROR(__xludf.DUMMYFUNCTION("IMPORTRANGE(""https://docs.google.com/spreadsheets/d/1QqKyyYR6Q21VydFLVH3TRQUabQu_ym0Zz7PgGX0-kHA/edit?usp=sharing"",""แผน!JN86"")"),0)</f>
        <v>0</v>
      </c>
      <c r="J800" s="997">
        <f ca="1">IFERROR(__xludf.DUMMYFUNCTION("IMPORTRANGE(""https://docs.google.com/spreadsheets/d/1MaWodYyGHDf7siQLGxnXhG4mBNTNIuy296niS2xXulU/edit?usp=sharing"",""RTK!H86"")"),0)</f>
        <v>0</v>
      </c>
      <c r="K800" s="881">
        <f ca="1">IF(I800&gt;0,J800*100/I800,0)</f>
        <v>0</v>
      </c>
      <c r="L800" s="881"/>
      <c r="M800" s="881"/>
      <c r="N800" s="881"/>
      <c r="O800" s="998"/>
      <c r="P800" s="998"/>
      <c r="Q800" s="1302"/>
      <c r="R800" s="1302"/>
      <c r="S800" s="1302"/>
      <c r="T800" s="1302"/>
      <c r="U800" s="1302"/>
      <c r="V800" s="1302"/>
      <c r="W800" s="1302"/>
      <c r="X800" s="1302"/>
      <c r="Y800" s="1302"/>
      <c r="Z800" s="1302"/>
    </row>
    <row r="801" spans="1:26" ht="18.75" hidden="1">
      <c r="A801" s="1326"/>
      <c r="B801" s="1327"/>
      <c r="C801" s="1327"/>
      <c r="D801" s="1327"/>
      <c r="E801" s="1014"/>
      <c r="F801" s="1014"/>
      <c r="G801" s="1007"/>
      <c r="H801" s="161" t="s">
        <v>34</v>
      </c>
      <c r="I801" s="997"/>
      <c r="J801" s="880">
        <f ca="1">IFERROR(__xludf.DUMMYFUNCTION("IMPORTRANGE(""https://docs.google.com/spreadsheets/d/1MaWodYyGHDf7siQLGxnXhG4mBNTNIuy296niS2xXulU/edit?usp=sharing"",""RTK!I86"")"),0)</f>
        <v>0</v>
      </c>
      <c r="K801" s="881"/>
      <c r="L801" s="881"/>
      <c r="M801" s="881"/>
      <c r="N801" s="881"/>
      <c r="O801" s="998"/>
      <c r="P801" s="998"/>
      <c r="Q801" s="1302"/>
      <c r="R801" s="1302"/>
      <c r="S801" s="1302"/>
      <c r="T801" s="1302"/>
      <c r="U801" s="1302"/>
      <c r="V801" s="1302"/>
      <c r="W801" s="1302"/>
      <c r="X801" s="1302"/>
      <c r="Y801" s="1302"/>
      <c r="Z801" s="1302"/>
    </row>
    <row r="802" spans="1:26" ht="18.75" hidden="1">
      <c r="A802" s="1332"/>
      <c r="B802" s="1333"/>
      <c r="C802" s="1333"/>
      <c r="D802" s="1333"/>
      <c r="E802" s="1321"/>
      <c r="F802" s="1321" t="s">
        <v>322</v>
      </c>
      <c r="G802" s="1113"/>
      <c r="H802" s="651" t="s">
        <v>46</v>
      </c>
      <c r="I802" s="1000"/>
      <c r="J802" s="886"/>
      <c r="K802" s="1001">
        <f>IF(I802&gt;0,J802*100/I802,0)</f>
        <v>0</v>
      </c>
      <c r="L802" s="1001"/>
      <c r="M802" s="1001"/>
      <c r="N802" s="1001"/>
      <c r="O802" s="1001"/>
      <c r="P802" s="1001"/>
      <c r="Q802" s="1323"/>
      <c r="R802" s="1323"/>
      <c r="S802" s="1323"/>
      <c r="T802" s="1323"/>
      <c r="U802" s="1323"/>
      <c r="V802" s="1323"/>
      <c r="W802" s="1323"/>
      <c r="X802" s="1323"/>
      <c r="Y802" s="1323"/>
      <c r="Z802" s="1323"/>
    </row>
    <row r="803" spans="1:26" ht="18.75" hidden="1">
      <c r="A803" s="1332"/>
      <c r="B803" s="1333"/>
      <c r="C803" s="1333"/>
      <c r="D803" s="1333"/>
      <c r="E803" s="1321"/>
      <c r="F803" s="1321"/>
      <c r="G803" s="1113"/>
      <c r="H803" s="651" t="s">
        <v>34</v>
      </c>
      <c r="I803" s="1000"/>
      <c r="J803" s="886"/>
      <c r="K803" s="1001"/>
      <c r="L803" s="1001"/>
      <c r="M803" s="1001"/>
      <c r="N803" s="1001"/>
      <c r="O803" s="1001"/>
      <c r="P803" s="1001"/>
      <c r="Q803" s="1323"/>
      <c r="R803" s="1323"/>
      <c r="S803" s="1323"/>
      <c r="T803" s="1323"/>
      <c r="U803" s="1323"/>
      <c r="V803" s="1323"/>
      <c r="W803" s="1323"/>
      <c r="X803" s="1323"/>
      <c r="Y803" s="1323"/>
      <c r="Z803" s="1323"/>
    </row>
    <row r="804" spans="1:26" ht="19.5" hidden="1">
      <c r="A804" s="791">
        <v>13</v>
      </c>
      <c r="B804" s="1461" t="s">
        <v>323</v>
      </c>
      <c r="C804" s="1462"/>
      <c r="D804" s="1476"/>
      <c r="E804" s="1462"/>
      <c r="F804" s="1462"/>
      <c r="G804" s="1463"/>
      <c r="H804" s="795" t="s">
        <v>46</v>
      </c>
      <c r="I804" s="1464"/>
      <c r="J804" s="1464">
        <f>J819</f>
        <v>0</v>
      </c>
      <c r="K804" s="1465">
        <f>IF(I804&gt;0,J804*100/I804,0)</f>
        <v>0</v>
      </c>
      <c r="L804" s="1466"/>
      <c r="M804" s="1466"/>
      <c r="N804" s="1466"/>
      <c r="O804" s="1466"/>
      <c r="P804" s="1466"/>
      <c r="Q804" s="1323"/>
      <c r="R804" s="1323"/>
      <c r="S804" s="1323"/>
      <c r="T804" s="1323"/>
      <c r="U804" s="1323"/>
      <c r="V804" s="1323"/>
      <c r="W804" s="1323"/>
      <c r="X804" s="1323"/>
      <c r="Y804" s="1323"/>
      <c r="Z804" s="1323"/>
    </row>
    <row r="805" spans="1:26" ht="19.5" hidden="1">
      <c r="A805" s="1319"/>
      <c r="B805" s="1320"/>
      <c r="C805" s="1320" t="s">
        <v>16</v>
      </c>
      <c r="D805" s="1351" t="s">
        <v>17</v>
      </c>
      <c r="E805" s="841"/>
      <c r="F805" s="841"/>
      <c r="G805" s="1322"/>
      <c r="H805" s="644" t="s">
        <v>12</v>
      </c>
      <c r="I805" s="886"/>
      <c r="J805" s="886"/>
      <c r="K805" s="887"/>
      <c r="L805" s="1352">
        <f t="shared" ref="L805:N805" si="327">L806+L807</f>
        <v>0</v>
      </c>
      <c r="M805" s="1352">
        <f t="shared" si="327"/>
        <v>0</v>
      </c>
      <c r="N805" s="1352">
        <f t="shared" si="327"/>
        <v>0</v>
      </c>
      <c r="O805" s="1352">
        <f t="shared" ref="O805:O810" si="328">IF(L805&gt;0,N805*100/L805,0)</f>
        <v>0</v>
      </c>
      <c r="P805" s="1352">
        <f t="shared" ref="P805:P810" si="329">IF(M805&gt;0,N805*100/M805,0)</f>
        <v>0</v>
      </c>
      <c r="Q805" s="1323"/>
      <c r="R805" s="1323"/>
      <c r="S805" s="1323"/>
      <c r="T805" s="1323"/>
      <c r="U805" s="1323"/>
      <c r="V805" s="1323"/>
      <c r="W805" s="1323"/>
      <c r="X805" s="1323"/>
      <c r="Y805" s="1323"/>
      <c r="Z805" s="1323"/>
    </row>
    <row r="806" spans="1:26" ht="18.75" hidden="1">
      <c r="A806" s="1319"/>
      <c r="B806" s="1320"/>
      <c r="C806" s="1320"/>
      <c r="D806" s="1333"/>
      <c r="E806" s="1320" t="s">
        <v>185</v>
      </c>
      <c r="F806" s="1320"/>
      <c r="G806" s="1322"/>
      <c r="H806" s="165" t="s">
        <v>12</v>
      </c>
      <c r="I806" s="886"/>
      <c r="J806" s="886"/>
      <c r="K806" s="887"/>
      <c r="L806" s="887">
        <f t="shared" ref="L806:N807" si="330">L809+L816</f>
        <v>0</v>
      </c>
      <c r="M806" s="887">
        <f t="shared" si="330"/>
        <v>0</v>
      </c>
      <c r="N806" s="887">
        <f t="shared" si="330"/>
        <v>0</v>
      </c>
      <c r="O806" s="887">
        <f t="shared" si="328"/>
        <v>0</v>
      </c>
      <c r="P806" s="887">
        <f t="shared" si="329"/>
        <v>0</v>
      </c>
      <c r="Q806" s="1323"/>
      <c r="R806" s="1323"/>
      <c r="S806" s="1323"/>
      <c r="T806" s="1323"/>
      <c r="U806" s="1323"/>
      <c r="V806" s="1323"/>
      <c r="W806" s="1323"/>
      <c r="X806" s="1323"/>
      <c r="Y806" s="1323"/>
      <c r="Z806" s="1323"/>
    </row>
    <row r="807" spans="1:26" ht="18.75" hidden="1">
      <c r="A807" s="1319"/>
      <c r="B807" s="1320"/>
      <c r="C807" s="1320"/>
      <c r="D807" s="1333"/>
      <c r="E807" s="1320" t="s">
        <v>186</v>
      </c>
      <c r="F807" s="1320"/>
      <c r="G807" s="1322"/>
      <c r="H807" s="165" t="s">
        <v>12</v>
      </c>
      <c r="I807" s="886"/>
      <c r="J807" s="886"/>
      <c r="K807" s="887"/>
      <c r="L807" s="887">
        <f t="shared" si="330"/>
        <v>0</v>
      </c>
      <c r="M807" s="887">
        <f t="shared" si="330"/>
        <v>0</v>
      </c>
      <c r="N807" s="887">
        <f t="shared" si="330"/>
        <v>0</v>
      </c>
      <c r="O807" s="887">
        <f t="shared" si="328"/>
        <v>0</v>
      </c>
      <c r="P807" s="887">
        <f t="shared" si="329"/>
        <v>0</v>
      </c>
      <c r="Q807" s="1323"/>
      <c r="R807" s="1323"/>
      <c r="S807" s="1323"/>
      <c r="T807" s="1323"/>
      <c r="U807" s="1323"/>
      <c r="V807" s="1323"/>
      <c r="W807" s="1323"/>
      <c r="X807" s="1323"/>
      <c r="Y807" s="1323"/>
      <c r="Z807" s="1323"/>
    </row>
    <row r="808" spans="1:26" ht="19.5" hidden="1">
      <c r="A808" s="1319"/>
      <c r="B808" s="1324"/>
      <c r="C808" s="1320"/>
      <c r="D808" s="1477" t="s">
        <v>20</v>
      </c>
      <c r="E808" s="841"/>
      <c r="F808" s="841"/>
      <c r="G808" s="1322"/>
      <c r="H808" s="644" t="s">
        <v>12</v>
      </c>
      <c r="I808" s="1000"/>
      <c r="J808" s="1000"/>
      <c r="K808" s="1001"/>
      <c r="L808" s="1352">
        <f t="shared" ref="L808:N808" si="331">L809+L810</f>
        <v>0</v>
      </c>
      <c r="M808" s="1352">
        <f t="shared" si="331"/>
        <v>0</v>
      </c>
      <c r="N808" s="1352">
        <f t="shared" si="331"/>
        <v>0</v>
      </c>
      <c r="O808" s="1352">
        <f t="shared" si="328"/>
        <v>0</v>
      </c>
      <c r="P808" s="1352">
        <f t="shared" si="329"/>
        <v>0</v>
      </c>
      <c r="Q808" s="1323"/>
      <c r="R808" s="1323"/>
      <c r="S808" s="1323"/>
      <c r="T808" s="1323"/>
      <c r="U808" s="1323"/>
      <c r="V808" s="1323"/>
      <c r="W808" s="1323"/>
      <c r="X808" s="1323"/>
      <c r="Y808" s="1323"/>
      <c r="Z808" s="1323"/>
    </row>
    <row r="809" spans="1:26" ht="18.75" hidden="1">
      <c r="A809" s="1319"/>
      <c r="B809" s="1320"/>
      <c r="C809" s="1320"/>
      <c r="D809" s="1333"/>
      <c r="E809" s="1320" t="s">
        <v>185</v>
      </c>
      <c r="F809" s="1320"/>
      <c r="G809" s="1322"/>
      <c r="H809" s="165" t="s">
        <v>12</v>
      </c>
      <c r="I809" s="886"/>
      <c r="J809" s="886"/>
      <c r="K809" s="887"/>
      <c r="L809" s="887">
        <v>0</v>
      </c>
      <c r="M809" s="887">
        <v>0</v>
      </c>
      <c r="N809" s="887">
        <v>0</v>
      </c>
      <c r="O809" s="887">
        <f t="shared" si="328"/>
        <v>0</v>
      </c>
      <c r="P809" s="887">
        <f t="shared" si="329"/>
        <v>0</v>
      </c>
      <c r="Q809" s="1323"/>
      <c r="R809" s="1323"/>
      <c r="S809" s="1323"/>
      <c r="T809" s="1323"/>
      <c r="U809" s="1323"/>
      <c r="V809" s="1323"/>
      <c r="W809" s="1323"/>
      <c r="X809" s="1323"/>
      <c r="Y809" s="1323"/>
      <c r="Z809" s="1323"/>
    </row>
    <row r="810" spans="1:26" ht="18.75" hidden="1">
      <c r="A810" s="1319"/>
      <c r="B810" s="1320"/>
      <c r="C810" s="1320"/>
      <c r="D810" s="1333"/>
      <c r="E810" s="1320" t="s">
        <v>186</v>
      </c>
      <c r="F810" s="1320"/>
      <c r="G810" s="1322"/>
      <c r="H810" s="165" t="s">
        <v>12</v>
      </c>
      <c r="I810" s="886"/>
      <c r="J810" s="886"/>
      <c r="K810" s="887"/>
      <c r="L810" s="887">
        <v>0</v>
      </c>
      <c r="M810" s="887">
        <v>0</v>
      </c>
      <c r="N810" s="887">
        <f>N811+N812+N813+N814</f>
        <v>0</v>
      </c>
      <c r="O810" s="887">
        <f t="shared" si="328"/>
        <v>0</v>
      </c>
      <c r="P810" s="887">
        <f t="shared" si="329"/>
        <v>0</v>
      </c>
      <c r="Q810" s="1323"/>
      <c r="R810" s="1323"/>
      <c r="S810" s="1323"/>
      <c r="T810" s="1323"/>
      <c r="U810" s="1323"/>
      <c r="V810" s="1323"/>
      <c r="W810" s="1323"/>
      <c r="X810" s="1323"/>
      <c r="Y810" s="1323"/>
      <c r="Z810" s="1323"/>
    </row>
    <row r="811" spans="1:26" ht="18.75" hidden="1">
      <c r="A811" s="1354"/>
      <c r="B811" s="1324"/>
      <c r="C811" s="1320"/>
      <c r="D811" s="1324"/>
      <c r="E811" s="1320"/>
      <c r="F811" s="1320" t="s">
        <v>187</v>
      </c>
      <c r="G811" s="1322"/>
      <c r="H811" s="165" t="s">
        <v>12</v>
      </c>
      <c r="I811" s="886"/>
      <c r="J811" s="886"/>
      <c r="K811" s="887"/>
      <c r="L811" s="887"/>
      <c r="M811" s="887"/>
      <c r="N811" s="887"/>
      <c r="O811" s="887"/>
      <c r="P811" s="887"/>
      <c r="Q811" s="1323"/>
      <c r="R811" s="1323"/>
      <c r="S811" s="1323"/>
      <c r="T811" s="1323"/>
      <c r="U811" s="1323"/>
      <c r="V811" s="1323"/>
      <c r="W811" s="1323"/>
      <c r="X811" s="1323"/>
      <c r="Y811" s="1323"/>
      <c r="Z811" s="1323"/>
    </row>
    <row r="812" spans="1:26" ht="18.75" hidden="1">
      <c r="A812" s="1354"/>
      <c r="B812" s="1324"/>
      <c r="C812" s="1320"/>
      <c r="D812" s="1324"/>
      <c r="E812" s="1320"/>
      <c r="F812" s="1320" t="s">
        <v>188</v>
      </c>
      <c r="G812" s="1322"/>
      <c r="H812" s="165" t="s">
        <v>12</v>
      </c>
      <c r="I812" s="886"/>
      <c r="J812" s="886"/>
      <c r="K812" s="887"/>
      <c r="L812" s="887"/>
      <c r="M812" s="887"/>
      <c r="N812" s="887"/>
      <c r="O812" s="887"/>
      <c r="P812" s="887"/>
      <c r="Q812" s="1323"/>
      <c r="R812" s="1323"/>
      <c r="S812" s="1323"/>
      <c r="T812" s="1323"/>
      <c r="U812" s="1323"/>
      <c r="V812" s="1323"/>
      <c r="W812" s="1323"/>
      <c r="X812" s="1323"/>
      <c r="Y812" s="1323"/>
      <c r="Z812" s="1323"/>
    </row>
    <row r="813" spans="1:26" ht="18.75" hidden="1">
      <c r="A813" s="1354"/>
      <c r="B813" s="1324"/>
      <c r="C813" s="1320"/>
      <c r="D813" s="1324"/>
      <c r="E813" s="1320"/>
      <c r="F813" s="1320" t="s">
        <v>189</v>
      </c>
      <c r="G813" s="1322"/>
      <c r="H813" s="165" t="s">
        <v>12</v>
      </c>
      <c r="I813" s="886"/>
      <c r="J813" s="886"/>
      <c r="K813" s="887"/>
      <c r="L813" s="887"/>
      <c r="M813" s="887"/>
      <c r="N813" s="887"/>
      <c r="O813" s="887"/>
      <c r="P813" s="887"/>
      <c r="Q813" s="1323"/>
      <c r="R813" s="1323"/>
      <c r="S813" s="1323"/>
      <c r="T813" s="1323"/>
      <c r="U813" s="1323"/>
      <c r="V813" s="1323"/>
      <c r="W813" s="1323"/>
      <c r="X813" s="1323"/>
      <c r="Y813" s="1323"/>
      <c r="Z813" s="1323"/>
    </row>
    <row r="814" spans="1:26" ht="18.75" hidden="1">
      <c r="A814" s="1354"/>
      <c r="B814" s="1324"/>
      <c r="C814" s="1320"/>
      <c r="D814" s="1324"/>
      <c r="E814" s="1320"/>
      <c r="F814" s="1320" t="s">
        <v>190</v>
      </c>
      <c r="G814" s="1322"/>
      <c r="H814" s="165" t="s">
        <v>12</v>
      </c>
      <c r="I814" s="886"/>
      <c r="J814" s="886"/>
      <c r="K814" s="887"/>
      <c r="L814" s="887"/>
      <c r="M814" s="887"/>
      <c r="N814" s="887"/>
      <c r="O814" s="887"/>
      <c r="P814" s="887"/>
      <c r="Q814" s="1323"/>
      <c r="R814" s="1323"/>
      <c r="S814" s="1323"/>
      <c r="T814" s="1323"/>
      <c r="U814" s="1323"/>
      <c r="V814" s="1323"/>
      <c r="W814" s="1323"/>
      <c r="X814" s="1323"/>
      <c r="Y814" s="1323"/>
      <c r="Z814" s="1323"/>
    </row>
    <row r="815" spans="1:26" ht="19.5" hidden="1">
      <c r="A815" s="1319"/>
      <c r="B815" s="1324"/>
      <c r="C815" s="1320"/>
      <c r="D815" s="1477" t="s">
        <v>21</v>
      </c>
      <c r="E815" s="841"/>
      <c r="F815" s="841"/>
      <c r="G815" s="1322"/>
      <c r="H815" s="781" t="s">
        <v>12</v>
      </c>
      <c r="I815" s="1000"/>
      <c r="J815" s="1000"/>
      <c r="K815" s="1001"/>
      <c r="L815" s="1352">
        <f t="shared" ref="L815:N815" si="332">L816+L817</f>
        <v>0</v>
      </c>
      <c r="M815" s="1352">
        <f t="shared" si="332"/>
        <v>0</v>
      </c>
      <c r="N815" s="1352">
        <f t="shared" si="332"/>
        <v>0</v>
      </c>
      <c r="O815" s="1352">
        <f t="shared" ref="O815:O817" si="333">IF(L815&gt;0,N815*100/L815,0)</f>
        <v>0</v>
      </c>
      <c r="P815" s="1352">
        <f t="shared" ref="P815:P817" si="334">IF(M815&gt;0,N815*100/M815,0)</f>
        <v>0</v>
      </c>
      <c r="Q815" s="1323"/>
      <c r="R815" s="1323"/>
      <c r="S815" s="1323"/>
      <c r="T815" s="1323"/>
      <c r="U815" s="1323"/>
      <c r="V815" s="1323"/>
      <c r="W815" s="1323"/>
      <c r="X815" s="1323"/>
      <c r="Y815" s="1323"/>
      <c r="Z815" s="1323"/>
    </row>
    <row r="816" spans="1:26" ht="18.75" hidden="1">
      <c r="A816" s="1319"/>
      <c r="B816" s="1324"/>
      <c r="C816" s="1320"/>
      <c r="D816" s="1324"/>
      <c r="E816" s="1320" t="s">
        <v>18</v>
      </c>
      <c r="F816" s="1320"/>
      <c r="G816" s="1322"/>
      <c r="H816" s="165" t="s">
        <v>12</v>
      </c>
      <c r="I816" s="1000"/>
      <c r="J816" s="1000"/>
      <c r="K816" s="1001"/>
      <c r="L816" s="887">
        <v>0</v>
      </c>
      <c r="M816" s="887">
        <v>0</v>
      </c>
      <c r="N816" s="887">
        <v>0</v>
      </c>
      <c r="O816" s="887">
        <f t="shared" si="333"/>
        <v>0</v>
      </c>
      <c r="P816" s="887">
        <f t="shared" si="334"/>
        <v>0</v>
      </c>
      <c r="Q816" s="1323"/>
      <c r="R816" s="1323"/>
      <c r="S816" s="1323"/>
      <c r="T816" s="1323"/>
      <c r="U816" s="1323"/>
      <c r="V816" s="1323"/>
      <c r="W816" s="1323"/>
      <c r="X816" s="1323"/>
      <c r="Y816" s="1323"/>
      <c r="Z816" s="1323"/>
    </row>
    <row r="817" spans="1:26" ht="18.75" hidden="1">
      <c r="A817" s="1319"/>
      <c r="B817" s="1324"/>
      <c r="C817" s="1320"/>
      <c r="D817" s="1324"/>
      <c r="E817" s="1320" t="s">
        <v>19</v>
      </c>
      <c r="F817" s="1320"/>
      <c r="G817" s="1322"/>
      <c r="H817" s="169" t="s">
        <v>12</v>
      </c>
      <c r="I817" s="1000"/>
      <c r="J817" s="1000"/>
      <c r="K817" s="1001"/>
      <c r="L817" s="887">
        <v>0</v>
      </c>
      <c r="M817" s="887">
        <v>0</v>
      </c>
      <c r="N817" s="887">
        <v>0</v>
      </c>
      <c r="O817" s="887">
        <f t="shared" si="333"/>
        <v>0</v>
      </c>
      <c r="P817" s="887">
        <f t="shared" si="334"/>
        <v>0</v>
      </c>
      <c r="Q817" s="1323"/>
      <c r="R817" s="1323"/>
      <c r="S817" s="1323"/>
      <c r="T817" s="1323"/>
      <c r="U817" s="1323"/>
      <c r="V817" s="1323"/>
      <c r="W817" s="1323"/>
      <c r="X817" s="1323"/>
      <c r="Y817" s="1323"/>
      <c r="Z817" s="1323"/>
    </row>
    <row r="818" spans="1:26" ht="19.5" hidden="1">
      <c r="A818" s="1332"/>
      <c r="B818" s="1333"/>
      <c r="C818" s="1320" t="s">
        <v>16</v>
      </c>
      <c r="D818" s="1478" t="s">
        <v>38</v>
      </c>
      <c r="E818" s="1356"/>
      <c r="F818" s="1356"/>
      <c r="G818" s="1357"/>
      <c r="H818" s="1113"/>
      <c r="I818" s="1000"/>
      <c r="J818" s="1000"/>
      <c r="K818" s="1001"/>
      <c r="L818" s="1001"/>
      <c r="M818" s="1001"/>
      <c r="N818" s="1001"/>
      <c r="O818" s="1001"/>
      <c r="P818" s="1001"/>
      <c r="Q818" s="1323"/>
      <c r="R818" s="1323"/>
      <c r="S818" s="1323"/>
      <c r="T818" s="1323"/>
      <c r="U818" s="1323"/>
      <c r="V818" s="1323"/>
      <c r="W818" s="1323"/>
      <c r="X818" s="1323"/>
      <c r="Y818" s="1323"/>
      <c r="Z818" s="1323"/>
    </row>
    <row r="819" spans="1:26" ht="19.5" hidden="1" thickBot="1">
      <c r="A819" s="1479"/>
      <c r="B819" s="1480"/>
      <c r="C819" s="1481"/>
      <c r="D819" s="1480"/>
      <c r="E819" s="1481" t="s">
        <v>324</v>
      </c>
      <c r="F819" s="1481"/>
      <c r="G819" s="1482"/>
      <c r="H819" s="817" t="s">
        <v>46</v>
      </c>
      <c r="I819" s="1483"/>
      <c r="J819" s="1483"/>
      <c r="K819" s="1484"/>
      <c r="L819" s="1484"/>
      <c r="M819" s="1484"/>
      <c r="N819" s="1484"/>
      <c r="O819" s="1484"/>
      <c r="P819" s="1484"/>
      <c r="Q819" s="1323"/>
      <c r="R819" s="1323"/>
      <c r="S819" s="1323"/>
      <c r="T819" s="1323"/>
      <c r="U819" s="1323"/>
      <c r="V819" s="1323"/>
      <c r="W819" s="1323"/>
      <c r="X819" s="1323"/>
      <c r="Y819" s="1323"/>
      <c r="Z819" s="1323"/>
    </row>
    <row r="820" spans="1:26" ht="19.5">
      <c r="A820" s="1485" t="s">
        <v>346</v>
      </c>
      <c r="B820" s="1486"/>
      <c r="C820" s="1486"/>
      <c r="D820" s="1487"/>
      <c r="E820" s="1486"/>
      <c r="F820" s="1486"/>
      <c r="G820" s="1488"/>
      <c r="H820" s="1489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0"/>
      <c r="J820" s="1490"/>
      <c r="K820" s="1491"/>
      <c r="L820" s="1491"/>
      <c r="M820" s="1491"/>
      <c r="N820" s="1491"/>
      <c r="O820" s="1491"/>
      <c r="P820" s="1491"/>
      <c r="Q820" s="1302"/>
      <c r="R820" s="1302"/>
      <c r="S820" s="1302"/>
      <c r="T820" s="1302"/>
      <c r="U820" s="1302"/>
      <c r="V820" s="1302"/>
      <c r="W820" s="1302"/>
      <c r="X820" s="1302"/>
      <c r="Y820" s="1302"/>
      <c r="Z820" s="1302"/>
    </row>
    <row r="821" spans="1:26" ht="18.75">
      <c r="A821" s="1429"/>
      <c r="B821" s="1301" t="s">
        <v>326</v>
      </c>
      <c r="C821" s="1301"/>
      <c r="D821" s="1300"/>
      <c r="E821" s="1301"/>
      <c r="F821" s="1301"/>
      <c r="G821" s="1016"/>
      <c r="H821" s="622" t="s">
        <v>12</v>
      </c>
      <c r="I821" s="880">
        <f ca="1">IFERROR(__xludf.DUMMYFUNCTION("IMPORTRANGE(""https://docs.google.com/spreadsheets/d/19vJNZY_5yjcGF2XGBMNZRCAIB0Kwfpjp8YEOfu-bneM/edit?usp=sharing"",""งานกองทุน!D86"")"),3876270.43)</f>
        <v>3876270.43</v>
      </c>
      <c r="J821" s="880">
        <f ca="1">IFERROR(__xludf.DUMMYFUNCTION("IMPORTRANGE(""https://docs.google.com/spreadsheets/d/19vJNZY_5yjcGF2XGBMNZRCAIB0Kwfpjp8YEOfu-bneM/edit?usp=sharing"",""งานกองทุน!F86"")"),1184583.61)</f>
        <v>1184583.6100000001</v>
      </c>
      <c r="K821" s="881">
        <f t="shared" ref="K821:K828" ca="1" si="335">IF(I821&gt;0,J821*100/I821,0)</f>
        <v>30.559880467369769</v>
      </c>
      <c r="L821" s="881"/>
      <c r="M821" s="881"/>
      <c r="N821" s="881"/>
      <c r="O821" s="881"/>
      <c r="P821" s="881"/>
      <c r="Q821" s="1302"/>
      <c r="R821" s="1302"/>
      <c r="S821" s="1302"/>
      <c r="T821" s="1302"/>
      <c r="U821" s="1302"/>
      <c r="V821" s="1302"/>
      <c r="W821" s="1302"/>
      <c r="X821" s="1302"/>
      <c r="Y821" s="1302"/>
      <c r="Z821" s="1302"/>
    </row>
    <row r="822" spans="1:26" ht="18.75">
      <c r="A822" s="1429"/>
      <c r="B822" s="1301"/>
      <c r="C822" s="1301"/>
      <c r="D822" s="1300"/>
      <c r="E822" s="1301"/>
      <c r="F822" s="1301"/>
      <c r="G822" s="1016"/>
      <c r="H822" s="622" t="s">
        <v>35</v>
      </c>
      <c r="I822" s="880">
        <f ca="1">IFERROR(__xludf.DUMMYFUNCTION("IMPORTRANGE(""https://docs.google.com/spreadsheets/d/19vJNZY_5yjcGF2XGBMNZRCAIB0Kwfpjp8YEOfu-bneM/edit?usp=sharing"",""งานกองทุน!C86"")"),277)</f>
        <v>277</v>
      </c>
      <c r="J822" s="880">
        <f ca="1">IFERROR(__xludf.DUMMYFUNCTION("IMPORTRANGE(""https://docs.google.com/spreadsheets/d/19vJNZY_5yjcGF2XGBMNZRCAIB0Kwfpjp8YEOfu-bneM/edit?usp=sharing"",""งานกองทุน!E86"")"),100)</f>
        <v>100</v>
      </c>
      <c r="K822" s="881">
        <f t="shared" ca="1" si="335"/>
        <v>36.101083032490976</v>
      </c>
      <c r="L822" s="881"/>
      <c r="M822" s="881"/>
      <c r="N822" s="881"/>
      <c r="O822" s="881"/>
      <c r="P822" s="881"/>
      <c r="Q822" s="1302"/>
      <c r="R822" s="1302"/>
      <c r="S822" s="1302"/>
      <c r="T822" s="1302"/>
      <c r="U822" s="1302"/>
      <c r="V822" s="1302"/>
      <c r="W822" s="1302"/>
      <c r="X822" s="1302"/>
      <c r="Y822" s="1302"/>
      <c r="Z822" s="1302"/>
    </row>
    <row r="823" spans="1:26" ht="18.75">
      <c r="A823" s="1429"/>
      <c r="B823" s="1301" t="s">
        <v>327</v>
      </c>
      <c r="C823" s="1301"/>
      <c r="D823" s="1300"/>
      <c r="E823" s="1301"/>
      <c r="F823" s="1301"/>
      <c r="G823" s="1016"/>
      <c r="H823" s="622" t="s">
        <v>12</v>
      </c>
      <c r="I823" s="880">
        <f ca="1">IFERROR(__xludf.DUMMYFUNCTION("IMPORTRANGE(""https://docs.google.com/spreadsheets/d/19vJNZY_5yjcGF2XGBMNZRCAIB0Kwfpjp8YEOfu-bneM/edit?usp=sharing"",""งานกองทุน!I86"")"),1687353.19)</f>
        <v>1687353.19</v>
      </c>
      <c r="J823" s="880">
        <f ca="1">IFERROR(__xludf.DUMMYFUNCTION("IMPORTRANGE(""https://docs.google.com/spreadsheets/d/19vJNZY_5yjcGF2XGBMNZRCAIB0Kwfpjp8YEOfu-bneM/edit?usp=sharing"",""งานกองทุน!K86"")"),176043.72)</f>
        <v>176043.72</v>
      </c>
      <c r="K823" s="881">
        <f t="shared" ca="1" si="335"/>
        <v>10.433128111133627</v>
      </c>
      <c r="L823" s="881"/>
      <c r="M823" s="881"/>
      <c r="N823" s="881"/>
      <c r="O823" s="881"/>
      <c r="P823" s="881"/>
      <c r="Q823" s="1302"/>
      <c r="R823" s="1302"/>
      <c r="S823" s="1302"/>
      <c r="T823" s="1302"/>
      <c r="U823" s="1302"/>
      <c r="V823" s="1302"/>
      <c r="W823" s="1302"/>
      <c r="X823" s="1302"/>
      <c r="Y823" s="1302"/>
      <c r="Z823" s="1302"/>
    </row>
    <row r="824" spans="1:26" ht="18.75">
      <c r="A824" s="1429"/>
      <c r="B824" s="1301"/>
      <c r="C824" s="1301"/>
      <c r="D824" s="1300"/>
      <c r="E824" s="1301"/>
      <c r="F824" s="1301"/>
      <c r="G824" s="1016"/>
      <c r="H824" s="622" t="s">
        <v>35</v>
      </c>
      <c r="I824" s="880">
        <f ca="1">IFERROR(__xludf.DUMMYFUNCTION("IMPORTRANGE(""https://docs.google.com/spreadsheets/d/19vJNZY_5yjcGF2XGBMNZRCAIB0Kwfpjp8YEOfu-bneM/edit?usp=sharing"",""งานกองทุน!H86"")"),68)</f>
        <v>68</v>
      </c>
      <c r="J824" s="880">
        <f ca="1">IFERROR(__xludf.DUMMYFUNCTION("IMPORTRANGE(""https://docs.google.com/spreadsheets/d/19vJNZY_5yjcGF2XGBMNZRCAIB0Kwfpjp8YEOfu-bneM/edit?usp=sharing"",""งานกองทุน!J86"")"),47)</f>
        <v>47</v>
      </c>
      <c r="K824" s="881">
        <f t="shared" ca="1" si="335"/>
        <v>69.117647058823536</v>
      </c>
      <c r="L824" s="881"/>
      <c r="M824" s="881"/>
      <c r="N824" s="881"/>
      <c r="O824" s="881"/>
      <c r="P824" s="881"/>
      <c r="Q824" s="1302"/>
      <c r="R824" s="1302"/>
      <c r="S824" s="1302"/>
      <c r="T824" s="1302"/>
      <c r="U824" s="1302"/>
      <c r="V824" s="1302"/>
      <c r="W824" s="1302"/>
      <c r="X824" s="1302"/>
      <c r="Y824" s="1302"/>
      <c r="Z824" s="1302"/>
    </row>
    <row r="825" spans="1:26" ht="18.75">
      <c r="A825" s="1429"/>
      <c r="B825" s="1301" t="s">
        <v>328</v>
      </c>
      <c r="C825" s="1301"/>
      <c r="D825" s="1300"/>
      <c r="E825" s="1301"/>
      <c r="F825" s="1301"/>
      <c r="G825" s="1016"/>
      <c r="H825" s="622" t="s">
        <v>12</v>
      </c>
      <c r="I825" s="880">
        <f ca="1">IFERROR(__xludf.DUMMYFUNCTION("IMPORTRANGE(""https://docs.google.com/spreadsheets/d/19vJNZY_5yjcGF2XGBMNZRCAIB0Kwfpjp8YEOfu-bneM/edit?usp=sharing"",""งานกองทุน!N86"")"),0)</f>
        <v>0</v>
      </c>
      <c r="J825" s="880">
        <f ca="1">IFERROR(__xludf.DUMMYFUNCTION("IMPORTRANGE(""https://docs.google.com/spreadsheets/d/19vJNZY_5yjcGF2XGBMNZRCAIB0Kwfpjp8YEOfu-bneM/edit?usp=sharing"",""งานกองทุน!P86"")"),0)</f>
        <v>0</v>
      </c>
      <c r="K825" s="881">
        <f t="shared" ca="1" si="335"/>
        <v>0</v>
      </c>
      <c r="L825" s="881"/>
      <c r="M825" s="881"/>
      <c r="N825" s="881"/>
      <c r="O825" s="881"/>
      <c r="P825" s="881"/>
      <c r="Q825" s="1302"/>
      <c r="R825" s="1302"/>
      <c r="S825" s="1302"/>
      <c r="T825" s="1302"/>
      <c r="U825" s="1302"/>
      <c r="V825" s="1302"/>
      <c r="W825" s="1302"/>
      <c r="X825" s="1302"/>
      <c r="Y825" s="1302"/>
      <c r="Z825" s="1302"/>
    </row>
    <row r="826" spans="1:26" ht="18.75">
      <c r="A826" s="1429"/>
      <c r="B826" s="1301"/>
      <c r="C826" s="1301"/>
      <c r="D826" s="1300"/>
      <c r="E826" s="1301"/>
      <c r="F826" s="1301"/>
      <c r="G826" s="1016"/>
      <c r="H826" s="622" t="s">
        <v>35</v>
      </c>
      <c r="I826" s="880">
        <f ca="1">IFERROR(__xludf.DUMMYFUNCTION("IMPORTRANGE(""https://docs.google.com/spreadsheets/d/19vJNZY_5yjcGF2XGBMNZRCAIB0Kwfpjp8YEOfu-bneM/edit?usp=sharing"",""งานกองทุน!M86"")"),0)</f>
        <v>0</v>
      </c>
      <c r="J826" s="880">
        <f ca="1">IFERROR(__xludf.DUMMYFUNCTION("IMPORTRANGE(""https://docs.google.com/spreadsheets/d/19vJNZY_5yjcGF2XGBMNZRCAIB0Kwfpjp8YEOfu-bneM/edit?usp=sharing"",""งานกองทุน!O86"")"),0)</f>
        <v>0</v>
      </c>
      <c r="K826" s="881">
        <f t="shared" ca="1" si="335"/>
        <v>0</v>
      </c>
      <c r="L826" s="881"/>
      <c r="M826" s="881"/>
      <c r="N826" s="881"/>
      <c r="O826" s="881"/>
      <c r="P826" s="881"/>
      <c r="Q826" s="1302"/>
      <c r="R826" s="1302"/>
      <c r="S826" s="1302"/>
      <c r="T826" s="1302"/>
      <c r="U826" s="1302"/>
      <c r="V826" s="1302"/>
      <c r="W826" s="1302"/>
      <c r="X826" s="1302"/>
      <c r="Y826" s="1302"/>
      <c r="Z826" s="1302"/>
    </row>
    <row r="827" spans="1:26" ht="18.75">
      <c r="A827" s="1429"/>
      <c r="B827" s="1301" t="s">
        <v>329</v>
      </c>
      <c r="C827" s="1301"/>
      <c r="D827" s="1300"/>
      <c r="E827" s="1301"/>
      <c r="F827" s="1301"/>
      <c r="G827" s="1016"/>
      <c r="H827" s="622" t="s">
        <v>12</v>
      </c>
      <c r="I827" s="880">
        <f ca="1">IFERROR(__xludf.DUMMYFUNCTION("IMPORTRANGE(""https://docs.google.com/spreadsheets/d/19vJNZY_5yjcGF2XGBMNZRCAIB0Kwfpjp8YEOfu-bneM/edit?usp=sharing"",""งานกองทุน!S86"")"),1680000)</f>
        <v>1680000</v>
      </c>
      <c r="J827" s="880">
        <f ca="1">IFERROR(__xludf.DUMMYFUNCTION("IMPORTRANGE(""https://docs.google.com/spreadsheets/d/19vJNZY_5yjcGF2XGBMNZRCAIB0Kwfpjp8YEOfu-bneM/edit?usp=sharing"",""งานกองทุน!U86"")"),1540000)</f>
        <v>1540000</v>
      </c>
      <c r="K827" s="881">
        <f t="shared" ca="1" si="335"/>
        <v>91.666666666666671</v>
      </c>
      <c r="L827" s="881"/>
      <c r="M827" s="881"/>
      <c r="N827" s="881"/>
      <c r="O827" s="881"/>
      <c r="P827" s="881"/>
      <c r="Q827" s="1302"/>
      <c r="R827" s="1302"/>
      <c r="S827" s="1302"/>
      <c r="T827" s="1302"/>
      <c r="U827" s="1302"/>
      <c r="V827" s="1302"/>
      <c r="W827" s="1302"/>
      <c r="X827" s="1302"/>
      <c r="Y827" s="1302"/>
      <c r="Z827" s="1302"/>
    </row>
    <row r="828" spans="1:26" ht="18.75">
      <c r="A828" s="1430"/>
      <c r="B828" s="1432"/>
      <c r="C828" s="1432"/>
      <c r="D828" s="1431"/>
      <c r="E828" s="1432"/>
      <c r="F828" s="1432"/>
      <c r="G828" s="1492"/>
      <c r="H828" s="827" t="s">
        <v>35</v>
      </c>
      <c r="I828" s="1138">
        <f ca="1">IFERROR(__xludf.DUMMYFUNCTION("IMPORTRANGE(""https://docs.google.com/spreadsheets/d/19vJNZY_5yjcGF2XGBMNZRCAIB0Kwfpjp8YEOfu-bneM/edit?usp=sharing"",""งานกองทุน!R86"")"),67)</f>
        <v>67</v>
      </c>
      <c r="J828" s="1138">
        <f ca="1">IFERROR(__xludf.DUMMYFUNCTION("IMPORTRANGE(""https://docs.google.com/spreadsheets/d/19vJNZY_5yjcGF2XGBMNZRCAIB0Kwfpjp8YEOfu-bneM/edit?usp=sharing"",""งานกองทุน!T86"")"),32)</f>
        <v>32</v>
      </c>
      <c r="K828" s="1239">
        <f t="shared" ca="1" si="335"/>
        <v>47.761194029850749</v>
      </c>
      <c r="L828" s="1239"/>
      <c r="M828" s="1239"/>
      <c r="N828" s="1239"/>
      <c r="O828" s="1239"/>
      <c r="P828" s="1239"/>
      <c r="Q828" s="1302"/>
      <c r="R828" s="1302"/>
      <c r="S828" s="1302"/>
      <c r="T828" s="1302"/>
      <c r="U828" s="1302"/>
      <c r="V828" s="1302"/>
      <c r="W828" s="1302"/>
      <c r="X828" s="1302"/>
      <c r="Y828" s="1302"/>
      <c r="Z828" s="130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B22A9-8CBA-402B-B0A0-3DEEAAF2D44C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52" customWidth="1"/>
    <col min="4" max="6" width="5.85546875" style="852" customWidth="1"/>
    <col min="7" max="7" width="56.42578125" style="852" customWidth="1"/>
    <col min="8" max="8" width="9.42578125" style="852" customWidth="1"/>
    <col min="9" max="10" width="13.7109375" style="852" bestFit="1" customWidth="1"/>
    <col min="11" max="11" width="13.28515625" style="852" bestFit="1" customWidth="1"/>
    <col min="12" max="15" width="20.28515625" style="852" bestFit="1" customWidth="1"/>
    <col min="16" max="16" width="22.140625" style="852" bestFit="1" customWidth="1"/>
    <col min="17" max="16384" width="12.5703125" style="852"/>
  </cols>
  <sheetData>
    <row r="1" spans="1:26" ht="19.5">
      <c r="A1" s="828" t="s">
        <v>0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51"/>
    </row>
    <row r="2" spans="1:26" ht="19.5">
      <c r="A2" s="828" t="s">
        <v>353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</row>
    <row r="3" spans="1:26" ht="19.5">
      <c r="A3" s="828" t="s">
        <v>330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</row>
    <row r="4" spans="1:26" ht="12.75">
      <c r="A4" s="853"/>
      <c r="B4" s="853"/>
      <c r="C4" s="853"/>
      <c r="D4" s="853"/>
      <c r="E4" s="853"/>
      <c r="F4" s="853"/>
      <c r="G4" s="853"/>
      <c r="H4" s="853"/>
      <c r="I4" s="853"/>
      <c r="J4" s="854"/>
      <c r="K4" s="855"/>
      <c r="L4" s="854"/>
      <c r="M4" s="854"/>
      <c r="N4" s="854"/>
      <c r="O4" s="853"/>
      <c r="P4" s="853"/>
    </row>
    <row r="5" spans="1:26" ht="19.5">
      <c r="A5" s="836" t="s">
        <v>2</v>
      </c>
      <c r="B5" s="851"/>
      <c r="C5" s="851"/>
      <c r="D5" s="851"/>
      <c r="E5" s="851"/>
      <c r="F5" s="851"/>
      <c r="G5" s="837"/>
      <c r="H5" s="830" t="s">
        <v>3</v>
      </c>
      <c r="I5" s="832" t="s">
        <v>4</v>
      </c>
      <c r="J5" s="833"/>
      <c r="K5" s="831"/>
      <c r="L5" s="834" t="s">
        <v>5</v>
      </c>
      <c r="M5" s="831"/>
      <c r="N5" s="835" t="s">
        <v>6</v>
      </c>
      <c r="O5" s="833"/>
      <c r="P5" s="831"/>
    </row>
    <row r="6" spans="1:26" ht="19.5">
      <c r="A6" s="838"/>
      <c r="B6" s="833"/>
      <c r="C6" s="833"/>
      <c r="D6" s="833"/>
      <c r="E6" s="833"/>
      <c r="F6" s="833"/>
      <c r="G6" s="831"/>
      <c r="H6" s="83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6" t="s">
        <v>15</v>
      </c>
      <c r="B7" s="833"/>
      <c r="C7" s="833"/>
      <c r="D7" s="833"/>
      <c r="E7" s="833"/>
      <c r="F7" s="833"/>
      <c r="G7" s="831"/>
      <c r="H7" s="857"/>
      <c r="I7" s="858"/>
      <c r="J7" s="858"/>
      <c r="K7" s="859"/>
      <c r="L7" s="859"/>
      <c r="M7" s="859"/>
      <c r="N7" s="859"/>
      <c r="O7" s="859"/>
      <c r="P7" s="859"/>
    </row>
    <row r="8" spans="1:26" ht="19.5">
      <c r="A8" s="860"/>
      <c r="B8" s="861"/>
      <c r="C8" s="862" t="s">
        <v>16</v>
      </c>
      <c r="D8" s="863" t="s">
        <v>17</v>
      </c>
      <c r="E8" s="861"/>
      <c r="F8" s="861"/>
      <c r="G8" s="864"/>
      <c r="H8" s="19" t="s">
        <v>12</v>
      </c>
      <c r="I8" s="865"/>
      <c r="J8" s="865"/>
      <c r="K8" s="866"/>
      <c r="L8" s="867">
        <f t="shared" ref="L8:N8" ca="1" si="0">L9+L10</f>
        <v>2316276</v>
      </c>
      <c r="M8" s="867">
        <f t="shared" ca="1" si="0"/>
        <v>1982244</v>
      </c>
      <c r="N8" s="867">
        <f t="shared" ca="1" si="0"/>
        <v>1145091.9300000002</v>
      </c>
      <c r="O8" s="867">
        <f t="shared" ref="O8:O16" ca="1" si="1">IF(L8&gt;0,N8*100/L8,0)</f>
        <v>49.436765307761256</v>
      </c>
      <c r="P8" s="867">
        <f t="shared" ref="P8:P16" ca="1" si="2">IF(M8&gt;0,N8*100/M8,0)</f>
        <v>57.767455974138407</v>
      </c>
      <c r="Q8" s="868"/>
      <c r="R8" s="868"/>
      <c r="S8" s="868"/>
      <c r="T8" s="868"/>
      <c r="U8" s="868"/>
      <c r="V8" s="868"/>
      <c r="W8" s="868"/>
      <c r="X8" s="868"/>
      <c r="Y8" s="868"/>
      <c r="Z8" s="868"/>
    </row>
    <row r="9" spans="1:26" ht="18.75" hidden="1">
      <c r="A9" s="869"/>
      <c r="B9" s="870"/>
      <c r="C9" s="870"/>
      <c r="D9" s="870"/>
      <c r="E9" s="871" t="s">
        <v>18</v>
      </c>
      <c r="F9" s="870"/>
      <c r="G9" s="872"/>
      <c r="H9" s="28" t="s">
        <v>12</v>
      </c>
      <c r="I9" s="873"/>
      <c r="J9" s="873"/>
      <c r="K9" s="874"/>
      <c r="L9" s="874">
        <f t="shared" ref="L9:N10" si="3">L12+L15</f>
        <v>0</v>
      </c>
      <c r="M9" s="874">
        <f t="shared" si="3"/>
        <v>0</v>
      </c>
      <c r="N9" s="874">
        <f t="shared" si="3"/>
        <v>0</v>
      </c>
      <c r="O9" s="874">
        <f t="shared" si="1"/>
        <v>0</v>
      </c>
      <c r="P9" s="874">
        <f t="shared" si="2"/>
        <v>0</v>
      </c>
      <c r="Q9" s="875"/>
      <c r="R9" s="875"/>
      <c r="S9" s="875"/>
      <c r="T9" s="875"/>
      <c r="U9" s="875"/>
      <c r="V9" s="875"/>
      <c r="W9" s="875"/>
      <c r="X9" s="875"/>
      <c r="Y9" s="875"/>
      <c r="Z9" s="875"/>
    </row>
    <row r="10" spans="1:26" ht="18.75" hidden="1">
      <c r="A10" s="869"/>
      <c r="B10" s="870"/>
      <c r="C10" s="870"/>
      <c r="D10" s="870"/>
      <c r="E10" s="871" t="s">
        <v>19</v>
      </c>
      <c r="F10" s="870"/>
      <c r="G10" s="872"/>
      <c r="H10" s="28" t="s">
        <v>12</v>
      </c>
      <c r="I10" s="873"/>
      <c r="J10" s="873"/>
      <c r="K10" s="874"/>
      <c r="L10" s="874">
        <f t="shared" ca="1" si="3"/>
        <v>2316276</v>
      </c>
      <c r="M10" s="874">
        <f t="shared" ca="1" si="3"/>
        <v>1982244</v>
      </c>
      <c r="N10" s="874">
        <f t="shared" ca="1" si="3"/>
        <v>1145091.9300000002</v>
      </c>
      <c r="O10" s="874">
        <f t="shared" ca="1" si="1"/>
        <v>49.436765307761256</v>
      </c>
      <c r="P10" s="874">
        <f t="shared" ca="1" si="2"/>
        <v>57.767455974138407</v>
      </c>
      <c r="Q10" s="875"/>
      <c r="R10" s="875"/>
      <c r="S10" s="875"/>
      <c r="T10" s="875"/>
      <c r="U10" s="875"/>
      <c r="V10" s="875"/>
      <c r="W10" s="875"/>
      <c r="X10" s="875"/>
      <c r="Y10" s="875"/>
      <c r="Z10" s="875"/>
    </row>
    <row r="11" spans="1:26" ht="18.75">
      <c r="A11" s="876"/>
      <c r="B11" s="877"/>
      <c r="C11" s="877"/>
      <c r="D11" s="878" t="s">
        <v>20</v>
      </c>
      <c r="E11" s="877"/>
      <c r="F11" s="877"/>
      <c r="G11" s="879"/>
      <c r="H11" s="622" t="s">
        <v>12</v>
      </c>
      <c r="I11" s="880"/>
      <c r="J11" s="880"/>
      <c r="K11" s="881"/>
      <c r="L11" s="881">
        <f t="shared" ref="L11:N11" ca="1" si="4">L12+L13</f>
        <v>2240276</v>
      </c>
      <c r="M11" s="881">
        <f t="shared" ca="1" si="4"/>
        <v>1906244</v>
      </c>
      <c r="N11" s="881">
        <f t="shared" ca="1" si="4"/>
        <v>1069091.9300000002</v>
      </c>
      <c r="O11" s="881">
        <f t="shared" ca="1" si="1"/>
        <v>47.721438340633036</v>
      </c>
      <c r="P11" s="881">
        <f t="shared" ca="1" si="2"/>
        <v>56.083687607672481</v>
      </c>
      <c r="Q11" s="868"/>
      <c r="R11" s="868"/>
      <c r="S11" s="868"/>
      <c r="T11" s="868"/>
      <c r="U11" s="868"/>
      <c r="V11" s="868"/>
      <c r="W11" s="868"/>
      <c r="X11" s="868"/>
      <c r="Y11" s="868"/>
      <c r="Z11" s="868"/>
    </row>
    <row r="12" spans="1:26" ht="18.75" hidden="1">
      <c r="A12" s="882"/>
      <c r="B12" s="883"/>
      <c r="C12" s="883"/>
      <c r="D12" s="883"/>
      <c r="E12" s="884" t="s">
        <v>18</v>
      </c>
      <c r="F12" s="883"/>
      <c r="G12" s="885"/>
      <c r="H12" s="43" t="s">
        <v>12</v>
      </c>
      <c r="I12" s="886"/>
      <c r="J12" s="886"/>
      <c r="K12" s="887"/>
      <c r="L12" s="887">
        <f t="shared" ref="L12:N13" si="5">L22+L32</f>
        <v>0</v>
      </c>
      <c r="M12" s="887">
        <f t="shared" si="5"/>
        <v>0</v>
      </c>
      <c r="N12" s="887">
        <f t="shared" si="5"/>
        <v>0</v>
      </c>
      <c r="O12" s="887">
        <f t="shared" si="1"/>
        <v>0</v>
      </c>
      <c r="P12" s="887">
        <f t="shared" si="2"/>
        <v>0</v>
      </c>
      <c r="Q12" s="875"/>
      <c r="R12" s="875"/>
      <c r="S12" s="875"/>
      <c r="T12" s="875"/>
      <c r="U12" s="875"/>
      <c r="V12" s="875"/>
      <c r="W12" s="875"/>
      <c r="X12" s="875"/>
      <c r="Y12" s="875"/>
      <c r="Z12" s="875"/>
    </row>
    <row r="13" spans="1:26" ht="18.75" hidden="1">
      <c r="A13" s="882"/>
      <c r="B13" s="883"/>
      <c r="C13" s="883"/>
      <c r="D13" s="883"/>
      <c r="E13" s="884" t="s">
        <v>19</v>
      </c>
      <c r="F13" s="883"/>
      <c r="G13" s="885"/>
      <c r="H13" s="43" t="s">
        <v>12</v>
      </c>
      <c r="I13" s="886"/>
      <c r="J13" s="886"/>
      <c r="K13" s="887"/>
      <c r="L13" s="887">
        <f t="shared" ca="1" si="5"/>
        <v>2240276</v>
      </c>
      <c r="M13" s="887">
        <f t="shared" ca="1" si="5"/>
        <v>1906244</v>
      </c>
      <c r="N13" s="887">
        <f t="shared" ca="1" si="5"/>
        <v>1069091.9300000002</v>
      </c>
      <c r="O13" s="887">
        <f t="shared" ca="1" si="1"/>
        <v>47.721438340633036</v>
      </c>
      <c r="P13" s="887">
        <f t="shared" ca="1" si="2"/>
        <v>56.083687607672481</v>
      </c>
      <c r="Q13" s="875"/>
      <c r="R13" s="875"/>
      <c r="S13" s="875"/>
      <c r="T13" s="875"/>
      <c r="U13" s="875"/>
      <c r="V13" s="875"/>
      <c r="W13" s="875"/>
      <c r="X13" s="875"/>
      <c r="Y13" s="875"/>
      <c r="Z13" s="875"/>
    </row>
    <row r="14" spans="1:26" ht="18.75">
      <c r="A14" s="876"/>
      <c r="B14" s="877"/>
      <c r="C14" s="877"/>
      <c r="D14" s="878" t="s">
        <v>21</v>
      </c>
      <c r="E14" s="877"/>
      <c r="F14" s="877"/>
      <c r="G14" s="879"/>
      <c r="H14" s="622" t="s">
        <v>12</v>
      </c>
      <c r="I14" s="880"/>
      <c r="J14" s="880"/>
      <c r="K14" s="881"/>
      <c r="L14" s="881">
        <f t="shared" ref="L14:N14" ca="1" si="6">L15+L16</f>
        <v>76000</v>
      </c>
      <c r="M14" s="881">
        <f t="shared" ca="1" si="6"/>
        <v>76000</v>
      </c>
      <c r="N14" s="881">
        <f t="shared" ca="1" si="6"/>
        <v>76000</v>
      </c>
      <c r="O14" s="881">
        <f t="shared" ca="1" si="1"/>
        <v>100</v>
      </c>
      <c r="P14" s="881">
        <f t="shared" ca="1" si="2"/>
        <v>100</v>
      </c>
      <c r="Q14" s="868"/>
      <c r="R14" s="868"/>
      <c r="S14" s="868"/>
      <c r="T14" s="868"/>
      <c r="U14" s="868"/>
      <c r="V14" s="868"/>
      <c r="W14" s="868"/>
      <c r="X14" s="868"/>
      <c r="Y14" s="868"/>
      <c r="Z14" s="868"/>
    </row>
    <row r="15" spans="1:26" ht="18.75" hidden="1">
      <c r="A15" s="882"/>
      <c r="B15" s="883"/>
      <c r="C15" s="883"/>
      <c r="D15" s="883"/>
      <c r="E15" s="884" t="s">
        <v>18</v>
      </c>
      <c r="F15" s="883"/>
      <c r="G15" s="885"/>
      <c r="H15" s="43" t="s">
        <v>12</v>
      </c>
      <c r="I15" s="886"/>
      <c r="J15" s="886"/>
      <c r="K15" s="887"/>
      <c r="L15" s="887">
        <f t="shared" ref="L15:N16" si="7">L25+L35</f>
        <v>0</v>
      </c>
      <c r="M15" s="887">
        <f t="shared" si="7"/>
        <v>0</v>
      </c>
      <c r="N15" s="887">
        <f t="shared" si="7"/>
        <v>0</v>
      </c>
      <c r="O15" s="887">
        <f t="shared" si="1"/>
        <v>0</v>
      </c>
      <c r="P15" s="887">
        <f t="shared" si="2"/>
        <v>0</v>
      </c>
      <c r="Q15" s="875"/>
      <c r="R15" s="875"/>
      <c r="S15" s="875"/>
      <c r="T15" s="875"/>
      <c r="U15" s="875"/>
      <c r="V15" s="875"/>
      <c r="W15" s="875"/>
      <c r="X15" s="875"/>
      <c r="Y15" s="875"/>
      <c r="Z15" s="875"/>
    </row>
    <row r="16" spans="1:26" ht="18.75" hidden="1">
      <c r="A16" s="888"/>
      <c r="B16" s="889"/>
      <c r="C16" s="889"/>
      <c r="D16" s="889"/>
      <c r="E16" s="890" t="s">
        <v>19</v>
      </c>
      <c r="F16" s="889"/>
      <c r="G16" s="891"/>
      <c r="H16" s="50" t="s">
        <v>12</v>
      </c>
      <c r="I16" s="892"/>
      <c r="J16" s="892"/>
      <c r="K16" s="893"/>
      <c r="L16" s="893">
        <f t="shared" ca="1" si="7"/>
        <v>76000</v>
      </c>
      <c r="M16" s="893">
        <f t="shared" ca="1" si="7"/>
        <v>76000</v>
      </c>
      <c r="N16" s="893">
        <f t="shared" ca="1" si="7"/>
        <v>76000</v>
      </c>
      <c r="O16" s="893">
        <f t="shared" ca="1" si="1"/>
        <v>100</v>
      </c>
      <c r="P16" s="893">
        <f t="shared" ca="1" si="2"/>
        <v>100</v>
      </c>
      <c r="Q16" s="875"/>
      <c r="R16" s="875"/>
      <c r="S16" s="875"/>
      <c r="T16" s="875"/>
      <c r="U16" s="875"/>
      <c r="V16" s="875"/>
      <c r="W16" s="875"/>
      <c r="X16" s="875"/>
      <c r="Y16" s="875"/>
      <c r="Z16" s="875"/>
    </row>
    <row r="17" spans="1:26" ht="19.5">
      <c r="A17" s="856" t="s">
        <v>22</v>
      </c>
      <c r="B17" s="833"/>
      <c r="C17" s="833"/>
      <c r="D17" s="833"/>
      <c r="E17" s="833"/>
      <c r="F17" s="833"/>
      <c r="G17" s="831"/>
      <c r="H17" s="857"/>
      <c r="I17" s="858"/>
      <c r="J17" s="858"/>
      <c r="K17" s="859"/>
      <c r="L17" s="859"/>
      <c r="M17" s="859"/>
      <c r="N17" s="859"/>
      <c r="O17" s="859"/>
      <c r="P17" s="859"/>
    </row>
    <row r="18" spans="1:26" ht="19.5">
      <c r="A18" s="860"/>
      <c r="B18" s="861"/>
      <c r="C18" s="862" t="s">
        <v>16</v>
      </c>
      <c r="D18" s="863" t="s">
        <v>17</v>
      </c>
      <c r="E18" s="861"/>
      <c r="F18" s="861"/>
      <c r="G18" s="864"/>
      <c r="H18" s="19" t="s">
        <v>12</v>
      </c>
      <c r="I18" s="865"/>
      <c r="J18" s="865"/>
      <c r="K18" s="866"/>
      <c r="L18" s="867">
        <f t="shared" ref="L18:N18" ca="1" si="8">L19+L20</f>
        <v>1869190</v>
      </c>
      <c r="M18" s="867">
        <f t="shared" ca="1" si="8"/>
        <v>1535158</v>
      </c>
      <c r="N18" s="867">
        <f t="shared" ca="1" si="8"/>
        <v>924167.93</v>
      </c>
      <c r="O18" s="867">
        <f t="shared" ref="O18:O26" ca="1" si="9">IF(L18&gt;0,N18*100/L18,0)</f>
        <v>49.442161043018636</v>
      </c>
      <c r="P18" s="867">
        <f t="shared" ref="P18:P26" ca="1" si="10">IF(M18&gt;0,N18*100/M18,0)</f>
        <v>60.200183303607837</v>
      </c>
      <c r="Q18" s="868"/>
      <c r="R18" s="868"/>
      <c r="S18" s="868"/>
      <c r="T18" s="868"/>
      <c r="U18" s="868"/>
      <c r="V18" s="868"/>
      <c r="W18" s="868"/>
      <c r="X18" s="868"/>
      <c r="Y18" s="868"/>
      <c r="Z18" s="868"/>
    </row>
    <row r="19" spans="1:26" ht="18.75" hidden="1">
      <c r="A19" s="869"/>
      <c r="B19" s="870"/>
      <c r="C19" s="870"/>
      <c r="D19" s="870"/>
      <c r="E19" s="871" t="s">
        <v>18</v>
      </c>
      <c r="F19" s="870"/>
      <c r="G19" s="872"/>
      <c r="H19" s="28" t="s">
        <v>12</v>
      </c>
      <c r="I19" s="873"/>
      <c r="J19" s="873"/>
      <c r="K19" s="874"/>
      <c r="L19" s="874">
        <f t="shared" ref="L19:N20" si="11">L22+L25</f>
        <v>0</v>
      </c>
      <c r="M19" s="874">
        <f t="shared" si="11"/>
        <v>0</v>
      </c>
      <c r="N19" s="874">
        <f t="shared" si="11"/>
        <v>0</v>
      </c>
      <c r="O19" s="874">
        <f t="shared" si="9"/>
        <v>0</v>
      </c>
      <c r="P19" s="874">
        <f t="shared" si="10"/>
        <v>0</v>
      </c>
      <c r="Q19" s="875"/>
      <c r="R19" s="875"/>
      <c r="S19" s="875"/>
      <c r="T19" s="875"/>
      <c r="U19" s="875"/>
      <c r="V19" s="875"/>
      <c r="W19" s="875"/>
      <c r="X19" s="875"/>
      <c r="Y19" s="875"/>
      <c r="Z19" s="875"/>
    </row>
    <row r="20" spans="1:26" ht="18.75" hidden="1">
      <c r="A20" s="869"/>
      <c r="B20" s="870"/>
      <c r="C20" s="870"/>
      <c r="D20" s="870"/>
      <c r="E20" s="871" t="s">
        <v>19</v>
      </c>
      <c r="F20" s="870"/>
      <c r="G20" s="872"/>
      <c r="H20" s="28" t="s">
        <v>12</v>
      </c>
      <c r="I20" s="873"/>
      <c r="J20" s="873"/>
      <c r="K20" s="874"/>
      <c r="L20" s="874">
        <f t="shared" ca="1" si="11"/>
        <v>1869190</v>
      </c>
      <c r="M20" s="874">
        <f t="shared" ca="1" si="11"/>
        <v>1535158</v>
      </c>
      <c r="N20" s="874">
        <f t="shared" ca="1" si="11"/>
        <v>924167.93</v>
      </c>
      <c r="O20" s="874">
        <f t="shared" ca="1" si="9"/>
        <v>49.442161043018636</v>
      </c>
      <c r="P20" s="874">
        <f t="shared" ca="1" si="10"/>
        <v>60.200183303607837</v>
      </c>
      <c r="Q20" s="875"/>
      <c r="R20" s="875"/>
      <c r="S20" s="875"/>
      <c r="T20" s="875"/>
      <c r="U20" s="875"/>
      <c r="V20" s="875"/>
      <c r="W20" s="875"/>
      <c r="X20" s="875"/>
      <c r="Y20" s="875"/>
      <c r="Z20" s="875"/>
    </row>
    <row r="21" spans="1:26" ht="18.75">
      <c r="A21" s="876"/>
      <c r="B21" s="877"/>
      <c r="C21" s="877"/>
      <c r="D21" s="878" t="s">
        <v>20</v>
      </c>
      <c r="E21" s="877"/>
      <c r="F21" s="877"/>
      <c r="G21" s="879"/>
      <c r="H21" s="622" t="s">
        <v>12</v>
      </c>
      <c r="I21" s="880"/>
      <c r="J21" s="880"/>
      <c r="K21" s="881"/>
      <c r="L21" s="881">
        <f t="shared" ref="L21:N21" ca="1" si="12">L22+L23</f>
        <v>1793190</v>
      </c>
      <c r="M21" s="881">
        <f t="shared" ca="1" si="12"/>
        <v>1459158</v>
      </c>
      <c r="N21" s="881">
        <f t="shared" ca="1" si="12"/>
        <v>848167.93</v>
      </c>
      <c r="O21" s="881">
        <f t="shared" ca="1" si="9"/>
        <v>47.299389914063767</v>
      </c>
      <c r="P21" s="881">
        <f t="shared" ca="1" si="10"/>
        <v>58.127216518019296</v>
      </c>
      <c r="Q21" s="868"/>
      <c r="R21" s="868"/>
      <c r="S21" s="868"/>
      <c r="T21" s="868"/>
      <c r="U21" s="868"/>
      <c r="V21" s="868"/>
      <c r="W21" s="868"/>
      <c r="X21" s="868"/>
      <c r="Y21" s="868"/>
      <c r="Z21" s="868"/>
    </row>
    <row r="22" spans="1:26" ht="18.75" hidden="1">
      <c r="A22" s="882"/>
      <c r="B22" s="883"/>
      <c r="C22" s="883"/>
      <c r="D22" s="883"/>
      <c r="E22" s="884" t="s">
        <v>18</v>
      </c>
      <c r="F22" s="883"/>
      <c r="G22" s="885"/>
      <c r="H22" s="43" t="s">
        <v>12</v>
      </c>
      <c r="I22" s="886"/>
      <c r="J22" s="886"/>
      <c r="K22" s="887"/>
      <c r="L22" s="887">
        <f t="shared" ref="L22:N23" si="13">L45+L57+L70+L92+L123+L136+L153+L185+L169+L265+L281+L302+L319+L332+L349+L393+L406</f>
        <v>0</v>
      </c>
      <c r="M22" s="887">
        <f t="shared" si="13"/>
        <v>0</v>
      </c>
      <c r="N22" s="887">
        <f t="shared" si="13"/>
        <v>0</v>
      </c>
      <c r="O22" s="887">
        <f t="shared" si="9"/>
        <v>0</v>
      </c>
      <c r="P22" s="887">
        <f t="shared" si="10"/>
        <v>0</v>
      </c>
      <c r="Q22" s="875"/>
      <c r="R22" s="875"/>
      <c r="S22" s="875"/>
      <c r="T22" s="875"/>
      <c r="U22" s="875"/>
      <c r="V22" s="875"/>
      <c r="W22" s="875"/>
      <c r="X22" s="875"/>
      <c r="Y22" s="875"/>
      <c r="Z22" s="875"/>
    </row>
    <row r="23" spans="1:26" ht="18.75" hidden="1">
      <c r="A23" s="882"/>
      <c r="B23" s="883"/>
      <c r="C23" s="883"/>
      <c r="D23" s="883"/>
      <c r="E23" s="884" t="s">
        <v>19</v>
      </c>
      <c r="F23" s="883"/>
      <c r="G23" s="885"/>
      <c r="H23" s="43" t="s">
        <v>12</v>
      </c>
      <c r="I23" s="886"/>
      <c r="J23" s="886"/>
      <c r="K23" s="887"/>
      <c r="L23" s="887">
        <f t="shared" ca="1" si="13"/>
        <v>1793190</v>
      </c>
      <c r="M23" s="887">
        <f t="shared" ca="1" si="13"/>
        <v>1459158</v>
      </c>
      <c r="N23" s="887">
        <f t="shared" ca="1" si="13"/>
        <v>848167.93</v>
      </c>
      <c r="O23" s="887">
        <f t="shared" ca="1" si="9"/>
        <v>47.299389914063767</v>
      </c>
      <c r="P23" s="887">
        <f t="shared" ca="1" si="10"/>
        <v>58.127216518019296</v>
      </c>
      <c r="Q23" s="875"/>
      <c r="R23" s="875"/>
      <c r="S23" s="875"/>
      <c r="T23" s="875"/>
      <c r="U23" s="875"/>
      <c r="V23" s="875"/>
      <c r="W23" s="875"/>
      <c r="X23" s="875"/>
      <c r="Y23" s="875"/>
      <c r="Z23" s="875"/>
    </row>
    <row r="24" spans="1:26" ht="18.75">
      <c r="A24" s="876"/>
      <c r="B24" s="877"/>
      <c r="C24" s="877"/>
      <c r="D24" s="878" t="s">
        <v>21</v>
      </c>
      <c r="E24" s="877"/>
      <c r="F24" s="877"/>
      <c r="G24" s="879"/>
      <c r="H24" s="622" t="s">
        <v>12</v>
      </c>
      <c r="I24" s="880"/>
      <c r="J24" s="880"/>
      <c r="K24" s="881"/>
      <c r="L24" s="881">
        <f t="shared" ref="L24:N24" ca="1" si="14">L25+L26</f>
        <v>76000</v>
      </c>
      <c r="M24" s="881">
        <f t="shared" ca="1" si="14"/>
        <v>76000</v>
      </c>
      <c r="N24" s="881">
        <f t="shared" ca="1" si="14"/>
        <v>76000</v>
      </c>
      <c r="O24" s="881">
        <f t="shared" ca="1" si="9"/>
        <v>100</v>
      </c>
      <c r="P24" s="881">
        <f t="shared" ca="1" si="10"/>
        <v>100</v>
      </c>
      <c r="Q24" s="868"/>
      <c r="R24" s="868"/>
      <c r="S24" s="868"/>
      <c r="T24" s="868"/>
      <c r="U24" s="868"/>
      <c r="V24" s="868"/>
      <c r="W24" s="868"/>
      <c r="X24" s="868"/>
      <c r="Y24" s="868"/>
      <c r="Z24" s="868"/>
    </row>
    <row r="25" spans="1:26" ht="18.75" hidden="1">
      <c r="A25" s="882"/>
      <c r="B25" s="883"/>
      <c r="C25" s="883"/>
      <c r="D25" s="883"/>
      <c r="E25" s="884" t="s">
        <v>18</v>
      </c>
      <c r="F25" s="883"/>
      <c r="G25" s="885"/>
      <c r="H25" s="43" t="s">
        <v>12</v>
      </c>
      <c r="I25" s="886"/>
      <c r="J25" s="886"/>
      <c r="K25" s="887"/>
      <c r="L25" s="887">
        <f t="shared" ref="L25:N26" si="15">L48+L60+L73+L95+L126+L139+L156+L188+L172+L268+L284+L305+L322+L335+L352+L396+L409</f>
        <v>0</v>
      </c>
      <c r="M25" s="887">
        <f t="shared" si="15"/>
        <v>0</v>
      </c>
      <c r="N25" s="887">
        <f t="shared" si="15"/>
        <v>0</v>
      </c>
      <c r="O25" s="887">
        <f t="shared" si="9"/>
        <v>0</v>
      </c>
      <c r="P25" s="887">
        <f t="shared" si="10"/>
        <v>0</v>
      </c>
      <c r="Q25" s="875"/>
      <c r="R25" s="875"/>
      <c r="S25" s="875"/>
      <c r="T25" s="875"/>
      <c r="U25" s="875"/>
      <c r="V25" s="875"/>
      <c r="W25" s="875"/>
      <c r="X25" s="875"/>
      <c r="Y25" s="875"/>
      <c r="Z25" s="875"/>
    </row>
    <row r="26" spans="1:26" ht="18.75" hidden="1">
      <c r="A26" s="888"/>
      <c r="B26" s="889"/>
      <c r="C26" s="889"/>
      <c r="D26" s="889"/>
      <c r="E26" s="890" t="s">
        <v>19</v>
      </c>
      <c r="F26" s="889"/>
      <c r="G26" s="891"/>
      <c r="H26" s="50" t="s">
        <v>12</v>
      </c>
      <c r="I26" s="892"/>
      <c r="J26" s="892"/>
      <c r="K26" s="893"/>
      <c r="L26" s="893">
        <f t="shared" ca="1" si="15"/>
        <v>76000</v>
      </c>
      <c r="M26" s="893">
        <f t="shared" ca="1" si="15"/>
        <v>76000</v>
      </c>
      <c r="N26" s="893">
        <f t="shared" ca="1" si="15"/>
        <v>76000</v>
      </c>
      <c r="O26" s="893">
        <f t="shared" ca="1" si="9"/>
        <v>100</v>
      </c>
      <c r="P26" s="893">
        <f t="shared" ca="1" si="10"/>
        <v>100</v>
      </c>
      <c r="Q26" s="875"/>
      <c r="R26" s="875"/>
      <c r="S26" s="875"/>
      <c r="T26" s="875"/>
      <c r="U26" s="875"/>
      <c r="V26" s="875"/>
      <c r="W26" s="875"/>
      <c r="X26" s="875"/>
      <c r="Y26" s="875"/>
      <c r="Z26" s="875"/>
    </row>
    <row r="27" spans="1:26" ht="19.5">
      <c r="A27" s="856" t="s">
        <v>23</v>
      </c>
      <c r="B27" s="833"/>
      <c r="C27" s="833"/>
      <c r="D27" s="833"/>
      <c r="E27" s="833"/>
      <c r="F27" s="833"/>
      <c r="G27" s="831"/>
      <c r="H27" s="857"/>
      <c r="I27" s="858"/>
      <c r="J27" s="858"/>
      <c r="K27" s="859"/>
      <c r="L27" s="859"/>
      <c r="M27" s="859"/>
      <c r="N27" s="859"/>
      <c r="O27" s="859"/>
      <c r="P27" s="859"/>
    </row>
    <row r="28" spans="1:26" ht="19.5">
      <c r="A28" s="860"/>
      <c r="B28" s="861"/>
      <c r="C28" s="862" t="s">
        <v>16</v>
      </c>
      <c r="D28" s="863" t="s">
        <v>17</v>
      </c>
      <c r="E28" s="861"/>
      <c r="F28" s="861"/>
      <c r="G28" s="864"/>
      <c r="H28" s="19" t="s">
        <v>12</v>
      </c>
      <c r="I28" s="865"/>
      <c r="J28" s="865"/>
      <c r="K28" s="866"/>
      <c r="L28" s="867">
        <f t="shared" ref="L28:N28" ca="1" si="16">L29+L30</f>
        <v>447086</v>
      </c>
      <c r="M28" s="867">
        <f t="shared" ca="1" si="16"/>
        <v>447086</v>
      </c>
      <c r="N28" s="867">
        <f t="shared" si="16"/>
        <v>220924</v>
      </c>
      <c r="O28" s="867">
        <f t="shared" ref="O28:O37" ca="1" si="17">IF(L28&gt;0,N28*100/L28,0)</f>
        <v>49.414206662700238</v>
      </c>
      <c r="P28" s="867">
        <f t="shared" ref="P28:P37" ca="1" si="18">IF(M28&gt;0,N28*100/M28,0)</f>
        <v>49.414206662700238</v>
      </c>
      <c r="Q28" s="868"/>
      <c r="R28" s="868"/>
      <c r="S28" s="868"/>
      <c r="T28" s="868"/>
      <c r="U28" s="868"/>
      <c r="V28" s="868"/>
      <c r="W28" s="868"/>
      <c r="X28" s="868"/>
      <c r="Y28" s="868"/>
      <c r="Z28" s="868"/>
    </row>
    <row r="29" spans="1:26" ht="18.75" hidden="1">
      <c r="A29" s="869"/>
      <c r="B29" s="870"/>
      <c r="C29" s="870"/>
      <c r="D29" s="870"/>
      <c r="E29" s="871" t="s">
        <v>18</v>
      </c>
      <c r="F29" s="870"/>
      <c r="G29" s="872"/>
      <c r="H29" s="28" t="s">
        <v>12</v>
      </c>
      <c r="I29" s="873"/>
      <c r="J29" s="873"/>
      <c r="K29" s="874"/>
      <c r="L29" s="874">
        <f t="shared" ref="L29:N30" si="19">L32+L35</f>
        <v>0</v>
      </c>
      <c r="M29" s="874">
        <f t="shared" si="19"/>
        <v>0</v>
      </c>
      <c r="N29" s="874">
        <f t="shared" si="19"/>
        <v>0</v>
      </c>
      <c r="O29" s="874">
        <f t="shared" si="17"/>
        <v>0</v>
      </c>
      <c r="P29" s="874">
        <f t="shared" si="18"/>
        <v>0</v>
      </c>
      <c r="Q29" s="875"/>
      <c r="R29" s="875"/>
      <c r="S29" s="875"/>
      <c r="T29" s="875"/>
      <c r="U29" s="875"/>
      <c r="V29" s="875"/>
      <c r="W29" s="875"/>
      <c r="X29" s="875"/>
      <c r="Y29" s="875"/>
      <c r="Z29" s="875"/>
    </row>
    <row r="30" spans="1:26" ht="18.75" hidden="1">
      <c r="A30" s="869"/>
      <c r="B30" s="870"/>
      <c r="C30" s="870"/>
      <c r="D30" s="870"/>
      <c r="E30" s="871" t="s">
        <v>19</v>
      </c>
      <c r="F30" s="870"/>
      <c r="G30" s="872"/>
      <c r="H30" s="28" t="s">
        <v>12</v>
      </c>
      <c r="I30" s="873"/>
      <c r="J30" s="873"/>
      <c r="K30" s="874"/>
      <c r="L30" s="874">
        <f t="shared" ca="1" si="19"/>
        <v>447086</v>
      </c>
      <c r="M30" s="874">
        <f t="shared" ca="1" si="19"/>
        <v>447086</v>
      </c>
      <c r="N30" s="874">
        <f t="shared" si="19"/>
        <v>220924</v>
      </c>
      <c r="O30" s="874">
        <f t="shared" ca="1" si="17"/>
        <v>49.414206662700238</v>
      </c>
      <c r="P30" s="874">
        <f t="shared" ca="1" si="18"/>
        <v>49.414206662700238</v>
      </c>
      <c r="Q30" s="875"/>
      <c r="R30" s="875"/>
      <c r="S30" s="875"/>
      <c r="T30" s="875"/>
      <c r="U30" s="875"/>
      <c r="V30" s="875"/>
      <c r="W30" s="875"/>
      <c r="X30" s="875"/>
      <c r="Y30" s="875"/>
      <c r="Z30" s="875"/>
    </row>
    <row r="31" spans="1:26" ht="18.75">
      <c r="A31" s="876"/>
      <c r="B31" s="877"/>
      <c r="C31" s="877"/>
      <c r="D31" s="878" t="s">
        <v>20</v>
      </c>
      <c r="E31" s="877"/>
      <c r="F31" s="877"/>
      <c r="G31" s="879"/>
      <c r="H31" s="622" t="s">
        <v>12</v>
      </c>
      <c r="I31" s="880"/>
      <c r="J31" s="880"/>
      <c r="K31" s="881"/>
      <c r="L31" s="881">
        <f t="shared" ref="L31:N31" ca="1" si="20">L32+L33</f>
        <v>447086</v>
      </c>
      <c r="M31" s="881">
        <f t="shared" ca="1" si="20"/>
        <v>447086</v>
      </c>
      <c r="N31" s="881">
        <f t="shared" si="20"/>
        <v>220924</v>
      </c>
      <c r="O31" s="881">
        <f t="shared" ca="1" si="17"/>
        <v>49.414206662700238</v>
      </c>
      <c r="P31" s="881">
        <f t="shared" ca="1" si="18"/>
        <v>49.414206662700238</v>
      </c>
      <c r="Q31" s="868"/>
      <c r="R31" s="868"/>
      <c r="S31" s="868"/>
      <c r="T31" s="868"/>
      <c r="U31" s="868"/>
      <c r="V31" s="868"/>
      <c r="W31" s="868"/>
      <c r="X31" s="868"/>
      <c r="Y31" s="868"/>
      <c r="Z31" s="868"/>
    </row>
    <row r="32" spans="1:26" ht="18.75" hidden="1">
      <c r="A32" s="882"/>
      <c r="B32" s="883"/>
      <c r="C32" s="883"/>
      <c r="D32" s="883"/>
      <c r="E32" s="884" t="s">
        <v>18</v>
      </c>
      <c r="F32" s="883"/>
      <c r="G32" s="885"/>
      <c r="H32" s="43" t="s">
        <v>12</v>
      </c>
      <c r="I32" s="886"/>
      <c r="J32" s="886"/>
      <c r="K32" s="887"/>
      <c r="L32" s="887">
        <f t="shared" ref="L32:N33" si="21">L423+L448+L471+L506+L527+L548+L633+L659+L689+L741+L758+L774+L790+L809</f>
        <v>0</v>
      </c>
      <c r="M32" s="887">
        <f t="shared" si="21"/>
        <v>0</v>
      </c>
      <c r="N32" s="887">
        <f t="shared" si="21"/>
        <v>0</v>
      </c>
      <c r="O32" s="887">
        <f t="shared" si="17"/>
        <v>0</v>
      </c>
      <c r="P32" s="887">
        <f t="shared" si="18"/>
        <v>0</v>
      </c>
      <c r="Q32" s="875"/>
      <c r="R32" s="875"/>
      <c r="S32" s="875"/>
      <c r="T32" s="875"/>
      <c r="U32" s="875"/>
      <c r="V32" s="875"/>
      <c r="W32" s="875"/>
      <c r="X32" s="875"/>
      <c r="Y32" s="875"/>
      <c r="Z32" s="875"/>
    </row>
    <row r="33" spans="1:26" ht="18.75" hidden="1">
      <c r="A33" s="882"/>
      <c r="B33" s="883"/>
      <c r="C33" s="883"/>
      <c r="D33" s="883"/>
      <c r="E33" s="884" t="s">
        <v>19</v>
      </c>
      <c r="F33" s="883"/>
      <c r="G33" s="885"/>
      <c r="H33" s="43" t="s">
        <v>12</v>
      </c>
      <c r="I33" s="886"/>
      <c r="J33" s="886"/>
      <c r="K33" s="887"/>
      <c r="L33" s="887">
        <f t="shared" ca="1" si="21"/>
        <v>447086</v>
      </c>
      <c r="M33" s="887">
        <f t="shared" ca="1" si="21"/>
        <v>447086</v>
      </c>
      <c r="N33" s="887">
        <f t="shared" si="21"/>
        <v>220924</v>
      </c>
      <c r="O33" s="887">
        <f t="shared" ca="1" si="17"/>
        <v>49.414206662700238</v>
      </c>
      <c r="P33" s="887">
        <f t="shared" ca="1" si="18"/>
        <v>49.414206662700238</v>
      </c>
      <c r="Q33" s="875"/>
      <c r="R33" s="875"/>
      <c r="S33" s="875"/>
      <c r="T33" s="875"/>
      <c r="U33" s="875"/>
      <c r="V33" s="875"/>
      <c r="W33" s="875"/>
      <c r="X33" s="875"/>
      <c r="Y33" s="875"/>
      <c r="Z33" s="875"/>
    </row>
    <row r="34" spans="1:26" ht="18.75">
      <c r="A34" s="876"/>
      <c r="B34" s="877"/>
      <c r="C34" s="877"/>
      <c r="D34" s="878" t="s">
        <v>21</v>
      </c>
      <c r="E34" s="877"/>
      <c r="F34" s="877"/>
      <c r="G34" s="879"/>
      <c r="H34" s="622" t="s">
        <v>12</v>
      </c>
      <c r="I34" s="880"/>
      <c r="J34" s="880"/>
      <c r="K34" s="881"/>
      <c r="L34" s="881">
        <f t="shared" ref="L34:N34" ca="1" si="22">L35+L36</f>
        <v>0</v>
      </c>
      <c r="M34" s="881">
        <f t="shared" si="22"/>
        <v>0</v>
      </c>
      <c r="N34" s="881">
        <f t="shared" si="22"/>
        <v>0</v>
      </c>
      <c r="O34" s="881">
        <f t="shared" ca="1" si="17"/>
        <v>0</v>
      </c>
      <c r="P34" s="881">
        <f t="shared" si="18"/>
        <v>0</v>
      </c>
      <c r="Q34" s="868"/>
      <c r="R34" s="868"/>
      <c r="S34" s="868"/>
      <c r="T34" s="868"/>
      <c r="U34" s="868"/>
      <c r="V34" s="868"/>
      <c r="W34" s="868"/>
      <c r="X34" s="868"/>
      <c r="Y34" s="868"/>
      <c r="Z34" s="868"/>
    </row>
    <row r="35" spans="1:26" ht="18.75" hidden="1">
      <c r="A35" s="882"/>
      <c r="B35" s="883"/>
      <c r="C35" s="883"/>
      <c r="D35" s="883"/>
      <c r="E35" s="884" t="s">
        <v>18</v>
      </c>
      <c r="F35" s="883"/>
      <c r="G35" s="885"/>
      <c r="H35" s="43" t="s">
        <v>12</v>
      </c>
      <c r="I35" s="886"/>
      <c r="J35" s="886"/>
      <c r="K35" s="887"/>
      <c r="L35" s="887">
        <f t="shared" ref="L35:N36" si="23">L430+L455+L478+L513+L534+L556+L640+L666+L696+L748+L765+L781+L797+L816</f>
        <v>0</v>
      </c>
      <c r="M35" s="887">
        <f t="shared" si="23"/>
        <v>0</v>
      </c>
      <c r="N35" s="887">
        <f t="shared" si="23"/>
        <v>0</v>
      </c>
      <c r="O35" s="887">
        <f t="shared" si="17"/>
        <v>0</v>
      </c>
      <c r="P35" s="887">
        <f t="shared" si="18"/>
        <v>0</v>
      </c>
      <c r="Q35" s="875"/>
      <c r="R35" s="875"/>
      <c r="S35" s="875"/>
      <c r="T35" s="875"/>
      <c r="U35" s="875"/>
      <c r="V35" s="875"/>
      <c r="W35" s="875"/>
      <c r="X35" s="875"/>
      <c r="Y35" s="875"/>
      <c r="Z35" s="875"/>
    </row>
    <row r="36" spans="1:26" ht="18.75" hidden="1">
      <c r="A36" s="888"/>
      <c r="B36" s="889"/>
      <c r="C36" s="889"/>
      <c r="D36" s="889"/>
      <c r="E36" s="890" t="s">
        <v>19</v>
      </c>
      <c r="F36" s="889"/>
      <c r="G36" s="891"/>
      <c r="H36" s="50" t="s">
        <v>12</v>
      </c>
      <c r="I36" s="892"/>
      <c r="J36" s="892"/>
      <c r="K36" s="893"/>
      <c r="L36" s="893">
        <f t="shared" ca="1" si="23"/>
        <v>0</v>
      </c>
      <c r="M36" s="893">
        <f t="shared" si="23"/>
        <v>0</v>
      </c>
      <c r="N36" s="893">
        <f t="shared" si="23"/>
        <v>0</v>
      </c>
      <c r="O36" s="893">
        <f t="shared" ca="1" si="17"/>
        <v>0</v>
      </c>
      <c r="P36" s="893">
        <f t="shared" si="18"/>
        <v>0</v>
      </c>
      <c r="Q36" s="875"/>
      <c r="R36" s="875"/>
      <c r="S36" s="875"/>
      <c r="T36" s="875"/>
      <c r="U36" s="875"/>
      <c r="V36" s="875"/>
      <c r="W36" s="875"/>
      <c r="X36" s="875"/>
      <c r="Y36" s="875"/>
      <c r="Z36" s="875"/>
    </row>
    <row r="37" spans="1:26" ht="19.5">
      <c r="A37" s="894" t="s">
        <v>24</v>
      </c>
      <c r="B37" s="895"/>
      <c r="C37" s="895"/>
      <c r="D37" s="895"/>
      <c r="E37" s="895"/>
      <c r="F37" s="895"/>
      <c r="G37" s="896"/>
      <c r="H37" s="897"/>
      <c r="I37" s="898"/>
      <c r="J37" s="898"/>
      <c r="K37" s="899"/>
      <c r="L37" s="900">
        <f t="shared" ref="L37:N37" ca="1" si="24">L41+L53+L66+L88+L119+L132+L149+L165+L181+L261+L277+L298+L315+L328+L345+L389+L402</f>
        <v>1869190</v>
      </c>
      <c r="M37" s="900">
        <f t="shared" ca="1" si="24"/>
        <v>1535158</v>
      </c>
      <c r="N37" s="900">
        <f t="shared" ca="1" si="24"/>
        <v>924167.93</v>
      </c>
      <c r="O37" s="900">
        <f t="shared" ca="1" si="17"/>
        <v>49.442161043018636</v>
      </c>
      <c r="P37" s="900">
        <f t="shared" ca="1" si="18"/>
        <v>60.200183303607837</v>
      </c>
    </row>
    <row r="38" spans="1:26" ht="19.5">
      <c r="A38" s="901" t="s">
        <v>25</v>
      </c>
      <c r="B38" s="902"/>
      <c r="C38" s="902"/>
      <c r="D38" s="902"/>
      <c r="E38" s="902"/>
      <c r="F38" s="902"/>
      <c r="G38" s="903"/>
      <c r="H38" s="904"/>
      <c r="I38" s="905"/>
      <c r="J38" s="905"/>
      <c r="K38" s="906"/>
      <c r="L38" s="906"/>
      <c r="M38" s="906"/>
      <c r="N38" s="906"/>
      <c r="O38" s="906"/>
      <c r="P38" s="906"/>
    </row>
    <row r="39" spans="1:26" ht="19.5">
      <c r="A39" s="907"/>
      <c r="B39" s="908" t="s">
        <v>26</v>
      </c>
      <c r="C39" s="909"/>
      <c r="D39" s="909"/>
      <c r="E39" s="909"/>
      <c r="F39" s="909"/>
      <c r="G39" s="910"/>
      <c r="H39" s="911"/>
      <c r="I39" s="912"/>
      <c r="J39" s="912"/>
      <c r="K39" s="913"/>
      <c r="L39" s="913"/>
      <c r="M39" s="913"/>
      <c r="N39" s="913"/>
      <c r="O39" s="913"/>
      <c r="P39" s="913"/>
    </row>
    <row r="40" spans="1:26" ht="19.5">
      <c r="A40" s="914"/>
      <c r="B40" s="915" t="s">
        <v>27</v>
      </c>
      <c r="C40" s="841"/>
      <c r="D40" s="841"/>
      <c r="E40" s="841"/>
      <c r="F40" s="841"/>
      <c r="G40" s="842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82" t="s">
        <v>12</v>
      </c>
      <c r="I41" s="924"/>
      <c r="J41" s="924"/>
      <c r="K41" s="925"/>
      <c r="L41" s="926">
        <f t="shared" ref="L41:N41" ca="1" si="25">L42+L43</f>
        <v>334650</v>
      </c>
      <c r="M41" s="926">
        <f t="shared" ca="1" si="25"/>
        <v>339380</v>
      </c>
      <c r="N41" s="926">
        <f t="shared" ca="1" si="25"/>
        <v>186170</v>
      </c>
      <c r="O41" s="926">
        <f t="shared" ref="O41:O49" ca="1" si="26">IF(L41&gt;0,N41*100/L41,0)</f>
        <v>55.631256536680112</v>
      </c>
      <c r="P41" s="926">
        <f t="shared" ref="P41:P49" ca="1" si="27">IF(M41&gt;0,N41*100/M41,0)</f>
        <v>54.855913725027989</v>
      </c>
      <c r="Q41" s="868"/>
      <c r="R41" s="868"/>
      <c r="S41" s="868"/>
      <c r="T41" s="868"/>
      <c r="U41" s="868"/>
      <c r="V41" s="868"/>
      <c r="W41" s="868"/>
      <c r="X41" s="868"/>
      <c r="Y41" s="868"/>
      <c r="Z41" s="868"/>
    </row>
    <row r="42" spans="1:26" ht="18.75" hidden="1">
      <c r="A42" s="927"/>
      <c r="B42" s="928"/>
      <c r="C42" s="928"/>
      <c r="D42" s="928"/>
      <c r="E42" s="929" t="s">
        <v>18</v>
      </c>
      <c r="F42" s="928"/>
      <c r="G42" s="930"/>
      <c r="H42" s="90" t="s">
        <v>12</v>
      </c>
      <c r="I42" s="931"/>
      <c r="J42" s="931"/>
      <c r="K42" s="932"/>
      <c r="L42" s="932">
        <f t="shared" ref="L42:N43" si="28">L45+L48</f>
        <v>0</v>
      </c>
      <c r="M42" s="932">
        <f t="shared" si="28"/>
        <v>0</v>
      </c>
      <c r="N42" s="932">
        <f t="shared" si="28"/>
        <v>0</v>
      </c>
      <c r="O42" s="932">
        <f t="shared" si="26"/>
        <v>0</v>
      </c>
      <c r="P42" s="932">
        <f t="shared" si="27"/>
        <v>0</v>
      </c>
      <c r="Q42" s="875"/>
      <c r="R42" s="875"/>
      <c r="S42" s="875"/>
      <c r="T42" s="875"/>
      <c r="U42" s="875"/>
      <c r="V42" s="875"/>
      <c r="W42" s="875"/>
      <c r="X42" s="875"/>
      <c r="Y42" s="875"/>
      <c r="Z42" s="875"/>
    </row>
    <row r="43" spans="1:26" ht="18.75" hidden="1">
      <c r="A43" s="927"/>
      <c r="B43" s="928"/>
      <c r="C43" s="928"/>
      <c r="D43" s="928"/>
      <c r="E43" s="929" t="s">
        <v>19</v>
      </c>
      <c r="F43" s="928"/>
      <c r="G43" s="930"/>
      <c r="H43" s="90" t="s">
        <v>12</v>
      </c>
      <c r="I43" s="931"/>
      <c r="J43" s="931"/>
      <c r="K43" s="932"/>
      <c r="L43" s="932">
        <f t="shared" ca="1" si="28"/>
        <v>334650</v>
      </c>
      <c r="M43" s="932">
        <f t="shared" ca="1" si="28"/>
        <v>339380</v>
      </c>
      <c r="N43" s="932">
        <f t="shared" ca="1" si="28"/>
        <v>186170</v>
      </c>
      <c r="O43" s="932">
        <f t="shared" ca="1" si="26"/>
        <v>55.631256536680112</v>
      </c>
      <c r="P43" s="932">
        <f t="shared" ca="1" si="27"/>
        <v>54.855913725027989</v>
      </c>
      <c r="Q43" s="875"/>
      <c r="R43" s="875"/>
      <c r="S43" s="875"/>
      <c r="T43" s="875"/>
      <c r="U43" s="875"/>
      <c r="V43" s="875"/>
      <c r="W43" s="875"/>
      <c r="X43" s="875"/>
      <c r="Y43" s="875"/>
      <c r="Z43" s="875"/>
    </row>
    <row r="44" spans="1:26" ht="18.75">
      <c r="A44" s="876"/>
      <c r="B44" s="877"/>
      <c r="C44" s="877"/>
      <c r="D44" s="878" t="s">
        <v>20</v>
      </c>
      <c r="E44" s="877"/>
      <c r="F44" s="877"/>
      <c r="G44" s="879"/>
      <c r="H44" s="622" t="s">
        <v>12</v>
      </c>
      <c r="I44" s="880"/>
      <c r="J44" s="880"/>
      <c r="K44" s="881"/>
      <c r="L44" s="881">
        <f t="shared" ref="L44:N44" ca="1" si="29">L45+L46</f>
        <v>334650</v>
      </c>
      <c r="M44" s="881">
        <f t="shared" ca="1" si="29"/>
        <v>339380</v>
      </c>
      <c r="N44" s="881">
        <f t="shared" ca="1" si="29"/>
        <v>186170</v>
      </c>
      <c r="O44" s="881">
        <f t="shared" ca="1" si="26"/>
        <v>55.631256536680112</v>
      </c>
      <c r="P44" s="881">
        <f t="shared" ca="1" si="27"/>
        <v>54.855913725027989</v>
      </c>
      <c r="Q44" s="868"/>
      <c r="R44" s="868"/>
      <c r="S44" s="868"/>
      <c r="T44" s="868"/>
      <c r="U44" s="868"/>
      <c r="V44" s="868"/>
      <c r="W44" s="868"/>
      <c r="X44" s="868"/>
      <c r="Y44" s="868"/>
      <c r="Z44" s="868"/>
    </row>
    <row r="45" spans="1:26" ht="18.75" hidden="1">
      <c r="A45" s="882"/>
      <c r="B45" s="883"/>
      <c r="C45" s="883"/>
      <c r="D45" s="883"/>
      <c r="E45" s="884" t="s">
        <v>18</v>
      </c>
      <c r="F45" s="883"/>
      <c r="G45" s="885"/>
      <c r="H45" s="43" t="s">
        <v>12</v>
      </c>
      <c r="I45" s="886"/>
      <c r="J45" s="886"/>
      <c r="K45" s="887"/>
      <c r="L45" s="887">
        <v>0</v>
      </c>
      <c r="M45" s="887">
        <v>0</v>
      </c>
      <c r="N45" s="887">
        <v>0</v>
      </c>
      <c r="O45" s="887">
        <f t="shared" si="26"/>
        <v>0</v>
      </c>
      <c r="P45" s="887">
        <f t="shared" si="27"/>
        <v>0</v>
      </c>
      <c r="Q45" s="875"/>
      <c r="R45" s="875"/>
      <c r="S45" s="875"/>
      <c r="T45" s="875"/>
      <c r="U45" s="875"/>
      <c r="V45" s="875"/>
      <c r="W45" s="875"/>
      <c r="X45" s="875"/>
      <c r="Y45" s="875"/>
      <c r="Z45" s="875"/>
    </row>
    <row r="46" spans="1:26" ht="18.75" hidden="1">
      <c r="A46" s="882"/>
      <c r="B46" s="883"/>
      <c r="C46" s="883"/>
      <c r="D46" s="883"/>
      <c r="E46" s="884" t="s">
        <v>19</v>
      </c>
      <c r="F46" s="883"/>
      <c r="G46" s="885"/>
      <c r="H46" s="43" t="s">
        <v>12</v>
      </c>
      <c r="I46" s="886"/>
      <c r="J46" s="886"/>
      <c r="K46" s="887"/>
      <c r="L46" s="887">
        <f ca="1">IFERROR(__xludf.DUMMYFUNCTION("IMPORTRANGE(""https://docs.google.com/spreadsheets/d/1MeEWN-I1oV_STSDYn1IFDPWt_1FKiwhDph83XaGc0o0/edit?usp=sharing"",""งบพรบ!M87"")"),334650)</f>
        <v>334650</v>
      </c>
      <c r="M46" s="887">
        <f ca="1">IFERROR(__xludf.DUMMYFUNCTION("IMPORTRANGE(""https://docs.google.com/spreadsheets/d/1MeEWN-I1oV_STSDYn1IFDPWt_1FKiwhDph83XaGc0o0/edit?usp=sharing"",""งบพรบ!R87"")"),339380)</f>
        <v>339380</v>
      </c>
      <c r="N46" s="887">
        <f ca="1">IFERROR(__xludf.DUMMYFUNCTION("IMPORTRANGE(""https://docs.google.com/spreadsheets/d/1MeEWN-I1oV_STSDYn1IFDPWt_1FKiwhDph83XaGc0o0/edit?usp=sharing"",""งบพรบ!T87"")"),186170)</f>
        <v>186170</v>
      </c>
      <c r="O46" s="887">
        <f t="shared" ca="1" si="26"/>
        <v>55.631256536680112</v>
      </c>
      <c r="P46" s="887">
        <f t="shared" ca="1" si="27"/>
        <v>54.855913725027989</v>
      </c>
      <c r="Q46" s="875"/>
      <c r="R46" s="875"/>
      <c r="S46" s="875"/>
      <c r="T46" s="875"/>
      <c r="U46" s="875"/>
      <c r="V46" s="875"/>
      <c r="W46" s="875"/>
      <c r="X46" s="875"/>
      <c r="Y46" s="875"/>
      <c r="Z46" s="875"/>
    </row>
    <row r="47" spans="1:26" ht="18.75">
      <c r="A47" s="876"/>
      <c r="B47" s="877"/>
      <c r="C47" s="877"/>
      <c r="D47" s="878" t="s">
        <v>21</v>
      </c>
      <c r="E47" s="877"/>
      <c r="F47" s="877"/>
      <c r="G47" s="879"/>
      <c r="H47" s="622" t="s">
        <v>12</v>
      </c>
      <c r="I47" s="880"/>
      <c r="J47" s="880"/>
      <c r="K47" s="881"/>
      <c r="L47" s="881">
        <f t="shared" ref="L47:N47" ca="1" si="30">L48+L49</f>
        <v>0</v>
      </c>
      <c r="M47" s="881">
        <f t="shared" ca="1" si="30"/>
        <v>0</v>
      </c>
      <c r="N47" s="881">
        <f t="shared" ca="1" si="30"/>
        <v>0</v>
      </c>
      <c r="O47" s="881">
        <f t="shared" ca="1" si="26"/>
        <v>0</v>
      </c>
      <c r="P47" s="881">
        <f t="shared" ca="1" si="27"/>
        <v>0</v>
      </c>
      <c r="Q47" s="868"/>
      <c r="R47" s="868"/>
      <c r="S47" s="868"/>
      <c r="T47" s="868"/>
      <c r="U47" s="868"/>
      <c r="V47" s="868"/>
      <c r="W47" s="868"/>
      <c r="X47" s="868"/>
      <c r="Y47" s="868"/>
      <c r="Z47" s="868"/>
    </row>
    <row r="48" spans="1:26" ht="18.75" hidden="1">
      <c r="A48" s="882"/>
      <c r="B48" s="883"/>
      <c r="C48" s="883"/>
      <c r="D48" s="883"/>
      <c r="E48" s="884" t="s">
        <v>18</v>
      </c>
      <c r="F48" s="883"/>
      <c r="G48" s="885"/>
      <c r="H48" s="43" t="s">
        <v>12</v>
      </c>
      <c r="I48" s="886"/>
      <c r="J48" s="886"/>
      <c r="K48" s="887"/>
      <c r="L48" s="887">
        <v>0</v>
      </c>
      <c r="M48" s="887">
        <v>0</v>
      </c>
      <c r="N48" s="887">
        <v>0</v>
      </c>
      <c r="O48" s="887">
        <f t="shared" si="26"/>
        <v>0</v>
      </c>
      <c r="P48" s="887">
        <f t="shared" si="27"/>
        <v>0</v>
      </c>
      <c r="Q48" s="875"/>
      <c r="R48" s="875"/>
      <c r="S48" s="875"/>
      <c r="T48" s="875"/>
      <c r="U48" s="875"/>
      <c r="V48" s="875"/>
      <c r="W48" s="875"/>
      <c r="X48" s="875"/>
      <c r="Y48" s="875"/>
      <c r="Z48" s="875"/>
    </row>
    <row r="49" spans="1:26" ht="18.75" hidden="1">
      <c r="A49" s="888"/>
      <c r="B49" s="889"/>
      <c r="C49" s="889"/>
      <c r="D49" s="889"/>
      <c r="E49" s="890" t="s">
        <v>19</v>
      </c>
      <c r="F49" s="889"/>
      <c r="G49" s="891"/>
      <c r="H49" s="50" t="s">
        <v>12</v>
      </c>
      <c r="I49" s="892"/>
      <c r="J49" s="892"/>
      <c r="K49" s="893"/>
      <c r="L49" s="893">
        <f ca="1">IFERROR(__xludf.DUMMYFUNCTION("IMPORTRANGE(""https://docs.google.com/spreadsheets/d/1MeEWN-I1oV_STSDYn1IFDPWt_1FKiwhDph83XaGc0o0/edit?usp=sharing"",""งบพรบ!P87"")"),0)</f>
        <v>0</v>
      </c>
      <c r="M49" s="893">
        <f ca="1">IFERROR(__xludf.DUMMYFUNCTION("IMPORTRANGE(""https://docs.google.com/spreadsheets/d/1MeEWN-I1oV_STSDYn1IFDPWt_1FKiwhDph83XaGc0o0/edit?usp=sharing"",""งบพรบ!S87"")"),0)</f>
        <v>0</v>
      </c>
      <c r="N49" s="893">
        <f ca="1">IFERROR(__xludf.DUMMYFUNCTION("IMPORTRANGE(""https://docs.google.com/spreadsheets/d/1MeEWN-I1oV_STSDYn1IFDPWt_1FKiwhDph83XaGc0o0/edit?usp=sharing"",""งบพรบ!U87"")"),0)</f>
        <v>0</v>
      </c>
      <c r="O49" s="893">
        <f t="shared" ca="1" si="26"/>
        <v>0</v>
      </c>
      <c r="P49" s="893">
        <f t="shared" ca="1" si="27"/>
        <v>0</v>
      </c>
      <c r="Q49" s="875"/>
      <c r="R49" s="875"/>
      <c r="S49" s="875"/>
      <c r="T49" s="875"/>
      <c r="U49" s="875"/>
      <c r="V49" s="875"/>
      <c r="W49" s="875"/>
      <c r="X49" s="875"/>
      <c r="Y49" s="875"/>
      <c r="Z49" s="875"/>
    </row>
    <row r="50" spans="1:26" ht="19.5">
      <c r="A50" s="933" t="s">
        <v>28</v>
      </c>
      <c r="B50" s="833"/>
      <c r="C50" s="833"/>
      <c r="D50" s="833"/>
      <c r="E50" s="833"/>
      <c r="F50" s="833"/>
      <c r="G50" s="831"/>
      <c r="H50" s="934"/>
      <c r="I50" s="935"/>
      <c r="J50" s="935"/>
      <c r="K50" s="936"/>
      <c r="L50" s="936"/>
      <c r="M50" s="936"/>
      <c r="N50" s="936"/>
      <c r="O50" s="936"/>
      <c r="P50" s="936"/>
    </row>
    <row r="51" spans="1:26" ht="19.5">
      <c r="A51" s="937"/>
      <c r="B51" s="938" t="s">
        <v>29</v>
      </c>
      <c r="C51" s="841"/>
      <c r="D51" s="841"/>
      <c r="E51" s="841"/>
      <c r="F51" s="841"/>
      <c r="G51" s="842"/>
      <c r="H51" s="939"/>
      <c r="I51" s="940"/>
      <c r="J51" s="940"/>
      <c r="K51" s="941"/>
      <c r="L51" s="941"/>
      <c r="M51" s="941"/>
      <c r="N51" s="941"/>
      <c r="O51" s="941"/>
      <c r="P51" s="941"/>
    </row>
    <row r="52" spans="1:26" ht="19.5">
      <c r="A52" s="942"/>
      <c r="B52" s="943" t="s">
        <v>30</v>
      </c>
      <c r="C52" s="944"/>
      <c r="D52" s="944"/>
      <c r="E52" s="944"/>
      <c r="F52" s="944"/>
      <c r="G52" s="945"/>
      <c r="H52" s="946"/>
      <c r="I52" s="947"/>
      <c r="J52" s="947"/>
      <c r="K52" s="948"/>
      <c r="L52" s="948"/>
      <c r="M52" s="948"/>
      <c r="N52" s="948"/>
      <c r="O52" s="948"/>
      <c r="P52" s="948"/>
    </row>
    <row r="53" spans="1:26" ht="19.5">
      <c r="A53" s="949"/>
      <c r="B53" s="950"/>
      <c r="C53" s="951" t="s">
        <v>16</v>
      </c>
      <c r="D53" s="952" t="s">
        <v>17</v>
      </c>
      <c r="E53" s="950"/>
      <c r="F53" s="950"/>
      <c r="G53" s="953"/>
      <c r="H53" s="113" t="s">
        <v>12</v>
      </c>
      <c r="I53" s="954"/>
      <c r="J53" s="954"/>
      <c r="K53" s="955"/>
      <c r="L53" s="956">
        <f t="shared" ref="L53:N53" ca="1" si="31">L54+L55</f>
        <v>310500</v>
      </c>
      <c r="M53" s="956">
        <f t="shared" ca="1" si="31"/>
        <v>232875</v>
      </c>
      <c r="N53" s="956">
        <f t="shared" ca="1" si="31"/>
        <v>151698.42000000001</v>
      </c>
      <c r="O53" s="956">
        <f t="shared" ref="O53:O61" ca="1" si="32">IF(L53&gt;0,N53*100/L53,0)</f>
        <v>48.856173913043484</v>
      </c>
      <c r="P53" s="956">
        <f t="shared" ref="P53:P61" ca="1" si="33">IF(M53&gt;0,N53*100/M53,0)</f>
        <v>65.141565217391317</v>
      </c>
      <c r="Q53" s="868"/>
      <c r="R53" s="868"/>
      <c r="S53" s="868"/>
      <c r="T53" s="868"/>
      <c r="U53" s="868"/>
      <c r="V53" s="868"/>
      <c r="W53" s="868"/>
      <c r="X53" s="868"/>
      <c r="Y53" s="868"/>
      <c r="Z53" s="868"/>
    </row>
    <row r="54" spans="1:26" ht="18.75" hidden="1">
      <c r="A54" s="957"/>
      <c r="B54" s="958"/>
      <c r="C54" s="958"/>
      <c r="D54" s="958"/>
      <c r="E54" s="959" t="s">
        <v>18</v>
      </c>
      <c r="F54" s="958"/>
      <c r="G54" s="960"/>
      <c r="H54" s="121" t="s">
        <v>12</v>
      </c>
      <c r="I54" s="961"/>
      <c r="J54" s="961"/>
      <c r="K54" s="962"/>
      <c r="L54" s="962">
        <f t="shared" ref="L54:N55" si="34">L57+L60</f>
        <v>0</v>
      </c>
      <c r="M54" s="962">
        <f t="shared" si="34"/>
        <v>0</v>
      </c>
      <c r="N54" s="962">
        <f t="shared" si="34"/>
        <v>0</v>
      </c>
      <c r="O54" s="962">
        <f t="shared" si="32"/>
        <v>0</v>
      </c>
      <c r="P54" s="962">
        <f t="shared" si="33"/>
        <v>0</v>
      </c>
      <c r="Q54" s="875"/>
      <c r="R54" s="875"/>
      <c r="S54" s="875"/>
      <c r="T54" s="875"/>
      <c r="U54" s="875"/>
      <c r="V54" s="875"/>
      <c r="W54" s="875"/>
      <c r="X54" s="875"/>
      <c r="Y54" s="875"/>
      <c r="Z54" s="875"/>
    </row>
    <row r="55" spans="1:26" ht="18.75" hidden="1">
      <c r="A55" s="957"/>
      <c r="B55" s="958"/>
      <c r="C55" s="958"/>
      <c r="D55" s="958"/>
      <c r="E55" s="959" t="s">
        <v>19</v>
      </c>
      <c r="F55" s="958"/>
      <c r="G55" s="960"/>
      <c r="H55" s="121" t="s">
        <v>12</v>
      </c>
      <c r="I55" s="961"/>
      <c r="J55" s="961"/>
      <c r="K55" s="962"/>
      <c r="L55" s="962">
        <f t="shared" ca="1" si="34"/>
        <v>310500</v>
      </c>
      <c r="M55" s="962">
        <f t="shared" ca="1" si="34"/>
        <v>232875</v>
      </c>
      <c r="N55" s="962">
        <f t="shared" ca="1" si="34"/>
        <v>151698.42000000001</v>
      </c>
      <c r="O55" s="962">
        <f t="shared" ca="1" si="32"/>
        <v>48.856173913043484</v>
      </c>
      <c r="P55" s="962">
        <f t="shared" ca="1" si="33"/>
        <v>65.141565217391317</v>
      </c>
      <c r="Q55" s="875"/>
      <c r="R55" s="875"/>
      <c r="S55" s="875"/>
      <c r="T55" s="875"/>
      <c r="U55" s="875"/>
      <c r="V55" s="875"/>
      <c r="W55" s="875"/>
      <c r="X55" s="875"/>
      <c r="Y55" s="875"/>
      <c r="Z55" s="875"/>
    </row>
    <row r="56" spans="1:26" ht="18.75">
      <c r="A56" s="876"/>
      <c r="B56" s="877"/>
      <c r="C56" s="877"/>
      <c r="D56" s="878" t="s">
        <v>20</v>
      </c>
      <c r="E56" s="877"/>
      <c r="F56" s="877"/>
      <c r="G56" s="879"/>
      <c r="H56" s="622" t="s">
        <v>12</v>
      </c>
      <c r="I56" s="880"/>
      <c r="J56" s="880"/>
      <c r="K56" s="881"/>
      <c r="L56" s="881">
        <f t="shared" ref="L56:N56" ca="1" si="35">L57+L58</f>
        <v>310500</v>
      </c>
      <c r="M56" s="881">
        <f t="shared" ca="1" si="35"/>
        <v>232875</v>
      </c>
      <c r="N56" s="881">
        <f t="shared" ca="1" si="35"/>
        <v>151698.42000000001</v>
      </c>
      <c r="O56" s="881">
        <f t="shared" ca="1" si="32"/>
        <v>48.856173913043484</v>
      </c>
      <c r="P56" s="881">
        <f t="shared" ca="1" si="33"/>
        <v>65.141565217391317</v>
      </c>
      <c r="Q56" s="868"/>
      <c r="R56" s="868"/>
      <c r="S56" s="868"/>
      <c r="T56" s="868"/>
      <c r="U56" s="868"/>
      <c r="V56" s="868"/>
      <c r="W56" s="868"/>
      <c r="X56" s="868"/>
      <c r="Y56" s="868"/>
      <c r="Z56" s="868"/>
    </row>
    <row r="57" spans="1:26" ht="18.75" hidden="1">
      <c r="A57" s="882"/>
      <c r="B57" s="883"/>
      <c r="C57" s="883"/>
      <c r="D57" s="883"/>
      <c r="E57" s="884" t="s">
        <v>18</v>
      </c>
      <c r="F57" s="883"/>
      <c r="G57" s="885"/>
      <c r="H57" s="43" t="s">
        <v>12</v>
      </c>
      <c r="I57" s="886"/>
      <c r="J57" s="886"/>
      <c r="K57" s="887"/>
      <c r="L57" s="887">
        <v>0</v>
      </c>
      <c r="M57" s="887">
        <v>0</v>
      </c>
      <c r="N57" s="887">
        <v>0</v>
      </c>
      <c r="O57" s="887">
        <f t="shared" si="32"/>
        <v>0</v>
      </c>
      <c r="P57" s="887">
        <f t="shared" si="33"/>
        <v>0</v>
      </c>
      <c r="Q57" s="875"/>
      <c r="R57" s="875"/>
      <c r="S57" s="875"/>
      <c r="T57" s="875"/>
      <c r="U57" s="875"/>
      <c r="V57" s="875"/>
      <c r="W57" s="875"/>
      <c r="X57" s="875"/>
      <c r="Y57" s="875"/>
      <c r="Z57" s="875"/>
    </row>
    <row r="58" spans="1:26" ht="18.75" hidden="1">
      <c r="A58" s="882"/>
      <c r="B58" s="883"/>
      <c r="C58" s="883"/>
      <c r="D58" s="883"/>
      <c r="E58" s="884" t="s">
        <v>19</v>
      </c>
      <c r="F58" s="883"/>
      <c r="G58" s="885"/>
      <c r="H58" s="43" t="s">
        <v>12</v>
      </c>
      <c r="I58" s="886"/>
      <c r="J58" s="886"/>
      <c r="K58" s="887"/>
      <c r="L58" s="887">
        <f ca="1">IFERROR(__xludf.DUMMYFUNCTION("IMPORTRANGE(""https://docs.google.com/spreadsheets/d/1MeEWN-I1oV_STSDYn1IFDPWt_1FKiwhDph83XaGc0o0/edit?usp=sharing"",""งบพรบ!W87"")"),310500)</f>
        <v>310500</v>
      </c>
      <c r="M58" s="887">
        <f ca="1">IFERROR(__xludf.DUMMYFUNCTION("IMPORTRANGE(""https://docs.google.com/spreadsheets/d/1MeEWN-I1oV_STSDYn1IFDPWt_1FKiwhDph83XaGc0o0/edit?usp=sharing"",""งบพรบ!AB87"")"),232875)</f>
        <v>232875</v>
      </c>
      <c r="N58" s="887">
        <f ca="1">IFERROR(__xludf.DUMMYFUNCTION("IMPORTRANGE(""https://docs.google.com/spreadsheets/d/1MeEWN-I1oV_STSDYn1IFDPWt_1FKiwhDph83XaGc0o0/edit?usp=sharing"",""งบพรบ!AD87"")"),151698.42)</f>
        <v>151698.42000000001</v>
      </c>
      <c r="O58" s="887">
        <f t="shared" ca="1" si="32"/>
        <v>48.856173913043484</v>
      </c>
      <c r="P58" s="887">
        <f t="shared" ca="1" si="33"/>
        <v>65.141565217391317</v>
      </c>
      <c r="Q58" s="875"/>
      <c r="R58" s="875"/>
      <c r="S58" s="875"/>
      <c r="T58" s="875"/>
      <c r="U58" s="875"/>
      <c r="V58" s="875"/>
      <c r="W58" s="875"/>
      <c r="X58" s="875"/>
      <c r="Y58" s="875"/>
      <c r="Z58" s="875"/>
    </row>
    <row r="59" spans="1:26" ht="18.75">
      <c r="A59" s="876"/>
      <c r="B59" s="877"/>
      <c r="C59" s="877"/>
      <c r="D59" s="878" t="s">
        <v>21</v>
      </c>
      <c r="E59" s="877"/>
      <c r="F59" s="877"/>
      <c r="G59" s="879"/>
      <c r="H59" s="622" t="s">
        <v>12</v>
      </c>
      <c r="I59" s="880"/>
      <c r="J59" s="880"/>
      <c r="K59" s="881"/>
      <c r="L59" s="881">
        <f t="shared" ref="L59:N59" ca="1" si="36">L60+L61</f>
        <v>0</v>
      </c>
      <c r="M59" s="881">
        <f t="shared" ca="1" si="36"/>
        <v>0</v>
      </c>
      <c r="N59" s="881">
        <f t="shared" ca="1" si="36"/>
        <v>0</v>
      </c>
      <c r="O59" s="881">
        <f t="shared" ca="1" si="32"/>
        <v>0</v>
      </c>
      <c r="P59" s="881">
        <f t="shared" ca="1" si="33"/>
        <v>0</v>
      </c>
      <c r="Q59" s="868"/>
      <c r="R59" s="868"/>
      <c r="S59" s="868"/>
      <c r="T59" s="868"/>
      <c r="U59" s="868"/>
      <c r="V59" s="868"/>
      <c r="W59" s="868"/>
      <c r="X59" s="868"/>
      <c r="Y59" s="868"/>
      <c r="Z59" s="868"/>
    </row>
    <row r="60" spans="1:26" ht="18.75" hidden="1">
      <c r="A60" s="882"/>
      <c r="B60" s="883"/>
      <c r="C60" s="883"/>
      <c r="D60" s="883"/>
      <c r="E60" s="884" t="s">
        <v>18</v>
      </c>
      <c r="F60" s="883"/>
      <c r="G60" s="885"/>
      <c r="H60" s="43" t="s">
        <v>12</v>
      </c>
      <c r="I60" s="886"/>
      <c r="J60" s="886"/>
      <c r="K60" s="887"/>
      <c r="L60" s="887">
        <v>0</v>
      </c>
      <c r="M60" s="887">
        <v>0</v>
      </c>
      <c r="N60" s="887">
        <v>0</v>
      </c>
      <c r="O60" s="887">
        <f t="shared" si="32"/>
        <v>0</v>
      </c>
      <c r="P60" s="887">
        <f t="shared" si="33"/>
        <v>0</v>
      </c>
      <c r="Q60" s="875"/>
      <c r="R60" s="875"/>
      <c r="S60" s="875"/>
      <c r="T60" s="875"/>
      <c r="U60" s="875"/>
      <c r="V60" s="875"/>
      <c r="W60" s="875"/>
      <c r="X60" s="875"/>
      <c r="Y60" s="875"/>
      <c r="Z60" s="875"/>
    </row>
    <row r="61" spans="1:26" ht="18.75" hidden="1">
      <c r="A61" s="888"/>
      <c r="B61" s="889"/>
      <c r="C61" s="889"/>
      <c r="D61" s="889"/>
      <c r="E61" s="890" t="s">
        <v>19</v>
      </c>
      <c r="F61" s="889"/>
      <c r="G61" s="891"/>
      <c r="H61" s="50" t="s">
        <v>12</v>
      </c>
      <c r="I61" s="892"/>
      <c r="J61" s="892"/>
      <c r="K61" s="893"/>
      <c r="L61" s="893">
        <f ca="1">IFERROR(__xludf.DUMMYFUNCTION("IMPORTRANGE(""https://docs.google.com/spreadsheets/d/1MeEWN-I1oV_STSDYn1IFDPWt_1FKiwhDph83XaGc0o0/edit?usp=sharing"",""งบพรบ!Z87"")"),0)</f>
        <v>0</v>
      </c>
      <c r="M61" s="893">
        <f ca="1">IFERROR(__xludf.DUMMYFUNCTION("IMPORTRANGE(""https://docs.google.com/spreadsheets/d/1MeEWN-I1oV_STSDYn1IFDPWt_1FKiwhDph83XaGc0o0/edit?usp=sharing"",""งบพรบ!AC87"")"),0)</f>
        <v>0</v>
      </c>
      <c r="N61" s="893">
        <f ca="1">IFERROR(__xludf.DUMMYFUNCTION("IMPORTRANGE(""https://docs.google.com/spreadsheets/d/1MeEWN-I1oV_STSDYn1IFDPWt_1FKiwhDph83XaGc0o0/edit?usp=sharing"",""งบพรบ!AE87"")"),0)</f>
        <v>0</v>
      </c>
      <c r="O61" s="893">
        <f t="shared" ca="1" si="32"/>
        <v>0</v>
      </c>
      <c r="P61" s="893">
        <f t="shared" ca="1" si="33"/>
        <v>0</v>
      </c>
      <c r="Q61" s="875"/>
      <c r="R61" s="875"/>
      <c r="S61" s="875"/>
      <c r="T61" s="875"/>
      <c r="U61" s="875"/>
      <c r="V61" s="875"/>
      <c r="W61" s="875"/>
      <c r="X61" s="875"/>
      <c r="Y61" s="875"/>
      <c r="Z61" s="875"/>
    </row>
    <row r="62" spans="1:26" ht="19.5">
      <c r="A62" s="963" t="s">
        <v>31</v>
      </c>
      <c r="B62" s="964"/>
      <c r="C62" s="964"/>
      <c r="D62" s="964"/>
      <c r="E62" s="965"/>
      <c r="F62" s="965"/>
      <c r="G62" s="966"/>
      <c r="H62" s="967"/>
      <c r="I62" s="968"/>
      <c r="J62" s="968"/>
      <c r="K62" s="969"/>
      <c r="L62" s="969"/>
      <c r="M62" s="969"/>
      <c r="N62" s="969"/>
      <c r="O62" s="969"/>
      <c r="P62" s="969"/>
    </row>
    <row r="63" spans="1:26" ht="19.5" hidden="1">
      <c r="A63" s="970" t="s">
        <v>32</v>
      </c>
      <c r="B63" s="971"/>
      <c r="C63" s="972"/>
      <c r="D63" s="971"/>
      <c r="E63" s="971"/>
      <c r="F63" s="971"/>
      <c r="G63" s="973"/>
      <c r="H63" s="974"/>
      <c r="I63" s="975"/>
      <c r="J63" s="975"/>
      <c r="K63" s="976"/>
      <c r="L63" s="976"/>
      <c r="M63" s="976"/>
      <c r="N63" s="976"/>
      <c r="O63" s="976"/>
      <c r="P63" s="976"/>
    </row>
    <row r="64" spans="1:26" ht="19.5" hidden="1">
      <c r="A64" s="977"/>
      <c r="B64" s="978" t="s">
        <v>33</v>
      </c>
      <c r="C64" s="979"/>
      <c r="D64" s="980"/>
      <c r="E64" s="979"/>
      <c r="F64" s="979"/>
      <c r="G64" s="981"/>
      <c r="H64" s="205" t="s">
        <v>34</v>
      </c>
      <c r="I64" s="982">
        <f t="shared" ref="I64:J65" ca="1" si="37">I76</f>
        <v>0</v>
      </c>
      <c r="J64" s="982">
        <f t="shared" si="37"/>
        <v>0</v>
      </c>
      <c r="K64" s="983">
        <f t="shared" ref="K64:K65" ca="1" si="38">IF(I64&gt;0,J64*100/I64,0)</f>
        <v>0</v>
      </c>
      <c r="L64" s="984"/>
      <c r="M64" s="984"/>
      <c r="N64" s="984"/>
      <c r="O64" s="984"/>
      <c r="P64" s="984"/>
    </row>
    <row r="65" spans="1:26" ht="19.5" hidden="1">
      <c r="A65" s="977"/>
      <c r="B65" s="979"/>
      <c r="C65" s="979"/>
      <c r="D65" s="980"/>
      <c r="E65" s="979"/>
      <c r="F65" s="979"/>
      <c r="G65" s="981"/>
      <c r="H65" s="205" t="s">
        <v>35</v>
      </c>
      <c r="I65" s="982">
        <f t="shared" ca="1" si="37"/>
        <v>0</v>
      </c>
      <c r="J65" s="982">
        <f t="shared" si="37"/>
        <v>0</v>
      </c>
      <c r="K65" s="983">
        <f t="shared" ca="1" si="38"/>
        <v>0</v>
      </c>
      <c r="L65" s="984"/>
      <c r="M65" s="984"/>
      <c r="N65" s="984"/>
      <c r="O65" s="984"/>
      <c r="P65" s="984"/>
    </row>
    <row r="66" spans="1:26" ht="19.5" hidden="1">
      <c r="A66" s="985"/>
      <c r="B66" s="986"/>
      <c r="C66" s="987" t="s">
        <v>16</v>
      </c>
      <c r="D66" s="988" t="s">
        <v>17</v>
      </c>
      <c r="E66" s="986"/>
      <c r="F66" s="986"/>
      <c r="G66" s="989"/>
      <c r="H66" s="152" t="s">
        <v>12</v>
      </c>
      <c r="I66" s="990"/>
      <c r="J66" s="990"/>
      <c r="K66" s="991"/>
      <c r="L66" s="992">
        <f t="shared" ref="L66:N66" ca="1" si="39">L67+L68</f>
        <v>0</v>
      </c>
      <c r="M66" s="992">
        <f t="shared" ca="1" si="39"/>
        <v>0</v>
      </c>
      <c r="N66" s="992">
        <f t="shared" ca="1" si="39"/>
        <v>0</v>
      </c>
      <c r="O66" s="992">
        <f t="shared" ref="O66:O74" ca="1" si="40">IF(L66&gt;0,N66*100/L66,0)</f>
        <v>0</v>
      </c>
      <c r="P66" s="992">
        <f t="shared" ref="P66:P74" ca="1" si="41">IF(M66&gt;0,N66*100/M66,0)</f>
        <v>0</v>
      </c>
      <c r="Q66" s="868"/>
      <c r="R66" s="868"/>
      <c r="S66" s="868"/>
      <c r="T66" s="868"/>
      <c r="U66" s="868"/>
      <c r="V66" s="868"/>
      <c r="W66" s="868"/>
      <c r="X66" s="868"/>
      <c r="Y66" s="868"/>
      <c r="Z66" s="868"/>
    </row>
    <row r="67" spans="1:26" ht="18.75" hidden="1">
      <c r="A67" s="993"/>
      <c r="B67" s="883"/>
      <c r="C67" s="883"/>
      <c r="D67" s="883"/>
      <c r="E67" s="884" t="s">
        <v>18</v>
      </c>
      <c r="F67" s="883"/>
      <c r="G67" s="994"/>
      <c r="H67" s="158" t="s">
        <v>12</v>
      </c>
      <c r="I67" s="886"/>
      <c r="J67" s="886"/>
      <c r="K67" s="887"/>
      <c r="L67" s="887">
        <f t="shared" ref="L67:N68" si="42">L70+L73</f>
        <v>0</v>
      </c>
      <c r="M67" s="887">
        <f t="shared" si="42"/>
        <v>0</v>
      </c>
      <c r="N67" s="887">
        <f t="shared" si="42"/>
        <v>0</v>
      </c>
      <c r="O67" s="887">
        <f t="shared" si="40"/>
        <v>0</v>
      </c>
      <c r="P67" s="887">
        <f t="shared" si="41"/>
        <v>0</v>
      </c>
      <c r="Q67" s="875"/>
      <c r="R67" s="875"/>
      <c r="S67" s="875"/>
      <c r="T67" s="875"/>
      <c r="U67" s="875"/>
      <c r="V67" s="875"/>
      <c r="W67" s="875"/>
      <c r="X67" s="875"/>
      <c r="Y67" s="875"/>
      <c r="Z67" s="875"/>
    </row>
    <row r="68" spans="1:26" ht="18.75" hidden="1">
      <c r="A68" s="993"/>
      <c r="B68" s="883"/>
      <c r="C68" s="883"/>
      <c r="D68" s="883"/>
      <c r="E68" s="884" t="s">
        <v>19</v>
      </c>
      <c r="F68" s="883"/>
      <c r="G68" s="994"/>
      <c r="H68" s="158" t="s">
        <v>12</v>
      </c>
      <c r="I68" s="886"/>
      <c r="J68" s="886"/>
      <c r="K68" s="887"/>
      <c r="L68" s="887">
        <f t="shared" ca="1" si="42"/>
        <v>0</v>
      </c>
      <c r="M68" s="887">
        <f t="shared" ca="1" si="42"/>
        <v>0</v>
      </c>
      <c r="N68" s="887">
        <f t="shared" ca="1" si="42"/>
        <v>0</v>
      </c>
      <c r="O68" s="887">
        <f t="shared" ca="1" si="40"/>
        <v>0</v>
      </c>
      <c r="P68" s="887">
        <f t="shared" ca="1" si="41"/>
        <v>0</v>
      </c>
      <c r="Q68" s="875"/>
      <c r="R68" s="875"/>
      <c r="S68" s="875"/>
      <c r="T68" s="875"/>
      <c r="U68" s="875"/>
      <c r="V68" s="875"/>
      <c r="W68" s="875"/>
      <c r="X68" s="875"/>
      <c r="Y68" s="875"/>
      <c r="Z68" s="875"/>
    </row>
    <row r="69" spans="1:26" ht="18.75" hidden="1">
      <c r="A69" s="995"/>
      <c r="B69" s="877"/>
      <c r="C69" s="996"/>
      <c r="D69" s="878" t="s">
        <v>20</v>
      </c>
      <c r="E69" s="877"/>
      <c r="F69" s="877"/>
      <c r="G69" s="879"/>
      <c r="H69" s="161" t="s">
        <v>12</v>
      </c>
      <c r="I69" s="997"/>
      <c r="J69" s="997"/>
      <c r="K69" s="998"/>
      <c r="L69" s="881">
        <f t="shared" ref="L69:N69" ca="1" si="43">L70+L71</f>
        <v>0</v>
      </c>
      <c r="M69" s="881">
        <f t="shared" ca="1" si="43"/>
        <v>0</v>
      </c>
      <c r="N69" s="881">
        <f t="shared" ca="1" si="43"/>
        <v>0</v>
      </c>
      <c r="O69" s="881">
        <f t="shared" ca="1" si="40"/>
        <v>0</v>
      </c>
      <c r="P69" s="881">
        <f t="shared" ca="1" si="41"/>
        <v>0</v>
      </c>
      <c r="Q69" s="868"/>
      <c r="R69" s="868"/>
      <c r="S69" s="868"/>
      <c r="T69" s="868"/>
      <c r="U69" s="868"/>
      <c r="V69" s="868"/>
      <c r="W69" s="868"/>
      <c r="X69" s="868"/>
      <c r="Y69" s="868"/>
      <c r="Z69" s="868"/>
    </row>
    <row r="70" spans="1:26" ht="19.5" hidden="1">
      <c r="A70" s="993"/>
      <c r="B70" s="883"/>
      <c r="C70" s="999"/>
      <c r="D70" s="883"/>
      <c r="E70" s="884" t="s">
        <v>36</v>
      </c>
      <c r="F70" s="883"/>
      <c r="G70" s="994"/>
      <c r="H70" s="165" t="s">
        <v>12</v>
      </c>
      <c r="I70" s="1000"/>
      <c r="J70" s="1000"/>
      <c r="K70" s="1001"/>
      <c r="L70" s="887">
        <v>0</v>
      </c>
      <c r="M70" s="887">
        <v>0</v>
      </c>
      <c r="N70" s="887">
        <v>0</v>
      </c>
      <c r="O70" s="887">
        <f t="shared" si="40"/>
        <v>0</v>
      </c>
      <c r="P70" s="887">
        <f t="shared" si="41"/>
        <v>0</v>
      </c>
      <c r="Q70" s="875"/>
      <c r="R70" s="875"/>
      <c r="S70" s="875"/>
      <c r="T70" s="875"/>
      <c r="U70" s="875"/>
      <c r="V70" s="875"/>
      <c r="W70" s="875"/>
      <c r="X70" s="875"/>
      <c r="Y70" s="875"/>
      <c r="Z70" s="875"/>
    </row>
    <row r="71" spans="1:26" ht="19.5" hidden="1">
      <c r="A71" s="993"/>
      <c r="B71" s="883"/>
      <c r="C71" s="999"/>
      <c r="D71" s="883"/>
      <c r="E71" s="884" t="s">
        <v>37</v>
      </c>
      <c r="F71" s="883"/>
      <c r="G71" s="994"/>
      <c r="H71" s="165" t="s">
        <v>12</v>
      </c>
      <c r="I71" s="1000"/>
      <c r="J71" s="1000"/>
      <c r="K71" s="1001"/>
      <c r="L71" s="887">
        <f ca="1">IFERROR(__xludf.DUMMYFUNCTION("IMPORTRANGE(""https://docs.google.com/spreadsheets/d/1MeEWN-I1oV_STSDYn1IFDPWt_1FKiwhDph83XaGc0o0/edit?usp=sharing"",""งบพรบ!AG87"")"),0)</f>
        <v>0</v>
      </c>
      <c r="M71" s="887">
        <f ca="1">IFERROR(__xludf.DUMMYFUNCTION("IMPORTRANGE(""https://docs.google.com/spreadsheets/d/1MeEWN-I1oV_STSDYn1IFDPWt_1FKiwhDph83XaGc0o0/edit?usp=sharing"",""งบพรบ!AL87"")"),0)</f>
        <v>0</v>
      </c>
      <c r="N71" s="887">
        <f ca="1">IFERROR(__xludf.DUMMYFUNCTION("IMPORTRANGE(""https://docs.google.com/spreadsheets/d/1MeEWN-I1oV_STSDYn1IFDPWt_1FKiwhDph83XaGc0o0/edit?usp=sharing"",""งบพรบ!AN87"")"),0)</f>
        <v>0</v>
      </c>
      <c r="O71" s="887">
        <f t="shared" ca="1" si="40"/>
        <v>0</v>
      </c>
      <c r="P71" s="887">
        <f t="shared" ca="1" si="41"/>
        <v>0</v>
      </c>
      <c r="Q71" s="875"/>
      <c r="R71" s="875"/>
      <c r="S71" s="875"/>
      <c r="T71" s="875"/>
      <c r="U71" s="875"/>
      <c r="V71" s="875"/>
      <c r="W71" s="875"/>
      <c r="X71" s="875"/>
      <c r="Y71" s="875"/>
      <c r="Z71" s="875"/>
    </row>
    <row r="72" spans="1:26" ht="18.75" hidden="1">
      <c r="A72" s="995"/>
      <c r="B72" s="877"/>
      <c r="C72" s="996"/>
      <c r="D72" s="878" t="s">
        <v>21</v>
      </c>
      <c r="E72" s="877"/>
      <c r="F72" s="877"/>
      <c r="G72" s="879"/>
      <c r="H72" s="168" t="s">
        <v>12</v>
      </c>
      <c r="I72" s="997"/>
      <c r="J72" s="997"/>
      <c r="K72" s="998"/>
      <c r="L72" s="881">
        <f t="shared" ref="L72:N72" ca="1" si="44">L73+L74</f>
        <v>0</v>
      </c>
      <c r="M72" s="881">
        <f t="shared" ca="1" si="44"/>
        <v>0</v>
      </c>
      <c r="N72" s="881">
        <f t="shared" ca="1" si="44"/>
        <v>0</v>
      </c>
      <c r="O72" s="881">
        <f t="shared" ca="1" si="40"/>
        <v>0</v>
      </c>
      <c r="P72" s="881">
        <f t="shared" ca="1" si="41"/>
        <v>0</v>
      </c>
      <c r="Q72" s="868"/>
      <c r="R72" s="868"/>
      <c r="S72" s="868"/>
      <c r="T72" s="868"/>
      <c r="U72" s="868"/>
      <c r="V72" s="868"/>
      <c r="W72" s="868"/>
      <c r="X72" s="868"/>
      <c r="Y72" s="868"/>
      <c r="Z72" s="868"/>
    </row>
    <row r="73" spans="1:26" ht="19.5" hidden="1">
      <c r="A73" s="993"/>
      <c r="B73" s="883"/>
      <c r="C73" s="999"/>
      <c r="D73" s="883"/>
      <c r="E73" s="884" t="s">
        <v>18</v>
      </c>
      <c r="F73" s="883"/>
      <c r="G73" s="994"/>
      <c r="H73" s="165" t="s">
        <v>12</v>
      </c>
      <c r="I73" s="1000"/>
      <c r="J73" s="1000"/>
      <c r="K73" s="1001"/>
      <c r="L73" s="887">
        <v>0</v>
      </c>
      <c r="M73" s="887"/>
      <c r="N73" s="887"/>
      <c r="O73" s="887">
        <f t="shared" si="40"/>
        <v>0</v>
      </c>
      <c r="P73" s="887">
        <f t="shared" si="41"/>
        <v>0</v>
      </c>
      <c r="Q73" s="875"/>
      <c r="R73" s="875"/>
      <c r="S73" s="875"/>
      <c r="T73" s="875"/>
      <c r="U73" s="875"/>
      <c r="V73" s="875"/>
      <c r="W73" s="875"/>
      <c r="X73" s="875"/>
      <c r="Y73" s="875"/>
      <c r="Z73" s="875"/>
    </row>
    <row r="74" spans="1:26" ht="19.5" hidden="1">
      <c r="A74" s="993"/>
      <c r="B74" s="883"/>
      <c r="C74" s="999"/>
      <c r="D74" s="883"/>
      <c r="E74" s="884" t="s">
        <v>19</v>
      </c>
      <c r="F74" s="883"/>
      <c r="G74" s="994"/>
      <c r="H74" s="169" t="s">
        <v>12</v>
      </c>
      <c r="I74" s="1000"/>
      <c r="J74" s="1000"/>
      <c r="K74" s="1001"/>
      <c r="L74" s="887">
        <f ca="1">IFERROR(__xludf.DUMMYFUNCTION("IMPORTRANGE(""https://docs.google.com/spreadsheets/d/1MeEWN-I1oV_STSDYn1IFDPWt_1FKiwhDph83XaGc0o0/edit?usp=sharing"",""งบพรบ!AJ87"")"),0)</f>
        <v>0</v>
      </c>
      <c r="M74" s="887">
        <f ca="1">IFERROR(__xludf.DUMMYFUNCTION("IMPORTRANGE(""https://docs.google.com/spreadsheets/d/1MeEWN-I1oV_STSDYn1IFDPWt_1FKiwhDph83XaGc0o0/edit?usp=sharing"",""งบพรบ!AM87"")"),0)</f>
        <v>0</v>
      </c>
      <c r="N74" s="887">
        <f ca="1">IFERROR(__xludf.DUMMYFUNCTION("IMPORTRANGE(""https://docs.google.com/spreadsheets/d/1MeEWN-I1oV_STSDYn1IFDPWt_1FKiwhDph83XaGc0o0/edit?usp=sharing"",""งบพรบ!AO87"")"),0)</f>
        <v>0</v>
      </c>
      <c r="O74" s="887">
        <f t="shared" ca="1" si="40"/>
        <v>0</v>
      </c>
      <c r="P74" s="887">
        <f t="shared" ca="1" si="41"/>
        <v>0</v>
      </c>
      <c r="Q74" s="875"/>
      <c r="R74" s="875"/>
      <c r="S74" s="875"/>
      <c r="T74" s="875"/>
      <c r="U74" s="875"/>
      <c r="V74" s="875"/>
      <c r="W74" s="875"/>
      <c r="X74" s="875"/>
      <c r="Y74" s="875"/>
      <c r="Z74" s="875"/>
    </row>
    <row r="75" spans="1:26" ht="19.5" hidden="1">
      <c r="A75" s="1002"/>
      <c r="B75" s="1003"/>
      <c r="C75" s="999" t="s">
        <v>16</v>
      </c>
      <c r="D75" s="1004" t="s">
        <v>38</v>
      </c>
      <c r="E75" s="1005"/>
      <c r="F75" s="1005"/>
      <c r="G75" s="1006"/>
      <c r="H75" s="1007"/>
      <c r="I75" s="997"/>
      <c r="J75" s="997"/>
      <c r="K75" s="998"/>
      <c r="L75" s="998"/>
      <c r="M75" s="998"/>
      <c r="N75" s="998"/>
      <c r="O75" s="998"/>
      <c r="P75" s="998"/>
    </row>
    <row r="76" spans="1:26" ht="19.5" hidden="1">
      <c r="A76" s="1002"/>
      <c r="B76" s="1003"/>
      <c r="C76" s="1003"/>
      <c r="D76" s="1008" t="s">
        <v>39</v>
      </c>
      <c r="E76" s="1009"/>
      <c r="F76" s="1010"/>
      <c r="G76" s="1011"/>
      <c r="H76" s="180" t="s">
        <v>34</v>
      </c>
      <c r="I76" s="880">
        <f t="shared" ref="I76:J77" ca="1" si="45">I78+I80+I82</f>
        <v>0</v>
      </c>
      <c r="J76" s="880">
        <f t="shared" si="45"/>
        <v>0</v>
      </c>
      <c r="K76" s="998">
        <f t="shared" ref="K76:K84" ca="1" si="46">IF(I76&gt;0,J76*100/I76,0)</f>
        <v>0</v>
      </c>
      <c r="L76" s="998"/>
      <c r="M76" s="998"/>
      <c r="N76" s="998"/>
      <c r="O76" s="998"/>
      <c r="P76" s="998"/>
    </row>
    <row r="77" spans="1:26" ht="19.5" hidden="1">
      <c r="A77" s="1002"/>
      <c r="B77" s="1003"/>
      <c r="C77" s="1003"/>
      <c r="D77" s="1003"/>
      <c r="E77" s="1010"/>
      <c r="F77" s="1010"/>
      <c r="G77" s="1011"/>
      <c r="H77" s="180" t="s">
        <v>35</v>
      </c>
      <c r="I77" s="880">
        <f t="shared" ca="1" si="45"/>
        <v>0</v>
      </c>
      <c r="J77" s="880">
        <f t="shared" si="45"/>
        <v>0</v>
      </c>
      <c r="K77" s="998">
        <f t="shared" ca="1" si="46"/>
        <v>0</v>
      </c>
      <c r="L77" s="998"/>
      <c r="M77" s="998"/>
      <c r="N77" s="998"/>
      <c r="O77" s="998"/>
      <c r="P77" s="998"/>
    </row>
    <row r="78" spans="1:26" ht="18.75" hidden="1">
      <c r="A78" s="1002"/>
      <c r="B78" s="1003"/>
      <c r="C78" s="1003"/>
      <c r="D78" s="1003"/>
      <c r="E78" s="1009" t="s">
        <v>40</v>
      </c>
      <c r="F78" s="1009"/>
      <c r="G78" s="1011"/>
      <c r="H78" s="762" t="s">
        <v>34</v>
      </c>
      <c r="I78" s="997">
        <f ca="1">IFERROR(__xludf.DUMMYFUNCTION("IMPORTRANGE(""https://docs.google.com/spreadsheets/d/1QqKyyYR6Q21VydFLVH3TRQUabQu_ym0Zz7PgGX0-kHA/edit?usp=sharing"",""แผน!H87"")"),0)</f>
        <v>0</v>
      </c>
      <c r="J78" s="1012">
        <v>0</v>
      </c>
      <c r="K78" s="998">
        <f t="shared" ca="1" si="46"/>
        <v>0</v>
      </c>
      <c r="L78" s="998"/>
      <c r="M78" s="998"/>
      <c r="N78" s="998"/>
      <c r="O78" s="998"/>
      <c r="P78" s="998"/>
    </row>
    <row r="79" spans="1:26" ht="18.75" hidden="1">
      <c r="A79" s="1002"/>
      <c r="B79" s="1003"/>
      <c r="C79" s="1003"/>
      <c r="D79" s="1003"/>
      <c r="E79" s="1010"/>
      <c r="F79" s="1010"/>
      <c r="G79" s="1011"/>
      <c r="H79" s="762" t="s">
        <v>35</v>
      </c>
      <c r="I79" s="997">
        <f ca="1">IFERROR(__xludf.DUMMYFUNCTION("IMPORTRANGE(""https://docs.google.com/spreadsheets/d/1QqKyyYR6Q21VydFLVH3TRQUabQu_ym0Zz7PgGX0-kHA/edit?usp=sharing"",""แผน!I87"")"),0)</f>
        <v>0</v>
      </c>
      <c r="J79" s="1012">
        <v>0</v>
      </c>
      <c r="K79" s="998">
        <f t="shared" ca="1" si="46"/>
        <v>0</v>
      </c>
      <c r="L79" s="998"/>
      <c r="M79" s="998"/>
      <c r="N79" s="998"/>
      <c r="O79" s="998"/>
      <c r="P79" s="998"/>
    </row>
    <row r="80" spans="1:26" ht="18.75" hidden="1">
      <c r="A80" s="1002"/>
      <c r="B80" s="1003"/>
      <c r="C80" s="1003"/>
      <c r="D80" s="1003"/>
      <c r="E80" s="1009" t="s">
        <v>41</v>
      </c>
      <c r="F80" s="1009"/>
      <c r="G80" s="1011"/>
      <c r="H80" s="762" t="s">
        <v>34</v>
      </c>
      <c r="I80" s="997">
        <f ca="1">IFERROR(__xludf.DUMMYFUNCTION("IMPORTRANGE(""https://docs.google.com/spreadsheets/d/1QqKyyYR6Q21VydFLVH3TRQUabQu_ym0Zz7PgGX0-kHA/edit?usp=sharing"",""แผน!F87"")"),0)</f>
        <v>0</v>
      </c>
      <c r="J80" s="1012">
        <v>0</v>
      </c>
      <c r="K80" s="998">
        <f t="shared" ca="1" si="46"/>
        <v>0</v>
      </c>
      <c r="L80" s="998"/>
      <c r="M80" s="998"/>
      <c r="N80" s="998"/>
      <c r="O80" s="998"/>
      <c r="P80" s="998"/>
    </row>
    <row r="81" spans="1:26" ht="18.75" hidden="1">
      <c r="A81" s="1002"/>
      <c r="B81" s="1003"/>
      <c r="C81" s="1003"/>
      <c r="D81" s="1003"/>
      <c r="E81" s="1010"/>
      <c r="F81" s="1010"/>
      <c r="G81" s="1011"/>
      <c r="H81" s="762" t="s">
        <v>35</v>
      </c>
      <c r="I81" s="997">
        <f ca="1">IFERROR(__xludf.DUMMYFUNCTION("IMPORTRANGE(""https://docs.google.com/spreadsheets/d/1QqKyyYR6Q21VydFLVH3TRQUabQu_ym0Zz7PgGX0-kHA/edit?usp=sharing"",""แผน!G87"")"),0)</f>
        <v>0</v>
      </c>
      <c r="J81" s="1012">
        <v>0</v>
      </c>
      <c r="K81" s="998">
        <f t="shared" ca="1" si="46"/>
        <v>0</v>
      </c>
      <c r="L81" s="998"/>
      <c r="M81" s="998"/>
      <c r="N81" s="998"/>
      <c r="O81" s="998"/>
      <c r="P81" s="998"/>
    </row>
    <row r="82" spans="1:26" ht="18.75" hidden="1">
      <c r="A82" s="1002"/>
      <c r="B82" s="1003"/>
      <c r="C82" s="1003"/>
      <c r="D82" s="1003"/>
      <c r="E82" s="1009" t="s">
        <v>42</v>
      </c>
      <c r="F82" s="1009"/>
      <c r="G82" s="1011"/>
      <c r="H82" s="762" t="s">
        <v>34</v>
      </c>
      <c r="I82" s="997">
        <f ca="1">IFERROR(__xludf.DUMMYFUNCTION("IMPORTRANGE(""https://docs.google.com/spreadsheets/d/1QqKyyYR6Q21VydFLVH3TRQUabQu_ym0Zz7PgGX0-kHA/edit?usp=sharing"",""แผน!D87"")"),0)</f>
        <v>0</v>
      </c>
      <c r="J82" s="1012">
        <v>0</v>
      </c>
      <c r="K82" s="998">
        <f t="shared" ca="1" si="46"/>
        <v>0</v>
      </c>
      <c r="L82" s="998"/>
      <c r="M82" s="998"/>
      <c r="N82" s="998"/>
      <c r="O82" s="998"/>
      <c r="P82" s="998"/>
    </row>
    <row r="83" spans="1:26" ht="18.75" hidden="1">
      <c r="A83" s="1002"/>
      <c r="B83" s="1003"/>
      <c r="C83" s="1003"/>
      <c r="D83" s="1003"/>
      <c r="E83" s="1010"/>
      <c r="F83" s="1010"/>
      <c r="G83" s="1011"/>
      <c r="H83" s="762" t="s">
        <v>35</v>
      </c>
      <c r="I83" s="997">
        <f ca="1">IFERROR(__xludf.DUMMYFUNCTION("IMPORTRANGE(""https://docs.google.com/spreadsheets/d/1QqKyyYR6Q21VydFLVH3TRQUabQu_ym0Zz7PgGX0-kHA/edit?usp=sharing"",""แผน!E87"")"),0)</f>
        <v>0</v>
      </c>
      <c r="J83" s="1012">
        <v>0</v>
      </c>
      <c r="K83" s="998">
        <f t="shared" ca="1" si="46"/>
        <v>0</v>
      </c>
      <c r="L83" s="998"/>
      <c r="M83" s="998"/>
      <c r="N83" s="998"/>
      <c r="O83" s="998"/>
      <c r="P83" s="998"/>
    </row>
    <row r="84" spans="1:26" ht="18.75" hidden="1">
      <c r="A84" s="1002"/>
      <c r="B84" s="1003"/>
      <c r="C84" s="1003"/>
      <c r="D84" s="1008" t="s">
        <v>43</v>
      </c>
      <c r="E84" s="1009"/>
      <c r="F84" s="1010"/>
      <c r="G84" s="1011"/>
      <c r="H84" s="185" t="s">
        <v>34</v>
      </c>
      <c r="I84" s="997">
        <f ca="1">IFERROR(__xludf.DUMMYFUNCTION("IMPORTRANGE(""https://docs.google.com/spreadsheets/d/1QqKyyYR6Q21VydFLVH3TRQUabQu_ym0Zz7PgGX0-kHA/edit?usp=sharing"",""แผน!J87"")"),0)</f>
        <v>0</v>
      </c>
      <c r="J84" s="1012">
        <v>0</v>
      </c>
      <c r="K84" s="998">
        <f t="shared" ca="1" si="46"/>
        <v>0</v>
      </c>
      <c r="L84" s="998"/>
      <c r="M84" s="998"/>
      <c r="N84" s="998"/>
      <c r="O84" s="998"/>
      <c r="P84" s="998"/>
    </row>
    <row r="85" spans="1:26" ht="19.5">
      <c r="A85" s="970" t="s">
        <v>44</v>
      </c>
      <c r="B85" s="971"/>
      <c r="C85" s="972"/>
      <c r="D85" s="971"/>
      <c r="E85" s="971"/>
      <c r="F85" s="971"/>
      <c r="G85" s="973"/>
      <c r="H85" s="974"/>
      <c r="I85" s="975"/>
      <c r="J85" s="975"/>
      <c r="K85" s="976"/>
      <c r="L85" s="976"/>
      <c r="M85" s="976"/>
      <c r="N85" s="976"/>
      <c r="O85" s="976"/>
      <c r="P85" s="976"/>
    </row>
    <row r="86" spans="1:26" ht="19.5">
      <c r="A86" s="977"/>
      <c r="B86" s="978" t="s">
        <v>45</v>
      </c>
      <c r="C86" s="979"/>
      <c r="D86" s="980"/>
      <c r="E86" s="979"/>
      <c r="F86" s="979"/>
      <c r="G86" s="981"/>
      <c r="H86" s="205" t="s">
        <v>46</v>
      </c>
      <c r="I86" s="982">
        <f t="shared" ref="I86:J87" ca="1" si="47">I98</f>
        <v>0</v>
      </c>
      <c r="J86" s="982">
        <f t="shared" si="47"/>
        <v>0</v>
      </c>
      <c r="K86" s="983">
        <f t="shared" ref="K86:K87" ca="1" si="48">IF(I86&gt;0,J86*100/I86,0)</f>
        <v>0</v>
      </c>
      <c r="L86" s="984"/>
      <c r="M86" s="984"/>
      <c r="N86" s="984"/>
      <c r="O86" s="984"/>
      <c r="P86" s="984"/>
    </row>
    <row r="87" spans="1:26" ht="19.5">
      <c r="A87" s="977"/>
      <c r="B87" s="979"/>
      <c r="C87" s="979"/>
      <c r="D87" s="980"/>
      <c r="E87" s="979"/>
      <c r="F87" s="979"/>
      <c r="G87" s="981"/>
      <c r="H87" s="205" t="s">
        <v>35</v>
      </c>
      <c r="I87" s="982">
        <f t="shared" ca="1" si="47"/>
        <v>0</v>
      </c>
      <c r="J87" s="982">
        <f t="shared" si="47"/>
        <v>0</v>
      </c>
      <c r="K87" s="983">
        <f t="shared" ca="1" si="48"/>
        <v>0</v>
      </c>
      <c r="L87" s="984"/>
      <c r="M87" s="984"/>
      <c r="N87" s="984"/>
      <c r="O87" s="984"/>
      <c r="P87" s="984"/>
    </row>
    <row r="88" spans="1:26" ht="19.5">
      <c r="A88" s="985"/>
      <c r="B88" s="986"/>
      <c r="C88" s="987" t="s">
        <v>16</v>
      </c>
      <c r="D88" s="988" t="s">
        <v>17</v>
      </c>
      <c r="E88" s="986"/>
      <c r="F88" s="986"/>
      <c r="G88" s="989"/>
      <c r="H88" s="152" t="s">
        <v>12</v>
      </c>
      <c r="I88" s="990"/>
      <c r="J88" s="990"/>
      <c r="K88" s="991"/>
      <c r="L88" s="992">
        <f t="shared" ref="L88:N88" ca="1" si="49">L89+L90</f>
        <v>462300</v>
      </c>
      <c r="M88" s="992">
        <f t="shared" ca="1" si="49"/>
        <v>349400</v>
      </c>
      <c r="N88" s="992">
        <f t="shared" ca="1" si="49"/>
        <v>194615.15</v>
      </c>
      <c r="O88" s="992">
        <f t="shared" ref="O88:O96" ca="1" si="50">IF(L88&gt;0,N88*100/L88,0)</f>
        <v>42.097155526714253</v>
      </c>
      <c r="P88" s="992">
        <f t="shared" ref="P88:P96" ca="1" si="51">IF(M88&gt;0,N88*100/M88,0)</f>
        <v>55.699813966800228</v>
      </c>
      <c r="Q88" s="868"/>
      <c r="R88" s="868"/>
      <c r="S88" s="868"/>
      <c r="T88" s="868"/>
      <c r="U88" s="868"/>
      <c r="V88" s="868"/>
      <c r="W88" s="868"/>
      <c r="X88" s="868"/>
      <c r="Y88" s="868"/>
      <c r="Z88" s="868"/>
    </row>
    <row r="89" spans="1:26" ht="18.75" hidden="1">
      <c r="A89" s="993"/>
      <c r="B89" s="883"/>
      <c r="C89" s="883"/>
      <c r="D89" s="883"/>
      <c r="E89" s="884" t="s">
        <v>18</v>
      </c>
      <c r="F89" s="883"/>
      <c r="G89" s="994"/>
      <c r="H89" s="158" t="s">
        <v>12</v>
      </c>
      <c r="I89" s="886"/>
      <c r="J89" s="886"/>
      <c r="K89" s="887"/>
      <c r="L89" s="887">
        <f t="shared" ref="L89:N90" si="52">L92+L95</f>
        <v>0</v>
      </c>
      <c r="M89" s="887">
        <f t="shared" si="52"/>
        <v>0</v>
      </c>
      <c r="N89" s="887">
        <f t="shared" si="52"/>
        <v>0</v>
      </c>
      <c r="O89" s="887">
        <f t="shared" si="50"/>
        <v>0</v>
      </c>
      <c r="P89" s="887">
        <f t="shared" si="51"/>
        <v>0</v>
      </c>
      <c r="Q89" s="875"/>
      <c r="R89" s="875"/>
      <c r="S89" s="875"/>
      <c r="T89" s="875"/>
      <c r="U89" s="875"/>
      <c r="V89" s="875"/>
      <c r="W89" s="875"/>
      <c r="X89" s="875"/>
      <c r="Y89" s="875"/>
      <c r="Z89" s="875"/>
    </row>
    <row r="90" spans="1:26" ht="18.75" hidden="1">
      <c r="A90" s="993"/>
      <c r="B90" s="883"/>
      <c r="C90" s="883"/>
      <c r="D90" s="883"/>
      <c r="E90" s="884" t="s">
        <v>19</v>
      </c>
      <c r="F90" s="883"/>
      <c r="G90" s="994"/>
      <c r="H90" s="158" t="s">
        <v>12</v>
      </c>
      <c r="I90" s="886"/>
      <c r="J90" s="886"/>
      <c r="K90" s="887"/>
      <c r="L90" s="887">
        <f t="shared" ca="1" si="52"/>
        <v>462300</v>
      </c>
      <c r="M90" s="887">
        <f t="shared" ca="1" si="52"/>
        <v>349400</v>
      </c>
      <c r="N90" s="887">
        <f t="shared" ca="1" si="52"/>
        <v>194615.15</v>
      </c>
      <c r="O90" s="887">
        <f t="shared" ca="1" si="50"/>
        <v>42.097155526714253</v>
      </c>
      <c r="P90" s="887">
        <f t="shared" ca="1" si="51"/>
        <v>55.699813966800228</v>
      </c>
      <c r="Q90" s="875"/>
      <c r="R90" s="875"/>
      <c r="S90" s="875"/>
      <c r="T90" s="875"/>
      <c r="U90" s="875"/>
      <c r="V90" s="875"/>
      <c r="W90" s="875"/>
      <c r="X90" s="875"/>
      <c r="Y90" s="875"/>
      <c r="Z90" s="875"/>
    </row>
    <row r="91" spans="1:26" ht="18.75">
      <c r="A91" s="995"/>
      <c r="B91" s="877"/>
      <c r="C91" s="996"/>
      <c r="D91" s="878" t="s">
        <v>20</v>
      </c>
      <c r="E91" s="877"/>
      <c r="F91" s="877"/>
      <c r="G91" s="879"/>
      <c r="H91" s="161" t="s">
        <v>12</v>
      </c>
      <c r="I91" s="997"/>
      <c r="J91" s="997"/>
      <c r="K91" s="998"/>
      <c r="L91" s="881">
        <f t="shared" ref="L91:N91" ca="1" si="53">L92+L93</f>
        <v>462300</v>
      </c>
      <c r="M91" s="881">
        <f t="shared" ca="1" si="53"/>
        <v>349400</v>
      </c>
      <c r="N91" s="881">
        <f t="shared" ca="1" si="53"/>
        <v>194615.15</v>
      </c>
      <c r="O91" s="881">
        <f t="shared" ca="1" si="50"/>
        <v>42.097155526714253</v>
      </c>
      <c r="P91" s="881">
        <f t="shared" ca="1" si="51"/>
        <v>55.699813966800228</v>
      </c>
      <c r="Q91" s="868"/>
      <c r="R91" s="868"/>
      <c r="S91" s="868"/>
      <c r="T91" s="868"/>
      <c r="U91" s="868"/>
      <c r="V91" s="868"/>
      <c r="W91" s="868"/>
      <c r="X91" s="868"/>
      <c r="Y91" s="868"/>
      <c r="Z91" s="868"/>
    </row>
    <row r="92" spans="1:26" ht="19.5" hidden="1">
      <c r="A92" s="993"/>
      <c r="B92" s="883"/>
      <c r="C92" s="999"/>
      <c r="D92" s="883"/>
      <c r="E92" s="884" t="s">
        <v>36</v>
      </c>
      <c r="F92" s="883"/>
      <c r="G92" s="994"/>
      <c r="H92" s="165" t="s">
        <v>12</v>
      </c>
      <c r="I92" s="1000"/>
      <c r="J92" s="1000"/>
      <c r="K92" s="1001"/>
      <c r="L92" s="887">
        <v>0</v>
      </c>
      <c r="M92" s="887">
        <v>0</v>
      </c>
      <c r="N92" s="887">
        <v>0</v>
      </c>
      <c r="O92" s="887">
        <f t="shared" si="50"/>
        <v>0</v>
      </c>
      <c r="P92" s="887">
        <f t="shared" si="51"/>
        <v>0</v>
      </c>
      <c r="Q92" s="875"/>
      <c r="R92" s="875"/>
      <c r="S92" s="875"/>
      <c r="T92" s="875"/>
      <c r="U92" s="875"/>
      <c r="V92" s="875"/>
      <c r="W92" s="875"/>
      <c r="X92" s="875"/>
      <c r="Y92" s="875"/>
      <c r="Z92" s="875"/>
    </row>
    <row r="93" spans="1:26" ht="19.5" hidden="1">
      <c r="A93" s="993"/>
      <c r="B93" s="883"/>
      <c r="C93" s="999"/>
      <c r="D93" s="883"/>
      <c r="E93" s="884" t="s">
        <v>37</v>
      </c>
      <c r="F93" s="883"/>
      <c r="G93" s="994"/>
      <c r="H93" s="165" t="s">
        <v>12</v>
      </c>
      <c r="I93" s="1000"/>
      <c r="J93" s="1000"/>
      <c r="K93" s="1001"/>
      <c r="L93" s="887">
        <f ca="1">IFERROR(__xludf.DUMMYFUNCTION("IMPORTRANGE(""https://docs.google.com/spreadsheets/d/1MeEWN-I1oV_STSDYn1IFDPWt_1FKiwhDph83XaGc0o0/edit?usp=sharing"",""งบพรบ!AQ87"")"),462300)</f>
        <v>462300</v>
      </c>
      <c r="M93" s="887">
        <f ca="1">IFERROR(__xludf.DUMMYFUNCTION("IMPORTRANGE(""https://docs.google.com/spreadsheets/d/1MeEWN-I1oV_STSDYn1IFDPWt_1FKiwhDph83XaGc0o0/edit?usp=sharing"",""งบพรบ!AV87"")"),349400)</f>
        <v>349400</v>
      </c>
      <c r="N93" s="887">
        <f ca="1">IFERROR(__xludf.DUMMYFUNCTION("IMPORTRANGE(""https://docs.google.com/spreadsheets/d/1MeEWN-I1oV_STSDYn1IFDPWt_1FKiwhDph83XaGc0o0/edit?usp=sharing"",""งบพรบ!AX87"")"),194615.15)</f>
        <v>194615.15</v>
      </c>
      <c r="O93" s="887">
        <f t="shared" ca="1" si="50"/>
        <v>42.097155526714253</v>
      </c>
      <c r="P93" s="887">
        <f t="shared" ca="1" si="51"/>
        <v>55.699813966800228</v>
      </c>
      <c r="Q93" s="875"/>
      <c r="R93" s="875"/>
      <c r="S93" s="875"/>
      <c r="T93" s="875"/>
      <c r="U93" s="875"/>
      <c r="V93" s="875"/>
      <c r="W93" s="875"/>
      <c r="X93" s="875"/>
      <c r="Y93" s="875"/>
      <c r="Z93" s="875"/>
    </row>
    <row r="94" spans="1:26" ht="18.75">
      <c r="A94" s="995"/>
      <c r="B94" s="877"/>
      <c r="C94" s="996"/>
      <c r="D94" s="878" t="s">
        <v>21</v>
      </c>
      <c r="E94" s="877"/>
      <c r="F94" s="877"/>
      <c r="G94" s="879"/>
      <c r="H94" s="168" t="s">
        <v>12</v>
      </c>
      <c r="I94" s="997"/>
      <c r="J94" s="997"/>
      <c r="K94" s="998"/>
      <c r="L94" s="881">
        <f t="shared" ref="L94:N94" ca="1" si="54">L95+L96</f>
        <v>0</v>
      </c>
      <c r="M94" s="881">
        <f t="shared" ca="1" si="54"/>
        <v>0</v>
      </c>
      <c r="N94" s="881">
        <f t="shared" ca="1" si="54"/>
        <v>0</v>
      </c>
      <c r="O94" s="881">
        <f t="shared" ca="1" si="50"/>
        <v>0</v>
      </c>
      <c r="P94" s="881">
        <f t="shared" ca="1" si="51"/>
        <v>0</v>
      </c>
      <c r="Q94" s="868"/>
      <c r="R94" s="868"/>
      <c r="S94" s="868"/>
      <c r="T94" s="868"/>
      <c r="U94" s="868"/>
      <c r="V94" s="868"/>
      <c r="W94" s="868"/>
      <c r="X94" s="868"/>
      <c r="Y94" s="868"/>
      <c r="Z94" s="868"/>
    </row>
    <row r="95" spans="1:26" ht="19.5" hidden="1">
      <c r="A95" s="993"/>
      <c r="B95" s="883"/>
      <c r="C95" s="999"/>
      <c r="D95" s="883"/>
      <c r="E95" s="884" t="s">
        <v>18</v>
      </c>
      <c r="F95" s="883"/>
      <c r="G95" s="994"/>
      <c r="H95" s="165" t="s">
        <v>12</v>
      </c>
      <c r="I95" s="1000"/>
      <c r="J95" s="1000"/>
      <c r="K95" s="1001"/>
      <c r="L95" s="887">
        <v>0</v>
      </c>
      <c r="M95" s="887">
        <v>0</v>
      </c>
      <c r="N95" s="887">
        <v>0</v>
      </c>
      <c r="O95" s="887">
        <f t="shared" si="50"/>
        <v>0</v>
      </c>
      <c r="P95" s="887">
        <f t="shared" si="51"/>
        <v>0</v>
      </c>
      <c r="Q95" s="875"/>
      <c r="R95" s="875"/>
      <c r="S95" s="875"/>
      <c r="T95" s="875"/>
      <c r="U95" s="875"/>
      <c r="V95" s="875"/>
      <c r="W95" s="875"/>
      <c r="X95" s="875"/>
      <c r="Y95" s="875"/>
      <c r="Z95" s="875"/>
    </row>
    <row r="96" spans="1:26" ht="19.5" hidden="1">
      <c r="A96" s="993"/>
      <c r="B96" s="883"/>
      <c r="C96" s="999"/>
      <c r="D96" s="883"/>
      <c r="E96" s="884" t="s">
        <v>19</v>
      </c>
      <c r="F96" s="883"/>
      <c r="G96" s="994"/>
      <c r="H96" s="169" t="s">
        <v>12</v>
      </c>
      <c r="I96" s="1000"/>
      <c r="J96" s="1000"/>
      <c r="K96" s="1001"/>
      <c r="L96" s="887">
        <f ca="1">IFERROR(__xludf.DUMMYFUNCTION("IMPORTRANGE(""https://docs.google.com/spreadsheets/d/1MeEWN-I1oV_STSDYn1IFDPWt_1FKiwhDph83XaGc0o0/edit?usp=sharing"",""งบพรบ!AT87"")"),0)</f>
        <v>0</v>
      </c>
      <c r="M96" s="887">
        <f ca="1">IFERROR(__xludf.DUMMYFUNCTION("IMPORTRANGE(""https://docs.google.com/spreadsheets/d/1MeEWN-I1oV_STSDYn1IFDPWt_1FKiwhDph83XaGc0o0/edit?usp=sharing"",""งบพรบ!AW87"")"),0)</f>
        <v>0</v>
      </c>
      <c r="N96" s="887">
        <f ca="1">IFERROR(__xludf.DUMMYFUNCTION("IMPORTRANGE(""https://docs.google.com/spreadsheets/d/1MeEWN-I1oV_STSDYn1IFDPWt_1FKiwhDph83XaGc0o0/edit?usp=sharing"",""งบพรบ!AY87"")"),0)</f>
        <v>0</v>
      </c>
      <c r="O96" s="887">
        <f t="shared" ca="1" si="50"/>
        <v>0</v>
      </c>
      <c r="P96" s="887">
        <f t="shared" ca="1" si="51"/>
        <v>0</v>
      </c>
      <c r="Q96" s="875"/>
      <c r="R96" s="875"/>
      <c r="S96" s="875"/>
      <c r="T96" s="875"/>
      <c r="U96" s="875"/>
      <c r="V96" s="875"/>
      <c r="W96" s="875"/>
      <c r="X96" s="875"/>
      <c r="Y96" s="875"/>
      <c r="Z96" s="875"/>
    </row>
    <row r="97" spans="1:16" ht="19.5">
      <c r="A97" s="1002"/>
      <c r="B97" s="1003"/>
      <c r="C97" s="999" t="s">
        <v>16</v>
      </c>
      <c r="D97" s="1004" t="s">
        <v>38</v>
      </c>
      <c r="E97" s="1005"/>
      <c r="F97" s="1005"/>
      <c r="G97" s="1006"/>
      <c r="H97" s="1007"/>
      <c r="I97" s="997"/>
      <c r="J97" s="880"/>
      <c r="K97" s="881"/>
      <c r="L97" s="881"/>
      <c r="M97" s="881"/>
      <c r="N97" s="881"/>
      <c r="O97" s="998"/>
      <c r="P97" s="998"/>
    </row>
    <row r="98" spans="1:16" ht="18.75">
      <c r="A98" s="1002"/>
      <c r="B98" s="1003"/>
      <c r="C98" s="1003"/>
      <c r="D98" s="1009" t="s">
        <v>47</v>
      </c>
      <c r="E98" s="1009"/>
      <c r="F98" s="1010"/>
      <c r="G98" s="1011"/>
      <c r="H98" s="622" t="s">
        <v>46</v>
      </c>
      <c r="I98" s="880">
        <f ca="1">IFERROR(__xludf.DUMMYFUNCTION("IMPORTRANGE(""https://docs.google.com/spreadsheets/d/1QqKyyYR6Q21VydFLVH3TRQUabQu_ym0Zz7PgGX0-kHA/edit?usp=sharing"",""แผน!K87"")"),0)</f>
        <v>0</v>
      </c>
      <c r="J98" s="880">
        <f>J102</f>
        <v>0</v>
      </c>
      <c r="K98" s="881">
        <f t="shared" ref="K98:K100" ca="1" si="55">IF(I98&gt;0,J98*100/I98,0)</f>
        <v>0</v>
      </c>
      <c r="L98" s="881"/>
      <c r="M98" s="881"/>
      <c r="N98" s="881"/>
      <c r="O98" s="998"/>
      <c r="P98" s="998"/>
    </row>
    <row r="99" spans="1:16" ht="18.75">
      <c r="A99" s="1002"/>
      <c r="B99" s="1003"/>
      <c r="C99" s="1003"/>
      <c r="D99" s="1009" t="s">
        <v>48</v>
      </c>
      <c r="E99" s="1009"/>
      <c r="F99" s="1010"/>
      <c r="G99" s="1011"/>
      <c r="H99" s="622" t="s">
        <v>35</v>
      </c>
      <c r="I99" s="880">
        <f ca="1">IFERROR(__xludf.DUMMYFUNCTION("IMPORTRANGE(""https://docs.google.com/spreadsheets/d/1QqKyyYR6Q21VydFLVH3TRQUabQu_ym0Zz7PgGX0-kHA/edit?usp=sharing"",""แผน!L87"")"),0)</f>
        <v>0</v>
      </c>
      <c r="J99" s="880">
        <f>J104</f>
        <v>0</v>
      </c>
      <c r="K99" s="881">
        <f t="shared" ca="1" si="55"/>
        <v>0</v>
      </c>
      <c r="L99" s="881"/>
      <c r="M99" s="881"/>
      <c r="N99" s="881"/>
      <c r="O99" s="998"/>
      <c r="P99" s="998"/>
    </row>
    <row r="100" spans="1:16" ht="18.75">
      <c r="A100" s="1002"/>
      <c r="B100" s="1003"/>
      <c r="C100" s="1003"/>
      <c r="D100" s="1003"/>
      <c r="E100" s="1010"/>
      <c r="F100" s="1010"/>
      <c r="G100" s="1011"/>
      <c r="H100" s="622" t="s">
        <v>49</v>
      </c>
      <c r="I100" s="880">
        <f ca="1">IFERROR(__xludf.DUMMYFUNCTION("IMPORTRANGE(""https://docs.google.com/spreadsheets/d/1QqKyyYR6Q21VydFLVH3TRQUabQu_ym0Zz7PgGX0-kHA/edit?usp=sharing"",""แผน!M87"")"),1)</f>
        <v>1</v>
      </c>
      <c r="J100" s="880">
        <f>J107+J110</f>
        <v>1</v>
      </c>
      <c r="K100" s="881">
        <f t="shared" ca="1" si="55"/>
        <v>100</v>
      </c>
      <c r="L100" s="881"/>
      <c r="M100" s="881"/>
      <c r="N100" s="881"/>
      <c r="O100" s="998"/>
      <c r="P100" s="998"/>
    </row>
    <row r="101" spans="1:16" ht="19.5">
      <c r="A101" s="1002"/>
      <c r="B101" s="1003"/>
      <c r="C101" s="1003"/>
      <c r="D101" s="1010"/>
      <c r="E101" s="1013" t="s">
        <v>50</v>
      </c>
      <c r="F101" s="1010"/>
      <c r="G101" s="1011"/>
      <c r="H101" s="622"/>
      <c r="I101" s="880"/>
      <c r="J101" s="880"/>
      <c r="K101" s="881"/>
      <c r="L101" s="881"/>
      <c r="M101" s="881"/>
      <c r="N101" s="881"/>
      <c r="O101" s="998"/>
      <c r="P101" s="998"/>
    </row>
    <row r="102" spans="1:16" ht="18.75">
      <c r="A102" s="1002"/>
      <c r="B102" s="1003"/>
      <c r="C102" s="1003"/>
      <c r="D102" s="1010"/>
      <c r="E102" s="1014" t="s">
        <v>47</v>
      </c>
      <c r="F102" s="1010"/>
      <c r="G102" s="1011"/>
      <c r="H102" s="622" t="s">
        <v>46</v>
      </c>
      <c r="I102" s="880">
        <f ca="1">IFERROR(__xludf.DUMMYFUNCTION("IMPORTRANGE(""https://docs.google.com/spreadsheets/d/1QqKyyYR6Q21VydFLVH3TRQUabQu_ym0Zz7PgGX0-kHA/edit?usp=sharing"",""แผน!N87"")"),0)</f>
        <v>0</v>
      </c>
      <c r="J102" s="1012">
        <v>0</v>
      </c>
      <c r="K102" s="881">
        <f t="shared" ref="K102:K104" ca="1" si="56">IF(I102&gt;0,J102*100/I102,0)</f>
        <v>0</v>
      </c>
      <c r="L102" s="881"/>
      <c r="M102" s="881"/>
      <c r="N102" s="881"/>
      <c r="O102" s="998"/>
      <c r="P102" s="998"/>
    </row>
    <row r="103" spans="1:16" ht="19.5">
      <c r="A103" s="1002"/>
      <c r="B103" s="1003"/>
      <c r="C103" s="1003"/>
      <c r="D103" s="1010"/>
      <c r="E103" s="1009" t="s">
        <v>51</v>
      </c>
      <c r="F103" s="1010"/>
      <c r="G103" s="1011"/>
      <c r="H103" s="622" t="s">
        <v>35</v>
      </c>
      <c r="I103" s="880">
        <f ca="1">IFERROR(__xludf.DUMMYFUNCTION("IMPORTRANGE(""https://docs.google.com/spreadsheets/d/1QqKyyYR6Q21VydFLVH3TRQUabQu_ym0Zz7PgGX0-kHA/edit?usp=sharing"",""แผน!O87"")"),0)</f>
        <v>0</v>
      </c>
      <c r="J103" s="1012">
        <v>0</v>
      </c>
      <c r="K103" s="881">
        <f t="shared" ca="1" si="56"/>
        <v>0</v>
      </c>
      <c r="L103" s="881"/>
      <c r="M103" s="881"/>
      <c r="N103" s="881"/>
      <c r="O103" s="998"/>
      <c r="P103" s="998"/>
    </row>
    <row r="104" spans="1:16" ht="18.75">
      <c r="A104" s="1002"/>
      <c r="B104" s="1003"/>
      <c r="C104" s="1003"/>
      <c r="D104" s="1010"/>
      <c r="E104" s="1015" t="s">
        <v>52</v>
      </c>
      <c r="F104" s="1010"/>
      <c r="G104" s="1011"/>
      <c r="H104" s="622" t="s">
        <v>35</v>
      </c>
      <c r="I104" s="880">
        <f ca="1">IFERROR(__xludf.DUMMYFUNCTION("IMPORTRANGE(""https://docs.google.com/spreadsheets/d/1QqKyyYR6Q21VydFLVH3TRQUabQu_ym0Zz7PgGX0-kHA/edit?usp=sharing"",""แผน!O87"")"),0)</f>
        <v>0</v>
      </c>
      <c r="J104" s="1012">
        <v>0</v>
      </c>
      <c r="K104" s="881">
        <f t="shared" ca="1" si="56"/>
        <v>0</v>
      </c>
      <c r="L104" s="881"/>
      <c r="M104" s="881"/>
      <c r="N104" s="881"/>
      <c r="O104" s="998"/>
      <c r="P104" s="998"/>
    </row>
    <row r="105" spans="1:16" ht="19.5">
      <c r="A105" s="1002"/>
      <c r="B105" s="1003"/>
      <c r="C105" s="1003"/>
      <c r="D105" s="1010"/>
      <c r="E105" s="1013" t="s">
        <v>53</v>
      </c>
      <c r="F105" s="1010"/>
      <c r="G105" s="1011"/>
      <c r="H105" s="1016"/>
      <c r="I105" s="880"/>
      <c r="J105" s="880"/>
      <c r="K105" s="881"/>
      <c r="L105" s="881"/>
      <c r="M105" s="881"/>
      <c r="N105" s="881"/>
      <c r="O105" s="998"/>
      <c r="P105" s="998"/>
    </row>
    <row r="106" spans="1:16" ht="19.5">
      <c r="A106" s="1002"/>
      <c r="B106" s="1003"/>
      <c r="C106" s="1003"/>
      <c r="D106" s="1010"/>
      <c r="E106" s="1009" t="s">
        <v>54</v>
      </c>
      <c r="F106" s="1010"/>
      <c r="G106" s="1011"/>
      <c r="H106" s="622" t="s">
        <v>49</v>
      </c>
      <c r="I106" s="880">
        <f ca="1">IFERROR(__xludf.DUMMYFUNCTION("IMPORTRANGE(""https://docs.google.com/spreadsheets/d/1QqKyyYR6Q21VydFLVH3TRQUabQu_ym0Zz7PgGX0-kHA/edit?usp=sharing"",""แผน!P87"")"),1)</f>
        <v>1</v>
      </c>
      <c r="J106" s="1012">
        <v>1</v>
      </c>
      <c r="K106" s="881">
        <f t="shared" ref="K106:K107" ca="1" si="57">IF(I106&gt;0,J106*100/I106,0)</f>
        <v>100</v>
      </c>
      <c r="L106" s="881"/>
      <c r="M106" s="881"/>
      <c r="N106" s="881"/>
      <c r="O106" s="998"/>
      <c r="P106" s="998"/>
    </row>
    <row r="107" spans="1:16" ht="18.75">
      <c r="A107" s="1002"/>
      <c r="B107" s="1003"/>
      <c r="C107" s="1003"/>
      <c r="D107" s="1010"/>
      <c r="E107" s="1015" t="s">
        <v>55</v>
      </c>
      <c r="F107" s="1010"/>
      <c r="G107" s="1011"/>
      <c r="H107" s="622" t="s">
        <v>49</v>
      </c>
      <c r="I107" s="880">
        <f ca="1">IFERROR(__xludf.DUMMYFUNCTION("IMPORTRANGE(""https://docs.google.com/spreadsheets/d/1QqKyyYR6Q21VydFLVH3TRQUabQu_ym0Zz7PgGX0-kHA/edit?usp=sharing"",""แผน!P87"")"),1)</f>
        <v>1</v>
      </c>
      <c r="J107" s="1012">
        <v>1</v>
      </c>
      <c r="K107" s="881">
        <f t="shared" ca="1" si="57"/>
        <v>100</v>
      </c>
      <c r="L107" s="881"/>
      <c r="M107" s="881"/>
      <c r="N107" s="881"/>
      <c r="O107" s="998"/>
      <c r="P107" s="998"/>
    </row>
    <row r="108" spans="1:16" ht="19.5">
      <c r="A108" s="1002"/>
      <c r="B108" s="1003"/>
      <c r="C108" s="1003"/>
      <c r="D108" s="1010"/>
      <c r="E108" s="1013" t="s">
        <v>56</v>
      </c>
      <c r="F108" s="1010"/>
      <c r="G108" s="1011"/>
      <c r="H108" s="1016"/>
      <c r="I108" s="880"/>
      <c r="J108" s="880"/>
      <c r="K108" s="881"/>
      <c r="L108" s="881"/>
      <c r="M108" s="881"/>
      <c r="N108" s="881"/>
      <c r="O108" s="998"/>
      <c r="P108" s="998"/>
    </row>
    <row r="109" spans="1:16" ht="19.5">
      <c r="A109" s="1002"/>
      <c r="B109" s="1003"/>
      <c r="C109" s="1003"/>
      <c r="D109" s="1010"/>
      <c r="E109" s="1009" t="s">
        <v>57</v>
      </c>
      <c r="F109" s="1010"/>
      <c r="G109" s="1011"/>
      <c r="H109" s="622" t="s">
        <v>49</v>
      </c>
      <c r="I109" s="880">
        <f ca="1">IFERROR(__xludf.DUMMYFUNCTION("IMPORTRANGE(""https://docs.google.com/spreadsheets/d/1QqKyyYR6Q21VydFLVH3TRQUabQu_ym0Zz7PgGX0-kHA/edit?usp=sharing"",""แผน!Q87"")"),0)</f>
        <v>0</v>
      </c>
      <c r="J109" s="1012">
        <v>0</v>
      </c>
      <c r="K109" s="881">
        <f t="shared" ref="K109:K116" ca="1" si="58">IF(I109&gt;0,J109*100/I109,0)</f>
        <v>0</v>
      </c>
      <c r="L109" s="881"/>
      <c r="M109" s="881"/>
      <c r="N109" s="881"/>
      <c r="O109" s="998"/>
      <c r="P109" s="998"/>
    </row>
    <row r="110" spans="1:16" ht="18.75">
      <c r="A110" s="1002"/>
      <c r="B110" s="1003"/>
      <c r="C110" s="1003"/>
      <c r="D110" s="1010"/>
      <c r="E110" s="1017" t="s">
        <v>58</v>
      </c>
      <c r="F110" s="1010"/>
      <c r="G110" s="1011"/>
      <c r="H110" s="622" t="s">
        <v>49</v>
      </c>
      <c r="I110" s="880">
        <f ca="1">IFERROR(__xludf.DUMMYFUNCTION("IMPORTRANGE(""https://docs.google.com/spreadsheets/d/1QqKyyYR6Q21VydFLVH3TRQUabQu_ym0Zz7PgGX0-kHA/edit?usp=sharing"",""แผน!Q87"")"),0)</f>
        <v>0</v>
      </c>
      <c r="J110" s="1012">
        <v>0</v>
      </c>
      <c r="K110" s="881">
        <f t="shared" ca="1" si="58"/>
        <v>0</v>
      </c>
      <c r="L110" s="881"/>
      <c r="M110" s="881"/>
      <c r="N110" s="881"/>
      <c r="O110" s="998"/>
      <c r="P110" s="998"/>
    </row>
    <row r="111" spans="1:16" ht="19.5">
      <c r="A111" s="1002"/>
      <c r="B111" s="1003"/>
      <c r="C111" s="1003"/>
      <c r="D111" s="1013" t="s">
        <v>59</v>
      </c>
      <c r="E111" s="1013"/>
      <c r="F111" s="1010"/>
      <c r="G111" s="1011"/>
      <c r="H111" s="765" t="s">
        <v>35</v>
      </c>
      <c r="I111" s="1018">
        <f ca="1">IFERROR(__xludf.DUMMYFUNCTION("IMPORTRANGE(""https://docs.google.com/spreadsheets/d/1QqKyyYR6Q21VydFLVH3TRQUabQu_ym0Zz7PgGX0-kHA/edit?usp=sharing"",""แผน!R87"")"),0)</f>
        <v>0</v>
      </c>
      <c r="J111" s="1019">
        <f>J114</f>
        <v>0</v>
      </c>
      <c r="K111" s="1020">
        <f t="shared" ca="1" si="58"/>
        <v>0</v>
      </c>
      <c r="L111" s="881"/>
      <c r="M111" s="881"/>
      <c r="N111" s="881"/>
      <c r="O111" s="998"/>
      <c r="P111" s="998"/>
    </row>
    <row r="112" spans="1:16" ht="19.5">
      <c r="A112" s="1002"/>
      <c r="B112" s="1003"/>
      <c r="C112" s="1003"/>
      <c r="D112" s="1003"/>
      <c r="E112" s="1010"/>
      <c r="F112" s="1010"/>
      <c r="G112" s="1011"/>
      <c r="H112" s="196" t="s">
        <v>49</v>
      </c>
      <c r="I112" s="1018">
        <f t="shared" ref="I112:J112" ca="1" si="59">I115+I116</f>
        <v>1</v>
      </c>
      <c r="J112" s="1019">
        <f t="shared" si="59"/>
        <v>0</v>
      </c>
      <c r="K112" s="1020">
        <f t="shared" ca="1" si="58"/>
        <v>0</v>
      </c>
      <c r="L112" s="881"/>
      <c r="M112" s="881"/>
      <c r="N112" s="881"/>
      <c r="O112" s="998"/>
      <c r="P112" s="998"/>
    </row>
    <row r="113" spans="1:26" ht="19.5">
      <c r="A113" s="1002"/>
      <c r="B113" s="1003"/>
      <c r="C113" s="1003"/>
      <c r="D113" s="1003"/>
      <c r="E113" s="1021" t="s">
        <v>60</v>
      </c>
      <c r="F113" s="1010"/>
      <c r="G113" s="1011"/>
      <c r="H113" s="198" t="s">
        <v>35</v>
      </c>
      <c r="I113" s="997">
        <f ca="1">IFERROR(__xludf.DUMMYFUNCTION("IMPORTRANGE(""https://docs.google.com/spreadsheets/d/1QqKyyYR6Q21VydFLVH3TRQUabQu_ym0Zz7PgGX0-kHA/edit?usp=sharing"",""แผน!R87"")"),0)</f>
        <v>0</v>
      </c>
      <c r="J113" s="1012">
        <v>0</v>
      </c>
      <c r="K113" s="881">
        <f t="shared" ca="1" si="58"/>
        <v>0</v>
      </c>
      <c r="L113" s="881"/>
      <c r="M113" s="881"/>
      <c r="N113" s="881"/>
      <c r="O113" s="998"/>
      <c r="P113" s="998"/>
    </row>
    <row r="114" spans="1:26" ht="19.5">
      <c r="A114" s="1002"/>
      <c r="B114" s="1003"/>
      <c r="C114" s="1003"/>
      <c r="D114" s="1003"/>
      <c r="E114" s="1009" t="s">
        <v>61</v>
      </c>
      <c r="F114" s="1010"/>
      <c r="G114" s="1011"/>
      <c r="H114" s="199" t="s">
        <v>35</v>
      </c>
      <c r="I114" s="997">
        <f ca="1">IFERROR(__xludf.DUMMYFUNCTION("IMPORTRANGE(""https://docs.google.com/spreadsheets/d/1QqKyyYR6Q21VydFLVH3TRQUabQu_ym0Zz7PgGX0-kHA/edit?usp=sharing"",""แผน!R87"")"),0)</f>
        <v>0</v>
      </c>
      <c r="J114" s="1012">
        <v>0</v>
      </c>
      <c r="K114" s="881">
        <f t="shared" ca="1" si="58"/>
        <v>0</v>
      </c>
      <c r="L114" s="881"/>
      <c r="M114" s="881"/>
      <c r="N114" s="881"/>
      <c r="O114" s="998"/>
      <c r="P114" s="998"/>
    </row>
    <row r="115" spans="1:26" ht="18.75">
      <c r="A115" s="1002"/>
      <c r="B115" s="1003"/>
      <c r="C115" s="1003"/>
      <c r="D115" s="1003"/>
      <c r="E115" s="1009" t="s">
        <v>62</v>
      </c>
      <c r="F115" s="1010"/>
      <c r="G115" s="1011"/>
      <c r="H115" s="199" t="s">
        <v>49</v>
      </c>
      <c r="I115" s="997">
        <f ca="1">IFERROR(__xludf.DUMMYFUNCTION("IMPORTRANGE(""https://docs.google.com/spreadsheets/d/1QqKyyYR6Q21VydFLVH3TRQUabQu_ym0Zz7PgGX0-kHA/edit?usp=sharing"",""แผน!S87"")"),1)</f>
        <v>1</v>
      </c>
      <c r="J115" s="1012">
        <v>0</v>
      </c>
      <c r="K115" s="881">
        <f t="shared" ca="1" si="58"/>
        <v>0</v>
      </c>
      <c r="L115" s="881"/>
      <c r="M115" s="881"/>
      <c r="N115" s="881"/>
      <c r="O115" s="998"/>
      <c r="P115" s="998"/>
    </row>
    <row r="116" spans="1:26" ht="18.75">
      <c r="A116" s="1002"/>
      <c r="B116" s="1003"/>
      <c r="C116" s="1003"/>
      <c r="D116" s="1003"/>
      <c r="E116" s="1009" t="s">
        <v>63</v>
      </c>
      <c r="F116" s="1010"/>
      <c r="G116" s="1011"/>
      <c r="H116" s="199" t="s">
        <v>49</v>
      </c>
      <c r="I116" s="997">
        <f ca="1">IFERROR(__xludf.DUMMYFUNCTION("IMPORTRANGE(""https://docs.google.com/spreadsheets/d/1QqKyyYR6Q21VydFLVH3TRQUabQu_ym0Zz7PgGX0-kHA/edit?usp=sharing"",""แผน!T87"")"),0)</f>
        <v>0</v>
      </c>
      <c r="J116" s="1012">
        <v>0</v>
      </c>
      <c r="K116" s="881">
        <f t="shared" ca="1" si="58"/>
        <v>0</v>
      </c>
      <c r="L116" s="881"/>
      <c r="M116" s="881"/>
      <c r="N116" s="881"/>
      <c r="O116" s="998"/>
      <c r="P116" s="998"/>
    </row>
    <row r="117" spans="1:26" ht="19.5" hidden="1">
      <c r="A117" s="970" t="s">
        <v>64</v>
      </c>
      <c r="B117" s="971"/>
      <c r="C117" s="1022"/>
      <c r="D117" s="971"/>
      <c r="E117" s="971"/>
      <c r="F117" s="971"/>
      <c r="G117" s="971"/>
      <c r="H117" s="1023"/>
      <c r="I117" s="1024"/>
      <c r="J117" s="1024"/>
      <c r="K117" s="1025"/>
      <c r="L117" s="976"/>
      <c r="M117" s="976"/>
      <c r="N117" s="976"/>
      <c r="O117" s="976"/>
      <c r="P117" s="976"/>
    </row>
    <row r="118" spans="1:26" ht="19.5" hidden="1">
      <c r="A118" s="977"/>
      <c r="B118" s="978" t="s">
        <v>65</v>
      </c>
      <c r="C118" s="1026"/>
      <c r="D118" s="980"/>
      <c r="E118" s="979"/>
      <c r="F118" s="979"/>
      <c r="G118" s="981"/>
      <c r="H118" s="205"/>
      <c r="I118" s="1027"/>
      <c r="J118" s="1027"/>
      <c r="K118" s="984"/>
      <c r="L118" s="984"/>
      <c r="M118" s="984"/>
      <c r="N118" s="984"/>
      <c r="O118" s="984"/>
      <c r="P118" s="984"/>
    </row>
    <row r="119" spans="1:26" ht="19.5" hidden="1">
      <c r="A119" s="985"/>
      <c r="B119" s="986"/>
      <c r="C119" s="987" t="s">
        <v>16</v>
      </c>
      <c r="D119" s="988" t="s">
        <v>17</v>
      </c>
      <c r="E119" s="986"/>
      <c r="F119" s="986"/>
      <c r="G119" s="989"/>
      <c r="H119" s="152" t="s">
        <v>12</v>
      </c>
      <c r="I119" s="990"/>
      <c r="J119" s="990"/>
      <c r="K119" s="991"/>
      <c r="L119" s="992">
        <f t="shared" ref="L119:N119" ca="1" si="60">L120+L121</f>
        <v>0</v>
      </c>
      <c r="M119" s="992">
        <f t="shared" ca="1" si="60"/>
        <v>0</v>
      </c>
      <c r="N119" s="992">
        <f t="shared" ca="1" si="60"/>
        <v>0</v>
      </c>
      <c r="O119" s="992">
        <f t="shared" ref="O119:O127" ca="1" si="61">IF(L119&gt;0,N119*100/L119,0)</f>
        <v>0</v>
      </c>
      <c r="P119" s="992">
        <f t="shared" ref="P119:P127" ca="1" si="62">IF(M119&gt;0,N119*100/M119,0)</f>
        <v>0</v>
      </c>
      <c r="Q119" s="868"/>
      <c r="R119" s="868"/>
      <c r="S119" s="868"/>
      <c r="T119" s="868"/>
      <c r="U119" s="868"/>
      <c r="V119" s="868"/>
      <c r="W119" s="868"/>
      <c r="X119" s="868"/>
      <c r="Y119" s="868"/>
      <c r="Z119" s="868"/>
    </row>
    <row r="120" spans="1:26" ht="18.75" hidden="1">
      <c r="A120" s="993"/>
      <c r="B120" s="883"/>
      <c r="C120" s="883"/>
      <c r="D120" s="883"/>
      <c r="E120" s="884" t="s">
        <v>18</v>
      </c>
      <c r="F120" s="883"/>
      <c r="G120" s="994"/>
      <c r="H120" s="158" t="s">
        <v>12</v>
      </c>
      <c r="I120" s="886"/>
      <c r="J120" s="886"/>
      <c r="K120" s="887"/>
      <c r="L120" s="887">
        <f t="shared" ref="L120:N121" si="63">L123+L126</f>
        <v>0</v>
      </c>
      <c r="M120" s="887">
        <f t="shared" si="63"/>
        <v>0</v>
      </c>
      <c r="N120" s="887">
        <f t="shared" si="63"/>
        <v>0</v>
      </c>
      <c r="O120" s="887">
        <f t="shared" si="61"/>
        <v>0</v>
      </c>
      <c r="P120" s="887">
        <f t="shared" si="62"/>
        <v>0</v>
      </c>
      <c r="Q120" s="875"/>
      <c r="R120" s="875"/>
      <c r="S120" s="875"/>
      <c r="T120" s="875"/>
      <c r="U120" s="875"/>
      <c r="V120" s="875"/>
      <c r="W120" s="875"/>
      <c r="X120" s="875"/>
      <c r="Y120" s="875"/>
      <c r="Z120" s="875"/>
    </row>
    <row r="121" spans="1:26" ht="18.75" hidden="1">
      <c r="A121" s="993"/>
      <c r="B121" s="883"/>
      <c r="C121" s="883"/>
      <c r="D121" s="883"/>
      <c r="E121" s="884" t="s">
        <v>19</v>
      </c>
      <c r="F121" s="883"/>
      <c r="G121" s="994"/>
      <c r="H121" s="158" t="s">
        <v>12</v>
      </c>
      <c r="I121" s="886"/>
      <c r="J121" s="886"/>
      <c r="K121" s="887"/>
      <c r="L121" s="887">
        <f t="shared" ca="1" si="63"/>
        <v>0</v>
      </c>
      <c r="M121" s="887">
        <f t="shared" ca="1" si="63"/>
        <v>0</v>
      </c>
      <c r="N121" s="887">
        <f t="shared" ca="1" si="63"/>
        <v>0</v>
      </c>
      <c r="O121" s="887">
        <f t="shared" ca="1" si="61"/>
        <v>0</v>
      </c>
      <c r="P121" s="887">
        <f t="shared" ca="1" si="62"/>
        <v>0</v>
      </c>
      <c r="Q121" s="875"/>
      <c r="R121" s="875"/>
      <c r="S121" s="875"/>
      <c r="T121" s="875"/>
      <c r="U121" s="875"/>
      <c r="V121" s="875"/>
      <c r="W121" s="875"/>
      <c r="X121" s="875"/>
      <c r="Y121" s="875"/>
      <c r="Z121" s="875"/>
    </row>
    <row r="122" spans="1:26" ht="18.75" hidden="1">
      <c r="A122" s="995"/>
      <c r="B122" s="877"/>
      <c r="C122" s="996"/>
      <c r="D122" s="878" t="s">
        <v>20</v>
      </c>
      <c r="E122" s="877"/>
      <c r="F122" s="877"/>
      <c r="G122" s="879"/>
      <c r="H122" s="161" t="s">
        <v>12</v>
      </c>
      <c r="I122" s="997"/>
      <c r="J122" s="997"/>
      <c r="K122" s="998"/>
      <c r="L122" s="881">
        <f t="shared" ref="L122:N122" ca="1" si="64">L123+L124</f>
        <v>0</v>
      </c>
      <c r="M122" s="881">
        <f t="shared" ca="1" si="64"/>
        <v>0</v>
      </c>
      <c r="N122" s="881">
        <f t="shared" ca="1" si="64"/>
        <v>0</v>
      </c>
      <c r="O122" s="881">
        <f t="shared" ca="1" si="61"/>
        <v>0</v>
      </c>
      <c r="P122" s="881">
        <f t="shared" ca="1" si="62"/>
        <v>0</v>
      </c>
      <c r="Q122" s="868"/>
      <c r="R122" s="868"/>
      <c r="S122" s="868"/>
      <c r="T122" s="868"/>
      <c r="U122" s="868"/>
      <c r="V122" s="868"/>
      <c r="W122" s="868"/>
      <c r="X122" s="868"/>
      <c r="Y122" s="868"/>
      <c r="Z122" s="868"/>
    </row>
    <row r="123" spans="1:26" ht="18.75" hidden="1">
      <c r="A123" s="993"/>
      <c r="B123" s="883"/>
      <c r="C123" s="884"/>
      <c r="D123" s="883"/>
      <c r="E123" s="884" t="s">
        <v>36</v>
      </c>
      <c r="F123" s="883"/>
      <c r="G123" s="994"/>
      <c r="H123" s="165" t="s">
        <v>12</v>
      </c>
      <c r="I123" s="1000"/>
      <c r="J123" s="1000"/>
      <c r="K123" s="1001"/>
      <c r="L123" s="887">
        <v>0</v>
      </c>
      <c r="M123" s="887">
        <v>0</v>
      </c>
      <c r="N123" s="887">
        <v>0</v>
      </c>
      <c r="O123" s="887">
        <f t="shared" si="61"/>
        <v>0</v>
      </c>
      <c r="P123" s="887">
        <f t="shared" si="62"/>
        <v>0</v>
      </c>
      <c r="Q123" s="875"/>
      <c r="R123" s="875"/>
      <c r="S123" s="875"/>
      <c r="T123" s="875"/>
      <c r="U123" s="875"/>
      <c r="V123" s="875"/>
      <c r="W123" s="875"/>
      <c r="X123" s="875"/>
      <c r="Y123" s="875"/>
      <c r="Z123" s="875"/>
    </row>
    <row r="124" spans="1:26" ht="18.75" hidden="1">
      <c r="A124" s="993"/>
      <c r="B124" s="883"/>
      <c r="C124" s="884"/>
      <c r="D124" s="883"/>
      <c r="E124" s="884" t="s">
        <v>37</v>
      </c>
      <c r="F124" s="883"/>
      <c r="G124" s="994"/>
      <c r="H124" s="165" t="s">
        <v>12</v>
      </c>
      <c r="I124" s="1000"/>
      <c r="J124" s="1000"/>
      <c r="K124" s="1001"/>
      <c r="L124" s="887">
        <f ca="1">IFERROR(__xludf.DUMMYFUNCTION("IMPORTRANGE(""https://docs.google.com/spreadsheets/d/1MeEWN-I1oV_STSDYn1IFDPWt_1FKiwhDph83XaGc0o0/edit?usp=sharing"",""งบพรบ!BA87"")"),0)</f>
        <v>0</v>
      </c>
      <c r="M124" s="887">
        <f ca="1">IFERROR(__xludf.DUMMYFUNCTION("IMPORTRANGE(""https://docs.google.com/spreadsheets/d/1MeEWN-I1oV_STSDYn1IFDPWt_1FKiwhDph83XaGc0o0/edit?usp=sharing"",""งบพรบ!BF87"")"),0)</f>
        <v>0</v>
      </c>
      <c r="N124" s="887">
        <f ca="1">IFERROR(__xludf.DUMMYFUNCTION("IMPORTRANGE(""https://docs.google.com/spreadsheets/d/1MeEWN-I1oV_STSDYn1IFDPWt_1FKiwhDph83XaGc0o0/edit?usp=sharing"",""งบพรบ!BH87"")"),0)</f>
        <v>0</v>
      </c>
      <c r="O124" s="887">
        <f t="shared" ca="1" si="61"/>
        <v>0</v>
      </c>
      <c r="P124" s="887">
        <f t="shared" ca="1" si="62"/>
        <v>0</v>
      </c>
      <c r="Q124" s="875"/>
      <c r="R124" s="875"/>
      <c r="S124" s="875"/>
      <c r="T124" s="875"/>
      <c r="U124" s="875"/>
      <c r="V124" s="875"/>
      <c r="W124" s="875"/>
      <c r="X124" s="875"/>
      <c r="Y124" s="875"/>
      <c r="Z124" s="875"/>
    </row>
    <row r="125" spans="1:26" ht="18.75" hidden="1">
      <c r="A125" s="995"/>
      <c r="B125" s="877"/>
      <c r="C125" s="996"/>
      <c r="D125" s="878" t="s">
        <v>21</v>
      </c>
      <c r="E125" s="877"/>
      <c r="F125" s="877"/>
      <c r="G125" s="879"/>
      <c r="H125" s="168" t="s">
        <v>12</v>
      </c>
      <c r="I125" s="997"/>
      <c r="J125" s="997"/>
      <c r="K125" s="998"/>
      <c r="L125" s="881">
        <f t="shared" ref="L125:N125" ca="1" si="65">L126+L127</f>
        <v>0</v>
      </c>
      <c r="M125" s="881">
        <f t="shared" ca="1" si="65"/>
        <v>0</v>
      </c>
      <c r="N125" s="881">
        <f t="shared" ca="1" si="65"/>
        <v>0</v>
      </c>
      <c r="O125" s="881">
        <f t="shared" ca="1" si="61"/>
        <v>0</v>
      </c>
      <c r="P125" s="881">
        <f t="shared" ca="1" si="62"/>
        <v>0</v>
      </c>
      <c r="Q125" s="868"/>
      <c r="R125" s="868"/>
      <c r="S125" s="868"/>
      <c r="T125" s="868"/>
      <c r="U125" s="868"/>
      <c r="V125" s="868"/>
      <c r="W125" s="868"/>
      <c r="X125" s="868"/>
      <c r="Y125" s="868"/>
      <c r="Z125" s="868"/>
    </row>
    <row r="126" spans="1:26" ht="19.5" hidden="1">
      <c r="A126" s="993"/>
      <c r="B126" s="883"/>
      <c r="C126" s="999"/>
      <c r="D126" s="883"/>
      <c r="E126" s="884" t="s">
        <v>18</v>
      </c>
      <c r="F126" s="883"/>
      <c r="G126" s="994"/>
      <c r="H126" s="165" t="s">
        <v>12</v>
      </c>
      <c r="I126" s="1000"/>
      <c r="J126" s="1000"/>
      <c r="K126" s="1001"/>
      <c r="L126" s="887">
        <v>0</v>
      </c>
      <c r="M126" s="887">
        <v>0</v>
      </c>
      <c r="N126" s="887">
        <v>0</v>
      </c>
      <c r="O126" s="887">
        <f t="shared" si="61"/>
        <v>0</v>
      </c>
      <c r="P126" s="887">
        <f t="shared" si="62"/>
        <v>0</v>
      </c>
      <c r="Q126" s="875"/>
      <c r="R126" s="875"/>
      <c r="S126" s="875"/>
      <c r="T126" s="875"/>
      <c r="U126" s="875"/>
      <c r="V126" s="875"/>
      <c r="W126" s="875"/>
      <c r="X126" s="875"/>
      <c r="Y126" s="875"/>
      <c r="Z126" s="875"/>
    </row>
    <row r="127" spans="1:26" ht="19.5" hidden="1">
      <c r="A127" s="993"/>
      <c r="B127" s="883"/>
      <c r="C127" s="999"/>
      <c r="D127" s="883"/>
      <c r="E127" s="884" t="s">
        <v>19</v>
      </c>
      <c r="F127" s="883"/>
      <c r="G127" s="994"/>
      <c r="H127" s="169" t="s">
        <v>12</v>
      </c>
      <c r="I127" s="1000"/>
      <c r="J127" s="1000"/>
      <c r="K127" s="1001"/>
      <c r="L127" s="887">
        <f ca="1">IFERROR(__xludf.DUMMYFUNCTION("IMPORTRANGE(""https://docs.google.com/spreadsheets/d/1MeEWN-I1oV_STSDYn1IFDPWt_1FKiwhDph83XaGc0o0/edit?usp=sharing"",""งบพรบ!BD87"")"),0)</f>
        <v>0</v>
      </c>
      <c r="M127" s="887">
        <f ca="1">IFERROR(__xludf.DUMMYFUNCTION("IMPORTRANGE(""https://docs.google.com/spreadsheets/d/1MeEWN-I1oV_STSDYn1IFDPWt_1FKiwhDph83XaGc0o0/edit?usp=sharing"",""งบพรบ!BG87"")"),0)</f>
        <v>0</v>
      </c>
      <c r="N127" s="887">
        <f ca="1">IFERROR(__xludf.DUMMYFUNCTION("IMPORTRANGE(""https://docs.google.com/spreadsheets/d/1MeEWN-I1oV_STSDYn1IFDPWt_1FKiwhDph83XaGc0o0/edit?usp=sharing"",""งบพรบ!BI87"")"),0)</f>
        <v>0</v>
      </c>
      <c r="O127" s="887">
        <f t="shared" ca="1" si="61"/>
        <v>0</v>
      </c>
      <c r="P127" s="887">
        <f t="shared" ca="1" si="62"/>
        <v>0</v>
      </c>
      <c r="Q127" s="875"/>
      <c r="R127" s="875"/>
      <c r="S127" s="875"/>
      <c r="T127" s="875"/>
      <c r="U127" s="875"/>
      <c r="V127" s="875"/>
      <c r="W127" s="875"/>
      <c r="X127" s="875"/>
      <c r="Y127" s="875"/>
      <c r="Z127" s="875"/>
    </row>
    <row r="128" spans="1:26" ht="19.5" hidden="1">
      <c r="A128" s="970" t="s">
        <v>67</v>
      </c>
      <c r="B128" s="971"/>
      <c r="C128" s="1022"/>
      <c r="D128" s="971"/>
      <c r="E128" s="971"/>
      <c r="F128" s="971"/>
      <c r="G128" s="971"/>
      <c r="H128" s="1023"/>
      <c r="I128" s="1024"/>
      <c r="J128" s="1024"/>
      <c r="K128" s="1025"/>
      <c r="L128" s="976"/>
      <c r="M128" s="976"/>
      <c r="N128" s="976"/>
      <c r="O128" s="976"/>
      <c r="P128" s="976"/>
    </row>
    <row r="129" spans="1:26" ht="19.5" hidden="1">
      <c r="A129" s="977"/>
      <c r="B129" s="978" t="s">
        <v>68</v>
      </c>
      <c r="C129" s="1026"/>
      <c r="D129" s="980"/>
      <c r="E129" s="979"/>
      <c r="F129" s="979"/>
      <c r="G129" s="979"/>
      <c r="H129" s="207"/>
      <c r="I129" s="1027"/>
      <c r="J129" s="1027"/>
      <c r="K129" s="984"/>
      <c r="L129" s="984"/>
      <c r="M129" s="984"/>
      <c r="N129" s="984"/>
      <c r="O129" s="984"/>
      <c r="P129" s="984"/>
    </row>
    <row r="130" spans="1:26" ht="19.5" hidden="1">
      <c r="A130" s="977"/>
      <c r="B130" s="978"/>
      <c r="C130" s="1028" t="s">
        <v>69</v>
      </c>
      <c r="D130" s="980"/>
      <c r="E130" s="979"/>
      <c r="F130" s="979"/>
      <c r="G130" s="981"/>
      <c r="H130" s="205" t="s">
        <v>66</v>
      </c>
      <c r="I130" s="982">
        <f t="shared" ref="I130:J130" ca="1" si="66">I146</f>
        <v>0</v>
      </c>
      <c r="J130" s="982">
        <f t="shared" si="66"/>
        <v>0</v>
      </c>
      <c r="K130" s="983">
        <f t="shared" ref="K130:K131" ca="1" si="67">IF(I130&gt;0,J130*100/I130,0)</f>
        <v>0</v>
      </c>
      <c r="L130" s="984"/>
      <c r="M130" s="984"/>
      <c r="N130" s="984"/>
      <c r="O130" s="984"/>
      <c r="P130" s="984"/>
    </row>
    <row r="131" spans="1:26" ht="19.5" hidden="1">
      <c r="A131" s="977"/>
      <c r="B131" s="978"/>
      <c r="C131" s="1028" t="s">
        <v>70</v>
      </c>
      <c r="D131" s="980"/>
      <c r="E131" s="979"/>
      <c r="F131" s="979"/>
      <c r="G131" s="981"/>
      <c r="H131" s="205" t="s">
        <v>35</v>
      </c>
      <c r="I131" s="982">
        <f t="shared" ref="I131:J131" ca="1" si="68">I143</f>
        <v>0</v>
      </c>
      <c r="J131" s="982">
        <f t="shared" ca="1" si="68"/>
        <v>0</v>
      </c>
      <c r="K131" s="983">
        <f t="shared" ca="1" si="67"/>
        <v>0</v>
      </c>
      <c r="L131" s="984"/>
      <c r="M131" s="984"/>
      <c r="N131" s="984"/>
      <c r="O131" s="984"/>
      <c r="P131" s="984"/>
    </row>
    <row r="132" spans="1:26" ht="19.5" hidden="1">
      <c r="A132" s="985"/>
      <c r="B132" s="986"/>
      <c r="C132" s="987" t="s">
        <v>16</v>
      </c>
      <c r="D132" s="988" t="s">
        <v>17</v>
      </c>
      <c r="E132" s="986"/>
      <c r="F132" s="986"/>
      <c r="G132" s="989"/>
      <c r="H132" s="152" t="s">
        <v>12</v>
      </c>
      <c r="I132" s="990"/>
      <c r="J132" s="990"/>
      <c r="K132" s="991"/>
      <c r="L132" s="992">
        <f t="shared" ref="L132:N132" ca="1" si="69">L133+L134</f>
        <v>0</v>
      </c>
      <c r="M132" s="992">
        <f t="shared" ca="1" si="69"/>
        <v>0</v>
      </c>
      <c r="N132" s="992">
        <f t="shared" ca="1" si="69"/>
        <v>0</v>
      </c>
      <c r="O132" s="992">
        <f t="shared" ref="O132:O140" ca="1" si="70">IF(L132&gt;0,N132*100/L132,0)</f>
        <v>0</v>
      </c>
      <c r="P132" s="992">
        <f t="shared" ref="P132:P140" ca="1" si="71">IF(M132&gt;0,N132*100/M132,0)</f>
        <v>0</v>
      </c>
      <c r="Q132" s="868"/>
      <c r="R132" s="868"/>
      <c r="S132" s="868"/>
      <c r="T132" s="868"/>
      <c r="U132" s="868"/>
      <c r="V132" s="868"/>
      <c r="W132" s="868"/>
      <c r="X132" s="868"/>
      <c r="Y132" s="868"/>
      <c r="Z132" s="868"/>
    </row>
    <row r="133" spans="1:26" ht="18.75" hidden="1">
      <c r="A133" s="993"/>
      <c r="B133" s="883"/>
      <c r="C133" s="883"/>
      <c r="D133" s="883"/>
      <c r="E133" s="884" t="s">
        <v>18</v>
      </c>
      <c r="F133" s="883"/>
      <c r="G133" s="994"/>
      <c r="H133" s="158" t="s">
        <v>12</v>
      </c>
      <c r="I133" s="886"/>
      <c r="J133" s="886"/>
      <c r="K133" s="887"/>
      <c r="L133" s="887">
        <f t="shared" ref="L133:N134" si="72">L136+L139</f>
        <v>0</v>
      </c>
      <c r="M133" s="887">
        <f t="shared" si="72"/>
        <v>0</v>
      </c>
      <c r="N133" s="887">
        <f t="shared" si="72"/>
        <v>0</v>
      </c>
      <c r="O133" s="887">
        <f t="shared" si="70"/>
        <v>0</v>
      </c>
      <c r="P133" s="887">
        <f t="shared" si="71"/>
        <v>0</v>
      </c>
      <c r="Q133" s="875"/>
      <c r="R133" s="875"/>
      <c r="S133" s="875"/>
      <c r="T133" s="875"/>
      <c r="U133" s="875"/>
      <c r="V133" s="875"/>
      <c r="W133" s="875"/>
      <c r="X133" s="875"/>
      <c r="Y133" s="875"/>
      <c r="Z133" s="875"/>
    </row>
    <row r="134" spans="1:26" ht="18.75" hidden="1">
      <c r="A134" s="993"/>
      <c r="B134" s="883"/>
      <c r="C134" s="883"/>
      <c r="D134" s="883"/>
      <c r="E134" s="884" t="s">
        <v>19</v>
      </c>
      <c r="F134" s="883"/>
      <c r="G134" s="994"/>
      <c r="H134" s="158" t="s">
        <v>12</v>
      </c>
      <c r="I134" s="886"/>
      <c r="J134" s="886"/>
      <c r="K134" s="887"/>
      <c r="L134" s="887">
        <f t="shared" ca="1" si="72"/>
        <v>0</v>
      </c>
      <c r="M134" s="887">
        <f t="shared" ca="1" si="72"/>
        <v>0</v>
      </c>
      <c r="N134" s="887">
        <f t="shared" ca="1" si="72"/>
        <v>0</v>
      </c>
      <c r="O134" s="887">
        <f t="shared" ca="1" si="70"/>
        <v>0</v>
      </c>
      <c r="P134" s="887">
        <f t="shared" ca="1" si="71"/>
        <v>0</v>
      </c>
      <c r="Q134" s="875"/>
      <c r="R134" s="875"/>
      <c r="S134" s="875"/>
      <c r="T134" s="875"/>
      <c r="U134" s="875"/>
      <c r="V134" s="875"/>
      <c r="W134" s="875"/>
      <c r="X134" s="875"/>
      <c r="Y134" s="875"/>
      <c r="Z134" s="875"/>
    </row>
    <row r="135" spans="1:26" ht="18.75" hidden="1">
      <c r="A135" s="995"/>
      <c r="B135" s="877"/>
      <c r="C135" s="996"/>
      <c r="D135" s="878" t="s">
        <v>20</v>
      </c>
      <c r="E135" s="877"/>
      <c r="F135" s="877"/>
      <c r="G135" s="879"/>
      <c r="H135" s="161" t="s">
        <v>12</v>
      </c>
      <c r="I135" s="997"/>
      <c r="J135" s="997"/>
      <c r="K135" s="998"/>
      <c r="L135" s="881">
        <f t="shared" ref="L135:N135" ca="1" si="73">L136+L137</f>
        <v>0</v>
      </c>
      <c r="M135" s="881">
        <f t="shared" ca="1" si="73"/>
        <v>0</v>
      </c>
      <c r="N135" s="881">
        <f t="shared" ca="1" si="73"/>
        <v>0</v>
      </c>
      <c r="O135" s="881">
        <f t="shared" ca="1" si="70"/>
        <v>0</v>
      </c>
      <c r="P135" s="881">
        <f t="shared" ca="1" si="71"/>
        <v>0</v>
      </c>
      <c r="Q135" s="868"/>
      <c r="R135" s="868"/>
      <c r="S135" s="868"/>
      <c r="T135" s="868"/>
      <c r="U135" s="868"/>
      <c r="V135" s="868"/>
      <c r="W135" s="868"/>
      <c r="X135" s="868"/>
      <c r="Y135" s="868"/>
      <c r="Z135" s="868"/>
    </row>
    <row r="136" spans="1:26" ht="19.5" hidden="1">
      <c r="A136" s="993"/>
      <c r="B136" s="883"/>
      <c r="C136" s="999"/>
      <c r="D136" s="883"/>
      <c r="E136" s="884" t="s">
        <v>36</v>
      </c>
      <c r="F136" s="883"/>
      <c r="G136" s="994"/>
      <c r="H136" s="165" t="s">
        <v>12</v>
      </c>
      <c r="I136" s="1000"/>
      <c r="J136" s="1000"/>
      <c r="K136" s="1001"/>
      <c r="L136" s="887">
        <v>0</v>
      </c>
      <c r="M136" s="887">
        <v>0</v>
      </c>
      <c r="N136" s="887">
        <v>0</v>
      </c>
      <c r="O136" s="887">
        <f t="shared" si="70"/>
        <v>0</v>
      </c>
      <c r="P136" s="887">
        <f t="shared" si="71"/>
        <v>0</v>
      </c>
      <c r="Q136" s="875"/>
      <c r="R136" s="875"/>
      <c r="S136" s="875"/>
      <c r="T136" s="875"/>
      <c r="U136" s="875"/>
      <c r="V136" s="875"/>
      <c r="W136" s="875"/>
      <c r="X136" s="875"/>
      <c r="Y136" s="875"/>
      <c r="Z136" s="875"/>
    </row>
    <row r="137" spans="1:26" ht="19.5" hidden="1">
      <c r="A137" s="993"/>
      <c r="B137" s="883"/>
      <c r="C137" s="999"/>
      <c r="D137" s="883"/>
      <c r="E137" s="884" t="s">
        <v>37</v>
      </c>
      <c r="F137" s="883"/>
      <c r="G137" s="994"/>
      <c r="H137" s="165" t="s">
        <v>12</v>
      </c>
      <c r="I137" s="1000"/>
      <c r="J137" s="1000"/>
      <c r="K137" s="1001"/>
      <c r="L137" s="887">
        <f ca="1">IFERROR(__xludf.DUMMYFUNCTION("IMPORTRANGE(""https://docs.google.com/spreadsheets/d/1MeEWN-I1oV_STSDYn1IFDPWt_1FKiwhDph83XaGc0o0/edit?usp=sharing"",""งบพรบ!BK87"")"),0)</f>
        <v>0</v>
      </c>
      <c r="M137" s="887">
        <f ca="1">IFERROR(__xludf.DUMMYFUNCTION("IMPORTRANGE(""https://docs.google.com/spreadsheets/d/1MeEWN-I1oV_STSDYn1IFDPWt_1FKiwhDph83XaGc0o0/edit?usp=sharing"",""งบพรบ!BP87"")"),0)</f>
        <v>0</v>
      </c>
      <c r="N137" s="887">
        <f ca="1">IFERROR(__xludf.DUMMYFUNCTION("IMPORTRANGE(""https://docs.google.com/spreadsheets/d/1MeEWN-I1oV_STSDYn1IFDPWt_1FKiwhDph83XaGc0o0/edit?usp=sharing"",""งบพรบ!BR87"")"),0)</f>
        <v>0</v>
      </c>
      <c r="O137" s="887">
        <f t="shared" ca="1" si="70"/>
        <v>0</v>
      </c>
      <c r="P137" s="887">
        <f t="shared" ca="1" si="71"/>
        <v>0</v>
      </c>
      <c r="Q137" s="875"/>
      <c r="R137" s="875"/>
      <c r="S137" s="875"/>
      <c r="T137" s="875"/>
      <c r="U137" s="875"/>
      <c r="V137" s="875"/>
      <c r="W137" s="875"/>
      <c r="X137" s="875"/>
      <c r="Y137" s="875"/>
      <c r="Z137" s="875"/>
    </row>
    <row r="138" spans="1:26" ht="18.75" hidden="1">
      <c r="A138" s="995"/>
      <c r="B138" s="877"/>
      <c r="C138" s="996"/>
      <c r="D138" s="878" t="s">
        <v>21</v>
      </c>
      <c r="E138" s="877"/>
      <c r="F138" s="877"/>
      <c r="G138" s="879"/>
      <c r="H138" s="168" t="s">
        <v>12</v>
      </c>
      <c r="I138" s="997"/>
      <c r="J138" s="997"/>
      <c r="K138" s="998"/>
      <c r="L138" s="881">
        <f t="shared" ref="L138:N138" ca="1" si="74">L139+L140</f>
        <v>0</v>
      </c>
      <c r="M138" s="881">
        <f t="shared" ca="1" si="74"/>
        <v>0</v>
      </c>
      <c r="N138" s="881">
        <f t="shared" ca="1" si="74"/>
        <v>0</v>
      </c>
      <c r="O138" s="881">
        <f t="shared" ca="1" si="70"/>
        <v>0</v>
      </c>
      <c r="P138" s="881">
        <f t="shared" ca="1" si="71"/>
        <v>0</v>
      </c>
      <c r="Q138" s="868"/>
      <c r="R138" s="868"/>
      <c r="S138" s="868"/>
      <c r="T138" s="868"/>
      <c r="U138" s="868"/>
      <c r="V138" s="868"/>
      <c r="W138" s="868"/>
      <c r="X138" s="868"/>
      <c r="Y138" s="868"/>
      <c r="Z138" s="868"/>
    </row>
    <row r="139" spans="1:26" ht="19.5" hidden="1">
      <c r="A139" s="993"/>
      <c r="B139" s="883"/>
      <c r="C139" s="999"/>
      <c r="D139" s="883"/>
      <c r="E139" s="884" t="s">
        <v>18</v>
      </c>
      <c r="F139" s="883"/>
      <c r="G139" s="994"/>
      <c r="H139" s="165" t="s">
        <v>12</v>
      </c>
      <c r="I139" s="1000"/>
      <c r="J139" s="1000"/>
      <c r="K139" s="1001"/>
      <c r="L139" s="887">
        <v>0</v>
      </c>
      <c r="M139" s="887">
        <v>0</v>
      </c>
      <c r="N139" s="887">
        <v>0</v>
      </c>
      <c r="O139" s="887">
        <f t="shared" si="70"/>
        <v>0</v>
      </c>
      <c r="P139" s="887">
        <f t="shared" si="71"/>
        <v>0</v>
      </c>
      <c r="Q139" s="875"/>
      <c r="R139" s="875"/>
      <c r="S139" s="875"/>
      <c r="T139" s="875"/>
      <c r="U139" s="875"/>
      <c r="V139" s="875"/>
      <c r="W139" s="875"/>
      <c r="X139" s="875"/>
      <c r="Y139" s="875"/>
      <c r="Z139" s="875"/>
    </row>
    <row r="140" spans="1:26" ht="19.5" hidden="1">
      <c r="A140" s="993"/>
      <c r="B140" s="883"/>
      <c r="C140" s="999"/>
      <c r="D140" s="883"/>
      <c r="E140" s="884" t="s">
        <v>19</v>
      </c>
      <c r="F140" s="883"/>
      <c r="G140" s="994"/>
      <c r="H140" s="169" t="s">
        <v>12</v>
      </c>
      <c r="I140" s="1000"/>
      <c r="J140" s="1000"/>
      <c r="K140" s="1001"/>
      <c r="L140" s="887">
        <f ca="1">IFERROR(__xludf.DUMMYFUNCTION("IMPORTRANGE(""https://docs.google.com/spreadsheets/d/1MeEWN-I1oV_STSDYn1IFDPWt_1FKiwhDph83XaGc0o0/edit?usp=sharing"",""งบพรบ!BN87"")"),0)</f>
        <v>0</v>
      </c>
      <c r="M140" s="887">
        <f ca="1">IFERROR(__xludf.DUMMYFUNCTION("IMPORTRANGE(""https://docs.google.com/spreadsheets/d/1MeEWN-I1oV_STSDYn1IFDPWt_1FKiwhDph83XaGc0o0/edit?usp=sharing"",""งบพรบ!BQ87"")"),0)</f>
        <v>0</v>
      </c>
      <c r="N140" s="887">
        <f ca="1">IFERROR(__xludf.DUMMYFUNCTION("IMPORTRANGE(""https://docs.google.com/spreadsheets/d/1MeEWN-I1oV_STSDYn1IFDPWt_1FKiwhDph83XaGc0o0/edit?usp=sharing"",""งบพรบ!BS87"")"),0)</f>
        <v>0</v>
      </c>
      <c r="O140" s="887">
        <f t="shared" ca="1" si="70"/>
        <v>0</v>
      </c>
      <c r="P140" s="887">
        <f t="shared" ca="1" si="71"/>
        <v>0</v>
      </c>
      <c r="Q140" s="875"/>
      <c r="R140" s="875"/>
      <c r="S140" s="875"/>
      <c r="T140" s="875"/>
      <c r="U140" s="875"/>
      <c r="V140" s="875"/>
      <c r="W140" s="875"/>
      <c r="X140" s="875"/>
      <c r="Y140" s="875"/>
      <c r="Z140" s="875"/>
    </row>
    <row r="141" spans="1:26" ht="19.5" hidden="1">
      <c r="A141" s="1002"/>
      <c r="B141" s="1003"/>
      <c r="C141" s="987" t="s">
        <v>16</v>
      </c>
      <c r="D141" s="1004" t="s">
        <v>38</v>
      </c>
      <c r="E141" s="1005"/>
      <c r="F141" s="1005"/>
      <c r="G141" s="1006"/>
      <c r="H141" s="168"/>
      <c r="I141" s="880"/>
      <c r="J141" s="880"/>
      <c r="K141" s="881"/>
      <c r="L141" s="881"/>
      <c r="M141" s="881"/>
      <c r="N141" s="881"/>
      <c r="O141" s="881"/>
      <c r="P141" s="881"/>
    </row>
    <row r="142" spans="1:26" ht="19.5" hidden="1">
      <c r="A142" s="995"/>
      <c r="B142" s="877"/>
      <c r="C142" s="1029"/>
      <c r="D142" s="996" t="s">
        <v>71</v>
      </c>
      <c r="E142" s="878"/>
      <c r="F142" s="877"/>
      <c r="G142" s="1030"/>
      <c r="H142" s="168"/>
      <c r="I142" s="880"/>
      <c r="J142" s="1012">
        <v>0</v>
      </c>
      <c r="K142" s="881"/>
      <c r="L142" s="881"/>
      <c r="M142" s="881"/>
      <c r="N142" s="881"/>
      <c r="O142" s="881"/>
      <c r="P142" s="881"/>
    </row>
    <row r="143" spans="1:26" ht="19.5" hidden="1">
      <c r="A143" s="995"/>
      <c r="B143" s="877"/>
      <c r="C143" s="1029"/>
      <c r="D143" s="996" t="s">
        <v>72</v>
      </c>
      <c r="E143" s="878"/>
      <c r="F143" s="877"/>
      <c r="G143" s="1030"/>
      <c r="H143" s="168" t="s">
        <v>35</v>
      </c>
      <c r="I143" s="880">
        <f ca="1">I145</f>
        <v>0</v>
      </c>
      <c r="J143" s="880">
        <f ca="1">IF(AND(J144&gt;=I144,J145&gt;=I145),J145,0)</f>
        <v>0</v>
      </c>
      <c r="K143" s="881">
        <f t="shared" ref="K143:K146" ca="1" si="75">IF(I143&gt;0,J143*100/I143,0)</f>
        <v>0</v>
      </c>
      <c r="L143" s="881"/>
      <c r="M143" s="881"/>
      <c r="N143" s="881"/>
      <c r="O143" s="881"/>
      <c r="P143" s="881"/>
    </row>
    <row r="144" spans="1:26" ht="19.5" hidden="1">
      <c r="A144" s="995"/>
      <c r="B144" s="877"/>
      <c r="C144" s="1029"/>
      <c r="D144" s="1010"/>
      <c r="E144" s="996" t="s">
        <v>73</v>
      </c>
      <c r="F144" s="877"/>
      <c r="G144" s="1030"/>
      <c r="H144" s="168" t="s">
        <v>35</v>
      </c>
      <c r="I144" s="880">
        <f ca="1">IFERROR(__xludf.DUMMYFUNCTION("IMPORTRANGE(""https://docs.google.com/spreadsheets/d/1QqKyyYR6Q21VydFLVH3TRQUabQu_ym0Zz7PgGX0-kHA/edit?usp=sharing"",""แผน!U87"")"),0)</f>
        <v>0</v>
      </c>
      <c r="J144" s="1012">
        <v>0</v>
      </c>
      <c r="K144" s="881">
        <f t="shared" ca="1" si="75"/>
        <v>0</v>
      </c>
      <c r="L144" s="881"/>
      <c r="M144" s="881"/>
      <c r="N144" s="881"/>
      <c r="O144" s="881"/>
      <c r="P144" s="881"/>
    </row>
    <row r="145" spans="1:26" ht="19.5" hidden="1">
      <c r="A145" s="995"/>
      <c r="B145" s="877"/>
      <c r="C145" s="1029"/>
      <c r="D145" s="1010"/>
      <c r="E145" s="996" t="s">
        <v>74</v>
      </c>
      <c r="F145" s="877"/>
      <c r="G145" s="1030"/>
      <c r="H145" s="168" t="s">
        <v>35</v>
      </c>
      <c r="I145" s="880">
        <f ca="1">IFERROR(__xludf.DUMMYFUNCTION("IMPORTRANGE(""https://docs.google.com/spreadsheets/d/1QqKyyYR6Q21VydFLVH3TRQUabQu_ym0Zz7PgGX0-kHA/edit?usp=sharing"",""แผน!V87"")"),0)</f>
        <v>0</v>
      </c>
      <c r="J145" s="1012">
        <v>0</v>
      </c>
      <c r="K145" s="881">
        <f t="shared" ca="1" si="75"/>
        <v>0</v>
      </c>
      <c r="L145" s="881"/>
      <c r="M145" s="881"/>
      <c r="N145" s="881"/>
      <c r="O145" s="881"/>
      <c r="P145" s="881"/>
    </row>
    <row r="146" spans="1:26" ht="19.5" hidden="1">
      <c r="A146" s="995"/>
      <c r="B146" s="877"/>
      <c r="C146" s="1029"/>
      <c r="D146" s="996" t="s">
        <v>75</v>
      </c>
      <c r="E146" s="878"/>
      <c r="F146" s="877"/>
      <c r="G146" s="1030"/>
      <c r="H146" s="168" t="s">
        <v>66</v>
      </c>
      <c r="I146" s="880">
        <f ca="1">IFERROR(__xludf.DUMMYFUNCTION("IMPORTRANGE(""https://docs.google.com/spreadsheets/d/1QqKyyYR6Q21VydFLVH3TRQUabQu_ym0Zz7PgGX0-kHA/edit?usp=sharing"",""แผน!W87"")"),0)</f>
        <v>0</v>
      </c>
      <c r="J146" s="1012">
        <v>0</v>
      </c>
      <c r="K146" s="881">
        <f t="shared" ca="1" si="75"/>
        <v>0</v>
      </c>
      <c r="L146" s="881"/>
      <c r="M146" s="881"/>
      <c r="N146" s="881"/>
      <c r="O146" s="881"/>
      <c r="P146" s="881"/>
    </row>
    <row r="147" spans="1:26" ht="19.5" hidden="1">
      <c r="A147" s="970" t="s">
        <v>76</v>
      </c>
      <c r="B147" s="971"/>
      <c r="C147" s="1022"/>
      <c r="D147" s="971"/>
      <c r="E147" s="971"/>
      <c r="F147" s="971"/>
      <c r="G147" s="971"/>
      <c r="H147" s="1023"/>
      <c r="I147" s="1024"/>
      <c r="J147" s="1024"/>
      <c r="K147" s="1025"/>
      <c r="L147" s="976"/>
      <c r="M147" s="976"/>
      <c r="N147" s="976"/>
      <c r="O147" s="976"/>
      <c r="P147" s="976"/>
    </row>
    <row r="148" spans="1:26" ht="19.5" hidden="1">
      <c r="A148" s="1031"/>
      <c r="B148" s="978" t="s">
        <v>77</v>
      </c>
      <c r="C148" s="978"/>
      <c r="D148" s="978"/>
      <c r="E148" s="1032"/>
      <c r="F148" s="1033"/>
      <c r="G148" s="1034"/>
      <c r="H148" s="221" t="s">
        <v>35</v>
      </c>
      <c r="I148" s="982">
        <f t="shared" ref="I148:J148" ca="1" si="76">I159</f>
        <v>0</v>
      </c>
      <c r="J148" s="982">
        <f t="shared" si="76"/>
        <v>0</v>
      </c>
      <c r="K148" s="983">
        <f ca="1">IF(I148&gt;0,J148*100/I148,0)</f>
        <v>0</v>
      </c>
      <c r="L148" s="983"/>
      <c r="M148" s="983"/>
      <c r="N148" s="983"/>
      <c r="O148" s="983"/>
      <c r="P148" s="98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85"/>
      <c r="B149" s="986"/>
      <c r="C149" s="987" t="s">
        <v>16</v>
      </c>
      <c r="D149" s="988" t="s">
        <v>17</v>
      </c>
      <c r="E149" s="986"/>
      <c r="F149" s="986"/>
      <c r="G149" s="989"/>
      <c r="H149" s="152" t="s">
        <v>12</v>
      </c>
      <c r="I149" s="990"/>
      <c r="J149" s="990"/>
      <c r="K149" s="991"/>
      <c r="L149" s="992">
        <f t="shared" ref="L149:N149" ca="1" si="77">L150+L151</f>
        <v>0</v>
      </c>
      <c r="M149" s="992">
        <f t="shared" ca="1" si="77"/>
        <v>11460</v>
      </c>
      <c r="N149" s="992">
        <f t="shared" ca="1" si="77"/>
        <v>10022</v>
      </c>
      <c r="O149" s="992">
        <f t="shared" ref="O149:O157" ca="1" si="78">IF(L149&gt;0,N149*100/L149,0)</f>
        <v>0</v>
      </c>
      <c r="P149" s="992">
        <f t="shared" ref="P149:P157" ca="1" si="79">IF(M149&gt;0,N149*100/M149,0)</f>
        <v>87.452006980802793</v>
      </c>
      <c r="Q149" s="868"/>
      <c r="R149" s="868"/>
      <c r="S149" s="868"/>
      <c r="T149" s="868"/>
      <c r="U149" s="868"/>
      <c r="V149" s="868"/>
      <c r="W149" s="868"/>
      <c r="X149" s="868"/>
      <c r="Y149" s="868"/>
      <c r="Z149" s="868"/>
    </row>
    <row r="150" spans="1:26" ht="18.75" hidden="1">
      <c r="A150" s="993"/>
      <c r="B150" s="883"/>
      <c r="C150" s="883"/>
      <c r="D150" s="883"/>
      <c r="E150" s="884" t="s">
        <v>18</v>
      </c>
      <c r="F150" s="883"/>
      <c r="G150" s="994"/>
      <c r="H150" s="158" t="s">
        <v>12</v>
      </c>
      <c r="I150" s="886"/>
      <c r="J150" s="886"/>
      <c r="K150" s="887"/>
      <c r="L150" s="887">
        <f t="shared" ref="L150:N151" si="80">L153+L156</f>
        <v>0</v>
      </c>
      <c r="M150" s="887">
        <f t="shared" si="80"/>
        <v>0</v>
      </c>
      <c r="N150" s="887">
        <f t="shared" si="80"/>
        <v>0</v>
      </c>
      <c r="O150" s="887">
        <f t="shared" si="78"/>
        <v>0</v>
      </c>
      <c r="P150" s="887">
        <f t="shared" si="79"/>
        <v>0</v>
      </c>
      <c r="Q150" s="875"/>
      <c r="R150" s="875"/>
      <c r="S150" s="875"/>
      <c r="T150" s="875"/>
      <c r="U150" s="875"/>
      <c r="V150" s="875"/>
      <c r="W150" s="875"/>
      <c r="X150" s="875"/>
      <c r="Y150" s="875"/>
      <c r="Z150" s="875"/>
    </row>
    <row r="151" spans="1:26" ht="18.75" hidden="1">
      <c r="A151" s="993"/>
      <c r="B151" s="883"/>
      <c r="C151" s="883"/>
      <c r="D151" s="883"/>
      <c r="E151" s="884" t="s">
        <v>19</v>
      </c>
      <c r="F151" s="883"/>
      <c r="G151" s="994"/>
      <c r="H151" s="158" t="s">
        <v>12</v>
      </c>
      <c r="I151" s="886"/>
      <c r="J151" s="886"/>
      <c r="K151" s="887"/>
      <c r="L151" s="887">
        <f t="shared" ca="1" si="80"/>
        <v>0</v>
      </c>
      <c r="M151" s="887">
        <f t="shared" ca="1" si="80"/>
        <v>11460</v>
      </c>
      <c r="N151" s="887">
        <f t="shared" ca="1" si="80"/>
        <v>10022</v>
      </c>
      <c r="O151" s="887">
        <f t="shared" ca="1" si="78"/>
        <v>0</v>
      </c>
      <c r="P151" s="887">
        <f t="shared" ca="1" si="79"/>
        <v>87.452006980802793</v>
      </c>
      <c r="Q151" s="875"/>
      <c r="R151" s="875"/>
      <c r="S151" s="875"/>
      <c r="T151" s="875"/>
      <c r="U151" s="875"/>
      <c r="V151" s="875"/>
      <c r="W151" s="875"/>
      <c r="X151" s="875"/>
      <c r="Y151" s="875"/>
      <c r="Z151" s="875"/>
    </row>
    <row r="152" spans="1:26" ht="18.75" hidden="1">
      <c r="A152" s="995"/>
      <c r="B152" s="877"/>
      <c r="C152" s="996"/>
      <c r="D152" s="878" t="s">
        <v>20</v>
      </c>
      <c r="E152" s="877"/>
      <c r="F152" s="877"/>
      <c r="G152" s="879"/>
      <c r="H152" s="161" t="s">
        <v>12</v>
      </c>
      <c r="I152" s="997"/>
      <c r="J152" s="997"/>
      <c r="K152" s="998"/>
      <c r="L152" s="881">
        <f t="shared" ref="L152:N152" ca="1" si="81">L153+L154</f>
        <v>0</v>
      </c>
      <c r="M152" s="881">
        <f t="shared" ca="1" si="81"/>
        <v>11460</v>
      </c>
      <c r="N152" s="881">
        <f t="shared" ca="1" si="81"/>
        <v>10022</v>
      </c>
      <c r="O152" s="881">
        <f t="shared" ca="1" si="78"/>
        <v>0</v>
      </c>
      <c r="P152" s="881">
        <f t="shared" ca="1" si="79"/>
        <v>87.452006980802793</v>
      </c>
      <c r="Q152" s="868"/>
      <c r="R152" s="868"/>
      <c r="S152" s="868"/>
      <c r="T152" s="868"/>
      <c r="U152" s="868"/>
      <c r="V152" s="868"/>
      <c r="W152" s="868"/>
      <c r="X152" s="868"/>
      <c r="Y152" s="868"/>
      <c r="Z152" s="868"/>
    </row>
    <row r="153" spans="1:26" ht="19.5" hidden="1">
      <c r="A153" s="993"/>
      <c r="B153" s="883"/>
      <c r="C153" s="999"/>
      <c r="D153" s="883"/>
      <c r="E153" s="884" t="s">
        <v>36</v>
      </c>
      <c r="F153" s="883"/>
      <c r="G153" s="994"/>
      <c r="H153" s="165" t="s">
        <v>12</v>
      </c>
      <c r="I153" s="1000"/>
      <c r="J153" s="1000"/>
      <c r="K153" s="1001"/>
      <c r="L153" s="887">
        <v>0</v>
      </c>
      <c r="M153" s="887">
        <v>0</v>
      </c>
      <c r="N153" s="887">
        <v>0</v>
      </c>
      <c r="O153" s="887">
        <f t="shared" si="78"/>
        <v>0</v>
      </c>
      <c r="P153" s="887">
        <f t="shared" si="79"/>
        <v>0</v>
      </c>
      <c r="Q153" s="875"/>
      <c r="R153" s="875"/>
      <c r="S153" s="875"/>
      <c r="T153" s="875"/>
      <c r="U153" s="875"/>
      <c r="V153" s="875"/>
      <c r="W153" s="875"/>
      <c r="X153" s="875"/>
      <c r="Y153" s="875"/>
      <c r="Z153" s="875"/>
    </row>
    <row r="154" spans="1:26" ht="19.5" hidden="1">
      <c r="A154" s="993"/>
      <c r="B154" s="883"/>
      <c r="C154" s="999"/>
      <c r="D154" s="883"/>
      <c r="E154" s="884" t="s">
        <v>37</v>
      </c>
      <c r="F154" s="883"/>
      <c r="G154" s="994"/>
      <c r="H154" s="165" t="s">
        <v>12</v>
      </c>
      <c r="I154" s="1000"/>
      <c r="J154" s="1000"/>
      <c r="K154" s="1001"/>
      <c r="L154" s="887">
        <f ca="1">IFERROR(__xludf.DUMMYFUNCTION("IMPORTRANGE(""https://docs.google.com/spreadsheets/d/1MeEWN-I1oV_STSDYn1IFDPWt_1FKiwhDph83XaGc0o0/edit?usp=sharing"",""งบพรบ!BU87"")"),0)</f>
        <v>0</v>
      </c>
      <c r="M154" s="887">
        <f ca="1">IFERROR(__xludf.DUMMYFUNCTION("IMPORTRANGE(""https://docs.google.com/spreadsheets/d/1MeEWN-I1oV_STSDYn1IFDPWt_1FKiwhDph83XaGc0o0/edit?usp=sharing"",""งบพรบ!BZ87"")"),11460)</f>
        <v>11460</v>
      </c>
      <c r="N154" s="887">
        <f ca="1">IFERROR(__xludf.DUMMYFUNCTION("IMPORTRANGE(""https://docs.google.com/spreadsheets/d/1MeEWN-I1oV_STSDYn1IFDPWt_1FKiwhDph83XaGc0o0/edit?usp=sharing"",""งบพรบ!CB87"")"),10022)</f>
        <v>10022</v>
      </c>
      <c r="O154" s="887">
        <f t="shared" ca="1" si="78"/>
        <v>0</v>
      </c>
      <c r="P154" s="887">
        <f t="shared" ca="1" si="79"/>
        <v>87.452006980802793</v>
      </c>
      <c r="Q154" s="875"/>
      <c r="R154" s="875"/>
      <c r="S154" s="875"/>
      <c r="T154" s="875"/>
      <c r="U154" s="875"/>
      <c r="V154" s="875"/>
      <c r="W154" s="875"/>
      <c r="X154" s="875"/>
      <c r="Y154" s="875"/>
      <c r="Z154" s="875"/>
    </row>
    <row r="155" spans="1:26" ht="18.75" hidden="1">
      <c r="A155" s="995"/>
      <c r="B155" s="877"/>
      <c r="C155" s="996"/>
      <c r="D155" s="878" t="s">
        <v>21</v>
      </c>
      <c r="E155" s="877"/>
      <c r="F155" s="877"/>
      <c r="G155" s="879"/>
      <c r="H155" s="168" t="s">
        <v>12</v>
      </c>
      <c r="I155" s="997"/>
      <c r="J155" s="997"/>
      <c r="K155" s="998"/>
      <c r="L155" s="881">
        <f t="shared" ref="L155:N155" ca="1" si="82">L156+L157</f>
        <v>0</v>
      </c>
      <c r="M155" s="881">
        <f t="shared" ca="1" si="82"/>
        <v>0</v>
      </c>
      <c r="N155" s="881">
        <f t="shared" ca="1" si="82"/>
        <v>0</v>
      </c>
      <c r="O155" s="881">
        <f t="shared" ca="1" si="78"/>
        <v>0</v>
      </c>
      <c r="P155" s="881">
        <f t="shared" ca="1" si="79"/>
        <v>0</v>
      </c>
      <c r="Q155" s="868"/>
      <c r="R155" s="868"/>
      <c r="S155" s="868"/>
      <c r="T155" s="868"/>
      <c r="U155" s="868"/>
      <c r="V155" s="868"/>
      <c r="W155" s="868"/>
      <c r="X155" s="868"/>
      <c r="Y155" s="868"/>
      <c r="Z155" s="868"/>
    </row>
    <row r="156" spans="1:26" ht="19.5" hidden="1">
      <c r="A156" s="993"/>
      <c r="B156" s="883"/>
      <c r="C156" s="999"/>
      <c r="D156" s="883"/>
      <c r="E156" s="884" t="s">
        <v>18</v>
      </c>
      <c r="F156" s="883"/>
      <c r="G156" s="994"/>
      <c r="H156" s="165" t="s">
        <v>12</v>
      </c>
      <c r="I156" s="1000"/>
      <c r="J156" s="1000"/>
      <c r="K156" s="1001"/>
      <c r="L156" s="887">
        <v>0</v>
      </c>
      <c r="M156" s="887">
        <v>0</v>
      </c>
      <c r="N156" s="887">
        <v>0</v>
      </c>
      <c r="O156" s="887">
        <f t="shared" si="78"/>
        <v>0</v>
      </c>
      <c r="P156" s="887">
        <f t="shared" si="79"/>
        <v>0</v>
      </c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</row>
    <row r="157" spans="1:26" ht="19.5" hidden="1">
      <c r="A157" s="993"/>
      <c r="B157" s="883"/>
      <c r="C157" s="999"/>
      <c r="D157" s="883"/>
      <c r="E157" s="884" t="s">
        <v>19</v>
      </c>
      <c r="F157" s="883"/>
      <c r="G157" s="994"/>
      <c r="H157" s="169" t="s">
        <v>12</v>
      </c>
      <c r="I157" s="1000"/>
      <c r="J157" s="1000"/>
      <c r="K157" s="1001"/>
      <c r="L157" s="887">
        <f ca="1">IFERROR(__xludf.DUMMYFUNCTION("IMPORTRANGE(""https://docs.google.com/spreadsheets/d/1MeEWN-I1oV_STSDYn1IFDPWt_1FKiwhDph83XaGc0o0/edit?usp=sharing"",""งบพรบ!BX87"")"),0)</f>
        <v>0</v>
      </c>
      <c r="M157" s="887">
        <f ca="1">IFERROR(__xludf.DUMMYFUNCTION("IMPORTRANGE(""https://docs.google.com/spreadsheets/d/1MeEWN-I1oV_STSDYn1IFDPWt_1FKiwhDph83XaGc0o0/edit?usp=sharing"",""งบพรบ!CA87"")"),0)</f>
        <v>0</v>
      </c>
      <c r="N157" s="887">
        <f ca="1">IFERROR(__xludf.DUMMYFUNCTION("IMPORTRANGE(""https://docs.google.com/spreadsheets/d/1MeEWN-I1oV_STSDYn1IFDPWt_1FKiwhDph83XaGc0o0/edit?usp=sharing"",""งบพรบ!CC87"")"),0)</f>
        <v>0</v>
      </c>
      <c r="O157" s="887">
        <f t="shared" ca="1" si="78"/>
        <v>0</v>
      </c>
      <c r="P157" s="887">
        <f t="shared" ca="1" si="79"/>
        <v>0</v>
      </c>
      <c r="Q157" s="875"/>
      <c r="R157" s="875"/>
      <c r="S157" s="875"/>
      <c r="T157" s="875"/>
      <c r="U157" s="875"/>
      <c r="V157" s="875"/>
      <c r="W157" s="875"/>
      <c r="X157" s="875"/>
      <c r="Y157" s="875"/>
      <c r="Z157" s="875"/>
    </row>
    <row r="158" spans="1:26" ht="19.5" hidden="1">
      <c r="A158" s="1002"/>
      <c r="B158" s="1003"/>
      <c r="C158" s="999" t="s">
        <v>16</v>
      </c>
      <c r="D158" s="1004" t="s">
        <v>38</v>
      </c>
      <c r="E158" s="1005"/>
      <c r="F158" s="1005"/>
      <c r="G158" s="1006"/>
      <c r="H158" s="168"/>
      <c r="I158" s="880"/>
      <c r="J158" s="880"/>
      <c r="K158" s="881"/>
      <c r="L158" s="881"/>
      <c r="M158" s="881"/>
      <c r="N158" s="881"/>
      <c r="O158" s="881"/>
      <c r="P158" s="881"/>
    </row>
    <row r="159" spans="1:26" ht="19.5" hidden="1">
      <c r="A159" s="995"/>
      <c r="B159" s="877"/>
      <c r="C159" s="1029"/>
      <c r="D159" s="996" t="s">
        <v>78</v>
      </c>
      <c r="E159" s="878"/>
      <c r="F159" s="877"/>
      <c r="G159" s="1030"/>
      <c r="H159" s="168" t="s">
        <v>35</v>
      </c>
      <c r="I159" s="880">
        <f ca="1">IFERROR(__xludf.DUMMYFUNCTION("IMPORTRANGE(""https://docs.google.com/spreadsheets/d/1QqKyyYR6Q21VydFLVH3TRQUabQu_ym0Zz7PgGX0-kHA/edit?usp=sharing"",""แผน!X87"")"),0)</f>
        <v>0</v>
      </c>
      <c r="J159" s="1012">
        <v>0</v>
      </c>
      <c r="K159" s="881">
        <f ca="1">IF(I159&gt;0,J159*100/I159,0)</f>
        <v>0</v>
      </c>
      <c r="L159" s="881"/>
      <c r="M159" s="881"/>
      <c r="N159" s="881"/>
      <c r="O159" s="881"/>
      <c r="P159" s="881"/>
    </row>
    <row r="160" spans="1:26" ht="19.5" hidden="1">
      <c r="A160" s="993"/>
      <c r="B160" s="883"/>
      <c r="C160" s="999"/>
      <c r="D160" s="884" t="s">
        <v>79</v>
      </c>
      <c r="E160" s="1035"/>
      <c r="F160" s="883"/>
      <c r="G160" s="994"/>
      <c r="H160" s="169" t="s">
        <v>35</v>
      </c>
      <c r="I160" s="886"/>
      <c r="J160" s="886"/>
      <c r="K160" s="887"/>
      <c r="L160" s="887"/>
      <c r="M160" s="887"/>
      <c r="N160" s="887"/>
      <c r="O160" s="887"/>
      <c r="P160" s="88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232" t="s">
        <v>35</v>
      </c>
      <c r="I161" s="1042"/>
      <c r="J161" s="1042"/>
      <c r="K161" s="1043"/>
      <c r="L161" s="1043"/>
      <c r="M161" s="1043"/>
      <c r="N161" s="1043"/>
      <c r="O161" s="1043"/>
      <c r="P161" s="104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44" t="s">
        <v>81</v>
      </c>
      <c r="B162" s="1045"/>
      <c r="C162" s="1045"/>
      <c r="D162" s="1045"/>
      <c r="E162" s="1046"/>
      <c r="F162" s="1046"/>
      <c r="G162" s="1047"/>
      <c r="H162" s="1048"/>
      <c r="I162" s="1049"/>
      <c r="J162" s="1049"/>
      <c r="K162" s="1050"/>
      <c r="L162" s="1050"/>
      <c r="M162" s="1050"/>
      <c r="N162" s="1050"/>
      <c r="O162" s="1050"/>
      <c r="P162" s="1050"/>
    </row>
    <row r="163" spans="1:26" ht="19.5">
      <c r="A163" s="1051" t="s">
        <v>82</v>
      </c>
      <c r="B163" s="1052"/>
      <c r="C163" s="1052"/>
      <c r="D163" s="1053"/>
      <c r="E163" s="1053"/>
      <c r="F163" s="1053"/>
      <c r="G163" s="1054"/>
      <c r="H163" s="1055"/>
      <c r="I163" s="1056"/>
      <c r="J163" s="1056"/>
      <c r="K163" s="1057"/>
      <c r="L163" s="1057"/>
      <c r="M163" s="1057"/>
      <c r="N163" s="1057"/>
      <c r="O163" s="1057"/>
      <c r="P163" s="1057"/>
    </row>
    <row r="164" spans="1:26" ht="19.5">
      <c r="A164" s="1058"/>
      <c r="B164" s="1059" t="s">
        <v>83</v>
      </c>
      <c r="C164" s="1060"/>
      <c r="D164" s="1005"/>
      <c r="E164" s="1005"/>
      <c r="F164" s="1005"/>
      <c r="G164" s="1006"/>
      <c r="H164" s="252" t="s">
        <v>35</v>
      </c>
      <c r="I164" s="1075">
        <f t="shared" ref="I164:J164" ca="1" si="83">I174+I177</f>
        <v>12</v>
      </c>
      <c r="J164" s="1075">
        <f t="shared" si="83"/>
        <v>12</v>
      </c>
      <c r="K164" s="1076">
        <f ca="1">IF(I164&gt;0,J164*100/I164,0)</f>
        <v>100</v>
      </c>
      <c r="L164" s="1062"/>
      <c r="M164" s="1062"/>
      <c r="N164" s="1062"/>
      <c r="O164" s="1062"/>
      <c r="P164" s="1062"/>
    </row>
    <row r="165" spans="1:26" ht="19.5">
      <c r="A165" s="985"/>
      <c r="B165" s="986"/>
      <c r="C165" s="987" t="s">
        <v>16</v>
      </c>
      <c r="D165" s="988" t="s">
        <v>17</v>
      </c>
      <c r="E165" s="986"/>
      <c r="F165" s="986"/>
      <c r="G165" s="989"/>
      <c r="H165" s="152" t="s">
        <v>12</v>
      </c>
      <c r="I165" s="990"/>
      <c r="J165" s="990"/>
      <c r="K165" s="991"/>
      <c r="L165" s="992">
        <f t="shared" ref="L165:N165" ca="1" si="84">L166+L167</f>
        <v>23060</v>
      </c>
      <c r="M165" s="992">
        <f t="shared" ca="1" si="84"/>
        <v>43770</v>
      </c>
      <c r="N165" s="992">
        <f t="shared" ca="1" si="84"/>
        <v>43770</v>
      </c>
      <c r="O165" s="992">
        <f t="shared" ref="O165:O173" ca="1" si="85">IF(L165&gt;0,N165*100/L165,0)</f>
        <v>189.80919340849957</v>
      </c>
      <c r="P165" s="992">
        <f t="shared" ref="P165:P173" ca="1" si="86">IF(M165&gt;0,N165*100/M165,0)</f>
        <v>100</v>
      </c>
      <c r="Q165" s="868"/>
      <c r="R165" s="868"/>
      <c r="S165" s="868"/>
      <c r="T165" s="868"/>
      <c r="U165" s="868"/>
      <c r="V165" s="868"/>
      <c r="W165" s="868"/>
      <c r="X165" s="868"/>
      <c r="Y165" s="868"/>
      <c r="Z165" s="868"/>
    </row>
    <row r="166" spans="1:26" ht="18.75" hidden="1">
      <c r="A166" s="993"/>
      <c r="B166" s="883"/>
      <c r="C166" s="883"/>
      <c r="D166" s="883"/>
      <c r="E166" s="884" t="s">
        <v>18</v>
      </c>
      <c r="F166" s="883"/>
      <c r="G166" s="994"/>
      <c r="H166" s="158" t="s">
        <v>12</v>
      </c>
      <c r="I166" s="886"/>
      <c r="J166" s="886"/>
      <c r="K166" s="887"/>
      <c r="L166" s="887">
        <f t="shared" ref="L166:N167" si="87">L169+L172</f>
        <v>0</v>
      </c>
      <c r="M166" s="887">
        <f t="shared" si="87"/>
        <v>0</v>
      </c>
      <c r="N166" s="887">
        <f t="shared" si="87"/>
        <v>0</v>
      </c>
      <c r="O166" s="887">
        <f t="shared" si="85"/>
        <v>0</v>
      </c>
      <c r="P166" s="887">
        <f t="shared" si="86"/>
        <v>0</v>
      </c>
      <c r="Q166" s="875"/>
      <c r="R166" s="875"/>
      <c r="S166" s="875"/>
      <c r="T166" s="875"/>
      <c r="U166" s="875"/>
      <c r="V166" s="875"/>
      <c r="W166" s="875"/>
      <c r="X166" s="875"/>
      <c r="Y166" s="875"/>
      <c r="Z166" s="875"/>
    </row>
    <row r="167" spans="1:26" ht="18.75" hidden="1">
      <c r="A167" s="993"/>
      <c r="B167" s="883"/>
      <c r="C167" s="883"/>
      <c r="D167" s="883"/>
      <c r="E167" s="884" t="s">
        <v>19</v>
      </c>
      <c r="F167" s="883"/>
      <c r="G167" s="994"/>
      <c r="H167" s="158" t="s">
        <v>12</v>
      </c>
      <c r="I167" s="886"/>
      <c r="J167" s="886"/>
      <c r="K167" s="887"/>
      <c r="L167" s="887">
        <f t="shared" ca="1" si="87"/>
        <v>23060</v>
      </c>
      <c r="M167" s="887">
        <f t="shared" ca="1" si="87"/>
        <v>43770</v>
      </c>
      <c r="N167" s="887">
        <f t="shared" ca="1" si="87"/>
        <v>43770</v>
      </c>
      <c r="O167" s="887">
        <f t="shared" ca="1" si="85"/>
        <v>189.80919340849957</v>
      </c>
      <c r="P167" s="887">
        <f t="shared" ca="1" si="86"/>
        <v>100</v>
      </c>
      <c r="Q167" s="875"/>
      <c r="R167" s="875"/>
      <c r="S167" s="875"/>
      <c r="T167" s="875"/>
      <c r="U167" s="875"/>
      <c r="V167" s="875"/>
      <c r="W167" s="875"/>
      <c r="X167" s="875"/>
      <c r="Y167" s="875"/>
      <c r="Z167" s="875"/>
    </row>
    <row r="168" spans="1:26" ht="18.75">
      <c r="A168" s="995"/>
      <c r="B168" s="877"/>
      <c r="C168" s="996"/>
      <c r="D168" s="878" t="s">
        <v>20</v>
      </c>
      <c r="E168" s="877"/>
      <c r="F168" s="877"/>
      <c r="G168" s="879"/>
      <c r="H168" s="161" t="s">
        <v>12</v>
      </c>
      <c r="I168" s="997"/>
      <c r="J168" s="997"/>
      <c r="K168" s="998"/>
      <c r="L168" s="881">
        <f t="shared" ref="L168:N168" ca="1" si="88">L169+L170</f>
        <v>23060</v>
      </c>
      <c r="M168" s="881">
        <f t="shared" ca="1" si="88"/>
        <v>43770</v>
      </c>
      <c r="N168" s="881">
        <f t="shared" ca="1" si="88"/>
        <v>43770</v>
      </c>
      <c r="O168" s="881">
        <f t="shared" ca="1" si="85"/>
        <v>189.80919340849957</v>
      </c>
      <c r="P168" s="881">
        <f t="shared" ca="1" si="86"/>
        <v>100</v>
      </c>
      <c r="Q168" s="868"/>
      <c r="R168" s="868"/>
      <c r="S168" s="868"/>
      <c r="T168" s="868"/>
      <c r="U168" s="868"/>
      <c r="V168" s="868"/>
      <c r="W168" s="868"/>
      <c r="X168" s="868"/>
      <c r="Y168" s="868"/>
      <c r="Z168" s="868"/>
    </row>
    <row r="169" spans="1:26" ht="19.5" hidden="1">
      <c r="A169" s="993"/>
      <c r="B169" s="883"/>
      <c r="C169" s="999"/>
      <c r="D169" s="883"/>
      <c r="E169" s="884" t="s">
        <v>36</v>
      </c>
      <c r="F169" s="883"/>
      <c r="G169" s="994"/>
      <c r="H169" s="165" t="s">
        <v>12</v>
      </c>
      <c r="I169" s="1000"/>
      <c r="J169" s="1000"/>
      <c r="K169" s="1001"/>
      <c r="L169" s="887">
        <v>0</v>
      </c>
      <c r="M169" s="887">
        <v>0</v>
      </c>
      <c r="N169" s="887">
        <v>0</v>
      </c>
      <c r="O169" s="887">
        <f t="shared" si="85"/>
        <v>0</v>
      </c>
      <c r="P169" s="887">
        <f t="shared" si="86"/>
        <v>0</v>
      </c>
      <c r="Q169" s="875"/>
      <c r="R169" s="875"/>
      <c r="S169" s="875"/>
      <c r="T169" s="875"/>
      <c r="U169" s="875"/>
      <c r="V169" s="875"/>
      <c r="W169" s="875"/>
      <c r="X169" s="875"/>
      <c r="Y169" s="875"/>
      <c r="Z169" s="875"/>
    </row>
    <row r="170" spans="1:26" ht="19.5" hidden="1">
      <c r="A170" s="993"/>
      <c r="B170" s="883"/>
      <c r="C170" s="999"/>
      <c r="D170" s="883"/>
      <c r="E170" s="884" t="s">
        <v>37</v>
      </c>
      <c r="F170" s="883"/>
      <c r="G170" s="994"/>
      <c r="H170" s="165" t="s">
        <v>12</v>
      </c>
      <c r="I170" s="1000"/>
      <c r="J170" s="1000"/>
      <c r="K170" s="1001"/>
      <c r="L170" s="887">
        <f ca="1">IFERROR(__xludf.DUMMYFUNCTION("IMPORTRANGE(""https://docs.google.com/spreadsheets/d/1MeEWN-I1oV_STSDYn1IFDPWt_1FKiwhDph83XaGc0o0/edit?usp=sharing"",""งบพรบ!CE87"")"),23060)</f>
        <v>23060</v>
      </c>
      <c r="M170" s="887">
        <f ca="1">IFERROR(__xludf.DUMMYFUNCTION("IMPORTRANGE(""https://docs.google.com/spreadsheets/d/1MeEWN-I1oV_STSDYn1IFDPWt_1FKiwhDph83XaGc0o0/edit?usp=sharing"",""งบพรบ!CJ87"")"),43770)</f>
        <v>43770</v>
      </c>
      <c r="N170" s="887">
        <f ca="1">IFERROR(__xludf.DUMMYFUNCTION("IMPORTRANGE(""https://docs.google.com/spreadsheets/d/1MeEWN-I1oV_STSDYn1IFDPWt_1FKiwhDph83XaGc0o0/edit?usp=sharing"",""งบพรบ!CL87"")"),43770)</f>
        <v>43770</v>
      </c>
      <c r="O170" s="887">
        <f t="shared" ca="1" si="85"/>
        <v>189.80919340849957</v>
      </c>
      <c r="P170" s="887">
        <f t="shared" ca="1" si="86"/>
        <v>100</v>
      </c>
      <c r="Q170" s="875"/>
      <c r="R170" s="875"/>
      <c r="S170" s="875"/>
      <c r="T170" s="875"/>
      <c r="U170" s="875"/>
      <c r="V170" s="875"/>
      <c r="W170" s="875"/>
      <c r="X170" s="875"/>
      <c r="Y170" s="875"/>
      <c r="Z170" s="875"/>
    </row>
    <row r="171" spans="1:26" ht="18.75">
      <c r="A171" s="995"/>
      <c r="B171" s="877"/>
      <c r="C171" s="996"/>
      <c r="D171" s="878" t="s">
        <v>21</v>
      </c>
      <c r="E171" s="877"/>
      <c r="F171" s="877"/>
      <c r="G171" s="879"/>
      <c r="H171" s="168" t="s">
        <v>12</v>
      </c>
      <c r="I171" s="997"/>
      <c r="J171" s="997"/>
      <c r="K171" s="998"/>
      <c r="L171" s="881">
        <f t="shared" ref="L171:N171" ca="1" si="89">L172+L173</f>
        <v>0</v>
      </c>
      <c r="M171" s="881">
        <f t="shared" ca="1" si="89"/>
        <v>0</v>
      </c>
      <c r="N171" s="881">
        <f t="shared" ca="1" si="89"/>
        <v>0</v>
      </c>
      <c r="O171" s="881">
        <f t="shared" ca="1" si="85"/>
        <v>0</v>
      </c>
      <c r="P171" s="881">
        <f t="shared" ca="1" si="86"/>
        <v>0</v>
      </c>
      <c r="Q171" s="868"/>
      <c r="R171" s="868"/>
      <c r="S171" s="868"/>
      <c r="T171" s="868"/>
      <c r="U171" s="868"/>
      <c r="V171" s="868"/>
      <c r="W171" s="868"/>
      <c r="X171" s="868"/>
      <c r="Y171" s="868"/>
      <c r="Z171" s="868"/>
    </row>
    <row r="172" spans="1:26" ht="19.5" hidden="1">
      <c r="A172" s="993"/>
      <c r="B172" s="883"/>
      <c r="C172" s="999"/>
      <c r="D172" s="883"/>
      <c r="E172" s="884" t="s">
        <v>18</v>
      </c>
      <c r="F172" s="883"/>
      <c r="G172" s="994"/>
      <c r="H172" s="165" t="s">
        <v>12</v>
      </c>
      <c r="I172" s="1000"/>
      <c r="J172" s="1000"/>
      <c r="K172" s="1001"/>
      <c r="L172" s="887">
        <v>0</v>
      </c>
      <c r="M172" s="887">
        <v>0</v>
      </c>
      <c r="N172" s="887">
        <v>0</v>
      </c>
      <c r="O172" s="887">
        <f t="shared" si="85"/>
        <v>0</v>
      </c>
      <c r="P172" s="887">
        <f t="shared" si="86"/>
        <v>0</v>
      </c>
      <c r="Q172" s="875"/>
      <c r="R172" s="875"/>
      <c r="S172" s="875"/>
      <c r="T172" s="875"/>
      <c r="U172" s="875"/>
      <c r="V172" s="875"/>
      <c r="W172" s="875"/>
      <c r="X172" s="875"/>
      <c r="Y172" s="875"/>
      <c r="Z172" s="875"/>
    </row>
    <row r="173" spans="1:26" ht="19.5" hidden="1">
      <c r="A173" s="993"/>
      <c r="B173" s="883"/>
      <c r="C173" s="999"/>
      <c r="D173" s="883"/>
      <c r="E173" s="884" t="s">
        <v>19</v>
      </c>
      <c r="F173" s="883"/>
      <c r="G173" s="994"/>
      <c r="H173" s="169" t="s">
        <v>12</v>
      </c>
      <c r="I173" s="1000"/>
      <c r="J173" s="1000"/>
      <c r="K173" s="1001"/>
      <c r="L173" s="887">
        <f ca="1">IFERROR(__xludf.DUMMYFUNCTION("IMPORTRANGE(""https://docs.google.com/spreadsheets/d/1MeEWN-I1oV_STSDYn1IFDPWt_1FKiwhDph83XaGc0o0/edit?usp=sharing"",""งบพรบ!CH87"")"),0)</f>
        <v>0</v>
      </c>
      <c r="M173" s="887">
        <f ca="1">IFERROR(__xludf.DUMMYFUNCTION("IMPORTRANGE(""https://docs.google.com/spreadsheets/d/1MeEWN-I1oV_STSDYn1IFDPWt_1FKiwhDph83XaGc0o0/edit?usp=sharing"",""งบพรบ!CK87"")"),0)</f>
        <v>0</v>
      </c>
      <c r="N173" s="887">
        <f ca="1">IFERROR(__xludf.DUMMYFUNCTION("IMPORTRANGE(""https://docs.google.com/spreadsheets/d/1MeEWN-I1oV_STSDYn1IFDPWt_1FKiwhDph83XaGc0o0/edit?usp=sharing"",""งบพรบ!CM87"")"),0)</f>
        <v>0</v>
      </c>
      <c r="O173" s="887">
        <f t="shared" ca="1" si="85"/>
        <v>0</v>
      </c>
      <c r="P173" s="887">
        <f t="shared" ca="1" si="86"/>
        <v>0</v>
      </c>
      <c r="Q173" s="875"/>
      <c r="R173" s="875"/>
      <c r="S173" s="875"/>
      <c r="T173" s="875"/>
      <c r="U173" s="875"/>
      <c r="V173" s="875"/>
      <c r="W173" s="875"/>
      <c r="X173" s="875"/>
      <c r="Y173" s="875"/>
      <c r="Z173" s="875"/>
    </row>
    <row r="174" spans="1:26" ht="19.5">
      <c r="A174" s="1063"/>
      <c r="B174" s="1064"/>
      <c r="C174" s="1065" t="s">
        <v>84</v>
      </c>
      <c r="D174" s="1064"/>
      <c r="E174" s="1064"/>
      <c r="F174" s="1064"/>
      <c r="G174" s="1066"/>
      <c r="H174" s="260" t="s">
        <v>35</v>
      </c>
      <c r="I174" s="1067">
        <f t="shared" ref="I174:J174" ca="1" si="90">I176</f>
        <v>12</v>
      </c>
      <c r="J174" s="1067">
        <f t="shared" si="90"/>
        <v>12</v>
      </c>
      <c r="K174" s="1068">
        <f ca="1">IF(I174&gt;0,J174*100/I174,0)</f>
        <v>100</v>
      </c>
      <c r="L174" s="1068"/>
      <c r="M174" s="1068"/>
      <c r="N174" s="1068"/>
      <c r="O174" s="1068"/>
      <c r="P174" s="1068"/>
    </row>
    <row r="175" spans="1:26" ht="19.5">
      <c r="A175" s="1002"/>
      <c r="B175" s="1003"/>
      <c r="C175" s="999" t="s">
        <v>16</v>
      </c>
      <c r="D175" s="1004" t="s">
        <v>38</v>
      </c>
      <c r="E175" s="1005"/>
      <c r="F175" s="1005"/>
      <c r="G175" s="1006"/>
      <c r="H175" s="1007"/>
      <c r="I175" s="997"/>
      <c r="J175" s="997"/>
      <c r="K175" s="998"/>
      <c r="L175" s="998"/>
      <c r="M175" s="998"/>
      <c r="N175" s="998"/>
      <c r="O175" s="998"/>
      <c r="P175" s="998"/>
    </row>
    <row r="176" spans="1:26" ht="18.75">
      <c r="A176" s="1002"/>
      <c r="B176" s="1003"/>
      <c r="C176" s="1003"/>
      <c r="D176" s="1069" t="s">
        <v>85</v>
      </c>
      <c r="E176" s="1010"/>
      <c r="F176" s="1010"/>
      <c r="G176" s="1011"/>
      <c r="H176" s="622" t="s">
        <v>35</v>
      </c>
      <c r="I176" s="880">
        <f ca="1">IFERROR(__xludf.DUMMYFUNCTION("IMPORTRANGE(""https://docs.google.com/spreadsheets/d/1QqKyyYR6Q21VydFLVH3TRQUabQu_ym0Zz7PgGX0-kHA/edit?usp=sharing"",""แผน!Y87"")"),12)</f>
        <v>12</v>
      </c>
      <c r="J176" s="1012">
        <v>12</v>
      </c>
      <c r="K176" s="998">
        <f ca="1">IF(I176&gt;0,J176*100/I176,0)</f>
        <v>100</v>
      </c>
      <c r="L176" s="998"/>
      <c r="M176" s="998"/>
      <c r="N176" s="998"/>
      <c r="O176" s="998"/>
      <c r="P176" s="998"/>
    </row>
    <row r="177" spans="1:26" ht="19.5" hidden="1">
      <c r="A177" s="1063"/>
      <c r="B177" s="1070"/>
      <c r="C177" s="1071" t="s">
        <v>86</v>
      </c>
      <c r="D177" s="1070"/>
      <c r="E177" s="1064"/>
      <c r="F177" s="1064"/>
      <c r="G177" s="1066"/>
      <c r="H177" s="266" t="s">
        <v>35</v>
      </c>
      <c r="I177" s="1067"/>
      <c r="J177" s="1067">
        <f>J179</f>
        <v>0</v>
      </c>
      <c r="K177" s="1068"/>
      <c r="L177" s="1068"/>
      <c r="M177" s="1068"/>
      <c r="N177" s="1068"/>
      <c r="O177" s="1068"/>
      <c r="P177" s="1068"/>
    </row>
    <row r="178" spans="1:26" ht="19.5" hidden="1">
      <c r="A178" s="1002"/>
      <c r="B178" s="1003"/>
      <c r="C178" s="999" t="s">
        <v>16</v>
      </c>
      <c r="D178" s="1072" t="s">
        <v>38</v>
      </c>
      <c r="E178" s="1005"/>
      <c r="F178" s="1005"/>
      <c r="G178" s="1006"/>
      <c r="H178" s="1007"/>
      <c r="I178" s="997"/>
      <c r="J178" s="997"/>
      <c r="K178" s="998"/>
      <c r="L178" s="998"/>
      <c r="M178" s="998"/>
      <c r="N178" s="998"/>
      <c r="O178" s="998"/>
      <c r="P178" s="998"/>
    </row>
    <row r="179" spans="1:26" ht="18.75" hidden="1">
      <c r="A179" s="1002"/>
      <c r="B179" s="1003"/>
      <c r="C179" s="1003"/>
      <c r="D179" s="1073" t="s">
        <v>87</v>
      </c>
      <c r="E179" s="1010"/>
      <c r="F179" s="1074"/>
      <c r="G179" s="1011"/>
      <c r="H179" s="43" t="s">
        <v>35</v>
      </c>
      <c r="I179" s="880"/>
      <c r="J179" s="880"/>
      <c r="K179" s="998"/>
      <c r="L179" s="998"/>
      <c r="M179" s="998"/>
      <c r="N179" s="998"/>
      <c r="O179" s="998"/>
      <c r="P179" s="998"/>
    </row>
    <row r="180" spans="1:26" ht="19.5">
      <c r="A180" s="1058"/>
      <c r="B180" s="1059" t="s">
        <v>88</v>
      </c>
      <c r="C180" s="1060"/>
      <c r="D180" s="1005"/>
      <c r="E180" s="1005"/>
      <c r="F180" s="1005"/>
      <c r="G180" s="1006"/>
      <c r="H180" s="252" t="s">
        <v>35</v>
      </c>
      <c r="I180" s="1075" t="e">
        <f t="shared" ref="I180:J180" ca="1" si="91">I225+I226</f>
        <v>#VALUE!</v>
      </c>
      <c r="J180" s="1075">
        <f t="shared" si="91"/>
        <v>0</v>
      </c>
      <c r="K180" s="1076" t="e">
        <f ca="1">IF(I180&gt;0,J180*100/I180,0)</f>
        <v>#VALUE!</v>
      </c>
      <c r="L180" s="1062"/>
      <c r="M180" s="1062"/>
      <c r="N180" s="1062"/>
      <c r="O180" s="1062"/>
      <c r="P180" s="1062"/>
    </row>
    <row r="181" spans="1:26" ht="19.5">
      <c r="A181" s="985"/>
      <c r="B181" s="986"/>
      <c r="C181" s="987" t="s">
        <v>16</v>
      </c>
      <c r="D181" s="988" t="s">
        <v>17</v>
      </c>
      <c r="E181" s="986"/>
      <c r="F181" s="986"/>
      <c r="G181" s="989"/>
      <c r="H181" s="152" t="s">
        <v>12</v>
      </c>
      <c r="I181" s="990"/>
      <c r="J181" s="990"/>
      <c r="K181" s="991"/>
      <c r="L181" s="992">
        <f t="shared" ref="L181:N181" ca="1" si="92">L182+L183</f>
        <v>38200</v>
      </c>
      <c r="M181" s="992">
        <f t="shared" ca="1" si="92"/>
        <v>33500</v>
      </c>
      <c r="N181" s="992">
        <f t="shared" ca="1" si="92"/>
        <v>26860</v>
      </c>
      <c r="O181" s="992">
        <f t="shared" ref="O181:O189" ca="1" si="93">IF(L181&gt;0,N181*100/L181,0)</f>
        <v>70.314136125654457</v>
      </c>
      <c r="P181" s="992">
        <f t="shared" ref="P181:P189" ca="1" si="94">IF(M181&gt;0,N181*100/M181,0)</f>
        <v>80.179104477611943</v>
      </c>
      <c r="Q181" s="868"/>
      <c r="R181" s="868"/>
      <c r="S181" s="868"/>
      <c r="T181" s="868"/>
      <c r="U181" s="868"/>
      <c r="V181" s="868"/>
      <c r="W181" s="868"/>
      <c r="X181" s="868"/>
      <c r="Y181" s="868"/>
      <c r="Z181" s="868"/>
    </row>
    <row r="182" spans="1:26" ht="18.75" hidden="1">
      <c r="A182" s="993"/>
      <c r="B182" s="883"/>
      <c r="C182" s="883"/>
      <c r="D182" s="883"/>
      <c r="E182" s="884" t="s">
        <v>18</v>
      </c>
      <c r="F182" s="883"/>
      <c r="G182" s="994"/>
      <c r="H182" s="158" t="s">
        <v>12</v>
      </c>
      <c r="I182" s="886"/>
      <c r="J182" s="886"/>
      <c r="K182" s="887"/>
      <c r="L182" s="887">
        <f t="shared" ref="L182:N183" si="95">L185+L188</f>
        <v>0</v>
      </c>
      <c r="M182" s="887">
        <f t="shared" si="95"/>
        <v>0</v>
      </c>
      <c r="N182" s="887">
        <f t="shared" si="95"/>
        <v>0</v>
      </c>
      <c r="O182" s="887">
        <f t="shared" si="93"/>
        <v>0</v>
      </c>
      <c r="P182" s="887">
        <f t="shared" si="94"/>
        <v>0</v>
      </c>
      <c r="Q182" s="875"/>
      <c r="R182" s="875"/>
      <c r="S182" s="875"/>
      <c r="T182" s="875"/>
      <c r="U182" s="875"/>
      <c r="V182" s="875"/>
      <c r="W182" s="875"/>
      <c r="X182" s="875"/>
      <c r="Y182" s="875"/>
      <c r="Z182" s="875"/>
    </row>
    <row r="183" spans="1:26" ht="18.75" hidden="1">
      <c r="A183" s="993"/>
      <c r="B183" s="883"/>
      <c r="C183" s="883"/>
      <c r="D183" s="883"/>
      <c r="E183" s="884" t="s">
        <v>19</v>
      </c>
      <c r="F183" s="883"/>
      <c r="G183" s="994"/>
      <c r="H183" s="158" t="s">
        <v>12</v>
      </c>
      <c r="I183" s="886"/>
      <c r="J183" s="886"/>
      <c r="K183" s="887"/>
      <c r="L183" s="887">
        <f t="shared" ca="1" si="95"/>
        <v>38200</v>
      </c>
      <c r="M183" s="887">
        <f t="shared" ca="1" si="95"/>
        <v>33500</v>
      </c>
      <c r="N183" s="887">
        <f t="shared" ca="1" si="95"/>
        <v>26860</v>
      </c>
      <c r="O183" s="887">
        <f t="shared" ca="1" si="93"/>
        <v>70.314136125654457</v>
      </c>
      <c r="P183" s="887">
        <f t="shared" ca="1" si="94"/>
        <v>80.179104477611943</v>
      </c>
      <c r="Q183" s="875"/>
      <c r="R183" s="875"/>
      <c r="S183" s="875"/>
      <c r="T183" s="875"/>
      <c r="U183" s="875"/>
      <c r="V183" s="875"/>
      <c r="W183" s="875"/>
      <c r="X183" s="875"/>
      <c r="Y183" s="875"/>
      <c r="Z183" s="875"/>
    </row>
    <row r="184" spans="1:26" ht="18.75">
      <c r="A184" s="995"/>
      <c r="B184" s="877"/>
      <c r="C184" s="996"/>
      <c r="D184" s="878" t="s">
        <v>20</v>
      </c>
      <c r="E184" s="877"/>
      <c r="F184" s="877"/>
      <c r="G184" s="879"/>
      <c r="H184" s="161" t="s">
        <v>12</v>
      </c>
      <c r="I184" s="997"/>
      <c r="J184" s="997"/>
      <c r="K184" s="998"/>
      <c r="L184" s="881">
        <f t="shared" ref="L184:N184" ca="1" si="96">L185+L186</f>
        <v>38200</v>
      </c>
      <c r="M184" s="881">
        <f t="shared" ca="1" si="96"/>
        <v>33500</v>
      </c>
      <c r="N184" s="881">
        <f t="shared" ca="1" si="96"/>
        <v>26860</v>
      </c>
      <c r="O184" s="881">
        <f t="shared" ca="1" si="93"/>
        <v>70.314136125654457</v>
      </c>
      <c r="P184" s="881">
        <f t="shared" ca="1" si="94"/>
        <v>80.179104477611943</v>
      </c>
      <c r="Q184" s="868"/>
      <c r="R184" s="868"/>
      <c r="S184" s="868"/>
      <c r="T184" s="868"/>
      <c r="U184" s="868"/>
      <c r="V184" s="868"/>
      <c r="W184" s="868"/>
      <c r="X184" s="868"/>
      <c r="Y184" s="868"/>
      <c r="Z184" s="868"/>
    </row>
    <row r="185" spans="1:26" ht="19.5" hidden="1">
      <c r="A185" s="993"/>
      <c r="B185" s="883"/>
      <c r="C185" s="999"/>
      <c r="D185" s="883"/>
      <c r="E185" s="884" t="s">
        <v>36</v>
      </c>
      <c r="F185" s="883"/>
      <c r="G185" s="994"/>
      <c r="H185" s="165" t="s">
        <v>12</v>
      </c>
      <c r="I185" s="1000"/>
      <c r="J185" s="1000"/>
      <c r="K185" s="1001"/>
      <c r="L185" s="887">
        <v>0</v>
      </c>
      <c r="M185" s="887">
        <v>0</v>
      </c>
      <c r="N185" s="887">
        <v>0</v>
      </c>
      <c r="O185" s="887">
        <f t="shared" si="93"/>
        <v>0</v>
      </c>
      <c r="P185" s="887">
        <f t="shared" si="94"/>
        <v>0</v>
      </c>
      <c r="Q185" s="875"/>
      <c r="R185" s="875"/>
      <c r="S185" s="875"/>
      <c r="T185" s="875"/>
      <c r="U185" s="875"/>
      <c r="V185" s="875"/>
      <c r="W185" s="875"/>
      <c r="X185" s="875"/>
      <c r="Y185" s="875"/>
      <c r="Z185" s="875"/>
    </row>
    <row r="186" spans="1:26" ht="19.5" hidden="1">
      <c r="A186" s="993"/>
      <c r="B186" s="883"/>
      <c r="C186" s="999"/>
      <c r="D186" s="883"/>
      <c r="E186" s="884" t="s">
        <v>37</v>
      </c>
      <c r="F186" s="883"/>
      <c r="G186" s="994"/>
      <c r="H186" s="165" t="s">
        <v>12</v>
      </c>
      <c r="I186" s="1000"/>
      <c r="J186" s="1000"/>
      <c r="K186" s="1001"/>
      <c r="L186" s="887">
        <f ca="1">IFERROR(__xludf.DUMMYFUNCTION("IMPORTRANGE(""https://docs.google.com/spreadsheets/d/1MeEWN-I1oV_STSDYn1IFDPWt_1FKiwhDph83XaGc0o0/edit?usp=sharing"",""งบพรบ!CO87"")"),38200)</f>
        <v>38200</v>
      </c>
      <c r="M186" s="887">
        <f ca="1">IFERROR(__xludf.DUMMYFUNCTION("IMPORTRANGE(""https://docs.google.com/spreadsheets/d/1MeEWN-I1oV_STSDYn1IFDPWt_1FKiwhDph83XaGc0o0/edit?usp=sharing"",""งบพรบ!CT87"")"),33500)</f>
        <v>33500</v>
      </c>
      <c r="N186" s="887">
        <f ca="1">IFERROR(__xludf.DUMMYFUNCTION("IMPORTRANGE(""https://docs.google.com/spreadsheets/d/1MeEWN-I1oV_STSDYn1IFDPWt_1FKiwhDph83XaGc0o0/edit?usp=sharing"",""งบพรบ!CV87"")"),26860)</f>
        <v>26860</v>
      </c>
      <c r="O186" s="887">
        <f t="shared" ca="1" si="93"/>
        <v>70.314136125654457</v>
      </c>
      <c r="P186" s="887">
        <f t="shared" ca="1" si="94"/>
        <v>80.179104477611943</v>
      </c>
      <c r="Q186" s="875"/>
      <c r="R186" s="875"/>
      <c r="S186" s="875"/>
      <c r="T186" s="875"/>
      <c r="U186" s="875"/>
      <c r="V186" s="875"/>
      <c r="W186" s="875"/>
      <c r="X186" s="875"/>
      <c r="Y186" s="875"/>
      <c r="Z186" s="875"/>
    </row>
    <row r="187" spans="1:26" ht="18.75">
      <c r="A187" s="995"/>
      <c r="B187" s="877"/>
      <c r="C187" s="996"/>
      <c r="D187" s="878" t="s">
        <v>21</v>
      </c>
      <c r="E187" s="877"/>
      <c r="F187" s="877"/>
      <c r="G187" s="879"/>
      <c r="H187" s="168" t="s">
        <v>12</v>
      </c>
      <c r="I187" s="997"/>
      <c r="J187" s="997"/>
      <c r="K187" s="998"/>
      <c r="L187" s="881">
        <f t="shared" ref="L187:N187" ca="1" si="97">L188+L189</f>
        <v>0</v>
      </c>
      <c r="M187" s="881">
        <f t="shared" ca="1" si="97"/>
        <v>0</v>
      </c>
      <c r="N187" s="881">
        <f t="shared" ca="1" si="97"/>
        <v>0</v>
      </c>
      <c r="O187" s="881">
        <f t="shared" ca="1" si="93"/>
        <v>0</v>
      </c>
      <c r="P187" s="881">
        <f t="shared" ca="1" si="94"/>
        <v>0</v>
      </c>
      <c r="Q187" s="868"/>
      <c r="R187" s="868"/>
      <c r="S187" s="868"/>
      <c r="T187" s="868"/>
      <c r="U187" s="868"/>
      <c r="V187" s="868"/>
      <c r="W187" s="868"/>
      <c r="X187" s="868"/>
      <c r="Y187" s="868"/>
      <c r="Z187" s="868"/>
    </row>
    <row r="188" spans="1:26" ht="19.5" hidden="1">
      <c r="A188" s="993"/>
      <c r="B188" s="883"/>
      <c r="C188" s="999"/>
      <c r="D188" s="883"/>
      <c r="E188" s="884" t="s">
        <v>18</v>
      </c>
      <c r="F188" s="883"/>
      <c r="G188" s="994"/>
      <c r="H188" s="165" t="s">
        <v>12</v>
      </c>
      <c r="I188" s="1000"/>
      <c r="J188" s="1000"/>
      <c r="K188" s="1001"/>
      <c r="L188" s="887">
        <v>0</v>
      </c>
      <c r="M188" s="887">
        <v>0</v>
      </c>
      <c r="N188" s="887">
        <v>0</v>
      </c>
      <c r="O188" s="887">
        <f t="shared" si="93"/>
        <v>0</v>
      </c>
      <c r="P188" s="887">
        <f t="shared" si="94"/>
        <v>0</v>
      </c>
      <c r="Q188" s="875"/>
      <c r="R188" s="875"/>
      <c r="S188" s="875"/>
      <c r="T188" s="875"/>
      <c r="U188" s="875"/>
      <c r="V188" s="875"/>
      <c r="W188" s="875"/>
      <c r="X188" s="875"/>
      <c r="Y188" s="875"/>
      <c r="Z188" s="875"/>
    </row>
    <row r="189" spans="1:26" ht="19.5" hidden="1">
      <c r="A189" s="993"/>
      <c r="B189" s="883"/>
      <c r="C189" s="999"/>
      <c r="D189" s="883"/>
      <c r="E189" s="884" t="s">
        <v>19</v>
      </c>
      <c r="F189" s="883"/>
      <c r="G189" s="994"/>
      <c r="H189" s="169" t="s">
        <v>12</v>
      </c>
      <c r="I189" s="1000"/>
      <c r="J189" s="1000"/>
      <c r="K189" s="1001"/>
      <c r="L189" s="887">
        <f ca="1">IFERROR(__xludf.DUMMYFUNCTION("IMPORTRANGE(""https://docs.google.com/spreadsheets/d/1MeEWN-I1oV_STSDYn1IFDPWt_1FKiwhDph83XaGc0o0/edit?usp=sharing"",""งบพรบ!CR87"")"),0)</f>
        <v>0</v>
      </c>
      <c r="M189" s="887">
        <f ca="1">IFERROR(__xludf.DUMMYFUNCTION("IMPORTRANGE(""https://docs.google.com/spreadsheets/d/1MeEWN-I1oV_STSDYn1IFDPWt_1FKiwhDph83XaGc0o0/edit?usp=sharing"",""งบพรบ!CU87"")"),0)</f>
        <v>0</v>
      </c>
      <c r="N189" s="887">
        <f ca="1">IFERROR(__xludf.DUMMYFUNCTION("IMPORTRANGE(""https://docs.google.com/spreadsheets/d/1MeEWN-I1oV_STSDYn1IFDPWt_1FKiwhDph83XaGc0o0/edit?usp=sharing"",""งบพรบ!CW87"")"),0)</f>
        <v>0</v>
      </c>
      <c r="O189" s="887">
        <f t="shared" ca="1" si="93"/>
        <v>0</v>
      </c>
      <c r="P189" s="887">
        <f t="shared" ca="1" si="94"/>
        <v>0</v>
      </c>
      <c r="Q189" s="875"/>
      <c r="R189" s="875"/>
      <c r="S189" s="875"/>
      <c r="T189" s="875"/>
      <c r="U189" s="875"/>
      <c r="V189" s="875"/>
      <c r="W189" s="875"/>
      <c r="X189" s="875"/>
      <c r="Y189" s="875"/>
      <c r="Z189" s="875"/>
    </row>
    <row r="190" spans="1:26" ht="19.5">
      <c r="A190" s="1063"/>
      <c r="B190" s="1070"/>
      <c r="C190" s="1077" t="s">
        <v>89</v>
      </c>
      <c r="D190" s="1064"/>
      <c r="E190" s="1064"/>
      <c r="F190" s="1064"/>
      <c r="G190" s="1066"/>
      <c r="H190" s="260" t="s">
        <v>90</v>
      </c>
      <c r="I190" s="1078">
        <f t="shared" ref="I190:J190" ca="1" si="98">I193</f>
        <v>4</v>
      </c>
      <c r="J190" s="1078">
        <f t="shared" si="98"/>
        <v>2</v>
      </c>
      <c r="K190" s="1079">
        <f ca="1">IF(I190&gt;0,J190*100/I190,0)</f>
        <v>50</v>
      </c>
      <c r="L190" s="1068"/>
      <c r="M190" s="1068"/>
      <c r="N190" s="1068"/>
      <c r="O190" s="1068"/>
      <c r="P190" s="1068"/>
    </row>
    <row r="191" spans="1:26" ht="19.5">
      <c r="A191" s="985"/>
      <c r="B191" s="986"/>
      <c r="C191" s="987" t="s">
        <v>16</v>
      </c>
      <c r="D191" s="1080" t="s">
        <v>17</v>
      </c>
      <c r="E191" s="986"/>
      <c r="F191" s="986"/>
      <c r="G191" s="989"/>
      <c r="H191" s="275" t="s">
        <v>12</v>
      </c>
      <c r="I191" s="990"/>
      <c r="J191" s="990"/>
      <c r="K191" s="991"/>
      <c r="L191" s="992">
        <f ca="1">IFERROR(__xludf.DUMMYFUNCTION("IMPORTRANGE(""https://docs.google.com/spreadsheets/d/1QqKyyYR6Q21VydFLVH3TRQUabQu_ym0Zz7PgGX0-kHA/edit?usp=sharing"",""แผน!Z87"")"),6000)</f>
        <v>6000</v>
      </c>
      <c r="M191" s="992"/>
      <c r="N191" s="1081">
        <v>860</v>
      </c>
      <c r="O191" s="992">
        <f ca="1">IF(L191&gt;0,N191*100/L191,0)</f>
        <v>14.333333333333334</v>
      </c>
      <c r="P191" s="992">
        <f>IF(M191&gt;0,N191*100/M191,0)</f>
        <v>0</v>
      </c>
      <c r="Q191" s="868"/>
      <c r="R191" s="868"/>
      <c r="S191" s="868"/>
      <c r="T191" s="868"/>
      <c r="U191" s="868"/>
      <c r="V191" s="868"/>
      <c r="W191" s="868"/>
      <c r="X191" s="868"/>
      <c r="Y191" s="868"/>
      <c r="Z191" s="868"/>
    </row>
    <row r="192" spans="1:26" ht="19.5">
      <c r="A192" s="1002"/>
      <c r="B192" s="1003"/>
      <c r="C192" s="1029" t="s">
        <v>16</v>
      </c>
      <c r="D192" s="1004" t="s">
        <v>38</v>
      </c>
      <c r="E192" s="1005"/>
      <c r="F192" s="1005"/>
      <c r="G192" s="1006"/>
      <c r="H192" s="1007"/>
      <c r="I192" s="880"/>
      <c r="J192" s="880"/>
      <c r="K192" s="881"/>
      <c r="L192" s="881"/>
      <c r="M192" s="881"/>
      <c r="N192" s="881"/>
      <c r="O192" s="881"/>
      <c r="P192" s="881"/>
      <c r="Q192" s="868"/>
      <c r="R192" s="868"/>
      <c r="S192" s="868"/>
      <c r="T192" s="868"/>
      <c r="U192" s="868"/>
      <c r="V192" s="868"/>
      <c r="W192" s="868"/>
      <c r="X192" s="868"/>
      <c r="Y192" s="868"/>
      <c r="Z192" s="868"/>
    </row>
    <row r="193" spans="1:26" ht="18.75">
      <c r="A193" s="1002"/>
      <c r="B193" s="1003"/>
      <c r="C193" s="1003"/>
      <c r="D193" s="1009" t="s">
        <v>91</v>
      </c>
      <c r="E193" s="1010"/>
      <c r="F193" s="1010"/>
      <c r="G193" s="1011"/>
      <c r="H193" s="762" t="s">
        <v>90</v>
      </c>
      <c r="I193" s="880">
        <f ca="1">IFERROR(__xludf.DUMMYFUNCTION("IMPORTRANGE(""https://docs.google.com/spreadsheets/d/1QqKyyYR6Q21VydFLVH3TRQUabQu_ym0Zz7PgGX0-kHA/edit?usp=sharing"",""แผน!AC87"")"),4)</f>
        <v>4</v>
      </c>
      <c r="J193" s="1012">
        <v>2</v>
      </c>
      <c r="K193" s="881">
        <f ca="1">IF(I193&gt;0,J193*100/I193,0)</f>
        <v>50</v>
      </c>
      <c r="L193" s="881"/>
      <c r="M193" s="881"/>
      <c r="N193" s="881"/>
      <c r="O193" s="881"/>
      <c r="P193" s="881"/>
      <c r="Q193" s="868"/>
      <c r="R193" s="868"/>
      <c r="S193" s="868"/>
      <c r="T193" s="868"/>
      <c r="U193" s="868"/>
      <c r="V193" s="868"/>
      <c r="W193" s="868"/>
      <c r="X193" s="868"/>
      <c r="Y193" s="868"/>
      <c r="Z193" s="868"/>
    </row>
    <row r="194" spans="1:26" ht="18.75">
      <c r="A194" s="1002"/>
      <c r="B194" s="1003"/>
      <c r="C194" s="1003"/>
      <c r="D194" s="1009" t="s">
        <v>92</v>
      </c>
      <c r="E194" s="1010"/>
      <c r="F194" s="1010"/>
      <c r="G194" s="1011"/>
      <c r="H194" s="277" t="s">
        <v>35</v>
      </c>
      <c r="I194" s="880"/>
      <c r="J194" s="880">
        <f>J195+J196</f>
        <v>56</v>
      </c>
      <c r="K194" s="881"/>
      <c r="L194" s="881"/>
      <c r="M194" s="881"/>
      <c r="N194" s="881"/>
      <c r="O194" s="881"/>
      <c r="P194" s="881"/>
      <c r="Q194" s="868"/>
      <c r="R194" s="868"/>
      <c r="S194" s="868"/>
      <c r="T194" s="868"/>
      <c r="U194" s="868"/>
      <c r="V194" s="868"/>
      <c r="W194" s="868"/>
      <c r="X194" s="868"/>
      <c r="Y194" s="868"/>
      <c r="Z194" s="868"/>
    </row>
    <row r="195" spans="1:26" ht="18.75">
      <c r="A195" s="1002"/>
      <c r="B195" s="1003"/>
      <c r="C195" s="1003"/>
      <c r="D195" s="1003"/>
      <c r="E195" s="1009" t="s">
        <v>93</v>
      </c>
      <c r="F195" s="1010"/>
      <c r="G195" s="1011"/>
      <c r="H195" s="277" t="s">
        <v>35</v>
      </c>
      <c r="I195" s="880"/>
      <c r="J195" s="1012">
        <v>56</v>
      </c>
      <c r="K195" s="881"/>
      <c r="L195" s="881"/>
      <c r="M195" s="881"/>
      <c r="N195" s="881"/>
      <c r="O195" s="881"/>
      <c r="P195" s="881"/>
      <c r="Q195" s="868"/>
      <c r="R195" s="868"/>
      <c r="S195" s="868"/>
      <c r="T195" s="868"/>
      <c r="U195" s="868"/>
      <c r="V195" s="868"/>
      <c r="W195" s="868"/>
      <c r="X195" s="868"/>
      <c r="Y195" s="868"/>
      <c r="Z195" s="868"/>
    </row>
    <row r="196" spans="1:26" ht="18.75">
      <c r="A196" s="1002"/>
      <c r="B196" s="1003"/>
      <c r="C196" s="1003"/>
      <c r="D196" s="1003"/>
      <c r="E196" s="1009" t="s">
        <v>94</v>
      </c>
      <c r="F196" s="1010"/>
      <c r="G196" s="1011"/>
      <c r="H196" s="277" t="s">
        <v>35</v>
      </c>
      <c r="I196" s="880"/>
      <c r="J196" s="1012">
        <v>0</v>
      </c>
      <c r="K196" s="881"/>
      <c r="L196" s="881"/>
      <c r="M196" s="881"/>
      <c r="N196" s="881"/>
      <c r="O196" s="881"/>
      <c r="P196" s="881"/>
      <c r="Q196" s="868"/>
      <c r="R196" s="868"/>
      <c r="S196" s="868"/>
      <c r="T196" s="868"/>
      <c r="U196" s="868"/>
      <c r="V196" s="868"/>
      <c r="W196" s="868"/>
      <c r="X196" s="868"/>
      <c r="Y196" s="868"/>
      <c r="Z196" s="868"/>
    </row>
    <row r="197" spans="1:26" ht="19.5">
      <c r="A197" s="1063"/>
      <c r="B197" s="1070"/>
      <c r="C197" s="1077" t="s">
        <v>95</v>
      </c>
      <c r="D197" s="1064"/>
      <c r="E197" s="1064"/>
      <c r="F197" s="1064"/>
      <c r="G197" s="1066"/>
      <c r="H197" s="278" t="s">
        <v>96</v>
      </c>
      <c r="I197" s="1078">
        <f t="shared" ref="I197:J197" ca="1" si="99">I204</f>
        <v>2</v>
      </c>
      <c r="J197" s="1078">
        <f t="shared" si="99"/>
        <v>2</v>
      </c>
      <c r="K197" s="1079">
        <f ca="1">IF(I197&gt;0,J197*100/I197,0)</f>
        <v>100</v>
      </c>
      <c r="L197" s="1068"/>
      <c r="M197" s="1068"/>
      <c r="N197" s="1068"/>
      <c r="O197" s="1068"/>
      <c r="P197" s="1068"/>
    </row>
    <row r="198" spans="1:26" ht="19.5">
      <c r="A198" s="985"/>
      <c r="B198" s="986"/>
      <c r="C198" s="987" t="s">
        <v>16</v>
      </c>
      <c r="D198" s="1080" t="s">
        <v>17</v>
      </c>
      <c r="E198" s="986"/>
      <c r="F198" s="986"/>
      <c r="G198" s="989"/>
      <c r="H198" s="275" t="s">
        <v>12</v>
      </c>
      <c r="I198" s="1082"/>
      <c r="J198" s="1082"/>
      <c r="K198" s="1083"/>
      <c r="L198" s="992">
        <f ca="1">L199+L200+L201+L202</f>
        <v>26000</v>
      </c>
      <c r="M198" s="992"/>
      <c r="N198" s="992">
        <f>N199+N200+N201+N202</f>
        <v>26000</v>
      </c>
      <c r="O198" s="992">
        <f ca="1">IF(L198&gt;0,N198*100/L198,0)</f>
        <v>100</v>
      </c>
      <c r="P198" s="992">
        <f>IF(M198&gt;0,N198*100/M198,0)</f>
        <v>0</v>
      </c>
      <c r="Q198" s="868"/>
      <c r="R198" s="868"/>
      <c r="S198" s="868"/>
      <c r="T198" s="868"/>
      <c r="U198" s="868"/>
      <c r="V198" s="868"/>
      <c r="W198" s="868"/>
      <c r="X198" s="868"/>
      <c r="Y198" s="868"/>
      <c r="Z198" s="868"/>
    </row>
    <row r="199" spans="1:26" ht="18.75">
      <c r="A199" s="995"/>
      <c r="B199" s="1084"/>
      <c r="C199" s="877"/>
      <c r="D199" s="996" t="s">
        <v>97</v>
      </c>
      <c r="E199" s="877"/>
      <c r="F199" s="877"/>
      <c r="G199" s="879"/>
      <c r="H199" s="161" t="s">
        <v>12</v>
      </c>
      <c r="I199" s="997"/>
      <c r="J199" s="997"/>
      <c r="K199" s="998"/>
      <c r="L199" s="881">
        <f ca="1">IFERROR(__xludf.DUMMYFUNCTION("IMPORTRANGE(""https://docs.google.com/spreadsheets/d/1QqKyyYR6Q21VydFLVH3TRQUabQu_ym0Zz7PgGX0-kHA/edit?usp=sharing"",""แผน!AE87"")"),2000)</f>
        <v>2000</v>
      </c>
      <c r="M199" s="881"/>
      <c r="N199" s="1085">
        <v>2000</v>
      </c>
      <c r="O199" s="881"/>
      <c r="P199" s="881"/>
      <c r="Q199" s="868"/>
      <c r="R199" s="868"/>
      <c r="S199" s="868"/>
      <c r="T199" s="868"/>
      <c r="U199" s="868"/>
      <c r="V199" s="868"/>
      <c r="W199" s="868"/>
      <c r="X199" s="868"/>
      <c r="Y199" s="868"/>
      <c r="Z199" s="868"/>
    </row>
    <row r="200" spans="1:26" ht="19.5">
      <c r="A200" s="1086"/>
      <c r="B200" s="1084"/>
      <c r="C200" s="1029"/>
      <c r="D200" s="996" t="s">
        <v>98</v>
      </c>
      <c r="E200" s="877"/>
      <c r="F200" s="877"/>
      <c r="G200" s="879"/>
      <c r="H200" s="622" t="s">
        <v>12</v>
      </c>
      <c r="I200" s="880"/>
      <c r="J200" s="880"/>
      <c r="K200" s="881"/>
      <c r="L200" s="881">
        <f ca="1">IFERROR(__xludf.DUMMYFUNCTION("IMPORTRANGE(""https://docs.google.com/spreadsheets/d/1QqKyyYR6Q21VydFLVH3TRQUabQu_ym0Zz7PgGX0-kHA/edit?usp=sharing"",""แผน!AF87"")"),16000)</f>
        <v>16000</v>
      </c>
      <c r="M200" s="881"/>
      <c r="N200" s="1085">
        <v>16000</v>
      </c>
      <c r="O200" s="881"/>
      <c r="P200" s="881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</row>
    <row r="201" spans="1:26" ht="19.5">
      <c r="A201" s="1086"/>
      <c r="B201" s="1084"/>
      <c r="C201" s="1029"/>
      <c r="D201" s="996" t="s">
        <v>99</v>
      </c>
      <c r="E201" s="877"/>
      <c r="F201" s="877"/>
      <c r="G201" s="879"/>
      <c r="H201" s="622" t="s">
        <v>12</v>
      </c>
      <c r="I201" s="880"/>
      <c r="J201" s="880"/>
      <c r="K201" s="881"/>
      <c r="L201" s="881">
        <f ca="1">IFERROR(__xludf.DUMMYFUNCTION("IMPORTRANGE(""https://docs.google.com/spreadsheets/d/1QqKyyYR6Q21VydFLVH3TRQUabQu_ym0Zz7PgGX0-kHA/edit?usp=sharing"",""แผน!AG87"")"),8000)</f>
        <v>8000</v>
      </c>
      <c r="M201" s="881"/>
      <c r="N201" s="1085">
        <v>8000</v>
      </c>
      <c r="O201" s="881"/>
      <c r="P201" s="881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</row>
    <row r="202" spans="1:26" ht="19.5">
      <c r="A202" s="1086"/>
      <c r="B202" s="1084"/>
      <c r="C202" s="1029"/>
      <c r="D202" s="996" t="s">
        <v>100</v>
      </c>
      <c r="E202" s="877"/>
      <c r="F202" s="877"/>
      <c r="G202" s="879"/>
      <c r="H202" s="622" t="s">
        <v>12</v>
      </c>
      <c r="I202" s="880"/>
      <c r="J202" s="880"/>
      <c r="K202" s="881"/>
      <c r="L202" s="881">
        <f ca="1">IFERROR(__xludf.DUMMYFUNCTION("IMPORTRANGE(""https://docs.google.com/spreadsheets/d/1QqKyyYR6Q21VydFLVH3TRQUabQu_ym0Zz7PgGX0-kHA/edit?usp=sharing"",""แผน!AH87"")"),0)</f>
        <v>0</v>
      </c>
      <c r="M202" s="881"/>
      <c r="N202" s="1085">
        <v>0</v>
      </c>
      <c r="O202" s="881"/>
      <c r="P202" s="881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</row>
    <row r="203" spans="1:26" ht="19.5">
      <c r="A203" s="1002"/>
      <c r="B203" s="1003"/>
      <c r="C203" s="1029" t="s">
        <v>16</v>
      </c>
      <c r="D203" s="1004" t="s">
        <v>38</v>
      </c>
      <c r="E203" s="1005"/>
      <c r="F203" s="1005"/>
      <c r="G203" s="1006"/>
      <c r="H203" s="1007"/>
      <c r="I203" s="997"/>
      <c r="J203" s="997"/>
      <c r="K203" s="998"/>
      <c r="L203" s="998"/>
      <c r="M203" s="998"/>
      <c r="N203" s="998"/>
      <c r="O203" s="998"/>
      <c r="P203" s="99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</row>
    <row r="204" spans="1:26" ht="18.75">
      <c r="A204" s="1002"/>
      <c r="B204" s="1003"/>
      <c r="C204" s="1003"/>
      <c r="D204" s="1008" t="s">
        <v>101</v>
      </c>
      <c r="E204" s="1010"/>
      <c r="F204" s="1010"/>
      <c r="G204" s="1011"/>
      <c r="H204" s="1007" t="s">
        <v>96</v>
      </c>
      <c r="I204" s="880">
        <f ca="1">IFERROR(__xludf.DUMMYFUNCTION("IMPORTRANGE(""https://docs.google.com/spreadsheets/d/1QqKyyYR6Q21VydFLVH3TRQUabQu_ym0Zz7PgGX0-kHA/edit?usp=sharing"",""แผน!AI87"")"),2)</f>
        <v>2</v>
      </c>
      <c r="J204" s="1012">
        <v>2</v>
      </c>
      <c r="K204" s="998">
        <f ca="1">IF(I204&gt;0,J204*100/I204,0)</f>
        <v>100</v>
      </c>
      <c r="L204" s="881"/>
      <c r="M204" s="881"/>
      <c r="N204" s="881"/>
      <c r="O204" s="881"/>
      <c r="P204" s="881"/>
      <c r="Q204" s="868"/>
      <c r="R204" s="868"/>
      <c r="S204" s="868"/>
      <c r="T204" s="868"/>
      <c r="U204" s="868"/>
      <c r="V204" s="868"/>
      <c r="W204" s="868"/>
      <c r="X204" s="868"/>
      <c r="Y204" s="868"/>
      <c r="Z204" s="868"/>
    </row>
    <row r="205" spans="1:26" ht="18.75">
      <c r="A205" s="1002"/>
      <c r="B205" s="1003"/>
      <c r="C205" s="1003"/>
      <c r="D205" s="1009" t="s">
        <v>59</v>
      </c>
      <c r="E205" s="1010"/>
      <c r="F205" s="1010"/>
      <c r="G205" s="1011"/>
      <c r="H205" s="1007"/>
      <c r="I205" s="880"/>
      <c r="J205" s="880"/>
      <c r="K205" s="998"/>
      <c r="L205" s="881"/>
      <c r="M205" s="881"/>
      <c r="N205" s="881"/>
      <c r="O205" s="881"/>
      <c r="P205" s="881"/>
      <c r="Q205" s="868"/>
      <c r="R205" s="868"/>
      <c r="S205" s="868"/>
      <c r="T205" s="868"/>
      <c r="U205" s="868"/>
      <c r="V205" s="868"/>
      <c r="W205" s="868"/>
      <c r="X205" s="868"/>
      <c r="Y205" s="868"/>
      <c r="Z205" s="868"/>
    </row>
    <row r="206" spans="1:26" ht="18.75">
      <c r="A206" s="1002"/>
      <c r="B206" s="1003"/>
      <c r="C206" s="1003"/>
      <c r="D206" s="1010"/>
      <c r="E206" s="1021" t="s">
        <v>102</v>
      </c>
      <c r="F206" s="1088"/>
      <c r="G206" s="1089"/>
      <c r="H206" s="1090" t="s">
        <v>96</v>
      </c>
      <c r="I206" s="880">
        <v>2</v>
      </c>
      <c r="J206" s="1012">
        <v>2</v>
      </c>
      <c r="K206" s="998">
        <f t="shared" ref="K206:K208" si="100">IF(I206&gt;0,J206*100/I206,0)</f>
        <v>100</v>
      </c>
      <c r="L206" s="881"/>
      <c r="M206" s="881"/>
      <c r="N206" s="881"/>
      <c r="O206" s="881"/>
      <c r="P206" s="881"/>
      <c r="Q206" s="868"/>
      <c r="R206" s="868"/>
      <c r="S206" s="868"/>
      <c r="T206" s="868"/>
      <c r="U206" s="868"/>
      <c r="V206" s="868"/>
      <c r="W206" s="868"/>
      <c r="X206" s="868"/>
      <c r="Y206" s="868"/>
      <c r="Z206" s="868"/>
    </row>
    <row r="207" spans="1:26" ht="18.75">
      <c r="A207" s="1002"/>
      <c r="B207" s="1003"/>
      <c r="C207" s="1003"/>
      <c r="D207" s="1009"/>
      <c r="E207" s="1009" t="s">
        <v>103</v>
      </c>
      <c r="F207" s="1010"/>
      <c r="G207" s="1010"/>
      <c r="H207" s="290" t="s">
        <v>104</v>
      </c>
      <c r="I207" s="880">
        <v>0</v>
      </c>
      <c r="J207" s="1012">
        <v>0</v>
      </c>
      <c r="K207" s="998">
        <f t="shared" si="100"/>
        <v>0</v>
      </c>
      <c r="L207" s="881"/>
      <c r="M207" s="881"/>
      <c r="N207" s="881"/>
      <c r="O207" s="881"/>
      <c r="P207" s="881"/>
      <c r="Q207" s="868"/>
      <c r="R207" s="868"/>
      <c r="S207" s="868"/>
      <c r="T207" s="868"/>
      <c r="U207" s="868"/>
      <c r="V207" s="868"/>
      <c r="W207" s="868"/>
      <c r="X207" s="868"/>
      <c r="Y207" s="868"/>
      <c r="Z207" s="868"/>
    </row>
    <row r="208" spans="1:26" ht="19.5" hidden="1">
      <c r="A208" s="1063"/>
      <c r="B208" s="1070"/>
      <c r="C208" s="1077" t="s">
        <v>105</v>
      </c>
      <c r="D208" s="1064"/>
      <c r="E208" s="1064"/>
      <c r="F208" s="1091"/>
      <c r="G208" s="1066"/>
      <c r="H208" s="278" t="s">
        <v>96</v>
      </c>
      <c r="I208" s="1078">
        <f t="shared" ref="I208:J208" ca="1" si="101">I215</f>
        <v>0</v>
      </c>
      <c r="J208" s="1078">
        <f t="shared" si="101"/>
        <v>0</v>
      </c>
      <c r="K208" s="1079">
        <f t="shared" ca="1" si="100"/>
        <v>0</v>
      </c>
      <c r="L208" s="1068"/>
      <c r="M208" s="1068"/>
      <c r="N208" s="1068"/>
      <c r="O208" s="1068"/>
      <c r="P208" s="1068"/>
    </row>
    <row r="209" spans="1:26" ht="19.5" hidden="1">
      <c r="A209" s="985"/>
      <c r="B209" s="986"/>
      <c r="C209" s="987" t="s">
        <v>16</v>
      </c>
      <c r="D209" s="1080" t="s">
        <v>17</v>
      </c>
      <c r="E209" s="986"/>
      <c r="F209" s="986"/>
      <c r="G209" s="989"/>
      <c r="H209" s="275" t="s">
        <v>12</v>
      </c>
      <c r="I209" s="1082"/>
      <c r="J209" s="1082"/>
      <c r="K209" s="1083"/>
      <c r="L209" s="992">
        <f ca="1">L210+L211+L212</f>
        <v>0</v>
      </c>
      <c r="M209" s="992"/>
      <c r="N209" s="992">
        <f>N210+N211+N212</f>
        <v>0</v>
      </c>
      <c r="O209" s="992">
        <f ca="1">IF(L209&gt;0,N209*100/L209,0)</f>
        <v>0</v>
      </c>
      <c r="P209" s="992">
        <f>IF(M209&gt;0,N209*100/M209,0)</f>
        <v>0</v>
      </c>
      <c r="Q209" s="868"/>
      <c r="R209" s="868"/>
      <c r="S209" s="868"/>
      <c r="T209" s="868"/>
      <c r="U209" s="868"/>
      <c r="V209" s="868"/>
      <c r="W209" s="868"/>
      <c r="X209" s="868"/>
      <c r="Y209" s="868"/>
      <c r="Z209" s="868"/>
    </row>
    <row r="210" spans="1:26" ht="18.75" hidden="1">
      <c r="A210" s="995"/>
      <c r="B210" s="1084"/>
      <c r="C210" s="877"/>
      <c r="D210" s="996" t="s">
        <v>97</v>
      </c>
      <c r="E210" s="877"/>
      <c r="F210" s="877"/>
      <c r="G210" s="879"/>
      <c r="H210" s="161" t="s">
        <v>12</v>
      </c>
      <c r="I210" s="997"/>
      <c r="J210" s="997"/>
      <c r="K210" s="998"/>
      <c r="L210" s="881">
        <f ca="1">IFERROR(__xludf.DUMMYFUNCTION("IMPORTRANGE(""https://docs.google.com/spreadsheets/d/1QqKyyYR6Q21VydFLVH3TRQUabQu_ym0Zz7PgGX0-kHA/edit?usp=sharing"",""แผน!AK87"")"),0)</f>
        <v>0</v>
      </c>
      <c r="M210" s="881"/>
      <c r="N210" s="1085">
        <v>0</v>
      </c>
      <c r="O210" s="881"/>
      <c r="P210" s="881"/>
      <c r="Q210" s="868"/>
      <c r="R210" s="868"/>
      <c r="S210" s="868"/>
      <c r="T210" s="868"/>
      <c r="U210" s="868"/>
      <c r="V210" s="868"/>
      <c r="W210" s="868"/>
      <c r="X210" s="868"/>
      <c r="Y210" s="868"/>
      <c r="Z210" s="868"/>
    </row>
    <row r="211" spans="1:26" ht="19.5" hidden="1">
      <c r="A211" s="1086"/>
      <c r="B211" s="1084"/>
      <c r="C211" s="1092"/>
      <c r="D211" s="996" t="s">
        <v>99</v>
      </c>
      <c r="E211" s="877"/>
      <c r="F211" s="877"/>
      <c r="G211" s="879"/>
      <c r="H211" s="161" t="s">
        <v>12</v>
      </c>
      <c r="I211" s="880"/>
      <c r="J211" s="880"/>
      <c r="K211" s="881"/>
      <c r="L211" s="881">
        <f ca="1">IFERROR(__xludf.DUMMYFUNCTION("IMPORTRANGE(""https://docs.google.com/spreadsheets/d/1QqKyyYR6Q21VydFLVH3TRQUabQu_ym0Zz7PgGX0-kHA/edit?usp=sharing"",""แผน!AL87"")"),0)</f>
        <v>0</v>
      </c>
      <c r="M211" s="881"/>
      <c r="N211" s="1085">
        <v>0</v>
      </c>
      <c r="O211" s="881"/>
      <c r="P211" s="881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</row>
    <row r="212" spans="1:26" ht="19.5" hidden="1">
      <c r="A212" s="1086"/>
      <c r="B212" s="1084"/>
      <c r="C212" s="1092"/>
      <c r="D212" s="996" t="s">
        <v>98</v>
      </c>
      <c r="E212" s="877"/>
      <c r="F212" s="877"/>
      <c r="G212" s="879"/>
      <c r="H212" s="161" t="s">
        <v>12</v>
      </c>
      <c r="I212" s="880"/>
      <c r="J212" s="880"/>
      <c r="K212" s="881"/>
      <c r="L212" s="881">
        <f ca="1">IFERROR(__xludf.DUMMYFUNCTION("IMPORTRANGE(""https://docs.google.com/spreadsheets/d/1QqKyyYR6Q21VydFLVH3TRQUabQu_ym0Zz7PgGX0-kHA/edit?usp=sharing"",""แผน!AM87"")"),0)</f>
        <v>0</v>
      </c>
      <c r="M212" s="881"/>
      <c r="N212" s="1085">
        <v>0</v>
      </c>
      <c r="O212" s="881"/>
      <c r="P212" s="881"/>
      <c r="Q212" s="1087"/>
      <c r="R212" s="1087"/>
      <c r="S212" s="1087"/>
      <c r="T212" s="1087"/>
      <c r="U212" s="1087"/>
      <c r="V212" s="1087"/>
      <c r="W212" s="1087"/>
      <c r="X212" s="1087"/>
      <c r="Y212" s="1087"/>
      <c r="Z212" s="1087"/>
    </row>
    <row r="213" spans="1:26" ht="19.5" hidden="1">
      <c r="A213" s="1002"/>
      <c r="B213" s="1003"/>
      <c r="C213" s="1092" t="s">
        <v>16</v>
      </c>
      <c r="D213" s="1004" t="s">
        <v>38</v>
      </c>
      <c r="E213" s="1005"/>
      <c r="F213" s="1005"/>
      <c r="G213" s="1006"/>
      <c r="H213" s="1007"/>
      <c r="I213" s="997"/>
      <c r="J213" s="880"/>
      <c r="K213" s="881"/>
      <c r="L213" s="881"/>
      <c r="M213" s="881"/>
      <c r="N213" s="881"/>
      <c r="O213" s="998"/>
      <c r="P213" s="998"/>
      <c r="Q213" s="868"/>
      <c r="R213" s="868"/>
      <c r="S213" s="868"/>
      <c r="T213" s="868"/>
      <c r="U213" s="868"/>
      <c r="V213" s="868"/>
      <c r="W213" s="868"/>
      <c r="X213" s="868"/>
      <c r="Y213" s="868"/>
      <c r="Z213" s="868"/>
    </row>
    <row r="214" spans="1:26" ht="18.75" hidden="1">
      <c r="A214" s="1002"/>
      <c r="B214" s="1003"/>
      <c r="C214" s="1003"/>
      <c r="D214" s="1008" t="s">
        <v>106</v>
      </c>
      <c r="E214" s="1010"/>
      <c r="F214" s="1010"/>
      <c r="G214" s="1011"/>
      <c r="H214" s="1007" t="s">
        <v>96</v>
      </c>
      <c r="I214" s="880">
        <f ca="1">IFERROR(__xludf.DUMMYFUNCTION("IMPORTRANGE(""https://docs.google.com/spreadsheets/d/1QqKyyYR6Q21VydFLVH3TRQUabQu_ym0Zz7PgGX0-kHA/edit?usp=sharing"",""แผน!AN87"")"),0)</f>
        <v>0</v>
      </c>
      <c r="J214" s="1012">
        <v>0</v>
      </c>
      <c r="K214" s="881">
        <f t="shared" ref="K214:K216" ca="1" si="102">IF(I214&gt;0,J214*100/I214,0)</f>
        <v>0</v>
      </c>
      <c r="L214" s="881"/>
      <c r="M214" s="881"/>
      <c r="N214" s="881"/>
      <c r="O214" s="881"/>
      <c r="P214" s="881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</row>
    <row r="215" spans="1:26" ht="18.75" hidden="1">
      <c r="A215" s="1002"/>
      <c r="B215" s="1003"/>
      <c r="C215" s="1003"/>
      <c r="D215" s="1008" t="s">
        <v>107</v>
      </c>
      <c r="E215" s="1010"/>
      <c r="F215" s="1010"/>
      <c r="G215" s="1011"/>
      <c r="H215" s="1007" t="s">
        <v>96</v>
      </c>
      <c r="I215" s="880">
        <f ca="1">IFERROR(__xludf.DUMMYFUNCTION("IMPORTRANGE(""https://docs.google.com/spreadsheets/d/1QqKyyYR6Q21VydFLVH3TRQUabQu_ym0Zz7PgGX0-kHA/edit?usp=sharing"",""แผน!AN87"")"),0)</f>
        <v>0</v>
      </c>
      <c r="J215" s="1012">
        <v>0</v>
      </c>
      <c r="K215" s="881">
        <f t="shared" ca="1" si="102"/>
        <v>0</v>
      </c>
      <c r="L215" s="881"/>
      <c r="M215" s="881"/>
      <c r="N215" s="881"/>
      <c r="O215" s="881"/>
      <c r="P215" s="881"/>
      <c r="Q215" s="868"/>
      <c r="R215" s="868"/>
      <c r="S215" s="868"/>
      <c r="T215" s="868"/>
      <c r="U215" s="868"/>
      <c r="V215" s="868"/>
      <c r="W215" s="868"/>
      <c r="X215" s="868"/>
      <c r="Y215" s="868"/>
      <c r="Z215" s="868"/>
    </row>
    <row r="216" spans="1:26" ht="19.5">
      <c r="A216" s="1063"/>
      <c r="B216" s="1070"/>
      <c r="C216" s="1077" t="s">
        <v>108</v>
      </c>
      <c r="D216" s="1064"/>
      <c r="E216" s="1064"/>
      <c r="F216" s="1091"/>
      <c r="G216" s="1066"/>
      <c r="H216" s="260" t="s">
        <v>109</v>
      </c>
      <c r="I216" s="1078">
        <f t="shared" ref="I216:J216" ca="1" si="103">I224</f>
        <v>6400</v>
      </c>
      <c r="J216" s="1078">
        <f t="shared" si="103"/>
        <v>0</v>
      </c>
      <c r="K216" s="1079">
        <f t="shared" ca="1" si="102"/>
        <v>0</v>
      </c>
      <c r="L216" s="1068"/>
      <c r="M216" s="1068"/>
      <c r="N216" s="1068"/>
      <c r="O216" s="1068"/>
      <c r="P216" s="1068"/>
    </row>
    <row r="217" spans="1:26" ht="19.5">
      <c r="A217" s="985"/>
      <c r="B217" s="986"/>
      <c r="C217" s="987" t="s">
        <v>16</v>
      </c>
      <c r="D217" s="1080" t="s">
        <v>17</v>
      </c>
      <c r="E217" s="986"/>
      <c r="F217" s="986"/>
      <c r="G217" s="989"/>
      <c r="H217" s="275" t="s">
        <v>12</v>
      </c>
      <c r="I217" s="1082"/>
      <c r="J217" s="1082"/>
      <c r="K217" s="1083"/>
      <c r="L217" s="992">
        <f ca="1">L218+L219+L220</f>
        <v>6200</v>
      </c>
      <c r="M217" s="992"/>
      <c r="N217" s="992">
        <f>N218+N219+N220</f>
        <v>0</v>
      </c>
      <c r="O217" s="992">
        <f ca="1">IF(L217&gt;0,N217*100/L217,0)</f>
        <v>0</v>
      </c>
      <c r="P217" s="992">
        <f>IF(M217&gt;0,N217*100/M217,0)</f>
        <v>0</v>
      </c>
      <c r="Q217" s="868"/>
      <c r="R217" s="868"/>
      <c r="S217" s="868"/>
      <c r="T217" s="868"/>
      <c r="U217" s="868"/>
      <c r="V217" s="868"/>
      <c r="W217" s="868"/>
      <c r="X217" s="868"/>
      <c r="Y217" s="868"/>
      <c r="Z217" s="868"/>
    </row>
    <row r="218" spans="1:26" ht="18.75">
      <c r="A218" s="995"/>
      <c r="B218" s="1084"/>
      <c r="C218" s="877"/>
      <c r="D218" s="996" t="s">
        <v>97</v>
      </c>
      <c r="E218" s="877"/>
      <c r="F218" s="877"/>
      <c r="G218" s="879"/>
      <c r="H218" s="161" t="s">
        <v>12</v>
      </c>
      <c r="I218" s="997"/>
      <c r="J218" s="997"/>
      <c r="K218" s="998"/>
      <c r="L218" s="881">
        <f ca="1">IFERROR(__xludf.DUMMYFUNCTION("IMPORTRANGE(""https://docs.google.com/spreadsheets/d/1QqKyyYR6Q21VydFLVH3TRQUabQu_ym0Zz7PgGX0-kHA/edit?usp=sharing"",""แผน!AP87"")"),3000)</f>
        <v>3000</v>
      </c>
      <c r="M218" s="881"/>
      <c r="N218" s="1085">
        <v>0</v>
      </c>
      <c r="O218" s="881"/>
      <c r="P218" s="881"/>
      <c r="Q218" s="868"/>
      <c r="R218" s="868"/>
      <c r="S218" s="868"/>
      <c r="T218" s="868"/>
      <c r="U218" s="868"/>
      <c r="V218" s="868"/>
      <c r="W218" s="868"/>
      <c r="X218" s="868"/>
      <c r="Y218" s="868"/>
      <c r="Z218" s="868"/>
    </row>
    <row r="219" spans="1:26" ht="19.5">
      <c r="A219" s="1086"/>
      <c r="B219" s="1084"/>
      <c r="C219" s="1092"/>
      <c r="D219" s="996" t="s">
        <v>110</v>
      </c>
      <c r="E219" s="877"/>
      <c r="F219" s="877"/>
      <c r="G219" s="879"/>
      <c r="H219" s="161" t="s">
        <v>12</v>
      </c>
      <c r="I219" s="880"/>
      <c r="J219" s="880"/>
      <c r="K219" s="881"/>
      <c r="L219" s="881">
        <f ca="1">IFERROR(__xludf.DUMMYFUNCTION("IMPORTRANGE(""https://docs.google.com/spreadsheets/d/1QqKyyYR6Q21VydFLVH3TRQUabQu_ym0Zz7PgGX0-kHA/edit?usp=sharing"",""แผน!AQ87"")"),3200)</f>
        <v>3200</v>
      </c>
      <c r="M219" s="881"/>
      <c r="N219" s="1085">
        <v>0</v>
      </c>
      <c r="O219" s="881"/>
      <c r="P219" s="881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</row>
    <row r="220" spans="1:26" ht="19.5">
      <c r="A220" s="1086"/>
      <c r="B220" s="1084"/>
      <c r="C220" s="1092"/>
      <c r="D220" s="996" t="s">
        <v>98</v>
      </c>
      <c r="E220" s="877"/>
      <c r="F220" s="877"/>
      <c r="G220" s="879"/>
      <c r="H220" s="161" t="s">
        <v>12</v>
      </c>
      <c r="I220" s="880"/>
      <c r="J220" s="880"/>
      <c r="K220" s="881"/>
      <c r="L220" s="881">
        <f ca="1">IFERROR(__xludf.DUMMYFUNCTION("IMPORTRANGE(""https://docs.google.com/spreadsheets/d/1QqKyyYR6Q21VydFLVH3TRQUabQu_ym0Zz7PgGX0-kHA/edit?usp=sharing"",""แผน!AR87"")"),0)</f>
        <v>0</v>
      </c>
      <c r="M220" s="881"/>
      <c r="N220" s="1085">
        <v>0</v>
      </c>
      <c r="O220" s="881"/>
      <c r="P220" s="881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</row>
    <row r="221" spans="1:26" ht="19.5">
      <c r="A221" s="1002"/>
      <c r="B221" s="1003"/>
      <c r="C221" s="1092" t="s">
        <v>16</v>
      </c>
      <c r="D221" s="1004" t="s">
        <v>38</v>
      </c>
      <c r="E221" s="1005"/>
      <c r="F221" s="1005"/>
      <c r="G221" s="1006"/>
      <c r="H221" s="1007"/>
      <c r="I221" s="997"/>
      <c r="J221" s="997"/>
      <c r="K221" s="998"/>
      <c r="L221" s="998"/>
      <c r="M221" s="998"/>
      <c r="N221" s="998"/>
      <c r="O221" s="998"/>
      <c r="P221" s="99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8"/>
    </row>
    <row r="222" spans="1:26" ht="18.75">
      <c r="A222" s="1002"/>
      <c r="B222" s="1003"/>
      <c r="C222" s="1003"/>
      <c r="D222" s="996" t="s">
        <v>111</v>
      </c>
      <c r="E222" s="1010"/>
      <c r="F222" s="1010"/>
      <c r="G222" s="1011"/>
      <c r="H222" s="1007"/>
      <c r="I222" s="880"/>
      <c r="J222" s="880"/>
      <c r="K222" s="998"/>
      <c r="L222" s="998"/>
      <c r="M222" s="998"/>
      <c r="N222" s="998"/>
      <c r="O222" s="998"/>
      <c r="P222" s="998"/>
      <c r="Q222" s="868"/>
      <c r="R222" s="868"/>
      <c r="S222" s="868"/>
      <c r="T222" s="868"/>
      <c r="U222" s="868"/>
      <c r="V222" s="868"/>
      <c r="W222" s="868"/>
      <c r="X222" s="868"/>
      <c r="Y222" s="868"/>
      <c r="Z222" s="868"/>
    </row>
    <row r="223" spans="1:26" ht="18.75">
      <c r="A223" s="1002"/>
      <c r="B223" s="1003"/>
      <c r="C223" s="1003"/>
      <c r="D223" s="1003"/>
      <c r="E223" s="1008" t="s">
        <v>112</v>
      </c>
      <c r="F223" s="1010"/>
      <c r="G223" s="1011"/>
      <c r="H223" s="762" t="s">
        <v>109</v>
      </c>
      <c r="I223" s="880">
        <f ca="1">IFERROR(__xludf.DUMMYFUNCTION("IMPORTRANGE(""https://docs.google.com/spreadsheets/d/1QqKyyYR6Q21VydFLVH3TRQUabQu_ym0Zz7PgGX0-kHA/edit?usp=sharing"",""แผน!AT87"")"),6400)</f>
        <v>6400</v>
      </c>
      <c r="J223" s="1012">
        <v>0</v>
      </c>
      <c r="K223" s="998">
        <f t="shared" ref="K223:K226" ca="1" si="104">IF(I223&gt;0,J223*100/I223,0)</f>
        <v>0</v>
      </c>
      <c r="L223" s="998"/>
      <c r="M223" s="998"/>
      <c r="N223" s="998"/>
      <c r="O223" s="998"/>
      <c r="P223" s="998"/>
      <c r="Q223" s="868"/>
      <c r="R223" s="868"/>
      <c r="S223" s="868"/>
      <c r="T223" s="868"/>
      <c r="U223" s="868"/>
      <c r="V223" s="868"/>
      <c r="W223" s="868"/>
      <c r="X223" s="868"/>
      <c r="Y223" s="868"/>
      <c r="Z223" s="868"/>
    </row>
    <row r="224" spans="1:26" ht="18.75">
      <c r="A224" s="1002"/>
      <c r="B224" s="1003"/>
      <c r="C224" s="1003"/>
      <c r="D224" s="1003"/>
      <c r="E224" s="1008" t="s">
        <v>113</v>
      </c>
      <c r="F224" s="1010"/>
      <c r="G224" s="1011"/>
      <c r="H224" s="762" t="s">
        <v>109</v>
      </c>
      <c r="I224" s="880">
        <f ca="1">IFERROR(__xludf.DUMMYFUNCTION("IMPORTRANGE(""https://docs.google.com/spreadsheets/d/1QqKyyYR6Q21VydFLVH3TRQUabQu_ym0Zz7PgGX0-kHA/edit?usp=sharing"",""แผน!AT87"")"),6400)</f>
        <v>6400</v>
      </c>
      <c r="J224" s="1012">
        <v>0</v>
      </c>
      <c r="K224" s="998">
        <f t="shared" ca="1" si="104"/>
        <v>0</v>
      </c>
      <c r="L224" s="881"/>
      <c r="M224" s="881"/>
      <c r="N224" s="881"/>
      <c r="O224" s="881"/>
      <c r="P224" s="881"/>
      <c r="Q224" s="868"/>
      <c r="R224" s="868"/>
      <c r="S224" s="868"/>
      <c r="T224" s="868"/>
      <c r="U224" s="868"/>
      <c r="V224" s="868"/>
      <c r="W224" s="868"/>
      <c r="X224" s="868"/>
      <c r="Y224" s="868"/>
      <c r="Z224" s="868"/>
    </row>
    <row r="225" spans="1:26" ht="18.75">
      <c r="A225" s="1002"/>
      <c r="B225" s="1003"/>
      <c r="C225" s="1003"/>
      <c r="D225" s="996" t="s">
        <v>114</v>
      </c>
      <c r="E225" s="1010"/>
      <c r="F225" s="1010"/>
      <c r="G225" s="1011"/>
      <c r="H225" s="762" t="s">
        <v>35</v>
      </c>
      <c r="I225" s="880">
        <f ca="1">IFERROR(__xludf.DUMMYFUNCTION("IMPORTRANGE(""https://docs.google.com/spreadsheets/d/1QqKyyYR6Q21VydFLVH3TRQUabQu_ym0Zz7PgGX0-kHA/edit?usp=sharing"",""แผน!AS87"")"),0)</f>
        <v>0</v>
      </c>
      <c r="J225" s="1012">
        <v>0</v>
      </c>
      <c r="K225" s="998">
        <f t="shared" ca="1" si="104"/>
        <v>0</v>
      </c>
      <c r="L225" s="881"/>
      <c r="M225" s="881"/>
      <c r="N225" s="881"/>
      <c r="O225" s="881"/>
      <c r="P225" s="881"/>
      <c r="Q225" s="868"/>
      <c r="R225" s="868"/>
      <c r="S225" s="868"/>
      <c r="T225" s="868"/>
      <c r="U225" s="868"/>
      <c r="V225" s="868"/>
      <c r="W225" s="868"/>
      <c r="X225" s="868"/>
      <c r="Y225" s="868"/>
      <c r="Z225" s="868"/>
    </row>
    <row r="226" spans="1:26" ht="19.5" hidden="1">
      <c r="A226" s="1063"/>
      <c r="B226" s="1070"/>
      <c r="C226" s="1093" t="s">
        <v>115</v>
      </c>
      <c r="D226" s="1064"/>
      <c r="E226" s="1064"/>
      <c r="F226" s="1064"/>
      <c r="G226" s="1066"/>
      <c r="H226" s="266" t="s">
        <v>35</v>
      </c>
      <c r="I226" s="1094" t="e">
        <f t="shared" ref="I226:J226" ca="1" si="105">I237+I248</f>
        <v>#VALUE!</v>
      </c>
      <c r="J226" s="1094">
        <f t="shared" si="105"/>
        <v>0</v>
      </c>
      <c r="K226" s="1095" t="e">
        <f t="shared" ca="1" si="104"/>
        <v>#VALUE!</v>
      </c>
      <c r="L226" s="1068"/>
      <c r="M226" s="1068"/>
      <c r="N226" s="1068"/>
      <c r="O226" s="1068"/>
      <c r="P226" s="1068"/>
    </row>
    <row r="227" spans="1:26" ht="19.5" hidden="1">
      <c r="A227" s="1096"/>
      <c r="B227" s="1097"/>
      <c r="C227" s="1098" t="s">
        <v>16</v>
      </c>
      <c r="D227" s="1099" t="s">
        <v>17</v>
      </c>
      <c r="E227" s="1097"/>
      <c r="F227" s="1097"/>
      <c r="G227" s="1100"/>
      <c r="H227" s="353" t="s">
        <v>12</v>
      </c>
      <c r="I227" s="1101"/>
      <c r="J227" s="1101"/>
      <c r="K227" s="1102"/>
      <c r="L227" s="1103">
        <f t="shared" ref="L227:L231" ca="1" si="106">L238+L249</f>
        <v>0</v>
      </c>
      <c r="M227" s="1103"/>
      <c r="N227" s="1103">
        <f t="shared" ref="N227:N231" si="107">N238+N249</f>
        <v>0</v>
      </c>
      <c r="O227" s="1104"/>
      <c r="P227" s="1104"/>
      <c r="Q227" s="875"/>
      <c r="R227" s="875"/>
      <c r="S227" s="875"/>
      <c r="T227" s="875"/>
      <c r="U227" s="875"/>
      <c r="V227" s="875"/>
      <c r="W227" s="875"/>
      <c r="X227" s="875"/>
      <c r="Y227" s="875"/>
      <c r="Z227" s="875"/>
    </row>
    <row r="228" spans="1:26" ht="18.75" hidden="1">
      <c r="A228" s="993"/>
      <c r="B228" s="1105"/>
      <c r="C228" s="883"/>
      <c r="D228" s="884" t="s">
        <v>97</v>
      </c>
      <c r="E228" s="883"/>
      <c r="F228" s="883"/>
      <c r="G228" s="885"/>
      <c r="H228" s="165" t="s">
        <v>12</v>
      </c>
      <c r="I228" s="1000"/>
      <c r="J228" s="1000"/>
      <c r="K228" s="1001"/>
      <c r="L228" s="887">
        <f t="shared" ca="1" si="106"/>
        <v>0</v>
      </c>
      <c r="M228" s="887"/>
      <c r="N228" s="887">
        <f t="shared" si="107"/>
        <v>0</v>
      </c>
      <c r="O228" s="887"/>
      <c r="P228" s="887"/>
      <c r="Q228" s="875"/>
      <c r="R228" s="875"/>
      <c r="S228" s="875"/>
      <c r="T228" s="875"/>
      <c r="U228" s="875"/>
      <c r="V228" s="875"/>
      <c r="W228" s="875"/>
      <c r="X228" s="875"/>
      <c r="Y228" s="875"/>
      <c r="Z228" s="875"/>
    </row>
    <row r="229" spans="1:26" ht="19.5" hidden="1">
      <c r="A229" s="1106"/>
      <c r="B229" s="1105"/>
      <c r="C229" s="1107"/>
      <c r="D229" s="884" t="s">
        <v>98</v>
      </c>
      <c r="E229" s="883"/>
      <c r="F229" s="883"/>
      <c r="G229" s="885"/>
      <c r="H229" s="165" t="s">
        <v>12</v>
      </c>
      <c r="I229" s="886"/>
      <c r="J229" s="886"/>
      <c r="K229" s="887"/>
      <c r="L229" s="887">
        <f t="shared" ca="1" si="106"/>
        <v>0</v>
      </c>
      <c r="M229" s="887"/>
      <c r="N229" s="887">
        <f t="shared" si="107"/>
        <v>0</v>
      </c>
      <c r="O229" s="887"/>
      <c r="P229" s="887"/>
      <c r="Q229" s="1108"/>
      <c r="R229" s="1108"/>
      <c r="S229" s="1108"/>
      <c r="T229" s="1108"/>
      <c r="U229" s="1108"/>
      <c r="V229" s="1108"/>
      <c r="W229" s="1108"/>
      <c r="X229" s="1108"/>
      <c r="Y229" s="1108"/>
      <c r="Z229" s="1108"/>
    </row>
    <row r="230" spans="1:26" ht="19.5" hidden="1">
      <c r="A230" s="1106"/>
      <c r="B230" s="1105"/>
      <c r="C230" s="1107"/>
      <c r="D230" s="884" t="s">
        <v>116</v>
      </c>
      <c r="E230" s="883"/>
      <c r="F230" s="883"/>
      <c r="G230" s="885"/>
      <c r="H230" s="165" t="s">
        <v>12</v>
      </c>
      <c r="I230" s="886"/>
      <c r="J230" s="886"/>
      <c r="K230" s="887"/>
      <c r="L230" s="887">
        <f t="shared" ca="1" si="106"/>
        <v>0</v>
      </c>
      <c r="M230" s="887"/>
      <c r="N230" s="887">
        <f t="shared" si="107"/>
        <v>0</v>
      </c>
      <c r="O230" s="887"/>
      <c r="P230" s="887"/>
      <c r="Q230" s="1108"/>
      <c r="R230" s="1108"/>
      <c r="S230" s="1108"/>
      <c r="T230" s="1108"/>
      <c r="U230" s="1108"/>
      <c r="V230" s="1108"/>
      <c r="W230" s="1108"/>
      <c r="X230" s="1108"/>
      <c r="Y230" s="1108"/>
      <c r="Z230" s="1108"/>
    </row>
    <row r="231" spans="1:26" ht="19.5" hidden="1">
      <c r="A231" s="1106"/>
      <c r="B231" s="1105"/>
      <c r="C231" s="1107"/>
      <c r="D231" s="884" t="s">
        <v>100</v>
      </c>
      <c r="E231" s="883"/>
      <c r="F231" s="883"/>
      <c r="G231" s="885"/>
      <c r="H231" s="165" t="s">
        <v>12</v>
      </c>
      <c r="I231" s="886"/>
      <c r="J231" s="886"/>
      <c r="K231" s="887"/>
      <c r="L231" s="887">
        <f t="shared" ca="1" si="106"/>
        <v>0</v>
      </c>
      <c r="M231" s="887"/>
      <c r="N231" s="887">
        <f t="shared" si="107"/>
        <v>0</v>
      </c>
      <c r="O231" s="887"/>
      <c r="P231" s="887"/>
      <c r="Q231" s="1108"/>
      <c r="R231" s="1108"/>
      <c r="S231" s="1108"/>
      <c r="T231" s="1108"/>
      <c r="U231" s="1108"/>
      <c r="V231" s="1108"/>
      <c r="W231" s="1108"/>
      <c r="X231" s="1108"/>
      <c r="Y231" s="1108"/>
      <c r="Z231" s="1108"/>
    </row>
    <row r="232" spans="1:26" ht="19.5" hidden="1">
      <c r="A232" s="1109"/>
      <c r="B232" s="1110"/>
      <c r="C232" s="1107" t="s">
        <v>16</v>
      </c>
      <c r="D232" s="1072" t="s">
        <v>38</v>
      </c>
      <c r="E232" s="1111"/>
      <c r="F232" s="1111"/>
      <c r="G232" s="1112"/>
      <c r="H232" s="1113"/>
      <c r="I232" s="1000"/>
      <c r="J232" s="886"/>
      <c r="K232" s="887"/>
      <c r="L232" s="887"/>
      <c r="M232" s="887"/>
      <c r="N232" s="887"/>
      <c r="O232" s="1001"/>
      <c r="P232" s="1001"/>
      <c r="Q232" s="875"/>
      <c r="R232" s="875"/>
      <c r="S232" s="875"/>
      <c r="T232" s="875"/>
      <c r="U232" s="875"/>
      <c r="V232" s="875"/>
      <c r="W232" s="875"/>
      <c r="X232" s="875"/>
      <c r="Y232" s="875"/>
      <c r="Z232" s="875"/>
    </row>
    <row r="233" spans="1:26" ht="18.75" hidden="1">
      <c r="A233" s="1109"/>
      <c r="B233" s="1110"/>
      <c r="C233" s="1110"/>
      <c r="D233" s="1074" t="s">
        <v>117</v>
      </c>
      <c r="E233" s="1114"/>
      <c r="F233" s="1114"/>
      <c r="G233" s="1115"/>
      <c r="H233" s="370" t="s">
        <v>35</v>
      </c>
      <c r="I233" s="886" t="e">
        <f t="shared" ref="I233:J233" ca="1" si="108">I244+I255</f>
        <v>#VALUE!</v>
      </c>
      <c r="J233" s="886">
        <f t="shared" si="108"/>
        <v>0</v>
      </c>
      <c r="K233" s="887" t="e">
        <f ca="1">IF(I233&gt;0,J233*100/I233,0)</f>
        <v>#VALUE!</v>
      </c>
      <c r="L233" s="887"/>
      <c r="M233" s="887"/>
      <c r="N233" s="887"/>
      <c r="O233" s="887"/>
      <c r="P233" s="887"/>
      <c r="Q233" s="875"/>
      <c r="R233" s="875"/>
      <c r="S233" s="875"/>
      <c r="T233" s="875"/>
      <c r="U233" s="875"/>
      <c r="V233" s="875"/>
      <c r="W233" s="875"/>
      <c r="X233" s="875"/>
      <c r="Y233" s="875"/>
      <c r="Z233" s="875"/>
    </row>
    <row r="234" spans="1:26" ht="18.75" hidden="1">
      <c r="A234" s="1109"/>
      <c r="B234" s="1110"/>
      <c r="C234" s="1110"/>
      <c r="D234" s="1116" t="s">
        <v>43</v>
      </c>
      <c r="E234" s="1114"/>
      <c r="F234" s="1114"/>
      <c r="G234" s="1115"/>
      <c r="H234" s="370"/>
      <c r="I234" s="886"/>
      <c r="J234" s="886"/>
      <c r="K234" s="887"/>
      <c r="L234" s="887"/>
      <c r="M234" s="887"/>
      <c r="N234" s="887"/>
      <c r="O234" s="1001"/>
      <c r="P234" s="1001"/>
      <c r="Q234" s="875"/>
      <c r="R234" s="875"/>
      <c r="S234" s="875"/>
      <c r="T234" s="875"/>
      <c r="U234" s="875"/>
      <c r="V234" s="875"/>
      <c r="W234" s="875"/>
      <c r="X234" s="875"/>
      <c r="Y234" s="875"/>
      <c r="Z234" s="875"/>
    </row>
    <row r="235" spans="1:26" ht="18.75" hidden="1">
      <c r="A235" s="1109"/>
      <c r="B235" s="1110"/>
      <c r="C235" s="1110"/>
      <c r="D235" s="1110"/>
      <c r="E235" s="1073" t="s">
        <v>118</v>
      </c>
      <c r="F235" s="1114"/>
      <c r="G235" s="1115"/>
      <c r="H235" s="370" t="s">
        <v>35</v>
      </c>
      <c r="I235" s="886">
        <f t="shared" ref="I235:J236" si="109">I246+I257</f>
        <v>0</v>
      </c>
      <c r="J235" s="886">
        <f t="shared" si="109"/>
        <v>0</v>
      </c>
      <c r="K235" s="887">
        <f t="shared" ref="K235:K237" si="110">IF(I235&gt;0,J235*100/I235,0)</f>
        <v>0</v>
      </c>
      <c r="L235" s="887"/>
      <c r="M235" s="887"/>
      <c r="N235" s="887"/>
      <c r="O235" s="887"/>
      <c r="P235" s="887"/>
      <c r="Q235" s="875"/>
      <c r="R235" s="875"/>
      <c r="S235" s="875"/>
      <c r="T235" s="875"/>
      <c r="U235" s="875"/>
      <c r="V235" s="875"/>
      <c r="W235" s="875"/>
      <c r="X235" s="875"/>
      <c r="Y235" s="875"/>
      <c r="Z235" s="875"/>
    </row>
    <row r="236" spans="1:26" ht="18.75" hidden="1">
      <c r="A236" s="1109"/>
      <c r="B236" s="1110"/>
      <c r="C236" s="1110"/>
      <c r="D236" s="1110"/>
      <c r="E236" s="1073" t="s">
        <v>119</v>
      </c>
      <c r="F236" s="1114"/>
      <c r="G236" s="1115"/>
      <c r="H236" s="370" t="s">
        <v>66</v>
      </c>
      <c r="I236" s="886">
        <f t="shared" si="109"/>
        <v>0</v>
      </c>
      <c r="J236" s="886">
        <f t="shared" si="109"/>
        <v>0</v>
      </c>
      <c r="K236" s="887">
        <f t="shared" si="110"/>
        <v>0</v>
      </c>
      <c r="L236" s="887"/>
      <c r="M236" s="887"/>
      <c r="N236" s="887"/>
      <c r="O236" s="887"/>
      <c r="P236" s="887"/>
      <c r="Q236" s="875"/>
      <c r="R236" s="875"/>
      <c r="S236" s="875"/>
      <c r="T236" s="875"/>
      <c r="U236" s="875"/>
      <c r="V236" s="875"/>
      <c r="W236" s="875"/>
      <c r="X236" s="875"/>
      <c r="Y236" s="875"/>
      <c r="Z236" s="875"/>
    </row>
    <row r="237" spans="1:26" ht="19.5" hidden="1">
      <c r="A237" s="1063"/>
      <c r="B237" s="1070"/>
      <c r="C237" s="1077" t="s">
        <v>332</v>
      </c>
      <c r="D237" s="1064"/>
      <c r="E237" s="1064"/>
      <c r="F237" s="1064"/>
      <c r="G237" s="1066"/>
      <c r="H237" s="260" t="s">
        <v>35</v>
      </c>
      <c r="I237" s="1078">
        <f t="shared" ref="I237:J237" ca="1" si="111">I244</f>
        <v>0</v>
      </c>
      <c r="J237" s="1078">
        <f t="shared" si="111"/>
        <v>0</v>
      </c>
      <c r="K237" s="1079">
        <f t="shared" ca="1" si="110"/>
        <v>0</v>
      </c>
      <c r="L237" s="1068"/>
      <c r="M237" s="1068"/>
      <c r="N237" s="1068"/>
      <c r="O237" s="1068"/>
      <c r="P237" s="1068"/>
    </row>
    <row r="238" spans="1:26" ht="19.5" hidden="1">
      <c r="A238" s="985"/>
      <c r="B238" s="986"/>
      <c r="C238" s="987" t="s">
        <v>16</v>
      </c>
      <c r="D238" s="988" t="s">
        <v>17</v>
      </c>
      <c r="E238" s="986"/>
      <c r="F238" s="986"/>
      <c r="G238" s="989"/>
      <c r="H238" s="275" t="s">
        <v>12</v>
      </c>
      <c r="I238" s="1082"/>
      <c r="J238" s="1082"/>
      <c r="K238" s="1083"/>
      <c r="L238" s="992">
        <f ca="1">L239+L240+L241+L242</f>
        <v>0</v>
      </c>
      <c r="M238" s="992"/>
      <c r="N238" s="992">
        <f>N239+N240+N241+N242</f>
        <v>0</v>
      </c>
      <c r="O238" s="992">
        <f ca="1">IF(L238&gt;0,N238*100/L238,0)</f>
        <v>0</v>
      </c>
      <c r="P238" s="992">
        <f>IF(M238&gt;0,N238*100/M238,0)</f>
        <v>0</v>
      </c>
      <c r="Q238" s="868"/>
      <c r="R238" s="868"/>
      <c r="S238" s="868"/>
      <c r="T238" s="868"/>
      <c r="U238" s="868"/>
      <c r="V238" s="868"/>
      <c r="W238" s="868"/>
      <c r="X238" s="868"/>
      <c r="Y238" s="868"/>
      <c r="Z238" s="868"/>
    </row>
    <row r="239" spans="1:26" ht="18.75" hidden="1">
      <c r="A239" s="1117"/>
      <c r="B239" s="1118"/>
      <c r="C239" s="1119"/>
      <c r="D239" s="1120" t="s">
        <v>97</v>
      </c>
      <c r="E239" s="1119"/>
      <c r="F239" s="1119"/>
      <c r="G239" s="1121"/>
      <c r="H239" s="319" t="s">
        <v>12</v>
      </c>
      <c r="I239" s="1122"/>
      <c r="J239" s="1122"/>
      <c r="K239" s="1123"/>
      <c r="L239" s="1124">
        <f ca="1">IFERROR(__xludf.DUMMYFUNCTION("IMPORTRANGE(""https://docs.google.com/spreadsheets/d/1QqKyyYR6Q21VydFLVH3TRQUabQu_ym0Zz7PgGX0-kHA/edit?usp=sharing"",""แผน!AV87"")"),0)</f>
        <v>0</v>
      </c>
      <c r="M239" s="1124"/>
      <c r="N239" s="1125">
        <v>0</v>
      </c>
      <c r="O239" s="1124"/>
      <c r="P239" s="1124"/>
      <c r="Q239" s="1126"/>
      <c r="R239" s="1126"/>
      <c r="S239" s="1126"/>
      <c r="T239" s="1126"/>
      <c r="U239" s="1126"/>
      <c r="V239" s="1126"/>
      <c r="W239" s="1126"/>
      <c r="X239" s="1126"/>
      <c r="Y239" s="1126"/>
      <c r="Z239" s="1126"/>
    </row>
    <row r="240" spans="1:26" ht="19.5" hidden="1">
      <c r="A240" s="1127"/>
      <c r="B240" s="1118"/>
      <c r="C240" s="1128"/>
      <c r="D240" s="1120" t="s">
        <v>98</v>
      </c>
      <c r="E240" s="1119"/>
      <c r="F240" s="1119"/>
      <c r="G240" s="1121"/>
      <c r="H240" s="319" t="s">
        <v>12</v>
      </c>
      <c r="I240" s="1129"/>
      <c r="J240" s="1129"/>
      <c r="K240" s="1124"/>
      <c r="L240" s="1124">
        <f ca="1">IFERROR(__xludf.DUMMYFUNCTION("IMPORTRANGE(""https://docs.google.com/spreadsheets/d/1QqKyyYR6Q21VydFLVH3TRQUabQu_ym0Zz7PgGX0-kHA/edit?usp=sharing"",""แผน!AW87"")"),0)</f>
        <v>0</v>
      </c>
      <c r="M240" s="1124"/>
      <c r="N240" s="1125">
        <v>0</v>
      </c>
      <c r="O240" s="1124"/>
      <c r="P240" s="1124"/>
      <c r="Q240" s="1130"/>
      <c r="R240" s="1130"/>
      <c r="S240" s="1130"/>
      <c r="T240" s="1130"/>
      <c r="U240" s="1130"/>
      <c r="V240" s="1130"/>
      <c r="W240" s="1130"/>
      <c r="X240" s="1130"/>
      <c r="Y240" s="1130"/>
      <c r="Z240" s="1130"/>
    </row>
    <row r="241" spans="1:26" ht="19.5" hidden="1">
      <c r="A241" s="1127"/>
      <c r="B241" s="1118"/>
      <c r="C241" s="1128"/>
      <c r="D241" s="1120" t="s">
        <v>116</v>
      </c>
      <c r="E241" s="1119"/>
      <c r="F241" s="1119"/>
      <c r="G241" s="1121"/>
      <c r="H241" s="319" t="s">
        <v>12</v>
      </c>
      <c r="I241" s="1129"/>
      <c r="J241" s="1129"/>
      <c r="K241" s="1124"/>
      <c r="L241" s="1124">
        <f ca="1">IFERROR(__xludf.DUMMYFUNCTION("IMPORTRANGE(""https://docs.google.com/spreadsheets/d/1QqKyyYR6Q21VydFLVH3TRQUabQu_ym0Zz7PgGX0-kHA/edit?usp=sharing"",""แผน!AX87"")"),0)</f>
        <v>0</v>
      </c>
      <c r="M241" s="1124"/>
      <c r="N241" s="1125">
        <v>0</v>
      </c>
      <c r="O241" s="1124"/>
      <c r="P241" s="1124"/>
      <c r="Q241" s="1130"/>
      <c r="R241" s="1130"/>
      <c r="S241" s="1130"/>
      <c r="T241" s="1130"/>
      <c r="U241" s="1130"/>
      <c r="V241" s="1130"/>
      <c r="W241" s="1130"/>
      <c r="X241" s="1130"/>
      <c r="Y241" s="1130"/>
      <c r="Z241" s="1130"/>
    </row>
    <row r="242" spans="1:26" ht="19.5" hidden="1">
      <c r="A242" s="1127"/>
      <c r="B242" s="1118"/>
      <c r="C242" s="1128"/>
      <c r="D242" s="1120" t="s">
        <v>100</v>
      </c>
      <c r="E242" s="1119"/>
      <c r="F242" s="1119"/>
      <c r="G242" s="1121"/>
      <c r="H242" s="319" t="s">
        <v>12</v>
      </c>
      <c r="I242" s="1129"/>
      <c r="J242" s="1129"/>
      <c r="K242" s="1124"/>
      <c r="L242" s="1124">
        <f ca="1">IFERROR(__xludf.DUMMYFUNCTION("IMPORTRANGE(""https://docs.google.com/spreadsheets/d/1QqKyyYR6Q21VydFLVH3TRQUabQu_ym0Zz7PgGX0-kHA/edit?usp=sharing"",""แผน!AY87"")"),0)</f>
        <v>0</v>
      </c>
      <c r="M242" s="1124"/>
      <c r="N242" s="1125">
        <v>0</v>
      </c>
      <c r="O242" s="1124"/>
      <c r="P242" s="1124"/>
      <c r="Q242" s="1130"/>
      <c r="R242" s="1130"/>
      <c r="S242" s="1130"/>
      <c r="T242" s="1130"/>
      <c r="U242" s="1130"/>
      <c r="V242" s="1130"/>
      <c r="W242" s="1130"/>
      <c r="X242" s="1130"/>
      <c r="Y242" s="1130"/>
      <c r="Z242" s="1130"/>
    </row>
    <row r="243" spans="1:26" ht="19.5" hidden="1">
      <c r="A243" s="1002"/>
      <c r="B243" s="1003"/>
      <c r="C243" s="1092" t="s">
        <v>16</v>
      </c>
      <c r="D243" s="1004" t="s">
        <v>38</v>
      </c>
      <c r="E243" s="1005"/>
      <c r="F243" s="1005"/>
      <c r="G243" s="1006"/>
      <c r="H243" s="1007"/>
      <c r="I243" s="997"/>
      <c r="J243" s="880"/>
      <c r="K243" s="881"/>
      <c r="L243" s="881"/>
      <c r="M243" s="881"/>
      <c r="N243" s="881"/>
      <c r="O243" s="998"/>
      <c r="P243" s="998"/>
      <c r="Q243" s="868"/>
      <c r="R243" s="868"/>
      <c r="S243" s="868"/>
      <c r="T243" s="868"/>
      <c r="U243" s="868"/>
      <c r="V243" s="868"/>
      <c r="W243" s="868"/>
      <c r="X243" s="868"/>
      <c r="Y243" s="868"/>
      <c r="Z243" s="868"/>
    </row>
    <row r="244" spans="1:26" ht="18.75" hidden="1">
      <c r="A244" s="1002"/>
      <c r="B244" s="1003"/>
      <c r="C244" s="1003"/>
      <c r="D244" s="1009" t="s">
        <v>117</v>
      </c>
      <c r="E244" s="1010"/>
      <c r="F244" s="1010"/>
      <c r="G244" s="1011"/>
      <c r="H244" s="762" t="s">
        <v>35</v>
      </c>
      <c r="I244" s="880">
        <f ca="1">IFERROR(__xludf.DUMMYFUNCTION("IMPORTRANGE(""https://docs.google.com/spreadsheets/d/1QqKyyYR6Q21VydFLVH3TRQUabQu_ym0Zz7PgGX0-kHA/edit?usp=sharing"",""แผน!BE87"")"),0)</f>
        <v>0</v>
      </c>
      <c r="J244" s="1012">
        <v>0</v>
      </c>
      <c r="K244" s="881">
        <f ca="1">IF(I244&gt;0,J244*100/I244,0)</f>
        <v>0</v>
      </c>
      <c r="L244" s="881"/>
      <c r="M244" s="881"/>
      <c r="N244" s="881"/>
      <c r="O244" s="881"/>
      <c r="P244" s="881"/>
      <c r="Q244" s="868"/>
      <c r="R244" s="868"/>
      <c r="S244" s="868"/>
      <c r="T244" s="868"/>
      <c r="U244" s="868"/>
      <c r="V244" s="868"/>
      <c r="W244" s="868"/>
      <c r="X244" s="868"/>
      <c r="Y244" s="868"/>
      <c r="Z244" s="868"/>
    </row>
    <row r="245" spans="1:26" ht="18.75" hidden="1">
      <c r="A245" s="1002"/>
      <c r="B245" s="1003"/>
      <c r="C245" s="1003"/>
      <c r="D245" s="1131" t="s">
        <v>43</v>
      </c>
      <c r="E245" s="1010"/>
      <c r="F245" s="1010"/>
      <c r="G245" s="1011"/>
      <c r="H245" s="762"/>
      <c r="I245" s="880"/>
      <c r="J245" s="880"/>
      <c r="K245" s="881"/>
      <c r="L245" s="881"/>
      <c r="M245" s="881"/>
      <c r="N245" s="881"/>
      <c r="O245" s="998"/>
      <c r="P245" s="998"/>
      <c r="Q245" s="868"/>
      <c r="R245" s="868"/>
      <c r="S245" s="868"/>
      <c r="T245" s="868"/>
      <c r="U245" s="868"/>
      <c r="V245" s="868"/>
      <c r="W245" s="868"/>
      <c r="X245" s="868"/>
      <c r="Y245" s="868"/>
      <c r="Z245" s="868"/>
    </row>
    <row r="246" spans="1:26" ht="18.75" hidden="1">
      <c r="A246" s="1002"/>
      <c r="B246" s="1003"/>
      <c r="C246" s="1003"/>
      <c r="D246" s="1003"/>
      <c r="E246" s="1008" t="s">
        <v>118</v>
      </c>
      <c r="F246" s="1010"/>
      <c r="G246" s="1011"/>
      <c r="H246" s="762" t="s">
        <v>35</v>
      </c>
      <c r="I246" s="880"/>
      <c r="J246" s="1012">
        <v>0</v>
      </c>
      <c r="K246" s="881">
        <f t="shared" ref="K246:K248" si="112">IF(I246&gt;0,J246*100/I246,0)</f>
        <v>0</v>
      </c>
      <c r="L246" s="881"/>
      <c r="M246" s="881"/>
      <c r="N246" s="881"/>
      <c r="O246" s="881"/>
      <c r="P246" s="881"/>
      <c r="Q246" s="868"/>
      <c r="R246" s="868"/>
      <c r="S246" s="868"/>
      <c r="T246" s="868"/>
      <c r="U246" s="868"/>
      <c r="V246" s="868"/>
      <c r="W246" s="868"/>
      <c r="X246" s="868"/>
      <c r="Y246" s="868"/>
      <c r="Z246" s="868"/>
    </row>
    <row r="247" spans="1:26" ht="18.75" hidden="1">
      <c r="A247" s="1002"/>
      <c r="B247" s="1003"/>
      <c r="C247" s="1003"/>
      <c r="D247" s="1003"/>
      <c r="E247" s="1008" t="s">
        <v>119</v>
      </c>
      <c r="F247" s="1010"/>
      <c r="G247" s="1011"/>
      <c r="H247" s="762" t="s">
        <v>66</v>
      </c>
      <c r="I247" s="880"/>
      <c r="J247" s="1012">
        <v>0</v>
      </c>
      <c r="K247" s="881">
        <f t="shared" si="112"/>
        <v>0</v>
      </c>
      <c r="L247" s="881"/>
      <c r="M247" s="881"/>
      <c r="N247" s="881"/>
      <c r="O247" s="881"/>
      <c r="P247" s="881"/>
      <c r="Q247" s="868"/>
      <c r="R247" s="868"/>
      <c r="S247" s="868"/>
      <c r="T247" s="868"/>
      <c r="U247" s="868"/>
      <c r="V247" s="868"/>
      <c r="W247" s="868"/>
      <c r="X247" s="868"/>
      <c r="Y247" s="868"/>
      <c r="Z247" s="868"/>
    </row>
    <row r="248" spans="1:26" ht="19.5" hidden="1">
      <c r="A248" s="1063"/>
      <c r="B248" s="1070"/>
      <c r="C248" s="1077" t="s">
        <v>333</v>
      </c>
      <c r="D248" s="1064"/>
      <c r="E248" s="1064"/>
      <c r="F248" s="1064"/>
      <c r="G248" s="1066"/>
      <c r="H248" s="260" t="s">
        <v>35</v>
      </c>
      <c r="I248" s="1078" t="str">
        <f t="shared" ref="I248:J248" ca="1" si="113">I255</f>
        <v/>
      </c>
      <c r="J248" s="1078">
        <f t="shared" si="113"/>
        <v>0</v>
      </c>
      <c r="K248" s="1079" t="e">
        <f t="shared" ca="1" si="112"/>
        <v>#VALUE!</v>
      </c>
      <c r="L248" s="1068"/>
      <c r="M248" s="1068"/>
      <c r="N248" s="1068"/>
      <c r="O248" s="1068"/>
      <c r="P248" s="1068"/>
    </row>
    <row r="249" spans="1:26" ht="19.5" hidden="1">
      <c r="A249" s="985"/>
      <c r="B249" s="986"/>
      <c r="C249" s="987" t="s">
        <v>16</v>
      </c>
      <c r="D249" s="1080" t="s">
        <v>17</v>
      </c>
      <c r="E249" s="986"/>
      <c r="F249" s="986"/>
      <c r="G249" s="989"/>
      <c r="H249" s="275" t="s">
        <v>12</v>
      </c>
      <c r="I249" s="1082"/>
      <c r="J249" s="1082"/>
      <c r="K249" s="1083"/>
      <c r="L249" s="992">
        <f ca="1">L250+L251+L252+L253</f>
        <v>0</v>
      </c>
      <c r="M249" s="992"/>
      <c r="N249" s="992">
        <f>N250+N251+N252+N253</f>
        <v>0</v>
      </c>
      <c r="O249" s="992">
        <f ca="1">IF(L249&gt;0,N249*100/L249,0)</f>
        <v>0</v>
      </c>
      <c r="P249" s="992">
        <f>IF(M249&gt;0,N249*100/M249,0)</f>
        <v>0</v>
      </c>
      <c r="Q249" s="868"/>
      <c r="R249" s="868"/>
      <c r="S249" s="868"/>
      <c r="T249" s="868"/>
      <c r="U249" s="868"/>
      <c r="V249" s="868"/>
      <c r="W249" s="868"/>
      <c r="X249" s="868"/>
      <c r="Y249" s="868"/>
      <c r="Z249" s="868"/>
    </row>
    <row r="250" spans="1:26" ht="18.75" hidden="1">
      <c r="A250" s="1117"/>
      <c r="B250" s="1118"/>
      <c r="C250" s="1119"/>
      <c r="D250" s="1120" t="s">
        <v>97</v>
      </c>
      <c r="E250" s="1119"/>
      <c r="F250" s="1119"/>
      <c r="G250" s="1121"/>
      <c r="H250" s="319" t="s">
        <v>12</v>
      </c>
      <c r="I250" s="1122"/>
      <c r="J250" s="1122"/>
      <c r="K250" s="1123"/>
      <c r="L250" s="1124">
        <f ca="1">IFERROR(__xludf.DUMMYFUNCTION("IMPORTRANGE(""https://docs.google.com/spreadsheets/d/1QqKyyYR6Q21VydFLVH3TRQUabQu_ym0Zz7PgGX0-kHA/edit?usp=sharing"",""แผน!AZ87"")"),0)</f>
        <v>0</v>
      </c>
      <c r="M250" s="1124"/>
      <c r="N250" s="1125">
        <v>0</v>
      </c>
      <c r="O250" s="1124"/>
      <c r="P250" s="1124"/>
      <c r="Q250" s="1126"/>
      <c r="R250" s="1126"/>
      <c r="S250" s="1126"/>
      <c r="T250" s="1126"/>
      <c r="U250" s="1126"/>
      <c r="V250" s="1126"/>
      <c r="W250" s="1126"/>
      <c r="X250" s="1126"/>
      <c r="Y250" s="1126"/>
      <c r="Z250" s="1126"/>
    </row>
    <row r="251" spans="1:26" ht="19.5" hidden="1">
      <c r="A251" s="1127"/>
      <c r="B251" s="1118"/>
      <c r="C251" s="1128"/>
      <c r="D251" s="1120" t="s">
        <v>98</v>
      </c>
      <c r="E251" s="1119"/>
      <c r="F251" s="1119"/>
      <c r="G251" s="1121"/>
      <c r="H251" s="319" t="s">
        <v>12</v>
      </c>
      <c r="I251" s="1129"/>
      <c r="J251" s="1129"/>
      <c r="K251" s="1124"/>
      <c r="L251" s="1124">
        <f ca="1">IFERROR(__xludf.DUMMYFUNCTION("IMPORTRANGE(""https://docs.google.com/spreadsheets/d/1QqKyyYR6Q21VydFLVH3TRQUabQu_ym0Zz7PgGX0-kHA/edit?usp=sharing"",""แผน!BA87"")"),0)</f>
        <v>0</v>
      </c>
      <c r="M251" s="1124"/>
      <c r="N251" s="1125">
        <v>0</v>
      </c>
      <c r="O251" s="1124"/>
      <c r="P251" s="1124"/>
      <c r="Q251" s="1130"/>
      <c r="R251" s="1130"/>
      <c r="S251" s="1130"/>
      <c r="T251" s="1130"/>
      <c r="U251" s="1130"/>
      <c r="V251" s="1130"/>
      <c r="W251" s="1130"/>
      <c r="X251" s="1130"/>
      <c r="Y251" s="1130"/>
      <c r="Z251" s="1130"/>
    </row>
    <row r="252" spans="1:26" ht="19.5" hidden="1">
      <c r="A252" s="1127"/>
      <c r="B252" s="1118"/>
      <c r="C252" s="1128"/>
      <c r="D252" s="1120" t="s">
        <v>116</v>
      </c>
      <c r="E252" s="1119"/>
      <c r="F252" s="1119"/>
      <c r="G252" s="1121"/>
      <c r="H252" s="319" t="s">
        <v>12</v>
      </c>
      <c r="I252" s="1129"/>
      <c r="J252" s="1129"/>
      <c r="K252" s="1124"/>
      <c r="L252" s="1124">
        <f ca="1">IFERROR(__xludf.DUMMYFUNCTION("IMPORTRANGE(""https://docs.google.com/spreadsheets/d/1QqKyyYR6Q21VydFLVH3TRQUabQu_ym0Zz7PgGX0-kHA/edit?usp=sharing"",""แผน!BB87"")"),0)</f>
        <v>0</v>
      </c>
      <c r="M252" s="1124"/>
      <c r="N252" s="1125">
        <v>0</v>
      </c>
      <c r="O252" s="1124"/>
      <c r="P252" s="1124"/>
      <c r="Q252" s="1130"/>
      <c r="R252" s="1130"/>
      <c r="S252" s="1130"/>
      <c r="T252" s="1130"/>
      <c r="U252" s="1130"/>
      <c r="V252" s="1130"/>
      <c r="W252" s="1130"/>
      <c r="X252" s="1130"/>
      <c r="Y252" s="1130"/>
      <c r="Z252" s="1130"/>
    </row>
    <row r="253" spans="1:26" ht="19.5" hidden="1">
      <c r="A253" s="1127"/>
      <c r="B253" s="1118"/>
      <c r="C253" s="1128"/>
      <c r="D253" s="1120" t="s">
        <v>100</v>
      </c>
      <c r="E253" s="1119"/>
      <c r="F253" s="1119"/>
      <c r="G253" s="1121"/>
      <c r="H253" s="319" t="s">
        <v>12</v>
      </c>
      <c r="I253" s="1129"/>
      <c r="J253" s="1129"/>
      <c r="K253" s="1124"/>
      <c r="L253" s="1124">
        <f ca="1">IFERROR(__xludf.DUMMYFUNCTION("IMPORTRANGE(""https://docs.google.com/spreadsheets/d/1QqKyyYR6Q21VydFLVH3TRQUabQu_ym0Zz7PgGX0-kHA/edit?usp=sharing"",""แผน!BC87"")"),0)</f>
        <v>0</v>
      </c>
      <c r="M253" s="1124"/>
      <c r="N253" s="1125">
        <v>0</v>
      </c>
      <c r="O253" s="1124"/>
      <c r="P253" s="1124"/>
      <c r="Q253" s="1130"/>
      <c r="R253" s="1130"/>
      <c r="S253" s="1130"/>
      <c r="T253" s="1130"/>
      <c r="U253" s="1130"/>
      <c r="V253" s="1130"/>
      <c r="W253" s="1130"/>
      <c r="X253" s="1130"/>
      <c r="Y253" s="1130"/>
      <c r="Z253" s="1130"/>
    </row>
    <row r="254" spans="1:26" ht="19.5" hidden="1">
      <c r="A254" s="1002"/>
      <c r="B254" s="1003"/>
      <c r="C254" s="1092" t="s">
        <v>16</v>
      </c>
      <c r="D254" s="1004" t="s">
        <v>38</v>
      </c>
      <c r="E254" s="1005"/>
      <c r="F254" s="1005"/>
      <c r="G254" s="1006"/>
      <c r="H254" s="1007"/>
      <c r="I254" s="997"/>
      <c r="J254" s="880"/>
      <c r="K254" s="881"/>
      <c r="L254" s="881"/>
      <c r="M254" s="881"/>
      <c r="N254" s="881"/>
      <c r="O254" s="998"/>
      <c r="P254" s="998"/>
      <c r="Q254" s="868"/>
      <c r="R254" s="868"/>
      <c r="S254" s="868"/>
      <c r="T254" s="868"/>
      <c r="U254" s="868"/>
      <c r="V254" s="868"/>
      <c r="W254" s="868"/>
      <c r="X254" s="868"/>
      <c r="Y254" s="868"/>
      <c r="Z254" s="868"/>
    </row>
    <row r="255" spans="1:26" ht="18.75" hidden="1">
      <c r="A255" s="1002"/>
      <c r="B255" s="1003"/>
      <c r="C255" s="1003"/>
      <c r="D255" s="1009" t="s">
        <v>117</v>
      </c>
      <c r="E255" s="1010"/>
      <c r="F255" s="1010"/>
      <c r="G255" s="1011"/>
      <c r="H255" s="762" t="s">
        <v>35</v>
      </c>
      <c r="I255" s="880" t="str">
        <f ca="1">IFERROR(__xludf.DUMMYFUNCTION("IMPORTRANGE(""https://docs.google.com/spreadsheets/d/1QqKyyYR6Q21VydFLVH3TRQUabQu_ym0Zz7PgGX0-kHA/edit?usp=sharing"",""แผน!BF87"")"),"")</f>
        <v/>
      </c>
      <c r="J255" s="1012">
        <v>0</v>
      </c>
      <c r="K255" s="881" t="e">
        <f ca="1">IF(I255&gt;0,J255*100/I255,0)</f>
        <v>#VALUE!</v>
      </c>
      <c r="L255" s="881"/>
      <c r="M255" s="881"/>
      <c r="N255" s="881"/>
      <c r="O255" s="881"/>
      <c r="P255" s="881"/>
      <c r="Q255" s="868"/>
      <c r="R255" s="868"/>
      <c r="S255" s="868"/>
      <c r="T255" s="868"/>
      <c r="U255" s="868"/>
      <c r="V255" s="868"/>
      <c r="W255" s="868"/>
      <c r="X255" s="868"/>
      <c r="Y255" s="868"/>
      <c r="Z255" s="868"/>
    </row>
    <row r="256" spans="1:26" ht="18.75" hidden="1">
      <c r="A256" s="1002"/>
      <c r="B256" s="1003"/>
      <c r="C256" s="1003"/>
      <c r="D256" s="1131" t="s">
        <v>43</v>
      </c>
      <c r="E256" s="1010"/>
      <c r="F256" s="1010"/>
      <c r="G256" s="1011"/>
      <c r="H256" s="762"/>
      <c r="I256" s="880"/>
      <c r="J256" s="880"/>
      <c r="K256" s="881"/>
      <c r="L256" s="881"/>
      <c r="M256" s="881"/>
      <c r="N256" s="881"/>
      <c r="O256" s="998"/>
      <c r="P256" s="998"/>
      <c r="Q256" s="868"/>
      <c r="R256" s="868"/>
      <c r="S256" s="868"/>
      <c r="T256" s="868"/>
      <c r="U256" s="868"/>
      <c r="V256" s="868"/>
      <c r="W256" s="868"/>
      <c r="X256" s="868"/>
      <c r="Y256" s="868"/>
      <c r="Z256" s="868"/>
    </row>
    <row r="257" spans="1:26" ht="18.75" hidden="1">
      <c r="A257" s="1002"/>
      <c r="B257" s="1003"/>
      <c r="C257" s="1003"/>
      <c r="D257" s="1003"/>
      <c r="E257" s="1008" t="s">
        <v>118</v>
      </c>
      <c r="F257" s="1010"/>
      <c r="G257" s="1011"/>
      <c r="H257" s="762" t="s">
        <v>35</v>
      </c>
      <c r="I257" s="880"/>
      <c r="J257" s="1012">
        <v>0</v>
      </c>
      <c r="K257" s="881">
        <f t="shared" ref="K257:K258" si="114">IF(I257&gt;0,J257*100/I257,0)</f>
        <v>0</v>
      </c>
      <c r="L257" s="881"/>
      <c r="M257" s="881"/>
      <c r="N257" s="881"/>
      <c r="O257" s="881"/>
      <c r="P257" s="881"/>
      <c r="Q257" s="868"/>
      <c r="R257" s="868"/>
      <c r="S257" s="868"/>
      <c r="T257" s="868"/>
      <c r="U257" s="868"/>
      <c r="V257" s="868"/>
      <c r="W257" s="868"/>
      <c r="X257" s="868"/>
      <c r="Y257" s="868"/>
      <c r="Z257" s="868"/>
    </row>
    <row r="258" spans="1:26" ht="18.75" hidden="1">
      <c r="A258" s="1002"/>
      <c r="B258" s="1003"/>
      <c r="C258" s="1003"/>
      <c r="D258" s="1003"/>
      <c r="E258" s="1008" t="s">
        <v>119</v>
      </c>
      <c r="F258" s="1010"/>
      <c r="G258" s="1011"/>
      <c r="H258" s="762" t="s">
        <v>66</v>
      </c>
      <c r="I258" s="880"/>
      <c r="J258" s="1012">
        <v>0</v>
      </c>
      <c r="K258" s="881">
        <f t="shared" si="114"/>
        <v>0</v>
      </c>
      <c r="L258" s="881"/>
      <c r="M258" s="881"/>
      <c r="N258" s="881"/>
      <c r="O258" s="881"/>
      <c r="P258" s="881"/>
      <c r="Q258" s="868"/>
      <c r="R258" s="868"/>
      <c r="S258" s="868"/>
      <c r="T258" s="868"/>
      <c r="U258" s="868"/>
      <c r="V258" s="868"/>
      <c r="W258" s="868"/>
      <c r="X258" s="868"/>
      <c r="Y258" s="868"/>
      <c r="Z258" s="868"/>
    </row>
    <row r="259" spans="1:26" ht="19.5">
      <c r="A259" s="1051" t="s">
        <v>122</v>
      </c>
      <c r="B259" s="1052"/>
      <c r="C259" s="1052"/>
      <c r="D259" s="1053"/>
      <c r="E259" s="1053"/>
      <c r="F259" s="1053"/>
      <c r="G259" s="1054"/>
      <c r="H259" s="1055"/>
      <c r="I259" s="1056"/>
      <c r="J259" s="1056"/>
      <c r="K259" s="1057"/>
      <c r="L259" s="1057"/>
      <c r="M259" s="1057"/>
      <c r="N259" s="1057"/>
      <c r="O259" s="1057"/>
      <c r="P259" s="1057"/>
    </row>
    <row r="260" spans="1:26" ht="19.5">
      <c r="A260" s="1058"/>
      <c r="B260" s="1059" t="s">
        <v>123</v>
      </c>
      <c r="C260" s="1060"/>
      <c r="D260" s="1005"/>
      <c r="E260" s="1005"/>
      <c r="F260" s="1005"/>
      <c r="G260" s="1006"/>
      <c r="H260" s="252" t="s">
        <v>35</v>
      </c>
      <c r="I260" s="1075">
        <f t="shared" ref="I260:J260" ca="1" si="115">I271</f>
        <v>20</v>
      </c>
      <c r="J260" s="1075">
        <f t="shared" si="115"/>
        <v>0</v>
      </c>
      <c r="K260" s="1076">
        <f ca="1">IF(I260&gt;0,J260*100/I260,0)</f>
        <v>0</v>
      </c>
      <c r="L260" s="1062"/>
      <c r="M260" s="1062"/>
      <c r="N260" s="1062"/>
      <c r="O260" s="1062"/>
      <c r="P260" s="1062"/>
    </row>
    <row r="261" spans="1:26" ht="19.5">
      <c r="A261" s="985"/>
      <c r="B261" s="986"/>
      <c r="C261" s="987" t="s">
        <v>16</v>
      </c>
      <c r="D261" s="988" t="s">
        <v>17</v>
      </c>
      <c r="E261" s="986"/>
      <c r="F261" s="986"/>
      <c r="G261" s="989"/>
      <c r="H261" s="152" t="s">
        <v>12</v>
      </c>
      <c r="I261" s="990"/>
      <c r="J261" s="990"/>
      <c r="K261" s="991"/>
      <c r="L261" s="992">
        <f t="shared" ref="L261:N261" ca="1" si="116">L262+L263</f>
        <v>25000</v>
      </c>
      <c r="M261" s="992">
        <f t="shared" ca="1" si="116"/>
        <v>0</v>
      </c>
      <c r="N261" s="992">
        <f t="shared" ca="1" si="116"/>
        <v>0</v>
      </c>
      <c r="O261" s="992">
        <f t="shared" ref="O261:O269" ca="1" si="117">IF(L261&gt;0,N261*100/L261,0)</f>
        <v>0</v>
      </c>
      <c r="P261" s="992">
        <f t="shared" ref="P261:P269" ca="1" si="118">IF(M261&gt;0,N261*100/M261,0)</f>
        <v>0</v>
      </c>
      <c r="Q261" s="868"/>
      <c r="R261" s="868"/>
      <c r="S261" s="868"/>
      <c r="T261" s="868"/>
      <c r="U261" s="868"/>
      <c r="V261" s="868"/>
      <c r="W261" s="868"/>
      <c r="X261" s="868"/>
      <c r="Y261" s="868"/>
      <c r="Z261" s="868"/>
    </row>
    <row r="262" spans="1:26" ht="18.75" hidden="1">
      <c r="A262" s="993"/>
      <c r="B262" s="883"/>
      <c r="C262" s="883"/>
      <c r="D262" s="883"/>
      <c r="E262" s="884" t="s">
        <v>18</v>
      </c>
      <c r="F262" s="883"/>
      <c r="G262" s="994"/>
      <c r="H262" s="158" t="s">
        <v>12</v>
      </c>
      <c r="I262" s="886"/>
      <c r="J262" s="886"/>
      <c r="K262" s="887"/>
      <c r="L262" s="887">
        <f t="shared" ref="L262:N263" si="119">L265+L268</f>
        <v>0</v>
      </c>
      <c r="M262" s="887">
        <f t="shared" si="119"/>
        <v>0</v>
      </c>
      <c r="N262" s="887">
        <f t="shared" si="119"/>
        <v>0</v>
      </c>
      <c r="O262" s="887">
        <f t="shared" si="117"/>
        <v>0</v>
      </c>
      <c r="P262" s="887">
        <f t="shared" si="118"/>
        <v>0</v>
      </c>
      <c r="Q262" s="875"/>
      <c r="R262" s="875"/>
      <c r="S262" s="875"/>
      <c r="T262" s="875"/>
      <c r="U262" s="875"/>
      <c r="V262" s="875"/>
      <c r="W262" s="875"/>
      <c r="X262" s="875"/>
      <c r="Y262" s="875"/>
      <c r="Z262" s="875"/>
    </row>
    <row r="263" spans="1:26" ht="18.75" hidden="1">
      <c r="A263" s="993"/>
      <c r="B263" s="883"/>
      <c r="C263" s="883"/>
      <c r="D263" s="883"/>
      <c r="E263" s="884" t="s">
        <v>19</v>
      </c>
      <c r="F263" s="883"/>
      <c r="G263" s="994"/>
      <c r="H263" s="158" t="s">
        <v>12</v>
      </c>
      <c r="I263" s="886"/>
      <c r="J263" s="886"/>
      <c r="K263" s="887"/>
      <c r="L263" s="887">
        <f t="shared" ca="1" si="119"/>
        <v>25000</v>
      </c>
      <c r="M263" s="887">
        <f t="shared" ca="1" si="119"/>
        <v>0</v>
      </c>
      <c r="N263" s="887">
        <f t="shared" ca="1" si="119"/>
        <v>0</v>
      </c>
      <c r="O263" s="887">
        <f t="shared" ca="1" si="117"/>
        <v>0</v>
      </c>
      <c r="P263" s="887">
        <f t="shared" ca="1" si="118"/>
        <v>0</v>
      </c>
      <c r="Q263" s="875"/>
      <c r="R263" s="875"/>
      <c r="S263" s="875"/>
      <c r="T263" s="875"/>
      <c r="U263" s="875"/>
      <c r="V263" s="875"/>
      <c r="W263" s="875"/>
      <c r="X263" s="875"/>
      <c r="Y263" s="875"/>
      <c r="Z263" s="875"/>
    </row>
    <row r="264" spans="1:26" ht="18.75">
      <c r="A264" s="995"/>
      <c r="B264" s="877"/>
      <c r="C264" s="996"/>
      <c r="D264" s="878" t="s">
        <v>20</v>
      </c>
      <c r="E264" s="877"/>
      <c r="F264" s="877"/>
      <c r="G264" s="879"/>
      <c r="H264" s="161" t="s">
        <v>12</v>
      </c>
      <c r="I264" s="997"/>
      <c r="J264" s="997"/>
      <c r="K264" s="998"/>
      <c r="L264" s="881">
        <f t="shared" ref="L264:N264" ca="1" si="120">L265+L266</f>
        <v>25000</v>
      </c>
      <c r="M264" s="881">
        <f t="shared" ca="1" si="120"/>
        <v>0</v>
      </c>
      <c r="N264" s="881">
        <f t="shared" ca="1" si="120"/>
        <v>0</v>
      </c>
      <c r="O264" s="881">
        <f t="shared" ca="1" si="117"/>
        <v>0</v>
      </c>
      <c r="P264" s="881">
        <f t="shared" ca="1" si="118"/>
        <v>0</v>
      </c>
      <c r="Q264" s="868"/>
      <c r="R264" s="868"/>
      <c r="S264" s="868"/>
      <c r="T264" s="868"/>
      <c r="U264" s="868"/>
      <c r="V264" s="868"/>
      <c r="W264" s="868"/>
      <c r="X264" s="868"/>
      <c r="Y264" s="868"/>
      <c r="Z264" s="868"/>
    </row>
    <row r="265" spans="1:26" ht="19.5" hidden="1">
      <c r="A265" s="993"/>
      <c r="B265" s="883"/>
      <c r="C265" s="999"/>
      <c r="D265" s="883"/>
      <c r="E265" s="884" t="s">
        <v>36</v>
      </c>
      <c r="F265" s="883"/>
      <c r="G265" s="994"/>
      <c r="H265" s="165" t="s">
        <v>12</v>
      </c>
      <c r="I265" s="1000"/>
      <c r="J265" s="1000"/>
      <c r="K265" s="1001"/>
      <c r="L265" s="887">
        <v>0</v>
      </c>
      <c r="M265" s="887">
        <v>0</v>
      </c>
      <c r="N265" s="887">
        <v>0</v>
      </c>
      <c r="O265" s="887">
        <f t="shared" si="117"/>
        <v>0</v>
      </c>
      <c r="P265" s="887">
        <f t="shared" si="118"/>
        <v>0</v>
      </c>
      <c r="Q265" s="875"/>
      <c r="R265" s="875"/>
      <c r="S265" s="875"/>
      <c r="T265" s="875"/>
      <c r="U265" s="875"/>
      <c r="V265" s="875"/>
      <c r="W265" s="875"/>
      <c r="X265" s="875"/>
      <c r="Y265" s="875"/>
      <c r="Z265" s="875"/>
    </row>
    <row r="266" spans="1:26" ht="19.5" hidden="1">
      <c r="A266" s="993"/>
      <c r="B266" s="883"/>
      <c r="C266" s="999"/>
      <c r="D266" s="883"/>
      <c r="E266" s="884" t="s">
        <v>37</v>
      </c>
      <c r="F266" s="883"/>
      <c r="G266" s="994"/>
      <c r="H266" s="165" t="s">
        <v>12</v>
      </c>
      <c r="I266" s="1000"/>
      <c r="J266" s="1000"/>
      <c r="K266" s="1001"/>
      <c r="L266" s="887">
        <f ca="1">IFERROR(__xludf.DUMMYFUNCTION("IMPORTRANGE(""https://docs.google.com/spreadsheets/d/1MeEWN-I1oV_STSDYn1IFDPWt_1FKiwhDph83XaGc0o0/edit?usp=sharing"",""งบพรบ!CY87"")"),25000)</f>
        <v>25000</v>
      </c>
      <c r="M266" s="887">
        <f ca="1">IFERROR(__xludf.DUMMYFUNCTION("IMPORTRANGE(""https://docs.google.com/spreadsheets/d/1MeEWN-I1oV_STSDYn1IFDPWt_1FKiwhDph83XaGc0o0/edit?usp=sharing"",""งบพรบ!DD87"")"),0)</f>
        <v>0</v>
      </c>
      <c r="N266" s="887">
        <f ca="1">IFERROR(__xludf.DUMMYFUNCTION("IMPORTRANGE(""https://docs.google.com/spreadsheets/d/1MeEWN-I1oV_STSDYn1IFDPWt_1FKiwhDph83XaGc0o0/edit?usp=sharing"",""งบพรบ!DF87"")"),0)</f>
        <v>0</v>
      </c>
      <c r="O266" s="887">
        <f t="shared" ca="1" si="117"/>
        <v>0</v>
      </c>
      <c r="P266" s="887">
        <f t="shared" ca="1" si="118"/>
        <v>0</v>
      </c>
      <c r="Q266" s="875"/>
      <c r="R266" s="875"/>
      <c r="S266" s="875"/>
      <c r="T266" s="875"/>
      <c r="U266" s="875"/>
      <c r="V266" s="875"/>
      <c r="W266" s="875"/>
      <c r="X266" s="875"/>
      <c r="Y266" s="875"/>
      <c r="Z266" s="875"/>
    </row>
    <row r="267" spans="1:26" ht="18.75">
      <c r="A267" s="995"/>
      <c r="B267" s="877"/>
      <c r="C267" s="996"/>
      <c r="D267" s="878" t="s">
        <v>21</v>
      </c>
      <c r="E267" s="877"/>
      <c r="F267" s="877"/>
      <c r="G267" s="879"/>
      <c r="H267" s="168" t="s">
        <v>12</v>
      </c>
      <c r="I267" s="997"/>
      <c r="J267" s="997"/>
      <c r="K267" s="998"/>
      <c r="L267" s="881">
        <f t="shared" ref="L267:N267" ca="1" si="121">L268+L269</f>
        <v>0</v>
      </c>
      <c r="M267" s="881">
        <f t="shared" ca="1" si="121"/>
        <v>0</v>
      </c>
      <c r="N267" s="881">
        <f t="shared" ca="1" si="121"/>
        <v>0</v>
      </c>
      <c r="O267" s="881">
        <f t="shared" ca="1" si="117"/>
        <v>0</v>
      </c>
      <c r="P267" s="881">
        <f t="shared" ca="1" si="118"/>
        <v>0</v>
      </c>
      <c r="Q267" s="868"/>
      <c r="R267" s="868"/>
      <c r="S267" s="868"/>
      <c r="T267" s="868"/>
      <c r="U267" s="868"/>
      <c r="V267" s="868"/>
      <c r="W267" s="868"/>
      <c r="X267" s="868"/>
      <c r="Y267" s="868"/>
      <c r="Z267" s="868"/>
    </row>
    <row r="268" spans="1:26" ht="19.5" hidden="1">
      <c r="A268" s="993"/>
      <c r="B268" s="883"/>
      <c r="C268" s="999"/>
      <c r="D268" s="883"/>
      <c r="E268" s="884" t="s">
        <v>18</v>
      </c>
      <c r="F268" s="883"/>
      <c r="G268" s="994"/>
      <c r="H268" s="165" t="s">
        <v>12</v>
      </c>
      <c r="I268" s="1000"/>
      <c r="J268" s="1000"/>
      <c r="K268" s="1001"/>
      <c r="L268" s="887">
        <v>0</v>
      </c>
      <c r="M268" s="887">
        <v>0</v>
      </c>
      <c r="N268" s="887">
        <v>0</v>
      </c>
      <c r="O268" s="887">
        <f t="shared" si="117"/>
        <v>0</v>
      </c>
      <c r="P268" s="887">
        <f t="shared" si="118"/>
        <v>0</v>
      </c>
      <c r="Q268" s="875"/>
      <c r="R268" s="875"/>
      <c r="S268" s="875"/>
      <c r="T268" s="875"/>
      <c r="U268" s="875"/>
      <c r="V268" s="875"/>
      <c r="W268" s="875"/>
      <c r="X268" s="875"/>
      <c r="Y268" s="875"/>
      <c r="Z268" s="875"/>
    </row>
    <row r="269" spans="1:26" ht="19.5" hidden="1">
      <c r="A269" s="993"/>
      <c r="B269" s="883"/>
      <c r="C269" s="999"/>
      <c r="D269" s="883"/>
      <c r="E269" s="884" t="s">
        <v>19</v>
      </c>
      <c r="F269" s="883"/>
      <c r="G269" s="994"/>
      <c r="H269" s="169" t="s">
        <v>12</v>
      </c>
      <c r="I269" s="1000"/>
      <c r="J269" s="1000"/>
      <c r="K269" s="1001"/>
      <c r="L269" s="887">
        <f ca="1">IFERROR(__xludf.DUMMYFUNCTION("IMPORTRANGE(""https://docs.google.com/spreadsheets/d/1MeEWN-I1oV_STSDYn1IFDPWt_1FKiwhDph83XaGc0o0/edit?usp=sharing"",""งบพรบ!DB87"")"),0)</f>
        <v>0</v>
      </c>
      <c r="M269" s="887">
        <f ca="1">IFERROR(__xludf.DUMMYFUNCTION("IMPORTRANGE(""https://docs.google.com/spreadsheets/d/1MeEWN-I1oV_STSDYn1IFDPWt_1FKiwhDph83XaGc0o0/edit?usp=sharing"",""งบพรบ!DE87"")"),0)</f>
        <v>0</v>
      </c>
      <c r="N269" s="887">
        <f ca="1">IFERROR(__xludf.DUMMYFUNCTION("IMPORTRANGE(""https://docs.google.com/spreadsheets/d/1MeEWN-I1oV_STSDYn1IFDPWt_1FKiwhDph83XaGc0o0/edit?usp=sharing"",""งบพรบ!DG87"")"),0)</f>
        <v>0</v>
      </c>
      <c r="O269" s="887">
        <f t="shared" ca="1" si="117"/>
        <v>0</v>
      </c>
      <c r="P269" s="887">
        <f t="shared" ca="1" si="118"/>
        <v>0</v>
      </c>
      <c r="Q269" s="875"/>
      <c r="R269" s="875"/>
      <c r="S269" s="875"/>
      <c r="T269" s="875"/>
      <c r="U269" s="875"/>
      <c r="V269" s="875"/>
      <c r="W269" s="875"/>
      <c r="X269" s="875"/>
      <c r="Y269" s="875"/>
      <c r="Z269" s="875"/>
    </row>
    <row r="270" spans="1:26" ht="19.5">
      <c r="A270" s="1002"/>
      <c r="B270" s="1003"/>
      <c r="C270" s="996" t="s">
        <v>16</v>
      </c>
      <c r="D270" s="1004" t="s">
        <v>38</v>
      </c>
      <c r="E270" s="1005"/>
      <c r="F270" s="1005"/>
      <c r="G270" s="1006"/>
      <c r="H270" s="1007"/>
      <c r="I270" s="997"/>
      <c r="J270" s="997"/>
      <c r="K270" s="998"/>
      <c r="L270" s="998"/>
      <c r="M270" s="998"/>
      <c r="N270" s="998"/>
      <c r="O270" s="998"/>
      <c r="P270" s="998"/>
    </row>
    <row r="271" spans="1:26" ht="18.75">
      <c r="A271" s="1002"/>
      <c r="B271" s="1003"/>
      <c r="C271" s="1003"/>
      <c r="D271" s="1132" t="s">
        <v>124</v>
      </c>
      <c r="E271" s="1010"/>
      <c r="F271" s="1074"/>
      <c r="G271" s="1011"/>
      <c r="H271" s="377" t="s">
        <v>35</v>
      </c>
      <c r="I271" s="880">
        <f ca="1">IFERROR(__xludf.DUMMYFUNCTION("IMPORTRANGE(""https://docs.google.com/spreadsheets/d/1QqKyyYR6Q21VydFLVH3TRQUabQu_ym0Zz7PgGX0-kHA/edit?usp=sharing"",""แผน!EA87"")"),20)</f>
        <v>20</v>
      </c>
      <c r="J271" s="1012">
        <v>0</v>
      </c>
      <c r="K271" s="998">
        <f ca="1">IF(I271&gt;0,J271*100/I271,0)</f>
        <v>0</v>
      </c>
      <c r="L271" s="998"/>
      <c r="M271" s="998"/>
      <c r="N271" s="998"/>
      <c r="O271" s="998"/>
      <c r="P271" s="998"/>
    </row>
    <row r="272" spans="1:26" ht="18.75" hidden="1">
      <c r="A272" s="1133"/>
      <c r="B272" s="1134"/>
      <c r="C272" s="1134"/>
      <c r="D272" s="1135" t="s">
        <v>125</v>
      </c>
      <c r="E272" s="1136"/>
      <c r="F272" s="1136"/>
      <c r="G272" s="1137"/>
      <c r="H272" s="50" t="s">
        <v>35</v>
      </c>
      <c r="I272" s="1138">
        <v>0</v>
      </c>
      <c r="J272" s="1138">
        <v>0</v>
      </c>
      <c r="K272" s="1139">
        <v>0</v>
      </c>
      <c r="L272" s="1139"/>
      <c r="M272" s="1139"/>
      <c r="N272" s="1139"/>
      <c r="O272" s="1139"/>
      <c r="P272" s="1139"/>
    </row>
    <row r="273" spans="1:26" ht="19.5" hidden="1">
      <c r="A273" s="1140" t="s">
        <v>126</v>
      </c>
      <c r="B273" s="1141"/>
      <c r="C273" s="1141"/>
      <c r="D273" s="1141"/>
      <c r="E273" s="1142"/>
      <c r="F273" s="1142"/>
      <c r="G273" s="1143"/>
      <c r="H273" s="1144"/>
      <c r="I273" s="1145"/>
      <c r="J273" s="1145"/>
      <c r="K273" s="1146"/>
      <c r="L273" s="1146"/>
      <c r="M273" s="1146"/>
      <c r="N273" s="1146"/>
      <c r="O273" s="1146"/>
      <c r="P273" s="1146"/>
    </row>
    <row r="274" spans="1:26" ht="19.5" hidden="1">
      <c r="A274" s="1147" t="s">
        <v>127</v>
      </c>
      <c r="B274" s="1148"/>
      <c r="C274" s="1149"/>
      <c r="D274" s="1148"/>
      <c r="E274" s="1148"/>
      <c r="F274" s="1148"/>
      <c r="G274" s="1148"/>
      <c r="H274" s="1150"/>
      <c r="I274" s="1151"/>
      <c r="J274" s="1152"/>
      <c r="K274" s="1153"/>
      <c r="L274" s="1153"/>
      <c r="M274" s="1153"/>
      <c r="N274" s="1153"/>
      <c r="O274" s="1153"/>
      <c r="P274" s="1153"/>
    </row>
    <row r="275" spans="1:26" ht="19.5" hidden="1">
      <c r="A275" s="1154"/>
      <c r="B275" s="1155" t="s">
        <v>128</v>
      </c>
      <c r="C275" s="1156"/>
      <c r="D275" s="1157"/>
      <c r="E275" s="1156"/>
      <c r="F275" s="1156"/>
      <c r="G275" s="1158"/>
      <c r="H275" s="405" t="s">
        <v>35</v>
      </c>
      <c r="I275" s="1159">
        <f t="shared" ref="I275:J275" ca="1" si="122">I288</f>
        <v>0</v>
      </c>
      <c r="J275" s="1159">
        <f t="shared" ca="1" si="122"/>
        <v>0</v>
      </c>
      <c r="K275" s="1160">
        <f t="shared" ref="K275:K276" ca="1" si="123">IF(I275&gt;0,J275*100/I275,0)</f>
        <v>0</v>
      </c>
      <c r="L275" s="1161"/>
      <c r="M275" s="1161"/>
      <c r="N275" s="1161"/>
      <c r="O275" s="1161"/>
      <c r="P275" s="1161"/>
    </row>
    <row r="276" spans="1:26" ht="19.5" hidden="1">
      <c r="A276" s="1154"/>
      <c r="B276" s="1155"/>
      <c r="C276" s="1156"/>
      <c r="D276" s="1157"/>
      <c r="E276" s="1156"/>
      <c r="F276" s="1156"/>
      <c r="G276" s="1158"/>
      <c r="H276" s="405" t="s">
        <v>46</v>
      </c>
      <c r="I276" s="1493">
        <f t="shared" ref="I276:J276" ca="1" si="124">I287</f>
        <v>0</v>
      </c>
      <c r="J276" s="1493">
        <f t="shared" si="124"/>
        <v>0</v>
      </c>
      <c r="K276" s="1161">
        <f t="shared" ca="1" si="123"/>
        <v>0</v>
      </c>
      <c r="L276" s="1161"/>
      <c r="M276" s="1161"/>
      <c r="N276" s="1161"/>
      <c r="O276" s="1161"/>
      <c r="P276" s="1161"/>
    </row>
    <row r="277" spans="1:26" ht="19.5" hidden="1">
      <c r="A277" s="985"/>
      <c r="B277" s="986"/>
      <c r="C277" s="987" t="s">
        <v>16</v>
      </c>
      <c r="D277" s="988" t="s">
        <v>17</v>
      </c>
      <c r="E277" s="986"/>
      <c r="F277" s="986"/>
      <c r="G277" s="989"/>
      <c r="H277" s="152" t="s">
        <v>12</v>
      </c>
      <c r="I277" s="990"/>
      <c r="J277" s="990"/>
      <c r="K277" s="991"/>
      <c r="L277" s="992">
        <f t="shared" ref="L277:N277" ca="1" si="125">L278+L279</f>
        <v>0</v>
      </c>
      <c r="M277" s="992">
        <f t="shared" ca="1" si="125"/>
        <v>0</v>
      </c>
      <c r="N277" s="992">
        <f t="shared" ca="1" si="125"/>
        <v>0</v>
      </c>
      <c r="O277" s="992">
        <f t="shared" ref="O277:O285" ca="1" si="126">IF(L277&gt;0,N277*100/L277,0)</f>
        <v>0</v>
      </c>
      <c r="P277" s="992">
        <f t="shared" ref="P277:P285" ca="1" si="127">IF(M277&gt;0,N277*100/M277,0)</f>
        <v>0</v>
      </c>
      <c r="Q277" s="868"/>
      <c r="R277" s="868"/>
      <c r="S277" s="868"/>
      <c r="T277" s="868"/>
      <c r="U277" s="868"/>
      <c r="V277" s="868"/>
      <c r="W277" s="868"/>
      <c r="X277" s="868"/>
      <c r="Y277" s="868"/>
      <c r="Z277" s="868"/>
    </row>
    <row r="278" spans="1:26" ht="18.75" hidden="1">
      <c r="A278" s="993"/>
      <c r="B278" s="883"/>
      <c r="C278" s="883"/>
      <c r="D278" s="883"/>
      <c r="E278" s="884" t="s">
        <v>18</v>
      </c>
      <c r="F278" s="883"/>
      <c r="G278" s="994"/>
      <c r="H278" s="158" t="s">
        <v>12</v>
      </c>
      <c r="I278" s="886"/>
      <c r="J278" s="886"/>
      <c r="K278" s="887"/>
      <c r="L278" s="887">
        <f t="shared" ref="L278:N279" si="128">L281+L284</f>
        <v>0</v>
      </c>
      <c r="M278" s="887">
        <f t="shared" si="128"/>
        <v>0</v>
      </c>
      <c r="N278" s="887">
        <f t="shared" si="128"/>
        <v>0</v>
      </c>
      <c r="O278" s="887">
        <f t="shared" si="126"/>
        <v>0</v>
      </c>
      <c r="P278" s="887">
        <f t="shared" si="127"/>
        <v>0</v>
      </c>
      <c r="Q278" s="875"/>
      <c r="R278" s="875"/>
      <c r="S278" s="875"/>
      <c r="T278" s="875"/>
      <c r="U278" s="875"/>
      <c r="V278" s="875"/>
      <c r="W278" s="875"/>
      <c r="X278" s="875"/>
      <c r="Y278" s="875"/>
      <c r="Z278" s="875"/>
    </row>
    <row r="279" spans="1:26" ht="18.75" hidden="1">
      <c r="A279" s="993"/>
      <c r="B279" s="883"/>
      <c r="C279" s="883"/>
      <c r="D279" s="883"/>
      <c r="E279" s="884" t="s">
        <v>19</v>
      </c>
      <c r="F279" s="883"/>
      <c r="G279" s="994"/>
      <c r="H279" s="158" t="s">
        <v>12</v>
      </c>
      <c r="I279" s="886"/>
      <c r="J279" s="886"/>
      <c r="K279" s="887"/>
      <c r="L279" s="887">
        <f t="shared" ca="1" si="128"/>
        <v>0</v>
      </c>
      <c r="M279" s="887">
        <f t="shared" ca="1" si="128"/>
        <v>0</v>
      </c>
      <c r="N279" s="887">
        <f t="shared" ca="1" si="128"/>
        <v>0</v>
      </c>
      <c r="O279" s="887">
        <f t="shared" ca="1" si="126"/>
        <v>0</v>
      </c>
      <c r="P279" s="887">
        <f t="shared" ca="1" si="127"/>
        <v>0</v>
      </c>
      <c r="Q279" s="875"/>
      <c r="R279" s="875"/>
      <c r="S279" s="875"/>
      <c r="T279" s="875"/>
      <c r="U279" s="875"/>
      <c r="V279" s="875"/>
      <c r="W279" s="875"/>
      <c r="X279" s="875"/>
      <c r="Y279" s="875"/>
      <c r="Z279" s="875"/>
    </row>
    <row r="280" spans="1:26" ht="18.75" hidden="1">
      <c r="A280" s="995"/>
      <c r="B280" s="877"/>
      <c r="C280" s="996"/>
      <c r="D280" s="878" t="s">
        <v>20</v>
      </c>
      <c r="E280" s="877"/>
      <c r="F280" s="877"/>
      <c r="G280" s="879"/>
      <c r="H280" s="161" t="s">
        <v>12</v>
      </c>
      <c r="I280" s="997"/>
      <c r="J280" s="997"/>
      <c r="K280" s="998"/>
      <c r="L280" s="881">
        <f t="shared" ref="L280:N280" ca="1" si="129">L281+L282</f>
        <v>0</v>
      </c>
      <c r="M280" s="881">
        <f t="shared" ca="1" si="129"/>
        <v>0</v>
      </c>
      <c r="N280" s="881">
        <f t="shared" ca="1" si="129"/>
        <v>0</v>
      </c>
      <c r="O280" s="881">
        <f t="shared" ca="1" si="126"/>
        <v>0</v>
      </c>
      <c r="P280" s="881">
        <f t="shared" ca="1" si="127"/>
        <v>0</v>
      </c>
      <c r="Q280" s="868"/>
      <c r="R280" s="868"/>
      <c r="S280" s="868"/>
      <c r="T280" s="868"/>
      <c r="U280" s="868"/>
      <c r="V280" s="868"/>
      <c r="W280" s="868"/>
      <c r="X280" s="868"/>
      <c r="Y280" s="868"/>
      <c r="Z280" s="868"/>
    </row>
    <row r="281" spans="1:26" ht="19.5" hidden="1">
      <c r="A281" s="993"/>
      <c r="B281" s="883"/>
      <c r="C281" s="999"/>
      <c r="D281" s="883"/>
      <c r="E281" s="884" t="s">
        <v>36</v>
      </c>
      <c r="F281" s="883"/>
      <c r="G281" s="994"/>
      <c r="H281" s="165" t="s">
        <v>12</v>
      </c>
      <c r="I281" s="1000"/>
      <c r="J281" s="1000"/>
      <c r="K281" s="1001"/>
      <c r="L281" s="887">
        <v>0</v>
      </c>
      <c r="M281" s="887">
        <v>0</v>
      </c>
      <c r="N281" s="887">
        <v>0</v>
      </c>
      <c r="O281" s="887">
        <f t="shared" si="126"/>
        <v>0</v>
      </c>
      <c r="P281" s="887">
        <f t="shared" si="127"/>
        <v>0</v>
      </c>
      <c r="Q281" s="875"/>
      <c r="R281" s="875"/>
      <c r="S281" s="875"/>
      <c r="T281" s="875"/>
      <c r="U281" s="875"/>
      <c r="V281" s="875"/>
      <c r="W281" s="875"/>
      <c r="X281" s="875"/>
      <c r="Y281" s="875"/>
      <c r="Z281" s="875"/>
    </row>
    <row r="282" spans="1:26" ht="19.5" hidden="1">
      <c r="A282" s="993"/>
      <c r="B282" s="883"/>
      <c r="C282" s="999"/>
      <c r="D282" s="883"/>
      <c r="E282" s="884" t="s">
        <v>37</v>
      </c>
      <c r="F282" s="883"/>
      <c r="G282" s="994"/>
      <c r="H282" s="165" t="s">
        <v>12</v>
      </c>
      <c r="I282" s="1000"/>
      <c r="J282" s="1000"/>
      <c r="K282" s="1001"/>
      <c r="L282" s="887">
        <f ca="1">IFERROR(__xludf.DUMMYFUNCTION("IMPORTRANGE(""https://docs.google.com/spreadsheets/d/1MeEWN-I1oV_STSDYn1IFDPWt_1FKiwhDph83XaGc0o0/edit?usp=sharing"",""งบพรบ!DI87"")"),0)</f>
        <v>0</v>
      </c>
      <c r="M282" s="887">
        <f ca="1">IFERROR(__xludf.DUMMYFUNCTION("IMPORTRANGE(""https://docs.google.com/spreadsheets/d/1MeEWN-I1oV_STSDYn1IFDPWt_1FKiwhDph83XaGc0o0/edit?usp=sharing"",""งบพรบ!DN87"")"),0)</f>
        <v>0</v>
      </c>
      <c r="N282" s="887">
        <f ca="1">IFERROR(__xludf.DUMMYFUNCTION("IMPORTRANGE(""https://docs.google.com/spreadsheets/d/1MeEWN-I1oV_STSDYn1IFDPWt_1FKiwhDph83XaGc0o0/edit?usp=sharing"",""งบพรบ!DP87"")"),0)</f>
        <v>0</v>
      </c>
      <c r="O282" s="887">
        <f t="shared" ca="1" si="126"/>
        <v>0</v>
      </c>
      <c r="P282" s="887">
        <f t="shared" ca="1" si="127"/>
        <v>0</v>
      </c>
      <c r="Q282" s="875"/>
      <c r="R282" s="875"/>
      <c r="S282" s="875"/>
      <c r="T282" s="875"/>
      <c r="U282" s="875"/>
      <c r="V282" s="875"/>
      <c r="W282" s="875"/>
      <c r="X282" s="875"/>
      <c r="Y282" s="875"/>
      <c r="Z282" s="875"/>
    </row>
    <row r="283" spans="1:26" ht="18.75" hidden="1">
      <c r="A283" s="995"/>
      <c r="B283" s="877"/>
      <c r="C283" s="996"/>
      <c r="D283" s="878" t="s">
        <v>21</v>
      </c>
      <c r="E283" s="877"/>
      <c r="F283" s="877"/>
      <c r="G283" s="879"/>
      <c r="H283" s="168" t="s">
        <v>12</v>
      </c>
      <c r="I283" s="997"/>
      <c r="J283" s="997"/>
      <c r="K283" s="998"/>
      <c r="L283" s="881">
        <f t="shared" ref="L283:N283" ca="1" si="130">L284+L285</f>
        <v>0</v>
      </c>
      <c r="M283" s="881">
        <f t="shared" ca="1" si="130"/>
        <v>0</v>
      </c>
      <c r="N283" s="881">
        <f t="shared" ca="1" si="130"/>
        <v>0</v>
      </c>
      <c r="O283" s="881">
        <f t="shared" ca="1" si="126"/>
        <v>0</v>
      </c>
      <c r="P283" s="881">
        <f t="shared" ca="1" si="127"/>
        <v>0</v>
      </c>
      <c r="Q283" s="868"/>
      <c r="R283" s="868"/>
      <c r="S283" s="868"/>
      <c r="T283" s="868"/>
      <c r="U283" s="868"/>
      <c r="V283" s="868"/>
      <c r="W283" s="868"/>
      <c r="X283" s="868"/>
      <c r="Y283" s="868"/>
      <c r="Z283" s="868"/>
    </row>
    <row r="284" spans="1:26" ht="19.5" hidden="1">
      <c r="A284" s="993"/>
      <c r="B284" s="883"/>
      <c r="C284" s="999"/>
      <c r="D284" s="883"/>
      <c r="E284" s="884" t="s">
        <v>18</v>
      </c>
      <c r="F284" s="883"/>
      <c r="G284" s="994"/>
      <c r="H284" s="165" t="s">
        <v>12</v>
      </c>
      <c r="I284" s="1000"/>
      <c r="J284" s="1000"/>
      <c r="K284" s="1001"/>
      <c r="L284" s="887">
        <v>0</v>
      </c>
      <c r="M284" s="887">
        <v>0</v>
      </c>
      <c r="N284" s="887">
        <v>0</v>
      </c>
      <c r="O284" s="887">
        <f t="shared" si="126"/>
        <v>0</v>
      </c>
      <c r="P284" s="887">
        <f t="shared" si="127"/>
        <v>0</v>
      </c>
      <c r="Q284" s="875"/>
      <c r="R284" s="875"/>
      <c r="S284" s="875"/>
      <c r="T284" s="875"/>
      <c r="U284" s="875"/>
      <c r="V284" s="875"/>
      <c r="W284" s="875"/>
      <c r="X284" s="875"/>
      <c r="Y284" s="875"/>
      <c r="Z284" s="875"/>
    </row>
    <row r="285" spans="1:26" ht="19.5" hidden="1">
      <c r="A285" s="993"/>
      <c r="B285" s="883"/>
      <c r="C285" s="999"/>
      <c r="D285" s="883"/>
      <c r="E285" s="884" t="s">
        <v>19</v>
      </c>
      <c r="F285" s="883"/>
      <c r="G285" s="994"/>
      <c r="H285" s="169" t="s">
        <v>12</v>
      </c>
      <c r="I285" s="1000"/>
      <c r="J285" s="1000"/>
      <c r="K285" s="1001"/>
      <c r="L285" s="887">
        <f ca="1">IFERROR(__xludf.DUMMYFUNCTION("IMPORTRANGE(""https://docs.google.com/spreadsheets/d/1MeEWN-I1oV_STSDYn1IFDPWt_1FKiwhDph83XaGc0o0/edit?usp=sharing"",""งบพรบ!DL87"")"),0)</f>
        <v>0</v>
      </c>
      <c r="M285" s="887">
        <f ca="1">IFERROR(__xludf.DUMMYFUNCTION("IMPORTRANGE(""https://docs.google.com/spreadsheets/d/1MeEWN-I1oV_STSDYn1IFDPWt_1FKiwhDph83XaGc0o0/edit?usp=sharing"",""งบพรบ!DO87"")"),0)</f>
        <v>0</v>
      </c>
      <c r="N285" s="887">
        <f ca="1">IFERROR(__xludf.DUMMYFUNCTION("IMPORTRANGE(""https://docs.google.com/spreadsheets/d/1MeEWN-I1oV_STSDYn1IFDPWt_1FKiwhDph83XaGc0o0/edit?usp=sharing"",""งบพรบ!DQ87"")"),0)</f>
        <v>0</v>
      </c>
      <c r="O285" s="887">
        <f t="shared" ca="1" si="126"/>
        <v>0</v>
      </c>
      <c r="P285" s="887">
        <f t="shared" ca="1" si="127"/>
        <v>0</v>
      </c>
      <c r="Q285" s="875"/>
      <c r="R285" s="875"/>
      <c r="S285" s="875"/>
      <c r="T285" s="875"/>
      <c r="U285" s="875"/>
      <c r="V285" s="875"/>
      <c r="W285" s="875"/>
      <c r="X285" s="875"/>
      <c r="Y285" s="875"/>
      <c r="Z285" s="875"/>
    </row>
    <row r="286" spans="1:26" ht="19.5" hidden="1">
      <c r="A286" s="1002"/>
      <c r="B286" s="1003"/>
      <c r="C286" s="999" t="s">
        <v>16</v>
      </c>
      <c r="D286" s="1004" t="s">
        <v>38</v>
      </c>
      <c r="E286" s="1005"/>
      <c r="F286" s="1005"/>
      <c r="G286" s="1006"/>
      <c r="H286" s="1007"/>
      <c r="I286" s="997"/>
      <c r="J286" s="997"/>
      <c r="K286" s="998"/>
      <c r="L286" s="998"/>
      <c r="M286" s="998"/>
      <c r="N286" s="998"/>
      <c r="O286" s="998"/>
      <c r="P286" s="998"/>
    </row>
    <row r="287" spans="1:26" ht="18.75" hidden="1">
      <c r="A287" s="1002"/>
      <c r="B287" s="1003"/>
      <c r="C287" s="1003"/>
      <c r="D287" s="1014" t="s">
        <v>129</v>
      </c>
      <c r="E287" s="1003"/>
      <c r="F287" s="1010"/>
      <c r="G287" s="1011"/>
      <c r="H287" s="185" t="s">
        <v>46</v>
      </c>
      <c r="I287" s="880">
        <f ca="1">IFERROR(__xludf.DUMMYFUNCTION("IMPORTRANGE(""https://docs.google.com/spreadsheets/d/1QqKyyYR6Q21VydFLVH3TRQUabQu_ym0Zz7PgGX0-kHA/edit?usp=sharing"",""แผน!EC87"")"),0)</f>
        <v>0</v>
      </c>
      <c r="J287" s="880">
        <v>0</v>
      </c>
      <c r="K287" s="998">
        <f t="shared" ref="K287:K288" ca="1" si="131">IF(I287&gt;0,J287*100/I287,0)</f>
        <v>0</v>
      </c>
      <c r="L287" s="998"/>
      <c r="M287" s="998"/>
      <c r="N287" s="998"/>
      <c r="O287" s="998"/>
      <c r="P287" s="998"/>
    </row>
    <row r="288" spans="1:26" ht="19.5" hidden="1">
      <c r="A288" s="1002"/>
      <c r="B288" s="1003"/>
      <c r="C288" s="1003"/>
      <c r="D288" s="1014" t="s">
        <v>130</v>
      </c>
      <c r="E288" s="1003"/>
      <c r="F288" s="1010"/>
      <c r="G288" s="1011"/>
      <c r="H288" s="180" t="s">
        <v>35</v>
      </c>
      <c r="I288" s="1019">
        <f ca="1">IFERROR(__xludf.DUMMYFUNCTION("IMPORTRANGE(""https://docs.google.com/spreadsheets/d/1QqKyyYR6Q21VydFLVH3TRQUabQu_ym0Zz7PgGX0-kHA/edit?usp=sharing"",""แผน!EB87"")"),0)</f>
        <v>0</v>
      </c>
      <c r="J288" s="1019">
        <f ca="1">IF(AND(J291&gt;=I288,J294&gt;=I288),J294,0)</f>
        <v>0</v>
      </c>
      <c r="K288" s="1162">
        <f t="shared" ca="1" si="131"/>
        <v>0</v>
      </c>
      <c r="L288" s="998"/>
      <c r="M288" s="998"/>
      <c r="N288" s="998"/>
      <c r="O288" s="998"/>
      <c r="P288" s="998"/>
    </row>
    <row r="289" spans="1:26" ht="19.5" hidden="1">
      <c r="A289" s="1002"/>
      <c r="B289" s="1003"/>
      <c r="C289" s="1003"/>
      <c r="D289" s="1163"/>
      <c r="E289" s="1164" t="s">
        <v>131</v>
      </c>
      <c r="F289" s="1010"/>
      <c r="G289" s="1011"/>
      <c r="H289" s="762"/>
      <c r="I289" s="997"/>
      <c r="J289" s="880"/>
      <c r="K289" s="998"/>
      <c r="L289" s="998"/>
      <c r="M289" s="998"/>
      <c r="N289" s="998"/>
      <c r="O289" s="998"/>
      <c r="P289" s="998"/>
    </row>
    <row r="290" spans="1:26" ht="19.5" hidden="1">
      <c r="A290" s="1002"/>
      <c r="B290" s="1003"/>
      <c r="C290" s="1003"/>
      <c r="D290" s="1163"/>
      <c r="E290" s="1014" t="s">
        <v>132</v>
      </c>
      <c r="F290" s="1010"/>
      <c r="G290" s="1011"/>
      <c r="H290" s="762" t="s">
        <v>35</v>
      </c>
      <c r="I290" s="997">
        <f ca="1">IFERROR(__xludf.DUMMYFUNCTION("IMPORTRANGE(""https://docs.google.com/spreadsheets/d/1QqKyyYR6Q21VydFLVH3TRQUabQu_ym0Zz7PgGX0-kHA/edit?usp=sharing"",""แผน!EB87"")"),0)</f>
        <v>0</v>
      </c>
      <c r="J290" s="1012">
        <v>0</v>
      </c>
      <c r="K290" s="998">
        <f t="shared" ref="K290:K291" ca="1" si="132">IF(I290&gt;0,J290*100/I290,0)</f>
        <v>0</v>
      </c>
      <c r="L290" s="998"/>
      <c r="M290" s="998"/>
      <c r="N290" s="998"/>
      <c r="O290" s="998"/>
      <c r="P290" s="998"/>
    </row>
    <row r="291" spans="1:26" ht="19.5" hidden="1">
      <c r="A291" s="1002"/>
      <c r="B291" s="1003"/>
      <c r="C291" s="1003"/>
      <c r="D291" s="1010"/>
      <c r="E291" s="1014" t="s">
        <v>338</v>
      </c>
      <c r="F291" s="1010"/>
      <c r="G291" s="1011"/>
      <c r="H291" s="762" t="s">
        <v>35</v>
      </c>
      <c r="I291" s="997">
        <f ca="1">IFERROR(__xludf.DUMMYFUNCTION("IMPORTRANGE(""https://docs.google.com/spreadsheets/d/1QqKyyYR6Q21VydFLVH3TRQUabQu_ym0Zz7PgGX0-kHA/edit?usp=sharing"",""แผน!EB87"")"),0)</f>
        <v>0</v>
      </c>
      <c r="J291" s="1012">
        <v>0</v>
      </c>
      <c r="K291" s="998">
        <f t="shared" ca="1" si="132"/>
        <v>0</v>
      </c>
      <c r="L291" s="998"/>
      <c r="M291" s="998"/>
      <c r="N291" s="998"/>
      <c r="O291" s="998"/>
      <c r="P291" s="998"/>
    </row>
    <row r="292" spans="1:26" ht="19.5" hidden="1">
      <c r="A292" s="1165"/>
      <c r="B292" s="1166"/>
      <c r="C292" s="1166"/>
      <c r="D292" s="1167"/>
      <c r="E292" s="1168" t="s">
        <v>134</v>
      </c>
      <c r="F292" s="1088"/>
      <c r="G292" s="1089"/>
      <c r="H292" s="419"/>
      <c r="I292" s="1082"/>
      <c r="J292" s="990"/>
      <c r="K292" s="1083"/>
      <c r="L292" s="1083"/>
      <c r="M292" s="1083"/>
      <c r="N292" s="1083"/>
      <c r="O292" s="1083"/>
      <c r="P292" s="1083"/>
    </row>
    <row r="293" spans="1:26" ht="19.5" hidden="1">
      <c r="A293" s="1002"/>
      <c r="B293" s="1003"/>
      <c r="C293" s="1003"/>
      <c r="D293" s="1163"/>
      <c r="E293" s="1014" t="s">
        <v>132</v>
      </c>
      <c r="F293" s="1010"/>
      <c r="G293" s="1011"/>
      <c r="H293" s="762" t="s">
        <v>35</v>
      </c>
      <c r="I293" s="997">
        <f ca="1">IFERROR(__xludf.DUMMYFUNCTION("IMPORTRANGE(""https://docs.google.com/spreadsheets/d/1QqKyyYR6Q21VydFLVH3TRQUabQu_ym0Zz7PgGX0-kHA/edit?usp=sharing"",""แผน!EB87"")"),0)</f>
        <v>0</v>
      </c>
      <c r="J293" s="1012">
        <v>0</v>
      </c>
      <c r="K293" s="998">
        <f t="shared" ref="K293:K294" ca="1" si="133">IF(I293&gt;0,J293*100/I293,0)</f>
        <v>0</v>
      </c>
      <c r="L293" s="998"/>
      <c r="M293" s="998"/>
      <c r="N293" s="998"/>
      <c r="O293" s="998"/>
      <c r="P293" s="998"/>
    </row>
    <row r="294" spans="1:26" ht="19.5" hidden="1">
      <c r="A294" s="1133"/>
      <c r="B294" s="1134"/>
      <c r="C294" s="1134"/>
      <c r="D294" s="1136"/>
      <c r="E294" s="1169" t="s">
        <v>338</v>
      </c>
      <c r="F294" s="1136"/>
      <c r="G294" s="1137"/>
      <c r="H294" s="423" t="s">
        <v>35</v>
      </c>
      <c r="I294" s="1170">
        <f ca="1">IFERROR(__xludf.DUMMYFUNCTION("IMPORTRANGE(""https://docs.google.com/spreadsheets/d/1QqKyyYR6Q21VydFLVH3TRQUabQu_ym0Zz7PgGX0-kHA/edit?usp=sharing"",""แผน!EB87"")"),0)</f>
        <v>0</v>
      </c>
      <c r="J294" s="1171">
        <v>0</v>
      </c>
      <c r="K294" s="1139">
        <f t="shared" ca="1" si="133"/>
        <v>0</v>
      </c>
      <c r="L294" s="1139"/>
      <c r="M294" s="1139"/>
      <c r="N294" s="1139"/>
      <c r="O294" s="1139"/>
      <c r="P294" s="1139"/>
    </row>
    <row r="295" spans="1:26" ht="19.5">
      <c r="A295" s="1172" t="s">
        <v>137</v>
      </c>
      <c r="B295" s="1173"/>
      <c r="C295" s="1173"/>
      <c r="D295" s="1173"/>
      <c r="E295" s="1174"/>
      <c r="F295" s="1174"/>
      <c r="G295" s="1175"/>
      <c r="H295" s="1176"/>
      <c r="I295" s="1177"/>
      <c r="J295" s="1177"/>
      <c r="K295" s="1178"/>
      <c r="L295" s="1178"/>
      <c r="M295" s="1178"/>
      <c r="N295" s="1178"/>
      <c r="O295" s="1178"/>
      <c r="P295" s="1178"/>
    </row>
    <row r="296" spans="1:26" ht="19.5" hidden="1">
      <c r="A296" s="1179" t="s">
        <v>138</v>
      </c>
      <c r="B296" s="1180"/>
      <c r="C296" s="1180"/>
      <c r="D296" s="1181"/>
      <c r="E296" s="1181"/>
      <c r="F296" s="1181"/>
      <c r="G296" s="1182"/>
      <c r="H296" s="1183"/>
      <c r="I296" s="1184"/>
      <c r="J296" s="1184"/>
      <c r="K296" s="1185"/>
      <c r="L296" s="1185"/>
      <c r="M296" s="1185"/>
      <c r="N296" s="1185"/>
      <c r="O296" s="1185"/>
      <c r="P296" s="1185"/>
    </row>
    <row r="297" spans="1:26" ht="19.5" hidden="1">
      <c r="A297" s="1186"/>
      <c r="B297" s="1187" t="s">
        <v>139</v>
      </c>
      <c r="C297" s="1188"/>
      <c r="D297" s="1188"/>
      <c r="E297" s="1188"/>
      <c r="F297" s="1188"/>
      <c r="G297" s="1189"/>
      <c r="H297" s="444" t="s">
        <v>35</v>
      </c>
      <c r="I297" s="1190">
        <f t="shared" ref="I297:J297" ca="1" si="134">I309</f>
        <v>0</v>
      </c>
      <c r="J297" s="1190">
        <f t="shared" si="134"/>
        <v>0</v>
      </c>
      <c r="K297" s="1191">
        <f ca="1">IF(I297&gt;0,J297*100/I297,0)</f>
        <v>0</v>
      </c>
      <c r="L297" s="1192"/>
      <c r="M297" s="1192"/>
      <c r="N297" s="1192"/>
      <c r="O297" s="1192"/>
      <c r="P297" s="1192"/>
    </row>
    <row r="298" spans="1:26" ht="19.5" hidden="1">
      <c r="A298" s="985"/>
      <c r="B298" s="986"/>
      <c r="C298" s="987" t="s">
        <v>16</v>
      </c>
      <c r="D298" s="988" t="s">
        <v>17</v>
      </c>
      <c r="E298" s="986"/>
      <c r="F298" s="986"/>
      <c r="G298" s="989"/>
      <c r="H298" s="152" t="s">
        <v>12</v>
      </c>
      <c r="I298" s="990"/>
      <c r="J298" s="990"/>
      <c r="K298" s="991"/>
      <c r="L298" s="992">
        <f t="shared" ref="L298:N298" ca="1" si="135">L299+L300</f>
        <v>0</v>
      </c>
      <c r="M298" s="992">
        <f t="shared" ca="1" si="135"/>
        <v>0</v>
      </c>
      <c r="N298" s="992">
        <f t="shared" ca="1" si="135"/>
        <v>0</v>
      </c>
      <c r="O298" s="992">
        <f t="shared" ref="O298:O306" ca="1" si="136">IF(L298&gt;0,N298*100/L298,0)</f>
        <v>0</v>
      </c>
      <c r="P298" s="992">
        <f t="shared" ref="P298:P306" ca="1" si="137">IF(M298&gt;0,N298*100/M298,0)</f>
        <v>0</v>
      </c>
      <c r="Q298" s="868"/>
      <c r="R298" s="868"/>
      <c r="S298" s="868"/>
      <c r="T298" s="868"/>
      <c r="U298" s="868"/>
      <c r="V298" s="868"/>
      <c r="W298" s="868"/>
      <c r="X298" s="868"/>
      <c r="Y298" s="868"/>
      <c r="Z298" s="868"/>
    </row>
    <row r="299" spans="1:26" ht="18.75" hidden="1">
      <c r="A299" s="993"/>
      <c r="B299" s="883"/>
      <c r="C299" s="883"/>
      <c r="D299" s="883"/>
      <c r="E299" s="884" t="s">
        <v>18</v>
      </c>
      <c r="F299" s="883"/>
      <c r="G299" s="994"/>
      <c r="H299" s="158" t="s">
        <v>12</v>
      </c>
      <c r="I299" s="886"/>
      <c r="J299" s="886"/>
      <c r="K299" s="887"/>
      <c r="L299" s="887">
        <f t="shared" ref="L299:N300" si="138">L302+L305</f>
        <v>0</v>
      </c>
      <c r="M299" s="887">
        <f t="shared" si="138"/>
        <v>0</v>
      </c>
      <c r="N299" s="887">
        <f t="shared" si="138"/>
        <v>0</v>
      </c>
      <c r="O299" s="887">
        <f t="shared" si="136"/>
        <v>0</v>
      </c>
      <c r="P299" s="887">
        <f t="shared" si="137"/>
        <v>0</v>
      </c>
      <c r="Q299" s="875"/>
      <c r="R299" s="875"/>
      <c r="S299" s="875"/>
      <c r="T299" s="875"/>
      <c r="U299" s="875"/>
      <c r="V299" s="875"/>
      <c r="W299" s="875"/>
      <c r="X299" s="875"/>
      <c r="Y299" s="875"/>
      <c r="Z299" s="875"/>
    </row>
    <row r="300" spans="1:26" ht="18.75" hidden="1">
      <c r="A300" s="993"/>
      <c r="B300" s="883"/>
      <c r="C300" s="883"/>
      <c r="D300" s="883"/>
      <c r="E300" s="884" t="s">
        <v>19</v>
      </c>
      <c r="F300" s="883"/>
      <c r="G300" s="994"/>
      <c r="H300" s="158" t="s">
        <v>12</v>
      </c>
      <c r="I300" s="886"/>
      <c r="J300" s="886"/>
      <c r="K300" s="887"/>
      <c r="L300" s="887">
        <f t="shared" ca="1" si="138"/>
        <v>0</v>
      </c>
      <c r="M300" s="887">
        <f t="shared" ca="1" si="138"/>
        <v>0</v>
      </c>
      <c r="N300" s="887">
        <f t="shared" ca="1" si="138"/>
        <v>0</v>
      </c>
      <c r="O300" s="887">
        <f t="shared" ca="1" si="136"/>
        <v>0</v>
      </c>
      <c r="P300" s="887">
        <f t="shared" ca="1" si="137"/>
        <v>0</v>
      </c>
      <c r="Q300" s="875"/>
      <c r="R300" s="875"/>
      <c r="S300" s="875"/>
      <c r="T300" s="875"/>
      <c r="U300" s="875"/>
      <c r="V300" s="875"/>
      <c r="W300" s="875"/>
      <c r="X300" s="875"/>
      <c r="Y300" s="875"/>
      <c r="Z300" s="875"/>
    </row>
    <row r="301" spans="1:26" ht="18.75" hidden="1">
      <c r="A301" s="995"/>
      <c r="B301" s="877"/>
      <c r="C301" s="996"/>
      <c r="D301" s="878" t="s">
        <v>20</v>
      </c>
      <c r="E301" s="877"/>
      <c r="F301" s="877"/>
      <c r="G301" s="879"/>
      <c r="H301" s="161" t="s">
        <v>12</v>
      </c>
      <c r="I301" s="997"/>
      <c r="J301" s="997"/>
      <c r="K301" s="998"/>
      <c r="L301" s="881">
        <f t="shared" ref="L301:N301" ca="1" si="139">L302+L303</f>
        <v>0</v>
      </c>
      <c r="M301" s="881">
        <f t="shared" ca="1" si="139"/>
        <v>0</v>
      </c>
      <c r="N301" s="881">
        <f t="shared" ca="1" si="139"/>
        <v>0</v>
      </c>
      <c r="O301" s="881">
        <f t="shared" ca="1" si="136"/>
        <v>0</v>
      </c>
      <c r="P301" s="881">
        <f t="shared" ca="1" si="137"/>
        <v>0</v>
      </c>
      <c r="Q301" s="868"/>
      <c r="R301" s="868"/>
      <c r="S301" s="868"/>
      <c r="T301" s="868"/>
      <c r="U301" s="868"/>
      <c r="V301" s="868"/>
      <c r="W301" s="868"/>
      <c r="X301" s="868"/>
      <c r="Y301" s="868"/>
      <c r="Z301" s="868"/>
    </row>
    <row r="302" spans="1:26" ht="19.5" hidden="1">
      <c r="A302" s="993"/>
      <c r="B302" s="883"/>
      <c r="C302" s="999"/>
      <c r="D302" s="883"/>
      <c r="E302" s="884" t="s">
        <v>36</v>
      </c>
      <c r="F302" s="883"/>
      <c r="G302" s="994"/>
      <c r="H302" s="165" t="s">
        <v>12</v>
      </c>
      <c r="I302" s="1000"/>
      <c r="J302" s="1000"/>
      <c r="K302" s="1001"/>
      <c r="L302" s="887">
        <v>0</v>
      </c>
      <c r="M302" s="887">
        <v>0</v>
      </c>
      <c r="N302" s="887">
        <v>0</v>
      </c>
      <c r="O302" s="887">
        <f t="shared" si="136"/>
        <v>0</v>
      </c>
      <c r="P302" s="887">
        <f t="shared" si="137"/>
        <v>0</v>
      </c>
      <c r="Q302" s="875"/>
      <c r="R302" s="875"/>
      <c r="S302" s="875"/>
      <c r="T302" s="875"/>
      <c r="U302" s="875"/>
      <c r="V302" s="875"/>
      <c r="W302" s="875"/>
      <c r="X302" s="875"/>
      <c r="Y302" s="875"/>
      <c r="Z302" s="875"/>
    </row>
    <row r="303" spans="1:26" ht="19.5" hidden="1">
      <c r="A303" s="993"/>
      <c r="B303" s="883"/>
      <c r="C303" s="999"/>
      <c r="D303" s="883"/>
      <c r="E303" s="884" t="s">
        <v>37</v>
      </c>
      <c r="F303" s="883"/>
      <c r="G303" s="994"/>
      <c r="H303" s="165" t="s">
        <v>12</v>
      </c>
      <c r="I303" s="1000"/>
      <c r="J303" s="1000"/>
      <c r="K303" s="1001"/>
      <c r="L303" s="887">
        <f ca="1">IFERROR(__xludf.DUMMYFUNCTION("IMPORTRANGE(""https://docs.google.com/spreadsheets/d/1MeEWN-I1oV_STSDYn1IFDPWt_1FKiwhDph83XaGc0o0/edit?usp=sharing"",""งบพรบ!DS87"")"),0)</f>
        <v>0</v>
      </c>
      <c r="M303" s="887">
        <f ca="1">IFERROR(__xludf.DUMMYFUNCTION("IMPORTRANGE(""https://docs.google.com/spreadsheets/d/1MeEWN-I1oV_STSDYn1IFDPWt_1FKiwhDph83XaGc0o0/edit?usp=sharing"",""งบพรบ!DX87"")"),0)</f>
        <v>0</v>
      </c>
      <c r="N303" s="887">
        <f ca="1">IFERROR(__xludf.DUMMYFUNCTION("IMPORTRANGE(""https://docs.google.com/spreadsheets/d/1MeEWN-I1oV_STSDYn1IFDPWt_1FKiwhDph83XaGc0o0/edit?usp=sharing"",""งบพรบ!DZ87"")"),0)</f>
        <v>0</v>
      </c>
      <c r="O303" s="887">
        <f t="shared" ca="1" si="136"/>
        <v>0</v>
      </c>
      <c r="P303" s="887">
        <f t="shared" ca="1" si="137"/>
        <v>0</v>
      </c>
      <c r="Q303" s="875"/>
      <c r="R303" s="875"/>
      <c r="S303" s="875"/>
      <c r="T303" s="875"/>
      <c r="U303" s="875"/>
      <c r="V303" s="875"/>
      <c r="W303" s="875"/>
      <c r="X303" s="875"/>
      <c r="Y303" s="875"/>
      <c r="Z303" s="875"/>
    </row>
    <row r="304" spans="1:26" ht="18.75" hidden="1">
      <c r="A304" s="995"/>
      <c r="B304" s="877"/>
      <c r="C304" s="996"/>
      <c r="D304" s="878" t="s">
        <v>21</v>
      </c>
      <c r="E304" s="877"/>
      <c r="F304" s="877"/>
      <c r="G304" s="879"/>
      <c r="H304" s="168" t="s">
        <v>12</v>
      </c>
      <c r="I304" s="997"/>
      <c r="J304" s="997"/>
      <c r="K304" s="998"/>
      <c r="L304" s="881">
        <f t="shared" ref="L304:N304" ca="1" si="140">L305+L306</f>
        <v>0</v>
      </c>
      <c r="M304" s="881">
        <f t="shared" ca="1" si="140"/>
        <v>0</v>
      </c>
      <c r="N304" s="881">
        <f t="shared" ca="1" si="140"/>
        <v>0</v>
      </c>
      <c r="O304" s="881">
        <f t="shared" ca="1" si="136"/>
        <v>0</v>
      </c>
      <c r="P304" s="881">
        <f t="shared" ca="1" si="137"/>
        <v>0</v>
      </c>
      <c r="Q304" s="868"/>
      <c r="R304" s="868"/>
      <c r="S304" s="868"/>
      <c r="T304" s="868"/>
      <c r="U304" s="868"/>
      <c r="V304" s="868"/>
      <c r="W304" s="868"/>
      <c r="X304" s="868"/>
      <c r="Y304" s="868"/>
      <c r="Z304" s="868"/>
    </row>
    <row r="305" spans="1:26" ht="19.5" hidden="1">
      <c r="A305" s="993"/>
      <c r="B305" s="883"/>
      <c r="C305" s="999"/>
      <c r="D305" s="883"/>
      <c r="E305" s="884" t="s">
        <v>18</v>
      </c>
      <c r="F305" s="883"/>
      <c r="G305" s="994"/>
      <c r="H305" s="165" t="s">
        <v>12</v>
      </c>
      <c r="I305" s="1000"/>
      <c r="J305" s="1000"/>
      <c r="K305" s="1001"/>
      <c r="L305" s="887">
        <v>0</v>
      </c>
      <c r="M305" s="887">
        <v>0</v>
      </c>
      <c r="N305" s="887">
        <v>0</v>
      </c>
      <c r="O305" s="887">
        <f t="shared" si="136"/>
        <v>0</v>
      </c>
      <c r="P305" s="887">
        <f t="shared" si="137"/>
        <v>0</v>
      </c>
      <c r="Q305" s="875"/>
      <c r="R305" s="875"/>
      <c r="S305" s="875"/>
      <c r="T305" s="875"/>
      <c r="U305" s="875"/>
      <c r="V305" s="875"/>
      <c r="W305" s="875"/>
      <c r="X305" s="875"/>
      <c r="Y305" s="875"/>
      <c r="Z305" s="875"/>
    </row>
    <row r="306" spans="1:26" ht="19.5" hidden="1">
      <c r="A306" s="993"/>
      <c r="B306" s="883"/>
      <c r="C306" s="999"/>
      <c r="D306" s="883"/>
      <c r="E306" s="884" t="s">
        <v>19</v>
      </c>
      <c r="F306" s="883"/>
      <c r="G306" s="994"/>
      <c r="H306" s="169" t="s">
        <v>12</v>
      </c>
      <c r="I306" s="1000"/>
      <c r="J306" s="1000"/>
      <c r="K306" s="1001"/>
      <c r="L306" s="887">
        <f ca="1">IFERROR(__xludf.DUMMYFUNCTION("IMPORTRANGE(""https://docs.google.com/spreadsheets/d/1MeEWN-I1oV_STSDYn1IFDPWt_1FKiwhDph83XaGc0o0/edit?usp=sharing"",""งบพรบ!DV87"")"),0)</f>
        <v>0</v>
      </c>
      <c r="M306" s="887">
        <f ca="1">IFERROR(__xludf.DUMMYFUNCTION("IMPORTRANGE(""https://docs.google.com/spreadsheets/d/1MeEWN-I1oV_STSDYn1IFDPWt_1FKiwhDph83XaGc0o0/edit?usp=sharing"",""งบพรบ!DY87"")"),0)</f>
        <v>0</v>
      </c>
      <c r="N306" s="887">
        <f ca="1">IFERROR(__xludf.DUMMYFUNCTION("IMPORTRANGE(""https://docs.google.com/spreadsheets/d/1MeEWN-I1oV_STSDYn1IFDPWt_1FKiwhDph83XaGc0o0/edit?usp=sharing"",""งบพรบ!EA87"")"),0)</f>
        <v>0</v>
      </c>
      <c r="O306" s="887">
        <f t="shared" ca="1" si="136"/>
        <v>0</v>
      </c>
      <c r="P306" s="887">
        <f t="shared" ca="1" si="137"/>
        <v>0</v>
      </c>
      <c r="Q306" s="875"/>
      <c r="R306" s="875"/>
      <c r="S306" s="875"/>
      <c r="T306" s="875"/>
      <c r="U306" s="875"/>
      <c r="V306" s="875"/>
      <c r="W306" s="875"/>
      <c r="X306" s="875"/>
      <c r="Y306" s="875"/>
      <c r="Z306" s="875"/>
    </row>
    <row r="307" spans="1:26" ht="19.5" hidden="1">
      <c r="A307" s="1002"/>
      <c r="B307" s="1003"/>
      <c r="C307" s="999" t="s">
        <v>16</v>
      </c>
      <c r="D307" s="1004" t="s">
        <v>38</v>
      </c>
      <c r="E307" s="1005"/>
      <c r="F307" s="1005"/>
      <c r="G307" s="1006"/>
      <c r="H307" s="1007"/>
      <c r="I307" s="880"/>
      <c r="J307" s="880"/>
      <c r="K307" s="881"/>
      <c r="L307" s="881"/>
      <c r="M307" s="881"/>
      <c r="N307" s="881"/>
      <c r="O307" s="881"/>
      <c r="P307" s="881"/>
    </row>
    <row r="308" spans="1:26" ht="18.75" hidden="1">
      <c r="A308" s="1002"/>
      <c r="B308" s="1003"/>
      <c r="C308" s="1003"/>
      <c r="D308" s="1009" t="s">
        <v>140</v>
      </c>
      <c r="E308" s="1009"/>
      <c r="F308" s="1009"/>
      <c r="G308" s="1011"/>
      <c r="H308" s="762"/>
      <c r="I308" s="880"/>
      <c r="J308" s="1012">
        <v>0</v>
      </c>
      <c r="K308" s="881"/>
      <c r="L308" s="881"/>
      <c r="M308" s="881"/>
      <c r="N308" s="881"/>
      <c r="O308" s="881"/>
      <c r="P308" s="881"/>
    </row>
    <row r="309" spans="1:26" ht="18.75" hidden="1">
      <c r="A309" s="1002"/>
      <c r="B309" s="1003"/>
      <c r="C309" s="1003"/>
      <c r="D309" s="1009" t="s">
        <v>141</v>
      </c>
      <c r="E309" s="1009"/>
      <c r="F309" s="1009"/>
      <c r="G309" s="1011"/>
      <c r="H309" s="762" t="s">
        <v>35</v>
      </c>
      <c r="I309" s="880">
        <f ca="1">IFERROR(__xludf.DUMMYFUNCTION("IMPORTRANGE(""https://docs.google.com/spreadsheets/d/1QqKyyYR6Q21VydFLVH3TRQUabQu_ym0Zz7PgGX0-kHA/edit?usp=sharing"",""แผน!ED87"")"),0)</f>
        <v>0</v>
      </c>
      <c r="J309" s="1012">
        <v>0</v>
      </c>
      <c r="K309" s="881">
        <f t="shared" ref="K309:K312" ca="1" si="141">IF(I309&gt;0,J309*100/I309,0)</f>
        <v>0</v>
      </c>
      <c r="L309" s="881"/>
      <c r="M309" s="881"/>
      <c r="N309" s="881"/>
      <c r="O309" s="881"/>
      <c r="P309" s="881"/>
    </row>
    <row r="310" spans="1:26" ht="18.75" hidden="1">
      <c r="A310" s="1002"/>
      <c r="B310" s="1003"/>
      <c r="C310" s="1003"/>
      <c r="D310" s="1009" t="s">
        <v>142</v>
      </c>
      <c r="E310" s="1009"/>
      <c r="F310" s="1009"/>
      <c r="G310" s="1011"/>
      <c r="H310" s="762" t="s">
        <v>35</v>
      </c>
      <c r="I310" s="880">
        <f ca="1">IFERROR(__xludf.DUMMYFUNCTION("IMPORTRANGE(""https://docs.google.com/spreadsheets/d/1QqKyyYR6Q21VydFLVH3TRQUabQu_ym0Zz7PgGX0-kHA/edit?usp=sharing"",""แผน!ED87"")"),0)</f>
        <v>0</v>
      </c>
      <c r="J310" s="1012">
        <v>0</v>
      </c>
      <c r="K310" s="881">
        <f t="shared" ca="1" si="141"/>
        <v>0</v>
      </c>
      <c r="L310" s="881"/>
      <c r="M310" s="881"/>
      <c r="N310" s="881"/>
      <c r="O310" s="881"/>
      <c r="P310" s="881"/>
    </row>
    <row r="311" spans="1:26" ht="18.75" hidden="1">
      <c r="A311" s="1002"/>
      <c r="B311" s="1003"/>
      <c r="C311" s="1003"/>
      <c r="D311" s="1009" t="s">
        <v>59</v>
      </c>
      <c r="E311" s="1009"/>
      <c r="F311" s="1009"/>
      <c r="G311" s="1011"/>
      <c r="H311" s="762" t="s">
        <v>35</v>
      </c>
      <c r="I311" s="880">
        <f ca="1">IFERROR(__xludf.DUMMYFUNCTION("IMPORTRANGE(""https://docs.google.com/spreadsheets/d/1QqKyyYR6Q21VydFLVH3TRQUabQu_ym0Zz7PgGX0-kHA/edit?usp=sharing"",""แผน!ED87"")"),0)</f>
        <v>0</v>
      </c>
      <c r="J311" s="1012">
        <v>0</v>
      </c>
      <c r="K311" s="881">
        <f t="shared" ca="1" si="141"/>
        <v>0</v>
      </c>
      <c r="L311" s="881"/>
      <c r="M311" s="881"/>
      <c r="N311" s="881"/>
      <c r="O311" s="881"/>
      <c r="P311" s="881"/>
    </row>
    <row r="312" spans="1:26" ht="18.75" hidden="1">
      <c r="A312" s="1002"/>
      <c r="B312" s="1003"/>
      <c r="C312" s="1003"/>
      <c r="D312" s="1009" t="s">
        <v>143</v>
      </c>
      <c r="E312" s="1009"/>
      <c r="F312" s="1009"/>
      <c r="G312" s="1011"/>
      <c r="H312" s="762" t="s">
        <v>35</v>
      </c>
      <c r="I312" s="880">
        <f ca="1">IFERROR(__xludf.DUMMYFUNCTION("IMPORTRANGE(""https://docs.google.com/spreadsheets/d/1QqKyyYR6Q21VydFLVH3TRQUabQu_ym0Zz7PgGX0-kHA/edit?usp=sharing"",""แผน!EE87"")"),0)</f>
        <v>0</v>
      </c>
      <c r="J312" s="1012">
        <v>0</v>
      </c>
      <c r="K312" s="881">
        <f t="shared" ca="1" si="141"/>
        <v>0</v>
      </c>
      <c r="L312" s="881"/>
      <c r="M312" s="881"/>
      <c r="N312" s="881"/>
      <c r="O312" s="881"/>
      <c r="P312" s="881"/>
    </row>
    <row r="313" spans="1:26" ht="19.5" hidden="1">
      <c r="A313" s="1179" t="s">
        <v>144</v>
      </c>
      <c r="B313" s="1180"/>
      <c r="C313" s="1180"/>
      <c r="D313" s="1181"/>
      <c r="E313" s="1180"/>
      <c r="F313" s="1180"/>
      <c r="G313" s="1180"/>
      <c r="H313" s="1193"/>
      <c r="I313" s="1184"/>
      <c r="J313" s="1184"/>
      <c r="K313" s="1185"/>
      <c r="L313" s="1185"/>
      <c r="M313" s="1185"/>
      <c r="N313" s="1185"/>
      <c r="O313" s="1185"/>
      <c r="P313" s="1185"/>
    </row>
    <row r="314" spans="1:26" ht="19.5" hidden="1">
      <c r="A314" s="1194"/>
      <c r="B314" s="1187" t="s">
        <v>145</v>
      </c>
      <c r="C314" s="1195"/>
      <c r="D314" s="1196"/>
      <c r="E314" s="1188"/>
      <c r="F314" s="1188"/>
      <c r="G314" s="1189"/>
      <c r="H314" s="444" t="s">
        <v>146</v>
      </c>
      <c r="I314" s="1190">
        <f t="shared" ref="I314:J314" ca="1" si="142">I325</f>
        <v>0</v>
      </c>
      <c r="J314" s="1190">
        <f t="shared" si="142"/>
        <v>0</v>
      </c>
      <c r="K314" s="1191">
        <f ca="1">IF(I314&gt;0,J314*100/I314,0)</f>
        <v>0</v>
      </c>
      <c r="L314" s="1192"/>
      <c r="M314" s="1192"/>
      <c r="N314" s="1192"/>
      <c r="O314" s="1192"/>
      <c r="P314" s="1192"/>
    </row>
    <row r="315" spans="1:26" ht="19.5" hidden="1">
      <c r="A315" s="985"/>
      <c r="B315" s="986"/>
      <c r="C315" s="987" t="s">
        <v>16</v>
      </c>
      <c r="D315" s="988" t="s">
        <v>17</v>
      </c>
      <c r="E315" s="986"/>
      <c r="F315" s="986"/>
      <c r="G315" s="989"/>
      <c r="H315" s="152" t="s">
        <v>12</v>
      </c>
      <c r="I315" s="990"/>
      <c r="J315" s="990"/>
      <c r="K315" s="991"/>
      <c r="L315" s="992">
        <f t="shared" ref="L315:N315" ca="1" si="143">L316+L317</f>
        <v>0</v>
      </c>
      <c r="M315" s="992">
        <f t="shared" ca="1" si="143"/>
        <v>0</v>
      </c>
      <c r="N315" s="992">
        <f t="shared" ca="1" si="143"/>
        <v>0</v>
      </c>
      <c r="O315" s="992">
        <f t="shared" ref="O315:O323" ca="1" si="144">IF(L315&gt;0,N315*100/L315,0)</f>
        <v>0</v>
      </c>
      <c r="P315" s="992">
        <f t="shared" ref="P315:P323" ca="1" si="145">IF(M315&gt;0,N315*100/M315,0)</f>
        <v>0</v>
      </c>
      <c r="Q315" s="868"/>
      <c r="R315" s="868"/>
      <c r="S315" s="868"/>
      <c r="T315" s="868"/>
      <c r="U315" s="868"/>
      <c r="V315" s="868"/>
      <c r="W315" s="868"/>
      <c r="X315" s="868"/>
      <c r="Y315" s="868"/>
      <c r="Z315" s="868"/>
    </row>
    <row r="316" spans="1:26" ht="18.75" hidden="1">
      <c r="A316" s="993"/>
      <c r="B316" s="883"/>
      <c r="C316" s="883"/>
      <c r="D316" s="883"/>
      <c r="E316" s="884" t="s">
        <v>18</v>
      </c>
      <c r="F316" s="883"/>
      <c r="G316" s="994"/>
      <c r="H316" s="158" t="s">
        <v>12</v>
      </c>
      <c r="I316" s="886"/>
      <c r="J316" s="886"/>
      <c r="K316" s="887"/>
      <c r="L316" s="887">
        <f t="shared" ref="L316:N317" si="146">L319+L322</f>
        <v>0</v>
      </c>
      <c r="M316" s="887">
        <f t="shared" si="146"/>
        <v>0</v>
      </c>
      <c r="N316" s="887">
        <f t="shared" si="146"/>
        <v>0</v>
      </c>
      <c r="O316" s="887">
        <f t="shared" si="144"/>
        <v>0</v>
      </c>
      <c r="P316" s="887">
        <f t="shared" si="145"/>
        <v>0</v>
      </c>
      <c r="Q316" s="875"/>
      <c r="R316" s="875"/>
      <c r="S316" s="875"/>
      <c r="T316" s="875"/>
      <c r="U316" s="875"/>
      <c r="V316" s="875"/>
      <c r="W316" s="875"/>
      <c r="X316" s="875"/>
      <c r="Y316" s="875"/>
      <c r="Z316" s="875"/>
    </row>
    <row r="317" spans="1:26" ht="18.75" hidden="1">
      <c r="A317" s="993"/>
      <c r="B317" s="883"/>
      <c r="C317" s="883"/>
      <c r="D317" s="883"/>
      <c r="E317" s="884" t="s">
        <v>19</v>
      </c>
      <c r="F317" s="883"/>
      <c r="G317" s="994"/>
      <c r="H317" s="158" t="s">
        <v>12</v>
      </c>
      <c r="I317" s="886"/>
      <c r="J317" s="886"/>
      <c r="K317" s="887"/>
      <c r="L317" s="887">
        <f t="shared" ca="1" si="146"/>
        <v>0</v>
      </c>
      <c r="M317" s="887">
        <f t="shared" ca="1" si="146"/>
        <v>0</v>
      </c>
      <c r="N317" s="887">
        <f t="shared" ca="1" si="146"/>
        <v>0</v>
      </c>
      <c r="O317" s="887">
        <f t="shared" ca="1" si="144"/>
        <v>0</v>
      </c>
      <c r="P317" s="887">
        <f t="shared" ca="1" si="145"/>
        <v>0</v>
      </c>
      <c r="Q317" s="875"/>
      <c r="R317" s="875"/>
      <c r="S317" s="875"/>
      <c r="T317" s="875"/>
      <c r="U317" s="875"/>
      <c r="V317" s="875"/>
      <c r="W317" s="875"/>
      <c r="X317" s="875"/>
      <c r="Y317" s="875"/>
      <c r="Z317" s="875"/>
    </row>
    <row r="318" spans="1:26" ht="18.75" hidden="1">
      <c r="A318" s="995"/>
      <c r="B318" s="877"/>
      <c r="C318" s="996"/>
      <c r="D318" s="878" t="s">
        <v>20</v>
      </c>
      <c r="E318" s="877"/>
      <c r="F318" s="877"/>
      <c r="G318" s="879"/>
      <c r="H318" s="161" t="s">
        <v>12</v>
      </c>
      <c r="I318" s="997"/>
      <c r="J318" s="997"/>
      <c r="K318" s="998"/>
      <c r="L318" s="881">
        <f t="shared" ref="L318:N318" ca="1" si="147">L319+L320</f>
        <v>0</v>
      </c>
      <c r="M318" s="881">
        <f t="shared" ca="1" si="147"/>
        <v>0</v>
      </c>
      <c r="N318" s="881">
        <f t="shared" ca="1" si="147"/>
        <v>0</v>
      </c>
      <c r="O318" s="881">
        <f t="shared" ca="1" si="144"/>
        <v>0</v>
      </c>
      <c r="P318" s="881">
        <f t="shared" ca="1" si="145"/>
        <v>0</v>
      </c>
      <c r="Q318" s="868"/>
      <c r="R318" s="868"/>
      <c r="S318" s="868"/>
      <c r="T318" s="868"/>
      <c r="U318" s="868"/>
      <c r="V318" s="868"/>
      <c r="W318" s="868"/>
      <c r="X318" s="868"/>
      <c r="Y318" s="868"/>
      <c r="Z318" s="868"/>
    </row>
    <row r="319" spans="1:26" ht="19.5" hidden="1">
      <c r="A319" s="993"/>
      <c r="B319" s="883"/>
      <c r="C319" s="999"/>
      <c r="D319" s="883"/>
      <c r="E319" s="884" t="s">
        <v>36</v>
      </c>
      <c r="F319" s="883"/>
      <c r="G319" s="994"/>
      <c r="H319" s="165" t="s">
        <v>12</v>
      </c>
      <c r="I319" s="1000"/>
      <c r="J319" s="1000"/>
      <c r="K319" s="1001"/>
      <c r="L319" s="887">
        <v>0</v>
      </c>
      <c r="M319" s="887">
        <v>0</v>
      </c>
      <c r="N319" s="887">
        <v>0</v>
      </c>
      <c r="O319" s="887">
        <f t="shared" si="144"/>
        <v>0</v>
      </c>
      <c r="P319" s="887">
        <f t="shared" si="145"/>
        <v>0</v>
      </c>
      <c r="Q319" s="875"/>
      <c r="R319" s="875"/>
      <c r="S319" s="875"/>
      <c r="T319" s="875"/>
      <c r="U319" s="875"/>
      <c r="V319" s="875"/>
      <c r="W319" s="875"/>
      <c r="X319" s="875"/>
      <c r="Y319" s="875"/>
      <c r="Z319" s="875"/>
    </row>
    <row r="320" spans="1:26" ht="19.5" hidden="1">
      <c r="A320" s="993"/>
      <c r="B320" s="883"/>
      <c r="C320" s="999"/>
      <c r="D320" s="883"/>
      <c r="E320" s="884" t="s">
        <v>37</v>
      </c>
      <c r="F320" s="883"/>
      <c r="G320" s="994"/>
      <c r="H320" s="165" t="s">
        <v>12</v>
      </c>
      <c r="I320" s="1000"/>
      <c r="J320" s="1000"/>
      <c r="K320" s="1001"/>
      <c r="L320" s="887">
        <f ca="1">IFERROR(__xludf.DUMMYFUNCTION("IMPORTRANGE(""https://docs.google.com/spreadsheets/d/1MeEWN-I1oV_STSDYn1IFDPWt_1FKiwhDph83XaGc0o0/edit?usp=sharing"",""งบพรบ!EC87"")"),0)</f>
        <v>0</v>
      </c>
      <c r="M320" s="887">
        <f ca="1">IFERROR(__xludf.DUMMYFUNCTION("IMPORTRANGE(""https://docs.google.com/spreadsheets/d/1MeEWN-I1oV_STSDYn1IFDPWt_1FKiwhDph83XaGc0o0/edit?usp=sharing"",""งบพรบ!EH87"")"),0)</f>
        <v>0</v>
      </c>
      <c r="N320" s="887">
        <f ca="1">IFERROR(__xludf.DUMMYFUNCTION("IMPORTRANGE(""https://docs.google.com/spreadsheets/d/1MeEWN-I1oV_STSDYn1IFDPWt_1FKiwhDph83XaGc0o0/edit?usp=sharing"",""งบพรบ!EJ87"")"),0)</f>
        <v>0</v>
      </c>
      <c r="O320" s="887">
        <f t="shared" ca="1" si="144"/>
        <v>0</v>
      </c>
      <c r="P320" s="887">
        <f t="shared" ca="1" si="145"/>
        <v>0</v>
      </c>
      <c r="Q320" s="875"/>
      <c r="R320" s="875"/>
      <c r="S320" s="875"/>
      <c r="T320" s="875"/>
      <c r="U320" s="875"/>
      <c r="V320" s="875"/>
      <c r="W320" s="875"/>
      <c r="X320" s="875"/>
      <c r="Y320" s="875"/>
      <c r="Z320" s="875"/>
    </row>
    <row r="321" spans="1:26" ht="18.75" hidden="1">
      <c r="A321" s="995"/>
      <c r="B321" s="877"/>
      <c r="C321" s="996"/>
      <c r="D321" s="878" t="s">
        <v>21</v>
      </c>
      <c r="E321" s="877"/>
      <c r="F321" s="877"/>
      <c r="G321" s="879"/>
      <c r="H321" s="168" t="s">
        <v>12</v>
      </c>
      <c r="I321" s="997"/>
      <c r="J321" s="997"/>
      <c r="K321" s="998"/>
      <c r="L321" s="881">
        <f t="shared" ref="L321:N321" ca="1" si="148">L322+L323</f>
        <v>0</v>
      </c>
      <c r="M321" s="881">
        <f t="shared" ca="1" si="148"/>
        <v>0</v>
      </c>
      <c r="N321" s="881">
        <f t="shared" ca="1" si="148"/>
        <v>0</v>
      </c>
      <c r="O321" s="881">
        <f t="shared" ca="1" si="144"/>
        <v>0</v>
      </c>
      <c r="P321" s="881">
        <f t="shared" ca="1" si="145"/>
        <v>0</v>
      </c>
      <c r="Q321" s="868"/>
      <c r="R321" s="868"/>
      <c r="S321" s="868"/>
      <c r="T321" s="868"/>
      <c r="U321" s="868"/>
      <c r="V321" s="868"/>
      <c r="W321" s="868"/>
      <c r="X321" s="868"/>
      <c r="Y321" s="868"/>
      <c r="Z321" s="868"/>
    </row>
    <row r="322" spans="1:26" ht="19.5" hidden="1">
      <c r="A322" s="993"/>
      <c r="B322" s="883"/>
      <c r="C322" s="999"/>
      <c r="D322" s="883"/>
      <c r="E322" s="884" t="s">
        <v>18</v>
      </c>
      <c r="F322" s="883"/>
      <c r="G322" s="994"/>
      <c r="H322" s="165" t="s">
        <v>12</v>
      </c>
      <c r="I322" s="1000"/>
      <c r="J322" s="1000"/>
      <c r="K322" s="1001"/>
      <c r="L322" s="887">
        <v>0</v>
      </c>
      <c r="M322" s="887">
        <v>0</v>
      </c>
      <c r="N322" s="887">
        <v>0</v>
      </c>
      <c r="O322" s="887">
        <f t="shared" si="144"/>
        <v>0</v>
      </c>
      <c r="P322" s="887">
        <f t="shared" si="145"/>
        <v>0</v>
      </c>
      <c r="Q322" s="875"/>
      <c r="R322" s="875"/>
      <c r="S322" s="875"/>
      <c r="T322" s="875"/>
      <c r="U322" s="875"/>
      <c r="V322" s="875"/>
      <c r="W322" s="875"/>
      <c r="X322" s="875"/>
      <c r="Y322" s="875"/>
      <c r="Z322" s="875"/>
    </row>
    <row r="323" spans="1:26" ht="19.5" hidden="1">
      <c r="A323" s="993"/>
      <c r="B323" s="883"/>
      <c r="C323" s="999"/>
      <c r="D323" s="883"/>
      <c r="E323" s="884" t="s">
        <v>19</v>
      </c>
      <c r="F323" s="883"/>
      <c r="G323" s="994"/>
      <c r="H323" s="169" t="s">
        <v>12</v>
      </c>
      <c r="I323" s="1000"/>
      <c r="J323" s="1000"/>
      <c r="K323" s="1001"/>
      <c r="L323" s="887">
        <f ca="1">IFERROR(__xludf.DUMMYFUNCTION("IMPORTRANGE(""https://docs.google.com/spreadsheets/d/1MeEWN-I1oV_STSDYn1IFDPWt_1FKiwhDph83XaGc0o0/edit?usp=sharing"",""งบพรบ!EF87"")"),0)</f>
        <v>0</v>
      </c>
      <c r="M323" s="887">
        <f ca="1">IFERROR(__xludf.DUMMYFUNCTION("IMPORTRANGE(""https://docs.google.com/spreadsheets/d/1MeEWN-I1oV_STSDYn1IFDPWt_1FKiwhDph83XaGc0o0/edit?usp=sharing"",""งบพรบ!EI87"")"),0)</f>
        <v>0</v>
      </c>
      <c r="N323" s="887">
        <f ca="1">IFERROR(__xludf.DUMMYFUNCTION("IMPORTRANGE(""https://docs.google.com/spreadsheets/d/1MeEWN-I1oV_STSDYn1IFDPWt_1FKiwhDph83XaGc0o0/edit?usp=sharing"",""งบพรบ!EK87"")"),0)</f>
        <v>0</v>
      </c>
      <c r="O323" s="887">
        <f t="shared" ca="1" si="144"/>
        <v>0</v>
      </c>
      <c r="P323" s="887">
        <f t="shared" ca="1" si="145"/>
        <v>0</v>
      </c>
      <c r="Q323" s="875"/>
      <c r="R323" s="875"/>
      <c r="S323" s="875"/>
      <c r="T323" s="875"/>
      <c r="U323" s="875"/>
      <c r="V323" s="875"/>
      <c r="W323" s="875"/>
      <c r="X323" s="875"/>
      <c r="Y323" s="875"/>
      <c r="Z323" s="875"/>
    </row>
    <row r="324" spans="1:26" ht="19.5" hidden="1">
      <c r="A324" s="1002"/>
      <c r="B324" s="1003"/>
      <c r="C324" s="999" t="s">
        <v>16</v>
      </c>
      <c r="D324" s="1004" t="s">
        <v>38</v>
      </c>
      <c r="E324" s="1005"/>
      <c r="F324" s="1005"/>
      <c r="G324" s="1006"/>
      <c r="H324" s="1007"/>
      <c r="I324" s="997"/>
      <c r="J324" s="880"/>
      <c r="K324" s="881"/>
      <c r="L324" s="881"/>
      <c r="M324" s="881"/>
      <c r="N324" s="881"/>
      <c r="O324" s="998"/>
      <c r="P324" s="998"/>
    </row>
    <row r="325" spans="1:26" ht="18.75" hidden="1">
      <c r="A325" s="1002"/>
      <c r="B325" s="1003"/>
      <c r="C325" s="1003"/>
      <c r="D325" s="1008" t="s">
        <v>147</v>
      </c>
      <c r="E325" s="1010"/>
      <c r="F325" s="1009"/>
      <c r="G325" s="1011"/>
      <c r="H325" s="622" t="s">
        <v>146</v>
      </c>
      <c r="I325" s="880">
        <f ca="1">IFERROR(__xludf.DUMMYFUNCTION("IMPORTRANGE(""https://docs.google.com/spreadsheets/d/1QqKyyYR6Q21VydFLVH3TRQUabQu_ym0Zz7PgGX0-kHA/edit?usp=sharing"",""แผน!EF87"")"),0)</f>
        <v>0</v>
      </c>
      <c r="J325" s="1012">
        <v>0</v>
      </c>
      <c r="K325" s="881">
        <f ca="1">IF(I325&gt;0,J325*100/I325,0)</f>
        <v>0</v>
      </c>
      <c r="L325" s="881"/>
      <c r="M325" s="881"/>
      <c r="N325" s="881"/>
      <c r="O325" s="998"/>
      <c r="P325" s="998"/>
    </row>
    <row r="326" spans="1:26" ht="19.5">
      <c r="A326" s="1179" t="s">
        <v>148</v>
      </c>
      <c r="B326" s="1180"/>
      <c r="C326" s="1180"/>
      <c r="D326" s="1181"/>
      <c r="E326" s="1180"/>
      <c r="F326" s="1180"/>
      <c r="G326" s="1180"/>
      <c r="H326" s="1193"/>
      <c r="I326" s="1184"/>
      <c r="J326" s="1184"/>
      <c r="K326" s="1185"/>
      <c r="L326" s="1185"/>
      <c r="M326" s="1185"/>
      <c r="N326" s="1185"/>
      <c r="O326" s="1185"/>
      <c r="P326" s="1185"/>
    </row>
    <row r="327" spans="1:26" ht="19.5">
      <c r="A327" s="1186"/>
      <c r="B327" s="1187" t="s">
        <v>149</v>
      </c>
      <c r="C327" s="1196"/>
      <c r="D327" s="1188"/>
      <c r="E327" s="1188"/>
      <c r="F327" s="1188"/>
      <c r="G327" s="1189"/>
      <c r="H327" s="444" t="s">
        <v>35</v>
      </c>
      <c r="I327" s="1190">
        <f ca="1">IFERROR(__xludf.DUMMYFUNCTION("IMPORTRANGE(""https://docs.google.com/spreadsheets/d/1QqKyyYR6Q21VydFLVH3TRQUabQu_ym0Zz7PgGX0-kHA/edit?usp=sharing"",""แผน!EG87"")"),200)</f>
        <v>200</v>
      </c>
      <c r="J327" s="1190">
        <f ca="1">J338+J341+J342+J343</f>
        <v>181</v>
      </c>
      <c r="K327" s="1191">
        <f ca="1">IF(I327&gt;0,J327*100/I327,0)</f>
        <v>90.5</v>
      </c>
      <c r="L327" s="1192"/>
      <c r="M327" s="1192"/>
      <c r="N327" s="1192"/>
      <c r="O327" s="1192"/>
      <c r="P327" s="1192"/>
    </row>
    <row r="328" spans="1:26" ht="19.5">
      <c r="A328" s="985"/>
      <c r="B328" s="986"/>
      <c r="C328" s="987" t="s">
        <v>16</v>
      </c>
      <c r="D328" s="988" t="s">
        <v>17</v>
      </c>
      <c r="E328" s="986"/>
      <c r="F328" s="986"/>
      <c r="G328" s="989"/>
      <c r="H328" s="152" t="s">
        <v>12</v>
      </c>
      <c r="I328" s="990"/>
      <c r="J328" s="990"/>
      <c r="K328" s="991"/>
      <c r="L328" s="992">
        <f t="shared" ref="L328:N328" ca="1" si="149">L329+L330</f>
        <v>157000</v>
      </c>
      <c r="M328" s="992">
        <f t="shared" ca="1" si="149"/>
        <v>120250</v>
      </c>
      <c r="N328" s="992">
        <f t="shared" ca="1" si="149"/>
        <v>64112</v>
      </c>
      <c r="O328" s="992">
        <f t="shared" ref="O328:O336" ca="1" si="150">IF(L328&gt;0,N328*100/L328,0)</f>
        <v>40.835668789808921</v>
      </c>
      <c r="P328" s="992">
        <f t="shared" ref="P328:P336" ca="1" si="151">IF(M328&gt;0,N328*100/M328,0)</f>
        <v>53.315592515592513</v>
      </c>
      <c r="Q328" s="868"/>
      <c r="R328" s="868"/>
      <c r="S328" s="868"/>
      <c r="T328" s="868"/>
      <c r="U328" s="868"/>
      <c r="V328" s="868"/>
      <c r="W328" s="868"/>
      <c r="X328" s="868"/>
      <c r="Y328" s="868"/>
      <c r="Z328" s="868"/>
    </row>
    <row r="329" spans="1:26" ht="18.75" hidden="1">
      <c r="A329" s="993"/>
      <c r="B329" s="883"/>
      <c r="C329" s="883"/>
      <c r="D329" s="883"/>
      <c r="E329" s="884" t="s">
        <v>18</v>
      </c>
      <c r="F329" s="883"/>
      <c r="G329" s="994"/>
      <c r="H329" s="158" t="s">
        <v>12</v>
      </c>
      <c r="I329" s="886"/>
      <c r="J329" s="886"/>
      <c r="K329" s="887"/>
      <c r="L329" s="887">
        <f t="shared" ref="L329:N330" si="152">L332+L335</f>
        <v>0</v>
      </c>
      <c r="M329" s="887">
        <f t="shared" si="152"/>
        <v>0</v>
      </c>
      <c r="N329" s="887">
        <f t="shared" si="152"/>
        <v>0</v>
      </c>
      <c r="O329" s="887">
        <f t="shared" si="150"/>
        <v>0</v>
      </c>
      <c r="P329" s="887">
        <f t="shared" si="151"/>
        <v>0</v>
      </c>
      <c r="Q329" s="875"/>
      <c r="R329" s="875"/>
      <c r="S329" s="875"/>
      <c r="T329" s="875"/>
      <c r="U329" s="875"/>
      <c r="V329" s="875"/>
      <c r="W329" s="875"/>
      <c r="X329" s="875"/>
      <c r="Y329" s="875"/>
      <c r="Z329" s="875"/>
    </row>
    <row r="330" spans="1:26" ht="18.75" hidden="1">
      <c r="A330" s="993"/>
      <c r="B330" s="883"/>
      <c r="C330" s="883"/>
      <c r="D330" s="883"/>
      <c r="E330" s="884" t="s">
        <v>19</v>
      </c>
      <c r="F330" s="883"/>
      <c r="G330" s="994"/>
      <c r="H330" s="158" t="s">
        <v>12</v>
      </c>
      <c r="I330" s="886"/>
      <c r="J330" s="886"/>
      <c r="K330" s="887"/>
      <c r="L330" s="887">
        <f t="shared" ca="1" si="152"/>
        <v>157000</v>
      </c>
      <c r="M330" s="887">
        <f t="shared" ca="1" si="152"/>
        <v>120250</v>
      </c>
      <c r="N330" s="887">
        <f t="shared" ca="1" si="152"/>
        <v>64112</v>
      </c>
      <c r="O330" s="887">
        <f t="shared" ca="1" si="150"/>
        <v>40.835668789808921</v>
      </c>
      <c r="P330" s="887">
        <f t="shared" ca="1" si="151"/>
        <v>53.315592515592513</v>
      </c>
      <c r="Q330" s="875"/>
      <c r="R330" s="875"/>
      <c r="S330" s="875"/>
      <c r="T330" s="875"/>
      <c r="U330" s="875"/>
      <c r="V330" s="875"/>
      <c r="W330" s="875"/>
      <c r="X330" s="875"/>
      <c r="Y330" s="875"/>
      <c r="Z330" s="875"/>
    </row>
    <row r="331" spans="1:26" ht="18.75">
      <c r="A331" s="995"/>
      <c r="B331" s="877"/>
      <c r="C331" s="996"/>
      <c r="D331" s="878" t="s">
        <v>20</v>
      </c>
      <c r="E331" s="877"/>
      <c r="F331" s="877"/>
      <c r="G331" s="879"/>
      <c r="H331" s="161" t="s">
        <v>12</v>
      </c>
      <c r="I331" s="997"/>
      <c r="J331" s="997"/>
      <c r="K331" s="998"/>
      <c r="L331" s="881">
        <f t="shared" ref="L331:N331" ca="1" si="153">L332+L333</f>
        <v>157000</v>
      </c>
      <c r="M331" s="881">
        <f t="shared" ca="1" si="153"/>
        <v>120250</v>
      </c>
      <c r="N331" s="881">
        <f t="shared" ca="1" si="153"/>
        <v>64112</v>
      </c>
      <c r="O331" s="881">
        <f t="shared" ca="1" si="150"/>
        <v>40.835668789808921</v>
      </c>
      <c r="P331" s="881">
        <f t="shared" ca="1" si="151"/>
        <v>53.315592515592513</v>
      </c>
      <c r="Q331" s="868"/>
      <c r="R331" s="868"/>
      <c r="S331" s="868"/>
      <c r="T331" s="868"/>
      <c r="U331" s="868"/>
      <c r="V331" s="868"/>
      <c r="W331" s="868"/>
      <c r="X331" s="868"/>
      <c r="Y331" s="868"/>
      <c r="Z331" s="868"/>
    </row>
    <row r="332" spans="1:26" ht="19.5" hidden="1">
      <c r="A332" s="993"/>
      <c r="B332" s="883"/>
      <c r="C332" s="999"/>
      <c r="D332" s="883"/>
      <c r="E332" s="884" t="s">
        <v>36</v>
      </c>
      <c r="F332" s="883"/>
      <c r="G332" s="994"/>
      <c r="H332" s="165" t="s">
        <v>12</v>
      </c>
      <c r="I332" s="1000"/>
      <c r="J332" s="1000"/>
      <c r="K332" s="1001"/>
      <c r="L332" s="887">
        <v>0</v>
      </c>
      <c r="M332" s="887">
        <v>0</v>
      </c>
      <c r="N332" s="887">
        <v>0</v>
      </c>
      <c r="O332" s="887">
        <f t="shared" si="150"/>
        <v>0</v>
      </c>
      <c r="P332" s="887">
        <f t="shared" si="151"/>
        <v>0</v>
      </c>
      <c r="Q332" s="875"/>
      <c r="R332" s="875"/>
      <c r="S332" s="875"/>
      <c r="T332" s="875"/>
      <c r="U332" s="875"/>
      <c r="V332" s="875"/>
      <c r="W332" s="875"/>
      <c r="X332" s="875"/>
      <c r="Y332" s="875"/>
      <c r="Z332" s="875"/>
    </row>
    <row r="333" spans="1:26" ht="19.5" hidden="1">
      <c r="A333" s="993"/>
      <c r="B333" s="883"/>
      <c r="C333" s="999"/>
      <c r="D333" s="883"/>
      <c r="E333" s="884" t="s">
        <v>37</v>
      </c>
      <c r="F333" s="883"/>
      <c r="G333" s="994"/>
      <c r="H333" s="165" t="s">
        <v>12</v>
      </c>
      <c r="I333" s="1000"/>
      <c r="J333" s="1000"/>
      <c r="K333" s="1001"/>
      <c r="L333" s="887">
        <f ca="1">IFERROR(__xludf.DUMMYFUNCTION("IMPORTRANGE(""https://docs.google.com/spreadsheets/d/1MeEWN-I1oV_STSDYn1IFDPWt_1FKiwhDph83XaGc0o0/edit?usp=sharing"",""งบพรบ!EM87"")"),157000)</f>
        <v>157000</v>
      </c>
      <c r="M333" s="887">
        <f ca="1">IFERROR(__xludf.DUMMYFUNCTION("IMPORTRANGE(""https://docs.google.com/spreadsheets/d/1MeEWN-I1oV_STSDYn1IFDPWt_1FKiwhDph83XaGc0o0/edit?usp=sharing"",""งบพรบ!ER87"")"),120250)</f>
        <v>120250</v>
      </c>
      <c r="N333" s="887">
        <f ca="1">IFERROR(__xludf.DUMMYFUNCTION("IMPORTRANGE(""https://docs.google.com/spreadsheets/d/1MeEWN-I1oV_STSDYn1IFDPWt_1FKiwhDph83XaGc0o0/edit?usp=sharing"",""งบพรบ!ET87"")"),64112)</f>
        <v>64112</v>
      </c>
      <c r="O333" s="887">
        <f t="shared" ca="1" si="150"/>
        <v>40.835668789808921</v>
      </c>
      <c r="P333" s="887">
        <f t="shared" ca="1" si="151"/>
        <v>53.315592515592513</v>
      </c>
      <c r="Q333" s="875"/>
      <c r="R333" s="875"/>
      <c r="S333" s="875"/>
      <c r="T333" s="875"/>
      <c r="U333" s="875"/>
      <c r="V333" s="875"/>
      <c r="W333" s="875"/>
      <c r="X333" s="875"/>
      <c r="Y333" s="875"/>
      <c r="Z333" s="875"/>
    </row>
    <row r="334" spans="1:26" ht="18.75">
      <c r="A334" s="995"/>
      <c r="B334" s="877"/>
      <c r="C334" s="996"/>
      <c r="D334" s="878" t="s">
        <v>21</v>
      </c>
      <c r="E334" s="877"/>
      <c r="F334" s="877"/>
      <c r="G334" s="879"/>
      <c r="H334" s="168" t="s">
        <v>12</v>
      </c>
      <c r="I334" s="997"/>
      <c r="J334" s="997"/>
      <c r="K334" s="998"/>
      <c r="L334" s="881">
        <f t="shared" ref="L334:N334" ca="1" si="154">L335+L336</f>
        <v>0</v>
      </c>
      <c r="M334" s="881">
        <f t="shared" ca="1" si="154"/>
        <v>0</v>
      </c>
      <c r="N334" s="881">
        <f t="shared" ca="1" si="154"/>
        <v>0</v>
      </c>
      <c r="O334" s="881">
        <f t="shared" ca="1" si="150"/>
        <v>0</v>
      </c>
      <c r="P334" s="881">
        <f t="shared" ca="1" si="151"/>
        <v>0</v>
      </c>
      <c r="Q334" s="868"/>
      <c r="R334" s="868"/>
      <c r="S334" s="868"/>
      <c r="T334" s="868"/>
      <c r="U334" s="868"/>
      <c r="V334" s="868"/>
      <c r="W334" s="868"/>
      <c r="X334" s="868"/>
      <c r="Y334" s="868"/>
      <c r="Z334" s="868"/>
    </row>
    <row r="335" spans="1:26" ht="19.5" hidden="1">
      <c r="A335" s="993"/>
      <c r="B335" s="883"/>
      <c r="C335" s="999"/>
      <c r="D335" s="883"/>
      <c r="E335" s="884" t="s">
        <v>18</v>
      </c>
      <c r="F335" s="883"/>
      <c r="G335" s="994"/>
      <c r="H335" s="165" t="s">
        <v>12</v>
      </c>
      <c r="I335" s="1000"/>
      <c r="J335" s="1000"/>
      <c r="K335" s="1001"/>
      <c r="L335" s="887">
        <v>0</v>
      </c>
      <c r="M335" s="887">
        <v>0</v>
      </c>
      <c r="N335" s="887">
        <v>0</v>
      </c>
      <c r="O335" s="887">
        <f t="shared" si="150"/>
        <v>0</v>
      </c>
      <c r="P335" s="887">
        <f t="shared" si="151"/>
        <v>0</v>
      </c>
      <c r="Q335" s="875"/>
      <c r="R335" s="875"/>
      <c r="S335" s="875"/>
      <c r="T335" s="875"/>
      <c r="U335" s="875"/>
      <c r="V335" s="875"/>
      <c r="W335" s="875"/>
      <c r="X335" s="875"/>
      <c r="Y335" s="875"/>
      <c r="Z335" s="875"/>
    </row>
    <row r="336" spans="1:26" ht="19.5" hidden="1">
      <c r="A336" s="993"/>
      <c r="B336" s="883"/>
      <c r="C336" s="999"/>
      <c r="D336" s="883"/>
      <c r="E336" s="884" t="s">
        <v>19</v>
      </c>
      <c r="F336" s="883"/>
      <c r="G336" s="994"/>
      <c r="H336" s="169" t="s">
        <v>12</v>
      </c>
      <c r="I336" s="1000"/>
      <c r="J336" s="1000"/>
      <c r="K336" s="1001"/>
      <c r="L336" s="887">
        <f ca="1">IFERROR(__xludf.DUMMYFUNCTION("IMPORTRANGE(""https://docs.google.com/spreadsheets/d/1MeEWN-I1oV_STSDYn1IFDPWt_1FKiwhDph83XaGc0o0/edit?usp=sharing"",""งบพรบ!EP87"")"),0)</f>
        <v>0</v>
      </c>
      <c r="M336" s="887">
        <f ca="1">IFERROR(__xludf.DUMMYFUNCTION("IMPORTRANGE(""https://docs.google.com/spreadsheets/d/1MeEWN-I1oV_STSDYn1IFDPWt_1FKiwhDph83XaGc0o0/edit?usp=sharing"",""งบพรบ!ES87"")"),0)</f>
        <v>0</v>
      </c>
      <c r="N336" s="887">
        <f ca="1">IFERROR(__xludf.DUMMYFUNCTION("IMPORTRANGE(""https://docs.google.com/spreadsheets/d/1MeEWN-I1oV_STSDYn1IFDPWt_1FKiwhDph83XaGc0o0/edit?usp=sharing"",""งบพรบ!EU87"")"),0)</f>
        <v>0</v>
      </c>
      <c r="O336" s="887">
        <f t="shared" ca="1" si="150"/>
        <v>0</v>
      </c>
      <c r="P336" s="887">
        <f t="shared" ca="1" si="151"/>
        <v>0</v>
      </c>
      <c r="Q336" s="875"/>
      <c r="R336" s="875"/>
      <c r="S336" s="875"/>
      <c r="T336" s="875"/>
      <c r="U336" s="875"/>
      <c r="V336" s="875"/>
      <c r="W336" s="875"/>
      <c r="X336" s="875"/>
      <c r="Y336" s="875"/>
      <c r="Z336" s="875"/>
    </row>
    <row r="337" spans="1:26" ht="19.5">
      <c r="A337" s="1002"/>
      <c r="B337" s="1003"/>
      <c r="C337" s="999" t="s">
        <v>16</v>
      </c>
      <c r="D337" s="1004" t="s">
        <v>38</v>
      </c>
      <c r="E337" s="1005"/>
      <c r="F337" s="1005"/>
      <c r="G337" s="1006"/>
      <c r="H337" s="1007"/>
      <c r="I337" s="997"/>
      <c r="J337" s="880"/>
      <c r="K337" s="881"/>
      <c r="L337" s="881"/>
      <c r="M337" s="881"/>
      <c r="N337" s="881"/>
      <c r="O337" s="998"/>
      <c r="P337" s="998"/>
    </row>
    <row r="338" spans="1:26" ht="18.75">
      <c r="A338" s="1086"/>
      <c r="B338" s="877"/>
      <c r="C338" s="1084"/>
      <c r="D338" s="1009" t="s">
        <v>150</v>
      </c>
      <c r="E338" s="1003"/>
      <c r="F338" s="877"/>
      <c r="G338" s="879"/>
      <c r="H338" s="277" t="s">
        <v>35</v>
      </c>
      <c r="I338" s="1528">
        <f ca="1">IFERROR(__xludf.DUMMYFUNCTION("IMPORTRANGE(""https://docs.google.com/spreadsheets/d/1QqKyyYR6Q21VydFLVH3TRQUabQu_ym0Zz7PgGX0-kHA/edit?usp=sharing"",""แผน!EG87"")"),200)</f>
        <v>200</v>
      </c>
      <c r="J338" s="1529">
        <f ca="1">IFERROR(__xludf.DUMMYFUNCTION("IMPORTRANGE(""https://docs.google.com/spreadsheets/d/1kVcqe37tkHyjCSG3S0O1AXqVkqjo8mSIZil3BcpIysc/edit?usp=sharing"",""ศูนย์!D87"")"),163)</f>
        <v>163</v>
      </c>
      <c r="K338" s="1530">
        <f ca="1">IF(I338&gt;0,J338*100/I338,0)</f>
        <v>81.5</v>
      </c>
      <c r="L338" s="881"/>
      <c r="M338" s="881"/>
      <c r="N338" s="881"/>
      <c r="O338" s="881"/>
      <c r="P338" s="881"/>
    </row>
    <row r="339" spans="1:26" ht="18.75">
      <c r="A339" s="1086"/>
      <c r="B339" s="877"/>
      <c r="C339" s="1084"/>
      <c r="D339" s="1009" t="s">
        <v>151</v>
      </c>
      <c r="E339" s="1003"/>
      <c r="F339" s="877"/>
      <c r="G339" s="879"/>
      <c r="H339" s="277"/>
      <c r="I339" s="1531"/>
      <c r="J339" s="1532"/>
      <c r="K339" s="1533"/>
      <c r="L339" s="881"/>
      <c r="M339" s="881"/>
      <c r="N339" s="881"/>
      <c r="O339" s="881"/>
      <c r="P339" s="881"/>
    </row>
    <row r="340" spans="1:26" ht="18.75">
      <c r="A340" s="1086"/>
      <c r="B340" s="877"/>
      <c r="C340" s="1084"/>
      <c r="D340" s="1010"/>
      <c r="E340" s="1009" t="s">
        <v>152</v>
      </c>
      <c r="F340" s="877"/>
      <c r="G340" s="879"/>
      <c r="H340" s="277" t="s">
        <v>153</v>
      </c>
      <c r="I340" s="1534">
        <f ca="1">IFERROR(__xludf.DUMMYFUNCTION("IMPORTRANGE(""https://docs.google.com/spreadsheets/d/1QqKyyYR6Q21VydFLVH3TRQUabQu_ym0Zz7PgGX0-kHA/edit?usp=sharing"",""แผน!EH87"")"),2)</f>
        <v>2</v>
      </c>
      <c r="J340" s="1535">
        <f ca="1">IFERROR(__xludf.DUMMYFUNCTION("IMPORTRANGE(""https://docs.google.com/spreadsheets/d/1kVcqe37tkHyjCSG3S0O1AXqVkqjo8mSIZil3BcpIysc/edit?usp=sharing"",""ศูนย์!E87"")"),2)</f>
        <v>2</v>
      </c>
      <c r="K340" s="1536">
        <f ca="1">IF(I340&gt;0,J340*100/I340,0)</f>
        <v>100</v>
      </c>
      <c r="L340" s="881"/>
      <c r="M340" s="881"/>
      <c r="N340" s="881"/>
      <c r="O340" s="881"/>
      <c r="P340" s="881"/>
    </row>
    <row r="341" spans="1:26" ht="18.75">
      <c r="A341" s="1086"/>
      <c r="B341" s="877"/>
      <c r="C341" s="1084"/>
      <c r="D341" s="1010"/>
      <c r="E341" s="1009" t="s">
        <v>154</v>
      </c>
      <c r="F341" s="877"/>
      <c r="G341" s="879"/>
      <c r="H341" s="277" t="s">
        <v>35</v>
      </c>
      <c r="I341" s="1531"/>
      <c r="J341" s="1535">
        <f ca="1">IFERROR(__xludf.DUMMYFUNCTION("IMPORTRANGE(""https://docs.google.com/spreadsheets/d/1kVcqe37tkHyjCSG3S0O1AXqVkqjo8mSIZil3BcpIysc/edit?usp=sharing"",""ศูนย์!F87"")"),18)</f>
        <v>18</v>
      </c>
      <c r="K341" s="1533"/>
      <c r="L341" s="881"/>
      <c r="M341" s="881"/>
      <c r="N341" s="881"/>
      <c r="O341" s="881"/>
      <c r="P341" s="881"/>
    </row>
    <row r="342" spans="1:26" ht="18.75">
      <c r="A342" s="1086"/>
      <c r="B342" s="877"/>
      <c r="C342" s="1084"/>
      <c r="D342" s="1009" t="s">
        <v>155</v>
      </c>
      <c r="E342" s="1010"/>
      <c r="F342" s="1010"/>
      <c r="G342" s="879"/>
      <c r="H342" s="277" t="s">
        <v>35</v>
      </c>
      <c r="I342" s="1531"/>
      <c r="J342" s="1535">
        <f ca="1">IFERROR(__xludf.DUMMYFUNCTION("IMPORTRANGE(""https://docs.google.com/spreadsheets/d/1kVcqe37tkHyjCSG3S0O1AXqVkqjo8mSIZil3BcpIysc/edit?usp=sharing"",""ศูนย์!G87"")"),0)</f>
        <v>0</v>
      </c>
      <c r="K342" s="1533"/>
      <c r="L342" s="881"/>
      <c r="M342" s="881"/>
      <c r="N342" s="881"/>
      <c r="O342" s="881"/>
      <c r="P342" s="881"/>
    </row>
    <row r="343" spans="1:26" ht="18.75">
      <c r="A343" s="1086"/>
      <c r="B343" s="877"/>
      <c r="C343" s="1084"/>
      <c r="D343" s="1009" t="s">
        <v>156</v>
      </c>
      <c r="E343" s="1010"/>
      <c r="F343" s="1010"/>
      <c r="G343" s="879"/>
      <c r="H343" s="277" t="s">
        <v>35</v>
      </c>
      <c r="I343" s="1531"/>
      <c r="J343" s="1535">
        <f ca="1">IFERROR(__xludf.DUMMYFUNCTION("IMPORTRANGE(""https://docs.google.com/spreadsheets/d/1kVcqe37tkHyjCSG3S0O1AXqVkqjo8mSIZil3BcpIysc/edit?usp=sharing"",""ศูนย์!H87"")"),0)</f>
        <v>0</v>
      </c>
      <c r="K343" s="1533"/>
      <c r="L343" s="881"/>
      <c r="M343" s="881"/>
      <c r="N343" s="881"/>
      <c r="O343" s="881"/>
      <c r="P343" s="881"/>
    </row>
    <row r="344" spans="1:26" ht="19.5">
      <c r="A344" s="1186"/>
      <c r="B344" s="1187" t="s">
        <v>157</v>
      </c>
      <c r="C344" s="1196"/>
      <c r="D344" s="1188"/>
      <c r="E344" s="1188"/>
      <c r="F344" s="1188"/>
      <c r="G344" s="1189"/>
      <c r="H344" s="444"/>
      <c r="I344" s="1197"/>
      <c r="J344" s="1197"/>
      <c r="K344" s="1192"/>
      <c r="L344" s="1192"/>
      <c r="M344" s="1192"/>
      <c r="N344" s="1192"/>
      <c r="O344" s="1192"/>
      <c r="P344" s="1192"/>
    </row>
    <row r="345" spans="1:26" ht="19.5">
      <c r="A345" s="985"/>
      <c r="B345" s="986"/>
      <c r="C345" s="987" t="s">
        <v>16</v>
      </c>
      <c r="D345" s="988" t="s">
        <v>17</v>
      </c>
      <c r="E345" s="986"/>
      <c r="F345" s="986"/>
      <c r="G345" s="989"/>
      <c r="H345" s="152" t="s">
        <v>12</v>
      </c>
      <c r="I345" s="990"/>
      <c r="J345" s="990"/>
      <c r="K345" s="991"/>
      <c r="L345" s="992">
        <f t="shared" ref="L345:N345" ca="1" si="155">L346+L347</f>
        <v>518480</v>
      </c>
      <c r="M345" s="992">
        <f t="shared" ca="1" si="155"/>
        <v>404523</v>
      </c>
      <c r="N345" s="992">
        <f t="shared" ca="1" si="155"/>
        <v>246920.36</v>
      </c>
      <c r="O345" s="992">
        <f t="shared" ref="O345:O353" ca="1" si="156">IF(L345&gt;0,N345*100/L345,0)</f>
        <v>47.623892917759605</v>
      </c>
      <c r="P345" s="992">
        <f t="shared" ref="P345:P353" ca="1" si="157">IF(M345&gt;0,N345*100/M345,0)</f>
        <v>61.039881539492193</v>
      </c>
      <c r="Q345" s="868"/>
      <c r="R345" s="868"/>
      <c r="S345" s="868"/>
      <c r="T345" s="868"/>
      <c r="U345" s="868"/>
      <c r="V345" s="868"/>
      <c r="W345" s="868"/>
      <c r="X345" s="868"/>
      <c r="Y345" s="868"/>
      <c r="Z345" s="868"/>
    </row>
    <row r="346" spans="1:26" ht="18.75" hidden="1">
      <c r="A346" s="993"/>
      <c r="B346" s="883"/>
      <c r="C346" s="883"/>
      <c r="D346" s="883"/>
      <c r="E346" s="884" t="s">
        <v>18</v>
      </c>
      <c r="F346" s="883"/>
      <c r="G346" s="994"/>
      <c r="H346" s="158" t="s">
        <v>12</v>
      </c>
      <c r="I346" s="886"/>
      <c r="J346" s="886"/>
      <c r="K346" s="887"/>
      <c r="L346" s="887">
        <f t="shared" ref="L346:N347" si="158">L349+L352</f>
        <v>0</v>
      </c>
      <c r="M346" s="887">
        <f t="shared" si="158"/>
        <v>0</v>
      </c>
      <c r="N346" s="887">
        <f t="shared" si="158"/>
        <v>0</v>
      </c>
      <c r="O346" s="887">
        <f t="shared" si="156"/>
        <v>0</v>
      </c>
      <c r="P346" s="887">
        <f t="shared" si="157"/>
        <v>0</v>
      </c>
      <c r="Q346" s="875"/>
      <c r="R346" s="875"/>
      <c r="S346" s="875"/>
      <c r="T346" s="875"/>
      <c r="U346" s="875"/>
      <c r="V346" s="875"/>
      <c r="W346" s="875"/>
      <c r="X346" s="875"/>
      <c r="Y346" s="875"/>
      <c r="Z346" s="875"/>
    </row>
    <row r="347" spans="1:26" ht="18.75" hidden="1">
      <c r="A347" s="993"/>
      <c r="B347" s="883"/>
      <c r="C347" s="883"/>
      <c r="D347" s="883"/>
      <c r="E347" s="884" t="s">
        <v>19</v>
      </c>
      <c r="F347" s="883"/>
      <c r="G347" s="994"/>
      <c r="H347" s="158" t="s">
        <v>12</v>
      </c>
      <c r="I347" s="886"/>
      <c r="J347" s="886"/>
      <c r="K347" s="887"/>
      <c r="L347" s="887">
        <f t="shared" ca="1" si="158"/>
        <v>518480</v>
      </c>
      <c r="M347" s="887">
        <f t="shared" ca="1" si="158"/>
        <v>404523</v>
      </c>
      <c r="N347" s="887">
        <f t="shared" ca="1" si="158"/>
        <v>246920.36</v>
      </c>
      <c r="O347" s="887">
        <f t="shared" ca="1" si="156"/>
        <v>47.623892917759605</v>
      </c>
      <c r="P347" s="887">
        <f t="shared" ca="1" si="157"/>
        <v>61.039881539492193</v>
      </c>
      <c r="Q347" s="875"/>
      <c r="R347" s="875"/>
      <c r="S347" s="875"/>
      <c r="T347" s="875"/>
      <c r="U347" s="875"/>
      <c r="V347" s="875"/>
      <c r="W347" s="875"/>
      <c r="X347" s="875"/>
      <c r="Y347" s="875"/>
      <c r="Z347" s="875"/>
    </row>
    <row r="348" spans="1:26" ht="18.75">
      <c r="A348" s="995"/>
      <c r="B348" s="877"/>
      <c r="C348" s="996"/>
      <c r="D348" s="878" t="s">
        <v>20</v>
      </c>
      <c r="E348" s="877"/>
      <c r="F348" s="877"/>
      <c r="G348" s="879"/>
      <c r="H348" s="161" t="s">
        <v>12</v>
      </c>
      <c r="I348" s="997"/>
      <c r="J348" s="997"/>
      <c r="K348" s="998"/>
      <c r="L348" s="881">
        <f t="shared" ref="L348:N348" ca="1" si="159">L349+L350</f>
        <v>442480</v>
      </c>
      <c r="M348" s="881">
        <f t="shared" ca="1" si="159"/>
        <v>328523</v>
      </c>
      <c r="N348" s="881">
        <f t="shared" ca="1" si="159"/>
        <v>170920.36</v>
      </c>
      <c r="O348" s="881">
        <f t="shared" ca="1" si="156"/>
        <v>38.627815946483459</v>
      </c>
      <c r="P348" s="881">
        <f t="shared" ca="1" si="157"/>
        <v>52.02690831387757</v>
      </c>
      <c r="Q348" s="868"/>
      <c r="R348" s="868"/>
      <c r="S348" s="868"/>
      <c r="T348" s="868"/>
      <c r="U348" s="868"/>
      <c r="V348" s="868"/>
      <c r="W348" s="868"/>
      <c r="X348" s="868"/>
      <c r="Y348" s="868"/>
      <c r="Z348" s="868"/>
    </row>
    <row r="349" spans="1:26" ht="19.5" hidden="1">
      <c r="A349" s="993"/>
      <c r="B349" s="883"/>
      <c r="C349" s="999"/>
      <c r="D349" s="883"/>
      <c r="E349" s="884" t="s">
        <v>36</v>
      </c>
      <c r="F349" s="883"/>
      <c r="G349" s="994"/>
      <c r="H349" s="165" t="s">
        <v>12</v>
      </c>
      <c r="I349" s="1000"/>
      <c r="J349" s="1000"/>
      <c r="K349" s="1001"/>
      <c r="L349" s="887">
        <v>0</v>
      </c>
      <c r="M349" s="887">
        <v>0</v>
      </c>
      <c r="N349" s="887">
        <v>0</v>
      </c>
      <c r="O349" s="887">
        <f t="shared" si="156"/>
        <v>0</v>
      </c>
      <c r="P349" s="887">
        <f t="shared" si="157"/>
        <v>0</v>
      </c>
      <c r="Q349" s="875"/>
      <c r="R349" s="875"/>
      <c r="S349" s="875"/>
      <c r="T349" s="875"/>
      <c r="U349" s="875"/>
      <c r="V349" s="875"/>
      <c r="W349" s="875"/>
      <c r="X349" s="875"/>
      <c r="Y349" s="875"/>
      <c r="Z349" s="875"/>
    </row>
    <row r="350" spans="1:26" ht="19.5" hidden="1">
      <c r="A350" s="993"/>
      <c r="B350" s="883"/>
      <c r="C350" s="999"/>
      <c r="D350" s="883"/>
      <c r="E350" s="884" t="s">
        <v>37</v>
      </c>
      <c r="F350" s="883"/>
      <c r="G350" s="994"/>
      <c r="H350" s="165" t="s">
        <v>12</v>
      </c>
      <c r="I350" s="1000"/>
      <c r="J350" s="1000"/>
      <c r="K350" s="1001"/>
      <c r="L350" s="887">
        <f ca="1">IFERROR(__xludf.DUMMYFUNCTION("IMPORTRANGE(""https://docs.google.com/spreadsheets/d/1MeEWN-I1oV_STSDYn1IFDPWt_1FKiwhDph83XaGc0o0/edit?usp=sharing"",""งบพรบ!EW87"")"),442480)</f>
        <v>442480</v>
      </c>
      <c r="M350" s="887">
        <f ca="1">IFERROR(__xludf.DUMMYFUNCTION("IMPORTRANGE(""https://docs.google.com/spreadsheets/d/1MeEWN-I1oV_STSDYn1IFDPWt_1FKiwhDph83XaGc0o0/edit?usp=sharing"",""งบพรบ!FB87"")"),328523)</f>
        <v>328523</v>
      </c>
      <c r="N350" s="887">
        <f ca="1">IFERROR(__xludf.DUMMYFUNCTION("IMPORTRANGE(""https://docs.google.com/spreadsheets/d/1MeEWN-I1oV_STSDYn1IFDPWt_1FKiwhDph83XaGc0o0/edit?usp=sharing"",""งบพรบ!FD87"")"),170920.36)</f>
        <v>170920.36</v>
      </c>
      <c r="O350" s="887">
        <f t="shared" ca="1" si="156"/>
        <v>38.627815946483459</v>
      </c>
      <c r="P350" s="887">
        <f t="shared" ca="1" si="157"/>
        <v>52.02690831387757</v>
      </c>
      <c r="Q350" s="875"/>
      <c r="R350" s="875"/>
      <c r="S350" s="875"/>
      <c r="T350" s="875"/>
      <c r="U350" s="875"/>
      <c r="V350" s="875"/>
      <c r="W350" s="875"/>
      <c r="X350" s="875"/>
      <c r="Y350" s="875"/>
      <c r="Z350" s="875"/>
    </row>
    <row r="351" spans="1:26" ht="18.75">
      <c r="A351" s="995"/>
      <c r="B351" s="877"/>
      <c r="C351" s="996"/>
      <c r="D351" s="878" t="s">
        <v>21</v>
      </c>
      <c r="E351" s="877"/>
      <c r="F351" s="877"/>
      <c r="G351" s="879"/>
      <c r="H351" s="168" t="s">
        <v>12</v>
      </c>
      <c r="I351" s="997"/>
      <c r="J351" s="997"/>
      <c r="K351" s="998"/>
      <c r="L351" s="881">
        <f t="shared" ref="L351:N351" ca="1" si="160">L352+L353</f>
        <v>76000</v>
      </c>
      <c r="M351" s="881">
        <f t="shared" ca="1" si="160"/>
        <v>76000</v>
      </c>
      <c r="N351" s="881">
        <f t="shared" ca="1" si="160"/>
        <v>76000</v>
      </c>
      <c r="O351" s="881">
        <f t="shared" ca="1" si="156"/>
        <v>100</v>
      </c>
      <c r="P351" s="881">
        <f t="shared" ca="1" si="157"/>
        <v>100</v>
      </c>
      <c r="Q351" s="868"/>
      <c r="R351" s="868"/>
      <c r="S351" s="868"/>
      <c r="T351" s="868"/>
      <c r="U351" s="868"/>
      <c r="V351" s="868"/>
      <c r="W351" s="868"/>
      <c r="X351" s="868"/>
      <c r="Y351" s="868"/>
      <c r="Z351" s="868"/>
    </row>
    <row r="352" spans="1:26" ht="19.5" hidden="1">
      <c r="A352" s="993"/>
      <c r="B352" s="883"/>
      <c r="C352" s="999"/>
      <c r="D352" s="883"/>
      <c r="E352" s="884" t="s">
        <v>18</v>
      </c>
      <c r="F352" s="883"/>
      <c r="G352" s="994"/>
      <c r="H352" s="165" t="s">
        <v>12</v>
      </c>
      <c r="I352" s="1000"/>
      <c r="J352" s="1000"/>
      <c r="K352" s="1001"/>
      <c r="L352" s="887">
        <v>0</v>
      </c>
      <c r="M352" s="887">
        <v>0</v>
      </c>
      <c r="N352" s="887">
        <v>0</v>
      </c>
      <c r="O352" s="887">
        <f t="shared" si="156"/>
        <v>0</v>
      </c>
      <c r="P352" s="887">
        <f t="shared" si="157"/>
        <v>0</v>
      </c>
      <c r="Q352" s="875"/>
      <c r="R352" s="875"/>
      <c r="S352" s="875"/>
      <c r="T352" s="875"/>
      <c r="U352" s="875"/>
      <c r="V352" s="875"/>
      <c r="W352" s="875"/>
      <c r="X352" s="875"/>
      <c r="Y352" s="875"/>
      <c r="Z352" s="875"/>
    </row>
    <row r="353" spans="1:26" ht="19.5" hidden="1">
      <c r="A353" s="993"/>
      <c r="B353" s="883"/>
      <c r="C353" s="999"/>
      <c r="D353" s="883"/>
      <c r="E353" s="884" t="s">
        <v>19</v>
      </c>
      <c r="F353" s="883"/>
      <c r="G353" s="994"/>
      <c r="H353" s="169" t="s">
        <v>12</v>
      </c>
      <c r="I353" s="1000"/>
      <c r="J353" s="1000"/>
      <c r="K353" s="1001"/>
      <c r="L353" s="887">
        <f ca="1">IFERROR(__xludf.DUMMYFUNCTION("IMPORTRANGE(""https://docs.google.com/spreadsheets/d/1MeEWN-I1oV_STSDYn1IFDPWt_1FKiwhDph83XaGc0o0/edit?usp=sharing"",""งบพรบ!EZ87"")"),76000)</f>
        <v>76000</v>
      </c>
      <c r="M353" s="887">
        <f ca="1">IFERROR(__xludf.DUMMYFUNCTION("IMPORTRANGE(""https://docs.google.com/spreadsheets/d/1MeEWN-I1oV_STSDYn1IFDPWt_1FKiwhDph83XaGc0o0/edit?usp=sharing"",""งบพรบ!FC87"")"),76000)</f>
        <v>76000</v>
      </c>
      <c r="N353" s="887">
        <f ca="1">IFERROR(__xludf.DUMMYFUNCTION("IMPORTRANGE(""https://docs.google.com/spreadsheets/d/1MeEWN-I1oV_STSDYn1IFDPWt_1FKiwhDph83XaGc0o0/edit?usp=sharing"",""งบพรบ!FE87"")"),76000)</f>
        <v>76000</v>
      </c>
      <c r="O353" s="887">
        <f t="shared" ca="1" si="156"/>
        <v>100</v>
      </c>
      <c r="P353" s="887">
        <f t="shared" ca="1" si="157"/>
        <v>100</v>
      </c>
      <c r="Q353" s="875"/>
      <c r="R353" s="875"/>
      <c r="S353" s="875"/>
      <c r="T353" s="875"/>
      <c r="U353" s="875"/>
      <c r="V353" s="875"/>
      <c r="W353" s="875"/>
      <c r="X353" s="875"/>
      <c r="Y353" s="875"/>
      <c r="Z353" s="875"/>
    </row>
    <row r="354" spans="1:26" ht="19.5">
      <c r="A354" s="1063"/>
      <c r="B354" s="1070"/>
      <c r="C354" s="1064"/>
      <c r="D354" s="1198" t="s">
        <v>158</v>
      </c>
      <c r="E354" s="1064"/>
      <c r="F354" s="1064"/>
      <c r="G354" s="1066"/>
      <c r="H354" s="1199"/>
      <c r="I354" s="1067"/>
      <c r="J354" s="1067"/>
      <c r="K354" s="1068"/>
      <c r="L354" s="1068"/>
      <c r="M354" s="1068"/>
      <c r="N354" s="1068"/>
      <c r="O354" s="1068"/>
      <c r="P354" s="1068"/>
    </row>
    <row r="355" spans="1:26" ht="19.5">
      <c r="A355" s="1200"/>
      <c r="B355" s="1201"/>
      <c r="C355" s="1202"/>
      <c r="D355" s="1203" t="s">
        <v>159</v>
      </c>
      <c r="E355" s="1204"/>
      <c r="F355" s="1204"/>
      <c r="G355" s="1205"/>
      <c r="H355" s="463" t="s">
        <v>35</v>
      </c>
      <c r="I355" s="1206">
        <f ca="1">IFERROR(__xludf.DUMMYFUNCTION("IMPORTRANGE(""https://docs.google.com/spreadsheets/d/1QqKyyYR6Q21VydFLVH3TRQUabQu_ym0Zz7PgGX0-kHA/edit?usp=sharing"",""แผน!EP87"")"),59)</f>
        <v>59</v>
      </c>
      <c r="J355" s="1206">
        <f ca="1">J362</f>
        <v>46</v>
      </c>
      <c r="K355" s="1207">
        <f ca="1">IF(I355&gt;0,J355*100/I355,0)</f>
        <v>77.966101694915253</v>
      </c>
      <c r="L355" s="1208"/>
      <c r="M355" s="1208"/>
      <c r="N355" s="1208"/>
      <c r="O355" s="1208"/>
      <c r="P355" s="1208"/>
    </row>
    <row r="356" spans="1:26" ht="19.5">
      <c r="A356" s="1200"/>
      <c r="B356" s="1201"/>
      <c r="C356" s="1202"/>
      <c r="D356" s="1209" t="s">
        <v>160</v>
      </c>
      <c r="E356" s="1204"/>
      <c r="F356" s="1204"/>
      <c r="G356" s="1205"/>
      <c r="H356" s="1210"/>
      <c r="I356" s="1211"/>
      <c r="J356" s="1211"/>
      <c r="K356" s="1208"/>
      <c r="L356" s="1208"/>
      <c r="M356" s="1208"/>
      <c r="N356" s="1208"/>
      <c r="O356" s="1208"/>
      <c r="P356" s="1208"/>
    </row>
    <row r="357" spans="1:26" ht="19.5">
      <c r="A357" s="1002"/>
      <c r="B357" s="1003"/>
      <c r="C357" s="999" t="s">
        <v>16</v>
      </c>
      <c r="D357" s="1004" t="s">
        <v>38</v>
      </c>
      <c r="E357" s="1005"/>
      <c r="F357" s="1005"/>
      <c r="G357" s="1006"/>
      <c r="H357" s="1007"/>
      <c r="I357" s="880"/>
      <c r="J357" s="880"/>
      <c r="K357" s="881"/>
      <c r="L357" s="998"/>
      <c r="M357" s="998"/>
      <c r="N357" s="998"/>
      <c r="O357" s="998"/>
      <c r="P357" s="998"/>
    </row>
    <row r="358" spans="1:26" ht="18.75">
      <c r="A358" s="1002"/>
      <c r="B358" s="1010"/>
      <c r="C358" s="1003"/>
      <c r="D358" s="1010"/>
      <c r="E358" s="1008" t="s">
        <v>161</v>
      </c>
      <c r="F358" s="1010"/>
      <c r="G358" s="1011"/>
      <c r="H358" s="185" t="s">
        <v>35</v>
      </c>
      <c r="I358" s="880">
        <v>0</v>
      </c>
      <c r="J358" s="880">
        <f ca="1">IFERROR(__xludf.DUMMYFUNCTION("IMPORTRANGE(""https://docs.google.com/spreadsheets/d/1XWAQStnk-4SwqDmLtmXYiTMKHgktTP8We1SCoS47DrQ/edit?usp=sharing"",""จัดที่ดิน!W87"")"),46)</f>
        <v>46</v>
      </c>
      <c r="K358" s="881">
        <f t="shared" ref="K358:K365" si="161">IF(I358&gt;0,J358*100/I358,0)</f>
        <v>0</v>
      </c>
      <c r="L358" s="998"/>
      <c r="M358" s="998"/>
      <c r="N358" s="998"/>
      <c r="O358" s="998"/>
      <c r="P358" s="998"/>
    </row>
    <row r="359" spans="1:26" ht="18.75">
      <c r="A359" s="1002"/>
      <c r="B359" s="1010"/>
      <c r="C359" s="1003"/>
      <c r="D359" s="1010"/>
      <c r="E359" s="1010"/>
      <c r="F359" s="1010"/>
      <c r="G359" s="1011"/>
      <c r="H359" s="185" t="s">
        <v>46</v>
      </c>
      <c r="I359" s="880">
        <f ca="1">IFERROR(__xludf.DUMMYFUNCTION("IMPORTRANGE(""https://docs.google.com/spreadsheets/d/1QqKyyYR6Q21VydFLVH3TRQUabQu_ym0Zz7PgGX0-kHA/edit?usp=sharing"",""แผน!EO87"")"),379)</f>
        <v>379</v>
      </c>
      <c r="J359" s="880">
        <f ca="1">IFERROR(__xludf.DUMMYFUNCTION("IMPORTRANGE(""https://docs.google.com/spreadsheets/d/1XWAQStnk-4SwqDmLtmXYiTMKHgktTP8We1SCoS47DrQ/edit?usp=sharing"",""จัดที่ดิน!X87"")"),224.829999999999)</f>
        <v>224.82999999999899</v>
      </c>
      <c r="K359" s="881">
        <f t="shared" ca="1" si="161"/>
        <v>59.321899736147486</v>
      </c>
      <c r="L359" s="998"/>
      <c r="M359" s="998"/>
      <c r="N359" s="998"/>
      <c r="O359" s="998"/>
      <c r="P359" s="998"/>
    </row>
    <row r="360" spans="1:26" ht="18.75">
      <c r="A360" s="1002"/>
      <c r="B360" s="1010"/>
      <c r="C360" s="1003"/>
      <c r="D360" s="1010"/>
      <c r="E360" s="1008" t="s">
        <v>162</v>
      </c>
      <c r="F360" s="1010"/>
      <c r="G360" s="1011"/>
      <c r="H360" s="762" t="s">
        <v>35</v>
      </c>
      <c r="I360" s="880">
        <f ca="1">IFERROR(__xludf.DUMMYFUNCTION("IMPORTRANGE(""https://docs.google.com/spreadsheets/d/1QqKyyYR6Q21VydFLVH3TRQUabQu_ym0Zz7PgGX0-kHA/edit?usp=sharing"",""แผน!EP87"")"),59)</f>
        <v>59</v>
      </c>
      <c r="J360" s="880">
        <f ca="1">IFERROR(__xludf.DUMMYFUNCTION("IMPORTRANGE(""https://docs.google.com/spreadsheets/d/1XWAQStnk-4SwqDmLtmXYiTMKHgktTP8We1SCoS47DrQ/edit?usp=sharing"",""จัดที่ดิน!Y87"")"),46)</f>
        <v>46</v>
      </c>
      <c r="K360" s="881">
        <f t="shared" ca="1" si="161"/>
        <v>77.966101694915253</v>
      </c>
      <c r="L360" s="998"/>
      <c r="M360" s="998"/>
      <c r="N360" s="998"/>
      <c r="O360" s="998"/>
      <c r="P360" s="998"/>
    </row>
    <row r="361" spans="1:26" ht="18.75">
      <c r="A361" s="1002"/>
      <c r="B361" s="1010"/>
      <c r="C361" s="1003"/>
      <c r="D361" s="1010"/>
      <c r="E361" s="1010"/>
      <c r="F361" s="1010"/>
      <c r="G361" s="1011"/>
      <c r="H361" s="762" t="s">
        <v>46</v>
      </c>
      <c r="I361" s="880">
        <v>0</v>
      </c>
      <c r="J361" s="880">
        <f ca="1">IFERROR(__xludf.DUMMYFUNCTION("IMPORTRANGE(""https://docs.google.com/spreadsheets/d/1XWAQStnk-4SwqDmLtmXYiTMKHgktTP8We1SCoS47DrQ/edit?usp=sharing"",""จัดที่ดิน!Z87"")"),224.829999999999)</f>
        <v>224.82999999999899</v>
      </c>
      <c r="K361" s="881">
        <f t="shared" si="161"/>
        <v>0</v>
      </c>
      <c r="L361" s="998"/>
      <c r="M361" s="998"/>
      <c r="N361" s="998"/>
      <c r="O361" s="998"/>
      <c r="P361" s="998"/>
    </row>
    <row r="362" spans="1:26" ht="18.75">
      <c r="A362" s="1002"/>
      <c r="B362" s="1010"/>
      <c r="C362" s="1003"/>
      <c r="D362" s="1010"/>
      <c r="E362" s="1008" t="s">
        <v>163</v>
      </c>
      <c r="F362" s="1010"/>
      <c r="G362" s="1011"/>
      <c r="H362" s="762" t="s">
        <v>35</v>
      </c>
      <c r="I362" s="880">
        <f ca="1">IFERROR(__xludf.DUMMYFUNCTION("IMPORTRANGE(""https://docs.google.com/spreadsheets/d/1QqKyyYR6Q21VydFLVH3TRQUabQu_ym0Zz7PgGX0-kHA/edit?usp=sharing"",""แผน!EP87"")"),59)</f>
        <v>59</v>
      </c>
      <c r="J362" s="880">
        <f ca="1">IFERROR(__xludf.DUMMYFUNCTION("IMPORTRANGE(""https://docs.google.com/spreadsheets/d/1XWAQStnk-4SwqDmLtmXYiTMKHgktTP8We1SCoS47DrQ/edit?usp=sharing"",""จัดที่ดิน!AA87"")"),46)</f>
        <v>46</v>
      </c>
      <c r="K362" s="881">
        <f t="shared" ca="1" si="161"/>
        <v>77.966101694915253</v>
      </c>
      <c r="L362" s="998"/>
      <c r="M362" s="998"/>
      <c r="N362" s="998"/>
      <c r="O362" s="998"/>
      <c r="P362" s="998"/>
    </row>
    <row r="363" spans="1:26" ht="18.75">
      <c r="A363" s="1212" t="s">
        <v>164</v>
      </c>
      <c r="B363" s="1010"/>
      <c r="C363" s="1003"/>
      <c r="D363" s="1010"/>
      <c r="E363" s="1009"/>
      <c r="F363" s="1010"/>
      <c r="G363" s="1011"/>
      <c r="H363" s="762" t="s">
        <v>46</v>
      </c>
      <c r="I363" s="880">
        <v>0</v>
      </c>
      <c r="J363" s="880">
        <f ca="1">IFERROR(__xludf.DUMMYFUNCTION("IMPORTRANGE(""https://docs.google.com/spreadsheets/d/1XWAQStnk-4SwqDmLtmXYiTMKHgktTP8We1SCoS47DrQ/edit?usp=sharing"",""จัดที่ดิน!AB87"")"),224.829999999999)</f>
        <v>224.82999999999899</v>
      </c>
      <c r="K363" s="881">
        <f t="shared" si="161"/>
        <v>0</v>
      </c>
      <c r="L363" s="998"/>
      <c r="M363" s="998"/>
      <c r="N363" s="998"/>
      <c r="O363" s="998"/>
      <c r="P363" s="998"/>
    </row>
    <row r="364" spans="1:26" ht="19.5">
      <c r="A364" s="1213"/>
      <c r="B364" s="1214"/>
      <c r="C364" s="1215"/>
      <c r="D364" s="1216" t="s">
        <v>165</v>
      </c>
      <c r="E364" s="1217"/>
      <c r="F364" s="1217"/>
      <c r="G364" s="1218"/>
      <c r="H364" s="478" t="s">
        <v>35</v>
      </c>
      <c r="I364" s="1219">
        <f t="shared" ref="I364:J364" ca="1" si="162">I365+I374</f>
        <v>75</v>
      </c>
      <c r="J364" s="1219">
        <f t="shared" ca="1" si="162"/>
        <v>64</v>
      </c>
      <c r="K364" s="1220">
        <f t="shared" ca="1" si="161"/>
        <v>85.333333333333329</v>
      </c>
      <c r="L364" s="1221"/>
      <c r="M364" s="1221"/>
      <c r="N364" s="1221"/>
      <c r="O364" s="1221"/>
      <c r="P364" s="122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222"/>
      <c r="B365" s="1223"/>
      <c r="C365" s="1224"/>
      <c r="D365" s="1224" t="s">
        <v>166</v>
      </c>
      <c r="E365" s="1225"/>
      <c r="F365" s="1225"/>
      <c r="G365" s="1226"/>
      <c r="H365" s="489" t="s">
        <v>35</v>
      </c>
      <c r="I365" s="1227">
        <f ca="1">IFERROR(__xludf.DUMMYFUNCTION("IMPORTRANGE(""https://docs.google.com/spreadsheets/d/1QqKyyYR6Q21VydFLVH3TRQUabQu_ym0Zz7PgGX0-kHA/edit?usp=sharing"",""แผน!EJ87"")"),35)</f>
        <v>35</v>
      </c>
      <c r="J365" s="1227">
        <f ca="1">J372</f>
        <v>31</v>
      </c>
      <c r="K365" s="1228">
        <f t="shared" ca="1" si="161"/>
        <v>88.571428571428569</v>
      </c>
      <c r="L365" s="1229"/>
      <c r="M365" s="1229"/>
      <c r="N365" s="1229"/>
      <c r="O365" s="1229"/>
      <c r="P365" s="1229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222"/>
      <c r="B366" s="1223"/>
      <c r="C366" s="1224"/>
      <c r="D366" s="1230" t="s">
        <v>167</v>
      </c>
      <c r="E366" s="1225"/>
      <c r="F366" s="1225"/>
      <c r="G366" s="1226"/>
      <c r="H366" s="1231"/>
      <c r="I366" s="1232"/>
      <c r="J366" s="1232"/>
      <c r="K366" s="1229"/>
      <c r="L366" s="1229"/>
      <c r="M366" s="1229"/>
      <c r="N366" s="1229"/>
      <c r="O366" s="1229"/>
      <c r="P366" s="1229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002"/>
      <c r="B367" s="1003"/>
      <c r="C367" s="999" t="s">
        <v>16</v>
      </c>
      <c r="D367" s="1004" t="s">
        <v>38</v>
      </c>
      <c r="E367" s="1005"/>
      <c r="F367" s="1005"/>
      <c r="G367" s="1006"/>
      <c r="H367" s="1007"/>
      <c r="I367" s="880"/>
      <c r="J367" s="880"/>
      <c r="K367" s="881"/>
      <c r="L367" s="998"/>
      <c r="M367" s="998"/>
      <c r="N367" s="998"/>
      <c r="O367" s="998"/>
      <c r="P367" s="998"/>
    </row>
    <row r="368" spans="1:26" ht="18.75">
      <c r="A368" s="1002"/>
      <c r="B368" s="1010"/>
      <c r="C368" s="1003"/>
      <c r="D368" s="1010"/>
      <c r="E368" s="1008" t="s">
        <v>161</v>
      </c>
      <c r="F368" s="1010"/>
      <c r="G368" s="1011"/>
      <c r="H368" s="185" t="s">
        <v>35</v>
      </c>
      <c r="I368" s="880">
        <v>0</v>
      </c>
      <c r="J368" s="880">
        <f ca="1">IFERROR(__xludf.DUMMYFUNCTION("IMPORTRANGE(""https://docs.google.com/spreadsheets/d/1XWAQStnk-4SwqDmLtmXYiTMKHgktTP8We1SCoS47DrQ/edit?usp=sharing"",""จัดที่ดิน!E87"")"),31)</f>
        <v>31</v>
      </c>
      <c r="K368" s="881">
        <f t="shared" ref="K368:K374" si="163">IF(I368&gt;0,J368*100/I368,0)</f>
        <v>0</v>
      </c>
      <c r="L368" s="998"/>
      <c r="M368" s="998"/>
      <c r="N368" s="998"/>
      <c r="O368" s="998"/>
      <c r="P368" s="998"/>
    </row>
    <row r="369" spans="1:26" ht="18.75">
      <c r="A369" s="1002"/>
      <c r="B369" s="1010"/>
      <c r="C369" s="1003"/>
      <c r="D369" s="1010"/>
      <c r="E369" s="1010"/>
      <c r="F369" s="1010"/>
      <c r="G369" s="1011"/>
      <c r="H369" s="185" t="s">
        <v>46</v>
      </c>
      <c r="I369" s="880">
        <f ca="1">IFERROR(__xludf.DUMMYFUNCTION("IMPORTRANGE(""https://docs.google.com/spreadsheets/d/1QqKyyYR6Q21VydFLVH3TRQUabQu_ym0Zz7PgGX0-kHA/edit?usp=sharing"",""แผน!EI87"")"),200)</f>
        <v>200</v>
      </c>
      <c r="J369" s="880">
        <f ca="1">IFERROR(__xludf.DUMMYFUNCTION("IMPORTRANGE(""https://docs.google.com/spreadsheets/d/1XWAQStnk-4SwqDmLtmXYiTMKHgktTP8We1SCoS47DrQ/edit?usp=sharing"",""จัดที่ดิน!F87"")"),104.36)</f>
        <v>104.36</v>
      </c>
      <c r="K369" s="881">
        <f t="shared" ca="1" si="163"/>
        <v>52.18</v>
      </c>
      <c r="L369" s="998"/>
      <c r="M369" s="998"/>
      <c r="N369" s="998"/>
      <c r="O369" s="998"/>
      <c r="P369" s="998"/>
    </row>
    <row r="370" spans="1:26" ht="18.75">
      <c r="A370" s="1002"/>
      <c r="B370" s="1010"/>
      <c r="C370" s="1003"/>
      <c r="D370" s="1010"/>
      <c r="E370" s="1008" t="s">
        <v>162</v>
      </c>
      <c r="F370" s="1010"/>
      <c r="G370" s="1011"/>
      <c r="H370" s="762" t="s">
        <v>35</v>
      </c>
      <c r="I370" s="880">
        <f ca="1">IFERROR(__xludf.DUMMYFUNCTION("IMPORTRANGE(""https://docs.google.com/spreadsheets/d/1QqKyyYR6Q21VydFLVH3TRQUabQu_ym0Zz7PgGX0-kHA/edit?usp=sharing"",""แผน!EJ87"")"),35)</f>
        <v>35</v>
      </c>
      <c r="J370" s="880">
        <f ca="1">IFERROR(__xludf.DUMMYFUNCTION("IMPORTRANGE(""https://docs.google.com/spreadsheets/d/1XWAQStnk-4SwqDmLtmXYiTMKHgktTP8We1SCoS47DrQ/edit?usp=sharing"",""จัดที่ดิน!G87"")"),31)</f>
        <v>31</v>
      </c>
      <c r="K370" s="881">
        <f t="shared" ca="1" si="163"/>
        <v>88.571428571428569</v>
      </c>
      <c r="L370" s="998"/>
      <c r="M370" s="998"/>
      <c r="N370" s="998"/>
      <c r="O370" s="998"/>
      <c r="P370" s="998"/>
    </row>
    <row r="371" spans="1:26" ht="18.75">
      <c r="A371" s="1002"/>
      <c r="B371" s="1010"/>
      <c r="C371" s="1003"/>
      <c r="D371" s="1010"/>
      <c r="E371" s="1010"/>
      <c r="F371" s="1010"/>
      <c r="G371" s="1011"/>
      <c r="H371" s="762" t="s">
        <v>46</v>
      </c>
      <c r="I371" s="880">
        <v>0</v>
      </c>
      <c r="J371" s="880">
        <f ca="1">IFERROR(__xludf.DUMMYFUNCTION("IMPORTRANGE(""https://docs.google.com/spreadsheets/d/1XWAQStnk-4SwqDmLtmXYiTMKHgktTP8We1SCoS47DrQ/edit?usp=sharing"",""จัดที่ดิน!H87"")"),104.36)</f>
        <v>104.36</v>
      </c>
      <c r="K371" s="881">
        <f t="shared" si="163"/>
        <v>0</v>
      </c>
      <c r="L371" s="998"/>
      <c r="M371" s="998"/>
      <c r="N371" s="998"/>
      <c r="O371" s="998"/>
      <c r="P371" s="998"/>
    </row>
    <row r="372" spans="1:26" ht="18.75">
      <c r="A372" s="1002"/>
      <c r="B372" s="1010"/>
      <c r="C372" s="1003"/>
      <c r="D372" s="1010"/>
      <c r="E372" s="1008" t="s">
        <v>163</v>
      </c>
      <c r="F372" s="1010"/>
      <c r="G372" s="1011"/>
      <c r="H372" s="762" t="s">
        <v>35</v>
      </c>
      <c r="I372" s="880">
        <f ca="1">IFERROR(__xludf.DUMMYFUNCTION("IMPORTRANGE(""https://docs.google.com/spreadsheets/d/1QqKyyYR6Q21VydFLVH3TRQUabQu_ym0Zz7PgGX0-kHA/edit?usp=sharing"",""แผน!EJ87"")"),35)</f>
        <v>35</v>
      </c>
      <c r="J372" s="880">
        <f ca="1">IFERROR(__xludf.DUMMYFUNCTION("IMPORTRANGE(""https://docs.google.com/spreadsheets/d/1XWAQStnk-4SwqDmLtmXYiTMKHgktTP8We1SCoS47DrQ/edit?usp=sharing"",""จัดที่ดิน!I87"")"),31)</f>
        <v>31</v>
      </c>
      <c r="K372" s="881">
        <f t="shared" ca="1" si="163"/>
        <v>88.571428571428569</v>
      </c>
      <c r="L372" s="998"/>
      <c r="M372" s="998"/>
      <c r="N372" s="998"/>
      <c r="O372" s="998"/>
      <c r="P372" s="998"/>
    </row>
    <row r="373" spans="1:26" ht="18.75">
      <c r="A373" s="1212" t="s">
        <v>164</v>
      </c>
      <c r="B373" s="1010"/>
      <c r="C373" s="1003"/>
      <c r="D373" s="1010"/>
      <c r="E373" s="1009"/>
      <c r="F373" s="1010"/>
      <c r="G373" s="1011"/>
      <c r="H373" s="762" t="s">
        <v>46</v>
      </c>
      <c r="I373" s="880">
        <v>0</v>
      </c>
      <c r="J373" s="880">
        <f ca="1">IFERROR(__xludf.DUMMYFUNCTION("IMPORTRANGE(""https://docs.google.com/spreadsheets/d/1XWAQStnk-4SwqDmLtmXYiTMKHgktTP8We1SCoS47DrQ/edit?usp=sharing"",""จัดที่ดิน!J87"")"),104.36)</f>
        <v>104.36</v>
      </c>
      <c r="K373" s="881">
        <f t="shared" si="163"/>
        <v>0</v>
      </c>
      <c r="L373" s="998"/>
      <c r="M373" s="998"/>
      <c r="N373" s="998"/>
      <c r="O373" s="998"/>
      <c r="P373" s="998"/>
    </row>
    <row r="374" spans="1:26" ht="19.5">
      <c r="A374" s="1222"/>
      <c r="B374" s="1223"/>
      <c r="C374" s="1224"/>
      <c r="D374" s="1224" t="s">
        <v>168</v>
      </c>
      <c r="E374" s="1225"/>
      <c r="F374" s="1225"/>
      <c r="G374" s="1226"/>
      <c r="H374" s="489" t="s">
        <v>35</v>
      </c>
      <c r="I374" s="1233">
        <f ca="1">IFERROR(__xludf.DUMMYFUNCTION("IMPORTRANGE(""https://docs.google.com/spreadsheets/d/1QqKyyYR6Q21VydFLVH3TRQUabQu_ym0Zz7PgGX0-kHA/edit?usp=sharing"",""แผน!EU87"")"),40)</f>
        <v>40</v>
      </c>
      <c r="J374" s="1227">
        <f ca="1">J381</f>
        <v>33</v>
      </c>
      <c r="K374" s="1228">
        <f t="shared" ca="1" si="163"/>
        <v>82.5</v>
      </c>
      <c r="L374" s="1229"/>
      <c r="M374" s="1229"/>
      <c r="N374" s="1229"/>
      <c r="O374" s="1229"/>
      <c r="P374" s="1229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222"/>
      <c r="B375" s="1223"/>
      <c r="C375" s="1224"/>
      <c r="D375" s="1230" t="s">
        <v>169</v>
      </c>
      <c r="E375" s="1225"/>
      <c r="F375" s="1225"/>
      <c r="G375" s="1226"/>
      <c r="H375" s="1231"/>
      <c r="I375" s="1232"/>
      <c r="J375" s="1232"/>
      <c r="K375" s="1229"/>
      <c r="L375" s="1229"/>
      <c r="M375" s="1229"/>
      <c r="N375" s="1229"/>
      <c r="O375" s="1229"/>
      <c r="P375" s="1229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002"/>
      <c r="B376" s="1003"/>
      <c r="C376" s="999" t="s">
        <v>16</v>
      </c>
      <c r="D376" s="1004" t="s">
        <v>38</v>
      </c>
      <c r="E376" s="1005"/>
      <c r="F376" s="1005"/>
      <c r="G376" s="1006"/>
      <c r="H376" s="1007"/>
      <c r="I376" s="880"/>
      <c r="J376" s="880"/>
      <c r="K376" s="881"/>
      <c r="L376" s="998"/>
      <c r="M376" s="998"/>
      <c r="N376" s="998"/>
      <c r="O376" s="998"/>
      <c r="P376" s="998"/>
    </row>
    <row r="377" spans="1:26" ht="18.75">
      <c r="A377" s="1002"/>
      <c r="B377" s="1010"/>
      <c r="C377" s="1003"/>
      <c r="D377" s="1010"/>
      <c r="E377" s="1008" t="s">
        <v>161</v>
      </c>
      <c r="F377" s="1010"/>
      <c r="G377" s="1011"/>
      <c r="H377" s="185" t="s">
        <v>35</v>
      </c>
      <c r="I377" s="880">
        <v>0</v>
      </c>
      <c r="J377" s="880">
        <f ca="1">IFERROR(__xludf.DUMMYFUNCTION("IMPORTRANGE(""https://docs.google.com/spreadsheets/d/1XWAQStnk-4SwqDmLtmXYiTMKHgktTP8We1SCoS47DrQ/edit?usp=sharing"",""จัดที่ดิน!AH87"")"),15)</f>
        <v>15</v>
      </c>
      <c r="K377" s="881">
        <f t="shared" ref="K377:K382" si="164">IF(I377&gt;0,J377*100/I377,0)</f>
        <v>0</v>
      </c>
      <c r="L377" s="998"/>
      <c r="M377" s="998"/>
      <c r="N377" s="998"/>
      <c r="O377" s="998"/>
      <c r="P377" s="998"/>
    </row>
    <row r="378" spans="1:26" ht="18.75">
      <c r="A378" s="1002"/>
      <c r="B378" s="1010"/>
      <c r="C378" s="1003"/>
      <c r="D378" s="1010"/>
      <c r="E378" s="1010"/>
      <c r="F378" s="1010"/>
      <c r="G378" s="1011"/>
      <c r="H378" s="185" t="s">
        <v>46</v>
      </c>
      <c r="I378" s="880">
        <f ca="1">IFERROR(__xludf.DUMMYFUNCTION("IMPORTRANGE(""https://docs.google.com/spreadsheets/d/1QqKyyYR6Q21VydFLVH3TRQUabQu_ym0Zz7PgGX0-kHA/edit?usp=sharing"",""แผน!ET87"")"),179)</f>
        <v>179</v>
      </c>
      <c r="J378" s="880">
        <f ca="1">IFERROR(__xludf.DUMMYFUNCTION("IMPORTRANGE(""https://docs.google.com/spreadsheets/d/1XWAQStnk-4SwqDmLtmXYiTMKHgktTP8We1SCoS47DrQ/edit?usp=sharing"",""จัดที่ดิน!AI87"")"),120.47)</f>
        <v>120.47</v>
      </c>
      <c r="K378" s="881">
        <f t="shared" ca="1" si="164"/>
        <v>67.30167597765363</v>
      </c>
      <c r="L378" s="998"/>
      <c r="M378" s="998"/>
      <c r="N378" s="998"/>
      <c r="O378" s="998"/>
      <c r="P378" s="998"/>
    </row>
    <row r="379" spans="1:26" ht="18.75">
      <c r="A379" s="1002"/>
      <c r="B379" s="1010"/>
      <c r="C379" s="1003"/>
      <c r="D379" s="1010"/>
      <c r="E379" s="1008" t="s">
        <v>162</v>
      </c>
      <c r="F379" s="1010"/>
      <c r="G379" s="1011"/>
      <c r="H379" s="762" t="s">
        <v>35</v>
      </c>
      <c r="I379" s="880">
        <f ca="1">IFERROR(__xludf.DUMMYFUNCTION("IMPORTRANGE(""https://docs.google.com/spreadsheets/d/1QqKyyYR6Q21VydFLVH3TRQUabQu_ym0Zz7PgGX0-kHA/edit?usp=sharing"",""แผน!EU87"")"),40)</f>
        <v>40</v>
      </c>
      <c r="J379" s="880">
        <f ca="1">IFERROR(__xludf.DUMMYFUNCTION("IMPORTRANGE(""https://docs.google.com/spreadsheets/d/1XWAQStnk-4SwqDmLtmXYiTMKHgktTP8We1SCoS47DrQ/edit?usp=sharing"",""จัดที่ดิน!AJ87"")"),33)</f>
        <v>33</v>
      </c>
      <c r="K379" s="881">
        <f t="shared" ca="1" si="164"/>
        <v>82.5</v>
      </c>
      <c r="L379" s="998"/>
      <c r="M379" s="998"/>
      <c r="N379" s="998"/>
      <c r="O379" s="998"/>
      <c r="P379" s="998"/>
    </row>
    <row r="380" spans="1:26" ht="18.75">
      <c r="A380" s="1002"/>
      <c r="B380" s="1010"/>
      <c r="C380" s="1003"/>
      <c r="D380" s="1010"/>
      <c r="E380" s="1010"/>
      <c r="F380" s="1010"/>
      <c r="G380" s="1011"/>
      <c r="H380" s="762" t="s">
        <v>46</v>
      </c>
      <c r="I380" s="880">
        <v>0</v>
      </c>
      <c r="J380" s="880">
        <f ca="1">IFERROR(__xludf.DUMMYFUNCTION("IMPORTRANGE(""https://docs.google.com/spreadsheets/d/1XWAQStnk-4SwqDmLtmXYiTMKHgktTP8We1SCoS47DrQ/edit?usp=sharing"",""จัดที่ดิน!AK87"")"),277.97)</f>
        <v>277.97000000000003</v>
      </c>
      <c r="K380" s="881">
        <f t="shared" si="164"/>
        <v>0</v>
      </c>
      <c r="L380" s="998"/>
      <c r="M380" s="998"/>
      <c r="N380" s="998"/>
      <c r="O380" s="998"/>
      <c r="P380" s="998"/>
    </row>
    <row r="381" spans="1:26" ht="18.75">
      <c r="A381" s="1002"/>
      <c r="B381" s="1010"/>
      <c r="C381" s="1003"/>
      <c r="D381" s="1010"/>
      <c r="E381" s="1008" t="s">
        <v>163</v>
      </c>
      <c r="F381" s="1010"/>
      <c r="G381" s="1011"/>
      <c r="H381" s="762" t="s">
        <v>35</v>
      </c>
      <c r="I381" s="880">
        <f ca="1">IFERROR(__xludf.DUMMYFUNCTION("IMPORTRANGE(""https://docs.google.com/spreadsheets/d/1QqKyyYR6Q21VydFLVH3TRQUabQu_ym0Zz7PgGX0-kHA/edit?usp=sharing"",""แผน!EU87"")"),40)</f>
        <v>40</v>
      </c>
      <c r="J381" s="880">
        <f ca="1">IFERROR(__xludf.DUMMYFUNCTION("IMPORTRANGE(""https://docs.google.com/spreadsheets/d/1XWAQStnk-4SwqDmLtmXYiTMKHgktTP8We1SCoS47DrQ/edit?usp=sharing"",""จัดที่ดิน!AL87"")"),33)</f>
        <v>33</v>
      </c>
      <c r="K381" s="881">
        <f t="shared" ca="1" si="164"/>
        <v>82.5</v>
      </c>
      <c r="L381" s="998"/>
      <c r="M381" s="998"/>
      <c r="N381" s="998"/>
      <c r="O381" s="998"/>
      <c r="P381" s="998"/>
    </row>
    <row r="382" spans="1:26" ht="18.75">
      <c r="A382" s="1212" t="s">
        <v>164</v>
      </c>
      <c r="B382" s="1010"/>
      <c r="C382" s="1003"/>
      <c r="D382" s="1010"/>
      <c r="E382" s="1009"/>
      <c r="F382" s="1010"/>
      <c r="G382" s="1011"/>
      <c r="H382" s="762" t="s">
        <v>46</v>
      </c>
      <c r="I382" s="880">
        <v>0</v>
      </c>
      <c r="J382" s="880">
        <f ca="1">IFERROR(__xludf.DUMMYFUNCTION("IMPORTRANGE(""https://docs.google.com/spreadsheets/d/1XWAQStnk-4SwqDmLtmXYiTMKHgktTP8We1SCoS47DrQ/edit?usp=sharing"",""จัดที่ดิน!AM87"")"),277.97)</f>
        <v>277.97000000000003</v>
      </c>
      <c r="K382" s="881">
        <f t="shared" si="164"/>
        <v>0</v>
      </c>
      <c r="L382" s="998"/>
      <c r="M382" s="998"/>
      <c r="N382" s="998"/>
      <c r="O382" s="998"/>
      <c r="P382" s="998"/>
    </row>
    <row r="383" spans="1:26" ht="19.5">
      <c r="A383" s="1234"/>
      <c r="B383" s="1235"/>
      <c r="C383" s="1091"/>
      <c r="D383" s="1236" t="s">
        <v>170</v>
      </c>
      <c r="E383" s="1091"/>
      <c r="F383" s="1091"/>
      <c r="G383" s="1237"/>
      <c r="H383" s="1199"/>
      <c r="I383" s="1067"/>
      <c r="J383" s="1067"/>
      <c r="K383" s="1068"/>
      <c r="L383" s="1068"/>
      <c r="M383" s="1068"/>
      <c r="N383" s="1068"/>
      <c r="O383" s="1068"/>
      <c r="P383" s="1068"/>
    </row>
    <row r="384" spans="1:26" ht="19.5">
      <c r="A384" s="1002"/>
      <c r="B384" s="1003"/>
      <c r="C384" s="877" t="s">
        <v>16</v>
      </c>
      <c r="D384" s="1004" t="s">
        <v>38</v>
      </c>
      <c r="E384" s="1005"/>
      <c r="F384" s="1005"/>
      <c r="G384" s="1006"/>
      <c r="H384" s="1007"/>
      <c r="I384" s="880"/>
      <c r="J384" s="880"/>
      <c r="K384" s="881"/>
      <c r="L384" s="998"/>
      <c r="M384" s="998"/>
      <c r="N384" s="998"/>
      <c r="O384" s="998"/>
      <c r="P384" s="998"/>
    </row>
    <row r="385" spans="1:26" ht="18.75">
      <c r="A385" s="1133"/>
      <c r="B385" s="1136"/>
      <c r="C385" s="1134"/>
      <c r="D385" s="1136"/>
      <c r="E385" s="1238" t="s">
        <v>171</v>
      </c>
      <c r="F385" s="1136"/>
      <c r="G385" s="1137"/>
      <c r="H385" s="504" t="s">
        <v>35</v>
      </c>
      <c r="I385" s="1138">
        <f ca="1">IFERROR(__xludf.DUMMYFUNCTION("IMPORTRANGE(""https://docs.google.com/spreadsheets/d/1QqKyyYR6Q21VydFLVH3TRQUabQu_ym0Zz7PgGX0-kHA/edit?usp=sharing"",""แผน!EW87"")"),5)</f>
        <v>5</v>
      </c>
      <c r="J385" s="1138">
        <f ca="1">IFERROR(__xludf.DUMMYFUNCTION("IMPORTRANGE(""https://docs.google.com/spreadsheets/d/1XWAQStnk-4SwqDmLtmXYiTMKHgktTP8We1SCoS47DrQ/edit?usp=sharing"",""จัดที่ดิน!AP87"")"),0)</f>
        <v>0</v>
      </c>
      <c r="K385" s="1239">
        <f ca="1">IF(I385&gt;0,J385*100/I385,0)</f>
        <v>0</v>
      </c>
      <c r="L385" s="1139"/>
      <c r="M385" s="1139"/>
      <c r="N385" s="1139"/>
      <c r="O385" s="1139"/>
      <c r="P385" s="1139"/>
    </row>
    <row r="386" spans="1:26" ht="19.5" hidden="1">
      <c r="A386" s="1240" t="s">
        <v>172</v>
      </c>
      <c r="B386" s="1241"/>
      <c r="C386" s="1241"/>
      <c r="D386" s="1241"/>
      <c r="E386" s="1242"/>
      <c r="F386" s="1242"/>
      <c r="G386" s="1243"/>
      <c r="H386" s="1244"/>
      <c r="I386" s="1245"/>
      <c r="J386" s="1245"/>
      <c r="K386" s="1246"/>
      <c r="L386" s="1246"/>
      <c r="M386" s="1246"/>
      <c r="N386" s="1246"/>
      <c r="O386" s="1246"/>
      <c r="P386" s="1246"/>
    </row>
    <row r="387" spans="1:26" ht="19.5" hidden="1">
      <c r="A387" s="1247" t="s">
        <v>173</v>
      </c>
      <c r="B387" s="1248"/>
      <c r="C387" s="1248"/>
      <c r="D387" s="1249"/>
      <c r="E387" s="1248"/>
      <c r="F387" s="1248"/>
      <c r="G387" s="1248"/>
      <c r="H387" s="1250"/>
      <c r="I387" s="1251"/>
      <c r="J387" s="1251"/>
      <c r="K387" s="1252"/>
      <c r="L387" s="1252"/>
      <c r="M387" s="1252"/>
      <c r="N387" s="1252"/>
      <c r="O387" s="1252"/>
      <c r="P387" s="1252"/>
    </row>
    <row r="388" spans="1:26" ht="19.5" hidden="1">
      <c r="A388" s="1253"/>
      <c r="B388" s="1254" t="s">
        <v>174</v>
      </c>
      <c r="C388" s="1255"/>
      <c r="D388" s="1256"/>
      <c r="E388" s="1256"/>
      <c r="F388" s="1256"/>
      <c r="G388" s="1257"/>
      <c r="H388" s="525" t="s">
        <v>66</v>
      </c>
      <c r="I388" s="1258">
        <f t="shared" ref="I388:J388" si="165">I400</f>
        <v>0</v>
      </c>
      <c r="J388" s="1258">
        <f t="shared" si="165"/>
        <v>0</v>
      </c>
      <c r="K388" s="1259">
        <f>IF(I388&gt;0,J388*100/I388,0)</f>
        <v>0</v>
      </c>
      <c r="L388" s="1260"/>
      <c r="M388" s="1260"/>
      <c r="N388" s="1260"/>
      <c r="O388" s="1260"/>
      <c r="P388" s="1260"/>
    </row>
    <row r="389" spans="1:26" ht="19.5" hidden="1">
      <c r="A389" s="985"/>
      <c r="B389" s="986"/>
      <c r="C389" s="987" t="s">
        <v>16</v>
      </c>
      <c r="D389" s="988" t="s">
        <v>17</v>
      </c>
      <c r="E389" s="986"/>
      <c r="F389" s="986"/>
      <c r="G389" s="989"/>
      <c r="H389" s="152" t="s">
        <v>12</v>
      </c>
      <c r="I389" s="990"/>
      <c r="J389" s="990"/>
      <c r="K389" s="991"/>
      <c r="L389" s="992">
        <f t="shared" ref="L389:N389" ca="1" si="166">L390+L391</f>
        <v>0</v>
      </c>
      <c r="M389" s="992">
        <f t="shared" ca="1" si="166"/>
        <v>0</v>
      </c>
      <c r="N389" s="992">
        <f t="shared" ca="1" si="166"/>
        <v>0</v>
      </c>
      <c r="O389" s="992">
        <f t="shared" ref="O389:O397" ca="1" si="167">IF(L389&gt;0,N389*100/L389,0)</f>
        <v>0</v>
      </c>
      <c r="P389" s="992">
        <f t="shared" ref="P389:P397" ca="1" si="168">IF(M389&gt;0,N389*100/M389,0)</f>
        <v>0</v>
      </c>
      <c r="Q389" s="868"/>
      <c r="R389" s="868"/>
      <c r="S389" s="868"/>
      <c r="T389" s="868"/>
      <c r="U389" s="868"/>
      <c r="V389" s="868"/>
      <c r="W389" s="868"/>
      <c r="X389" s="868"/>
      <c r="Y389" s="868"/>
      <c r="Z389" s="868"/>
    </row>
    <row r="390" spans="1:26" ht="18.75" hidden="1">
      <c r="A390" s="993"/>
      <c r="B390" s="883"/>
      <c r="C390" s="883"/>
      <c r="D390" s="883"/>
      <c r="E390" s="884" t="s">
        <v>18</v>
      </c>
      <c r="F390" s="883"/>
      <c r="G390" s="994"/>
      <c r="H390" s="158" t="s">
        <v>12</v>
      </c>
      <c r="I390" s="886"/>
      <c r="J390" s="886"/>
      <c r="K390" s="887"/>
      <c r="L390" s="887">
        <f t="shared" ref="L390:N391" si="169">L393+L396</f>
        <v>0</v>
      </c>
      <c r="M390" s="887">
        <f t="shared" si="169"/>
        <v>0</v>
      </c>
      <c r="N390" s="887">
        <f t="shared" si="169"/>
        <v>0</v>
      </c>
      <c r="O390" s="887">
        <f t="shared" si="167"/>
        <v>0</v>
      </c>
      <c r="P390" s="887">
        <f t="shared" si="168"/>
        <v>0</v>
      </c>
      <c r="Q390" s="875"/>
      <c r="R390" s="875"/>
      <c r="S390" s="875"/>
      <c r="T390" s="875"/>
      <c r="U390" s="875"/>
      <c r="V390" s="875"/>
      <c r="W390" s="875"/>
      <c r="X390" s="875"/>
      <c r="Y390" s="875"/>
      <c r="Z390" s="875"/>
    </row>
    <row r="391" spans="1:26" ht="18.75" hidden="1">
      <c r="A391" s="993"/>
      <c r="B391" s="883"/>
      <c r="C391" s="883"/>
      <c r="D391" s="883"/>
      <c r="E391" s="884" t="s">
        <v>19</v>
      </c>
      <c r="F391" s="883"/>
      <c r="G391" s="994"/>
      <c r="H391" s="158" t="s">
        <v>12</v>
      </c>
      <c r="I391" s="886"/>
      <c r="J391" s="886"/>
      <c r="K391" s="887"/>
      <c r="L391" s="887">
        <f t="shared" ca="1" si="169"/>
        <v>0</v>
      </c>
      <c r="M391" s="887">
        <f t="shared" ca="1" si="169"/>
        <v>0</v>
      </c>
      <c r="N391" s="887">
        <f t="shared" ca="1" si="169"/>
        <v>0</v>
      </c>
      <c r="O391" s="887">
        <f t="shared" ca="1" si="167"/>
        <v>0</v>
      </c>
      <c r="P391" s="887">
        <f t="shared" ca="1" si="168"/>
        <v>0</v>
      </c>
      <c r="Q391" s="875"/>
      <c r="R391" s="875"/>
      <c r="S391" s="875"/>
      <c r="T391" s="875"/>
      <c r="U391" s="875"/>
      <c r="V391" s="875"/>
      <c r="W391" s="875"/>
      <c r="X391" s="875"/>
      <c r="Y391" s="875"/>
      <c r="Z391" s="875"/>
    </row>
    <row r="392" spans="1:26" ht="18.75" hidden="1">
      <c r="A392" s="995"/>
      <c r="B392" s="877"/>
      <c r="C392" s="996"/>
      <c r="D392" s="878" t="s">
        <v>20</v>
      </c>
      <c r="E392" s="877"/>
      <c r="F392" s="877"/>
      <c r="G392" s="879"/>
      <c r="H392" s="161" t="s">
        <v>12</v>
      </c>
      <c r="I392" s="997"/>
      <c r="J392" s="997"/>
      <c r="K392" s="998"/>
      <c r="L392" s="881">
        <f t="shared" ref="L392:N392" ca="1" si="170">L393+L394</f>
        <v>0</v>
      </c>
      <c r="M392" s="881">
        <f t="shared" ca="1" si="170"/>
        <v>0</v>
      </c>
      <c r="N392" s="881">
        <f t="shared" ca="1" si="170"/>
        <v>0</v>
      </c>
      <c r="O392" s="881">
        <f t="shared" ca="1" si="167"/>
        <v>0</v>
      </c>
      <c r="P392" s="881">
        <f t="shared" ca="1" si="168"/>
        <v>0</v>
      </c>
      <c r="Q392" s="868"/>
      <c r="R392" s="868"/>
      <c r="S392" s="868"/>
      <c r="T392" s="868"/>
      <c r="U392" s="868"/>
      <c r="V392" s="868"/>
      <c r="W392" s="868"/>
      <c r="X392" s="868"/>
      <c r="Y392" s="868"/>
      <c r="Z392" s="868"/>
    </row>
    <row r="393" spans="1:26" ht="19.5" hidden="1">
      <c r="A393" s="993"/>
      <c r="B393" s="883"/>
      <c r="C393" s="999"/>
      <c r="D393" s="883"/>
      <c r="E393" s="884" t="s">
        <v>36</v>
      </c>
      <c r="F393" s="883"/>
      <c r="G393" s="994"/>
      <c r="H393" s="165" t="s">
        <v>12</v>
      </c>
      <c r="I393" s="1000"/>
      <c r="J393" s="1000"/>
      <c r="K393" s="1001"/>
      <c r="L393" s="887">
        <v>0</v>
      </c>
      <c r="M393" s="887">
        <v>0</v>
      </c>
      <c r="N393" s="887">
        <v>0</v>
      </c>
      <c r="O393" s="887">
        <f t="shared" si="167"/>
        <v>0</v>
      </c>
      <c r="P393" s="887">
        <f t="shared" si="168"/>
        <v>0</v>
      </c>
      <c r="Q393" s="875"/>
      <c r="R393" s="875"/>
      <c r="S393" s="875"/>
      <c r="T393" s="875"/>
      <c r="U393" s="875"/>
      <c r="V393" s="875"/>
      <c r="W393" s="875"/>
      <c r="X393" s="875"/>
      <c r="Y393" s="875"/>
      <c r="Z393" s="875"/>
    </row>
    <row r="394" spans="1:26" ht="19.5" hidden="1">
      <c r="A394" s="993"/>
      <c r="B394" s="883"/>
      <c r="C394" s="999"/>
      <c r="D394" s="883"/>
      <c r="E394" s="884" t="s">
        <v>37</v>
      </c>
      <c r="F394" s="883"/>
      <c r="G394" s="994"/>
      <c r="H394" s="165" t="s">
        <v>12</v>
      </c>
      <c r="I394" s="1000"/>
      <c r="J394" s="1000"/>
      <c r="K394" s="1001"/>
      <c r="L394" s="887">
        <f ca="1">IFERROR(__xludf.DUMMYFUNCTION("IMPORTRANGE(""https://docs.google.com/spreadsheets/d/1MeEWN-I1oV_STSDYn1IFDPWt_1FKiwhDph83XaGc0o0/edit?usp=sharing"",""งบพรบ!FG87"")"),0)</f>
        <v>0</v>
      </c>
      <c r="M394" s="887">
        <f ca="1">IFERROR(__xludf.DUMMYFUNCTION("IMPORTRANGE(""https://docs.google.com/spreadsheets/d/1MeEWN-I1oV_STSDYn1IFDPWt_1FKiwhDph83XaGc0o0/edit?usp=sharing"",""งบพรบ!FL87"")"),0)</f>
        <v>0</v>
      </c>
      <c r="N394" s="887">
        <f ca="1">IFERROR(__xludf.DUMMYFUNCTION("IMPORTRANGE(""https://docs.google.com/spreadsheets/d/1MeEWN-I1oV_STSDYn1IFDPWt_1FKiwhDph83XaGc0o0/edit?usp=sharing"",""งบพรบ!FN87"")"),0)</f>
        <v>0</v>
      </c>
      <c r="O394" s="887">
        <f t="shared" ca="1" si="167"/>
        <v>0</v>
      </c>
      <c r="P394" s="887">
        <f t="shared" ca="1" si="168"/>
        <v>0</v>
      </c>
      <c r="Q394" s="875"/>
      <c r="R394" s="875"/>
      <c r="S394" s="875"/>
      <c r="T394" s="875"/>
      <c r="U394" s="875"/>
      <c r="V394" s="875"/>
      <c r="W394" s="875"/>
      <c r="X394" s="875"/>
      <c r="Y394" s="875"/>
      <c r="Z394" s="875"/>
    </row>
    <row r="395" spans="1:26" ht="18.75" hidden="1">
      <c r="A395" s="995"/>
      <c r="B395" s="877"/>
      <c r="C395" s="996"/>
      <c r="D395" s="878" t="s">
        <v>21</v>
      </c>
      <c r="E395" s="877"/>
      <c r="F395" s="877"/>
      <c r="G395" s="879"/>
      <c r="H395" s="168" t="s">
        <v>12</v>
      </c>
      <c r="I395" s="997"/>
      <c r="J395" s="997"/>
      <c r="K395" s="998"/>
      <c r="L395" s="881">
        <f t="shared" ref="L395:N395" ca="1" si="171">L396+L397</f>
        <v>0</v>
      </c>
      <c r="M395" s="881">
        <f t="shared" ca="1" si="171"/>
        <v>0</v>
      </c>
      <c r="N395" s="881">
        <f t="shared" ca="1" si="171"/>
        <v>0</v>
      </c>
      <c r="O395" s="881">
        <f t="shared" ca="1" si="167"/>
        <v>0</v>
      </c>
      <c r="P395" s="881">
        <f t="shared" ca="1" si="168"/>
        <v>0</v>
      </c>
      <c r="Q395" s="868"/>
      <c r="R395" s="868"/>
      <c r="S395" s="868"/>
      <c r="T395" s="868"/>
      <c r="U395" s="868"/>
      <c r="V395" s="868"/>
      <c r="W395" s="868"/>
      <c r="X395" s="868"/>
      <c r="Y395" s="868"/>
      <c r="Z395" s="868"/>
    </row>
    <row r="396" spans="1:26" ht="19.5" hidden="1">
      <c r="A396" s="993"/>
      <c r="B396" s="883"/>
      <c r="C396" s="999"/>
      <c r="D396" s="883"/>
      <c r="E396" s="884" t="s">
        <v>18</v>
      </c>
      <c r="F396" s="883"/>
      <c r="G396" s="994"/>
      <c r="H396" s="165" t="s">
        <v>12</v>
      </c>
      <c r="I396" s="1000"/>
      <c r="J396" s="1000"/>
      <c r="K396" s="1001"/>
      <c r="L396" s="887">
        <v>0</v>
      </c>
      <c r="M396" s="887">
        <v>0</v>
      </c>
      <c r="N396" s="887">
        <v>0</v>
      </c>
      <c r="O396" s="887">
        <f t="shared" si="167"/>
        <v>0</v>
      </c>
      <c r="P396" s="887">
        <f t="shared" si="168"/>
        <v>0</v>
      </c>
      <c r="Q396" s="875"/>
      <c r="R396" s="875"/>
      <c r="S396" s="875"/>
      <c r="T396" s="875"/>
      <c r="U396" s="875"/>
      <c r="V396" s="875"/>
      <c r="W396" s="875"/>
      <c r="X396" s="875"/>
      <c r="Y396" s="875"/>
      <c r="Z396" s="875"/>
    </row>
    <row r="397" spans="1:26" ht="19.5" hidden="1">
      <c r="A397" s="993"/>
      <c r="B397" s="883"/>
      <c r="C397" s="999"/>
      <c r="D397" s="883"/>
      <c r="E397" s="884" t="s">
        <v>19</v>
      </c>
      <c r="F397" s="883"/>
      <c r="G397" s="994"/>
      <c r="H397" s="169" t="s">
        <v>12</v>
      </c>
      <c r="I397" s="1000"/>
      <c r="J397" s="1000"/>
      <c r="K397" s="1001"/>
      <c r="L397" s="887">
        <f ca="1">IFERROR(__xludf.DUMMYFUNCTION("IMPORTRANGE(""https://docs.google.com/spreadsheets/d/1MeEWN-I1oV_STSDYn1IFDPWt_1FKiwhDph83XaGc0o0/edit?usp=sharing"",""งบพรบ!FJ87"")"),0)</f>
        <v>0</v>
      </c>
      <c r="M397" s="887">
        <f ca="1">IFERROR(__xludf.DUMMYFUNCTION("IMPORTRANGE(""https://docs.google.com/spreadsheets/d/1MeEWN-I1oV_STSDYn1IFDPWt_1FKiwhDph83XaGc0o0/edit?usp=sharing"",""งบพรบ!FM87"")"),0)</f>
        <v>0</v>
      </c>
      <c r="N397" s="887">
        <f ca="1">IFERROR(__xludf.DUMMYFUNCTION("IMPORTRANGE(""https://docs.google.com/spreadsheets/d/1MeEWN-I1oV_STSDYn1IFDPWt_1FKiwhDph83XaGc0o0/edit?usp=sharing"",""งบพรบ!FO87"")"),0)</f>
        <v>0</v>
      </c>
      <c r="O397" s="887">
        <f t="shared" ca="1" si="167"/>
        <v>0</v>
      </c>
      <c r="P397" s="887">
        <f t="shared" ca="1" si="168"/>
        <v>0</v>
      </c>
      <c r="Q397" s="875"/>
      <c r="R397" s="875"/>
      <c r="S397" s="875"/>
      <c r="T397" s="875"/>
      <c r="U397" s="875"/>
      <c r="V397" s="875"/>
      <c r="W397" s="875"/>
      <c r="X397" s="875"/>
      <c r="Y397" s="875"/>
      <c r="Z397" s="875"/>
    </row>
    <row r="398" spans="1:26" ht="19.5" hidden="1">
      <c r="A398" s="1002"/>
      <c r="B398" s="1003"/>
      <c r="C398" s="999" t="s">
        <v>16</v>
      </c>
      <c r="D398" s="1004" t="s">
        <v>38</v>
      </c>
      <c r="E398" s="1005"/>
      <c r="F398" s="1005"/>
      <c r="G398" s="1006"/>
      <c r="H398" s="1007"/>
      <c r="I398" s="997"/>
      <c r="J398" s="880"/>
      <c r="K398" s="881"/>
      <c r="L398" s="881"/>
      <c r="M398" s="881"/>
      <c r="N398" s="881"/>
      <c r="O398" s="998"/>
      <c r="P398" s="998"/>
    </row>
    <row r="399" spans="1:26" ht="18.75" hidden="1">
      <c r="A399" s="1261"/>
      <c r="B399" s="986"/>
      <c r="C399" s="1262"/>
      <c r="D399" s="1021" t="s">
        <v>175</v>
      </c>
      <c r="E399" s="1166"/>
      <c r="F399" s="986"/>
      <c r="G399" s="989"/>
      <c r="H399" s="532" t="s">
        <v>9</v>
      </c>
      <c r="I399" s="880">
        <v>0</v>
      </c>
      <c r="J399" s="1012">
        <v>0</v>
      </c>
      <c r="K399" s="881">
        <f t="shared" ref="K399:K401" si="172">IF(I399&gt;0,J399*100/I399,0)</f>
        <v>0</v>
      </c>
      <c r="L399" s="1263"/>
      <c r="M399" s="1263"/>
      <c r="N399" s="1263"/>
      <c r="O399" s="1263"/>
      <c r="P399" s="1263"/>
      <c r="Q399" s="868"/>
      <c r="R399" s="868"/>
      <c r="S399" s="868"/>
      <c r="T399" s="868"/>
      <c r="U399" s="868"/>
      <c r="V399" s="868"/>
      <c r="W399" s="868"/>
      <c r="X399" s="868"/>
      <c r="Y399" s="868"/>
      <c r="Z399" s="868"/>
    </row>
    <row r="400" spans="1:26" ht="18.75" hidden="1">
      <c r="A400" s="1086"/>
      <c r="B400" s="877"/>
      <c r="C400" s="1084"/>
      <c r="D400" s="1009" t="s">
        <v>176</v>
      </c>
      <c r="E400" s="1003"/>
      <c r="F400" s="877"/>
      <c r="G400" s="879"/>
      <c r="H400" s="277" t="s">
        <v>66</v>
      </c>
      <c r="I400" s="880">
        <v>0</v>
      </c>
      <c r="J400" s="1012">
        <v>0</v>
      </c>
      <c r="K400" s="881">
        <f t="shared" si="172"/>
        <v>0</v>
      </c>
      <c r="L400" s="881"/>
      <c r="M400" s="881"/>
      <c r="N400" s="881"/>
      <c r="O400" s="881"/>
      <c r="P400" s="881"/>
    </row>
    <row r="401" spans="1:26" ht="19.5" hidden="1">
      <c r="A401" s="1253"/>
      <c r="B401" s="1254" t="s">
        <v>177</v>
      </c>
      <c r="C401" s="1255"/>
      <c r="D401" s="1256"/>
      <c r="E401" s="1256"/>
      <c r="F401" s="1256"/>
      <c r="G401" s="1257"/>
      <c r="H401" s="525" t="s">
        <v>66</v>
      </c>
      <c r="I401" s="1258">
        <f t="shared" ref="I401:J401" si="173">I412</f>
        <v>0</v>
      </c>
      <c r="J401" s="1258">
        <f t="shared" si="173"/>
        <v>0</v>
      </c>
      <c r="K401" s="1259">
        <f t="shared" si="172"/>
        <v>0</v>
      </c>
      <c r="L401" s="1260"/>
      <c r="M401" s="1260"/>
      <c r="N401" s="1260"/>
      <c r="O401" s="1260"/>
      <c r="P401" s="1260"/>
    </row>
    <row r="402" spans="1:26" ht="19.5" hidden="1">
      <c r="A402" s="985"/>
      <c r="B402" s="986"/>
      <c r="C402" s="987" t="s">
        <v>16</v>
      </c>
      <c r="D402" s="988" t="s">
        <v>17</v>
      </c>
      <c r="E402" s="986"/>
      <c r="F402" s="986"/>
      <c r="G402" s="989"/>
      <c r="H402" s="152" t="s">
        <v>12</v>
      </c>
      <c r="I402" s="990"/>
      <c r="J402" s="990"/>
      <c r="K402" s="991"/>
      <c r="L402" s="992">
        <f t="shared" ref="L402:N402" ca="1" si="174">L403+L404</f>
        <v>0</v>
      </c>
      <c r="M402" s="992">
        <f t="shared" ca="1" si="174"/>
        <v>0</v>
      </c>
      <c r="N402" s="992">
        <f t="shared" ca="1" si="174"/>
        <v>0</v>
      </c>
      <c r="O402" s="992">
        <f t="shared" ref="O402:O410" ca="1" si="175">IF(L402&gt;0,N402*100/L402,0)</f>
        <v>0</v>
      </c>
      <c r="P402" s="992">
        <f t="shared" ref="P402:P410" ca="1" si="176">IF(M402&gt;0,N402*100/M402,0)</f>
        <v>0</v>
      </c>
      <c r="Q402" s="868"/>
      <c r="R402" s="868"/>
      <c r="S402" s="868"/>
      <c r="T402" s="868"/>
      <c r="U402" s="868"/>
      <c r="V402" s="868"/>
      <c r="W402" s="868"/>
      <c r="X402" s="868"/>
      <c r="Y402" s="868"/>
      <c r="Z402" s="868"/>
    </row>
    <row r="403" spans="1:26" ht="18.75" hidden="1">
      <c r="A403" s="993"/>
      <c r="B403" s="883"/>
      <c r="C403" s="883"/>
      <c r="D403" s="883"/>
      <c r="E403" s="884" t="s">
        <v>18</v>
      </c>
      <c r="F403" s="883"/>
      <c r="G403" s="994"/>
      <c r="H403" s="158" t="s">
        <v>12</v>
      </c>
      <c r="I403" s="886"/>
      <c r="J403" s="886"/>
      <c r="K403" s="887"/>
      <c r="L403" s="887">
        <f t="shared" ref="L403:N404" si="177">L406+L409</f>
        <v>0</v>
      </c>
      <c r="M403" s="887">
        <f t="shared" si="177"/>
        <v>0</v>
      </c>
      <c r="N403" s="887">
        <f t="shared" si="177"/>
        <v>0</v>
      </c>
      <c r="O403" s="887">
        <f t="shared" si="175"/>
        <v>0</v>
      </c>
      <c r="P403" s="887">
        <f t="shared" si="176"/>
        <v>0</v>
      </c>
      <c r="Q403" s="875"/>
      <c r="R403" s="875"/>
      <c r="S403" s="875"/>
      <c r="T403" s="875"/>
      <c r="U403" s="875"/>
      <c r="V403" s="875"/>
      <c r="W403" s="875"/>
      <c r="X403" s="875"/>
      <c r="Y403" s="875"/>
      <c r="Z403" s="875"/>
    </row>
    <row r="404" spans="1:26" ht="18.75" hidden="1">
      <c r="A404" s="993"/>
      <c r="B404" s="883"/>
      <c r="C404" s="883"/>
      <c r="D404" s="883"/>
      <c r="E404" s="884" t="s">
        <v>19</v>
      </c>
      <c r="F404" s="883"/>
      <c r="G404" s="994"/>
      <c r="H404" s="158" t="s">
        <v>12</v>
      </c>
      <c r="I404" s="886"/>
      <c r="J404" s="886"/>
      <c r="K404" s="887"/>
      <c r="L404" s="887">
        <f t="shared" ca="1" si="177"/>
        <v>0</v>
      </c>
      <c r="M404" s="887">
        <f t="shared" ca="1" si="177"/>
        <v>0</v>
      </c>
      <c r="N404" s="887">
        <f t="shared" ca="1" si="177"/>
        <v>0</v>
      </c>
      <c r="O404" s="887">
        <f t="shared" ca="1" si="175"/>
        <v>0</v>
      </c>
      <c r="P404" s="887">
        <f t="shared" ca="1" si="176"/>
        <v>0</v>
      </c>
      <c r="Q404" s="875"/>
      <c r="R404" s="875"/>
      <c r="S404" s="875"/>
      <c r="T404" s="875"/>
      <c r="U404" s="875"/>
      <c r="V404" s="875"/>
      <c r="W404" s="875"/>
      <c r="X404" s="875"/>
      <c r="Y404" s="875"/>
      <c r="Z404" s="875"/>
    </row>
    <row r="405" spans="1:26" ht="18.75" hidden="1">
      <c r="A405" s="995"/>
      <c r="B405" s="877"/>
      <c r="C405" s="996"/>
      <c r="D405" s="878" t="s">
        <v>20</v>
      </c>
      <c r="E405" s="877"/>
      <c r="F405" s="877"/>
      <c r="G405" s="879"/>
      <c r="H405" s="161" t="s">
        <v>12</v>
      </c>
      <c r="I405" s="997"/>
      <c r="J405" s="997"/>
      <c r="K405" s="998"/>
      <c r="L405" s="881">
        <f t="shared" ref="L405:N405" ca="1" si="178">L406+L407</f>
        <v>0</v>
      </c>
      <c r="M405" s="881">
        <f t="shared" ca="1" si="178"/>
        <v>0</v>
      </c>
      <c r="N405" s="881">
        <f t="shared" ca="1" si="178"/>
        <v>0</v>
      </c>
      <c r="O405" s="881">
        <f t="shared" ca="1" si="175"/>
        <v>0</v>
      </c>
      <c r="P405" s="881">
        <f t="shared" ca="1" si="176"/>
        <v>0</v>
      </c>
      <c r="Q405" s="868"/>
      <c r="R405" s="868"/>
      <c r="S405" s="868"/>
      <c r="T405" s="868"/>
      <c r="U405" s="868"/>
      <c r="V405" s="868"/>
      <c r="W405" s="868"/>
      <c r="X405" s="868"/>
      <c r="Y405" s="868"/>
      <c r="Z405" s="868"/>
    </row>
    <row r="406" spans="1:26" ht="19.5" hidden="1">
      <c r="A406" s="993"/>
      <c r="B406" s="883"/>
      <c r="C406" s="999"/>
      <c r="D406" s="883"/>
      <c r="E406" s="884" t="s">
        <v>36</v>
      </c>
      <c r="F406" s="883"/>
      <c r="G406" s="994"/>
      <c r="H406" s="165" t="s">
        <v>12</v>
      </c>
      <c r="I406" s="1000"/>
      <c r="J406" s="1000"/>
      <c r="K406" s="1001"/>
      <c r="L406" s="887">
        <v>0</v>
      </c>
      <c r="M406" s="887">
        <v>0</v>
      </c>
      <c r="N406" s="887">
        <v>0</v>
      </c>
      <c r="O406" s="887">
        <f t="shared" si="175"/>
        <v>0</v>
      </c>
      <c r="P406" s="887">
        <f t="shared" si="176"/>
        <v>0</v>
      </c>
      <c r="Q406" s="875"/>
      <c r="R406" s="875"/>
      <c r="S406" s="875"/>
      <c r="T406" s="875"/>
      <c r="U406" s="875"/>
      <c r="V406" s="875"/>
      <c r="W406" s="875"/>
      <c r="X406" s="875"/>
      <c r="Y406" s="875"/>
      <c r="Z406" s="875"/>
    </row>
    <row r="407" spans="1:26" ht="19.5" hidden="1">
      <c r="A407" s="993"/>
      <c r="B407" s="883"/>
      <c r="C407" s="999"/>
      <c r="D407" s="883"/>
      <c r="E407" s="884" t="s">
        <v>37</v>
      </c>
      <c r="F407" s="883"/>
      <c r="G407" s="994"/>
      <c r="H407" s="165" t="s">
        <v>12</v>
      </c>
      <c r="I407" s="1000"/>
      <c r="J407" s="1000"/>
      <c r="K407" s="1001"/>
      <c r="L407" s="887">
        <f ca="1">IFERROR(__xludf.DUMMYFUNCTION("IMPORTRANGE(""https://docs.google.com/spreadsheets/d/1MeEWN-I1oV_STSDYn1IFDPWt_1FKiwhDph83XaGc0o0/edit?usp=sharing"",""งบพรบ!FQ87"")"),0)</f>
        <v>0</v>
      </c>
      <c r="M407" s="887">
        <f ca="1">IFERROR(__xludf.DUMMYFUNCTION("IMPORTRANGE(""https://docs.google.com/spreadsheets/d/1MeEWN-I1oV_STSDYn1IFDPWt_1FKiwhDph83XaGc0o0/edit?usp=sharing"",""งบพรบ!FV87"")"),0)</f>
        <v>0</v>
      </c>
      <c r="N407" s="887">
        <f ca="1">IFERROR(__xludf.DUMMYFUNCTION("IMPORTRANGE(""https://docs.google.com/spreadsheets/d/1MeEWN-I1oV_STSDYn1IFDPWt_1FKiwhDph83XaGc0o0/edit?usp=sharing"",""งบพรบ!FX87"")"),0)</f>
        <v>0</v>
      </c>
      <c r="O407" s="887">
        <f t="shared" ca="1" si="175"/>
        <v>0</v>
      </c>
      <c r="P407" s="887">
        <f t="shared" ca="1" si="176"/>
        <v>0</v>
      </c>
      <c r="Q407" s="875"/>
      <c r="R407" s="875"/>
      <c r="S407" s="875"/>
      <c r="T407" s="875"/>
      <c r="U407" s="875"/>
      <c r="V407" s="875"/>
      <c r="W407" s="875"/>
      <c r="X407" s="875"/>
      <c r="Y407" s="875"/>
      <c r="Z407" s="875"/>
    </row>
    <row r="408" spans="1:26" ht="18.75" hidden="1">
      <c r="A408" s="995"/>
      <c r="B408" s="877"/>
      <c r="C408" s="996"/>
      <c r="D408" s="878" t="s">
        <v>21</v>
      </c>
      <c r="E408" s="877"/>
      <c r="F408" s="877"/>
      <c r="G408" s="879"/>
      <c r="H408" s="168" t="s">
        <v>12</v>
      </c>
      <c r="I408" s="997"/>
      <c r="J408" s="997"/>
      <c r="K408" s="998"/>
      <c r="L408" s="881">
        <f t="shared" ref="L408:N408" ca="1" si="179">L409+L410</f>
        <v>0</v>
      </c>
      <c r="M408" s="881">
        <f t="shared" ca="1" si="179"/>
        <v>0</v>
      </c>
      <c r="N408" s="881">
        <f t="shared" ca="1" si="179"/>
        <v>0</v>
      </c>
      <c r="O408" s="881">
        <f t="shared" ca="1" si="175"/>
        <v>0</v>
      </c>
      <c r="P408" s="881">
        <f t="shared" ca="1" si="176"/>
        <v>0</v>
      </c>
      <c r="Q408" s="868"/>
      <c r="R408" s="868"/>
      <c r="S408" s="868"/>
      <c r="T408" s="868"/>
      <c r="U408" s="868"/>
      <c r="V408" s="868"/>
      <c r="W408" s="868"/>
      <c r="X408" s="868"/>
      <c r="Y408" s="868"/>
      <c r="Z408" s="868"/>
    </row>
    <row r="409" spans="1:26" ht="19.5" hidden="1">
      <c r="A409" s="993"/>
      <c r="B409" s="883"/>
      <c r="C409" s="999"/>
      <c r="D409" s="883"/>
      <c r="E409" s="884" t="s">
        <v>18</v>
      </c>
      <c r="F409" s="883"/>
      <c r="G409" s="994"/>
      <c r="H409" s="165" t="s">
        <v>12</v>
      </c>
      <c r="I409" s="1000"/>
      <c r="J409" s="1000"/>
      <c r="K409" s="1001"/>
      <c r="L409" s="887">
        <v>0</v>
      </c>
      <c r="M409" s="887">
        <v>0</v>
      </c>
      <c r="N409" s="887">
        <v>0</v>
      </c>
      <c r="O409" s="887">
        <f t="shared" si="175"/>
        <v>0</v>
      </c>
      <c r="P409" s="887">
        <f t="shared" si="176"/>
        <v>0</v>
      </c>
      <c r="Q409" s="875"/>
      <c r="R409" s="875"/>
      <c r="S409" s="875"/>
      <c r="T409" s="875"/>
      <c r="U409" s="875"/>
      <c r="V409" s="875"/>
      <c r="W409" s="875"/>
      <c r="X409" s="875"/>
      <c r="Y409" s="875"/>
      <c r="Z409" s="875"/>
    </row>
    <row r="410" spans="1:26" ht="19.5" hidden="1">
      <c r="A410" s="993"/>
      <c r="B410" s="883"/>
      <c r="C410" s="999"/>
      <c r="D410" s="883"/>
      <c r="E410" s="884" t="s">
        <v>19</v>
      </c>
      <c r="F410" s="883"/>
      <c r="G410" s="994"/>
      <c r="H410" s="169" t="s">
        <v>12</v>
      </c>
      <c r="I410" s="1000"/>
      <c r="J410" s="1000"/>
      <c r="K410" s="1001"/>
      <c r="L410" s="887">
        <f ca="1">IFERROR(__xludf.DUMMYFUNCTION("IMPORTRANGE(""https://docs.google.com/spreadsheets/d/1MeEWN-I1oV_STSDYn1IFDPWt_1FKiwhDph83XaGc0o0/edit?usp=sharing"",""งบพรบ!FT87"")"),0)</f>
        <v>0</v>
      </c>
      <c r="M410" s="887">
        <f ca="1">IFERROR(__xludf.DUMMYFUNCTION("IMPORTRANGE(""https://docs.google.com/spreadsheets/d/1MeEWN-I1oV_STSDYn1IFDPWt_1FKiwhDph83XaGc0o0/edit?usp=sharing"",""งบพรบ!FW87"")"),0)</f>
        <v>0</v>
      </c>
      <c r="N410" s="887">
        <f ca="1">IFERROR(__xludf.DUMMYFUNCTION("IMPORTRANGE(""https://docs.google.com/spreadsheets/d/1MeEWN-I1oV_STSDYn1IFDPWt_1FKiwhDph83XaGc0o0/edit?usp=sharing"",""งบพรบ!FY87"")"),0)</f>
        <v>0</v>
      </c>
      <c r="O410" s="887">
        <f t="shared" ca="1" si="175"/>
        <v>0</v>
      </c>
      <c r="P410" s="887">
        <f t="shared" ca="1" si="176"/>
        <v>0</v>
      </c>
      <c r="Q410" s="875"/>
      <c r="R410" s="875"/>
      <c r="S410" s="875"/>
      <c r="T410" s="875"/>
      <c r="U410" s="875"/>
      <c r="V410" s="875"/>
      <c r="W410" s="875"/>
      <c r="X410" s="875"/>
      <c r="Y410" s="875"/>
      <c r="Z410" s="875"/>
    </row>
    <row r="411" spans="1:26" ht="19.5" hidden="1">
      <c r="A411" s="1002"/>
      <c r="B411" s="1003"/>
      <c r="C411" s="999" t="s">
        <v>16</v>
      </c>
      <c r="D411" s="1264" t="s">
        <v>38</v>
      </c>
      <c r="E411" s="1265"/>
      <c r="F411" s="1265"/>
      <c r="G411" s="1266"/>
      <c r="H411" s="1007"/>
      <c r="I411" s="880"/>
      <c r="J411" s="880"/>
      <c r="K411" s="881"/>
      <c r="L411" s="998"/>
      <c r="M411" s="998"/>
      <c r="N411" s="998"/>
      <c r="O411" s="998"/>
      <c r="P411" s="998"/>
    </row>
    <row r="412" spans="1:26" ht="18.75" hidden="1">
      <c r="A412" s="1002"/>
      <c r="B412" s="1010"/>
      <c r="C412" s="1010"/>
      <c r="D412" s="1009" t="s">
        <v>178</v>
      </c>
      <c r="E412" s="1010"/>
      <c r="F412" s="1010"/>
      <c r="G412" s="1011"/>
      <c r="H412" s="537" t="s">
        <v>66</v>
      </c>
      <c r="I412" s="880">
        <v>0</v>
      </c>
      <c r="J412" s="1012">
        <v>0</v>
      </c>
      <c r="K412" s="881">
        <f t="shared" ref="K412:K413" si="180">IF(I412&gt;0,J412*100/I412,0)</f>
        <v>0</v>
      </c>
      <c r="L412" s="998"/>
      <c r="M412" s="998"/>
      <c r="N412" s="998"/>
      <c r="O412" s="998"/>
      <c r="P412" s="998"/>
    </row>
    <row r="413" spans="1:26" ht="19.5" hidden="1" thickBot="1">
      <c r="A413" s="1267"/>
      <c r="B413" s="1268"/>
      <c r="C413" s="1268"/>
      <c r="D413" s="1269" t="s">
        <v>179</v>
      </c>
      <c r="E413" s="1268"/>
      <c r="F413" s="1268"/>
      <c r="G413" s="1270"/>
      <c r="H413" s="542" t="s">
        <v>180</v>
      </c>
      <c r="I413" s="1271">
        <v>0</v>
      </c>
      <c r="J413" s="1272">
        <v>0</v>
      </c>
      <c r="K413" s="1273">
        <f t="shared" si="180"/>
        <v>0</v>
      </c>
      <c r="L413" s="1274"/>
      <c r="M413" s="1274"/>
      <c r="N413" s="1274"/>
      <c r="O413" s="1274"/>
      <c r="P413" s="1274"/>
    </row>
    <row r="414" spans="1:26" ht="19.5">
      <c r="A414" s="1275" t="s">
        <v>181</v>
      </c>
      <c r="B414" s="1276"/>
      <c r="C414" s="1276"/>
      <c r="D414" s="1276"/>
      <c r="E414" s="1276"/>
      <c r="F414" s="1276"/>
      <c r="G414" s="1277"/>
      <c r="H414" s="1278"/>
      <c r="I414" s="1279"/>
      <c r="J414" s="1279"/>
      <c r="K414" s="1280"/>
      <c r="L414" s="1281">
        <f t="shared" ref="L414:N414" ca="1" si="181">L419+L444+L467+L502+L523+L544+L629+L655+L685+L737+L754+L770+L786+L805</f>
        <v>447086</v>
      </c>
      <c r="M414" s="1281">
        <f t="shared" ca="1" si="181"/>
        <v>447086</v>
      </c>
      <c r="N414" s="1281">
        <f t="shared" si="181"/>
        <v>220924</v>
      </c>
      <c r="O414" s="1281">
        <f ca="1">IF(L414&gt;0,N414*100/L414,0)</f>
        <v>49.414206662700238</v>
      </c>
      <c r="P414" s="1281">
        <f ca="1">IF(M414&gt;0,N414*100/M414,0)</f>
        <v>49.414206662700238</v>
      </c>
    </row>
    <row r="415" spans="1:26" ht="19.5">
      <c r="A415" s="1282" t="s">
        <v>182</v>
      </c>
      <c r="B415" s="1283"/>
      <c r="C415" s="1283"/>
      <c r="D415" s="1283"/>
      <c r="E415" s="1283"/>
      <c r="F415" s="1283"/>
      <c r="G415" s="1283"/>
      <c r="H415" s="1284"/>
      <c r="I415" s="1285"/>
      <c r="J415" s="1285"/>
      <c r="K415" s="1286"/>
      <c r="L415" s="1287"/>
      <c r="M415" s="1287"/>
      <c r="N415" s="1287"/>
      <c r="O415" s="1287"/>
      <c r="P415" s="1287"/>
    </row>
    <row r="416" spans="1:26" ht="19.5">
      <c r="A416" s="1282" t="s">
        <v>183</v>
      </c>
      <c r="B416" s="1283"/>
      <c r="C416" s="1283"/>
      <c r="D416" s="1283"/>
      <c r="E416" s="1283"/>
      <c r="F416" s="1283"/>
      <c r="G416" s="1288"/>
      <c r="H416" s="1289"/>
      <c r="I416" s="1290"/>
      <c r="J416" s="1290"/>
      <c r="K416" s="1287"/>
      <c r="L416" s="1287"/>
      <c r="M416" s="1287"/>
      <c r="N416" s="1287"/>
      <c r="O416" s="1287"/>
      <c r="P416" s="1287"/>
    </row>
    <row r="417" spans="1:26" ht="39">
      <c r="A417" s="563">
        <v>1</v>
      </c>
      <c r="B417" s="1291" t="s">
        <v>184</v>
      </c>
      <c r="C417" s="1291"/>
      <c r="D417" s="1292"/>
      <c r="E417" s="1292"/>
      <c r="F417" s="1292"/>
      <c r="G417" s="1293"/>
      <c r="H417" s="568" t="s">
        <v>35</v>
      </c>
      <c r="I417" s="1294">
        <f t="shared" ref="I417:J418" ca="1" si="182">I433</f>
        <v>15</v>
      </c>
      <c r="J417" s="1294">
        <f t="shared" ca="1" si="182"/>
        <v>15</v>
      </c>
      <c r="K417" s="1295">
        <f t="shared" ref="K417:K418" ca="1" si="183">IF(I417&gt;0,J417*100/I417,0)</f>
        <v>100</v>
      </c>
      <c r="L417" s="1296"/>
      <c r="M417" s="1296"/>
      <c r="N417" s="1296"/>
      <c r="O417" s="1296"/>
      <c r="P417" s="1296"/>
    </row>
    <row r="418" spans="1:26" ht="19.5">
      <c r="A418" s="1297"/>
      <c r="B418" s="563"/>
      <c r="C418" s="1291"/>
      <c r="D418" s="1292"/>
      <c r="E418" s="1292"/>
      <c r="F418" s="1292"/>
      <c r="G418" s="1293"/>
      <c r="H418" s="568" t="s">
        <v>49</v>
      </c>
      <c r="I418" s="1294">
        <f t="shared" ca="1" si="182"/>
        <v>1</v>
      </c>
      <c r="J418" s="1294">
        <f t="shared" si="182"/>
        <v>1</v>
      </c>
      <c r="K418" s="1295">
        <f t="shared" ca="1" si="183"/>
        <v>100</v>
      </c>
      <c r="L418" s="1296"/>
      <c r="M418" s="1296"/>
      <c r="N418" s="1296"/>
      <c r="O418" s="1296"/>
      <c r="P418" s="1296"/>
    </row>
    <row r="419" spans="1:26" ht="19.5">
      <c r="A419" s="985"/>
      <c r="B419" s="986"/>
      <c r="C419" s="986" t="s">
        <v>16</v>
      </c>
      <c r="D419" s="1298" t="s">
        <v>17</v>
      </c>
      <c r="E419" s="846"/>
      <c r="F419" s="846"/>
      <c r="G419" s="989"/>
      <c r="H419" s="275" t="s">
        <v>12</v>
      </c>
      <c r="I419" s="990"/>
      <c r="J419" s="990"/>
      <c r="K419" s="991"/>
      <c r="L419" s="992">
        <f t="shared" ref="L419:N419" ca="1" si="184">L420+L421</f>
        <v>66560</v>
      </c>
      <c r="M419" s="992">
        <f t="shared" ca="1" si="184"/>
        <v>66560</v>
      </c>
      <c r="N419" s="992">
        <f t="shared" si="184"/>
        <v>56574</v>
      </c>
      <c r="O419" s="992">
        <f t="shared" ref="O419:O424" ca="1" si="185">IF(L419&gt;0,N419*100/L419,0)</f>
        <v>84.996995192307693</v>
      </c>
      <c r="P419" s="992">
        <f t="shared" ref="P419:P424" ca="1" si="186">IF(M419&gt;0,N419*100/M419,0)</f>
        <v>84.996995192307693</v>
      </c>
      <c r="Q419" s="868"/>
      <c r="R419" s="868"/>
      <c r="S419" s="868"/>
      <c r="T419" s="868"/>
      <c r="U419" s="868"/>
      <c r="V419" s="868"/>
      <c r="W419" s="868"/>
      <c r="X419" s="868"/>
      <c r="Y419" s="868"/>
      <c r="Z419" s="868"/>
    </row>
    <row r="420" spans="1:26" ht="18.75" hidden="1">
      <c r="A420" s="993"/>
      <c r="B420" s="883"/>
      <c r="C420" s="883"/>
      <c r="D420" s="1114"/>
      <c r="E420" s="884" t="s">
        <v>185</v>
      </c>
      <c r="F420" s="883"/>
      <c r="G420" s="994"/>
      <c r="H420" s="165" t="s">
        <v>12</v>
      </c>
      <c r="I420" s="886"/>
      <c r="J420" s="886"/>
      <c r="K420" s="887"/>
      <c r="L420" s="887">
        <f t="shared" ref="L420:N421" si="187">L423+L430</f>
        <v>0</v>
      </c>
      <c r="M420" s="887">
        <f t="shared" si="187"/>
        <v>0</v>
      </c>
      <c r="N420" s="887">
        <f t="shared" si="187"/>
        <v>0</v>
      </c>
      <c r="O420" s="887">
        <f t="shared" si="185"/>
        <v>0</v>
      </c>
      <c r="P420" s="887">
        <f t="shared" si="186"/>
        <v>0</v>
      </c>
      <c r="Q420" s="875"/>
      <c r="R420" s="875"/>
      <c r="S420" s="875"/>
      <c r="T420" s="875"/>
      <c r="U420" s="875"/>
      <c r="V420" s="875"/>
      <c r="W420" s="875"/>
      <c r="X420" s="875"/>
      <c r="Y420" s="875"/>
      <c r="Z420" s="875"/>
    </row>
    <row r="421" spans="1:26" ht="18.75" hidden="1">
      <c r="A421" s="993"/>
      <c r="B421" s="883"/>
      <c r="C421" s="883"/>
      <c r="D421" s="1114"/>
      <c r="E421" s="884" t="s">
        <v>186</v>
      </c>
      <c r="F421" s="883"/>
      <c r="G421" s="994"/>
      <c r="H421" s="165" t="s">
        <v>12</v>
      </c>
      <c r="I421" s="886"/>
      <c r="J421" s="886"/>
      <c r="K421" s="887"/>
      <c r="L421" s="887">
        <f t="shared" ca="1" si="187"/>
        <v>66560</v>
      </c>
      <c r="M421" s="887">
        <f t="shared" ca="1" si="187"/>
        <v>66560</v>
      </c>
      <c r="N421" s="887">
        <f t="shared" si="187"/>
        <v>56574</v>
      </c>
      <c r="O421" s="887">
        <f t="shared" ca="1" si="185"/>
        <v>84.996995192307693</v>
      </c>
      <c r="P421" s="887">
        <f t="shared" ca="1" si="186"/>
        <v>84.996995192307693</v>
      </c>
      <c r="Q421" s="875"/>
      <c r="R421" s="875"/>
      <c r="S421" s="875"/>
      <c r="T421" s="875"/>
      <c r="U421" s="875"/>
      <c r="V421" s="875"/>
      <c r="W421" s="875"/>
      <c r="X421" s="875"/>
      <c r="Y421" s="875"/>
      <c r="Z421" s="875"/>
    </row>
    <row r="422" spans="1:26" ht="18.75">
      <c r="A422" s="995"/>
      <c r="B422" s="1084"/>
      <c r="C422" s="877"/>
      <c r="D422" s="878" t="s">
        <v>20</v>
      </c>
      <c r="E422" s="877"/>
      <c r="F422" s="877"/>
      <c r="G422" s="879"/>
      <c r="H422" s="161" t="s">
        <v>12</v>
      </c>
      <c r="I422" s="997"/>
      <c r="J422" s="997"/>
      <c r="K422" s="998"/>
      <c r="L422" s="881">
        <f t="shared" ref="L422:N422" ca="1" si="188">L423+L424</f>
        <v>66560</v>
      </c>
      <c r="M422" s="881">
        <f t="shared" ca="1" si="188"/>
        <v>66560</v>
      </c>
      <c r="N422" s="881">
        <f t="shared" si="188"/>
        <v>56574</v>
      </c>
      <c r="O422" s="881">
        <f t="shared" ca="1" si="185"/>
        <v>84.996995192307693</v>
      </c>
      <c r="P422" s="881">
        <f t="shared" ca="1" si="186"/>
        <v>84.996995192307693</v>
      </c>
      <c r="Q422" s="868"/>
      <c r="R422" s="868"/>
      <c r="S422" s="868"/>
      <c r="T422" s="868"/>
      <c r="U422" s="868"/>
      <c r="V422" s="868"/>
      <c r="W422" s="868"/>
      <c r="X422" s="868"/>
      <c r="Y422" s="868"/>
      <c r="Z422" s="868"/>
    </row>
    <row r="423" spans="1:26" ht="18.75" hidden="1">
      <c r="A423" s="993"/>
      <c r="B423" s="883"/>
      <c r="C423" s="883"/>
      <c r="D423" s="1114"/>
      <c r="E423" s="884" t="s">
        <v>185</v>
      </c>
      <c r="F423" s="883"/>
      <c r="G423" s="994"/>
      <c r="H423" s="165" t="s">
        <v>12</v>
      </c>
      <c r="I423" s="886"/>
      <c r="J423" s="886"/>
      <c r="K423" s="887"/>
      <c r="L423" s="887">
        <v>0</v>
      </c>
      <c r="M423" s="887">
        <v>0</v>
      </c>
      <c r="N423" s="887">
        <v>0</v>
      </c>
      <c r="O423" s="887">
        <f t="shared" si="185"/>
        <v>0</v>
      </c>
      <c r="P423" s="887">
        <f t="shared" si="186"/>
        <v>0</v>
      </c>
      <c r="Q423" s="875"/>
      <c r="R423" s="875"/>
      <c r="S423" s="875"/>
      <c r="T423" s="875"/>
      <c r="U423" s="875"/>
      <c r="V423" s="875"/>
      <c r="W423" s="875"/>
      <c r="X423" s="875"/>
      <c r="Y423" s="875"/>
      <c r="Z423" s="875"/>
    </row>
    <row r="424" spans="1:26" ht="18.75" hidden="1">
      <c r="A424" s="993"/>
      <c r="B424" s="883"/>
      <c r="C424" s="883"/>
      <c r="D424" s="1114"/>
      <c r="E424" s="884" t="s">
        <v>186</v>
      </c>
      <c r="F424" s="883"/>
      <c r="G424" s="994"/>
      <c r="H424" s="165" t="s">
        <v>12</v>
      </c>
      <c r="I424" s="886"/>
      <c r="J424" s="886"/>
      <c r="K424" s="887"/>
      <c r="L424" s="887">
        <f ca="1">IFERROR(__xludf.DUMMYFUNCTION("IMPORTRANGE(""https://docs.google.com/spreadsheets/d/1QqKyyYR6Q21VydFLVH3TRQUabQu_ym0Zz7PgGX0-kHA/edit?usp=sharing"",""แผน!EY87"")"),66560)</f>
        <v>66560</v>
      </c>
      <c r="M424" s="887">
        <f ca="1">L424</f>
        <v>66560</v>
      </c>
      <c r="N424" s="887">
        <f>N425+N426+N427+N428</f>
        <v>56574</v>
      </c>
      <c r="O424" s="887">
        <f t="shared" ca="1" si="185"/>
        <v>84.996995192307693</v>
      </c>
      <c r="P424" s="887">
        <f t="shared" ca="1" si="186"/>
        <v>84.996995192307693</v>
      </c>
      <c r="Q424" s="875"/>
      <c r="R424" s="875"/>
      <c r="S424" s="875"/>
      <c r="T424" s="875"/>
      <c r="U424" s="875"/>
      <c r="V424" s="875"/>
      <c r="W424" s="875"/>
      <c r="X424" s="875"/>
      <c r="Y424" s="875"/>
      <c r="Z424" s="875"/>
    </row>
    <row r="425" spans="1:26" ht="18.75">
      <c r="A425" s="1299"/>
      <c r="B425" s="1300"/>
      <c r="C425" s="1301"/>
      <c r="D425" s="1301"/>
      <c r="E425" s="1301"/>
      <c r="F425" s="1301" t="s">
        <v>187</v>
      </c>
      <c r="G425" s="1016"/>
      <c r="H425" s="161" t="s">
        <v>12</v>
      </c>
      <c r="I425" s="880"/>
      <c r="J425" s="880"/>
      <c r="K425" s="881"/>
      <c r="L425" s="881"/>
      <c r="M425" s="881"/>
      <c r="N425" s="1085">
        <v>36300</v>
      </c>
      <c r="O425" s="881"/>
      <c r="P425" s="881"/>
      <c r="Q425" s="1302"/>
      <c r="R425" s="1302"/>
      <c r="S425" s="1302"/>
      <c r="T425" s="1302"/>
      <c r="U425" s="1302"/>
      <c r="V425" s="1302"/>
      <c r="W425" s="1302"/>
      <c r="X425" s="1302"/>
      <c r="Y425" s="1302"/>
      <c r="Z425" s="1302"/>
    </row>
    <row r="426" spans="1:26" ht="18.75">
      <c r="A426" s="1299"/>
      <c r="B426" s="1300"/>
      <c r="C426" s="1301"/>
      <c r="D426" s="1301"/>
      <c r="E426" s="1301"/>
      <c r="F426" s="1301" t="s">
        <v>188</v>
      </c>
      <c r="G426" s="1016"/>
      <c r="H426" s="161" t="s">
        <v>12</v>
      </c>
      <c r="I426" s="880"/>
      <c r="J426" s="880"/>
      <c r="K426" s="881"/>
      <c r="L426" s="881"/>
      <c r="M426" s="881"/>
      <c r="N426" s="1085">
        <v>0</v>
      </c>
      <c r="O426" s="881"/>
      <c r="P426" s="881"/>
      <c r="Q426" s="1302"/>
      <c r="R426" s="1302"/>
      <c r="S426" s="1302"/>
      <c r="T426" s="1302"/>
      <c r="U426" s="1302"/>
      <c r="V426" s="1302"/>
      <c r="W426" s="1302"/>
      <c r="X426" s="1302"/>
      <c r="Y426" s="1302"/>
      <c r="Z426" s="1302"/>
    </row>
    <row r="427" spans="1:26" ht="18.75">
      <c r="A427" s="1299"/>
      <c r="B427" s="1300"/>
      <c r="C427" s="1301"/>
      <c r="D427" s="1301"/>
      <c r="E427" s="1301"/>
      <c r="F427" s="1301" t="s">
        <v>189</v>
      </c>
      <c r="G427" s="1016"/>
      <c r="H427" s="161" t="s">
        <v>12</v>
      </c>
      <c r="I427" s="880"/>
      <c r="J427" s="880"/>
      <c r="K427" s="881"/>
      <c r="L427" s="881"/>
      <c r="M427" s="881"/>
      <c r="N427" s="1085">
        <v>0</v>
      </c>
      <c r="O427" s="881"/>
      <c r="P427" s="881"/>
      <c r="Q427" s="1302"/>
      <c r="R427" s="1302"/>
      <c r="S427" s="1302"/>
      <c r="T427" s="1302"/>
      <c r="U427" s="1302"/>
      <c r="V427" s="1302"/>
      <c r="W427" s="1302"/>
      <c r="X427" s="1302"/>
      <c r="Y427" s="1302"/>
      <c r="Z427" s="1302"/>
    </row>
    <row r="428" spans="1:26" ht="18.75">
      <c r="A428" s="1086"/>
      <c r="B428" s="1084"/>
      <c r="C428" s="877"/>
      <c r="D428" s="877"/>
      <c r="E428" s="877"/>
      <c r="F428" s="996" t="s">
        <v>190</v>
      </c>
      <c r="G428" s="1030"/>
      <c r="H428" s="161" t="s">
        <v>12</v>
      </c>
      <c r="I428" s="880"/>
      <c r="J428" s="880"/>
      <c r="K428" s="881"/>
      <c r="L428" s="881"/>
      <c r="M428" s="881"/>
      <c r="N428" s="1085">
        <v>20274</v>
      </c>
      <c r="O428" s="881"/>
      <c r="P428" s="881"/>
      <c r="Q428" s="868"/>
      <c r="R428" s="868"/>
      <c r="S428" s="868"/>
      <c r="T428" s="868"/>
      <c r="U428" s="868"/>
      <c r="V428" s="868"/>
      <c r="W428" s="868"/>
      <c r="X428" s="868"/>
      <c r="Y428" s="868"/>
      <c r="Z428" s="868"/>
    </row>
    <row r="429" spans="1:26" ht="18.75">
      <c r="A429" s="995"/>
      <c r="B429" s="1084"/>
      <c r="C429" s="877"/>
      <c r="D429" s="878" t="s">
        <v>21</v>
      </c>
      <c r="E429" s="877"/>
      <c r="F429" s="877"/>
      <c r="G429" s="879"/>
      <c r="H429" s="168" t="s">
        <v>12</v>
      </c>
      <c r="I429" s="997"/>
      <c r="J429" s="997"/>
      <c r="K429" s="998"/>
      <c r="L429" s="881">
        <f t="shared" ref="L429:N429" ca="1" si="189">L430+L431</f>
        <v>0</v>
      </c>
      <c r="M429" s="881">
        <f t="shared" si="189"/>
        <v>0</v>
      </c>
      <c r="N429" s="881">
        <f t="shared" si="189"/>
        <v>0</v>
      </c>
      <c r="O429" s="881">
        <f t="shared" ref="O429:O431" ca="1" si="190">IF(L429&gt;0,N429*100/L429,0)</f>
        <v>0</v>
      </c>
      <c r="P429" s="881">
        <f t="shared" ref="P429:P431" si="191">IF(M429&gt;0,N429*100/M429,0)</f>
        <v>0</v>
      </c>
      <c r="Q429" s="868"/>
      <c r="R429" s="868"/>
      <c r="S429" s="868"/>
      <c r="T429" s="868"/>
      <c r="U429" s="868"/>
      <c r="V429" s="868"/>
      <c r="W429" s="868"/>
      <c r="X429" s="868"/>
      <c r="Y429" s="868"/>
      <c r="Z429" s="868"/>
    </row>
    <row r="430" spans="1:26" ht="18.75" hidden="1">
      <c r="A430" s="993"/>
      <c r="B430" s="1105"/>
      <c r="C430" s="883"/>
      <c r="D430" s="883"/>
      <c r="E430" s="884" t="s">
        <v>18</v>
      </c>
      <c r="F430" s="883"/>
      <c r="G430" s="885"/>
      <c r="H430" s="165" t="s">
        <v>12</v>
      </c>
      <c r="I430" s="1000"/>
      <c r="J430" s="1000"/>
      <c r="K430" s="1001"/>
      <c r="L430" s="887">
        <v>0</v>
      </c>
      <c r="M430" s="887">
        <v>0</v>
      </c>
      <c r="N430" s="887">
        <v>0</v>
      </c>
      <c r="O430" s="887">
        <f t="shared" si="190"/>
        <v>0</v>
      </c>
      <c r="P430" s="887">
        <f t="shared" si="191"/>
        <v>0</v>
      </c>
      <c r="Q430" s="875"/>
      <c r="R430" s="875"/>
      <c r="S430" s="875"/>
      <c r="T430" s="875"/>
      <c r="U430" s="875"/>
      <c r="V430" s="875"/>
      <c r="W430" s="875"/>
      <c r="X430" s="875"/>
      <c r="Y430" s="875"/>
      <c r="Z430" s="875"/>
    </row>
    <row r="431" spans="1:26" ht="18.75" hidden="1">
      <c r="A431" s="993"/>
      <c r="B431" s="1105"/>
      <c r="C431" s="883"/>
      <c r="D431" s="883"/>
      <c r="E431" s="884" t="s">
        <v>19</v>
      </c>
      <c r="F431" s="883"/>
      <c r="G431" s="885"/>
      <c r="H431" s="169" t="s">
        <v>12</v>
      </c>
      <c r="I431" s="1000"/>
      <c r="J431" s="1000"/>
      <c r="K431" s="1001"/>
      <c r="L431" s="887">
        <f ca="1">IFERROR(__xludf.DUMMYFUNCTION("IMPORTRANGE(""https://docs.google.com/spreadsheets/d/1QqKyyYR6Q21VydFLVH3TRQUabQu_ym0Zz7PgGX0-kHA/edit?usp=sharing"",""แผน!FB87"")"),0)</f>
        <v>0</v>
      </c>
      <c r="M431" s="887">
        <v>0</v>
      </c>
      <c r="N431" s="887">
        <v>0</v>
      </c>
      <c r="O431" s="887">
        <f t="shared" ca="1" si="190"/>
        <v>0</v>
      </c>
      <c r="P431" s="887">
        <f t="shared" si="191"/>
        <v>0</v>
      </c>
      <c r="Q431" s="875"/>
      <c r="R431" s="875"/>
      <c r="S431" s="875"/>
      <c r="T431" s="875"/>
      <c r="U431" s="875"/>
      <c r="V431" s="875"/>
      <c r="W431" s="875"/>
      <c r="X431" s="875"/>
      <c r="Y431" s="875"/>
      <c r="Z431" s="875"/>
    </row>
    <row r="432" spans="1:26" ht="19.5">
      <c r="A432" s="1165"/>
      <c r="B432" s="1166"/>
      <c r="C432" s="986" t="s">
        <v>16</v>
      </c>
      <c r="D432" s="1303" t="s">
        <v>38</v>
      </c>
      <c r="E432" s="1304"/>
      <c r="F432" s="1304"/>
      <c r="G432" s="1305"/>
      <c r="H432" s="1306"/>
      <c r="I432" s="990"/>
      <c r="J432" s="990"/>
      <c r="K432" s="991"/>
      <c r="L432" s="991"/>
      <c r="M432" s="991"/>
      <c r="N432" s="991"/>
      <c r="O432" s="991"/>
      <c r="P432" s="991"/>
      <c r="Q432" s="868"/>
      <c r="R432" s="868"/>
      <c r="S432" s="868"/>
      <c r="T432" s="868"/>
      <c r="U432" s="868"/>
      <c r="V432" s="868"/>
      <c r="W432" s="868"/>
      <c r="X432" s="868"/>
      <c r="Y432" s="868"/>
      <c r="Z432" s="868"/>
    </row>
    <row r="433" spans="1:26" ht="19.5">
      <c r="A433" s="1002"/>
      <c r="B433" s="1003"/>
      <c r="C433" s="1003"/>
      <c r="D433" s="1013" t="s">
        <v>191</v>
      </c>
      <c r="E433" s="1010"/>
      <c r="F433" s="1010"/>
      <c r="G433" s="1011"/>
      <c r="H433" s="196" t="s">
        <v>35</v>
      </c>
      <c r="I433" s="1019">
        <f ca="1">I435</f>
        <v>15</v>
      </c>
      <c r="J433" s="1019">
        <f ca="1">IF(AND(J435=I435,J437=I437,J439=I439),I437+I439,IF(AND(J435=I437,J437=I437),I437,IF(AND(J435=I439,J439=I439),I439,0)))</f>
        <v>15</v>
      </c>
      <c r="K433" s="1020">
        <f t="shared" ref="K433:K435" ca="1" si="192">IF(I433&gt;0,J433*100/I433,0)</f>
        <v>100</v>
      </c>
      <c r="L433" s="881"/>
      <c r="M433" s="881"/>
      <c r="N433" s="881"/>
      <c r="O433" s="881"/>
      <c r="P433" s="881"/>
      <c r="Q433" s="868"/>
      <c r="R433" s="868"/>
      <c r="S433" s="868"/>
      <c r="T433" s="868"/>
      <c r="U433" s="868"/>
      <c r="V433" s="868"/>
      <c r="W433" s="868"/>
      <c r="X433" s="868"/>
      <c r="Y433" s="868"/>
      <c r="Z433" s="868"/>
    </row>
    <row r="434" spans="1:26" ht="19.5">
      <c r="A434" s="1002"/>
      <c r="B434" s="1003"/>
      <c r="C434" s="1003"/>
      <c r="D434" s="1013" t="s">
        <v>192</v>
      </c>
      <c r="E434" s="1010"/>
      <c r="F434" s="1010"/>
      <c r="G434" s="1011"/>
      <c r="H434" s="196" t="s">
        <v>49</v>
      </c>
      <c r="I434" s="1019">
        <f t="shared" ref="I434:J434" ca="1" si="193">I438+I440</f>
        <v>1</v>
      </c>
      <c r="J434" s="1019">
        <f t="shared" si="193"/>
        <v>1</v>
      </c>
      <c r="K434" s="1020">
        <f t="shared" ca="1" si="192"/>
        <v>100</v>
      </c>
      <c r="L434" s="881"/>
      <c r="M434" s="881"/>
      <c r="N434" s="881"/>
      <c r="O434" s="881"/>
      <c r="P434" s="881"/>
      <c r="Q434" s="868"/>
      <c r="R434" s="868"/>
      <c r="S434" s="868"/>
      <c r="T434" s="868"/>
      <c r="U434" s="868"/>
      <c r="V434" s="868"/>
      <c r="W434" s="868"/>
      <c r="X434" s="868"/>
      <c r="Y434" s="868"/>
      <c r="Z434" s="868"/>
    </row>
    <row r="435" spans="1:26" ht="18.75">
      <c r="A435" s="1002"/>
      <c r="B435" s="1003"/>
      <c r="C435" s="1003"/>
      <c r="D435" s="1009" t="s">
        <v>193</v>
      </c>
      <c r="E435" s="1010"/>
      <c r="F435" s="1010"/>
      <c r="G435" s="1011"/>
      <c r="H435" s="622" t="s">
        <v>35</v>
      </c>
      <c r="I435" s="582">
        <f ca="1">IFERROR(__xludf.DUMMYFUNCTION("IMPORTRANGE(""https://docs.google.com/spreadsheets/d/1QqKyyYR6Q21VydFLVH3TRQUabQu_ym0Zz7PgGX0-kHA/edit?usp=sharing"",""แผน!FC87"")"),15)</f>
        <v>15</v>
      </c>
      <c r="J435" s="583">
        <v>15</v>
      </c>
      <c r="K435" s="881">
        <f t="shared" ca="1" si="192"/>
        <v>100</v>
      </c>
      <c r="L435" s="881"/>
      <c r="M435" s="881"/>
      <c r="N435" s="881"/>
      <c r="O435" s="881"/>
      <c r="P435" s="881"/>
      <c r="Q435" s="868"/>
      <c r="R435" s="868"/>
      <c r="S435" s="868"/>
      <c r="T435" s="868"/>
      <c r="U435" s="868"/>
      <c r="V435" s="868"/>
      <c r="W435" s="868"/>
      <c r="X435" s="868"/>
      <c r="Y435" s="868"/>
      <c r="Z435" s="868"/>
    </row>
    <row r="436" spans="1:26" ht="18.75">
      <c r="A436" s="1002"/>
      <c r="B436" s="1003"/>
      <c r="C436" s="1003"/>
      <c r="D436" s="1009" t="s">
        <v>194</v>
      </c>
      <c r="E436" s="1010"/>
      <c r="F436" s="1010"/>
      <c r="G436" s="1011"/>
      <c r="H436" s="622"/>
      <c r="I436" s="880"/>
      <c r="J436" s="880"/>
      <c r="K436" s="881"/>
      <c r="L436" s="881"/>
      <c r="M436" s="881"/>
      <c r="N436" s="881"/>
      <c r="O436" s="881"/>
      <c r="P436" s="881"/>
      <c r="Q436" s="868"/>
      <c r="R436" s="868"/>
      <c r="S436" s="868"/>
      <c r="T436" s="868"/>
      <c r="U436" s="868"/>
      <c r="V436" s="868"/>
      <c r="W436" s="868"/>
      <c r="X436" s="868"/>
      <c r="Y436" s="868"/>
      <c r="Z436" s="868"/>
    </row>
    <row r="437" spans="1:26" ht="18.75">
      <c r="A437" s="1002"/>
      <c r="B437" s="1003"/>
      <c r="C437" s="1003"/>
      <c r="D437" s="1009" t="s">
        <v>195</v>
      </c>
      <c r="E437" s="1010"/>
      <c r="F437" s="1010"/>
      <c r="G437" s="1011"/>
      <c r="H437" s="622" t="s">
        <v>35</v>
      </c>
      <c r="I437" s="582">
        <f ca="1">IFERROR(__xludf.DUMMYFUNCTION("IMPORTRANGE(""https://docs.google.com/spreadsheets/d/1QqKyyYR6Q21VydFLVH3TRQUabQu_ym0Zz7PgGX0-kHA/edit?usp=sharing"",""แผน!FD87"")"),0)</f>
        <v>0</v>
      </c>
      <c r="J437" s="583">
        <v>0</v>
      </c>
      <c r="K437" s="881">
        <f t="shared" ref="K437:K443" ca="1" si="194">IF(I437&gt;0,J437*100/I437,0)</f>
        <v>0</v>
      </c>
      <c r="L437" s="881"/>
      <c r="M437" s="881"/>
      <c r="N437" s="881"/>
      <c r="O437" s="881"/>
      <c r="P437" s="881"/>
      <c r="Q437" s="868"/>
      <c r="R437" s="868"/>
      <c r="S437" s="868"/>
      <c r="T437" s="868"/>
      <c r="U437" s="868"/>
      <c r="V437" s="868"/>
      <c r="W437" s="868"/>
      <c r="X437" s="868"/>
      <c r="Y437" s="868"/>
      <c r="Z437" s="868"/>
    </row>
    <row r="438" spans="1:26" ht="18.75">
      <c r="A438" s="1002"/>
      <c r="B438" s="1003"/>
      <c r="C438" s="1003"/>
      <c r="D438" s="1009" t="s">
        <v>196</v>
      </c>
      <c r="E438" s="1010"/>
      <c r="F438" s="1010"/>
      <c r="G438" s="1011"/>
      <c r="H438" s="622" t="s">
        <v>49</v>
      </c>
      <c r="I438" s="880">
        <f ca="1">IFERROR(__xludf.DUMMYFUNCTION("IMPORTRANGE(""https://docs.google.com/spreadsheets/d/1QqKyyYR6Q21VydFLVH3TRQUabQu_ym0Zz7PgGX0-kHA/edit?usp=sharing"",""แผน!FE87"")"),0)</f>
        <v>0</v>
      </c>
      <c r="J438" s="1012">
        <v>0</v>
      </c>
      <c r="K438" s="881">
        <f t="shared" ca="1" si="194"/>
        <v>0</v>
      </c>
      <c r="L438" s="881"/>
      <c r="M438" s="881"/>
      <c r="N438" s="881"/>
      <c r="O438" s="881"/>
      <c r="P438" s="881"/>
      <c r="Q438" s="868"/>
      <c r="R438" s="868"/>
      <c r="S438" s="868"/>
      <c r="T438" s="868"/>
      <c r="U438" s="868"/>
      <c r="V438" s="868"/>
      <c r="W438" s="868"/>
      <c r="X438" s="868"/>
      <c r="Y438" s="868"/>
      <c r="Z438" s="868"/>
    </row>
    <row r="439" spans="1:26" ht="18.75">
      <c r="A439" s="1002"/>
      <c r="B439" s="1003"/>
      <c r="C439" s="1003"/>
      <c r="D439" s="1009" t="s">
        <v>197</v>
      </c>
      <c r="E439" s="1010"/>
      <c r="F439" s="1010"/>
      <c r="G439" s="1011"/>
      <c r="H439" s="622" t="s">
        <v>35</v>
      </c>
      <c r="I439" s="582">
        <f ca="1">IFERROR(__xludf.DUMMYFUNCTION("IMPORTRANGE(""https://docs.google.com/spreadsheets/d/1QqKyyYR6Q21VydFLVH3TRQUabQu_ym0Zz7PgGX0-kHA/edit?usp=sharing"",""แผน!FF87"")"),15)</f>
        <v>15</v>
      </c>
      <c r="J439" s="583">
        <v>15</v>
      </c>
      <c r="K439" s="881">
        <f t="shared" ca="1" si="194"/>
        <v>100</v>
      </c>
      <c r="L439" s="881"/>
      <c r="M439" s="881"/>
      <c r="N439" s="881"/>
      <c r="O439" s="881"/>
      <c r="P439" s="881"/>
      <c r="Q439" s="868"/>
      <c r="R439" s="868"/>
      <c r="S439" s="868"/>
      <c r="T439" s="868"/>
      <c r="U439" s="868"/>
      <c r="V439" s="868"/>
      <c r="W439" s="868"/>
      <c r="X439" s="868"/>
      <c r="Y439" s="868"/>
      <c r="Z439" s="868"/>
    </row>
    <row r="440" spans="1:26" ht="18.75">
      <c r="A440" s="1002"/>
      <c r="B440" s="1003"/>
      <c r="C440" s="1003"/>
      <c r="D440" s="1009" t="s">
        <v>198</v>
      </c>
      <c r="E440" s="1010"/>
      <c r="F440" s="1010"/>
      <c r="G440" s="1011"/>
      <c r="H440" s="622" t="s">
        <v>49</v>
      </c>
      <c r="I440" s="880">
        <f ca="1">IFERROR(__xludf.DUMMYFUNCTION("IMPORTRANGE(""https://docs.google.com/spreadsheets/d/1QqKyyYR6Q21VydFLVH3TRQUabQu_ym0Zz7PgGX0-kHA/edit?usp=sharing"",""แผน!FG87"")"),1)</f>
        <v>1</v>
      </c>
      <c r="J440" s="1012">
        <v>1</v>
      </c>
      <c r="K440" s="881">
        <f t="shared" ca="1" si="194"/>
        <v>100</v>
      </c>
      <c r="L440" s="881"/>
      <c r="M440" s="881"/>
      <c r="N440" s="881"/>
      <c r="O440" s="881"/>
      <c r="P440" s="881"/>
      <c r="Q440" s="868"/>
      <c r="R440" s="868"/>
      <c r="S440" s="868"/>
      <c r="T440" s="868"/>
      <c r="U440" s="868"/>
      <c r="V440" s="868"/>
      <c r="W440" s="868"/>
      <c r="X440" s="868"/>
      <c r="Y440" s="868"/>
      <c r="Z440" s="868"/>
    </row>
    <row r="441" spans="1:26" ht="18.75">
      <c r="A441" s="1002"/>
      <c r="B441" s="1003"/>
      <c r="C441" s="1003"/>
      <c r="D441" s="1009" t="s">
        <v>199</v>
      </c>
      <c r="E441" s="1010"/>
      <c r="F441" s="1010"/>
      <c r="G441" s="1011"/>
      <c r="H441" s="622" t="s">
        <v>35</v>
      </c>
      <c r="I441" s="880">
        <f ca="1">IFERROR(__xludf.DUMMYFUNCTION("IMPORTRANGE(""https://docs.google.com/spreadsheets/d/1QqKyyYR6Q21VydFLVH3TRQUabQu_ym0Zz7PgGX0-kHA/edit?usp=sharing"",""แผน!FH87"")"),0)</f>
        <v>0</v>
      </c>
      <c r="J441" s="880">
        <v>0</v>
      </c>
      <c r="K441" s="881">
        <f t="shared" ca="1" si="194"/>
        <v>0</v>
      </c>
      <c r="L441" s="881"/>
      <c r="M441" s="881"/>
      <c r="N441" s="881"/>
      <c r="O441" s="881"/>
      <c r="P441" s="881"/>
      <c r="Q441" s="868"/>
      <c r="R441" s="868"/>
      <c r="S441" s="868"/>
      <c r="T441" s="868"/>
      <c r="U441" s="868"/>
      <c r="V441" s="868"/>
      <c r="W441" s="868"/>
      <c r="X441" s="868"/>
      <c r="Y441" s="868"/>
      <c r="Z441" s="868"/>
    </row>
    <row r="442" spans="1:26" ht="19.5" hidden="1">
      <c r="A442" s="584">
        <v>2</v>
      </c>
      <c r="B442" s="1307" t="s">
        <v>200</v>
      </c>
      <c r="C442" s="1308"/>
      <c r="D442" s="1308"/>
      <c r="E442" s="1308"/>
      <c r="F442" s="1308"/>
      <c r="G442" s="1309"/>
      <c r="H442" s="588" t="s">
        <v>35</v>
      </c>
      <c r="I442" s="1310">
        <f t="shared" ref="I442:J442" ca="1" si="195">I460</f>
        <v>0</v>
      </c>
      <c r="J442" s="1310">
        <f t="shared" si="195"/>
        <v>0</v>
      </c>
      <c r="K442" s="1311">
        <f t="shared" ca="1" si="194"/>
        <v>0</v>
      </c>
      <c r="L442" s="1312"/>
      <c r="M442" s="1312"/>
      <c r="N442" s="1312"/>
      <c r="O442" s="1312"/>
      <c r="P442" s="1312"/>
      <c r="Q442" s="1302"/>
      <c r="R442" s="1302"/>
      <c r="S442" s="1302"/>
      <c r="T442" s="1302"/>
      <c r="U442" s="1302"/>
      <c r="V442" s="1302"/>
      <c r="W442" s="1302"/>
      <c r="X442" s="1302"/>
      <c r="Y442" s="1302"/>
      <c r="Z442" s="1302"/>
    </row>
    <row r="443" spans="1:26" ht="19.5" hidden="1">
      <c r="A443" s="1313"/>
      <c r="B443" s="1314"/>
      <c r="C443" s="1315"/>
      <c r="D443" s="1315"/>
      <c r="E443" s="1315"/>
      <c r="F443" s="1315"/>
      <c r="G443" s="1316"/>
      <c r="H443" s="568" t="s">
        <v>46</v>
      </c>
      <c r="I443" s="1294">
        <f t="shared" ref="I443:J443" ca="1" si="196">I462</f>
        <v>0</v>
      </c>
      <c r="J443" s="1294">
        <f t="shared" si="196"/>
        <v>0</v>
      </c>
      <c r="K443" s="1295">
        <f t="shared" ca="1" si="194"/>
        <v>0</v>
      </c>
      <c r="L443" s="1296"/>
      <c r="M443" s="1296"/>
      <c r="N443" s="1296"/>
      <c r="O443" s="1296"/>
      <c r="P443" s="1296"/>
      <c r="Q443" s="1302"/>
      <c r="R443" s="1302"/>
      <c r="S443" s="1302"/>
      <c r="T443" s="1302"/>
      <c r="U443" s="1302"/>
      <c r="V443" s="1302"/>
      <c r="W443" s="1302"/>
      <c r="X443" s="1302"/>
      <c r="Y443" s="1302"/>
      <c r="Z443" s="1302"/>
    </row>
    <row r="444" spans="1:26" ht="19.5" hidden="1">
      <c r="A444" s="1317"/>
      <c r="B444" s="1301"/>
      <c r="C444" s="1301" t="s">
        <v>16</v>
      </c>
      <c r="D444" s="1318" t="s">
        <v>17</v>
      </c>
      <c r="E444" s="841"/>
      <c r="F444" s="841"/>
      <c r="G444" s="1016"/>
      <c r="H444" s="597" t="s">
        <v>12</v>
      </c>
      <c r="I444" s="880"/>
      <c r="J444" s="880"/>
      <c r="K444" s="881"/>
      <c r="L444" s="1020">
        <f t="shared" ref="L444:N444" ca="1" si="197">L445+L446</f>
        <v>0</v>
      </c>
      <c r="M444" s="1020">
        <f t="shared" si="197"/>
        <v>0</v>
      </c>
      <c r="N444" s="1020">
        <f t="shared" si="197"/>
        <v>0</v>
      </c>
      <c r="O444" s="1020">
        <f t="shared" ref="O444:O449" ca="1" si="198">IF(L444&gt;0,N444*100/L444,0)</f>
        <v>0</v>
      </c>
      <c r="P444" s="1020">
        <f t="shared" ref="P444:P449" si="199">IF(M444&gt;0,N444*100/M444,0)</f>
        <v>0</v>
      </c>
      <c r="Q444" s="1302"/>
      <c r="R444" s="1302"/>
      <c r="S444" s="1302"/>
      <c r="T444" s="1302"/>
      <c r="U444" s="1302"/>
      <c r="V444" s="1302"/>
      <c r="W444" s="1302"/>
      <c r="X444" s="1302"/>
      <c r="Y444" s="1302"/>
      <c r="Z444" s="1302"/>
    </row>
    <row r="445" spans="1:26" ht="18.75" hidden="1">
      <c r="A445" s="1319"/>
      <c r="B445" s="1320"/>
      <c r="C445" s="1320"/>
      <c r="D445" s="1321"/>
      <c r="E445" s="1320" t="s">
        <v>185</v>
      </c>
      <c r="F445" s="1320"/>
      <c r="G445" s="1322"/>
      <c r="H445" s="165" t="s">
        <v>12</v>
      </c>
      <c r="I445" s="886"/>
      <c r="J445" s="886"/>
      <c r="K445" s="887"/>
      <c r="L445" s="887">
        <f t="shared" ref="L445:N446" si="200">L448+L455</f>
        <v>0</v>
      </c>
      <c r="M445" s="887">
        <f t="shared" si="200"/>
        <v>0</v>
      </c>
      <c r="N445" s="887">
        <f t="shared" si="200"/>
        <v>0</v>
      </c>
      <c r="O445" s="887">
        <f t="shared" si="198"/>
        <v>0</v>
      </c>
      <c r="P445" s="887">
        <f t="shared" si="199"/>
        <v>0</v>
      </c>
      <c r="Q445" s="1323"/>
      <c r="R445" s="1323"/>
      <c r="S445" s="1323"/>
      <c r="T445" s="1323"/>
      <c r="U445" s="1323"/>
      <c r="V445" s="1323"/>
      <c r="W445" s="1323"/>
      <c r="X445" s="1323"/>
      <c r="Y445" s="1323"/>
      <c r="Z445" s="1323"/>
    </row>
    <row r="446" spans="1:26" ht="18.75" hidden="1">
      <c r="A446" s="1319"/>
      <c r="B446" s="1324"/>
      <c r="C446" s="1320"/>
      <c r="D446" s="1321"/>
      <c r="E446" s="1320" t="s">
        <v>186</v>
      </c>
      <c r="F446" s="1320"/>
      <c r="G446" s="1322"/>
      <c r="H446" s="165" t="s">
        <v>12</v>
      </c>
      <c r="I446" s="886"/>
      <c r="J446" s="886"/>
      <c r="K446" s="887"/>
      <c r="L446" s="887">
        <f t="shared" ca="1" si="200"/>
        <v>0</v>
      </c>
      <c r="M446" s="887">
        <f t="shared" si="200"/>
        <v>0</v>
      </c>
      <c r="N446" s="887">
        <f t="shared" si="200"/>
        <v>0</v>
      </c>
      <c r="O446" s="887">
        <f t="shared" ca="1" si="198"/>
        <v>0</v>
      </c>
      <c r="P446" s="887">
        <f t="shared" si="199"/>
        <v>0</v>
      </c>
      <c r="Q446" s="1323"/>
      <c r="R446" s="1323"/>
      <c r="S446" s="1323"/>
      <c r="T446" s="1323"/>
      <c r="U446" s="1323"/>
      <c r="V446" s="1323"/>
      <c r="W446" s="1323"/>
      <c r="X446" s="1323"/>
      <c r="Y446" s="1323"/>
      <c r="Z446" s="1323"/>
    </row>
    <row r="447" spans="1:26" ht="18.75" hidden="1">
      <c r="A447" s="1317"/>
      <c r="B447" s="1300"/>
      <c r="C447" s="1301"/>
      <c r="D447" s="1325" t="s">
        <v>20</v>
      </c>
      <c r="E447" s="1301"/>
      <c r="F447" s="1301"/>
      <c r="G447" s="1016"/>
      <c r="H447" s="161" t="s">
        <v>12</v>
      </c>
      <c r="I447" s="997"/>
      <c r="J447" s="997"/>
      <c r="K447" s="998"/>
      <c r="L447" s="881">
        <f t="shared" ref="L447:N447" ca="1" si="201">L448+L449</f>
        <v>0</v>
      </c>
      <c r="M447" s="881">
        <f t="shared" si="201"/>
        <v>0</v>
      </c>
      <c r="N447" s="881">
        <f t="shared" si="201"/>
        <v>0</v>
      </c>
      <c r="O447" s="881">
        <f t="shared" ca="1" si="198"/>
        <v>0</v>
      </c>
      <c r="P447" s="881">
        <f t="shared" si="199"/>
        <v>0</v>
      </c>
      <c r="Q447" s="1302"/>
      <c r="R447" s="1302"/>
      <c r="S447" s="1302"/>
      <c r="T447" s="1302"/>
      <c r="U447" s="1302"/>
      <c r="V447" s="1302"/>
      <c r="W447" s="1302"/>
      <c r="X447" s="1302"/>
      <c r="Y447" s="1302"/>
      <c r="Z447" s="1302"/>
    </row>
    <row r="448" spans="1:26" ht="18.75" hidden="1">
      <c r="A448" s="1319"/>
      <c r="B448" s="1324"/>
      <c r="C448" s="1320"/>
      <c r="D448" s="1321"/>
      <c r="E448" s="1320" t="s">
        <v>185</v>
      </c>
      <c r="F448" s="1320"/>
      <c r="G448" s="1322"/>
      <c r="H448" s="165" t="s">
        <v>12</v>
      </c>
      <c r="I448" s="886"/>
      <c r="J448" s="886"/>
      <c r="K448" s="887"/>
      <c r="L448" s="887">
        <v>0</v>
      </c>
      <c r="M448" s="887">
        <v>0</v>
      </c>
      <c r="N448" s="887">
        <v>0</v>
      </c>
      <c r="O448" s="887">
        <f t="shared" si="198"/>
        <v>0</v>
      </c>
      <c r="P448" s="887">
        <f t="shared" si="199"/>
        <v>0</v>
      </c>
      <c r="Q448" s="1323"/>
      <c r="R448" s="1323"/>
      <c r="S448" s="1323"/>
      <c r="T448" s="1323"/>
      <c r="U448" s="1323"/>
      <c r="V448" s="1323"/>
      <c r="W448" s="1323"/>
      <c r="X448" s="1323"/>
      <c r="Y448" s="1323"/>
      <c r="Z448" s="1323"/>
    </row>
    <row r="449" spans="1:26" ht="18.75" hidden="1">
      <c r="A449" s="1319"/>
      <c r="B449" s="1324"/>
      <c r="C449" s="1320"/>
      <c r="D449" s="1321"/>
      <c r="E449" s="1320" t="s">
        <v>186</v>
      </c>
      <c r="F449" s="1320"/>
      <c r="G449" s="1322"/>
      <c r="H449" s="165" t="s">
        <v>12</v>
      </c>
      <c r="I449" s="886"/>
      <c r="J449" s="886"/>
      <c r="K449" s="887"/>
      <c r="L449" s="887">
        <f ca="1">IFERROR(__xludf.DUMMYFUNCTION("IMPORTRANGE(""https://docs.google.com/spreadsheets/d/1QqKyyYR6Q21VydFLVH3TRQUabQu_ym0Zz7PgGX0-kHA/edit?usp=sharing"",""แผน!FJ87"")"),0)</f>
        <v>0</v>
      </c>
      <c r="M449" s="887">
        <v>0</v>
      </c>
      <c r="N449" s="887">
        <f>N450+N451+N452+N453</f>
        <v>0</v>
      </c>
      <c r="O449" s="887">
        <f t="shared" ca="1" si="198"/>
        <v>0</v>
      </c>
      <c r="P449" s="887">
        <f t="shared" si="199"/>
        <v>0</v>
      </c>
      <c r="Q449" s="1323"/>
      <c r="R449" s="1323"/>
      <c r="S449" s="1323"/>
      <c r="T449" s="1323"/>
      <c r="U449" s="1323"/>
      <c r="V449" s="1323"/>
      <c r="W449" s="1323"/>
      <c r="X449" s="1323"/>
      <c r="Y449" s="1323"/>
      <c r="Z449" s="1323"/>
    </row>
    <row r="450" spans="1:26" ht="18.75" hidden="1">
      <c r="A450" s="1299"/>
      <c r="B450" s="1300"/>
      <c r="C450" s="1301"/>
      <c r="D450" s="1301"/>
      <c r="E450" s="1301"/>
      <c r="F450" s="1301" t="s">
        <v>187</v>
      </c>
      <c r="G450" s="1016"/>
      <c r="H450" s="161" t="s">
        <v>12</v>
      </c>
      <c r="I450" s="880"/>
      <c r="J450" s="880"/>
      <c r="K450" s="881"/>
      <c r="L450" s="881"/>
      <c r="M450" s="881"/>
      <c r="N450" s="1085">
        <v>0</v>
      </c>
      <c r="O450" s="881"/>
      <c r="P450" s="881"/>
      <c r="Q450" s="1302"/>
      <c r="R450" s="1302"/>
      <c r="S450" s="1302"/>
      <c r="T450" s="1302"/>
      <c r="U450" s="1302"/>
      <c r="V450" s="1302"/>
      <c r="W450" s="1302"/>
      <c r="X450" s="1302"/>
      <c r="Y450" s="1302"/>
      <c r="Z450" s="1302"/>
    </row>
    <row r="451" spans="1:26" ht="18.75" hidden="1">
      <c r="A451" s="1299"/>
      <c r="B451" s="1300"/>
      <c r="C451" s="1301"/>
      <c r="D451" s="1301"/>
      <c r="E451" s="1301"/>
      <c r="F451" s="1301" t="s">
        <v>188</v>
      </c>
      <c r="G451" s="1016"/>
      <c r="H451" s="161" t="s">
        <v>12</v>
      </c>
      <c r="I451" s="880"/>
      <c r="J451" s="880"/>
      <c r="K451" s="881"/>
      <c r="L451" s="881"/>
      <c r="M451" s="881"/>
      <c r="N451" s="1085">
        <v>0</v>
      </c>
      <c r="O451" s="881"/>
      <c r="P451" s="881"/>
      <c r="Q451" s="1302"/>
      <c r="R451" s="1302"/>
      <c r="S451" s="1302"/>
      <c r="T451" s="1302"/>
      <c r="U451" s="1302"/>
      <c r="V451" s="1302"/>
      <c r="W451" s="1302"/>
      <c r="X451" s="1302"/>
      <c r="Y451" s="1302"/>
      <c r="Z451" s="1302"/>
    </row>
    <row r="452" spans="1:26" ht="18.75" hidden="1">
      <c r="A452" s="1299"/>
      <c r="B452" s="1300"/>
      <c r="C452" s="1300"/>
      <c r="D452" s="1300"/>
      <c r="E452" s="1300"/>
      <c r="F452" s="1301" t="s">
        <v>189</v>
      </c>
      <c r="G452" s="1016"/>
      <c r="H452" s="161" t="s">
        <v>12</v>
      </c>
      <c r="I452" s="880"/>
      <c r="J452" s="880"/>
      <c r="K452" s="881"/>
      <c r="L452" s="881"/>
      <c r="M452" s="881"/>
      <c r="N452" s="1085">
        <v>0</v>
      </c>
      <c r="O452" s="881"/>
      <c r="P452" s="881"/>
      <c r="Q452" s="1302"/>
      <c r="R452" s="1302"/>
      <c r="S452" s="1302"/>
      <c r="T452" s="1302"/>
      <c r="U452" s="1302"/>
      <c r="V452" s="1302"/>
      <c r="W452" s="1302"/>
      <c r="X452" s="1302"/>
      <c r="Y452" s="1302"/>
      <c r="Z452" s="1302"/>
    </row>
    <row r="453" spans="1:26" ht="18.75" hidden="1">
      <c r="A453" s="1299"/>
      <c r="B453" s="1300"/>
      <c r="C453" s="1300"/>
      <c r="D453" s="1300"/>
      <c r="E453" s="1300"/>
      <c r="F453" s="1301" t="s">
        <v>190</v>
      </c>
      <c r="G453" s="1016"/>
      <c r="H453" s="161" t="s">
        <v>12</v>
      </c>
      <c r="I453" s="880"/>
      <c r="J453" s="880"/>
      <c r="K453" s="881"/>
      <c r="L453" s="881"/>
      <c r="M453" s="881"/>
      <c r="N453" s="1085">
        <v>0</v>
      </c>
      <c r="O453" s="881"/>
      <c r="P453" s="881"/>
      <c r="Q453" s="1302"/>
      <c r="R453" s="1302"/>
      <c r="S453" s="1302"/>
      <c r="T453" s="1302"/>
      <c r="U453" s="1302"/>
      <c r="V453" s="1302"/>
      <c r="W453" s="1302"/>
      <c r="X453" s="1302"/>
      <c r="Y453" s="1302"/>
      <c r="Z453" s="1302"/>
    </row>
    <row r="454" spans="1:26" ht="18.75" hidden="1">
      <c r="A454" s="1317"/>
      <c r="B454" s="1300"/>
      <c r="C454" s="1300"/>
      <c r="D454" s="1325" t="s">
        <v>21</v>
      </c>
      <c r="E454" s="1300"/>
      <c r="F454" s="1301"/>
      <c r="G454" s="1016"/>
      <c r="H454" s="168" t="s">
        <v>12</v>
      </c>
      <c r="I454" s="997"/>
      <c r="J454" s="997"/>
      <c r="K454" s="998"/>
      <c r="L454" s="881">
        <f t="shared" ref="L454:N454" ca="1" si="202">L455+L456</f>
        <v>0</v>
      </c>
      <c r="M454" s="881">
        <f t="shared" si="202"/>
        <v>0</v>
      </c>
      <c r="N454" s="881">
        <f t="shared" si="202"/>
        <v>0</v>
      </c>
      <c r="O454" s="881">
        <f t="shared" ref="O454:O456" ca="1" si="203">IF(L454&gt;0,N454*100/L454,0)</f>
        <v>0</v>
      </c>
      <c r="P454" s="881">
        <f t="shared" ref="P454:P456" si="204">IF(M454&gt;0,N454*100/M454,0)</f>
        <v>0</v>
      </c>
      <c r="Q454" s="1302"/>
      <c r="R454" s="1302"/>
      <c r="S454" s="1302"/>
      <c r="T454" s="1302"/>
      <c r="U454" s="1302"/>
      <c r="V454" s="1302"/>
      <c r="W454" s="1302"/>
      <c r="X454" s="1302"/>
      <c r="Y454" s="1302"/>
      <c r="Z454" s="1302"/>
    </row>
    <row r="455" spans="1:26" ht="18.75" hidden="1">
      <c r="A455" s="1319"/>
      <c r="B455" s="1324"/>
      <c r="C455" s="1324"/>
      <c r="D455" s="1324"/>
      <c r="E455" s="1324" t="s">
        <v>18</v>
      </c>
      <c r="F455" s="1320"/>
      <c r="G455" s="1322"/>
      <c r="H455" s="165" t="s">
        <v>12</v>
      </c>
      <c r="I455" s="1000"/>
      <c r="J455" s="1000"/>
      <c r="K455" s="1001"/>
      <c r="L455" s="887">
        <v>0</v>
      </c>
      <c r="M455" s="887">
        <v>0</v>
      </c>
      <c r="N455" s="887">
        <v>0</v>
      </c>
      <c r="O455" s="887">
        <f t="shared" si="203"/>
        <v>0</v>
      </c>
      <c r="P455" s="887">
        <f t="shared" si="204"/>
        <v>0</v>
      </c>
      <c r="Q455" s="1323"/>
      <c r="R455" s="1323"/>
      <c r="S455" s="1323"/>
      <c r="T455" s="1323"/>
      <c r="U455" s="1323"/>
      <c r="V455" s="1323"/>
      <c r="W455" s="1323"/>
      <c r="X455" s="1323"/>
      <c r="Y455" s="1323"/>
      <c r="Z455" s="1323"/>
    </row>
    <row r="456" spans="1:26" ht="18.75" hidden="1">
      <c r="A456" s="1319"/>
      <c r="B456" s="1324"/>
      <c r="C456" s="1324"/>
      <c r="D456" s="1324"/>
      <c r="E456" s="1324" t="s">
        <v>19</v>
      </c>
      <c r="F456" s="1320"/>
      <c r="G456" s="1322"/>
      <c r="H456" s="169" t="s">
        <v>12</v>
      </c>
      <c r="I456" s="1000"/>
      <c r="J456" s="1000"/>
      <c r="K456" s="1001"/>
      <c r="L456" s="887">
        <f ca="1">IFERROR(__xludf.DUMMYFUNCTION("IMPORTRANGE(""https://docs.google.com/spreadsheets/d/1QqKyyYR6Q21VydFLVH3TRQUabQu_ym0Zz7PgGX0-kHA/edit?usp=sharing"",""แผน!FM87"")"),0)</f>
        <v>0</v>
      </c>
      <c r="M456" s="887">
        <v>0</v>
      </c>
      <c r="N456" s="887">
        <v>0</v>
      </c>
      <c r="O456" s="887">
        <f t="shared" ca="1" si="203"/>
        <v>0</v>
      </c>
      <c r="P456" s="887">
        <f t="shared" si="204"/>
        <v>0</v>
      </c>
      <c r="Q456" s="1323"/>
      <c r="R456" s="1323"/>
      <c r="S456" s="1323"/>
      <c r="T456" s="1323"/>
      <c r="U456" s="1323"/>
      <c r="V456" s="1323"/>
      <c r="W456" s="1323"/>
      <c r="X456" s="1323"/>
      <c r="Y456" s="1323"/>
      <c r="Z456" s="1323"/>
    </row>
    <row r="457" spans="1:26" ht="19.5" hidden="1">
      <c r="A457" s="1326"/>
      <c r="B457" s="1327"/>
      <c r="C457" s="1300" t="s">
        <v>16</v>
      </c>
      <c r="D457" s="1328" t="s">
        <v>38</v>
      </c>
      <c r="E457" s="1329"/>
      <c r="F457" s="1330"/>
      <c r="G457" s="1331"/>
      <c r="H457" s="1007"/>
      <c r="I457" s="880"/>
      <c r="J457" s="880"/>
      <c r="K457" s="881"/>
      <c r="L457" s="881"/>
      <c r="M457" s="881"/>
      <c r="N457" s="881"/>
      <c r="O457" s="881"/>
      <c r="P457" s="881"/>
      <c r="Q457" s="1302"/>
      <c r="R457" s="1302"/>
      <c r="S457" s="1302"/>
      <c r="T457" s="1302"/>
      <c r="U457" s="1302"/>
      <c r="V457" s="1302"/>
      <c r="W457" s="1302"/>
      <c r="X457" s="1302"/>
      <c r="Y457" s="1302"/>
      <c r="Z457" s="1302"/>
    </row>
    <row r="458" spans="1:26" ht="18.75" hidden="1">
      <c r="A458" s="1332"/>
      <c r="B458" s="1333"/>
      <c r="C458" s="1333"/>
      <c r="D458" s="1333" t="s">
        <v>201</v>
      </c>
      <c r="E458" s="1333"/>
      <c r="F458" s="1321"/>
      <c r="G458" s="1113"/>
      <c r="H458" s="370" t="s">
        <v>35</v>
      </c>
      <c r="I458" s="886">
        <v>0</v>
      </c>
      <c r="J458" s="886">
        <v>0</v>
      </c>
      <c r="K458" s="887">
        <f>IF(I458&gt;0,J458*100/I458,0)</f>
        <v>0</v>
      </c>
      <c r="L458" s="887"/>
      <c r="M458" s="887"/>
      <c r="N458" s="887"/>
      <c r="O458" s="887"/>
      <c r="P458" s="887"/>
      <c r="Q458" s="1323"/>
      <c r="R458" s="1323"/>
      <c r="S458" s="1323"/>
      <c r="T458" s="1323"/>
      <c r="U458" s="1323"/>
      <c r="V458" s="1323"/>
      <c r="W458" s="1323"/>
      <c r="X458" s="1323"/>
      <c r="Y458" s="1323"/>
      <c r="Z458" s="1323"/>
    </row>
    <row r="459" spans="1:26" ht="18.75" hidden="1">
      <c r="A459" s="1332"/>
      <c r="B459" s="1333"/>
      <c r="C459" s="1333"/>
      <c r="D459" s="1333" t="s">
        <v>202</v>
      </c>
      <c r="E459" s="1333"/>
      <c r="F459" s="1321"/>
      <c r="G459" s="1113"/>
      <c r="H459" s="370"/>
      <c r="I459" s="886"/>
      <c r="J459" s="886"/>
      <c r="K459" s="887"/>
      <c r="L459" s="887"/>
      <c r="M459" s="887"/>
      <c r="N459" s="887"/>
      <c r="O459" s="887"/>
      <c r="P459" s="887"/>
      <c r="Q459" s="1323"/>
      <c r="R459" s="1323"/>
      <c r="S459" s="1323"/>
      <c r="T459" s="1323"/>
      <c r="U459" s="1323"/>
      <c r="V459" s="1323"/>
      <c r="W459" s="1323"/>
      <c r="X459" s="1323"/>
      <c r="Y459" s="1323"/>
      <c r="Z459" s="1323"/>
    </row>
    <row r="460" spans="1:26" ht="18.75" hidden="1">
      <c r="A460" s="1326"/>
      <c r="B460" s="1327"/>
      <c r="C460" s="1327"/>
      <c r="D460" s="1327" t="s">
        <v>203</v>
      </c>
      <c r="E460" s="1327"/>
      <c r="F460" s="1014"/>
      <c r="G460" s="1007"/>
      <c r="H460" s="762" t="s">
        <v>35</v>
      </c>
      <c r="I460" s="880">
        <f ca="1">IFERROR(__xludf.DUMMYFUNCTION("IMPORTRANGE(""https://docs.google.com/spreadsheets/d/1QqKyyYR6Q21VydFLVH3TRQUabQu_ym0Zz7PgGX0-kHA/edit?usp=sharing"",""แผน!FN87"")"),0)</f>
        <v>0</v>
      </c>
      <c r="J460" s="1012">
        <v>0</v>
      </c>
      <c r="K460" s="881">
        <f ca="1">IF(I460&gt;0,J460*100/I460,0)</f>
        <v>0</v>
      </c>
      <c r="L460" s="881"/>
      <c r="M460" s="881"/>
      <c r="N460" s="881"/>
      <c r="O460" s="881"/>
      <c r="P460" s="881"/>
      <c r="Q460" s="1302"/>
      <c r="R460" s="1302"/>
      <c r="S460" s="1302"/>
      <c r="T460" s="1302"/>
      <c r="U460" s="1302"/>
      <c r="V460" s="1302"/>
      <c r="W460" s="1302"/>
      <c r="X460" s="1302"/>
      <c r="Y460" s="1302"/>
      <c r="Z460" s="1302"/>
    </row>
    <row r="461" spans="1:26" ht="18.75" hidden="1">
      <c r="A461" s="1326"/>
      <c r="B461" s="1327"/>
      <c r="C461" s="1327"/>
      <c r="D461" s="1327" t="s">
        <v>204</v>
      </c>
      <c r="E461" s="1014"/>
      <c r="F461" s="1014"/>
      <c r="G461" s="1007"/>
      <c r="H461" s="762"/>
      <c r="I461" s="880"/>
      <c r="J461" s="880"/>
      <c r="K461" s="881"/>
      <c r="L461" s="881"/>
      <c r="M461" s="881"/>
      <c r="N461" s="881"/>
      <c r="O461" s="881"/>
      <c r="P461" s="881"/>
      <c r="Q461" s="1302"/>
      <c r="R461" s="1302"/>
      <c r="S461" s="1302"/>
      <c r="T461" s="1302"/>
      <c r="U461" s="1302"/>
      <c r="V461" s="1302"/>
      <c r="W461" s="1302"/>
      <c r="X461" s="1302"/>
      <c r="Y461" s="1302"/>
      <c r="Z461" s="1302"/>
    </row>
    <row r="462" spans="1:26" ht="18.75" hidden="1">
      <c r="A462" s="1326"/>
      <c r="B462" s="1327"/>
      <c r="C462" s="1327"/>
      <c r="D462" s="1327" t="s">
        <v>205</v>
      </c>
      <c r="E462" s="1014"/>
      <c r="F462" s="1014"/>
      <c r="G462" s="1007"/>
      <c r="H462" s="762" t="s">
        <v>46</v>
      </c>
      <c r="I462" s="880">
        <f ca="1">IFERROR(__xludf.DUMMYFUNCTION("IMPORTRANGE(""https://docs.google.com/spreadsheets/d/1QqKyyYR6Q21VydFLVH3TRQUabQu_ym0Zz7PgGX0-kHA/edit?usp=sharing"",""แผน!FO87"")"),0)</f>
        <v>0</v>
      </c>
      <c r="J462" s="1012">
        <v>0</v>
      </c>
      <c r="K462" s="881">
        <f ca="1">IF(I462&gt;0,J462*100/I462,0)</f>
        <v>0</v>
      </c>
      <c r="L462" s="881"/>
      <c r="M462" s="881"/>
      <c r="N462" s="881"/>
      <c r="O462" s="881"/>
      <c r="P462" s="881"/>
      <c r="Q462" s="1302"/>
      <c r="R462" s="1302"/>
      <c r="S462" s="1302"/>
      <c r="T462" s="1302"/>
      <c r="U462" s="1302"/>
      <c r="V462" s="1302"/>
      <c r="W462" s="1302"/>
      <c r="X462" s="1302"/>
      <c r="Y462" s="1302"/>
      <c r="Z462" s="1302"/>
    </row>
    <row r="463" spans="1:26" ht="18.75" hidden="1">
      <c r="A463" s="1326"/>
      <c r="B463" s="1327"/>
      <c r="C463" s="1327"/>
      <c r="D463" s="1327" t="s">
        <v>59</v>
      </c>
      <c r="E463" s="1014"/>
      <c r="F463" s="1301"/>
      <c r="G463" s="1016"/>
      <c r="H463" s="762" t="s">
        <v>46</v>
      </c>
      <c r="I463" s="880">
        <f ca="1">IFERROR(__xludf.DUMMYFUNCTION("IMPORTRANGE(""https://docs.google.com/spreadsheets/d/1QqKyyYR6Q21VydFLVH3TRQUabQu_ym0Zz7PgGX0-kHA/edit?usp=sharing"",""แผน!FO87"")"),0)</f>
        <v>0</v>
      </c>
      <c r="J463" s="1012">
        <v>0</v>
      </c>
      <c r="K463" s="881"/>
      <c r="L463" s="881"/>
      <c r="M463" s="881"/>
      <c r="N463" s="881"/>
      <c r="O463" s="881"/>
      <c r="P463" s="881"/>
      <c r="Q463" s="1302"/>
      <c r="R463" s="1302"/>
      <c r="S463" s="1302"/>
      <c r="T463" s="1302"/>
      <c r="U463" s="1302"/>
      <c r="V463" s="1302"/>
      <c r="W463" s="1302"/>
      <c r="X463" s="1302"/>
      <c r="Y463" s="1302"/>
      <c r="Z463" s="1302"/>
    </row>
    <row r="464" spans="1:26" ht="19.5" hidden="1">
      <c r="A464" s="1326"/>
      <c r="B464" s="1327"/>
      <c r="C464" s="1327"/>
      <c r="D464" s="1327"/>
      <c r="E464" s="1014"/>
      <c r="F464" s="1014"/>
      <c r="G464" s="1334"/>
      <c r="H464" s="762" t="s">
        <v>35</v>
      </c>
      <c r="I464" s="880">
        <f ca="1">IFERROR(__xludf.DUMMYFUNCTION("IMPORTRANGE(""https://docs.google.com/spreadsheets/d/1QqKyyYR6Q21VydFLVH3TRQUabQu_ym0Zz7PgGX0-kHA/edit?usp=sharing"",""แผน!FN87"")"),0)</f>
        <v>0</v>
      </c>
      <c r="J464" s="1012">
        <v>0</v>
      </c>
      <c r="K464" s="881"/>
      <c r="L464" s="881"/>
      <c r="M464" s="881"/>
      <c r="N464" s="881"/>
      <c r="O464" s="881"/>
      <c r="P464" s="881"/>
      <c r="Q464" s="1302"/>
      <c r="R464" s="1302"/>
      <c r="S464" s="1302"/>
      <c r="T464" s="1302"/>
      <c r="U464" s="1302"/>
      <c r="V464" s="1302"/>
      <c r="W464" s="1302"/>
      <c r="X464" s="1302"/>
      <c r="Y464" s="1302"/>
      <c r="Z464" s="1302"/>
    </row>
    <row r="465" spans="1:26" ht="19.5">
      <c r="A465" s="584">
        <v>3</v>
      </c>
      <c r="B465" s="1307" t="s">
        <v>206</v>
      </c>
      <c r="C465" s="1308"/>
      <c r="D465" s="1308"/>
      <c r="E465" s="1308"/>
      <c r="F465" s="1308"/>
      <c r="G465" s="1309"/>
      <c r="H465" s="588" t="s">
        <v>35</v>
      </c>
      <c r="I465" s="1310">
        <f ca="1">IFERROR(__xludf.DUMMYFUNCTION("IMPORTRANGE(""https://docs.google.com/spreadsheets/d/1QqKyyYR6Q21VydFLVH3TRQUabQu_ym0Zz7PgGX0-kHA/edit?usp=sharing"",""แผน!FX87"")"),11)</f>
        <v>11</v>
      </c>
      <c r="J465" s="1310">
        <f>J485+J489+J492</f>
        <v>17</v>
      </c>
      <c r="K465" s="1311">
        <f t="shared" ref="K465:K466" ca="1" si="205">IF(I465&gt;0,J465*100/I465,0)</f>
        <v>154.54545454545453</v>
      </c>
      <c r="L465" s="1312"/>
      <c r="M465" s="1312"/>
      <c r="N465" s="1312"/>
      <c r="O465" s="1312"/>
      <c r="P465" s="1312"/>
      <c r="Q465" s="1302"/>
      <c r="R465" s="1302"/>
      <c r="S465" s="1302"/>
      <c r="T465" s="1302"/>
      <c r="U465" s="1302"/>
      <c r="V465" s="1302"/>
      <c r="W465" s="1302"/>
      <c r="X465" s="1302"/>
      <c r="Y465" s="1302"/>
      <c r="Z465" s="1302"/>
    </row>
    <row r="466" spans="1:26" ht="19.5">
      <c r="A466" s="1313"/>
      <c r="B466" s="1314"/>
      <c r="C466" s="1315"/>
      <c r="D466" s="1315"/>
      <c r="E466" s="1315"/>
      <c r="F466" s="1315"/>
      <c r="G466" s="1316"/>
      <c r="H466" s="568" t="s">
        <v>46</v>
      </c>
      <c r="I466" s="1294">
        <f ca="1">IFERROR(__xludf.DUMMYFUNCTION("IMPORTRANGE(""https://docs.google.com/spreadsheets/d/1QqKyyYR6Q21VydFLVH3TRQUabQu_ym0Zz7PgGX0-kHA/edit?usp=sharing"",""แผน!FW87"")"),100)</f>
        <v>100</v>
      </c>
      <c r="J466" s="1294">
        <f>J495+J498</f>
        <v>0</v>
      </c>
      <c r="K466" s="1295">
        <f t="shared" ca="1" si="205"/>
        <v>0</v>
      </c>
      <c r="L466" s="1296"/>
      <c r="M466" s="1296"/>
      <c r="N466" s="1296"/>
      <c r="O466" s="1296"/>
      <c r="P466" s="1296"/>
      <c r="Q466" s="1302"/>
      <c r="R466" s="1302"/>
      <c r="S466" s="1302"/>
      <c r="T466" s="1302"/>
      <c r="U466" s="1302"/>
      <c r="V466" s="1302"/>
      <c r="W466" s="1302"/>
      <c r="X466" s="1302"/>
      <c r="Y466" s="1302"/>
      <c r="Z466" s="1302"/>
    </row>
    <row r="467" spans="1:26" ht="19.5">
      <c r="A467" s="1317"/>
      <c r="B467" s="1301"/>
      <c r="C467" s="1301" t="s">
        <v>16</v>
      </c>
      <c r="D467" s="1318" t="s">
        <v>17</v>
      </c>
      <c r="E467" s="841"/>
      <c r="F467" s="841"/>
      <c r="G467" s="1016"/>
      <c r="H467" s="597" t="s">
        <v>12</v>
      </c>
      <c r="I467" s="880"/>
      <c r="J467" s="880"/>
      <c r="K467" s="881"/>
      <c r="L467" s="1020">
        <f t="shared" ref="L467:N467" ca="1" si="206">L468+L469</f>
        <v>113833</v>
      </c>
      <c r="M467" s="1020">
        <f t="shared" ca="1" si="206"/>
        <v>113833</v>
      </c>
      <c r="N467" s="1020">
        <f t="shared" si="206"/>
        <v>36858</v>
      </c>
      <c r="O467" s="1020">
        <f t="shared" ref="O467:O472" ca="1" si="207">IF(L467&gt;0,N467*100/L467,0)</f>
        <v>32.379011358744826</v>
      </c>
      <c r="P467" s="1020">
        <f t="shared" ref="P467:P472" ca="1" si="208">IF(M467&gt;0,N467*100/M467,0)</f>
        <v>32.379011358744826</v>
      </c>
      <c r="Q467" s="1302"/>
      <c r="R467" s="1302"/>
      <c r="S467" s="1302"/>
      <c r="T467" s="1302"/>
      <c r="U467" s="1302"/>
      <c r="V467" s="1302"/>
      <c r="W467" s="1302"/>
      <c r="X467" s="1302"/>
      <c r="Y467" s="1302"/>
      <c r="Z467" s="1302"/>
    </row>
    <row r="468" spans="1:26" ht="18.75" hidden="1">
      <c r="A468" s="1319"/>
      <c r="B468" s="1320"/>
      <c r="C468" s="1320"/>
      <c r="D468" s="1321"/>
      <c r="E468" s="1320" t="s">
        <v>185</v>
      </c>
      <c r="F468" s="1320"/>
      <c r="G468" s="1322"/>
      <c r="H468" s="165" t="s">
        <v>12</v>
      </c>
      <c r="I468" s="886"/>
      <c r="J468" s="886"/>
      <c r="K468" s="887"/>
      <c r="L468" s="887">
        <f t="shared" ref="L468:N469" si="209">L471+L478</f>
        <v>0</v>
      </c>
      <c r="M468" s="887">
        <f t="shared" si="209"/>
        <v>0</v>
      </c>
      <c r="N468" s="887">
        <f t="shared" si="209"/>
        <v>0</v>
      </c>
      <c r="O468" s="887">
        <f t="shared" si="207"/>
        <v>0</v>
      </c>
      <c r="P468" s="887">
        <f t="shared" si="208"/>
        <v>0</v>
      </c>
      <c r="Q468" s="1323"/>
      <c r="R468" s="1323"/>
      <c r="S468" s="1323"/>
      <c r="T468" s="1323"/>
      <c r="U468" s="1323"/>
      <c r="V468" s="1323"/>
      <c r="W468" s="1323"/>
      <c r="X468" s="1323"/>
      <c r="Y468" s="1323"/>
      <c r="Z468" s="1323"/>
    </row>
    <row r="469" spans="1:26" ht="18.75" hidden="1">
      <c r="A469" s="1319"/>
      <c r="B469" s="1324"/>
      <c r="C469" s="1320"/>
      <c r="D469" s="1321"/>
      <c r="E469" s="1320" t="s">
        <v>186</v>
      </c>
      <c r="F469" s="1320"/>
      <c r="G469" s="1322"/>
      <c r="H469" s="165" t="s">
        <v>12</v>
      </c>
      <c r="I469" s="886"/>
      <c r="J469" s="886"/>
      <c r="K469" s="887"/>
      <c r="L469" s="887">
        <f t="shared" ca="1" si="209"/>
        <v>113833</v>
      </c>
      <c r="M469" s="887">
        <f t="shared" ca="1" si="209"/>
        <v>113833</v>
      </c>
      <c r="N469" s="887">
        <f t="shared" si="209"/>
        <v>36858</v>
      </c>
      <c r="O469" s="887">
        <f t="shared" ca="1" si="207"/>
        <v>32.379011358744826</v>
      </c>
      <c r="P469" s="887">
        <f t="shared" ca="1" si="208"/>
        <v>32.379011358744826</v>
      </c>
      <c r="Q469" s="1323"/>
      <c r="R469" s="1323"/>
      <c r="S469" s="1323"/>
      <c r="T469" s="1323"/>
      <c r="U469" s="1323"/>
      <c r="V469" s="1323"/>
      <c r="W469" s="1323"/>
      <c r="X469" s="1323"/>
      <c r="Y469" s="1323"/>
      <c r="Z469" s="1323"/>
    </row>
    <row r="470" spans="1:26" ht="18.75">
      <c r="A470" s="1317"/>
      <c r="B470" s="1300"/>
      <c r="C470" s="1301"/>
      <c r="D470" s="1325" t="s">
        <v>20</v>
      </c>
      <c r="E470" s="1301"/>
      <c r="F470" s="1301"/>
      <c r="G470" s="1016"/>
      <c r="H470" s="161" t="s">
        <v>12</v>
      </c>
      <c r="I470" s="997"/>
      <c r="J470" s="997"/>
      <c r="K470" s="998"/>
      <c r="L470" s="881">
        <f t="shared" ref="L470:N470" ca="1" si="210">L471+L472</f>
        <v>113833</v>
      </c>
      <c r="M470" s="881">
        <f t="shared" ca="1" si="210"/>
        <v>113833</v>
      </c>
      <c r="N470" s="881">
        <f t="shared" si="210"/>
        <v>36858</v>
      </c>
      <c r="O470" s="881">
        <f t="shared" ca="1" si="207"/>
        <v>32.379011358744826</v>
      </c>
      <c r="P470" s="881">
        <f t="shared" ca="1" si="208"/>
        <v>32.379011358744826</v>
      </c>
      <c r="Q470" s="1302"/>
      <c r="R470" s="1302"/>
      <c r="S470" s="1302"/>
      <c r="T470" s="1302"/>
      <c r="U470" s="1302"/>
      <c r="V470" s="1302"/>
      <c r="W470" s="1302"/>
      <c r="X470" s="1302"/>
      <c r="Y470" s="1302"/>
      <c r="Z470" s="1302"/>
    </row>
    <row r="471" spans="1:26" ht="18.75" hidden="1">
      <c r="A471" s="1319"/>
      <c r="B471" s="1324"/>
      <c r="C471" s="1320"/>
      <c r="D471" s="1321"/>
      <c r="E471" s="1320" t="s">
        <v>185</v>
      </c>
      <c r="F471" s="1320"/>
      <c r="G471" s="1322"/>
      <c r="H471" s="165" t="s">
        <v>12</v>
      </c>
      <c r="I471" s="886"/>
      <c r="J471" s="886"/>
      <c r="K471" s="887"/>
      <c r="L471" s="887">
        <v>0</v>
      </c>
      <c r="M471" s="887">
        <v>0</v>
      </c>
      <c r="N471" s="887">
        <v>0</v>
      </c>
      <c r="O471" s="887">
        <f t="shared" si="207"/>
        <v>0</v>
      </c>
      <c r="P471" s="887">
        <f t="shared" si="208"/>
        <v>0</v>
      </c>
      <c r="Q471" s="1323"/>
      <c r="R471" s="1323"/>
      <c r="S471" s="1323"/>
      <c r="T471" s="1323"/>
      <c r="U471" s="1323"/>
      <c r="V471" s="1323"/>
      <c r="W471" s="1323"/>
      <c r="X471" s="1323"/>
      <c r="Y471" s="1323"/>
      <c r="Z471" s="1323"/>
    </row>
    <row r="472" spans="1:26" ht="18.75" hidden="1">
      <c r="A472" s="1319"/>
      <c r="B472" s="1324"/>
      <c r="C472" s="1320"/>
      <c r="D472" s="1321"/>
      <c r="E472" s="1320" t="s">
        <v>186</v>
      </c>
      <c r="F472" s="1320"/>
      <c r="G472" s="1322"/>
      <c r="H472" s="165" t="s">
        <v>12</v>
      </c>
      <c r="I472" s="886"/>
      <c r="J472" s="886"/>
      <c r="K472" s="887"/>
      <c r="L472" s="887">
        <f ca="1">IFERROR(__xludf.DUMMYFUNCTION("IMPORTRANGE(""https://docs.google.com/spreadsheets/d/1QqKyyYR6Q21VydFLVH3TRQUabQu_ym0Zz7PgGX0-kHA/edit?usp=sharing"",""แผน!FS87"")"),113833)</f>
        <v>113833</v>
      </c>
      <c r="M472" s="887">
        <f ca="1">L472</f>
        <v>113833</v>
      </c>
      <c r="N472" s="887">
        <f>N473+N474+N475+N476</f>
        <v>36858</v>
      </c>
      <c r="O472" s="887">
        <f t="shared" ca="1" si="207"/>
        <v>32.379011358744826</v>
      </c>
      <c r="P472" s="887">
        <f t="shared" ca="1" si="208"/>
        <v>32.379011358744826</v>
      </c>
      <c r="Q472" s="1323"/>
      <c r="R472" s="1323"/>
      <c r="S472" s="1323"/>
      <c r="T472" s="1323"/>
      <c r="U472" s="1323"/>
      <c r="V472" s="1323"/>
      <c r="W472" s="1323"/>
      <c r="X472" s="1323"/>
      <c r="Y472" s="1323"/>
      <c r="Z472" s="1323"/>
    </row>
    <row r="473" spans="1:26" ht="18.75">
      <c r="A473" s="1299"/>
      <c r="B473" s="1300"/>
      <c r="C473" s="1301"/>
      <c r="D473" s="1301"/>
      <c r="E473" s="1301"/>
      <c r="F473" s="1301" t="s">
        <v>187</v>
      </c>
      <c r="G473" s="1016"/>
      <c r="H473" s="161" t="s">
        <v>12</v>
      </c>
      <c r="I473" s="880"/>
      <c r="J473" s="880"/>
      <c r="K473" s="881"/>
      <c r="L473" s="881"/>
      <c r="M473" s="881"/>
      <c r="N473" s="1085">
        <v>31891</v>
      </c>
      <c r="O473" s="881"/>
      <c r="P473" s="881"/>
      <c r="Q473" s="1302"/>
      <c r="R473" s="1302"/>
      <c r="S473" s="1302"/>
      <c r="T473" s="1302"/>
      <c r="U473" s="1302"/>
      <c r="V473" s="1302"/>
      <c r="W473" s="1302"/>
      <c r="X473" s="1302"/>
      <c r="Y473" s="1302"/>
      <c r="Z473" s="1302"/>
    </row>
    <row r="474" spans="1:26" ht="18.75">
      <c r="A474" s="1299"/>
      <c r="B474" s="1300"/>
      <c r="C474" s="1301"/>
      <c r="D474" s="1301"/>
      <c r="E474" s="1301"/>
      <c r="F474" s="1301" t="s">
        <v>188</v>
      </c>
      <c r="G474" s="1016"/>
      <c r="H474" s="161" t="s">
        <v>12</v>
      </c>
      <c r="I474" s="880"/>
      <c r="J474" s="880"/>
      <c r="K474" s="881"/>
      <c r="L474" s="881"/>
      <c r="M474" s="881"/>
      <c r="N474" s="1085">
        <v>0</v>
      </c>
      <c r="O474" s="881"/>
      <c r="P474" s="881"/>
      <c r="Q474" s="1302"/>
      <c r="R474" s="1302"/>
      <c r="S474" s="1302"/>
      <c r="T474" s="1302"/>
      <c r="U474" s="1302"/>
      <c r="V474" s="1302"/>
      <c r="W474" s="1302"/>
      <c r="X474" s="1302"/>
      <c r="Y474" s="1302"/>
      <c r="Z474" s="1302"/>
    </row>
    <row r="475" spans="1:26" ht="18.75">
      <c r="A475" s="1299"/>
      <c r="B475" s="1300"/>
      <c r="C475" s="1300"/>
      <c r="D475" s="1300"/>
      <c r="E475" s="1300"/>
      <c r="F475" s="1301" t="s">
        <v>189</v>
      </c>
      <c r="G475" s="1016"/>
      <c r="H475" s="161" t="s">
        <v>12</v>
      </c>
      <c r="I475" s="880"/>
      <c r="J475" s="880"/>
      <c r="K475" s="881"/>
      <c r="L475" s="881"/>
      <c r="M475" s="881"/>
      <c r="N475" s="1085">
        <v>0</v>
      </c>
      <c r="O475" s="881"/>
      <c r="P475" s="881"/>
      <c r="Q475" s="1302"/>
      <c r="R475" s="1302"/>
      <c r="S475" s="1302"/>
      <c r="T475" s="1302"/>
      <c r="U475" s="1302"/>
      <c r="V475" s="1302"/>
      <c r="W475" s="1302"/>
      <c r="X475" s="1302"/>
      <c r="Y475" s="1302"/>
      <c r="Z475" s="1302"/>
    </row>
    <row r="476" spans="1:26" ht="18.75">
      <c r="A476" s="1299"/>
      <c r="B476" s="1300"/>
      <c r="C476" s="1300"/>
      <c r="D476" s="1300"/>
      <c r="E476" s="1300"/>
      <c r="F476" s="1301" t="s">
        <v>190</v>
      </c>
      <c r="G476" s="1016"/>
      <c r="H476" s="161" t="s">
        <v>12</v>
      </c>
      <c r="I476" s="880"/>
      <c r="J476" s="880"/>
      <c r="K476" s="881"/>
      <c r="L476" s="881"/>
      <c r="M476" s="881"/>
      <c r="N476" s="1085">
        <f>1227+3740</f>
        <v>4967</v>
      </c>
      <c r="O476" s="881"/>
      <c r="P476" s="881"/>
      <c r="Q476" s="1302"/>
      <c r="R476" s="1302"/>
      <c r="S476" s="1302"/>
      <c r="T476" s="1302"/>
      <c r="U476" s="1302"/>
      <c r="V476" s="1302"/>
      <c r="W476" s="1302"/>
      <c r="X476" s="1302"/>
      <c r="Y476" s="1302"/>
      <c r="Z476" s="1302"/>
    </row>
    <row r="477" spans="1:26" ht="18.75">
      <c r="A477" s="1317"/>
      <c r="B477" s="1300"/>
      <c r="C477" s="1300"/>
      <c r="D477" s="1325" t="s">
        <v>21</v>
      </c>
      <c r="E477" s="1300"/>
      <c r="F477" s="1300"/>
      <c r="G477" s="1016"/>
      <c r="H477" s="168" t="s">
        <v>12</v>
      </c>
      <c r="I477" s="997"/>
      <c r="J477" s="997"/>
      <c r="K477" s="998"/>
      <c r="L477" s="881">
        <f t="shared" ref="L477:N477" ca="1" si="211">L478+L479</f>
        <v>0</v>
      </c>
      <c r="M477" s="881">
        <f t="shared" si="211"/>
        <v>0</v>
      </c>
      <c r="N477" s="881">
        <f t="shared" si="211"/>
        <v>0</v>
      </c>
      <c r="O477" s="881">
        <f t="shared" ref="O477:O479" ca="1" si="212">IF(L477&gt;0,N477*100/L477,0)</f>
        <v>0</v>
      </c>
      <c r="P477" s="881">
        <f t="shared" ref="P477:P479" si="213">IF(M477&gt;0,N477*100/M477,0)</f>
        <v>0</v>
      </c>
      <c r="Q477" s="1302"/>
      <c r="R477" s="1302"/>
      <c r="S477" s="1302"/>
      <c r="T477" s="1302"/>
      <c r="U477" s="1302"/>
      <c r="V477" s="1302"/>
      <c r="W477" s="1302"/>
      <c r="X477" s="1302"/>
      <c r="Y477" s="1302"/>
      <c r="Z477" s="1302"/>
    </row>
    <row r="478" spans="1:26" ht="18.75" hidden="1">
      <c r="A478" s="1319"/>
      <c r="B478" s="1324"/>
      <c r="C478" s="1324"/>
      <c r="D478" s="1324"/>
      <c r="E478" s="1324" t="s">
        <v>18</v>
      </c>
      <c r="F478" s="1324"/>
      <c r="G478" s="1322"/>
      <c r="H478" s="165" t="s">
        <v>12</v>
      </c>
      <c r="I478" s="1000"/>
      <c r="J478" s="1000"/>
      <c r="K478" s="1001"/>
      <c r="L478" s="887">
        <v>0</v>
      </c>
      <c r="M478" s="887">
        <v>0</v>
      </c>
      <c r="N478" s="887">
        <v>0</v>
      </c>
      <c r="O478" s="887">
        <f t="shared" si="212"/>
        <v>0</v>
      </c>
      <c r="P478" s="887">
        <f t="shared" si="213"/>
        <v>0</v>
      </c>
      <c r="Q478" s="1323"/>
      <c r="R478" s="1323"/>
      <c r="S478" s="1323"/>
      <c r="T478" s="1323"/>
      <c r="U478" s="1323"/>
      <c r="V478" s="1323"/>
      <c r="W478" s="1323"/>
      <c r="X478" s="1323"/>
      <c r="Y478" s="1323"/>
      <c r="Z478" s="1323"/>
    </row>
    <row r="479" spans="1:26" ht="18.75" hidden="1">
      <c r="A479" s="1319"/>
      <c r="B479" s="1324"/>
      <c r="C479" s="1324"/>
      <c r="D479" s="1324"/>
      <c r="E479" s="1324" t="s">
        <v>19</v>
      </c>
      <c r="F479" s="1324"/>
      <c r="G479" s="1322"/>
      <c r="H479" s="169" t="s">
        <v>12</v>
      </c>
      <c r="I479" s="1000"/>
      <c r="J479" s="1000"/>
      <c r="K479" s="1001"/>
      <c r="L479" s="887">
        <f ca="1">IFERROR(__xludf.DUMMYFUNCTION("IMPORTRANGE(""https://docs.google.com/spreadsheets/d/1QqKyyYR6Q21VydFLVH3TRQUabQu_ym0Zz7PgGX0-kHA/edit?usp=sharing"",""แผน!FV87"")"),0)</f>
        <v>0</v>
      </c>
      <c r="M479" s="887">
        <v>0</v>
      </c>
      <c r="N479" s="887">
        <v>0</v>
      </c>
      <c r="O479" s="887">
        <f t="shared" ca="1" si="212"/>
        <v>0</v>
      </c>
      <c r="P479" s="887">
        <f t="shared" si="213"/>
        <v>0</v>
      </c>
      <c r="Q479" s="1323"/>
      <c r="R479" s="1323"/>
      <c r="S479" s="1323"/>
      <c r="T479" s="1323"/>
      <c r="U479" s="1323"/>
      <c r="V479" s="1323"/>
      <c r="W479" s="1323"/>
      <c r="X479" s="1323"/>
      <c r="Y479" s="1323"/>
      <c r="Z479" s="1323"/>
    </row>
    <row r="480" spans="1:26" ht="19.5">
      <c r="A480" s="1326"/>
      <c r="B480" s="1327"/>
      <c r="C480" s="1300" t="s">
        <v>16</v>
      </c>
      <c r="D480" s="1335" t="s">
        <v>38</v>
      </c>
      <c r="E480" s="1329"/>
      <c r="F480" s="1330"/>
      <c r="G480" s="1331"/>
      <c r="H480" s="1007"/>
      <c r="I480" s="880"/>
      <c r="J480" s="880"/>
      <c r="K480" s="881"/>
      <c r="L480" s="881"/>
      <c r="M480" s="881"/>
      <c r="N480" s="881"/>
      <c r="O480" s="881"/>
      <c r="P480" s="881"/>
      <c r="Q480" s="1302"/>
      <c r="R480" s="1302"/>
      <c r="S480" s="1302"/>
      <c r="T480" s="1302"/>
      <c r="U480" s="1302"/>
      <c r="V480" s="1302"/>
      <c r="W480" s="1302"/>
      <c r="X480" s="1302"/>
      <c r="Y480" s="1302"/>
      <c r="Z480" s="1302"/>
    </row>
    <row r="481" spans="1:26" ht="19.5">
      <c r="A481" s="1326"/>
      <c r="B481" s="1327"/>
      <c r="C481" s="1327"/>
      <c r="D481" s="1336" t="s">
        <v>207</v>
      </c>
      <c r="E481" s="1327"/>
      <c r="F481" s="1327"/>
      <c r="G481" s="1007"/>
      <c r="H481" s="1016"/>
      <c r="I481" s="880"/>
      <c r="J481" s="880"/>
      <c r="K481" s="881"/>
      <c r="L481" s="881"/>
      <c r="M481" s="881"/>
      <c r="N481" s="881"/>
      <c r="O481" s="881"/>
      <c r="P481" s="881"/>
      <c r="Q481" s="1302"/>
      <c r="R481" s="1302"/>
      <c r="S481" s="1302"/>
      <c r="T481" s="1302"/>
      <c r="U481" s="1302"/>
      <c r="V481" s="1302"/>
      <c r="W481" s="1302"/>
      <c r="X481" s="1302"/>
      <c r="Y481" s="1302"/>
      <c r="Z481" s="1302"/>
    </row>
    <row r="482" spans="1:26" ht="18.75">
      <c r="A482" s="1326"/>
      <c r="B482" s="1327"/>
      <c r="C482" s="1327"/>
      <c r="D482" s="1327"/>
      <c r="E482" s="1327" t="s">
        <v>208</v>
      </c>
      <c r="F482" s="1327"/>
      <c r="G482" s="1007"/>
      <c r="H482" s="1016"/>
      <c r="I482" s="880"/>
      <c r="J482" s="880"/>
      <c r="K482" s="881"/>
      <c r="L482" s="881"/>
      <c r="M482" s="881"/>
      <c r="N482" s="881"/>
      <c r="O482" s="881"/>
      <c r="P482" s="881"/>
      <c r="Q482" s="1302"/>
      <c r="R482" s="1302"/>
      <c r="S482" s="1302"/>
      <c r="T482" s="1302"/>
      <c r="U482" s="1302"/>
      <c r="V482" s="1302"/>
      <c r="W482" s="1302"/>
      <c r="X482" s="1302"/>
      <c r="Y482" s="1302"/>
      <c r="Z482" s="1302"/>
    </row>
    <row r="483" spans="1:26" ht="18.75">
      <c r="A483" s="1326"/>
      <c r="B483" s="1327"/>
      <c r="C483" s="1327"/>
      <c r="D483" s="1327"/>
      <c r="E483" s="1327"/>
      <c r="F483" s="1327" t="s">
        <v>209</v>
      </c>
      <c r="G483" s="1007"/>
      <c r="H483" s="622" t="s">
        <v>46</v>
      </c>
      <c r="I483" s="880">
        <f ca="1">IFERROR(__xludf.DUMMYFUNCTION("IMPORTRANGE(""https://docs.google.com/spreadsheets/d/1QqKyyYR6Q21VydFLVH3TRQUabQu_ym0Zz7PgGX0-kHA/edit?usp=sharing"",""แผน!FY87"")"),90)</f>
        <v>90</v>
      </c>
      <c r="J483" s="1012">
        <v>90</v>
      </c>
      <c r="K483" s="881">
        <f ca="1">IF(I483&gt;0,J483*100/I483,0)</f>
        <v>100</v>
      </c>
      <c r="L483" s="881"/>
      <c r="M483" s="881"/>
      <c r="N483" s="881"/>
      <c r="O483" s="881"/>
      <c r="P483" s="881"/>
      <c r="Q483" s="1302"/>
      <c r="R483" s="1302"/>
      <c r="S483" s="1302"/>
      <c r="T483" s="1302"/>
      <c r="U483" s="1302"/>
      <c r="V483" s="1302"/>
      <c r="W483" s="1302"/>
      <c r="X483" s="1302"/>
      <c r="Y483" s="1302"/>
      <c r="Z483" s="1302"/>
    </row>
    <row r="484" spans="1:26" ht="18.75">
      <c r="A484" s="1326"/>
      <c r="B484" s="1327"/>
      <c r="C484" s="1327"/>
      <c r="D484" s="1327"/>
      <c r="E484" s="1327"/>
      <c r="F484" s="1327" t="s">
        <v>210</v>
      </c>
      <c r="G484" s="1007"/>
      <c r="H484" s="622" t="s">
        <v>35</v>
      </c>
      <c r="I484" s="880"/>
      <c r="J484" s="1012">
        <v>0</v>
      </c>
      <c r="K484" s="881"/>
      <c r="L484" s="881"/>
      <c r="M484" s="881"/>
      <c r="N484" s="881"/>
      <c r="O484" s="881"/>
      <c r="P484" s="881"/>
      <c r="Q484" s="1302"/>
      <c r="R484" s="1302"/>
      <c r="S484" s="1302"/>
      <c r="T484" s="1302"/>
      <c r="U484" s="1302"/>
      <c r="V484" s="1302"/>
      <c r="W484" s="1302"/>
      <c r="X484" s="1302"/>
      <c r="Y484" s="1302"/>
      <c r="Z484" s="1302"/>
    </row>
    <row r="485" spans="1:26" ht="18.75">
      <c r="A485" s="1326"/>
      <c r="B485" s="1327"/>
      <c r="C485" s="1327"/>
      <c r="D485" s="1327"/>
      <c r="E485" s="1327"/>
      <c r="F485" s="1327" t="s">
        <v>211</v>
      </c>
      <c r="G485" s="1007"/>
      <c r="H485" s="622" t="s">
        <v>35</v>
      </c>
      <c r="I485" s="880">
        <f ca="1">IFERROR(__xludf.DUMMYFUNCTION("IMPORTRANGE(""https://docs.google.com/spreadsheets/d/1QqKyyYR6Q21VydFLVH3TRQUabQu_ym0Zz7PgGX0-kHA/edit?usp=sharing"",""แผน!FZ87"")"),9)</f>
        <v>9</v>
      </c>
      <c r="J485" s="1012">
        <v>14</v>
      </c>
      <c r="K485" s="881">
        <f ca="1">IF(I485&gt;0,J485*100/I485,0)</f>
        <v>155.55555555555554</v>
      </c>
      <c r="L485" s="881"/>
      <c r="M485" s="881"/>
      <c r="N485" s="881"/>
      <c r="O485" s="881"/>
      <c r="P485" s="881"/>
      <c r="Q485" s="1302"/>
      <c r="R485" s="1302"/>
      <c r="S485" s="1302"/>
      <c r="T485" s="1302"/>
      <c r="U485" s="1302"/>
      <c r="V485" s="1302"/>
      <c r="W485" s="1302"/>
      <c r="X485" s="1302"/>
      <c r="Y485" s="1302"/>
      <c r="Z485" s="1302"/>
    </row>
    <row r="486" spans="1:26" ht="18.75">
      <c r="A486" s="1326"/>
      <c r="B486" s="1327"/>
      <c r="C486" s="1327"/>
      <c r="D486" s="1327"/>
      <c r="E486" s="1327" t="s">
        <v>62</v>
      </c>
      <c r="F486" s="1327"/>
      <c r="G486" s="1007"/>
      <c r="H486" s="622"/>
      <c r="I486" s="880"/>
      <c r="J486" s="880"/>
      <c r="K486" s="881"/>
      <c r="L486" s="881"/>
      <c r="M486" s="881"/>
      <c r="N486" s="881"/>
      <c r="O486" s="881"/>
      <c r="P486" s="881"/>
      <c r="Q486" s="1302"/>
      <c r="R486" s="1302"/>
      <c r="S486" s="1302"/>
      <c r="T486" s="1302"/>
      <c r="U486" s="1302"/>
      <c r="V486" s="1302"/>
      <c r="W486" s="1302"/>
      <c r="X486" s="1302"/>
      <c r="Y486" s="1302"/>
      <c r="Z486" s="1302"/>
    </row>
    <row r="487" spans="1:26" ht="18.75">
      <c r="A487" s="1326"/>
      <c r="B487" s="1327"/>
      <c r="C487" s="1327"/>
      <c r="D487" s="1327"/>
      <c r="E487" s="1327"/>
      <c r="F487" s="1327" t="s">
        <v>209</v>
      </c>
      <c r="G487" s="1007"/>
      <c r="H487" s="622" t="s">
        <v>46</v>
      </c>
      <c r="I487" s="880">
        <f ca="1">IFERROR(__xludf.DUMMYFUNCTION("IMPORTRANGE(""https://docs.google.com/spreadsheets/d/1QqKyyYR6Q21VydFLVH3TRQUabQu_ym0Zz7PgGX0-kHA/edit?usp=sharing"",""แผน!GA87"")"),10)</f>
        <v>10</v>
      </c>
      <c r="J487" s="1012">
        <v>10</v>
      </c>
      <c r="K487" s="881">
        <f ca="1">IF(I487&gt;0,J487*100/I487,0)</f>
        <v>100</v>
      </c>
      <c r="L487" s="881"/>
      <c r="M487" s="881"/>
      <c r="N487" s="881"/>
      <c r="O487" s="881"/>
      <c r="P487" s="881"/>
      <c r="Q487" s="1302"/>
      <c r="R487" s="1302"/>
      <c r="S487" s="1302"/>
      <c r="T487" s="1302"/>
      <c r="U487" s="1302"/>
      <c r="V487" s="1302"/>
      <c r="W487" s="1302"/>
      <c r="X487" s="1302"/>
      <c r="Y487" s="1302"/>
      <c r="Z487" s="1302"/>
    </row>
    <row r="488" spans="1:26" ht="18.75">
      <c r="A488" s="1326"/>
      <c r="B488" s="1327"/>
      <c r="C488" s="1327"/>
      <c r="D488" s="1327"/>
      <c r="E488" s="1327"/>
      <c r="F488" s="1327" t="s">
        <v>212</v>
      </c>
      <c r="G488" s="1007"/>
      <c r="H488" s="622" t="s">
        <v>35</v>
      </c>
      <c r="I488" s="880"/>
      <c r="J488" s="1012">
        <v>0</v>
      </c>
      <c r="K488" s="881"/>
      <c r="L488" s="881"/>
      <c r="M488" s="881"/>
      <c r="N488" s="881"/>
      <c r="O488" s="881"/>
      <c r="P488" s="881"/>
      <c r="Q488" s="1302"/>
      <c r="R488" s="1302"/>
      <c r="S488" s="1302"/>
      <c r="T488" s="1302"/>
      <c r="U488" s="1302"/>
      <c r="V488" s="1302"/>
      <c r="W488" s="1302"/>
      <c r="X488" s="1302"/>
      <c r="Y488" s="1302"/>
      <c r="Z488" s="1302"/>
    </row>
    <row r="489" spans="1:26" ht="18.75">
      <c r="A489" s="1326"/>
      <c r="B489" s="1327"/>
      <c r="C489" s="1327"/>
      <c r="D489" s="1327"/>
      <c r="E489" s="1327"/>
      <c r="F489" s="1327" t="s">
        <v>213</v>
      </c>
      <c r="G489" s="1007"/>
      <c r="H489" s="622" t="s">
        <v>35</v>
      </c>
      <c r="I489" s="880">
        <f ca="1">IFERROR(__xludf.DUMMYFUNCTION("IMPORTRANGE(""https://docs.google.com/spreadsheets/d/1QqKyyYR6Q21VydFLVH3TRQUabQu_ym0Zz7PgGX0-kHA/edit?usp=sharing"",""แผน!GB87"")"),1)</f>
        <v>1</v>
      </c>
      <c r="J489" s="1012">
        <v>2</v>
      </c>
      <c r="K489" s="881">
        <f ca="1">IF(I489&gt;0,J489*100/I489,0)</f>
        <v>200</v>
      </c>
      <c r="L489" s="881"/>
      <c r="M489" s="881"/>
      <c r="N489" s="881"/>
      <c r="O489" s="881"/>
      <c r="P489" s="881"/>
      <c r="Q489" s="1302"/>
      <c r="R489" s="1302"/>
      <c r="S489" s="1302"/>
      <c r="T489" s="1302"/>
      <c r="U489" s="1302"/>
      <c r="V489" s="1302"/>
      <c r="W489" s="1302"/>
      <c r="X489" s="1302"/>
      <c r="Y489" s="1302"/>
      <c r="Z489" s="1302"/>
    </row>
    <row r="490" spans="1:26" ht="18.75">
      <c r="A490" s="1326"/>
      <c r="B490" s="1327"/>
      <c r="C490" s="1327"/>
      <c r="D490" s="1327"/>
      <c r="E490" s="1327" t="s">
        <v>63</v>
      </c>
      <c r="F490" s="1014"/>
      <c r="G490" s="1007"/>
      <c r="H490" s="622"/>
      <c r="I490" s="880"/>
      <c r="J490" s="880"/>
      <c r="K490" s="881"/>
      <c r="L490" s="881"/>
      <c r="M490" s="881"/>
      <c r="N490" s="881"/>
      <c r="O490" s="881"/>
      <c r="P490" s="881"/>
      <c r="Q490" s="1302"/>
      <c r="R490" s="1302"/>
      <c r="S490" s="1302"/>
      <c r="T490" s="1302"/>
      <c r="U490" s="1302"/>
      <c r="V490" s="1302"/>
      <c r="W490" s="1302"/>
      <c r="X490" s="1302"/>
      <c r="Y490" s="1302"/>
      <c r="Z490" s="1302"/>
    </row>
    <row r="491" spans="1:26" ht="18.75">
      <c r="A491" s="1326"/>
      <c r="B491" s="1327"/>
      <c r="C491" s="1327"/>
      <c r="D491" s="1327"/>
      <c r="E491" s="1327"/>
      <c r="F491" s="1327" t="s">
        <v>214</v>
      </c>
      <c r="G491" s="1007"/>
      <c r="H491" s="622" t="s">
        <v>35</v>
      </c>
      <c r="I491" s="880"/>
      <c r="J491" s="1012">
        <v>0</v>
      </c>
      <c r="K491" s="881"/>
      <c r="L491" s="881"/>
      <c r="M491" s="881"/>
      <c r="N491" s="881"/>
      <c r="O491" s="881"/>
      <c r="P491" s="881"/>
      <c r="Q491" s="1302"/>
      <c r="R491" s="1302"/>
      <c r="S491" s="1302"/>
      <c r="T491" s="1302"/>
      <c r="U491" s="1302"/>
      <c r="V491" s="1302"/>
      <c r="W491" s="1302"/>
      <c r="X491" s="1302"/>
      <c r="Y491" s="1302"/>
      <c r="Z491" s="1302"/>
    </row>
    <row r="492" spans="1:26" ht="18.75">
      <c r="A492" s="1326"/>
      <c r="B492" s="1327"/>
      <c r="C492" s="1327"/>
      <c r="D492" s="1327"/>
      <c r="E492" s="1327"/>
      <c r="F492" s="1327" t="s">
        <v>215</v>
      </c>
      <c r="G492" s="1007"/>
      <c r="H492" s="622" t="s">
        <v>35</v>
      </c>
      <c r="I492" s="880">
        <f ca="1">IFERROR(__xludf.DUMMYFUNCTION("IMPORTRANGE(""https://docs.google.com/spreadsheets/d/1QqKyyYR6Q21VydFLVH3TRQUabQu_ym0Zz7PgGX0-kHA/edit?usp=sharing"",""แผน!GC87"")"),1)</f>
        <v>1</v>
      </c>
      <c r="J492" s="1012">
        <v>1</v>
      </c>
      <c r="K492" s="881">
        <f ca="1">IF(I492&gt;0,J492*100/I492,0)</f>
        <v>100</v>
      </c>
      <c r="L492" s="881"/>
      <c r="M492" s="881"/>
      <c r="N492" s="881"/>
      <c r="O492" s="881"/>
      <c r="P492" s="881"/>
      <c r="Q492" s="1302"/>
      <c r="R492" s="1302"/>
      <c r="S492" s="1302"/>
      <c r="T492" s="1302"/>
      <c r="U492" s="1302"/>
      <c r="V492" s="1302"/>
      <c r="W492" s="1302"/>
      <c r="X492" s="1302"/>
      <c r="Y492" s="1302"/>
      <c r="Z492" s="1302"/>
    </row>
    <row r="493" spans="1:26" ht="19.5">
      <c r="A493" s="1326"/>
      <c r="B493" s="1327"/>
      <c r="C493" s="1327"/>
      <c r="D493" s="1336" t="s">
        <v>59</v>
      </c>
      <c r="E493" s="1327"/>
      <c r="F493" s="1014"/>
      <c r="G493" s="1007"/>
      <c r="H493" s="1016"/>
      <c r="I493" s="880"/>
      <c r="J493" s="880"/>
      <c r="K493" s="881"/>
      <c r="L493" s="881"/>
      <c r="M493" s="881"/>
      <c r="N493" s="881"/>
      <c r="O493" s="881"/>
      <c r="P493" s="881"/>
      <c r="Q493" s="1302"/>
      <c r="R493" s="1302"/>
      <c r="S493" s="1302"/>
      <c r="T493" s="1302"/>
      <c r="U493" s="1302"/>
      <c r="V493" s="1302"/>
      <c r="W493" s="1302"/>
      <c r="X493" s="1302"/>
      <c r="Y493" s="1302"/>
      <c r="Z493" s="1302"/>
    </row>
    <row r="494" spans="1:26" ht="18.75">
      <c r="A494" s="1326"/>
      <c r="B494" s="1327"/>
      <c r="C494" s="1327"/>
      <c r="D494" s="1327"/>
      <c r="E494" s="1327" t="s">
        <v>208</v>
      </c>
      <c r="F494" s="1014"/>
      <c r="G494" s="1007"/>
      <c r="H494" s="1016"/>
      <c r="I494" s="880"/>
      <c r="J494" s="880"/>
      <c r="K494" s="881"/>
      <c r="L494" s="881"/>
      <c r="M494" s="881"/>
      <c r="N494" s="881"/>
      <c r="O494" s="881"/>
      <c r="P494" s="881"/>
      <c r="Q494" s="1302"/>
      <c r="R494" s="1302"/>
      <c r="S494" s="1302"/>
      <c r="T494" s="1302"/>
      <c r="U494" s="1302"/>
      <c r="V494" s="1302"/>
      <c r="W494" s="1302"/>
      <c r="X494" s="1302"/>
      <c r="Y494" s="1302"/>
      <c r="Z494" s="1302"/>
    </row>
    <row r="495" spans="1:26" ht="18.75">
      <c r="A495" s="1326"/>
      <c r="B495" s="1327"/>
      <c r="C495" s="1327"/>
      <c r="D495" s="1327"/>
      <c r="E495" s="1327"/>
      <c r="F495" s="1014" t="s">
        <v>216</v>
      </c>
      <c r="G495" s="1007"/>
      <c r="H495" s="622" t="s">
        <v>46</v>
      </c>
      <c r="I495" s="880">
        <f ca="1">IFERROR(__xludf.DUMMYFUNCTION("IMPORTRANGE(""https://docs.google.com/spreadsheets/d/1QqKyyYR6Q21VydFLVH3TRQUabQu_ym0Zz7PgGX0-kHA/edit?usp=sharing"",""แผน!FY87"")"),90)</f>
        <v>90</v>
      </c>
      <c r="J495" s="1012">
        <v>0</v>
      </c>
      <c r="K495" s="881">
        <f ca="1">IF(I495&gt;0,J495*100/I495,0)</f>
        <v>0</v>
      </c>
      <c r="L495" s="881"/>
      <c r="M495" s="881"/>
      <c r="N495" s="881"/>
      <c r="O495" s="881"/>
      <c r="P495" s="881"/>
      <c r="Q495" s="1302"/>
      <c r="R495" s="1302"/>
      <c r="S495" s="1302"/>
      <c r="T495" s="1302"/>
      <c r="U495" s="1302"/>
      <c r="V495" s="1302"/>
      <c r="W495" s="1302"/>
      <c r="X495" s="1302"/>
      <c r="Y495" s="1302"/>
      <c r="Z495" s="1302"/>
    </row>
    <row r="496" spans="1:26" ht="18.75">
      <c r="A496" s="1326"/>
      <c r="B496" s="1327"/>
      <c r="C496" s="1327"/>
      <c r="D496" s="1327"/>
      <c r="E496" s="1327"/>
      <c r="F496" s="1014" t="s">
        <v>217</v>
      </c>
      <c r="G496" s="1007"/>
      <c r="H496" s="622" t="s">
        <v>46</v>
      </c>
      <c r="I496" s="880"/>
      <c r="J496" s="1012">
        <v>0</v>
      </c>
      <c r="K496" s="881"/>
      <c r="L496" s="881"/>
      <c r="M496" s="881"/>
      <c r="N496" s="881"/>
      <c r="O496" s="881"/>
      <c r="P496" s="881"/>
      <c r="Q496" s="1302"/>
      <c r="R496" s="1302"/>
      <c r="S496" s="1302"/>
      <c r="T496" s="1302"/>
      <c r="U496" s="1302"/>
      <c r="V496" s="1302"/>
      <c r="W496" s="1302"/>
      <c r="X496" s="1302"/>
      <c r="Y496" s="1302"/>
      <c r="Z496" s="1302"/>
    </row>
    <row r="497" spans="1:26" ht="18.75">
      <c r="A497" s="1326"/>
      <c r="B497" s="1327"/>
      <c r="C497" s="1327"/>
      <c r="D497" s="1327"/>
      <c r="E497" s="1327" t="s">
        <v>62</v>
      </c>
      <c r="F497" s="1014"/>
      <c r="G497" s="1007"/>
      <c r="H497" s="1016"/>
      <c r="I497" s="880"/>
      <c r="J497" s="880"/>
      <c r="K497" s="881"/>
      <c r="L497" s="881"/>
      <c r="M497" s="881"/>
      <c r="N497" s="881"/>
      <c r="O497" s="881"/>
      <c r="P497" s="881"/>
      <c r="Q497" s="1302"/>
      <c r="R497" s="1302"/>
      <c r="S497" s="1302"/>
      <c r="T497" s="1302"/>
      <c r="U497" s="1302"/>
      <c r="V497" s="1302"/>
      <c r="W497" s="1302"/>
      <c r="X497" s="1302"/>
      <c r="Y497" s="1302"/>
      <c r="Z497" s="1302"/>
    </row>
    <row r="498" spans="1:26" ht="18.75">
      <c r="A498" s="1326"/>
      <c r="B498" s="1327"/>
      <c r="C498" s="1327"/>
      <c r="D498" s="1327"/>
      <c r="E498" s="1014"/>
      <c r="F498" s="1014" t="s">
        <v>218</v>
      </c>
      <c r="G498" s="1007"/>
      <c r="H498" s="622" t="s">
        <v>46</v>
      </c>
      <c r="I498" s="880">
        <f ca="1">IFERROR(__xludf.DUMMYFUNCTION("IMPORTRANGE(""https://docs.google.com/spreadsheets/d/1QqKyyYR6Q21VydFLVH3TRQUabQu_ym0Zz7PgGX0-kHA/edit?usp=sharing"",""แผน!GA87"")"),10)</f>
        <v>10</v>
      </c>
      <c r="J498" s="1012">
        <v>0</v>
      </c>
      <c r="K498" s="881">
        <f ca="1">IF(I498&gt;0,J498*100/I498,0)</f>
        <v>0</v>
      </c>
      <c r="L498" s="881"/>
      <c r="M498" s="881"/>
      <c r="N498" s="881"/>
      <c r="O498" s="881"/>
      <c r="P498" s="881"/>
      <c r="Q498" s="1302"/>
      <c r="R498" s="1302"/>
      <c r="S498" s="1302"/>
      <c r="T498" s="1302"/>
      <c r="U498" s="1302"/>
      <c r="V498" s="1302"/>
      <c r="W498" s="1302"/>
      <c r="X498" s="1302"/>
      <c r="Y498" s="1302"/>
      <c r="Z498" s="1302"/>
    </row>
    <row r="499" spans="1:26" ht="18.75">
      <c r="A499" s="1326"/>
      <c r="B499" s="1327"/>
      <c r="C499" s="1327"/>
      <c r="D499" s="1327"/>
      <c r="E499" s="1014"/>
      <c r="F499" s="1014" t="s">
        <v>219</v>
      </c>
      <c r="G499" s="1007"/>
      <c r="H499" s="622" t="s">
        <v>46</v>
      </c>
      <c r="I499" s="880"/>
      <c r="J499" s="1012">
        <v>0</v>
      </c>
      <c r="K499" s="881"/>
      <c r="L499" s="881"/>
      <c r="M499" s="881"/>
      <c r="N499" s="881"/>
      <c r="O499" s="881"/>
      <c r="P499" s="881"/>
      <c r="Q499" s="1302"/>
      <c r="R499" s="1302"/>
      <c r="S499" s="1302"/>
      <c r="T499" s="1302"/>
      <c r="U499" s="1302"/>
      <c r="V499" s="1302"/>
      <c r="W499" s="1302"/>
      <c r="X499" s="1302"/>
      <c r="Y499" s="1302"/>
      <c r="Z499" s="1302"/>
    </row>
    <row r="500" spans="1:26" ht="19.5" hidden="1">
      <c r="A500" s="626">
        <v>4</v>
      </c>
      <c r="B500" s="1337" t="s">
        <v>220</v>
      </c>
      <c r="C500" s="1338"/>
      <c r="D500" s="1339"/>
      <c r="E500" s="1339"/>
      <c r="F500" s="1339"/>
      <c r="G500" s="1340"/>
      <c r="H500" s="631" t="s">
        <v>109</v>
      </c>
      <c r="I500" s="1341"/>
      <c r="J500" s="1341">
        <f t="shared" ref="J500:J501" si="214">J516</f>
        <v>0</v>
      </c>
      <c r="K500" s="1342">
        <f t="shared" ref="K500:K501" si="215">IF(I500&gt;0,J500*100/I500,0)</f>
        <v>0</v>
      </c>
      <c r="L500" s="1343"/>
      <c r="M500" s="1343"/>
      <c r="N500" s="1343"/>
      <c r="O500" s="1343"/>
      <c r="P500" s="1343"/>
      <c r="Q500" s="1323"/>
      <c r="R500" s="1323"/>
      <c r="S500" s="1323"/>
      <c r="T500" s="1323"/>
      <c r="U500" s="1323"/>
      <c r="V500" s="1323"/>
      <c r="W500" s="1323"/>
      <c r="X500" s="1323"/>
      <c r="Y500" s="1323"/>
      <c r="Z500" s="1323"/>
    </row>
    <row r="501" spans="1:26" ht="19.5" hidden="1">
      <c r="A501" s="1344"/>
      <c r="B501" s="1345" t="s">
        <v>221</v>
      </c>
      <c r="C501" s="1345"/>
      <c r="D501" s="1346"/>
      <c r="E501" s="1346"/>
      <c r="F501" s="1346"/>
      <c r="G501" s="1347"/>
      <c r="H501" s="640" t="s">
        <v>35</v>
      </c>
      <c r="I501" s="1348"/>
      <c r="J501" s="1348">
        <f t="shared" si="214"/>
        <v>0</v>
      </c>
      <c r="K501" s="1349">
        <f t="shared" si="215"/>
        <v>0</v>
      </c>
      <c r="L501" s="1350"/>
      <c r="M501" s="1350"/>
      <c r="N501" s="1350"/>
      <c r="O501" s="1350"/>
      <c r="P501" s="1350"/>
      <c r="Q501" s="1323"/>
      <c r="R501" s="1323"/>
      <c r="S501" s="1323"/>
      <c r="T501" s="1323"/>
      <c r="U501" s="1323"/>
      <c r="V501" s="1323"/>
      <c r="W501" s="1323"/>
      <c r="X501" s="1323"/>
      <c r="Y501" s="1323"/>
      <c r="Z501" s="1323"/>
    </row>
    <row r="502" spans="1:26" ht="19.5" hidden="1">
      <c r="A502" s="1319"/>
      <c r="B502" s="1320"/>
      <c r="C502" s="1320" t="s">
        <v>16</v>
      </c>
      <c r="D502" s="1351" t="s">
        <v>17</v>
      </c>
      <c r="E502" s="841"/>
      <c r="F502" s="841"/>
      <c r="G502" s="1322"/>
      <c r="H502" s="644" t="s">
        <v>12</v>
      </c>
      <c r="I502" s="886"/>
      <c r="J502" s="886"/>
      <c r="K502" s="887"/>
      <c r="L502" s="1352">
        <f t="shared" ref="L502:N502" si="216">L503+L504</f>
        <v>0</v>
      </c>
      <c r="M502" s="1352">
        <f t="shared" si="216"/>
        <v>0</v>
      </c>
      <c r="N502" s="1352">
        <f t="shared" si="216"/>
        <v>0</v>
      </c>
      <c r="O502" s="1352">
        <f t="shared" ref="O502:O507" si="217">IF(L502&gt;0,N502*100/L502,0)</f>
        <v>0</v>
      </c>
      <c r="P502" s="1352">
        <f t="shared" ref="P502:P507" si="218">IF(M502&gt;0,N502*100/M502,0)</f>
        <v>0</v>
      </c>
      <c r="Q502" s="1323"/>
      <c r="R502" s="1323"/>
      <c r="S502" s="1323"/>
      <c r="T502" s="1323"/>
      <c r="U502" s="1323"/>
      <c r="V502" s="1323"/>
      <c r="W502" s="1323"/>
      <c r="X502" s="1323"/>
      <c r="Y502" s="1323"/>
      <c r="Z502" s="1323"/>
    </row>
    <row r="503" spans="1:26" ht="18.75" hidden="1">
      <c r="A503" s="1319"/>
      <c r="B503" s="1320"/>
      <c r="C503" s="1320"/>
      <c r="D503" s="1321"/>
      <c r="E503" s="1320" t="s">
        <v>185</v>
      </c>
      <c r="F503" s="1320"/>
      <c r="G503" s="1322"/>
      <c r="H503" s="165" t="s">
        <v>12</v>
      </c>
      <c r="I503" s="886"/>
      <c r="J503" s="886"/>
      <c r="K503" s="887"/>
      <c r="L503" s="887">
        <f t="shared" ref="L503:N504" si="219">L506+L513</f>
        <v>0</v>
      </c>
      <c r="M503" s="887">
        <f t="shared" si="219"/>
        <v>0</v>
      </c>
      <c r="N503" s="887">
        <f t="shared" si="219"/>
        <v>0</v>
      </c>
      <c r="O503" s="887">
        <f t="shared" si="217"/>
        <v>0</v>
      </c>
      <c r="P503" s="887">
        <f t="shared" si="218"/>
        <v>0</v>
      </c>
      <c r="Q503" s="1323"/>
      <c r="R503" s="1323"/>
      <c r="S503" s="1323"/>
      <c r="T503" s="1323"/>
      <c r="U503" s="1323"/>
      <c r="V503" s="1323"/>
      <c r="W503" s="1323"/>
      <c r="X503" s="1323"/>
      <c r="Y503" s="1323"/>
      <c r="Z503" s="1323"/>
    </row>
    <row r="504" spans="1:26" ht="18.75" hidden="1">
      <c r="A504" s="1319"/>
      <c r="B504" s="1324"/>
      <c r="C504" s="1320"/>
      <c r="D504" s="1321"/>
      <c r="E504" s="1320" t="s">
        <v>186</v>
      </c>
      <c r="F504" s="1320"/>
      <c r="G504" s="1322"/>
      <c r="H504" s="165" t="s">
        <v>12</v>
      </c>
      <c r="I504" s="886"/>
      <c r="J504" s="886"/>
      <c r="K504" s="887"/>
      <c r="L504" s="887">
        <f t="shared" si="219"/>
        <v>0</v>
      </c>
      <c r="M504" s="887">
        <f t="shared" si="219"/>
        <v>0</v>
      </c>
      <c r="N504" s="887">
        <f t="shared" si="219"/>
        <v>0</v>
      </c>
      <c r="O504" s="887">
        <f t="shared" si="217"/>
        <v>0</v>
      </c>
      <c r="P504" s="887">
        <f t="shared" si="218"/>
        <v>0</v>
      </c>
      <c r="Q504" s="1323"/>
      <c r="R504" s="1323"/>
      <c r="S504" s="1323"/>
      <c r="T504" s="1323"/>
      <c r="U504" s="1323"/>
      <c r="V504" s="1323"/>
      <c r="W504" s="1323"/>
      <c r="X504" s="1323"/>
      <c r="Y504" s="1323"/>
      <c r="Z504" s="1323"/>
    </row>
    <row r="505" spans="1:26" ht="18.75" hidden="1">
      <c r="A505" s="1319"/>
      <c r="B505" s="1324"/>
      <c r="C505" s="1320"/>
      <c r="D505" s="1353" t="s">
        <v>20</v>
      </c>
      <c r="E505" s="1320"/>
      <c r="F505" s="1320"/>
      <c r="G505" s="1322"/>
      <c r="H505" s="165" t="s">
        <v>12</v>
      </c>
      <c r="I505" s="1000"/>
      <c r="J505" s="1000"/>
      <c r="K505" s="1001"/>
      <c r="L505" s="887">
        <f t="shared" ref="L505:N505" si="220">L506+L507</f>
        <v>0</v>
      </c>
      <c r="M505" s="887">
        <f t="shared" si="220"/>
        <v>0</v>
      </c>
      <c r="N505" s="887">
        <f t="shared" si="220"/>
        <v>0</v>
      </c>
      <c r="O505" s="887">
        <f t="shared" si="217"/>
        <v>0</v>
      </c>
      <c r="P505" s="887">
        <f t="shared" si="218"/>
        <v>0</v>
      </c>
      <c r="Q505" s="1323"/>
      <c r="R505" s="1323"/>
      <c r="S505" s="1323"/>
      <c r="T505" s="1323"/>
      <c r="U505" s="1323"/>
      <c r="V505" s="1323"/>
      <c r="W505" s="1323"/>
      <c r="X505" s="1323"/>
      <c r="Y505" s="1323"/>
      <c r="Z505" s="1323"/>
    </row>
    <row r="506" spans="1:26" ht="18.75" hidden="1">
      <c r="A506" s="1319"/>
      <c r="B506" s="1324"/>
      <c r="C506" s="1320"/>
      <c r="D506" s="1321"/>
      <c r="E506" s="1320" t="s">
        <v>185</v>
      </c>
      <c r="F506" s="1320"/>
      <c r="G506" s="1322"/>
      <c r="H506" s="165" t="s">
        <v>12</v>
      </c>
      <c r="I506" s="886"/>
      <c r="J506" s="886"/>
      <c r="K506" s="887"/>
      <c r="L506" s="887">
        <v>0</v>
      </c>
      <c r="M506" s="887">
        <v>0</v>
      </c>
      <c r="N506" s="887">
        <v>0</v>
      </c>
      <c r="O506" s="887">
        <f t="shared" si="217"/>
        <v>0</v>
      </c>
      <c r="P506" s="887">
        <f t="shared" si="218"/>
        <v>0</v>
      </c>
      <c r="Q506" s="1323"/>
      <c r="R506" s="1323"/>
      <c r="S506" s="1323"/>
      <c r="T506" s="1323"/>
      <c r="U506" s="1323"/>
      <c r="V506" s="1323"/>
      <c r="W506" s="1323"/>
      <c r="X506" s="1323"/>
      <c r="Y506" s="1323"/>
      <c r="Z506" s="1323"/>
    </row>
    <row r="507" spans="1:26" ht="18.75" hidden="1">
      <c r="A507" s="1319"/>
      <c r="B507" s="1324"/>
      <c r="C507" s="1320"/>
      <c r="D507" s="1321"/>
      <c r="E507" s="1320" t="s">
        <v>186</v>
      </c>
      <c r="F507" s="1320"/>
      <c r="G507" s="1322"/>
      <c r="H507" s="165" t="s">
        <v>12</v>
      </c>
      <c r="I507" s="886"/>
      <c r="J507" s="886"/>
      <c r="K507" s="887"/>
      <c r="L507" s="887">
        <v>0</v>
      </c>
      <c r="M507" s="887">
        <v>0</v>
      </c>
      <c r="N507" s="887">
        <f>N508+N509+N510+N511</f>
        <v>0</v>
      </c>
      <c r="O507" s="887">
        <f t="shared" si="217"/>
        <v>0</v>
      </c>
      <c r="P507" s="887">
        <f t="shared" si="218"/>
        <v>0</v>
      </c>
      <c r="Q507" s="1323"/>
      <c r="R507" s="1323"/>
      <c r="S507" s="1323"/>
      <c r="T507" s="1323"/>
      <c r="U507" s="1323"/>
      <c r="V507" s="1323"/>
      <c r="W507" s="1323"/>
      <c r="X507" s="1323"/>
      <c r="Y507" s="1323"/>
      <c r="Z507" s="1323"/>
    </row>
    <row r="508" spans="1:26" ht="18.75" hidden="1">
      <c r="A508" s="1354"/>
      <c r="B508" s="1324"/>
      <c r="C508" s="1320"/>
      <c r="D508" s="1320"/>
      <c r="E508" s="1320"/>
      <c r="F508" s="1320" t="s">
        <v>187</v>
      </c>
      <c r="G508" s="1322"/>
      <c r="H508" s="165" t="s">
        <v>12</v>
      </c>
      <c r="I508" s="886"/>
      <c r="J508" s="886"/>
      <c r="K508" s="887"/>
      <c r="L508" s="887"/>
      <c r="M508" s="887"/>
      <c r="N508" s="887">
        <v>0</v>
      </c>
      <c r="O508" s="887"/>
      <c r="P508" s="887"/>
      <c r="Q508" s="1323"/>
      <c r="R508" s="1323"/>
      <c r="S508" s="1323"/>
      <c r="T508" s="1323"/>
      <c r="U508" s="1323"/>
      <c r="V508" s="1323"/>
      <c r="W508" s="1323"/>
      <c r="X508" s="1323"/>
      <c r="Y508" s="1323"/>
      <c r="Z508" s="1323"/>
    </row>
    <row r="509" spans="1:26" ht="18.75" hidden="1">
      <c r="A509" s="1354"/>
      <c r="B509" s="1324"/>
      <c r="C509" s="1320"/>
      <c r="D509" s="1320"/>
      <c r="E509" s="1320"/>
      <c r="F509" s="1320" t="s">
        <v>188</v>
      </c>
      <c r="G509" s="1322"/>
      <c r="H509" s="165" t="s">
        <v>12</v>
      </c>
      <c r="I509" s="886"/>
      <c r="J509" s="886"/>
      <c r="K509" s="887"/>
      <c r="L509" s="887"/>
      <c r="M509" s="887"/>
      <c r="N509" s="887">
        <v>0</v>
      </c>
      <c r="O509" s="887"/>
      <c r="P509" s="887"/>
      <c r="Q509" s="1323"/>
      <c r="R509" s="1323"/>
      <c r="S509" s="1323"/>
      <c r="T509" s="1323"/>
      <c r="U509" s="1323"/>
      <c r="V509" s="1323"/>
      <c r="W509" s="1323"/>
      <c r="X509" s="1323"/>
      <c r="Y509" s="1323"/>
      <c r="Z509" s="1323"/>
    </row>
    <row r="510" spans="1:26" ht="18.75" hidden="1">
      <c r="A510" s="1354"/>
      <c r="B510" s="1324"/>
      <c r="C510" s="1324"/>
      <c r="D510" s="1324"/>
      <c r="E510" s="1320"/>
      <c r="F510" s="1320" t="s">
        <v>189</v>
      </c>
      <c r="G510" s="1322"/>
      <c r="H510" s="165" t="s">
        <v>12</v>
      </c>
      <c r="I510" s="886"/>
      <c r="J510" s="886"/>
      <c r="K510" s="887"/>
      <c r="L510" s="887"/>
      <c r="M510" s="887"/>
      <c r="N510" s="887">
        <v>0</v>
      </c>
      <c r="O510" s="887"/>
      <c r="P510" s="887"/>
      <c r="Q510" s="1323"/>
      <c r="R510" s="1323"/>
      <c r="S510" s="1323"/>
      <c r="T510" s="1323"/>
      <c r="U510" s="1323"/>
      <c r="V510" s="1323"/>
      <c r="W510" s="1323"/>
      <c r="X510" s="1323"/>
      <c r="Y510" s="1323"/>
      <c r="Z510" s="1323"/>
    </row>
    <row r="511" spans="1:26" ht="18.75" hidden="1">
      <c r="A511" s="1354"/>
      <c r="B511" s="1324"/>
      <c r="C511" s="1324"/>
      <c r="D511" s="1324"/>
      <c r="E511" s="1320"/>
      <c r="F511" s="1320" t="s">
        <v>190</v>
      </c>
      <c r="G511" s="1322"/>
      <c r="H511" s="165" t="s">
        <v>12</v>
      </c>
      <c r="I511" s="886"/>
      <c r="J511" s="886"/>
      <c r="K511" s="887"/>
      <c r="L511" s="887"/>
      <c r="M511" s="887"/>
      <c r="N511" s="887">
        <v>0</v>
      </c>
      <c r="O511" s="887"/>
      <c r="P511" s="887"/>
      <c r="Q511" s="1323"/>
      <c r="R511" s="1323"/>
      <c r="S511" s="1323"/>
      <c r="T511" s="1323"/>
      <c r="U511" s="1323"/>
      <c r="V511" s="1323"/>
      <c r="W511" s="1323"/>
      <c r="X511" s="1323"/>
      <c r="Y511" s="1323"/>
      <c r="Z511" s="1323"/>
    </row>
    <row r="512" spans="1:26" ht="18.75" hidden="1">
      <c r="A512" s="1319"/>
      <c r="B512" s="1324"/>
      <c r="C512" s="1324"/>
      <c r="D512" s="1353" t="s">
        <v>21</v>
      </c>
      <c r="E512" s="1324"/>
      <c r="F512" s="1320"/>
      <c r="G512" s="1322"/>
      <c r="H512" s="169" t="s">
        <v>12</v>
      </c>
      <c r="I512" s="1000"/>
      <c r="J512" s="1000"/>
      <c r="K512" s="1001"/>
      <c r="L512" s="887">
        <f t="shared" ref="L512:N512" si="221">L513+L514</f>
        <v>0</v>
      </c>
      <c r="M512" s="887">
        <f t="shared" si="221"/>
        <v>0</v>
      </c>
      <c r="N512" s="887">
        <f t="shared" si="221"/>
        <v>0</v>
      </c>
      <c r="O512" s="887">
        <f t="shared" ref="O512:O514" si="222">IF(L512&gt;0,N512*100/L512,0)</f>
        <v>0</v>
      </c>
      <c r="P512" s="887">
        <f t="shared" ref="P512:P514" si="223">IF(M512&gt;0,N512*100/M512,0)</f>
        <v>0</v>
      </c>
      <c r="Q512" s="1323"/>
      <c r="R512" s="1323"/>
      <c r="S512" s="1323"/>
      <c r="T512" s="1323"/>
      <c r="U512" s="1323"/>
      <c r="V512" s="1323"/>
      <c r="W512" s="1323"/>
      <c r="X512" s="1323"/>
      <c r="Y512" s="1323"/>
      <c r="Z512" s="1323"/>
    </row>
    <row r="513" spans="1:26" ht="18.75" hidden="1">
      <c r="A513" s="1319"/>
      <c r="B513" s="1324"/>
      <c r="C513" s="1324"/>
      <c r="D513" s="1324"/>
      <c r="E513" s="1324" t="s">
        <v>18</v>
      </c>
      <c r="F513" s="1320"/>
      <c r="G513" s="1322"/>
      <c r="H513" s="165" t="s">
        <v>12</v>
      </c>
      <c r="I513" s="1000"/>
      <c r="J513" s="1000"/>
      <c r="K513" s="1001"/>
      <c r="L513" s="887">
        <v>0</v>
      </c>
      <c r="M513" s="887">
        <v>0</v>
      </c>
      <c r="N513" s="887">
        <v>0</v>
      </c>
      <c r="O513" s="887">
        <f t="shared" si="222"/>
        <v>0</v>
      </c>
      <c r="P513" s="887">
        <f t="shared" si="223"/>
        <v>0</v>
      </c>
      <c r="Q513" s="1323"/>
      <c r="R513" s="1323"/>
      <c r="S513" s="1323"/>
      <c r="T513" s="1323"/>
      <c r="U513" s="1323"/>
      <c r="V513" s="1323"/>
      <c r="W513" s="1323"/>
      <c r="X513" s="1323"/>
      <c r="Y513" s="1323"/>
      <c r="Z513" s="1323"/>
    </row>
    <row r="514" spans="1:26" ht="18.75" hidden="1">
      <c r="A514" s="1319"/>
      <c r="B514" s="1324"/>
      <c r="C514" s="1324"/>
      <c r="D514" s="1320"/>
      <c r="E514" s="1324" t="s">
        <v>19</v>
      </c>
      <c r="F514" s="1320"/>
      <c r="G514" s="1322"/>
      <c r="H514" s="169" t="s">
        <v>12</v>
      </c>
      <c r="I514" s="1000"/>
      <c r="J514" s="1000"/>
      <c r="K514" s="1001"/>
      <c r="L514" s="887">
        <v>0</v>
      </c>
      <c r="M514" s="887">
        <v>0</v>
      </c>
      <c r="N514" s="887">
        <v>0</v>
      </c>
      <c r="O514" s="887">
        <f t="shared" si="222"/>
        <v>0</v>
      </c>
      <c r="P514" s="887">
        <f t="shared" si="223"/>
        <v>0</v>
      </c>
      <c r="Q514" s="1323"/>
      <c r="R514" s="1323"/>
      <c r="S514" s="1323"/>
      <c r="T514" s="1323"/>
      <c r="U514" s="1323"/>
      <c r="V514" s="1323"/>
      <c r="W514" s="1323"/>
      <c r="X514" s="1323"/>
      <c r="Y514" s="1323"/>
      <c r="Z514" s="1323"/>
    </row>
    <row r="515" spans="1:26" ht="19.5" hidden="1">
      <c r="A515" s="1332"/>
      <c r="B515" s="1333"/>
      <c r="C515" s="1324" t="s">
        <v>16</v>
      </c>
      <c r="D515" s="1355" t="s">
        <v>38</v>
      </c>
      <c r="E515" s="1356"/>
      <c r="F515" s="1356"/>
      <c r="G515" s="1357"/>
      <c r="H515" s="1113"/>
      <c r="I515" s="1000"/>
      <c r="J515" s="1000"/>
      <c r="K515" s="1001"/>
      <c r="L515" s="1001"/>
      <c r="M515" s="1001"/>
      <c r="N515" s="1001"/>
      <c r="O515" s="1001"/>
      <c r="P515" s="1001"/>
      <c r="Q515" s="1323"/>
      <c r="R515" s="1323"/>
      <c r="S515" s="1323"/>
      <c r="T515" s="1323"/>
      <c r="U515" s="1323"/>
      <c r="V515" s="1323"/>
      <c r="W515" s="1323"/>
      <c r="X515" s="1323"/>
      <c r="Y515" s="1323"/>
      <c r="Z515" s="1323"/>
    </row>
    <row r="516" spans="1:26" ht="18.75" hidden="1">
      <c r="A516" s="1332"/>
      <c r="B516" s="1333"/>
      <c r="C516" s="1333"/>
      <c r="D516" s="1333" t="s">
        <v>222</v>
      </c>
      <c r="E516" s="1321"/>
      <c r="F516" s="1321"/>
      <c r="G516" s="1113"/>
      <c r="H516" s="651" t="s">
        <v>109</v>
      </c>
      <c r="I516" s="886"/>
      <c r="J516" s="886">
        <v>0</v>
      </c>
      <c r="K516" s="1001">
        <f t="shared" ref="K516:K517" si="224">IF(I516&gt;0,J516*100/I516,0)</f>
        <v>0</v>
      </c>
      <c r="L516" s="1001"/>
      <c r="M516" s="1001"/>
      <c r="N516" s="1001"/>
      <c r="O516" s="1001"/>
      <c r="P516" s="1001"/>
      <c r="Q516" s="1323"/>
      <c r="R516" s="1323"/>
      <c r="S516" s="1323"/>
      <c r="T516" s="1323"/>
      <c r="U516" s="1323"/>
      <c r="V516" s="1323"/>
      <c r="W516" s="1323"/>
      <c r="X516" s="1323"/>
      <c r="Y516" s="1323"/>
      <c r="Z516" s="1323"/>
    </row>
    <row r="517" spans="1:26" ht="19.5" hidden="1">
      <c r="A517" s="1332"/>
      <c r="B517" s="1333"/>
      <c r="C517" s="1333"/>
      <c r="D517" s="1333" t="s">
        <v>223</v>
      </c>
      <c r="E517" s="1321"/>
      <c r="F517" s="1321"/>
      <c r="G517" s="1113"/>
      <c r="H517" s="652" t="s">
        <v>35</v>
      </c>
      <c r="I517" s="1358"/>
      <c r="J517" s="1358">
        <f>J518+J519</f>
        <v>0</v>
      </c>
      <c r="K517" s="1359">
        <f t="shared" si="224"/>
        <v>0</v>
      </c>
      <c r="L517" s="1001"/>
      <c r="M517" s="1001"/>
      <c r="N517" s="1001"/>
      <c r="O517" s="1001"/>
      <c r="P517" s="1001"/>
      <c r="Q517" s="1323"/>
      <c r="R517" s="1323"/>
      <c r="S517" s="1323"/>
      <c r="T517" s="1323"/>
      <c r="U517" s="1323"/>
      <c r="V517" s="1323"/>
      <c r="W517" s="1323"/>
      <c r="X517" s="1323"/>
      <c r="Y517" s="1323"/>
      <c r="Z517" s="1323"/>
    </row>
    <row r="518" spans="1:26" ht="18.75" hidden="1">
      <c r="A518" s="1332"/>
      <c r="B518" s="1333"/>
      <c r="C518" s="1333"/>
      <c r="D518" s="1333"/>
      <c r="E518" s="1333" t="s">
        <v>224</v>
      </c>
      <c r="F518" s="1321"/>
      <c r="G518" s="1113"/>
      <c r="H518" s="370" t="s">
        <v>35</v>
      </c>
      <c r="I518" s="886"/>
      <c r="J518" s="886"/>
      <c r="K518" s="1001"/>
      <c r="L518" s="1001"/>
      <c r="M518" s="1001"/>
      <c r="N518" s="1001"/>
      <c r="O518" s="1001"/>
      <c r="P518" s="1001"/>
      <c r="Q518" s="1323"/>
      <c r="R518" s="1323"/>
      <c r="S518" s="1323"/>
      <c r="T518" s="1323"/>
      <c r="U518" s="1323"/>
      <c r="V518" s="1323"/>
      <c r="W518" s="1323"/>
      <c r="X518" s="1323"/>
      <c r="Y518" s="1323"/>
      <c r="Z518" s="1323"/>
    </row>
    <row r="519" spans="1:26" ht="18.75" hidden="1">
      <c r="A519" s="1332"/>
      <c r="B519" s="1333"/>
      <c r="C519" s="1333"/>
      <c r="D519" s="1333"/>
      <c r="E519" s="1333" t="s">
        <v>225</v>
      </c>
      <c r="F519" s="1321"/>
      <c r="G519" s="1113"/>
      <c r="H519" s="651" t="s">
        <v>35</v>
      </c>
      <c r="I519" s="886"/>
      <c r="J519" s="886"/>
      <c r="K519" s="1001"/>
      <c r="L519" s="1001"/>
      <c r="M519" s="1001"/>
      <c r="N519" s="1001"/>
      <c r="O519" s="1001"/>
      <c r="P519" s="1001"/>
      <c r="Q519" s="1323"/>
      <c r="R519" s="1323"/>
      <c r="S519" s="1323"/>
      <c r="T519" s="1323"/>
      <c r="U519" s="1323"/>
      <c r="V519" s="1323"/>
      <c r="W519" s="1323"/>
      <c r="X519" s="1323"/>
      <c r="Y519" s="1323"/>
      <c r="Z519" s="1323"/>
    </row>
    <row r="520" spans="1:26" ht="19.5">
      <c r="A520" s="1360" t="s">
        <v>137</v>
      </c>
      <c r="B520" s="1361"/>
      <c r="C520" s="1361"/>
      <c r="D520" s="1362"/>
      <c r="E520" s="1362"/>
      <c r="F520" s="1362"/>
      <c r="G520" s="1363"/>
      <c r="H520" s="1364"/>
      <c r="I520" s="1365"/>
      <c r="J520" s="1365"/>
      <c r="K520" s="1366"/>
      <c r="L520" s="1366"/>
      <c r="M520" s="1366"/>
      <c r="N520" s="1366"/>
      <c r="O520" s="1366"/>
      <c r="P520" s="1366"/>
    </row>
    <row r="521" spans="1:26" ht="19.5" hidden="1">
      <c r="A521" s="662">
        <v>5</v>
      </c>
      <c r="B521" s="1367" t="s">
        <v>226</v>
      </c>
      <c r="C521" s="1368"/>
      <c r="D521" s="1369"/>
      <c r="E521" s="1369"/>
      <c r="F521" s="1369"/>
      <c r="G521" s="1369"/>
      <c r="H521" s="1370"/>
      <c r="I521" s="1371"/>
      <c r="J521" s="1371"/>
      <c r="K521" s="1372"/>
      <c r="L521" s="1372"/>
      <c r="M521" s="1372"/>
      <c r="N521" s="1372"/>
      <c r="O521" s="1372"/>
      <c r="P521" s="1372"/>
      <c r="Q521" s="1302"/>
      <c r="R521" s="1302"/>
      <c r="S521" s="1302"/>
      <c r="T521" s="1302"/>
      <c r="U521" s="1302"/>
      <c r="V521" s="1302"/>
      <c r="W521" s="1302"/>
      <c r="X521" s="1302"/>
      <c r="Y521" s="1302"/>
      <c r="Z521" s="1302"/>
    </row>
    <row r="522" spans="1:26" ht="19.5" hidden="1">
      <c r="A522" s="1373"/>
      <c r="B522" s="1374" t="s">
        <v>227</v>
      </c>
      <c r="C522" s="1375"/>
      <c r="D522" s="1375"/>
      <c r="E522" s="1375"/>
      <c r="F522" s="1375"/>
      <c r="G522" s="1376"/>
      <c r="H522" s="673" t="s">
        <v>35</v>
      </c>
      <c r="I522" s="1377">
        <f t="shared" ref="I522:J522" ca="1" si="225">I537</f>
        <v>0</v>
      </c>
      <c r="J522" s="1377">
        <f t="shared" ca="1" si="225"/>
        <v>0</v>
      </c>
      <c r="K522" s="1378">
        <f ca="1">IF(I522&gt;0,J522*100/I522,0)</f>
        <v>0</v>
      </c>
      <c r="L522" s="1379"/>
      <c r="M522" s="1379"/>
      <c r="N522" s="1379"/>
      <c r="O522" s="1379"/>
      <c r="P522" s="1379"/>
      <c r="Q522" s="1302"/>
      <c r="R522" s="1302"/>
      <c r="S522" s="1302"/>
      <c r="T522" s="1302"/>
      <c r="U522" s="1302"/>
      <c r="V522" s="1302"/>
      <c r="W522" s="1302"/>
      <c r="X522" s="1302"/>
      <c r="Y522" s="1302"/>
      <c r="Z522" s="1302"/>
    </row>
    <row r="523" spans="1:26" ht="19.5" hidden="1">
      <c r="A523" s="1317"/>
      <c r="B523" s="1301"/>
      <c r="C523" s="1301" t="s">
        <v>16</v>
      </c>
      <c r="D523" s="1318" t="s">
        <v>17</v>
      </c>
      <c r="E523" s="841"/>
      <c r="F523" s="841"/>
      <c r="G523" s="1016"/>
      <c r="H523" s="597" t="s">
        <v>12</v>
      </c>
      <c r="I523" s="880"/>
      <c r="J523" s="880"/>
      <c r="K523" s="881"/>
      <c r="L523" s="1020">
        <f t="shared" ref="L523:N523" ca="1" si="226">L524+L525</f>
        <v>0</v>
      </c>
      <c r="M523" s="1020">
        <f t="shared" si="226"/>
        <v>0</v>
      </c>
      <c r="N523" s="1020">
        <f t="shared" si="226"/>
        <v>0</v>
      </c>
      <c r="O523" s="1020">
        <f t="shared" ref="O523:O528" ca="1" si="227">IF(L523&gt;0,N523*100/L523,0)</f>
        <v>0</v>
      </c>
      <c r="P523" s="1020">
        <f t="shared" ref="P523:P528" si="228">IF(M523&gt;0,N523*100/M523,0)</f>
        <v>0</v>
      </c>
      <c r="Q523" s="1302"/>
      <c r="R523" s="1302"/>
      <c r="S523" s="1302"/>
      <c r="T523" s="1302"/>
      <c r="U523" s="1302"/>
      <c r="V523" s="1302"/>
      <c r="W523" s="1302"/>
      <c r="X523" s="1302"/>
      <c r="Y523" s="1302"/>
      <c r="Z523" s="1302"/>
    </row>
    <row r="524" spans="1:26" ht="18.75" hidden="1">
      <c r="A524" s="1319"/>
      <c r="B524" s="1320"/>
      <c r="C524" s="1320"/>
      <c r="D524" s="1321"/>
      <c r="E524" s="1320" t="s">
        <v>185</v>
      </c>
      <c r="F524" s="1320"/>
      <c r="G524" s="1322"/>
      <c r="H524" s="165" t="s">
        <v>12</v>
      </c>
      <c r="I524" s="886"/>
      <c r="J524" s="886"/>
      <c r="K524" s="887"/>
      <c r="L524" s="887">
        <f t="shared" ref="L524:N525" si="229">L527+L534</f>
        <v>0</v>
      </c>
      <c r="M524" s="887">
        <f t="shared" si="229"/>
        <v>0</v>
      </c>
      <c r="N524" s="887">
        <f t="shared" si="229"/>
        <v>0</v>
      </c>
      <c r="O524" s="887">
        <f t="shared" si="227"/>
        <v>0</v>
      </c>
      <c r="P524" s="887">
        <f t="shared" si="228"/>
        <v>0</v>
      </c>
      <c r="Q524" s="1323"/>
      <c r="R524" s="1323"/>
      <c r="S524" s="1323"/>
      <c r="T524" s="1323"/>
      <c r="U524" s="1323"/>
      <c r="V524" s="1323"/>
      <c r="W524" s="1323"/>
      <c r="X524" s="1323"/>
      <c r="Y524" s="1323"/>
      <c r="Z524" s="1323"/>
    </row>
    <row r="525" spans="1:26" ht="18.75" hidden="1">
      <c r="A525" s="1319"/>
      <c r="B525" s="1324"/>
      <c r="C525" s="1320"/>
      <c r="D525" s="1321"/>
      <c r="E525" s="1320" t="s">
        <v>186</v>
      </c>
      <c r="F525" s="1320"/>
      <c r="G525" s="1322"/>
      <c r="H525" s="165" t="s">
        <v>12</v>
      </c>
      <c r="I525" s="886"/>
      <c r="J525" s="886"/>
      <c r="K525" s="887"/>
      <c r="L525" s="887">
        <f t="shared" ca="1" si="229"/>
        <v>0</v>
      </c>
      <c r="M525" s="887">
        <f t="shared" si="229"/>
        <v>0</v>
      </c>
      <c r="N525" s="887">
        <f t="shared" si="229"/>
        <v>0</v>
      </c>
      <c r="O525" s="887">
        <f t="shared" ca="1" si="227"/>
        <v>0</v>
      </c>
      <c r="P525" s="887">
        <f t="shared" si="228"/>
        <v>0</v>
      </c>
      <c r="Q525" s="1323"/>
      <c r="R525" s="1323"/>
      <c r="S525" s="1323"/>
      <c r="T525" s="1323"/>
      <c r="U525" s="1323"/>
      <c r="V525" s="1323"/>
      <c r="W525" s="1323"/>
      <c r="X525" s="1323"/>
      <c r="Y525" s="1323"/>
      <c r="Z525" s="1323"/>
    </row>
    <row r="526" spans="1:26" ht="18.75" hidden="1">
      <c r="A526" s="1317"/>
      <c r="B526" s="1300"/>
      <c r="C526" s="1301"/>
      <c r="D526" s="1325" t="s">
        <v>20</v>
      </c>
      <c r="E526" s="1301"/>
      <c r="F526" s="1301"/>
      <c r="G526" s="1016"/>
      <c r="H526" s="161" t="s">
        <v>12</v>
      </c>
      <c r="I526" s="997"/>
      <c r="J526" s="997"/>
      <c r="K526" s="998"/>
      <c r="L526" s="881">
        <f t="shared" ref="L526:N526" ca="1" si="230">L527+L528</f>
        <v>0</v>
      </c>
      <c r="M526" s="881">
        <f t="shared" si="230"/>
        <v>0</v>
      </c>
      <c r="N526" s="881">
        <f t="shared" si="230"/>
        <v>0</v>
      </c>
      <c r="O526" s="881">
        <f t="shared" ca="1" si="227"/>
        <v>0</v>
      </c>
      <c r="P526" s="881">
        <f t="shared" si="228"/>
        <v>0</v>
      </c>
      <c r="Q526" s="1302"/>
      <c r="R526" s="1302"/>
      <c r="S526" s="1302"/>
      <c r="T526" s="1302"/>
      <c r="U526" s="1302"/>
      <c r="V526" s="1302"/>
      <c r="W526" s="1302"/>
      <c r="X526" s="1302"/>
      <c r="Y526" s="1302"/>
      <c r="Z526" s="1302"/>
    </row>
    <row r="527" spans="1:26" ht="18.75" hidden="1">
      <c r="A527" s="1319"/>
      <c r="B527" s="1324"/>
      <c r="C527" s="1320"/>
      <c r="D527" s="1321"/>
      <c r="E527" s="1320" t="s">
        <v>185</v>
      </c>
      <c r="F527" s="1320"/>
      <c r="G527" s="1322"/>
      <c r="H527" s="165" t="s">
        <v>12</v>
      </c>
      <c r="I527" s="886"/>
      <c r="J527" s="886"/>
      <c r="K527" s="887"/>
      <c r="L527" s="887">
        <v>0</v>
      </c>
      <c r="M527" s="887">
        <v>0</v>
      </c>
      <c r="N527" s="887">
        <v>0</v>
      </c>
      <c r="O527" s="887">
        <f t="shared" si="227"/>
        <v>0</v>
      </c>
      <c r="P527" s="887">
        <f t="shared" si="228"/>
        <v>0</v>
      </c>
      <c r="Q527" s="1323"/>
      <c r="R527" s="1323"/>
      <c r="S527" s="1323"/>
      <c r="T527" s="1323"/>
      <c r="U527" s="1323"/>
      <c r="V527" s="1323"/>
      <c r="W527" s="1323"/>
      <c r="X527" s="1323"/>
      <c r="Y527" s="1323"/>
      <c r="Z527" s="1323"/>
    </row>
    <row r="528" spans="1:26" ht="18.75" hidden="1">
      <c r="A528" s="1319"/>
      <c r="B528" s="1324"/>
      <c r="C528" s="1320"/>
      <c r="D528" s="1321"/>
      <c r="E528" s="1320" t="s">
        <v>186</v>
      </c>
      <c r="F528" s="1320"/>
      <c r="G528" s="1322"/>
      <c r="H528" s="165" t="s">
        <v>12</v>
      </c>
      <c r="I528" s="886"/>
      <c r="J528" s="886"/>
      <c r="K528" s="887"/>
      <c r="L528" s="887">
        <f ca="1">IFERROR(__xludf.DUMMYFUNCTION("IMPORTRANGE(""https://docs.google.com/spreadsheets/d/1QqKyyYR6Q21VydFLVH3TRQUabQu_ym0Zz7PgGX0-kHA/edit?usp=sharing"",""แผน!GQ87"")"),0)</f>
        <v>0</v>
      </c>
      <c r="M528" s="887">
        <v>0</v>
      </c>
      <c r="N528" s="887">
        <f>N529+N530+N531+N532</f>
        <v>0</v>
      </c>
      <c r="O528" s="887">
        <f t="shared" ca="1" si="227"/>
        <v>0</v>
      </c>
      <c r="P528" s="887">
        <f t="shared" si="228"/>
        <v>0</v>
      </c>
      <c r="Q528" s="1323"/>
      <c r="R528" s="1323"/>
      <c r="S528" s="1323"/>
      <c r="T528" s="1323"/>
      <c r="U528" s="1323"/>
      <c r="V528" s="1323"/>
      <c r="W528" s="1323"/>
      <c r="X528" s="1323"/>
      <c r="Y528" s="1323"/>
      <c r="Z528" s="1323"/>
    </row>
    <row r="529" spans="1:26" ht="18.75" hidden="1">
      <c r="A529" s="1299"/>
      <c r="B529" s="1300"/>
      <c r="C529" s="1301"/>
      <c r="D529" s="1301"/>
      <c r="E529" s="1301"/>
      <c r="F529" s="1301" t="s">
        <v>187</v>
      </c>
      <c r="G529" s="1016"/>
      <c r="H529" s="161" t="s">
        <v>12</v>
      </c>
      <c r="I529" s="880"/>
      <c r="J529" s="880"/>
      <c r="K529" s="881"/>
      <c r="L529" s="881"/>
      <c r="M529" s="881"/>
      <c r="N529" s="1085">
        <v>0</v>
      </c>
      <c r="O529" s="881"/>
      <c r="P529" s="881"/>
      <c r="Q529" s="1302"/>
      <c r="R529" s="1302"/>
      <c r="S529" s="1302"/>
      <c r="T529" s="1302"/>
      <c r="U529" s="1302"/>
      <c r="V529" s="1302"/>
      <c r="W529" s="1302"/>
      <c r="X529" s="1302"/>
      <c r="Y529" s="1302"/>
      <c r="Z529" s="1302"/>
    </row>
    <row r="530" spans="1:26" ht="18.75" hidden="1">
      <c r="A530" s="1299"/>
      <c r="B530" s="1300"/>
      <c r="C530" s="1301"/>
      <c r="D530" s="1301"/>
      <c r="E530" s="1301"/>
      <c r="F530" s="1301" t="s">
        <v>188</v>
      </c>
      <c r="G530" s="1016"/>
      <c r="H530" s="161" t="s">
        <v>12</v>
      </c>
      <c r="I530" s="880"/>
      <c r="J530" s="880"/>
      <c r="K530" s="881"/>
      <c r="L530" s="881"/>
      <c r="M530" s="881"/>
      <c r="N530" s="1085">
        <v>0</v>
      </c>
      <c r="O530" s="881"/>
      <c r="P530" s="881"/>
      <c r="Q530" s="1302"/>
      <c r="R530" s="1302"/>
      <c r="S530" s="1302"/>
      <c r="T530" s="1302"/>
      <c r="U530" s="1302"/>
      <c r="V530" s="1302"/>
      <c r="W530" s="1302"/>
      <c r="X530" s="1302"/>
      <c r="Y530" s="1302"/>
      <c r="Z530" s="1302"/>
    </row>
    <row r="531" spans="1:26" ht="18.75" hidden="1">
      <c r="A531" s="1299"/>
      <c r="B531" s="1300"/>
      <c r="C531" s="1301"/>
      <c r="D531" s="1301"/>
      <c r="E531" s="1301"/>
      <c r="F531" s="1301" t="s">
        <v>189</v>
      </c>
      <c r="G531" s="1016"/>
      <c r="H531" s="161" t="s">
        <v>12</v>
      </c>
      <c r="I531" s="880"/>
      <c r="J531" s="880"/>
      <c r="K531" s="881"/>
      <c r="L531" s="881"/>
      <c r="M531" s="881"/>
      <c r="N531" s="1085">
        <v>0</v>
      </c>
      <c r="O531" s="881"/>
      <c r="P531" s="881"/>
      <c r="Q531" s="1302"/>
      <c r="R531" s="1302"/>
      <c r="S531" s="1302"/>
      <c r="T531" s="1302"/>
      <c r="U531" s="1302"/>
      <c r="V531" s="1302"/>
      <c r="W531" s="1302"/>
      <c r="X531" s="1302"/>
      <c r="Y531" s="1302"/>
      <c r="Z531" s="1302"/>
    </row>
    <row r="532" spans="1:26" ht="18.75" hidden="1">
      <c r="A532" s="1299"/>
      <c r="B532" s="1300"/>
      <c r="C532" s="1301"/>
      <c r="D532" s="1301"/>
      <c r="E532" s="1301"/>
      <c r="F532" s="1301" t="s">
        <v>190</v>
      </c>
      <c r="G532" s="1016"/>
      <c r="H532" s="161" t="s">
        <v>12</v>
      </c>
      <c r="I532" s="880"/>
      <c r="J532" s="880"/>
      <c r="K532" s="881"/>
      <c r="L532" s="881"/>
      <c r="M532" s="881"/>
      <c r="N532" s="1085">
        <v>0</v>
      </c>
      <c r="O532" s="881"/>
      <c r="P532" s="881"/>
      <c r="Q532" s="1302"/>
      <c r="R532" s="1302"/>
      <c r="S532" s="1302"/>
      <c r="T532" s="1302"/>
      <c r="U532" s="1302"/>
      <c r="V532" s="1302"/>
      <c r="W532" s="1302"/>
      <c r="X532" s="1302"/>
      <c r="Y532" s="1302"/>
      <c r="Z532" s="1302"/>
    </row>
    <row r="533" spans="1:26" ht="18.75" hidden="1">
      <c r="A533" s="1317"/>
      <c r="B533" s="1300"/>
      <c r="C533" s="1301"/>
      <c r="D533" s="1325" t="s">
        <v>21</v>
      </c>
      <c r="E533" s="1301"/>
      <c r="F533" s="1301"/>
      <c r="G533" s="1016"/>
      <c r="H533" s="168" t="s">
        <v>12</v>
      </c>
      <c r="I533" s="997"/>
      <c r="J533" s="997"/>
      <c r="K533" s="998"/>
      <c r="L533" s="881">
        <f t="shared" ref="L533:N533" ca="1" si="231">L534+L535</f>
        <v>0</v>
      </c>
      <c r="M533" s="881">
        <f t="shared" si="231"/>
        <v>0</v>
      </c>
      <c r="N533" s="881">
        <f t="shared" si="231"/>
        <v>0</v>
      </c>
      <c r="O533" s="881">
        <f t="shared" ref="O533:O535" ca="1" si="232">IF(L533&gt;0,N533*100/L533,0)</f>
        <v>0</v>
      </c>
      <c r="P533" s="881">
        <f t="shared" ref="P533:P535" si="233">IF(M533&gt;0,N533*100/M533,0)</f>
        <v>0</v>
      </c>
      <c r="Q533" s="1302"/>
      <c r="R533" s="1302"/>
      <c r="S533" s="1302"/>
      <c r="T533" s="1302"/>
      <c r="U533" s="1302"/>
      <c r="V533" s="1302"/>
      <c r="W533" s="1302"/>
      <c r="X533" s="1302"/>
      <c r="Y533" s="1302"/>
      <c r="Z533" s="1302"/>
    </row>
    <row r="534" spans="1:26" ht="18.75" hidden="1">
      <c r="A534" s="1319"/>
      <c r="B534" s="1324"/>
      <c r="C534" s="1320"/>
      <c r="D534" s="1320"/>
      <c r="E534" s="1320" t="s">
        <v>18</v>
      </c>
      <c r="F534" s="1320"/>
      <c r="G534" s="1322"/>
      <c r="H534" s="165" t="s">
        <v>12</v>
      </c>
      <c r="I534" s="1000"/>
      <c r="J534" s="1000"/>
      <c r="K534" s="1001"/>
      <c r="L534" s="887">
        <v>0</v>
      </c>
      <c r="M534" s="887">
        <v>0</v>
      </c>
      <c r="N534" s="887">
        <v>0</v>
      </c>
      <c r="O534" s="887">
        <f t="shared" si="232"/>
        <v>0</v>
      </c>
      <c r="P534" s="887">
        <f t="shared" si="233"/>
        <v>0</v>
      </c>
      <c r="Q534" s="1323"/>
      <c r="R534" s="1323"/>
      <c r="S534" s="1323"/>
      <c r="T534" s="1323"/>
      <c r="U534" s="1323"/>
      <c r="V534" s="1323"/>
      <c r="W534" s="1323"/>
      <c r="X534" s="1323"/>
      <c r="Y534" s="1323"/>
      <c r="Z534" s="1323"/>
    </row>
    <row r="535" spans="1:26" ht="18.75" hidden="1">
      <c r="A535" s="1319"/>
      <c r="B535" s="1324"/>
      <c r="C535" s="1320"/>
      <c r="D535" s="1320"/>
      <c r="E535" s="1320" t="s">
        <v>19</v>
      </c>
      <c r="F535" s="1320"/>
      <c r="G535" s="1322"/>
      <c r="H535" s="169" t="s">
        <v>12</v>
      </c>
      <c r="I535" s="1000"/>
      <c r="J535" s="1000"/>
      <c r="K535" s="1001"/>
      <c r="L535" s="887">
        <f ca="1">IFERROR(__xludf.DUMMYFUNCTION("IMPORTRANGE(""https://docs.google.com/spreadsheets/d/1QqKyyYR6Q21VydFLVH3TRQUabQu_ym0Zz7PgGX0-kHA/edit?usp=sharing"",""แผน!GT87"")"),0)</f>
        <v>0</v>
      </c>
      <c r="M535" s="887">
        <v>0</v>
      </c>
      <c r="N535" s="887">
        <v>0</v>
      </c>
      <c r="O535" s="887">
        <f t="shared" ca="1" si="232"/>
        <v>0</v>
      </c>
      <c r="P535" s="887">
        <f t="shared" si="233"/>
        <v>0</v>
      </c>
      <c r="Q535" s="1323"/>
      <c r="R535" s="1323"/>
      <c r="S535" s="1323"/>
      <c r="T535" s="1323"/>
      <c r="U535" s="1323"/>
      <c r="V535" s="1323"/>
      <c r="W535" s="1323"/>
      <c r="X535" s="1323"/>
      <c r="Y535" s="1323"/>
      <c r="Z535" s="1323"/>
    </row>
    <row r="536" spans="1:26" ht="19.5" hidden="1">
      <c r="A536" s="1326"/>
      <c r="B536" s="1327"/>
      <c r="C536" s="1301" t="s">
        <v>16</v>
      </c>
      <c r="D536" s="1380" t="s">
        <v>38</v>
      </c>
      <c r="E536" s="1330"/>
      <c r="F536" s="1330"/>
      <c r="G536" s="1331"/>
      <c r="H536" s="1007"/>
      <c r="I536" s="997"/>
      <c r="J536" s="997"/>
      <c r="K536" s="998"/>
      <c r="L536" s="998"/>
      <c r="M536" s="998"/>
      <c r="N536" s="998"/>
      <c r="O536" s="998"/>
      <c r="P536" s="998"/>
      <c r="Q536" s="1302"/>
      <c r="R536" s="1302"/>
      <c r="S536" s="1302"/>
      <c r="T536" s="1302"/>
      <c r="U536" s="1302"/>
      <c r="V536" s="1302"/>
      <c r="W536" s="1302"/>
      <c r="X536" s="1302"/>
      <c r="Y536" s="1302"/>
      <c r="Z536" s="1302"/>
    </row>
    <row r="537" spans="1:26" ht="19.5" hidden="1">
      <c r="A537" s="1299"/>
      <c r="B537" s="1300"/>
      <c r="C537" s="1301"/>
      <c r="D537" s="1301" t="s">
        <v>228</v>
      </c>
      <c r="E537" s="1301"/>
      <c r="F537" s="1301"/>
      <c r="G537" s="1016"/>
      <c r="H537" s="622" t="s">
        <v>35</v>
      </c>
      <c r="I537" s="1019">
        <f ca="1">IFERROR(__xludf.DUMMYFUNCTION("IMPORTRANGE(""https://docs.google.com/spreadsheets/d/1QqKyyYR6Q21VydFLVH3TRQUabQu_ym0Zz7PgGX0-kHA/edit?usp=sharing"",""แผน!GU87"")"),0)</f>
        <v>0</v>
      </c>
      <c r="J537" s="1019">
        <f ca="1">IF(AND(J538=I538,J539=I539,J540=I540,J541=I541),I537,0)</f>
        <v>0</v>
      </c>
      <c r="K537" s="881">
        <f t="shared" ref="K537:K543" ca="1" si="234">IF(I537&gt;0,J537*100/I537,0)</f>
        <v>0</v>
      </c>
      <c r="L537" s="881"/>
      <c r="M537" s="881"/>
      <c r="N537" s="881"/>
      <c r="O537" s="881"/>
      <c r="P537" s="881"/>
      <c r="Q537" s="1381"/>
      <c r="R537" s="1381"/>
      <c r="S537" s="1381"/>
      <c r="T537" s="1381"/>
      <c r="U537" s="1381"/>
      <c r="V537" s="1381"/>
      <c r="W537" s="1381"/>
      <c r="X537" s="1381"/>
      <c r="Y537" s="1381"/>
      <c r="Z537" s="1381"/>
    </row>
    <row r="538" spans="1:26" ht="18.75" hidden="1">
      <c r="A538" s="1299"/>
      <c r="B538" s="1300"/>
      <c r="C538" s="1301"/>
      <c r="D538" s="1301"/>
      <c r="E538" s="1301" t="s">
        <v>229</v>
      </c>
      <c r="F538" s="1301"/>
      <c r="G538" s="1016"/>
      <c r="H538" s="622" t="s">
        <v>35</v>
      </c>
      <c r="I538" s="880">
        <f ca="1">IFERROR(__xludf.DUMMYFUNCTION("IMPORTRANGE(""https://docs.google.com/spreadsheets/d/1QqKyyYR6Q21VydFLVH3TRQUabQu_ym0Zz7PgGX0-kHA/edit?usp=sharing"",""แผน!GV87"")"),0)</f>
        <v>0</v>
      </c>
      <c r="J538" s="1012">
        <v>0</v>
      </c>
      <c r="K538" s="881">
        <f t="shared" ca="1" si="234"/>
        <v>0</v>
      </c>
      <c r="L538" s="881"/>
      <c r="M538" s="881"/>
      <c r="N538" s="881"/>
      <c r="O538" s="881"/>
      <c r="P538" s="881"/>
      <c r="Q538" s="1381"/>
      <c r="R538" s="1381"/>
      <c r="S538" s="1381"/>
      <c r="T538" s="1381"/>
      <c r="U538" s="1381"/>
      <c r="V538" s="1381"/>
      <c r="W538" s="1381"/>
      <c r="X538" s="1381"/>
      <c r="Y538" s="1381"/>
      <c r="Z538" s="1381"/>
    </row>
    <row r="539" spans="1:26" ht="18.75" hidden="1">
      <c r="A539" s="1299"/>
      <c r="B539" s="1300"/>
      <c r="C539" s="1301"/>
      <c r="D539" s="1301"/>
      <c r="E539" s="1301" t="s">
        <v>230</v>
      </c>
      <c r="F539" s="1301"/>
      <c r="G539" s="1016"/>
      <c r="H539" s="622" t="s">
        <v>35</v>
      </c>
      <c r="I539" s="880">
        <f ca="1">IFERROR(__xludf.DUMMYFUNCTION("IMPORTRANGE(""https://docs.google.com/spreadsheets/d/1QqKyyYR6Q21VydFLVH3TRQUabQu_ym0Zz7PgGX0-kHA/edit?usp=sharing"",""แผน!GW87"")"),0)</f>
        <v>0</v>
      </c>
      <c r="J539" s="1012">
        <v>0</v>
      </c>
      <c r="K539" s="881">
        <f t="shared" ca="1" si="234"/>
        <v>0</v>
      </c>
      <c r="L539" s="881"/>
      <c r="M539" s="881"/>
      <c r="N539" s="881"/>
      <c r="O539" s="881"/>
      <c r="P539" s="881"/>
      <c r="Q539" s="1381"/>
      <c r="R539" s="1381"/>
      <c r="S539" s="1381"/>
      <c r="T539" s="1381"/>
      <c r="U539" s="1381"/>
      <c r="V539" s="1381"/>
      <c r="W539" s="1381"/>
      <c r="X539" s="1381"/>
      <c r="Y539" s="1381"/>
      <c r="Z539" s="1381"/>
    </row>
    <row r="540" spans="1:26" ht="18.75" hidden="1">
      <c r="A540" s="1299"/>
      <c r="B540" s="1300"/>
      <c r="C540" s="1301"/>
      <c r="D540" s="1301"/>
      <c r="E540" s="1301" t="s">
        <v>231</v>
      </c>
      <c r="F540" s="1301"/>
      <c r="G540" s="1016"/>
      <c r="H540" s="622" t="s">
        <v>35</v>
      </c>
      <c r="I540" s="880">
        <f ca="1">IFERROR(__xludf.DUMMYFUNCTION("IMPORTRANGE(""https://docs.google.com/spreadsheets/d/1QqKyyYR6Q21VydFLVH3TRQUabQu_ym0Zz7PgGX0-kHA/edit?usp=sharing"",""แผน!GX87"")"),0)</f>
        <v>0</v>
      </c>
      <c r="J540" s="1012">
        <v>0</v>
      </c>
      <c r="K540" s="881">
        <f t="shared" ca="1" si="234"/>
        <v>0</v>
      </c>
      <c r="L540" s="881"/>
      <c r="M540" s="881"/>
      <c r="N540" s="881"/>
      <c r="O540" s="881"/>
      <c r="P540" s="881"/>
      <c r="Q540" s="1381"/>
      <c r="R540" s="1381"/>
      <c r="S540" s="1381"/>
      <c r="T540" s="1381"/>
      <c r="U540" s="1381"/>
      <c r="V540" s="1381"/>
      <c r="W540" s="1381"/>
      <c r="X540" s="1381"/>
      <c r="Y540" s="1381"/>
      <c r="Z540" s="1381"/>
    </row>
    <row r="541" spans="1:26" ht="18.75" hidden="1">
      <c r="A541" s="1299"/>
      <c r="B541" s="1300"/>
      <c r="C541" s="1301"/>
      <c r="D541" s="1301"/>
      <c r="E541" s="1382" t="s">
        <v>232</v>
      </c>
      <c r="F541" s="1301"/>
      <c r="G541" s="1016"/>
      <c r="H541" s="622" t="s">
        <v>35</v>
      </c>
      <c r="I541" s="880">
        <f ca="1">IFERROR(__xludf.DUMMYFUNCTION("IMPORTRANGE(""https://docs.google.com/spreadsheets/d/1QqKyyYR6Q21VydFLVH3TRQUabQu_ym0Zz7PgGX0-kHA/edit?usp=sharing"",""แผน!GY87"")"),0)</f>
        <v>0</v>
      </c>
      <c r="J541" s="1012">
        <v>0</v>
      </c>
      <c r="K541" s="881">
        <f t="shared" ca="1" si="234"/>
        <v>0</v>
      </c>
      <c r="L541" s="881"/>
      <c r="M541" s="881"/>
      <c r="N541" s="881"/>
      <c r="O541" s="881"/>
      <c r="P541" s="881"/>
      <c r="Q541" s="1381"/>
      <c r="R541" s="1381"/>
      <c r="S541" s="1381"/>
      <c r="T541" s="1381"/>
      <c r="U541" s="1381"/>
      <c r="V541" s="1381"/>
      <c r="W541" s="1381"/>
      <c r="X541" s="1381"/>
      <c r="Y541" s="1381"/>
      <c r="Z541" s="1381"/>
    </row>
    <row r="542" spans="1:26" ht="18.75" hidden="1">
      <c r="A542" s="1299"/>
      <c r="B542" s="1300"/>
      <c r="C542" s="1301"/>
      <c r="D542" s="1301" t="s">
        <v>59</v>
      </c>
      <c r="E542" s="1301"/>
      <c r="F542" s="1301"/>
      <c r="G542" s="1016"/>
      <c r="H542" s="622" t="s">
        <v>35</v>
      </c>
      <c r="I542" s="880">
        <f ca="1">IFERROR(__xludf.DUMMYFUNCTION("IMPORTRANGE(""https://docs.google.com/spreadsheets/d/1QqKyyYR6Q21VydFLVH3TRQUabQu_ym0Zz7PgGX0-kHA/edit?usp=sharing"",""แผน!GZ87"")"),0)</f>
        <v>0</v>
      </c>
      <c r="J542" s="1012">
        <v>0</v>
      </c>
      <c r="K542" s="881">
        <f t="shared" ca="1" si="234"/>
        <v>0</v>
      </c>
      <c r="L542" s="881"/>
      <c r="M542" s="881"/>
      <c r="N542" s="881"/>
      <c r="O542" s="881"/>
      <c r="P542" s="881"/>
      <c r="Q542" s="1381"/>
      <c r="R542" s="1381"/>
      <c r="S542" s="1381"/>
      <c r="T542" s="1381"/>
      <c r="U542" s="1381"/>
      <c r="V542" s="1381"/>
      <c r="W542" s="1381"/>
      <c r="X542" s="1381"/>
      <c r="Y542" s="1381"/>
      <c r="Z542" s="1381"/>
    </row>
    <row r="543" spans="1:26" ht="19.5">
      <c r="A543" s="662">
        <v>6</v>
      </c>
      <c r="B543" s="1383" t="s">
        <v>233</v>
      </c>
      <c r="C543" s="1369"/>
      <c r="D543" s="1369"/>
      <c r="E543" s="1369"/>
      <c r="F543" s="1369"/>
      <c r="G543" s="1370"/>
      <c r="H543" s="684" t="s">
        <v>46</v>
      </c>
      <c r="I543" s="1384">
        <f t="shared" ref="I543:J543" ca="1" si="235">I559</f>
        <v>10513</v>
      </c>
      <c r="J543" s="1384">
        <f t="shared" si="235"/>
        <v>10513</v>
      </c>
      <c r="K543" s="1385">
        <f t="shared" ca="1" si="234"/>
        <v>100</v>
      </c>
      <c r="L543" s="1372"/>
      <c r="M543" s="1372"/>
      <c r="N543" s="1372"/>
      <c r="O543" s="1372"/>
      <c r="P543" s="1372"/>
      <c r="Q543" s="1302"/>
      <c r="R543" s="1302"/>
      <c r="S543" s="1302"/>
      <c r="T543" s="1302"/>
      <c r="U543" s="1302"/>
      <c r="V543" s="1302"/>
      <c r="W543" s="1302"/>
      <c r="X543" s="1302"/>
      <c r="Y543" s="1302"/>
      <c r="Z543" s="1302"/>
    </row>
    <row r="544" spans="1:26" ht="19.5">
      <c r="A544" s="1386"/>
      <c r="B544" s="1387"/>
      <c r="C544" s="1387" t="s">
        <v>16</v>
      </c>
      <c r="D544" s="1388" t="s">
        <v>17</v>
      </c>
      <c r="E544" s="846"/>
      <c r="F544" s="846"/>
      <c r="G544" s="1389"/>
      <c r="H544" s="275" t="s">
        <v>12</v>
      </c>
      <c r="I544" s="990"/>
      <c r="J544" s="990"/>
      <c r="K544" s="991"/>
      <c r="L544" s="992">
        <f t="shared" ref="L544:N544" ca="1" si="236">L545+L546</f>
        <v>266693</v>
      </c>
      <c r="M544" s="992">
        <f t="shared" ca="1" si="236"/>
        <v>266693</v>
      </c>
      <c r="N544" s="992">
        <f t="shared" si="236"/>
        <v>127492</v>
      </c>
      <c r="O544" s="992">
        <f t="shared" ref="O544:O549" ca="1" si="237">IF(L544&gt;0,N544*100/L544,0)</f>
        <v>47.80477927804629</v>
      </c>
      <c r="P544" s="992">
        <f t="shared" ref="P544:P549" ca="1" si="238">IF(M544&gt;0,N544*100/M544,0)</f>
        <v>47.80477927804629</v>
      </c>
      <c r="Q544" s="1302"/>
      <c r="R544" s="1302"/>
      <c r="S544" s="1302"/>
      <c r="T544" s="1302"/>
      <c r="U544" s="1302"/>
      <c r="V544" s="1302"/>
      <c r="W544" s="1302"/>
      <c r="X544" s="1302"/>
      <c r="Y544" s="1302"/>
      <c r="Z544" s="1302"/>
    </row>
    <row r="545" spans="1:26" ht="18.75" hidden="1">
      <c r="A545" s="1319"/>
      <c r="B545" s="1320"/>
      <c r="C545" s="1320"/>
      <c r="D545" s="1320"/>
      <c r="E545" s="1320" t="s">
        <v>185</v>
      </c>
      <c r="F545" s="1320"/>
      <c r="G545" s="1322"/>
      <c r="H545" s="165" t="s">
        <v>12</v>
      </c>
      <c r="I545" s="886"/>
      <c r="J545" s="886"/>
      <c r="K545" s="887"/>
      <c r="L545" s="887">
        <f t="shared" ref="L545:L546" si="239">L548+L556</f>
        <v>0</v>
      </c>
      <c r="M545" s="887">
        <f t="shared" ref="M545:N546" si="240">M548+M555</f>
        <v>0</v>
      </c>
      <c r="N545" s="887">
        <f t="shared" si="240"/>
        <v>0</v>
      </c>
      <c r="O545" s="887">
        <f t="shared" si="237"/>
        <v>0</v>
      </c>
      <c r="P545" s="887">
        <f t="shared" si="238"/>
        <v>0</v>
      </c>
      <c r="Q545" s="1323"/>
      <c r="R545" s="1323"/>
      <c r="S545" s="1323"/>
      <c r="T545" s="1323"/>
      <c r="U545" s="1323"/>
      <c r="V545" s="1323"/>
      <c r="W545" s="1323"/>
      <c r="X545" s="1323"/>
      <c r="Y545" s="1323"/>
      <c r="Z545" s="1323"/>
    </row>
    <row r="546" spans="1:26" ht="18.75" hidden="1">
      <c r="A546" s="1319"/>
      <c r="B546" s="1324"/>
      <c r="C546" s="1320"/>
      <c r="D546" s="1320"/>
      <c r="E546" s="1320" t="s">
        <v>186</v>
      </c>
      <c r="F546" s="1320"/>
      <c r="G546" s="1322"/>
      <c r="H546" s="165" t="s">
        <v>12</v>
      </c>
      <c r="I546" s="886"/>
      <c r="J546" s="886"/>
      <c r="K546" s="887"/>
      <c r="L546" s="887">
        <f t="shared" ca="1" si="239"/>
        <v>266693</v>
      </c>
      <c r="M546" s="887">
        <f t="shared" ca="1" si="240"/>
        <v>266693</v>
      </c>
      <c r="N546" s="887">
        <f t="shared" si="240"/>
        <v>127492</v>
      </c>
      <c r="O546" s="887">
        <f t="shared" ca="1" si="237"/>
        <v>47.80477927804629</v>
      </c>
      <c r="P546" s="887">
        <f t="shared" ca="1" si="238"/>
        <v>47.80477927804629</v>
      </c>
      <c r="Q546" s="1323"/>
      <c r="R546" s="1323"/>
      <c r="S546" s="1323"/>
      <c r="T546" s="1323"/>
      <c r="U546" s="1323"/>
      <c r="V546" s="1323"/>
      <c r="W546" s="1323"/>
      <c r="X546" s="1323"/>
      <c r="Y546" s="1323"/>
      <c r="Z546" s="1323"/>
    </row>
    <row r="547" spans="1:26" ht="18.75">
      <c r="A547" s="1317"/>
      <c r="B547" s="1300"/>
      <c r="C547" s="1301"/>
      <c r="D547" s="1325" t="s">
        <v>20</v>
      </c>
      <c r="E547" s="1301"/>
      <c r="F547" s="1301"/>
      <c r="G547" s="1016"/>
      <c r="H547" s="161" t="s">
        <v>12</v>
      </c>
      <c r="I547" s="997"/>
      <c r="J547" s="997"/>
      <c r="K547" s="998"/>
      <c r="L547" s="881">
        <f t="shared" ref="L547:N547" ca="1" si="241">L548+L549</f>
        <v>266693</v>
      </c>
      <c r="M547" s="881">
        <f t="shared" ca="1" si="241"/>
        <v>266693</v>
      </c>
      <c r="N547" s="881">
        <f t="shared" si="241"/>
        <v>127492</v>
      </c>
      <c r="O547" s="881">
        <f t="shared" ca="1" si="237"/>
        <v>47.80477927804629</v>
      </c>
      <c r="P547" s="881">
        <f t="shared" ca="1" si="238"/>
        <v>47.80477927804629</v>
      </c>
      <c r="Q547" s="1302"/>
      <c r="R547" s="1302"/>
      <c r="S547" s="1302"/>
      <c r="T547" s="1302"/>
      <c r="U547" s="1302"/>
      <c r="V547" s="1302"/>
      <c r="W547" s="1302"/>
      <c r="X547" s="1302"/>
      <c r="Y547" s="1302"/>
      <c r="Z547" s="1302"/>
    </row>
    <row r="548" spans="1:26" ht="18.75" hidden="1">
      <c r="A548" s="1319"/>
      <c r="B548" s="1324"/>
      <c r="C548" s="1320"/>
      <c r="D548" s="1321"/>
      <c r="E548" s="1320" t="s">
        <v>185</v>
      </c>
      <c r="F548" s="1320"/>
      <c r="G548" s="1322"/>
      <c r="H548" s="165" t="s">
        <v>12</v>
      </c>
      <c r="I548" s="886"/>
      <c r="J548" s="886"/>
      <c r="K548" s="887"/>
      <c r="L548" s="887">
        <v>0</v>
      </c>
      <c r="M548" s="887">
        <v>0</v>
      </c>
      <c r="N548" s="887">
        <v>0</v>
      </c>
      <c r="O548" s="887">
        <f t="shared" si="237"/>
        <v>0</v>
      </c>
      <c r="P548" s="887">
        <f t="shared" si="238"/>
        <v>0</v>
      </c>
      <c r="Q548" s="1323"/>
      <c r="R548" s="1323"/>
      <c r="S548" s="1323"/>
      <c r="T548" s="1323"/>
      <c r="U548" s="1323"/>
      <c r="V548" s="1323"/>
      <c r="W548" s="1323"/>
      <c r="X548" s="1323"/>
      <c r="Y548" s="1323"/>
      <c r="Z548" s="1323"/>
    </row>
    <row r="549" spans="1:26" ht="18.75" hidden="1">
      <c r="A549" s="1319"/>
      <c r="B549" s="1324"/>
      <c r="C549" s="1320"/>
      <c r="D549" s="1321"/>
      <c r="E549" s="1320" t="s">
        <v>186</v>
      </c>
      <c r="F549" s="1320"/>
      <c r="G549" s="1322"/>
      <c r="H549" s="165" t="s">
        <v>12</v>
      </c>
      <c r="I549" s="886"/>
      <c r="J549" s="886"/>
      <c r="K549" s="887"/>
      <c r="L549" s="887">
        <f ca="1">IFERROR(__xludf.DUMMYFUNCTION("IMPORTRANGE(""https://docs.google.com/spreadsheets/d/1QqKyyYR6Q21VydFLVH3TRQUabQu_ym0Zz7PgGX0-kHA/edit?usp=sharing"",""แผน!HB87"")"),266693)</f>
        <v>266693</v>
      </c>
      <c r="M549" s="887">
        <f ca="1">L549</f>
        <v>266693</v>
      </c>
      <c r="N549" s="887">
        <f>N550+N551+N552+N553+N554</f>
        <v>127492</v>
      </c>
      <c r="O549" s="887">
        <f t="shared" ca="1" si="237"/>
        <v>47.80477927804629</v>
      </c>
      <c r="P549" s="887">
        <f t="shared" ca="1" si="238"/>
        <v>47.80477927804629</v>
      </c>
      <c r="Q549" s="1323"/>
      <c r="R549" s="1323"/>
      <c r="S549" s="1323"/>
      <c r="T549" s="1323"/>
      <c r="U549" s="1323"/>
      <c r="V549" s="1323"/>
      <c r="W549" s="1323"/>
      <c r="X549" s="1323"/>
      <c r="Y549" s="1323"/>
      <c r="Z549" s="1323"/>
    </row>
    <row r="550" spans="1:26" ht="18.75">
      <c r="A550" s="1299"/>
      <c r="B550" s="1300"/>
      <c r="C550" s="1301"/>
      <c r="D550" s="1301"/>
      <c r="E550" s="1301"/>
      <c r="F550" s="1301" t="s">
        <v>187</v>
      </c>
      <c r="G550" s="1016"/>
      <c r="H550" s="161" t="s">
        <v>12</v>
      </c>
      <c r="I550" s="880"/>
      <c r="J550" s="880"/>
      <c r="K550" s="881"/>
      <c r="L550" s="881"/>
      <c r="M550" s="881"/>
      <c r="N550" s="1085">
        <v>0</v>
      </c>
      <c r="O550" s="881"/>
      <c r="P550" s="881"/>
      <c r="Q550" s="1302"/>
      <c r="R550" s="1302"/>
      <c r="S550" s="1302"/>
      <c r="T550" s="1302"/>
      <c r="U550" s="1302"/>
      <c r="V550" s="1302"/>
      <c r="W550" s="1302"/>
      <c r="X550" s="1302"/>
      <c r="Y550" s="1302"/>
      <c r="Z550" s="1302"/>
    </row>
    <row r="551" spans="1:26" ht="18.75">
      <c r="A551" s="1299"/>
      <c r="B551" s="1300"/>
      <c r="C551" s="1300"/>
      <c r="D551" s="1300"/>
      <c r="E551" s="1301"/>
      <c r="F551" s="1301" t="s">
        <v>188</v>
      </c>
      <c r="G551" s="1016"/>
      <c r="H551" s="161" t="s">
        <v>12</v>
      </c>
      <c r="I551" s="880"/>
      <c r="J551" s="880"/>
      <c r="K551" s="881"/>
      <c r="L551" s="881"/>
      <c r="M551" s="881"/>
      <c r="N551" s="1085">
        <v>0</v>
      </c>
      <c r="O551" s="881"/>
      <c r="P551" s="881"/>
      <c r="Q551" s="1302"/>
      <c r="R551" s="1302"/>
      <c r="S551" s="1302"/>
      <c r="T551" s="1302"/>
      <c r="U551" s="1302"/>
      <c r="V551" s="1302"/>
      <c r="W551" s="1302"/>
      <c r="X551" s="1302"/>
      <c r="Y551" s="1302"/>
      <c r="Z551" s="1302"/>
    </row>
    <row r="552" spans="1:26" ht="18.75">
      <c r="A552" s="1299"/>
      <c r="B552" s="1300"/>
      <c r="C552" s="1301"/>
      <c r="D552" s="1301"/>
      <c r="E552" s="1301"/>
      <c r="F552" s="1301" t="s">
        <v>189</v>
      </c>
      <c r="G552" s="1016"/>
      <c r="H552" s="161" t="s">
        <v>12</v>
      </c>
      <c r="I552" s="880"/>
      <c r="J552" s="880"/>
      <c r="K552" s="881"/>
      <c r="L552" s="881"/>
      <c r="M552" s="881"/>
      <c r="N552" s="1085">
        <f>37727+13000</f>
        <v>50727</v>
      </c>
      <c r="O552" s="881"/>
      <c r="P552" s="881"/>
      <c r="Q552" s="1302"/>
      <c r="R552" s="1302"/>
      <c r="S552" s="1302"/>
      <c r="T552" s="1302"/>
      <c r="U552" s="1302"/>
      <c r="V552" s="1302"/>
      <c r="W552" s="1302"/>
      <c r="X552" s="1302"/>
      <c r="Y552" s="1302"/>
      <c r="Z552" s="1302"/>
    </row>
    <row r="553" spans="1:26" ht="18.75">
      <c r="A553" s="1299"/>
      <c r="B553" s="1300"/>
      <c r="C553" s="1300"/>
      <c r="D553" s="1300"/>
      <c r="E553" s="1301"/>
      <c r="F553" s="1301" t="s">
        <v>190</v>
      </c>
      <c r="G553" s="1016"/>
      <c r="H553" s="161" t="s">
        <v>12</v>
      </c>
      <c r="I553" s="880"/>
      <c r="J553" s="880"/>
      <c r="K553" s="881"/>
      <c r="L553" s="881"/>
      <c r="M553" s="881"/>
      <c r="N553" s="1085">
        <f>46650+26815+3000+300</f>
        <v>76765</v>
      </c>
      <c r="O553" s="881"/>
      <c r="P553" s="881"/>
      <c r="Q553" s="1302"/>
      <c r="R553" s="1302"/>
      <c r="S553" s="1302"/>
      <c r="T553" s="1302"/>
      <c r="U553" s="1302"/>
      <c r="V553" s="1302"/>
      <c r="W553" s="1302"/>
      <c r="X553" s="1302"/>
      <c r="Y553" s="1302"/>
      <c r="Z553" s="1302"/>
    </row>
    <row r="554" spans="1:26" ht="18.75">
      <c r="A554" s="1299"/>
      <c r="B554" s="1300"/>
      <c r="C554" s="1300"/>
      <c r="D554" s="1300"/>
      <c r="E554" s="1301"/>
      <c r="F554" s="1301" t="s">
        <v>234</v>
      </c>
      <c r="G554" s="1016"/>
      <c r="H554" s="161" t="s">
        <v>12</v>
      </c>
      <c r="I554" s="880"/>
      <c r="J554" s="880"/>
      <c r="K554" s="881"/>
      <c r="L554" s="881"/>
      <c r="M554" s="881"/>
      <c r="N554" s="1085">
        <v>0</v>
      </c>
      <c r="O554" s="881"/>
      <c r="P554" s="881"/>
      <c r="Q554" s="1302"/>
      <c r="R554" s="1302"/>
      <c r="S554" s="1302"/>
      <c r="T554" s="1302"/>
      <c r="U554" s="1302"/>
      <c r="V554" s="1302"/>
      <c r="W554" s="1302"/>
      <c r="X554" s="1302"/>
      <c r="Y554" s="1302"/>
      <c r="Z554" s="1302"/>
    </row>
    <row r="555" spans="1:26" ht="18.75">
      <c r="A555" s="1317"/>
      <c r="B555" s="1300"/>
      <c r="C555" s="1300"/>
      <c r="D555" s="1325" t="s">
        <v>21</v>
      </c>
      <c r="E555" s="1301"/>
      <c r="F555" s="1301"/>
      <c r="G555" s="1016"/>
      <c r="H555" s="168" t="s">
        <v>12</v>
      </c>
      <c r="I555" s="997"/>
      <c r="J555" s="997"/>
      <c r="K555" s="998"/>
      <c r="L555" s="881">
        <f t="shared" ref="L555:N555" ca="1" si="242">L556+L557</f>
        <v>0</v>
      </c>
      <c r="M555" s="881">
        <f t="shared" si="242"/>
        <v>0</v>
      </c>
      <c r="N555" s="881">
        <f t="shared" si="242"/>
        <v>0</v>
      </c>
      <c r="O555" s="881">
        <f t="shared" ref="O555:O557" ca="1" si="243">IF(L555&gt;0,N555*100/L555,0)</f>
        <v>0</v>
      </c>
      <c r="P555" s="881">
        <f t="shared" ref="P555:P557" si="244">IF(M555&gt;0,N555*100/M555,0)</f>
        <v>0</v>
      </c>
      <c r="Q555" s="1302"/>
      <c r="R555" s="1302"/>
      <c r="S555" s="1302"/>
      <c r="T555" s="1302"/>
      <c r="U555" s="1302"/>
      <c r="V555" s="1302"/>
      <c r="W555" s="1302"/>
      <c r="X555" s="1302"/>
      <c r="Y555" s="1302"/>
      <c r="Z555" s="1302"/>
    </row>
    <row r="556" spans="1:26" ht="18.75" hidden="1">
      <c r="A556" s="1319"/>
      <c r="B556" s="1324"/>
      <c r="C556" s="1324"/>
      <c r="D556" s="1320"/>
      <c r="E556" s="1320" t="s">
        <v>18</v>
      </c>
      <c r="F556" s="1320"/>
      <c r="G556" s="1322"/>
      <c r="H556" s="165" t="s">
        <v>12</v>
      </c>
      <c r="I556" s="1000"/>
      <c r="J556" s="1000"/>
      <c r="K556" s="1001"/>
      <c r="L556" s="887">
        <v>0</v>
      </c>
      <c r="M556" s="887">
        <v>0</v>
      </c>
      <c r="N556" s="887">
        <v>0</v>
      </c>
      <c r="O556" s="887">
        <f t="shared" si="243"/>
        <v>0</v>
      </c>
      <c r="P556" s="887">
        <f t="shared" si="244"/>
        <v>0</v>
      </c>
      <c r="Q556" s="1323"/>
      <c r="R556" s="1323"/>
      <c r="S556" s="1323"/>
      <c r="T556" s="1323"/>
      <c r="U556" s="1323"/>
      <c r="V556" s="1323"/>
      <c r="W556" s="1323"/>
      <c r="X556" s="1323"/>
      <c r="Y556" s="1323"/>
      <c r="Z556" s="1323"/>
    </row>
    <row r="557" spans="1:26" ht="18.75" hidden="1">
      <c r="A557" s="1319"/>
      <c r="B557" s="1324"/>
      <c r="C557" s="1324"/>
      <c r="D557" s="1320"/>
      <c r="E557" s="1320" t="s">
        <v>19</v>
      </c>
      <c r="F557" s="1320"/>
      <c r="G557" s="1322"/>
      <c r="H557" s="169" t="s">
        <v>12</v>
      </c>
      <c r="I557" s="1000"/>
      <c r="J557" s="1000"/>
      <c r="K557" s="1001"/>
      <c r="L557" s="887">
        <f ca="1">IFERROR(__xludf.DUMMYFUNCTION("IMPORTRANGE(""https://docs.google.com/spreadsheets/d/1QqKyyYR6Q21VydFLVH3TRQUabQu_ym0Zz7PgGX0-kHA/edit?usp=sharing"",""แผน!HF87"")"),0)</f>
        <v>0</v>
      </c>
      <c r="M557" s="887">
        <v>0</v>
      </c>
      <c r="N557" s="887">
        <v>0</v>
      </c>
      <c r="O557" s="887">
        <f t="shared" ca="1" si="243"/>
        <v>0</v>
      </c>
      <c r="P557" s="887">
        <f t="shared" si="244"/>
        <v>0</v>
      </c>
      <c r="Q557" s="1323"/>
      <c r="R557" s="1323"/>
      <c r="S557" s="1323"/>
      <c r="T557" s="1323"/>
      <c r="U557" s="1323"/>
      <c r="V557" s="1323"/>
      <c r="W557" s="1323"/>
      <c r="X557" s="1323"/>
      <c r="Y557" s="1323"/>
      <c r="Z557" s="1323"/>
    </row>
    <row r="558" spans="1:26" ht="19.5">
      <c r="A558" s="1326"/>
      <c r="B558" s="1327"/>
      <c r="C558" s="1300" t="s">
        <v>16</v>
      </c>
      <c r="D558" s="1380" t="s">
        <v>38</v>
      </c>
      <c r="E558" s="1330"/>
      <c r="F558" s="1330"/>
      <c r="G558" s="1331"/>
      <c r="H558" s="1007"/>
      <c r="I558" s="997"/>
      <c r="J558" s="997"/>
      <c r="K558" s="998"/>
      <c r="L558" s="998"/>
      <c r="M558" s="998"/>
      <c r="N558" s="998"/>
      <c r="O558" s="998"/>
      <c r="P558" s="998"/>
      <c r="Q558" s="1302"/>
      <c r="R558" s="1302"/>
      <c r="S558" s="1302"/>
      <c r="T558" s="1302"/>
      <c r="U558" s="1302"/>
      <c r="V558" s="1302"/>
      <c r="W558" s="1302"/>
      <c r="X558" s="1302"/>
      <c r="Y558" s="1302"/>
      <c r="Z558" s="1302"/>
    </row>
    <row r="559" spans="1:26" ht="19.5">
      <c r="A559" s="1390"/>
      <c r="B559" s="1391" t="s">
        <v>235</v>
      </c>
      <c r="C559" s="1392"/>
      <c r="D559" s="1392"/>
      <c r="E559" s="1375"/>
      <c r="F559" s="1375"/>
      <c r="G559" s="1376"/>
      <c r="H559" s="693" t="s">
        <v>46</v>
      </c>
      <c r="I559" s="1377">
        <f t="shared" ref="I559:J559" ca="1" si="245">I576</f>
        <v>10513</v>
      </c>
      <c r="J559" s="1377">
        <f t="shared" si="245"/>
        <v>10513</v>
      </c>
      <c r="K559" s="1378">
        <f t="shared" ref="K559:K561" ca="1" si="246">IF(I559&gt;0,J559*100/I559,0)</f>
        <v>100</v>
      </c>
      <c r="L559" s="1379"/>
      <c r="M559" s="1379"/>
      <c r="N559" s="1379"/>
      <c r="O559" s="1379"/>
      <c r="P559" s="1379"/>
      <c r="Q559" s="1302"/>
      <c r="R559" s="1302"/>
      <c r="S559" s="1302"/>
      <c r="T559" s="1302"/>
      <c r="U559" s="1302"/>
      <c r="V559" s="1302"/>
      <c r="W559" s="1302"/>
      <c r="X559" s="1302"/>
      <c r="Y559" s="1302"/>
      <c r="Z559" s="1302"/>
    </row>
    <row r="560" spans="1:26" ht="19.5">
      <c r="A560" s="1326"/>
      <c r="B560" s="1327"/>
      <c r="C560" s="1336" t="s">
        <v>236</v>
      </c>
      <c r="D560" s="1327"/>
      <c r="E560" s="1014"/>
      <c r="F560" s="1014"/>
      <c r="G560" s="1007"/>
      <c r="H560" s="765" t="s">
        <v>46</v>
      </c>
      <c r="I560" s="1018">
        <f ca="1">IFERROR(__xludf.DUMMYFUNCTION("IMPORTRANGE(""https://docs.google.com/spreadsheets/d/1QqKyyYR6Q21VydFLVH3TRQUabQu_ym0Zz7PgGX0-kHA/edit?usp=sharing"",""แผน!HH87"")"),10513)</f>
        <v>10513</v>
      </c>
      <c r="J560" s="1018">
        <f t="shared" ref="J560:J561" si="247">J562+J564+J566</f>
        <v>10513</v>
      </c>
      <c r="K560" s="1162">
        <f t="shared" ca="1" si="246"/>
        <v>100</v>
      </c>
      <c r="L560" s="998"/>
      <c r="M560" s="998"/>
      <c r="N560" s="998"/>
      <c r="O560" s="998"/>
      <c r="P560" s="998"/>
      <c r="Q560" s="1302"/>
      <c r="R560" s="1302"/>
      <c r="S560" s="1302"/>
      <c r="T560" s="1302"/>
      <c r="U560" s="1302"/>
      <c r="V560" s="1302"/>
      <c r="W560" s="1302"/>
      <c r="X560" s="1302"/>
      <c r="Y560" s="1302"/>
      <c r="Z560" s="1302"/>
    </row>
    <row r="561" spans="1:26" ht="19.5">
      <c r="A561" s="1326"/>
      <c r="B561" s="1327"/>
      <c r="C561" s="1327"/>
      <c r="D561" s="1014"/>
      <c r="E561" s="1014"/>
      <c r="F561" s="1014"/>
      <c r="G561" s="1007"/>
      <c r="H561" s="765" t="s">
        <v>34</v>
      </c>
      <c r="I561" s="1018">
        <f ca="1">IFERROR(__xludf.DUMMYFUNCTION("IMPORTRANGE(""https://docs.google.com/spreadsheets/d/1QqKyyYR6Q21VydFLVH3TRQUabQu_ym0Zz7PgGX0-kHA/edit?usp=sharing"",""แผน!HG87"")"),1831)</f>
        <v>1831</v>
      </c>
      <c r="J561" s="1018">
        <f t="shared" si="247"/>
        <v>1831</v>
      </c>
      <c r="K561" s="1162">
        <f t="shared" ca="1" si="246"/>
        <v>100</v>
      </c>
      <c r="L561" s="998"/>
      <c r="M561" s="998"/>
      <c r="N561" s="998"/>
      <c r="O561" s="998"/>
      <c r="P561" s="998"/>
      <c r="Q561" s="1302"/>
      <c r="R561" s="1302"/>
      <c r="S561" s="1302"/>
      <c r="T561" s="1302"/>
      <c r="U561" s="1302"/>
      <c r="V561" s="1302"/>
      <c r="W561" s="1302"/>
      <c r="X561" s="1302"/>
      <c r="Y561" s="1302"/>
      <c r="Z561" s="1302"/>
    </row>
    <row r="562" spans="1:26" ht="18.75">
      <c r="A562" s="1326"/>
      <c r="B562" s="1327"/>
      <c r="C562" s="1327"/>
      <c r="D562" s="1014" t="s">
        <v>237</v>
      </c>
      <c r="E562" s="1014"/>
      <c r="F562" s="1014"/>
      <c r="G562" s="1007"/>
      <c r="H562" s="762" t="s">
        <v>46</v>
      </c>
      <c r="I562" s="997"/>
      <c r="J562" s="1012">
        <v>9992</v>
      </c>
      <c r="K562" s="998"/>
      <c r="L562" s="998"/>
      <c r="M562" s="998"/>
      <c r="N562" s="998"/>
      <c r="O562" s="998"/>
      <c r="P562" s="998"/>
      <c r="Q562" s="1302"/>
      <c r="R562" s="1302"/>
      <c r="S562" s="1302"/>
      <c r="T562" s="1302"/>
      <c r="U562" s="1302"/>
      <c r="V562" s="1302"/>
      <c r="W562" s="1302"/>
      <c r="X562" s="1302"/>
      <c r="Y562" s="1302"/>
      <c r="Z562" s="1302"/>
    </row>
    <row r="563" spans="1:26" ht="18.75">
      <c r="A563" s="1326"/>
      <c r="B563" s="1327"/>
      <c r="C563" s="1327"/>
      <c r="D563" s="1327"/>
      <c r="E563" s="1014"/>
      <c r="F563" s="1014"/>
      <c r="G563" s="1007"/>
      <c r="H563" s="762" t="s">
        <v>34</v>
      </c>
      <c r="I563" s="997"/>
      <c r="J563" s="1012">
        <v>1746</v>
      </c>
      <c r="K563" s="998"/>
      <c r="L563" s="998"/>
      <c r="M563" s="998"/>
      <c r="N563" s="998"/>
      <c r="O563" s="998"/>
      <c r="P563" s="998"/>
      <c r="Q563" s="1302"/>
      <c r="R563" s="1302"/>
      <c r="S563" s="1302"/>
      <c r="T563" s="1302"/>
      <c r="U563" s="1302"/>
      <c r="V563" s="1302"/>
      <c r="W563" s="1302"/>
      <c r="X563" s="1302"/>
      <c r="Y563" s="1302"/>
      <c r="Z563" s="1302"/>
    </row>
    <row r="564" spans="1:26" ht="18.75">
      <c r="A564" s="1326"/>
      <c r="B564" s="1327"/>
      <c r="C564" s="1327"/>
      <c r="D564" s="1014" t="s">
        <v>238</v>
      </c>
      <c r="E564" s="1014"/>
      <c r="F564" s="1014"/>
      <c r="G564" s="1007"/>
      <c r="H564" s="762" t="s">
        <v>46</v>
      </c>
      <c r="I564" s="997"/>
      <c r="J564" s="1012">
        <v>317</v>
      </c>
      <c r="K564" s="998"/>
      <c r="L564" s="998"/>
      <c r="M564" s="998"/>
      <c r="N564" s="998"/>
      <c r="O564" s="998"/>
      <c r="P564" s="998"/>
      <c r="Q564" s="1302"/>
      <c r="R564" s="1302"/>
      <c r="S564" s="1302"/>
      <c r="T564" s="1302"/>
      <c r="U564" s="1302"/>
      <c r="V564" s="1302"/>
      <c r="W564" s="1302"/>
      <c r="X564" s="1302"/>
      <c r="Y564" s="1302"/>
      <c r="Z564" s="1302"/>
    </row>
    <row r="565" spans="1:26" ht="18.75">
      <c r="A565" s="1326"/>
      <c r="B565" s="1327"/>
      <c r="C565" s="1327"/>
      <c r="D565" s="1014"/>
      <c r="E565" s="1014"/>
      <c r="F565" s="1014"/>
      <c r="G565" s="1007"/>
      <c r="H565" s="762" t="s">
        <v>34</v>
      </c>
      <c r="I565" s="997"/>
      <c r="J565" s="1012">
        <v>50</v>
      </c>
      <c r="K565" s="998"/>
      <c r="L565" s="998"/>
      <c r="M565" s="998"/>
      <c r="N565" s="998"/>
      <c r="O565" s="998"/>
      <c r="P565" s="998"/>
      <c r="Q565" s="1302"/>
      <c r="R565" s="1302"/>
      <c r="S565" s="1302"/>
      <c r="T565" s="1302"/>
      <c r="U565" s="1302"/>
      <c r="V565" s="1302"/>
      <c r="W565" s="1302"/>
      <c r="X565" s="1302"/>
      <c r="Y565" s="1302"/>
      <c r="Z565" s="1302"/>
    </row>
    <row r="566" spans="1:26" ht="18.75">
      <c r="A566" s="1326"/>
      <c r="B566" s="1327"/>
      <c r="C566" s="1327"/>
      <c r="D566" s="1014" t="s">
        <v>239</v>
      </c>
      <c r="E566" s="1014"/>
      <c r="F566" s="1014"/>
      <c r="G566" s="1007"/>
      <c r="H566" s="762" t="s">
        <v>46</v>
      </c>
      <c r="I566" s="997"/>
      <c r="J566" s="1012">
        <v>204</v>
      </c>
      <c r="K566" s="998"/>
      <c r="L566" s="998"/>
      <c r="M566" s="998"/>
      <c r="N566" s="998"/>
      <c r="O566" s="998"/>
      <c r="P566" s="998"/>
      <c r="Q566" s="1302"/>
      <c r="R566" s="1302"/>
      <c r="S566" s="1302"/>
      <c r="T566" s="1302"/>
      <c r="U566" s="1302"/>
      <c r="V566" s="1302"/>
      <c r="W566" s="1302"/>
      <c r="X566" s="1302"/>
      <c r="Y566" s="1302"/>
      <c r="Z566" s="1302"/>
    </row>
    <row r="567" spans="1:26" ht="18.75">
      <c r="A567" s="1326"/>
      <c r="B567" s="1327"/>
      <c r="C567" s="1327"/>
      <c r="D567" s="1014"/>
      <c r="E567" s="1014"/>
      <c r="F567" s="1014"/>
      <c r="G567" s="1007"/>
      <c r="H567" s="762" t="s">
        <v>34</v>
      </c>
      <c r="I567" s="997"/>
      <c r="J567" s="1012">
        <v>35</v>
      </c>
      <c r="K567" s="998"/>
      <c r="L567" s="998"/>
      <c r="M567" s="998"/>
      <c r="N567" s="998"/>
      <c r="O567" s="998"/>
      <c r="P567" s="998"/>
      <c r="Q567" s="1302"/>
      <c r="R567" s="1302"/>
      <c r="S567" s="1302"/>
      <c r="T567" s="1302"/>
      <c r="U567" s="1302"/>
      <c r="V567" s="1302"/>
      <c r="W567" s="1302"/>
      <c r="X567" s="1302"/>
      <c r="Y567" s="1302"/>
      <c r="Z567" s="1302"/>
    </row>
    <row r="568" spans="1:26" ht="19.5">
      <c r="A568" s="1326"/>
      <c r="B568" s="1327"/>
      <c r="C568" s="1336" t="s">
        <v>240</v>
      </c>
      <c r="D568" s="1014"/>
      <c r="E568" s="1014"/>
      <c r="F568" s="1014"/>
      <c r="G568" s="1007"/>
      <c r="H568" s="765" t="s">
        <v>46</v>
      </c>
      <c r="I568" s="1018">
        <f ca="1">IFERROR(__xludf.DUMMYFUNCTION("IMPORTRANGE(""https://docs.google.com/spreadsheets/d/1QqKyyYR6Q21VydFLVH3TRQUabQu_ym0Zz7PgGX0-kHA/edit?usp=sharing"",""แผน!HH87"")"),10513)</f>
        <v>10513</v>
      </c>
      <c r="J568" s="1019">
        <f t="shared" ref="J568:J569" si="248">J570+J572+J574</f>
        <v>10513</v>
      </c>
      <c r="K568" s="1162">
        <f t="shared" ref="K568:K569" ca="1" si="249">IF(I568&gt;0,J568*100/I568,0)</f>
        <v>100</v>
      </c>
      <c r="L568" s="998"/>
      <c r="M568" s="998"/>
      <c r="N568" s="998"/>
      <c r="O568" s="998"/>
      <c r="P568" s="998"/>
      <c r="Q568" s="1302"/>
      <c r="R568" s="1302"/>
      <c r="S568" s="1302"/>
      <c r="T568" s="1302"/>
      <c r="U568" s="1302"/>
      <c r="V568" s="1302"/>
      <c r="W568" s="1302"/>
      <c r="X568" s="1302"/>
      <c r="Y568" s="1302"/>
      <c r="Z568" s="1302"/>
    </row>
    <row r="569" spans="1:26" ht="19.5">
      <c r="A569" s="1326"/>
      <c r="B569" s="1327"/>
      <c r="C569" s="1327"/>
      <c r="D569" s="1327"/>
      <c r="E569" s="1014"/>
      <c r="F569" s="1014"/>
      <c r="G569" s="1007"/>
      <c r="H569" s="765" t="s">
        <v>34</v>
      </c>
      <c r="I569" s="1018">
        <f ca="1">IFERROR(__xludf.DUMMYFUNCTION("IMPORTRANGE(""https://docs.google.com/spreadsheets/d/1QqKyyYR6Q21VydFLVH3TRQUabQu_ym0Zz7PgGX0-kHA/edit?usp=sharing"",""แผน!HG87"")"),1831)</f>
        <v>1831</v>
      </c>
      <c r="J569" s="1019">
        <f t="shared" si="248"/>
        <v>1831</v>
      </c>
      <c r="K569" s="1162">
        <f t="shared" ca="1" si="249"/>
        <v>100</v>
      </c>
      <c r="L569" s="998"/>
      <c r="M569" s="998"/>
      <c r="N569" s="998"/>
      <c r="O569" s="998"/>
      <c r="P569" s="998"/>
      <c r="Q569" s="1302"/>
      <c r="R569" s="1302"/>
      <c r="S569" s="1302"/>
      <c r="T569" s="1302"/>
      <c r="U569" s="1302"/>
      <c r="V569" s="1302"/>
      <c r="W569" s="1302"/>
      <c r="X569" s="1302"/>
      <c r="Y569" s="1302"/>
      <c r="Z569" s="1302"/>
    </row>
    <row r="570" spans="1:26" ht="18.75">
      <c r="A570" s="1326"/>
      <c r="B570" s="1327"/>
      <c r="C570" s="1327"/>
      <c r="D570" s="1014" t="s">
        <v>241</v>
      </c>
      <c r="E570" s="1327"/>
      <c r="F570" s="1014"/>
      <c r="G570" s="1007"/>
      <c r="H570" s="762" t="s">
        <v>46</v>
      </c>
      <c r="I570" s="997"/>
      <c r="J570" s="1012">
        <v>10055</v>
      </c>
      <c r="K570" s="998"/>
      <c r="L570" s="998"/>
      <c r="M570" s="998"/>
      <c r="N570" s="998"/>
      <c r="O570" s="998"/>
      <c r="P570" s="998"/>
      <c r="Q570" s="1302"/>
      <c r="R570" s="1302"/>
      <c r="S570" s="1302"/>
      <c r="T570" s="1302"/>
      <c r="U570" s="1302"/>
      <c r="V570" s="1302"/>
      <c r="W570" s="1302"/>
      <c r="X570" s="1302"/>
      <c r="Y570" s="1302"/>
      <c r="Z570" s="1302"/>
    </row>
    <row r="571" spans="1:26" ht="18.75">
      <c r="A571" s="1326"/>
      <c r="B571" s="1327"/>
      <c r="C571" s="1327"/>
      <c r="D571" s="1327"/>
      <c r="E571" s="1014"/>
      <c r="F571" s="1014"/>
      <c r="G571" s="1007"/>
      <c r="H571" s="762" t="s">
        <v>34</v>
      </c>
      <c r="I571" s="997"/>
      <c r="J571" s="1012">
        <v>1758</v>
      </c>
      <c r="K571" s="998"/>
      <c r="L571" s="998"/>
      <c r="M571" s="998"/>
      <c r="N571" s="998"/>
      <c r="O571" s="998"/>
      <c r="P571" s="998"/>
      <c r="Q571" s="1302"/>
      <c r="R571" s="1302"/>
      <c r="S571" s="1302"/>
      <c r="T571" s="1302"/>
      <c r="U571" s="1302"/>
      <c r="V571" s="1302"/>
      <c r="W571" s="1302"/>
      <c r="X571" s="1302"/>
      <c r="Y571" s="1302"/>
      <c r="Z571" s="1302"/>
    </row>
    <row r="572" spans="1:26" ht="18.75">
      <c r="A572" s="1326"/>
      <c r="B572" s="1327"/>
      <c r="C572" s="1327"/>
      <c r="D572" s="1014" t="s">
        <v>242</v>
      </c>
      <c r="E572" s="1014"/>
      <c r="F572" s="1014"/>
      <c r="G572" s="1007"/>
      <c r="H572" s="762" t="s">
        <v>46</v>
      </c>
      <c r="I572" s="997"/>
      <c r="J572" s="1012">
        <v>199</v>
      </c>
      <c r="K572" s="998"/>
      <c r="L572" s="998"/>
      <c r="M572" s="998"/>
      <c r="N572" s="998"/>
      <c r="O572" s="998"/>
      <c r="P572" s="998"/>
      <c r="Q572" s="1302"/>
      <c r="R572" s="1302"/>
      <c r="S572" s="1302"/>
      <c r="T572" s="1302"/>
      <c r="U572" s="1302"/>
      <c r="V572" s="1302"/>
      <c r="W572" s="1302"/>
      <c r="X572" s="1302"/>
      <c r="Y572" s="1302"/>
      <c r="Z572" s="1302"/>
    </row>
    <row r="573" spans="1:26" ht="18.75">
      <c r="A573" s="1326"/>
      <c r="B573" s="1327"/>
      <c r="C573" s="1327"/>
      <c r="D573" s="1014"/>
      <c r="E573" s="1014"/>
      <c r="F573" s="1014"/>
      <c r="G573" s="1007"/>
      <c r="H573" s="762" t="s">
        <v>34</v>
      </c>
      <c r="I573" s="997"/>
      <c r="J573" s="1012">
        <v>29</v>
      </c>
      <c r="K573" s="998"/>
      <c r="L573" s="998"/>
      <c r="M573" s="998"/>
      <c r="N573" s="998"/>
      <c r="O573" s="998"/>
      <c r="P573" s="998"/>
      <c r="Q573" s="1302"/>
      <c r="R573" s="1302"/>
      <c r="S573" s="1302"/>
      <c r="T573" s="1302"/>
      <c r="U573" s="1302"/>
      <c r="V573" s="1302"/>
      <c r="W573" s="1302"/>
      <c r="X573" s="1302"/>
      <c r="Y573" s="1302"/>
      <c r="Z573" s="1302"/>
    </row>
    <row r="574" spans="1:26" ht="18.75">
      <c r="A574" s="1326"/>
      <c r="B574" s="1327"/>
      <c r="C574" s="1327"/>
      <c r="D574" s="1014" t="s">
        <v>243</v>
      </c>
      <c r="E574" s="1014"/>
      <c r="F574" s="1014"/>
      <c r="G574" s="1007"/>
      <c r="H574" s="762" t="s">
        <v>46</v>
      </c>
      <c r="I574" s="997"/>
      <c r="J574" s="1012">
        <v>259</v>
      </c>
      <c r="K574" s="998"/>
      <c r="L574" s="998"/>
      <c r="M574" s="998"/>
      <c r="N574" s="998"/>
      <c r="O574" s="998"/>
      <c r="P574" s="998"/>
      <c r="Q574" s="1302"/>
      <c r="R574" s="1302"/>
      <c r="S574" s="1302"/>
      <c r="T574" s="1302"/>
      <c r="U574" s="1302"/>
      <c r="V574" s="1302"/>
      <c r="W574" s="1302"/>
      <c r="X574" s="1302"/>
      <c r="Y574" s="1302"/>
      <c r="Z574" s="1302"/>
    </row>
    <row r="575" spans="1:26" ht="18.75">
      <c r="A575" s="1326"/>
      <c r="B575" s="1327"/>
      <c r="C575" s="1327"/>
      <c r="D575" s="1327"/>
      <c r="E575" s="1014"/>
      <c r="F575" s="1014"/>
      <c r="G575" s="1007"/>
      <c r="H575" s="762" t="s">
        <v>34</v>
      </c>
      <c r="I575" s="997"/>
      <c r="J575" s="1012">
        <v>44</v>
      </c>
      <c r="K575" s="998"/>
      <c r="L575" s="998"/>
      <c r="M575" s="998"/>
      <c r="N575" s="998"/>
      <c r="O575" s="998"/>
      <c r="P575" s="998"/>
      <c r="Q575" s="1302"/>
      <c r="R575" s="1302"/>
      <c r="S575" s="1302"/>
      <c r="T575" s="1302"/>
      <c r="U575" s="1302"/>
      <c r="V575" s="1302"/>
      <c r="W575" s="1302"/>
      <c r="X575" s="1302"/>
      <c r="Y575" s="1302"/>
      <c r="Z575" s="1302"/>
    </row>
    <row r="576" spans="1:26" ht="19.5">
      <c r="A576" s="1326"/>
      <c r="B576" s="1327"/>
      <c r="C576" s="1336" t="s">
        <v>244</v>
      </c>
      <c r="D576" s="1327"/>
      <c r="E576" s="1327"/>
      <c r="F576" s="1014"/>
      <c r="G576" s="1007"/>
      <c r="H576" s="765" t="s">
        <v>46</v>
      </c>
      <c r="I576" s="1018">
        <f ca="1">IFERROR(__xludf.DUMMYFUNCTION("IMPORTRANGE(""https://docs.google.com/spreadsheets/d/1QqKyyYR6Q21VydFLVH3TRQUabQu_ym0Zz7PgGX0-kHA/edit?usp=sharing"",""แผน!HH87"")"),10513)</f>
        <v>10513</v>
      </c>
      <c r="J576" s="1019">
        <f t="shared" ref="J576:J577" si="250">J578+J580+J582+J588+J590</f>
        <v>10513</v>
      </c>
      <c r="K576" s="1162">
        <f t="shared" ref="K576:K577" ca="1" si="251">IF(I576&gt;0,J576*100/I576,0)</f>
        <v>100</v>
      </c>
      <c r="L576" s="998"/>
      <c r="M576" s="998"/>
      <c r="N576" s="998"/>
      <c r="O576" s="998"/>
      <c r="P576" s="998"/>
      <c r="Q576" s="1302"/>
      <c r="R576" s="1302"/>
      <c r="S576" s="1302"/>
      <c r="T576" s="1302"/>
      <c r="U576" s="1302"/>
      <c r="V576" s="1302"/>
      <c r="W576" s="1302"/>
      <c r="X576" s="1302"/>
      <c r="Y576" s="1302"/>
      <c r="Z576" s="1302"/>
    </row>
    <row r="577" spans="1:26" ht="19.5">
      <c r="A577" s="1326"/>
      <c r="B577" s="1327"/>
      <c r="C577" s="1327"/>
      <c r="D577" s="1327"/>
      <c r="E577" s="1014"/>
      <c r="F577" s="1014"/>
      <c r="G577" s="1007"/>
      <c r="H577" s="765" t="s">
        <v>34</v>
      </c>
      <c r="I577" s="1018">
        <f ca="1">IFERROR(__xludf.DUMMYFUNCTION("IMPORTRANGE(""https://docs.google.com/spreadsheets/d/1QqKyyYR6Q21VydFLVH3TRQUabQu_ym0Zz7PgGX0-kHA/edit?usp=sharing"",""แผน!HG87"")"),1831)</f>
        <v>1831</v>
      </c>
      <c r="J577" s="1019">
        <f t="shared" si="250"/>
        <v>1831</v>
      </c>
      <c r="K577" s="1162">
        <f t="shared" ca="1" si="251"/>
        <v>100</v>
      </c>
      <c r="L577" s="998"/>
      <c r="M577" s="998"/>
      <c r="N577" s="998"/>
      <c r="O577" s="998"/>
      <c r="P577" s="998"/>
      <c r="Q577" s="1302"/>
      <c r="R577" s="1302"/>
      <c r="S577" s="1302"/>
      <c r="T577" s="1302"/>
      <c r="U577" s="1302"/>
      <c r="V577" s="1302"/>
      <c r="W577" s="1302"/>
      <c r="X577" s="1302"/>
      <c r="Y577" s="1302"/>
      <c r="Z577" s="1302"/>
    </row>
    <row r="578" spans="1:26" ht="18.75">
      <c r="A578" s="1326"/>
      <c r="B578" s="1327"/>
      <c r="C578" s="1327"/>
      <c r="D578" s="1014" t="s">
        <v>245</v>
      </c>
      <c r="E578" s="1014"/>
      <c r="F578" s="1014"/>
      <c r="G578" s="1007"/>
      <c r="H578" s="762" t="s">
        <v>46</v>
      </c>
      <c r="I578" s="997"/>
      <c r="J578" s="1012">
        <v>10055</v>
      </c>
      <c r="K578" s="998"/>
      <c r="L578" s="998"/>
      <c r="M578" s="998"/>
      <c r="N578" s="998"/>
      <c r="O578" s="998"/>
      <c r="P578" s="998"/>
      <c r="Q578" s="1302"/>
      <c r="R578" s="1302"/>
      <c r="S578" s="1302"/>
      <c r="T578" s="1302"/>
      <c r="U578" s="1302"/>
      <c r="V578" s="1302"/>
      <c r="W578" s="1302"/>
      <c r="X578" s="1302"/>
      <c r="Y578" s="1302"/>
      <c r="Z578" s="1302"/>
    </row>
    <row r="579" spans="1:26" ht="18.75">
      <c r="A579" s="1326"/>
      <c r="B579" s="1327"/>
      <c r="C579" s="1327"/>
      <c r="D579" s="1327"/>
      <c r="E579" s="1014"/>
      <c r="F579" s="1014"/>
      <c r="G579" s="1007"/>
      <c r="H579" s="762" t="s">
        <v>34</v>
      </c>
      <c r="I579" s="997"/>
      <c r="J579" s="1012">
        <v>1758</v>
      </c>
      <c r="K579" s="998"/>
      <c r="L579" s="998"/>
      <c r="M579" s="998"/>
      <c r="N579" s="998"/>
      <c r="O579" s="998"/>
      <c r="P579" s="998"/>
      <c r="Q579" s="1302"/>
      <c r="R579" s="1302"/>
      <c r="S579" s="1302"/>
      <c r="T579" s="1302"/>
      <c r="U579" s="1302"/>
      <c r="V579" s="1302"/>
      <c r="W579" s="1302"/>
      <c r="X579" s="1302"/>
      <c r="Y579" s="1302"/>
      <c r="Z579" s="1302"/>
    </row>
    <row r="580" spans="1:26" ht="18.75">
      <c r="A580" s="1326"/>
      <c r="B580" s="1327"/>
      <c r="C580" s="1327"/>
      <c r="D580" s="1014" t="s">
        <v>246</v>
      </c>
      <c r="E580" s="1014"/>
      <c r="F580" s="1014"/>
      <c r="G580" s="1007"/>
      <c r="H580" s="762" t="s">
        <v>46</v>
      </c>
      <c r="I580" s="997"/>
      <c r="J580" s="1012">
        <v>199</v>
      </c>
      <c r="K580" s="998"/>
      <c r="L580" s="998"/>
      <c r="M580" s="998"/>
      <c r="N580" s="998"/>
      <c r="O580" s="998"/>
      <c r="P580" s="998"/>
      <c r="Q580" s="1302"/>
      <c r="R580" s="1302"/>
      <c r="S580" s="1302"/>
      <c r="T580" s="1302"/>
      <c r="U580" s="1302"/>
      <c r="V580" s="1302"/>
      <c r="W580" s="1302"/>
      <c r="X580" s="1302"/>
      <c r="Y580" s="1302"/>
      <c r="Z580" s="1302"/>
    </row>
    <row r="581" spans="1:26" ht="18.75">
      <c r="A581" s="1326"/>
      <c r="B581" s="1327"/>
      <c r="C581" s="1327"/>
      <c r="D581" s="1327"/>
      <c r="E581" s="1014"/>
      <c r="F581" s="1014"/>
      <c r="G581" s="1007"/>
      <c r="H581" s="762" t="s">
        <v>34</v>
      </c>
      <c r="I581" s="997"/>
      <c r="J581" s="1012">
        <v>29</v>
      </c>
      <c r="K581" s="998"/>
      <c r="L581" s="998"/>
      <c r="M581" s="998"/>
      <c r="N581" s="998"/>
      <c r="O581" s="998"/>
      <c r="P581" s="998"/>
      <c r="Q581" s="1302"/>
      <c r="R581" s="1302"/>
      <c r="S581" s="1302"/>
      <c r="T581" s="1302"/>
      <c r="U581" s="1302"/>
      <c r="V581" s="1302"/>
      <c r="W581" s="1302"/>
      <c r="X581" s="1302"/>
      <c r="Y581" s="1302"/>
      <c r="Z581" s="1302"/>
    </row>
    <row r="582" spans="1:26" ht="19.5">
      <c r="A582" s="1326"/>
      <c r="B582" s="1327"/>
      <c r="C582" s="1327"/>
      <c r="D582" s="1014" t="s">
        <v>247</v>
      </c>
      <c r="E582" s="1014"/>
      <c r="F582" s="1014"/>
      <c r="G582" s="1007"/>
      <c r="H582" s="762" t="s">
        <v>46</v>
      </c>
      <c r="I582" s="997"/>
      <c r="J582" s="1019">
        <f t="shared" ref="J582:J583" si="252">J584+J586</f>
        <v>259</v>
      </c>
      <c r="K582" s="1162"/>
      <c r="L582" s="998"/>
      <c r="M582" s="998"/>
      <c r="N582" s="998"/>
      <c r="O582" s="998"/>
      <c r="P582" s="998"/>
      <c r="Q582" s="1302"/>
      <c r="R582" s="1302"/>
      <c r="S582" s="1302"/>
      <c r="T582" s="1302"/>
      <c r="U582" s="1302"/>
      <c r="V582" s="1302"/>
      <c r="W582" s="1302"/>
      <c r="X582" s="1302"/>
      <c r="Y582" s="1302"/>
      <c r="Z582" s="1302"/>
    </row>
    <row r="583" spans="1:26" ht="19.5">
      <c r="A583" s="1326"/>
      <c r="B583" s="1327"/>
      <c r="C583" s="1327"/>
      <c r="D583" s="1327"/>
      <c r="E583" s="1014"/>
      <c r="F583" s="1014"/>
      <c r="G583" s="1007"/>
      <c r="H583" s="762" t="s">
        <v>34</v>
      </c>
      <c r="I583" s="997"/>
      <c r="J583" s="1019">
        <f t="shared" si="252"/>
        <v>44</v>
      </c>
      <c r="K583" s="1162"/>
      <c r="L583" s="998"/>
      <c r="M583" s="998"/>
      <c r="N583" s="998"/>
      <c r="O583" s="998"/>
      <c r="P583" s="998"/>
      <c r="Q583" s="1302"/>
      <c r="R583" s="1302"/>
      <c r="S583" s="1302"/>
      <c r="T583" s="1302"/>
      <c r="U583" s="1302"/>
      <c r="V583" s="1302"/>
      <c r="W583" s="1302"/>
      <c r="X583" s="1302"/>
      <c r="Y583" s="1302"/>
      <c r="Z583" s="1302"/>
    </row>
    <row r="584" spans="1:26" ht="18.75">
      <c r="A584" s="1326"/>
      <c r="B584" s="1327"/>
      <c r="C584" s="1327"/>
      <c r="D584" s="1327"/>
      <c r="E584" s="1014" t="s">
        <v>248</v>
      </c>
      <c r="F584" s="1014"/>
      <c r="G584" s="1007"/>
      <c r="H584" s="762" t="s">
        <v>46</v>
      </c>
      <c r="I584" s="997"/>
      <c r="J584" s="1012">
        <v>259</v>
      </c>
      <c r="K584" s="998"/>
      <c r="L584" s="998"/>
      <c r="M584" s="998"/>
      <c r="N584" s="998"/>
      <c r="O584" s="998"/>
      <c r="P584" s="998"/>
      <c r="Q584" s="1302"/>
      <c r="R584" s="1302"/>
      <c r="S584" s="1302"/>
      <c r="T584" s="1302"/>
      <c r="U584" s="1302"/>
      <c r="V584" s="1302"/>
      <c r="W584" s="1302"/>
      <c r="X584" s="1302"/>
      <c r="Y584" s="1302"/>
      <c r="Z584" s="1302"/>
    </row>
    <row r="585" spans="1:26" ht="18.75">
      <c r="A585" s="1326"/>
      <c r="B585" s="1327"/>
      <c r="C585" s="1327"/>
      <c r="D585" s="1327"/>
      <c r="E585" s="1014"/>
      <c r="F585" s="1014"/>
      <c r="G585" s="1007"/>
      <c r="H585" s="762" t="s">
        <v>34</v>
      </c>
      <c r="I585" s="997"/>
      <c r="J585" s="1012">
        <v>44</v>
      </c>
      <c r="K585" s="998"/>
      <c r="L585" s="998"/>
      <c r="M585" s="998"/>
      <c r="N585" s="998"/>
      <c r="O585" s="998"/>
      <c r="P585" s="998"/>
      <c r="Q585" s="1302"/>
      <c r="R585" s="1302"/>
      <c r="S585" s="1302"/>
      <c r="T585" s="1302"/>
      <c r="U585" s="1302"/>
      <c r="V585" s="1302"/>
      <c r="W585" s="1302"/>
      <c r="X585" s="1302"/>
      <c r="Y585" s="1302"/>
      <c r="Z585" s="1302"/>
    </row>
    <row r="586" spans="1:26" ht="18.75">
      <c r="A586" s="1326"/>
      <c r="B586" s="1327"/>
      <c r="C586" s="1327"/>
      <c r="D586" s="1327"/>
      <c r="E586" s="1014" t="s">
        <v>249</v>
      </c>
      <c r="F586" s="1014"/>
      <c r="G586" s="1007"/>
      <c r="H586" s="762" t="s">
        <v>46</v>
      </c>
      <c r="I586" s="997"/>
      <c r="J586" s="1012">
        <v>0</v>
      </c>
      <c r="K586" s="998"/>
      <c r="L586" s="998"/>
      <c r="M586" s="998"/>
      <c r="N586" s="998"/>
      <c r="O586" s="998"/>
      <c r="P586" s="998"/>
      <c r="Q586" s="1302"/>
      <c r="R586" s="1302"/>
      <c r="S586" s="1302"/>
      <c r="T586" s="1302"/>
      <c r="U586" s="1302"/>
      <c r="V586" s="1302"/>
      <c r="W586" s="1302"/>
      <c r="X586" s="1302"/>
      <c r="Y586" s="1302"/>
      <c r="Z586" s="1302"/>
    </row>
    <row r="587" spans="1:26" ht="18.75">
      <c r="A587" s="1326"/>
      <c r="B587" s="1327"/>
      <c r="C587" s="1327"/>
      <c r="D587" s="1327"/>
      <c r="E587" s="1327"/>
      <c r="F587" s="1014"/>
      <c r="G587" s="1007"/>
      <c r="H587" s="762" t="s">
        <v>34</v>
      </c>
      <c r="I587" s="997"/>
      <c r="J587" s="1012">
        <v>0</v>
      </c>
      <c r="K587" s="998"/>
      <c r="L587" s="998"/>
      <c r="M587" s="998"/>
      <c r="N587" s="998"/>
      <c r="O587" s="998"/>
      <c r="P587" s="998"/>
      <c r="Q587" s="1302"/>
      <c r="R587" s="1302"/>
      <c r="S587" s="1302"/>
      <c r="T587" s="1302"/>
      <c r="U587" s="1302"/>
      <c r="V587" s="1302"/>
      <c r="W587" s="1302"/>
      <c r="X587" s="1302"/>
      <c r="Y587" s="1302"/>
      <c r="Z587" s="1302"/>
    </row>
    <row r="588" spans="1:26" ht="18.75">
      <c r="A588" s="1326"/>
      <c r="B588" s="1327"/>
      <c r="C588" s="1327"/>
      <c r="D588" s="1014" t="s">
        <v>250</v>
      </c>
      <c r="E588" s="1014"/>
      <c r="F588" s="1014"/>
      <c r="G588" s="1007"/>
      <c r="H588" s="762" t="s">
        <v>46</v>
      </c>
      <c r="I588" s="997"/>
      <c r="J588" s="1012">
        <v>0</v>
      </c>
      <c r="K588" s="998"/>
      <c r="L588" s="998"/>
      <c r="M588" s="998"/>
      <c r="N588" s="998"/>
      <c r="O588" s="998"/>
      <c r="P588" s="998"/>
      <c r="Q588" s="1302"/>
      <c r="R588" s="1302"/>
      <c r="S588" s="1302"/>
      <c r="T588" s="1302"/>
      <c r="U588" s="1302"/>
      <c r="V588" s="1302"/>
      <c r="W588" s="1302"/>
      <c r="X588" s="1302"/>
      <c r="Y588" s="1302"/>
      <c r="Z588" s="1302"/>
    </row>
    <row r="589" spans="1:26" ht="18.75">
      <c r="A589" s="1326"/>
      <c r="B589" s="1327"/>
      <c r="C589" s="1327"/>
      <c r="D589" s="1327"/>
      <c r="E589" s="1327"/>
      <c r="F589" s="1014"/>
      <c r="G589" s="1007"/>
      <c r="H589" s="762" t="s">
        <v>34</v>
      </c>
      <c r="I589" s="997"/>
      <c r="J589" s="1012">
        <v>0</v>
      </c>
      <c r="K589" s="998"/>
      <c r="L589" s="998"/>
      <c r="M589" s="998"/>
      <c r="N589" s="998"/>
      <c r="O589" s="998"/>
      <c r="P589" s="998"/>
      <c r="Q589" s="1302"/>
      <c r="R589" s="1302"/>
      <c r="S589" s="1302"/>
      <c r="T589" s="1302"/>
      <c r="U589" s="1302"/>
      <c r="V589" s="1302"/>
      <c r="W589" s="1302"/>
      <c r="X589" s="1302"/>
      <c r="Y589" s="1302"/>
      <c r="Z589" s="1302"/>
    </row>
    <row r="590" spans="1:26" ht="18.75">
      <c r="A590" s="1326"/>
      <c r="B590" s="1327"/>
      <c r="C590" s="1327"/>
      <c r="D590" s="1014" t="s">
        <v>251</v>
      </c>
      <c r="E590" s="1014"/>
      <c r="F590" s="1014"/>
      <c r="G590" s="1007"/>
      <c r="H590" s="762" t="s">
        <v>46</v>
      </c>
      <c r="I590" s="997"/>
      <c r="J590" s="1012">
        <v>0</v>
      </c>
      <c r="K590" s="998"/>
      <c r="L590" s="998"/>
      <c r="M590" s="998"/>
      <c r="N590" s="998"/>
      <c r="O590" s="998"/>
      <c r="P590" s="998"/>
      <c r="Q590" s="1302"/>
      <c r="R590" s="1302"/>
      <c r="S590" s="1302"/>
      <c r="T590" s="1302"/>
      <c r="U590" s="1302"/>
      <c r="V590" s="1302"/>
      <c r="W590" s="1302"/>
      <c r="X590" s="1302"/>
      <c r="Y590" s="1302"/>
      <c r="Z590" s="1302"/>
    </row>
    <row r="591" spans="1:26" ht="18.75">
      <c r="A591" s="1393"/>
      <c r="B591" s="1394"/>
      <c r="C591" s="1394"/>
      <c r="D591" s="1394"/>
      <c r="E591" s="1302"/>
      <c r="F591" s="1302"/>
      <c r="G591" s="1395"/>
      <c r="H591" s="697" t="s">
        <v>34</v>
      </c>
      <c r="I591" s="1396"/>
      <c r="J591" s="1397">
        <v>0</v>
      </c>
      <c r="K591" s="1398"/>
      <c r="L591" s="1398"/>
      <c r="M591" s="1398"/>
      <c r="N591" s="1398"/>
      <c r="O591" s="1398"/>
      <c r="P591" s="1398"/>
      <c r="Q591" s="1302"/>
      <c r="R591" s="1302"/>
      <c r="S591" s="1302"/>
      <c r="T591" s="1302"/>
      <c r="U591" s="1302"/>
      <c r="V591" s="1302"/>
      <c r="W591" s="1302"/>
      <c r="X591" s="1302"/>
      <c r="Y591" s="1302"/>
      <c r="Z591" s="1302"/>
    </row>
    <row r="592" spans="1:26" ht="19.5">
      <c r="A592" s="1390"/>
      <c r="B592" s="1391" t="s">
        <v>252</v>
      </c>
      <c r="C592" s="1392"/>
      <c r="D592" s="1392"/>
      <c r="E592" s="1375"/>
      <c r="F592" s="1375"/>
      <c r="G592" s="1376"/>
      <c r="H592" s="693" t="s">
        <v>46</v>
      </c>
      <c r="I592" s="1399">
        <f t="shared" ref="I592:J592" ca="1" si="253">I593</f>
        <v>414.92</v>
      </c>
      <c r="J592" s="1377">
        <f t="shared" si="253"/>
        <v>1</v>
      </c>
      <c r="K592" s="1378">
        <f t="shared" ref="K592:K594" ca="1" si="254">IF(I592&gt;0,J592*100/I592,0)</f>
        <v>0.24101031524149233</v>
      </c>
      <c r="L592" s="1379"/>
      <c r="M592" s="1379"/>
      <c r="N592" s="1379"/>
      <c r="O592" s="1379"/>
      <c r="P592" s="1379"/>
      <c r="Q592" s="1302"/>
      <c r="R592" s="1302"/>
      <c r="S592" s="1302"/>
      <c r="T592" s="1302"/>
      <c r="U592" s="1302"/>
      <c r="V592" s="1302"/>
      <c r="W592" s="1302"/>
      <c r="X592" s="1302"/>
      <c r="Y592" s="1302"/>
      <c r="Z592" s="1302"/>
    </row>
    <row r="593" spans="1:26" ht="19.5">
      <c r="A593" s="1326"/>
      <c r="B593" s="1327"/>
      <c r="C593" s="1336" t="s">
        <v>253</v>
      </c>
      <c r="D593" s="1327"/>
      <c r="E593" s="1327"/>
      <c r="F593" s="1014"/>
      <c r="G593" s="1007"/>
      <c r="H593" s="765" t="s">
        <v>46</v>
      </c>
      <c r="I593" s="1400">
        <f ca="1">IFERROR(__xludf.DUMMYFUNCTION("IMPORTRANGE(""https://docs.google.com/spreadsheets/d/1QqKyyYR6Q21VydFLVH3TRQUabQu_ym0Zz7PgGX0-kHA/edit?usp=sharing"",""แผน!HJ87"")"),414.92)</f>
        <v>414.92</v>
      </c>
      <c r="J593" s="1018">
        <f t="shared" ref="J593:J594" si="255">J595+J603+J609</f>
        <v>1</v>
      </c>
      <c r="K593" s="1162">
        <f t="shared" ca="1" si="254"/>
        <v>0.24101031524149233</v>
      </c>
      <c r="L593" s="998"/>
      <c r="M593" s="998"/>
      <c r="N593" s="998"/>
      <c r="O593" s="998"/>
      <c r="P593" s="998"/>
      <c r="Q593" s="1302"/>
      <c r="R593" s="1302"/>
      <c r="S593" s="1302"/>
      <c r="T593" s="1302"/>
      <c r="U593" s="1302"/>
      <c r="V593" s="1302"/>
      <c r="W593" s="1302"/>
      <c r="X593" s="1302"/>
      <c r="Y593" s="1302"/>
      <c r="Z593" s="1302"/>
    </row>
    <row r="594" spans="1:26" ht="19.5">
      <c r="A594" s="1326"/>
      <c r="B594" s="1327"/>
      <c r="C594" s="1327"/>
      <c r="D594" s="1327"/>
      <c r="E594" s="1014"/>
      <c r="F594" s="1014"/>
      <c r="G594" s="1007"/>
      <c r="H594" s="765" t="s">
        <v>34</v>
      </c>
      <c r="I594" s="1018">
        <f ca="1">IFERROR(__xludf.DUMMYFUNCTION("IMPORTRANGE(""https://docs.google.com/spreadsheets/d/1QqKyyYR6Q21VydFLVH3TRQUabQu_ym0Zz7PgGX0-kHA/edit?usp=sharing"",""แผน!HI87"")"),44)</f>
        <v>44</v>
      </c>
      <c r="J594" s="1018">
        <f t="shared" si="255"/>
        <v>5</v>
      </c>
      <c r="K594" s="1162">
        <f t="shared" ca="1" si="254"/>
        <v>11.363636363636363</v>
      </c>
      <c r="L594" s="998"/>
      <c r="M594" s="998"/>
      <c r="N594" s="998"/>
      <c r="O594" s="998"/>
      <c r="P594" s="998"/>
      <c r="Q594" s="1302"/>
      <c r="R594" s="1302"/>
      <c r="S594" s="1302"/>
      <c r="T594" s="1302"/>
      <c r="U594" s="1302"/>
      <c r="V594" s="1302"/>
      <c r="W594" s="1302"/>
      <c r="X594" s="1302"/>
      <c r="Y594" s="1302"/>
      <c r="Z594" s="1302"/>
    </row>
    <row r="595" spans="1:26" ht="18.75">
      <c r="A595" s="1326"/>
      <c r="B595" s="1327"/>
      <c r="C595" s="1327" t="s">
        <v>254</v>
      </c>
      <c r="D595" s="1327"/>
      <c r="E595" s="1327"/>
      <c r="F595" s="1014"/>
      <c r="G595" s="1007"/>
      <c r="H595" s="762" t="s">
        <v>46</v>
      </c>
      <c r="I595" s="997"/>
      <c r="J595" s="997">
        <f t="shared" ref="J595:J596" si="256">J597+J599</f>
        <v>1</v>
      </c>
      <c r="K595" s="998"/>
      <c r="L595" s="998"/>
      <c r="M595" s="998"/>
      <c r="N595" s="998"/>
      <c r="O595" s="998"/>
      <c r="P595" s="998"/>
      <c r="Q595" s="1302"/>
      <c r="R595" s="1302"/>
      <c r="S595" s="1302"/>
      <c r="T595" s="1302"/>
      <c r="U595" s="1302"/>
      <c r="V595" s="1302"/>
      <c r="W595" s="1302"/>
      <c r="X595" s="1302"/>
      <c r="Y595" s="1302"/>
      <c r="Z595" s="1302"/>
    </row>
    <row r="596" spans="1:26" ht="18.75">
      <c r="A596" s="1326"/>
      <c r="B596" s="1327"/>
      <c r="C596" s="1327"/>
      <c r="D596" s="1327"/>
      <c r="E596" s="1014"/>
      <c r="F596" s="1014"/>
      <c r="G596" s="1007"/>
      <c r="H596" s="762" t="s">
        <v>34</v>
      </c>
      <c r="I596" s="997"/>
      <c r="J596" s="997">
        <f t="shared" si="256"/>
        <v>5</v>
      </c>
      <c r="K596" s="998"/>
      <c r="L596" s="998"/>
      <c r="M596" s="998"/>
      <c r="N596" s="998"/>
      <c r="O596" s="998"/>
      <c r="P596" s="998"/>
      <c r="Q596" s="1302"/>
      <c r="R596" s="1302"/>
      <c r="S596" s="1302"/>
      <c r="T596" s="1302"/>
      <c r="U596" s="1302"/>
      <c r="V596" s="1302"/>
      <c r="W596" s="1302"/>
      <c r="X596" s="1302"/>
      <c r="Y596" s="1302"/>
      <c r="Z596" s="1302"/>
    </row>
    <row r="597" spans="1:26" ht="18.75">
      <c r="A597" s="1326"/>
      <c r="B597" s="1327"/>
      <c r="C597" s="1327"/>
      <c r="D597" s="1069" t="s">
        <v>255</v>
      </c>
      <c r="E597" s="1014"/>
      <c r="F597" s="1014"/>
      <c r="G597" s="1007"/>
      <c r="H597" s="762" t="s">
        <v>46</v>
      </c>
      <c r="I597" s="997"/>
      <c r="J597" s="1012">
        <v>1</v>
      </c>
      <c r="K597" s="998"/>
      <c r="L597" s="998"/>
      <c r="M597" s="998"/>
      <c r="N597" s="998"/>
      <c r="O597" s="998"/>
      <c r="P597" s="998"/>
      <c r="Q597" s="1302"/>
      <c r="R597" s="1302"/>
      <c r="S597" s="1302"/>
      <c r="T597" s="1302"/>
      <c r="U597" s="1302"/>
      <c r="V597" s="1302"/>
      <c r="W597" s="1302"/>
      <c r="X597" s="1302"/>
      <c r="Y597" s="1302"/>
      <c r="Z597" s="1302"/>
    </row>
    <row r="598" spans="1:26" ht="18.75">
      <c r="A598" s="1326"/>
      <c r="B598" s="1327"/>
      <c r="C598" s="1327"/>
      <c r="D598" s="1327"/>
      <c r="E598" s="1014"/>
      <c r="F598" s="1014"/>
      <c r="G598" s="1007"/>
      <c r="H598" s="762" t="s">
        <v>34</v>
      </c>
      <c r="I598" s="880"/>
      <c r="J598" s="1012">
        <v>5</v>
      </c>
      <c r="K598" s="998"/>
      <c r="L598" s="998"/>
      <c r="M598" s="998"/>
      <c r="N598" s="998"/>
      <c r="O598" s="998"/>
      <c r="P598" s="998"/>
      <c r="Q598" s="1302"/>
      <c r="R598" s="1302"/>
      <c r="S598" s="1302"/>
      <c r="T598" s="1302"/>
      <c r="U598" s="1302"/>
      <c r="V598" s="1302"/>
      <c r="W598" s="1302"/>
      <c r="X598" s="1302"/>
      <c r="Y598" s="1302"/>
      <c r="Z598" s="1302"/>
    </row>
    <row r="599" spans="1:26" ht="18.75">
      <c r="A599" s="1326"/>
      <c r="B599" s="1327"/>
      <c r="C599" s="1327"/>
      <c r="D599" s="1069" t="s">
        <v>256</v>
      </c>
      <c r="E599" s="1014"/>
      <c r="F599" s="1014"/>
      <c r="G599" s="1007"/>
      <c r="H599" s="762" t="s">
        <v>46</v>
      </c>
      <c r="I599" s="880"/>
      <c r="J599" s="1012">
        <v>0</v>
      </c>
      <c r="K599" s="998"/>
      <c r="L599" s="998"/>
      <c r="M599" s="998"/>
      <c r="N599" s="998"/>
      <c r="O599" s="998"/>
      <c r="P599" s="998"/>
      <c r="Q599" s="1302"/>
      <c r="R599" s="1302"/>
      <c r="S599" s="1302"/>
      <c r="T599" s="1302"/>
      <c r="U599" s="1302"/>
      <c r="V599" s="1302"/>
      <c r="W599" s="1302"/>
      <c r="X599" s="1302"/>
      <c r="Y599" s="1302"/>
      <c r="Z599" s="1302"/>
    </row>
    <row r="600" spans="1:26" ht="18.75">
      <c r="A600" s="1326"/>
      <c r="B600" s="1327"/>
      <c r="C600" s="1327"/>
      <c r="D600" s="1327"/>
      <c r="E600" s="1014"/>
      <c r="F600" s="1014"/>
      <c r="G600" s="1007"/>
      <c r="H600" s="762" t="s">
        <v>34</v>
      </c>
      <c r="I600" s="880"/>
      <c r="J600" s="1012">
        <v>0</v>
      </c>
      <c r="K600" s="998"/>
      <c r="L600" s="998"/>
      <c r="M600" s="998"/>
      <c r="N600" s="998"/>
      <c r="O600" s="998"/>
      <c r="P600" s="998"/>
      <c r="Q600" s="1302"/>
      <c r="R600" s="1302"/>
      <c r="S600" s="1302"/>
      <c r="T600" s="1302"/>
      <c r="U600" s="1302"/>
      <c r="V600" s="1302"/>
      <c r="W600" s="1302"/>
      <c r="X600" s="1302"/>
      <c r="Y600" s="1302"/>
      <c r="Z600" s="1302"/>
    </row>
    <row r="601" spans="1:26" ht="18.75">
      <c r="A601" s="1326"/>
      <c r="B601" s="1327"/>
      <c r="C601" s="1327"/>
      <c r="D601" s="1069" t="s">
        <v>257</v>
      </c>
      <c r="E601" s="1014"/>
      <c r="F601" s="1014"/>
      <c r="G601" s="1007"/>
      <c r="H601" s="762" t="s">
        <v>46</v>
      </c>
      <c r="I601" s="880"/>
      <c r="J601" s="1012">
        <v>0</v>
      </c>
      <c r="K601" s="998"/>
      <c r="L601" s="998"/>
      <c r="M601" s="998"/>
      <c r="N601" s="998"/>
      <c r="O601" s="998"/>
      <c r="P601" s="998"/>
      <c r="Q601" s="1302"/>
      <c r="R601" s="1302"/>
      <c r="S601" s="1302"/>
      <c r="T601" s="1302"/>
      <c r="U601" s="1302"/>
      <c r="V601" s="1302"/>
      <c r="W601" s="1302"/>
      <c r="X601" s="1302"/>
      <c r="Y601" s="1302"/>
      <c r="Z601" s="1302"/>
    </row>
    <row r="602" spans="1:26" ht="18.75">
      <c r="A602" s="1326"/>
      <c r="B602" s="1327"/>
      <c r="C602" s="1327"/>
      <c r="D602" s="1327"/>
      <c r="E602" s="1014"/>
      <c r="F602" s="1014"/>
      <c r="G602" s="1007"/>
      <c r="H602" s="762" t="s">
        <v>34</v>
      </c>
      <c r="I602" s="880"/>
      <c r="J602" s="1012">
        <v>0</v>
      </c>
      <c r="K602" s="998"/>
      <c r="L602" s="998"/>
      <c r="M602" s="998"/>
      <c r="N602" s="998"/>
      <c r="O602" s="998"/>
      <c r="P602" s="998"/>
      <c r="Q602" s="1302"/>
      <c r="R602" s="1302"/>
      <c r="S602" s="1302"/>
      <c r="T602" s="1302"/>
      <c r="U602" s="1302"/>
      <c r="V602" s="1302"/>
      <c r="W602" s="1302"/>
      <c r="X602" s="1302"/>
      <c r="Y602" s="1302"/>
      <c r="Z602" s="1302"/>
    </row>
    <row r="603" spans="1:26" ht="18.75">
      <c r="A603" s="1326"/>
      <c r="B603" s="1327"/>
      <c r="C603" s="1401" t="s">
        <v>258</v>
      </c>
      <c r="D603" s="1327"/>
      <c r="E603" s="1327"/>
      <c r="F603" s="1014"/>
      <c r="G603" s="1007"/>
      <c r="H603" s="762" t="s">
        <v>46</v>
      </c>
      <c r="I603" s="880"/>
      <c r="J603" s="880">
        <f t="shared" ref="J603:J604" si="257">J605+J607</f>
        <v>0</v>
      </c>
      <c r="K603" s="998"/>
      <c r="L603" s="998"/>
      <c r="M603" s="998"/>
      <c r="N603" s="998"/>
      <c r="O603" s="998"/>
      <c r="P603" s="998"/>
      <c r="Q603" s="1302"/>
      <c r="R603" s="1302"/>
      <c r="S603" s="1302"/>
      <c r="T603" s="1302"/>
      <c r="U603" s="1302"/>
      <c r="V603" s="1302"/>
      <c r="W603" s="1302"/>
      <c r="X603" s="1302"/>
      <c r="Y603" s="1302"/>
      <c r="Z603" s="1302"/>
    </row>
    <row r="604" spans="1:26" ht="18.75">
      <c r="A604" s="1326"/>
      <c r="B604" s="1327"/>
      <c r="C604" s="1327"/>
      <c r="D604" s="1327"/>
      <c r="E604" s="1014"/>
      <c r="F604" s="1014"/>
      <c r="G604" s="1007"/>
      <c r="H604" s="762" t="s">
        <v>34</v>
      </c>
      <c r="I604" s="880"/>
      <c r="J604" s="880">
        <f t="shared" si="257"/>
        <v>0</v>
      </c>
      <c r="K604" s="998"/>
      <c r="L604" s="998"/>
      <c r="M604" s="998"/>
      <c r="N604" s="998"/>
      <c r="O604" s="998"/>
      <c r="P604" s="998"/>
      <c r="Q604" s="1302"/>
      <c r="R604" s="1302"/>
      <c r="S604" s="1302"/>
      <c r="T604" s="1302"/>
      <c r="U604" s="1302"/>
      <c r="V604" s="1302"/>
      <c r="W604" s="1302"/>
      <c r="X604" s="1302"/>
      <c r="Y604" s="1302"/>
      <c r="Z604" s="1302"/>
    </row>
    <row r="605" spans="1:26" ht="18.75">
      <c r="A605" s="1326"/>
      <c r="B605" s="1327"/>
      <c r="C605" s="1327"/>
      <c r="D605" s="1401" t="s">
        <v>259</v>
      </c>
      <c r="E605" s="1014"/>
      <c r="F605" s="1014"/>
      <c r="G605" s="1007"/>
      <c r="H605" s="762" t="s">
        <v>46</v>
      </c>
      <c r="I605" s="880"/>
      <c r="J605" s="1012">
        <v>0</v>
      </c>
      <c r="K605" s="998"/>
      <c r="L605" s="998"/>
      <c r="M605" s="998"/>
      <c r="N605" s="998"/>
      <c r="O605" s="998"/>
      <c r="P605" s="998"/>
      <c r="Q605" s="1302"/>
      <c r="R605" s="1302"/>
      <c r="S605" s="1302"/>
      <c r="T605" s="1302"/>
      <c r="U605" s="1302"/>
      <c r="V605" s="1302"/>
      <c r="W605" s="1302"/>
      <c r="X605" s="1302"/>
      <c r="Y605" s="1302"/>
      <c r="Z605" s="1302"/>
    </row>
    <row r="606" spans="1:26" ht="18.75">
      <c r="A606" s="1326"/>
      <c r="B606" s="1327"/>
      <c r="C606" s="1327"/>
      <c r="D606" s="1327"/>
      <c r="E606" s="1327"/>
      <c r="F606" s="1014"/>
      <c r="G606" s="1007"/>
      <c r="H606" s="762" t="s">
        <v>34</v>
      </c>
      <c r="I606" s="880"/>
      <c r="J606" s="1012">
        <v>0</v>
      </c>
      <c r="K606" s="998"/>
      <c r="L606" s="998"/>
      <c r="M606" s="998"/>
      <c r="N606" s="998"/>
      <c r="O606" s="998"/>
      <c r="P606" s="998"/>
      <c r="Q606" s="1302"/>
      <c r="R606" s="1302"/>
      <c r="S606" s="1302"/>
      <c r="T606" s="1302"/>
      <c r="U606" s="1302"/>
      <c r="V606" s="1302"/>
      <c r="W606" s="1302"/>
      <c r="X606" s="1302"/>
      <c r="Y606" s="1302"/>
      <c r="Z606" s="1302"/>
    </row>
    <row r="607" spans="1:26" ht="18.75">
      <c r="A607" s="1326"/>
      <c r="B607" s="1327"/>
      <c r="C607" s="1327"/>
      <c r="D607" s="1401" t="s">
        <v>260</v>
      </c>
      <c r="E607" s="1327"/>
      <c r="F607" s="1014"/>
      <c r="G607" s="1007"/>
      <c r="H607" s="762" t="s">
        <v>46</v>
      </c>
      <c r="I607" s="880"/>
      <c r="J607" s="1012">
        <v>0</v>
      </c>
      <c r="K607" s="998"/>
      <c r="L607" s="998"/>
      <c r="M607" s="998"/>
      <c r="N607" s="998"/>
      <c r="O607" s="998"/>
      <c r="P607" s="998"/>
      <c r="Q607" s="1302"/>
      <c r="R607" s="1302"/>
      <c r="S607" s="1302"/>
      <c r="T607" s="1302"/>
      <c r="U607" s="1302"/>
      <c r="V607" s="1302"/>
      <c r="W607" s="1302"/>
      <c r="X607" s="1302"/>
      <c r="Y607" s="1302"/>
      <c r="Z607" s="1302"/>
    </row>
    <row r="608" spans="1:26" ht="18.75">
      <c r="A608" s="1326"/>
      <c r="B608" s="1327"/>
      <c r="C608" s="1327"/>
      <c r="D608" s="1327"/>
      <c r="E608" s="1014"/>
      <c r="F608" s="1014"/>
      <c r="G608" s="1007"/>
      <c r="H608" s="762" t="s">
        <v>34</v>
      </c>
      <c r="I608" s="880"/>
      <c r="J608" s="1012">
        <v>0</v>
      </c>
      <c r="K608" s="998"/>
      <c r="L608" s="998"/>
      <c r="M608" s="998"/>
      <c r="N608" s="998"/>
      <c r="O608" s="998"/>
      <c r="P608" s="998"/>
      <c r="Q608" s="1302"/>
      <c r="R608" s="1302"/>
      <c r="S608" s="1302"/>
      <c r="T608" s="1302"/>
      <c r="U608" s="1302"/>
      <c r="V608" s="1302"/>
      <c r="W608" s="1302"/>
      <c r="X608" s="1302"/>
      <c r="Y608" s="1302"/>
      <c r="Z608" s="1302"/>
    </row>
    <row r="609" spans="1:26" ht="18.75">
      <c r="A609" s="1326"/>
      <c r="B609" s="1327"/>
      <c r="C609" s="1327" t="s">
        <v>261</v>
      </c>
      <c r="D609" s="1327"/>
      <c r="E609" s="1327"/>
      <c r="F609" s="1014"/>
      <c r="G609" s="1007"/>
      <c r="H609" s="762" t="s">
        <v>46</v>
      </c>
      <c r="I609" s="880"/>
      <c r="J609" s="1012">
        <v>0</v>
      </c>
      <c r="K609" s="998"/>
      <c r="L609" s="998"/>
      <c r="M609" s="998"/>
      <c r="N609" s="998"/>
      <c r="O609" s="998"/>
      <c r="P609" s="998"/>
      <c r="Q609" s="1302"/>
      <c r="R609" s="1302"/>
      <c r="S609" s="1302"/>
      <c r="T609" s="1302"/>
      <c r="U609" s="1302"/>
      <c r="V609" s="1302"/>
      <c r="W609" s="1302"/>
      <c r="X609" s="1302"/>
      <c r="Y609" s="1302"/>
      <c r="Z609" s="1302"/>
    </row>
    <row r="610" spans="1:26" ht="18.75">
      <c r="A610" s="1326"/>
      <c r="B610" s="1327"/>
      <c r="C610" s="1327"/>
      <c r="D610" s="1327"/>
      <c r="E610" s="1014"/>
      <c r="F610" s="1014"/>
      <c r="G610" s="1007"/>
      <c r="H610" s="762" t="s">
        <v>34</v>
      </c>
      <c r="I610" s="880"/>
      <c r="J610" s="1012">
        <v>0</v>
      </c>
      <c r="K610" s="998"/>
      <c r="L610" s="998"/>
      <c r="M610" s="998"/>
      <c r="N610" s="998"/>
      <c r="O610" s="998"/>
      <c r="P610" s="998"/>
      <c r="Q610" s="1302"/>
      <c r="R610" s="1302"/>
      <c r="S610" s="1302"/>
      <c r="T610" s="1302"/>
      <c r="U610" s="1302"/>
      <c r="V610" s="1302"/>
      <c r="W610" s="1302"/>
      <c r="X610" s="1302"/>
      <c r="Y610" s="1302"/>
      <c r="Z610" s="1302"/>
    </row>
    <row r="611" spans="1:26" ht="19.5" hidden="1">
      <c r="A611" s="1390"/>
      <c r="B611" s="1402" t="s">
        <v>262</v>
      </c>
      <c r="C611" s="1392"/>
      <c r="D611" s="1392"/>
      <c r="E611" s="1375"/>
      <c r="F611" s="1375"/>
      <c r="G611" s="1376"/>
      <c r="H611" s="705" t="s">
        <v>46</v>
      </c>
      <c r="I611" s="1377">
        <v>0</v>
      </c>
      <c r="J611" s="1377">
        <f>J614+J616</f>
        <v>0</v>
      </c>
      <c r="K611" s="1378">
        <f t="shared" ref="K611:K613" si="258">IF(I611&gt;0,J611*100/I611,0)</f>
        <v>0</v>
      </c>
      <c r="L611" s="1379"/>
      <c r="M611" s="1379"/>
      <c r="N611" s="1379"/>
      <c r="O611" s="1379"/>
      <c r="P611" s="1379"/>
      <c r="Q611" s="1302"/>
      <c r="R611" s="1302"/>
      <c r="S611" s="1302"/>
      <c r="T611" s="1302"/>
      <c r="U611" s="1302"/>
      <c r="V611" s="1302"/>
      <c r="W611" s="1302"/>
      <c r="X611" s="1302"/>
      <c r="Y611" s="1302"/>
      <c r="Z611" s="1302"/>
    </row>
    <row r="612" spans="1:26" ht="19.5" hidden="1">
      <c r="A612" s="1403"/>
      <c r="B612" s="1404"/>
      <c r="C612" s="1405" t="s">
        <v>263</v>
      </c>
      <c r="D612" s="1404"/>
      <c r="E612" s="1404"/>
      <c r="F612" s="1406"/>
      <c r="G612" s="1407"/>
      <c r="H612" s="712" t="s">
        <v>46</v>
      </c>
      <c r="I612" s="1408">
        <v>0</v>
      </c>
      <c r="J612" s="1408">
        <f t="shared" ref="J612:J613" si="259">J614+J616</f>
        <v>0</v>
      </c>
      <c r="K612" s="1409">
        <f t="shared" si="258"/>
        <v>0</v>
      </c>
      <c r="L612" s="1410"/>
      <c r="M612" s="1410"/>
      <c r="N612" s="1410"/>
      <c r="O612" s="1410"/>
      <c r="P612" s="1410"/>
      <c r="Q612" s="1323"/>
      <c r="R612" s="1323"/>
      <c r="S612" s="1323"/>
      <c r="T612" s="1323"/>
      <c r="U612" s="1323"/>
      <c r="V612" s="1323"/>
      <c r="W612" s="1323"/>
      <c r="X612" s="1323"/>
      <c r="Y612" s="1323"/>
      <c r="Z612" s="1323"/>
    </row>
    <row r="613" spans="1:26" ht="19.5" hidden="1">
      <c r="A613" s="1403"/>
      <c r="B613" s="1404"/>
      <c r="C613" s="1404" t="s">
        <v>264</v>
      </c>
      <c r="D613" s="1404"/>
      <c r="E613" s="1404"/>
      <c r="F613" s="1406"/>
      <c r="G613" s="1407"/>
      <c r="H613" s="712" t="s">
        <v>34</v>
      </c>
      <c r="I613" s="1408">
        <v>0</v>
      </c>
      <c r="J613" s="1408">
        <f t="shared" si="259"/>
        <v>0</v>
      </c>
      <c r="K613" s="1409">
        <f t="shared" si="258"/>
        <v>0</v>
      </c>
      <c r="L613" s="1410"/>
      <c r="M613" s="1410"/>
      <c r="N613" s="1410"/>
      <c r="O613" s="1410"/>
      <c r="P613" s="1410"/>
      <c r="Q613" s="1323"/>
      <c r="R613" s="1323"/>
      <c r="S613" s="1323"/>
      <c r="T613" s="1323"/>
      <c r="U613" s="1323"/>
      <c r="V613" s="1323"/>
      <c r="W613" s="1323"/>
      <c r="X613" s="1323"/>
      <c r="Y613" s="1323"/>
      <c r="Z613" s="1323"/>
    </row>
    <row r="614" spans="1:26" ht="18.75" hidden="1">
      <c r="A614" s="1332"/>
      <c r="B614" s="1333"/>
      <c r="C614" s="1333"/>
      <c r="D614" s="1321" t="s">
        <v>265</v>
      </c>
      <c r="E614" s="1333"/>
      <c r="F614" s="1321"/>
      <c r="G614" s="1113"/>
      <c r="H614" s="370" t="s">
        <v>46</v>
      </c>
      <c r="I614" s="886"/>
      <c r="J614" s="886">
        <v>0</v>
      </c>
      <c r="K614" s="1001"/>
      <c r="L614" s="1001"/>
      <c r="M614" s="1001"/>
      <c r="N614" s="1001"/>
      <c r="O614" s="1001"/>
      <c r="P614" s="1001"/>
      <c r="Q614" s="1323"/>
      <c r="R614" s="1323"/>
      <c r="S614" s="1323"/>
      <c r="T614" s="1323"/>
      <c r="U614" s="1323"/>
      <c r="V614" s="1323"/>
      <c r="W614" s="1323"/>
      <c r="X614" s="1323"/>
      <c r="Y614" s="1323"/>
      <c r="Z614" s="1323"/>
    </row>
    <row r="615" spans="1:26" ht="18.75" hidden="1">
      <c r="A615" s="1332"/>
      <c r="B615" s="1333"/>
      <c r="C615" s="1333"/>
      <c r="D615" s="1333"/>
      <c r="E615" s="1333"/>
      <c r="F615" s="1321"/>
      <c r="G615" s="1113"/>
      <c r="H615" s="370" t="s">
        <v>34</v>
      </c>
      <c r="I615" s="886"/>
      <c r="J615" s="886">
        <v>0</v>
      </c>
      <c r="K615" s="1001"/>
      <c r="L615" s="1001"/>
      <c r="M615" s="1001"/>
      <c r="N615" s="1001"/>
      <c r="O615" s="1001"/>
      <c r="P615" s="1001"/>
      <c r="Q615" s="1323"/>
      <c r="R615" s="1323"/>
      <c r="S615" s="1323"/>
      <c r="T615" s="1323"/>
      <c r="U615" s="1323"/>
      <c r="V615" s="1323"/>
      <c r="W615" s="1323"/>
      <c r="X615" s="1323"/>
      <c r="Y615" s="1323"/>
      <c r="Z615" s="1323"/>
    </row>
    <row r="616" spans="1:26" ht="18.75" hidden="1">
      <c r="A616" s="1332"/>
      <c r="B616" s="1333"/>
      <c r="C616" s="1333"/>
      <c r="D616" s="1411" t="s">
        <v>265</v>
      </c>
      <c r="E616" s="1321"/>
      <c r="F616" s="1321"/>
      <c r="G616" s="1113"/>
      <c r="H616" s="370" t="s">
        <v>46</v>
      </c>
      <c r="I616" s="886"/>
      <c r="J616" s="886">
        <v>0</v>
      </c>
      <c r="K616" s="1001"/>
      <c r="L616" s="1001"/>
      <c r="M616" s="1001"/>
      <c r="N616" s="1001"/>
      <c r="O616" s="1001"/>
      <c r="P616" s="1001"/>
      <c r="Q616" s="1323"/>
      <c r="R616" s="1323"/>
      <c r="S616" s="1323"/>
      <c r="T616" s="1323"/>
      <c r="U616" s="1323"/>
      <c r="V616" s="1323"/>
      <c r="W616" s="1323"/>
      <c r="X616" s="1323"/>
      <c r="Y616" s="1323"/>
      <c r="Z616" s="1323"/>
    </row>
    <row r="617" spans="1:26" ht="18.75" hidden="1">
      <c r="A617" s="1332"/>
      <c r="B617" s="1333"/>
      <c r="C617" s="1333"/>
      <c r="D617" s="1333"/>
      <c r="E617" s="1321"/>
      <c r="F617" s="1321"/>
      <c r="G617" s="1113"/>
      <c r="H617" s="370" t="s">
        <v>34</v>
      </c>
      <c r="I617" s="886"/>
      <c r="J617" s="886">
        <v>0</v>
      </c>
      <c r="K617" s="1001"/>
      <c r="L617" s="1001"/>
      <c r="M617" s="1001"/>
      <c r="N617" s="1001"/>
      <c r="O617" s="1001"/>
      <c r="P617" s="1001"/>
      <c r="Q617" s="1323"/>
      <c r="R617" s="1323"/>
      <c r="S617" s="1323"/>
      <c r="T617" s="1323"/>
      <c r="U617" s="1323"/>
      <c r="V617" s="1323"/>
      <c r="W617" s="1323"/>
      <c r="X617" s="1323"/>
      <c r="Y617" s="1323"/>
      <c r="Z617" s="1323"/>
    </row>
    <row r="618" spans="1:26" ht="18.75" hidden="1">
      <c r="A618" s="1332"/>
      <c r="B618" s="1333"/>
      <c r="C618" s="1333"/>
      <c r="D618" s="1411" t="s">
        <v>266</v>
      </c>
      <c r="E618" s="1321"/>
      <c r="F618" s="1321"/>
      <c r="G618" s="1113"/>
      <c r="H618" s="370" t="s">
        <v>46</v>
      </c>
      <c r="I618" s="886"/>
      <c r="J618" s="886">
        <v>0</v>
      </c>
      <c r="K618" s="1001"/>
      <c r="L618" s="1001"/>
      <c r="M618" s="1001"/>
      <c r="N618" s="1001"/>
      <c r="O618" s="1001"/>
      <c r="P618" s="1001"/>
      <c r="Q618" s="1323"/>
      <c r="R618" s="1323"/>
      <c r="S618" s="1323"/>
      <c r="T618" s="1323"/>
      <c r="U618" s="1323"/>
      <c r="V618" s="1323"/>
      <c r="W618" s="1323"/>
      <c r="X618" s="1323"/>
      <c r="Y618" s="1323"/>
      <c r="Z618" s="1323"/>
    </row>
    <row r="619" spans="1:26" ht="18.75" hidden="1">
      <c r="A619" s="1332"/>
      <c r="B619" s="1333"/>
      <c r="C619" s="1333"/>
      <c r="D619" s="1333"/>
      <c r="E619" s="1321"/>
      <c r="F619" s="1321"/>
      <c r="G619" s="1113"/>
      <c r="H619" s="370" t="s">
        <v>34</v>
      </c>
      <c r="I619" s="886"/>
      <c r="J619" s="886">
        <v>0</v>
      </c>
      <c r="K619" s="1001"/>
      <c r="L619" s="1001"/>
      <c r="M619" s="1001"/>
      <c r="N619" s="1001"/>
      <c r="O619" s="1001"/>
      <c r="P619" s="1001"/>
      <c r="Q619" s="1323"/>
      <c r="R619" s="1323"/>
      <c r="S619" s="1323"/>
      <c r="T619" s="1323"/>
      <c r="U619" s="1323"/>
      <c r="V619" s="1323"/>
      <c r="W619" s="1323"/>
      <c r="X619" s="1323"/>
      <c r="Y619" s="1323"/>
      <c r="Z619" s="1323"/>
    </row>
    <row r="620" spans="1:26" ht="19.5" hidden="1">
      <c r="A620" s="1412"/>
      <c r="B620" s="1413"/>
      <c r="C620" s="1414" t="s">
        <v>267</v>
      </c>
      <c r="D620" s="1413"/>
      <c r="E620" s="1413"/>
      <c r="F620" s="1415"/>
      <c r="G620" s="1416"/>
      <c r="H620" s="725" t="s">
        <v>46</v>
      </c>
      <c r="I620" s="1417">
        <f ca="1">IFERROR(__xludf.DUMMYFUNCTION("IMPORTRANGE(""https://docs.google.com/spreadsheets/d/1QqKyyYR6Q21VydFLVH3TRQUabQu_ym0Zz7PgGX0-kHA/edit?usp=sharing"",""แผน!HL87"")"),0)</f>
        <v>0</v>
      </c>
      <c r="J620" s="1417">
        <f t="shared" ref="J620:J621" si="260">J622+J624+J626</f>
        <v>0</v>
      </c>
      <c r="K620" s="1418">
        <f t="shared" ref="K620:K621" ca="1" si="261">IF(I620&gt;0,J620*100/I620,0)</f>
        <v>0</v>
      </c>
      <c r="L620" s="1419"/>
      <c r="M620" s="1419"/>
      <c r="N620" s="1419"/>
      <c r="O620" s="1419"/>
      <c r="P620" s="1419"/>
      <c r="Q620" s="1302"/>
      <c r="R620" s="1302"/>
      <c r="S620" s="1302"/>
      <c r="T620" s="1302"/>
      <c r="U620" s="1302"/>
      <c r="V620" s="1302"/>
      <c r="W620" s="1302"/>
      <c r="X620" s="1302"/>
      <c r="Y620" s="1302"/>
      <c r="Z620" s="1302"/>
    </row>
    <row r="621" spans="1:26" ht="19.5" hidden="1">
      <c r="A621" s="1412"/>
      <c r="B621" s="1413"/>
      <c r="C621" s="1413" t="s">
        <v>268</v>
      </c>
      <c r="D621" s="1413"/>
      <c r="E621" s="1413"/>
      <c r="F621" s="1415"/>
      <c r="G621" s="1416"/>
      <c r="H621" s="725" t="s">
        <v>34</v>
      </c>
      <c r="I621" s="1417">
        <f ca="1">IFERROR(__xludf.DUMMYFUNCTION("IMPORTRANGE(""https://docs.google.com/spreadsheets/d/1QqKyyYR6Q21VydFLVH3TRQUabQu_ym0Zz7PgGX0-kHA/edit?usp=sharing"",""แผน!HK87"")"),0)</f>
        <v>0</v>
      </c>
      <c r="J621" s="1417">
        <f t="shared" si="260"/>
        <v>0</v>
      </c>
      <c r="K621" s="1418">
        <f t="shared" ca="1" si="261"/>
        <v>0</v>
      </c>
      <c r="L621" s="1419"/>
      <c r="M621" s="1419"/>
      <c r="N621" s="1419"/>
      <c r="O621" s="1419"/>
      <c r="P621" s="1419"/>
      <c r="Q621" s="1302"/>
      <c r="R621" s="1302"/>
      <c r="S621" s="1302"/>
      <c r="T621" s="1302"/>
      <c r="U621" s="1302"/>
      <c r="V621" s="1302"/>
      <c r="W621" s="1302"/>
      <c r="X621" s="1302"/>
      <c r="Y621" s="1302"/>
      <c r="Z621" s="1302"/>
    </row>
    <row r="622" spans="1:26" ht="18.75" hidden="1">
      <c r="A622" s="1326"/>
      <c r="B622" s="1327"/>
      <c r="C622" s="1327"/>
      <c r="D622" s="1069" t="s">
        <v>269</v>
      </c>
      <c r="E622" s="1014"/>
      <c r="F622" s="1014"/>
      <c r="G622" s="1007"/>
      <c r="H622" s="762" t="s">
        <v>46</v>
      </c>
      <c r="I622" s="880"/>
      <c r="J622" s="1012">
        <v>0</v>
      </c>
      <c r="K622" s="998"/>
      <c r="L622" s="998"/>
      <c r="M622" s="998"/>
      <c r="N622" s="998"/>
      <c r="O622" s="998"/>
      <c r="P622" s="998"/>
      <c r="Q622" s="1302"/>
      <c r="R622" s="1302"/>
      <c r="S622" s="1302"/>
      <c r="T622" s="1302"/>
      <c r="U622" s="1302"/>
      <c r="V622" s="1302"/>
      <c r="W622" s="1302"/>
      <c r="X622" s="1302"/>
      <c r="Y622" s="1302"/>
      <c r="Z622" s="1302"/>
    </row>
    <row r="623" spans="1:26" ht="18.75" hidden="1">
      <c r="A623" s="1326"/>
      <c r="B623" s="1327"/>
      <c r="C623" s="1327"/>
      <c r="D623" s="1327"/>
      <c r="E623" s="1014"/>
      <c r="F623" s="1014"/>
      <c r="G623" s="1007"/>
      <c r="H623" s="762" t="s">
        <v>34</v>
      </c>
      <c r="I623" s="880"/>
      <c r="J623" s="1012">
        <v>0</v>
      </c>
      <c r="K623" s="998"/>
      <c r="L623" s="998"/>
      <c r="M623" s="998"/>
      <c r="N623" s="998"/>
      <c r="O623" s="998"/>
      <c r="P623" s="998"/>
      <c r="Q623" s="1302"/>
      <c r="R623" s="1302"/>
      <c r="S623" s="1302"/>
      <c r="T623" s="1302"/>
      <c r="U623" s="1302"/>
      <c r="V623" s="1302"/>
      <c r="W623" s="1302"/>
      <c r="X623" s="1302"/>
      <c r="Y623" s="1302"/>
      <c r="Z623" s="1302"/>
    </row>
    <row r="624" spans="1:26" ht="18.75" hidden="1">
      <c r="A624" s="1326"/>
      <c r="B624" s="1327"/>
      <c r="C624" s="1327"/>
      <c r="D624" s="1069" t="s">
        <v>265</v>
      </c>
      <c r="E624" s="1014"/>
      <c r="F624" s="1014"/>
      <c r="G624" s="1007"/>
      <c r="H624" s="762" t="s">
        <v>46</v>
      </c>
      <c r="I624" s="880"/>
      <c r="J624" s="1012">
        <v>0</v>
      </c>
      <c r="K624" s="998"/>
      <c r="L624" s="998"/>
      <c r="M624" s="998"/>
      <c r="N624" s="998"/>
      <c r="O624" s="998"/>
      <c r="P624" s="998"/>
      <c r="Q624" s="1302"/>
      <c r="R624" s="1302"/>
      <c r="S624" s="1302"/>
      <c r="T624" s="1302"/>
      <c r="U624" s="1302"/>
      <c r="V624" s="1302"/>
      <c r="W624" s="1302"/>
      <c r="X624" s="1302"/>
      <c r="Y624" s="1302"/>
      <c r="Z624" s="1302"/>
    </row>
    <row r="625" spans="1:26" ht="18.75" hidden="1">
      <c r="A625" s="1326"/>
      <c r="B625" s="1327"/>
      <c r="C625" s="1327"/>
      <c r="D625" s="1327"/>
      <c r="E625" s="1014"/>
      <c r="F625" s="1014"/>
      <c r="G625" s="1007"/>
      <c r="H625" s="762" t="s">
        <v>34</v>
      </c>
      <c r="I625" s="880"/>
      <c r="J625" s="1012">
        <v>0</v>
      </c>
      <c r="K625" s="998"/>
      <c r="L625" s="998"/>
      <c r="M625" s="998"/>
      <c r="N625" s="998"/>
      <c r="O625" s="998"/>
      <c r="P625" s="998"/>
      <c r="Q625" s="1302"/>
      <c r="R625" s="1302"/>
      <c r="S625" s="1302"/>
      <c r="T625" s="1302"/>
      <c r="U625" s="1302"/>
      <c r="V625" s="1302"/>
      <c r="W625" s="1302"/>
      <c r="X625" s="1302"/>
      <c r="Y625" s="1302"/>
      <c r="Z625" s="1302"/>
    </row>
    <row r="626" spans="1:26" ht="18.75" hidden="1">
      <c r="A626" s="1326"/>
      <c r="B626" s="1327"/>
      <c r="C626" s="1327"/>
      <c r="D626" s="1069" t="s">
        <v>270</v>
      </c>
      <c r="E626" s="1014"/>
      <c r="F626" s="1014"/>
      <c r="G626" s="1007"/>
      <c r="H626" s="762" t="s">
        <v>46</v>
      </c>
      <c r="I626" s="880"/>
      <c r="J626" s="1012">
        <v>0</v>
      </c>
      <c r="K626" s="998"/>
      <c r="L626" s="998"/>
      <c r="M626" s="998"/>
      <c r="N626" s="998"/>
      <c r="O626" s="998"/>
      <c r="P626" s="998"/>
      <c r="Q626" s="1302"/>
      <c r="R626" s="1302"/>
      <c r="S626" s="1302"/>
      <c r="T626" s="1302"/>
      <c r="U626" s="1302"/>
      <c r="V626" s="1302"/>
      <c r="W626" s="1302"/>
      <c r="X626" s="1302"/>
      <c r="Y626" s="1302"/>
      <c r="Z626" s="1302"/>
    </row>
    <row r="627" spans="1:26" ht="18.75" hidden="1">
      <c r="A627" s="1420"/>
      <c r="B627" s="1421"/>
      <c r="C627" s="1421"/>
      <c r="D627" s="1421"/>
      <c r="E627" s="1169"/>
      <c r="F627" s="1169"/>
      <c r="G627" s="1422"/>
      <c r="H627" s="423" t="s">
        <v>34</v>
      </c>
      <c r="I627" s="1138"/>
      <c r="J627" s="1171">
        <v>0</v>
      </c>
      <c r="K627" s="1139"/>
      <c r="L627" s="1139"/>
      <c r="M627" s="1139"/>
      <c r="N627" s="1139"/>
      <c r="O627" s="1139"/>
      <c r="P627" s="1139"/>
      <c r="Q627" s="1302"/>
      <c r="R627" s="1302"/>
      <c r="S627" s="1302"/>
      <c r="T627" s="1302"/>
      <c r="U627" s="1302"/>
      <c r="V627" s="1302"/>
      <c r="W627" s="1302"/>
      <c r="X627" s="1302"/>
      <c r="Y627" s="1302"/>
      <c r="Z627" s="1302"/>
    </row>
    <row r="628" spans="1:26" ht="19.5" hidden="1">
      <c r="A628" s="734">
        <v>7</v>
      </c>
      <c r="B628" s="1423" t="s">
        <v>271</v>
      </c>
      <c r="C628" s="1424"/>
      <c r="D628" s="1424"/>
      <c r="E628" s="1424"/>
      <c r="F628" s="1424"/>
      <c r="G628" s="1425"/>
      <c r="H628" s="738" t="s">
        <v>35</v>
      </c>
      <c r="I628" s="1426">
        <f t="shared" ref="I628:J628" ca="1" si="262">I651</f>
        <v>0</v>
      </c>
      <c r="J628" s="1426">
        <f t="shared" ca="1" si="262"/>
        <v>0</v>
      </c>
      <c r="K628" s="1427">
        <f ca="1">IF(I628&gt;0,J628*100/I628,0)</f>
        <v>0</v>
      </c>
      <c r="L628" s="1428"/>
      <c r="M628" s="1428"/>
      <c r="N628" s="1428"/>
      <c r="O628" s="1428"/>
      <c r="P628" s="1428"/>
      <c r="Q628" s="1302"/>
      <c r="R628" s="1302"/>
      <c r="S628" s="1302"/>
      <c r="T628" s="1302"/>
      <c r="U628" s="1302"/>
      <c r="V628" s="1302"/>
      <c r="W628" s="1302"/>
      <c r="X628" s="1302"/>
      <c r="Y628" s="1302"/>
      <c r="Z628" s="1302"/>
    </row>
    <row r="629" spans="1:26" ht="19.5" hidden="1">
      <c r="A629" s="1317"/>
      <c r="B629" s="1301"/>
      <c r="C629" s="1301" t="s">
        <v>16</v>
      </c>
      <c r="D629" s="1318" t="s">
        <v>17</v>
      </c>
      <c r="E629" s="841"/>
      <c r="F629" s="841"/>
      <c r="G629" s="1016"/>
      <c r="H629" s="597" t="s">
        <v>12</v>
      </c>
      <c r="I629" s="880"/>
      <c r="J629" s="880"/>
      <c r="K629" s="881"/>
      <c r="L629" s="1020">
        <f t="shared" ref="L629:N629" ca="1" si="263">L630+L631</f>
        <v>0</v>
      </c>
      <c r="M629" s="1020">
        <f t="shared" si="263"/>
        <v>0</v>
      </c>
      <c r="N629" s="1020">
        <f t="shared" si="263"/>
        <v>0</v>
      </c>
      <c r="O629" s="1020">
        <f t="shared" ref="O629:O634" ca="1" si="264">IF(L629&gt;0,N629*100/L629,0)</f>
        <v>0</v>
      </c>
      <c r="P629" s="1020">
        <f t="shared" ref="P629:P634" si="265">IF(M629&gt;0,N629*100/M629,0)</f>
        <v>0</v>
      </c>
      <c r="Q629" s="1302"/>
      <c r="R629" s="1302"/>
      <c r="S629" s="1302"/>
      <c r="T629" s="1302"/>
      <c r="U629" s="1302"/>
      <c r="V629" s="1302"/>
      <c r="W629" s="1302"/>
      <c r="X629" s="1302"/>
      <c r="Y629" s="1302"/>
      <c r="Z629" s="1302"/>
    </row>
    <row r="630" spans="1:26" ht="18.75" hidden="1">
      <c r="A630" s="1319"/>
      <c r="B630" s="1320"/>
      <c r="C630" s="1320"/>
      <c r="D630" s="1321"/>
      <c r="E630" s="1320" t="s">
        <v>185</v>
      </c>
      <c r="F630" s="1320"/>
      <c r="G630" s="1322"/>
      <c r="H630" s="165" t="s">
        <v>12</v>
      </c>
      <c r="I630" s="886"/>
      <c r="J630" s="886"/>
      <c r="K630" s="887"/>
      <c r="L630" s="887">
        <f t="shared" ref="L630:N631" si="266">L633+L640</f>
        <v>0</v>
      </c>
      <c r="M630" s="887">
        <f t="shared" si="266"/>
        <v>0</v>
      </c>
      <c r="N630" s="887">
        <f t="shared" si="266"/>
        <v>0</v>
      </c>
      <c r="O630" s="887">
        <f t="shared" si="264"/>
        <v>0</v>
      </c>
      <c r="P630" s="887">
        <f t="shared" si="265"/>
        <v>0</v>
      </c>
      <c r="Q630" s="1323"/>
      <c r="R630" s="1323"/>
      <c r="S630" s="1323"/>
      <c r="T630" s="1323"/>
      <c r="U630" s="1323"/>
      <c r="V630" s="1323"/>
      <c r="W630" s="1323"/>
      <c r="X630" s="1323"/>
      <c r="Y630" s="1323"/>
      <c r="Z630" s="1323"/>
    </row>
    <row r="631" spans="1:26" ht="18.75" hidden="1">
      <c r="A631" s="1319"/>
      <c r="B631" s="1324"/>
      <c r="C631" s="1320"/>
      <c r="D631" s="1321"/>
      <c r="E631" s="1320" t="s">
        <v>186</v>
      </c>
      <c r="F631" s="1320"/>
      <c r="G631" s="1322"/>
      <c r="H631" s="165" t="s">
        <v>12</v>
      </c>
      <c r="I631" s="886"/>
      <c r="J631" s="886"/>
      <c r="K631" s="887"/>
      <c r="L631" s="887">
        <f t="shared" ca="1" si="266"/>
        <v>0</v>
      </c>
      <c r="M631" s="887">
        <f t="shared" si="266"/>
        <v>0</v>
      </c>
      <c r="N631" s="887">
        <f t="shared" si="266"/>
        <v>0</v>
      </c>
      <c r="O631" s="887">
        <f t="shared" ca="1" si="264"/>
        <v>0</v>
      </c>
      <c r="P631" s="887">
        <f t="shared" si="265"/>
        <v>0</v>
      </c>
      <c r="Q631" s="1323"/>
      <c r="R631" s="1323"/>
      <c r="S631" s="1323"/>
      <c r="T631" s="1323"/>
      <c r="U631" s="1323"/>
      <c r="V631" s="1323"/>
      <c r="W631" s="1323"/>
      <c r="X631" s="1323"/>
      <c r="Y631" s="1323"/>
      <c r="Z631" s="1323"/>
    </row>
    <row r="632" spans="1:26" ht="18.75" hidden="1">
      <c r="A632" s="1317"/>
      <c r="B632" s="1300"/>
      <c r="C632" s="1301"/>
      <c r="D632" s="1325" t="s">
        <v>20</v>
      </c>
      <c r="E632" s="1301"/>
      <c r="F632" s="1301"/>
      <c r="G632" s="1016"/>
      <c r="H632" s="161" t="s">
        <v>12</v>
      </c>
      <c r="I632" s="997"/>
      <c r="J632" s="997"/>
      <c r="K632" s="998"/>
      <c r="L632" s="881">
        <f t="shared" ref="L632:N632" ca="1" si="267">L633+L634</f>
        <v>0</v>
      </c>
      <c r="M632" s="881">
        <f t="shared" si="267"/>
        <v>0</v>
      </c>
      <c r="N632" s="881">
        <f t="shared" si="267"/>
        <v>0</v>
      </c>
      <c r="O632" s="881">
        <f t="shared" ca="1" si="264"/>
        <v>0</v>
      </c>
      <c r="P632" s="881">
        <f t="shared" si="265"/>
        <v>0</v>
      </c>
      <c r="Q632" s="1302"/>
      <c r="R632" s="1302"/>
      <c r="S632" s="1302"/>
      <c r="T632" s="1302"/>
      <c r="U632" s="1302"/>
      <c r="V632" s="1302"/>
      <c r="W632" s="1302"/>
      <c r="X632" s="1302"/>
      <c r="Y632" s="1302"/>
      <c r="Z632" s="1302"/>
    </row>
    <row r="633" spans="1:26" ht="18.75" hidden="1">
      <c r="A633" s="1319"/>
      <c r="B633" s="1324"/>
      <c r="C633" s="1320"/>
      <c r="D633" s="1321"/>
      <c r="E633" s="1320" t="s">
        <v>185</v>
      </c>
      <c r="F633" s="1320"/>
      <c r="G633" s="1322"/>
      <c r="H633" s="165" t="s">
        <v>12</v>
      </c>
      <c r="I633" s="886"/>
      <c r="J633" s="886"/>
      <c r="K633" s="887"/>
      <c r="L633" s="887">
        <v>0</v>
      </c>
      <c r="M633" s="887">
        <v>0</v>
      </c>
      <c r="N633" s="887">
        <v>0</v>
      </c>
      <c r="O633" s="887">
        <f t="shared" si="264"/>
        <v>0</v>
      </c>
      <c r="P633" s="887">
        <f t="shared" si="265"/>
        <v>0</v>
      </c>
      <c r="Q633" s="1323"/>
      <c r="R633" s="1323"/>
      <c r="S633" s="1323"/>
      <c r="T633" s="1323"/>
      <c r="U633" s="1323"/>
      <c r="V633" s="1323"/>
      <c r="W633" s="1323"/>
      <c r="X633" s="1323"/>
      <c r="Y633" s="1323"/>
      <c r="Z633" s="1323"/>
    </row>
    <row r="634" spans="1:26" ht="18.75" hidden="1">
      <c r="A634" s="1319"/>
      <c r="B634" s="1324"/>
      <c r="C634" s="1320"/>
      <c r="D634" s="1321"/>
      <c r="E634" s="1320" t="s">
        <v>186</v>
      </c>
      <c r="F634" s="1320"/>
      <c r="G634" s="1322"/>
      <c r="H634" s="165" t="s">
        <v>12</v>
      </c>
      <c r="I634" s="886"/>
      <c r="J634" s="886"/>
      <c r="K634" s="887"/>
      <c r="L634" s="887">
        <f ca="1">IFERROR(__xludf.DUMMYFUNCTION("IMPORTRANGE(""https://docs.google.com/spreadsheets/d/1QqKyyYR6Q21VydFLVH3TRQUabQu_ym0Zz7PgGX0-kHA/edit?usp=sharing"",""แผน!HN87"")"),0)</f>
        <v>0</v>
      </c>
      <c r="M634" s="887">
        <v>0</v>
      </c>
      <c r="N634" s="887">
        <f>N635+N636+N637+N638</f>
        <v>0</v>
      </c>
      <c r="O634" s="887">
        <f t="shared" ca="1" si="264"/>
        <v>0</v>
      </c>
      <c r="P634" s="887">
        <f t="shared" si="265"/>
        <v>0</v>
      </c>
      <c r="Q634" s="1323"/>
      <c r="R634" s="1323"/>
      <c r="S634" s="1323"/>
      <c r="T634" s="1323"/>
      <c r="U634" s="1323"/>
      <c r="V634" s="1323"/>
      <c r="W634" s="1323"/>
      <c r="X634" s="1323"/>
      <c r="Y634" s="1323"/>
      <c r="Z634" s="1323"/>
    </row>
    <row r="635" spans="1:26" ht="18.75" hidden="1">
      <c r="A635" s="1299"/>
      <c r="B635" s="1300"/>
      <c r="C635" s="1301"/>
      <c r="D635" s="1301"/>
      <c r="E635" s="1301"/>
      <c r="F635" s="1301" t="s">
        <v>187</v>
      </c>
      <c r="G635" s="1016"/>
      <c r="H635" s="161" t="s">
        <v>12</v>
      </c>
      <c r="I635" s="880"/>
      <c r="J635" s="880"/>
      <c r="K635" s="881"/>
      <c r="L635" s="881"/>
      <c r="M635" s="881"/>
      <c r="N635" s="1085">
        <v>0</v>
      </c>
      <c r="O635" s="881"/>
      <c r="P635" s="881"/>
      <c r="Q635" s="1302"/>
      <c r="R635" s="1302"/>
      <c r="S635" s="1302"/>
      <c r="T635" s="1302"/>
      <c r="U635" s="1302"/>
      <c r="V635" s="1302"/>
      <c r="W635" s="1302"/>
      <c r="X635" s="1302"/>
      <c r="Y635" s="1302"/>
      <c r="Z635" s="1302"/>
    </row>
    <row r="636" spans="1:26" ht="18.75" hidden="1">
      <c r="A636" s="1299"/>
      <c r="B636" s="1300"/>
      <c r="C636" s="1301"/>
      <c r="D636" s="1301"/>
      <c r="E636" s="1301"/>
      <c r="F636" s="1301" t="s">
        <v>188</v>
      </c>
      <c r="G636" s="1016"/>
      <c r="H636" s="161" t="s">
        <v>12</v>
      </c>
      <c r="I636" s="880"/>
      <c r="J636" s="880"/>
      <c r="K636" s="881"/>
      <c r="L636" s="881"/>
      <c r="M636" s="881"/>
      <c r="N636" s="1085">
        <v>0</v>
      </c>
      <c r="O636" s="881"/>
      <c r="P636" s="881"/>
      <c r="Q636" s="1302"/>
      <c r="R636" s="1302"/>
      <c r="S636" s="1302"/>
      <c r="T636" s="1302"/>
      <c r="U636" s="1302"/>
      <c r="V636" s="1302"/>
      <c r="W636" s="1302"/>
      <c r="X636" s="1302"/>
      <c r="Y636" s="1302"/>
      <c r="Z636" s="1302"/>
    </row>
    <row r="637" spans="1:26" ht="18.75" hidden="1">
      <c r="A637" s="1299"/>
      <c r="B637" s="1300"/>
      <c r="C637" s="1301"/>
      <c r="D637" s="1301"/>
      <c r="E637" s="1301"/>
      <c r="F637" s="1301" t="s">
        <v>189</v>
      </c>
      <c r="G637" s="1016"/>
      <c r="H637" s="161" t="s">
        <v>12</v>
      </c>
      <c r="I637" s="880"/>
      <c r="J637" s="880"/>
      <c r="K637" s="881"/>
      <c r="L637" s="881"/>
      <c r="M637" s="881"/>
      <c r="N637" s="1085">
        <v>0</v>
      </c>
      <c r="O637" s="881"/>
      <c r="P637" s="881"/>
      <c r="Q637" s="1302"/>
      <c r="R637" s="1302"/>
      <c r="S637" s="1302"/>
      <c r="T637" s="1302"/>
      <c r="U637" s="1302"/>
      <c r="V637" s="1302"/>
      <c r="W637" s="1302"/>
      <c r="X637" s="1302"/>
      <c r="Y637" s="1302"/>
      <c r="Z637" s="1302"/>
    </row>
    <row r="638" spans="1:26" ht="18.75" hidden="1">
      <c r="A638" s="1299"/>
      <c r="B638" s="1300"/>
      <c r="C638" s="1301"/>
      <c r="D638" s="1301"/>
      <c r="E638" s="1301"/>
      <c r="F638" s="1301" t="s">
        <v>190</v>
      </c>
      <c r="G638" s="1016"/>
      <c r="H638" s="161" t="s">
        <v>12</v>
      </c>
      <c r="I638" s="880"/>
      <c r="J638" s="880"/>
      <c r="K638" s="881"/>
      <c r="L638" s="881"/>
      <c r="M638" s="881"/>
      <c r="N638" s="1085">
        <v>0</v>
      </c>
      <c r="O638" s="881"/>
      <c r="P638" s="881"/>
      <c r="Q638" s="1302"/>
      <c r="R638" s="1302"/>
      <c r="S638" s="1302"/>
      <c r="T638" s="1302"/>
      <c r="U638" s="1302"/>
      <c r="V638" s="1302"/>
      <c r="W638" s="1302"/>
      <c r="X638" s="1302"/>
      <c r="Y638" s="1302"/>
      <c r="Z638" s="1302"/>
    </row>
    <row r="639" spans="1:26" ht="18.75" hidden="1">
      <c r="A639" s="1317"/>
      <c r="B639" s="1300"/>
      <c r="C639" s="1301"/>
      <c r="D639" s="1325" t="s">
        <v>21</v>
      </c>
      <c r="E639" s="1301"/>
      <c r="F639" s="1301"/>
      <c r="G639" s="1016"/>
      <c r="H639" s="168" t="s">
        <v>12</v>
      </c>
      <c r="I639" s="997"/>
      <c r="J639" s="997"/>
      <c r="K639" s="998"/>
      <c r="L639" s="881">
        <f t="shared" ref="L639:N639" ca="1" si="268">L640+L641</f>
        <v>0</v>
      </c>
      <c r="M639" s="881">
        <f t="shared" si="268"/>
        <v>0</v>
      </c>
      <c r="N639" s="881">
        <f t="shared" si="268"/>
        <v>0</v>
      </c>
      <c r="O639" s="881">
        <f t="shared" ref="O639:O641" ca="1" si="269">IF(L639&gt;0,N639*100/L639,0)</f>
        <v>0</v>
      </c>
      <c r="P639" s="881">
        <f t="shared" ref="P639:P641" si="270">IF(M639&gt;0,N639*100/M639,0)</f>
        <v>0</v>
      </c>
      <c r="Q639" s="1302"/>
      <c r="R639" s="1302"/>
      <c r="S639" s="1302"/>
      <c r="T639" s="1302"/>
      <c r="U639" s="1302"/>
      <c r="V639" s="1302"/>
      <c r="W639" s="1302"/>
      <c r="X639" s="1302"/>
      <c r="Y639" s="1302"/>
      <c r="Z639" s="1302"/>
    </row>
    <row r="640" spans="1:26" ht="18.75" hidden="1">
      <c r="A640" s="1319"/>
      <c r="B640" s="1324"/>
      <c r="C640" s="1320"/>
      <c r="D640" s="1320"/>
      <c r="E640" s="1320" t="s">
        <v>18</v>
      </c>
      <c r="F640" s="1320"/>
      <c r="G640" s="1322"/>
      <c r="H640" s="165" t="s">
        <v>12</v>
      </c>
      <c r="I640" s="1000"/>
      <c r="J640" s="1000"/>
      <c r="K640" s="1001"/>
      <c r="L640" s="887">
        <v>0</v>
      </c>
      <c r="M640" s="887">
        <v>0</v>
      </c>
      <c r="N640" s="887">
        <v>0</v>
      </c>
      <c r="O640" s="887">
        <f t="shared" si="269"/>
        <v>0</v>
      </c>
      <c r="P640" s="887">
        <f t="shared" si="270"/>
        <v>0</v>
      </c>
      <c r="Q640" s="1323"/>
      <c r="R640" s="1323"/>
      <c r="S640" s="1323"/>
      <c r="T640" s="1323"/>
      <c r="U640" s="1323"/>
      <c r="V640" s="1323"/>
      <c r="W640" s="1323"/>
      <c r="X640" s="1323"/>
      <c r="Y640" s="1323"/>
      <c r="Z640" s="1323"/>
    </row>
    <row r="641" spans="1:26" ht="18.75" hidden="1">
      <c r="A641" s="1319"/>
      <c r="B641" s="1324"/>
      <c r="C641" s="1320"/>
      <c r="D641" s="1320"/>
      <c r="E641" s="1320" t="s">
        <v>19</v>
      </c>
      <c r="F641" s="1320"/>
      <c r="G641" s="1322"/>
      <c r="H641" s="169" t="s">
        <v>12</v>
      </c>
      <c r="I641" s="1000"/>
      <c r="J641" s="1000"/>
      <c r="K641" s="1001"/>
      <c r="L641" s="887">
        <f ca="1">IFERROR(__xludf.DUMMYFUNCTION("IMPORTRANGE(""https://docs.google.com/spreadsheets/d/1QqKyyYR6Q21VydFLVH3TRQUabQu_ym0Zz7PgGX0-kHA/edit?usp=sharing"",""แผน!HQ87"")"),0)</f>
        <v>0</v>
      </c>
      <c r="M641" s="887">
        <v>0</v>
      </c>
      <c r="N641" s="887">
        <v>0</v>
      </c>
      <c r="O641" s="887">
        <f t="shared" ca="1" si="269"/>
        <v>0</v>
      </c>
      <c r="P641" s="887">
        <f t="shared" si="270"/>
        <v>0</v>
      </c>
      <c r="Q641" s="1323"/>
      <c r="R641" s="1323"/>
      <c r="S641" s="1323"/>
      <c r="T641" s="1323"/>
      <c r="U641" s="1323"/>
      <c r="V641" s="1323"/>
      <c r="W641" s="1323"/>
      <c r="X641" s="1323"/>
      <c r="Y641" s="1323"/>
      <c r="Z641" s="1323"/>
    </row>
    <row r="642" spans="1:26" ht="19.5" hidden="1">
      <c r="A642" s="1326"/>
      <c r="B642" s="1327"/>
      <c r="C642" s="1301" t="s">
        <v>16</v>
      </c>
      <c r="D642" s="1380" t="s">
        <v>38</v>
      </c>
      <c r="E642" s="1330"/>
      <c r="F642" s="1330"/>
      <c r="G642" s="1331"/>
      <c r="H642" s="1007"/>
      <c r="I642" s="997"/>
      <c r="J642" s="997"/>
      <c r="K642" s="998"/>
      <c r="L642" s="998"/>
      <c r="M642" s="998"/>
      <c r="N642" s="998"/>
      <c r="O642" s="998"/>
      <c r="P642" s="998"/>
      <c r="Q642" s="1302"/>
      <c r="R642" s="1302"/>
      <c r="S642" s="1302"/>
      <c r="T642" s="1302"/>
      <c r="U642" s="1302"/>
      <c r="V642" s="1302"/>
      <c r="W642" s="1302"/>
      <c r="X642" s="1302"/>
      <c r="Y642" s="1302"/>
      <c r="Z642" s="1302"/>
    </row>
    <row r="643" spans="1:26" ht="18.75" hidden="1">
      <c r="A643" s="1429"/>
      <c r="B643" s="1300"/>
      <c r="C643" s="1301"/>
      <c r="D643" s="1014"/>
      <c r="E643" s="1069" t="s">
        <v>272</v>
      </c>
      <c r="F643" s="1014"/>
      <c r="G643" s="1007"/>
      <c r="H643" s="762" t="s">
        <v>273</v>
      </c>
      <c r="I643" s="880">
        <f ca="1">IFERROR(__xludf.DUMMYFUNCTION("IMPORTRANGE(""https://docs.google.com/spreadsheets/d/1QqKyyYR6Q21VydFLVH3TRQUabQu_ym0Zz7PgGX0-kHA/edit?usp=sharing"",""แผน!HR87"")"),0)</f>
        <v>0</v>
      </c>
      <c r="J643" s="1012">
        <v>0</v>
      </c>
      <c r="K643" s="998">
        <f t="shared" ref="K643:K652" ca="1" si="271">IF(I643&gt;0,J643*100/I643,0)</f>
        <v>0</v>
      </c>
      <c r="L643" s="998"/>
      <c r="M643" s="998"/>
      <c r="N643" s="881"/>
      <c r="O643" s="998"/>
      <c r="P643" s="998"/>
      <c r="Q643" s="1302"/>
      <c r="R643" s="1302"/>
      <c r="S643" s="1302"/>
      <c r="T643" s="1302"/>
      <c r="U643" s="1302"/>
      <c r="V643" s="1302"/>
      <c r="W643" s="1302"/>
      <c r="X643" s="1302"/>
      <c r="Y643" s="1302"/>
      <c r="Z643" s="1302"/>
    </row>
    <row r="644" spans="1:26" ht="18.75" hidden="1">
      <c r="A644" s="1429"/>
      <c r="B644" s="1300"/>
      <c r="C644" s="1301"/>
      <c r="D644" s="1014"/>
      <c r="E644" s="1069" t="s">
        <v>274</v>
      </c>
      <c r="F644" s="1014"/>
      <c r="G644" s="1007"/>
      <c r="H644" s="762" t="s">
        <v>275</v>
      </c>
      <c r="I644" s="880">
        <f ca="1">IFERROR(__xludf.DUMMYFUNCTION("IMPORTRANGE(""https://docs.google.com/spreadsheets/d/1QqKyyYR6Q21VydFLVH3TRQUabQu_ym0Zz7PgGX0-kHA/edit?usp=sharing"",""แผน!HR87"")"),0)</f>
        <v>0</v>
      </c>
      <c r="J644" s="1012">
        <v>0</v>
      </c>
      <c r="K644" s="998">
        <f t="shared" ca="1" si="271"/>
        <v>0</v>
      </c>
      <c r="L644" s="998"/>
      <c r="M644" s="998"/>
      <c r="N644" s="881"/>
      <c r="O644" s="998"/>
      <c r="P644" s="998"/>
      <c r="Q644" s="1302"/>
      <c r="R644" s="1302"/>
      <c r="S644" s="1302"/>
      <c r="T644" s="1302"/>
      <c r="U644" s="1302"/>
      <c r="V644" s="1302"/>
      <c r="W644" s="1302"/>
      <c r="X644" s="1302"/>
      <c r="Y644" s="1302"/>
      <c r="Z644" s="1302"/>
    </row>
    <row r="645" spans="1:26" ht="18.75" hidden="1">
      <c r="A645" s="1429"/>
      <c r="B645" s="1300"/>
      <c r="C645" s="1301"/>
      <c r="D645" s="1014"/>
      <c r="E645" s="1069" t="s">
        <v>276</v>
      </c>
      <c r="F645" s="1014"/>
      <c r="G645" s="1007"/>
      <c r="H645" s="762" t="s">
        <v>34</v>
      </c>
      <c r="I645" s="880">
        <v>0</v>
      </c>
      <c r="J645" s="880">
        <f ca="1">IFERROR(__xludf.DUMMYFUNCTION("IMPORTRANGE(""https://docs.google.com/spreadsheets/d/1XWAQStnk-4SwqDmLtmXYiTMKHgktTP8We1SCoS47DrQ/edit?usp=sharing"",""จัดที่ดิน!AS87"")"),0)</f>
        <v>0</v>
      </c>
      <c r="K645" s="998">
        <f t="shared" si="271"/>
        <v>0</v>
      </c>
      <c r="L645" s="998"/>
      <c r="M645" s="998"/>
      <c r="N645" s="881"/>
      <c r="O645" s="998"/>
      <c r="P645" s="998"/>
      <c r="Q645" s="1302"/>
      <c r="R645" s="1302"/>
      <c r="S645" s="1302"/>
      <c r="T645" s="1302"/>
      <c r="U645" s="1302"/>
      <c r="V645" s="1302"/>
      <c r="W645" s="1302"/>
      <c r="X645" s="1302"/>
      <c r="Y645" s="1302"/>
      <c r="Z645" s="1302"/>
    </row>
    <row r="646" spans="1:26" ht="18.75" hidden="1">
      <c r="A646" s="1429"/>
      <c r="B646" s="1300"/>
      <c r="C646" s="1301"/>
      <c r="D646" s="1014"/>
      <c r="E646" s="1014"/>
      <c r="F646" s="1014"/>
      <c r="G646" s="1007"/>
      <c r="H646" s="762" t="s">
        <v>46</v>
      </c>
      <c r="I646" s="880">
        <v>0</v>
      </c>
      <c r="J646" s="880">
        <f ca="1">IFERROR(__xludf.DUMMYFUNCTION("IMPORTRANGE(""https://docs.google.com/spreadsheets/d/1XWAQStnk-4SwqDmLtmXYiTMKHgktTP8We1SCoS47DrQ/edit?usp=sharing"",""จัดที่ดิน!AT87"")"),0)</f>
        <v>0</v>
      </c>
      <c r="K646" s="881">
        <f t="shared" si="271"/>
        <v>0</v>
      </c>
      <c r="L646" s="998"/>
      <c r="M646" s="998"/>
      <c r="N646" s="881"/>
      <c r="O646" s="998"/>
      <c r="P646" s="998"/>
      <c r="Q646" s="1302"/>
      <c r="R646" s="1302"/>
      <c r="S646" s="1302"/>
      <c r="T646" s="1302"/>
      <c r="U646" s="1302"/>
      <c r="V646" s="1302"/>
      <c r="W646" s="1302"/>
      <c r="X646" s="1302"/>
      <c r="Y646" s="1302"/>
      <c r="Z646" s="1302"/>
    </row>
    <row r="647" spans="1:26" ht="18.75" hidden="1">
      <c r="A647" s="1429"/>
      <c r="B647" s="1300"/>
      <c r="C647" s="1301"/>
      <c r="D647" s="1014"/>
      <c r="E647" s="1069" t="s">
        <v>162</v>
      </c>
      <c r="F647" s="1014"/>
      <c r="G647" s="1007"/>
      <c r="H647" s="762" t="s">
        <v>35</v>
      </c>
      <c r="I647" s="880">
        <f ca="1">IFERROR(__xludf.DUMMYFUNCTION("IMPORTRANGE(""https://docs.google.com/spreadsheets/d/1QqKyyYR6Q21VydFLVH3TRQUabQu_ym0Zz7PgGX0-kHA/edit?usp=sharing"",""แผน!HS87"")"),0)</f>
        <v>0</v>
      </c>
      <c r="J647" s="880">
        <f ca="1">IFERROR(__xludf.DUMMYFUNCTION("IMPORTRANGE(""https://docs.google.com/spreadsheets/d/1XWAQStnk-4SwqDmLtmXYiTMKHgktTP8We1SCoS47DrQ/edit?usp=sharing"",""จัดที่ดิน!AU87"")"),0)</f>
        <v>0</v>
      </c>
      <c r="K647" s="998">
        <f t="shared" ca="1" si="271"/>
        <v>0</v>
      </c>
      <c r="L647" s="998"/>
      <c r="M647" s="998"/>
      <c r="N647" s="998"/>
      <c r="O647" s="998"/>
      <c r="P647" s="998"/>
      <c r="Q647" s="1302"/>
      <c r="R647" s="1302"/>
      <c r="S647" s="1302"/>
      <c r="T647" s="1302"/>
      <c r="U647" s="1302"/>
      <c r="V647" s="1302"/>
      <c r="W647" s="1302"/>
      <c r="X647" s="1302"/>
      <c r="Y647" s="1302"/>
      <c r="Z647" s="1302"/>
    </row>
    <row r="648" spans="1:26" ht="18.75" hidden="1">
      <c r="A648" s="1429"/>
      <c r="B648" s="1300"/>
      <c r="C648" s="1301"/>
      <c r="D648" s="1014"/>
      <c r="E648" s="1014"/>
      <c r="F648" s="1014"/>
      <c r="G648" s="1007"/>
      <c r="H648" s="762" t="s">
        <v>46</v>
      </c>
      <c r="I648" s="880">
        <v>0</v>
      </c>
      <c r="J648" s="880">
        <f ca="1">IFERROR(__xludf.DUMMYFUNCTION("IMPORTRANGE(""https://docs.google.com/spreadsheets/d/1XWAQStnk-4SwqDmLtmXYiTMKHgktTP8We1SCoS47DrQ/edit?usp=sharing"",""จัดที่ดิน!AV87"")"),0)</f>
        <v>0</v>
      </c>
      <c r="K648" s="881">
        <f t="shared" si="271"/>
        <v>0</v>
      </c>
      <c r="L648" s="998"/>
      <c r="M648" s="998"/>
      <c r="N648" s="998"/>
      <c r="O648" s="998"/>
      <c r="P648" s="998"/>
      <c r="Q648" s="1302"/>
      <c r="R648" s="1302"/>
      <c r="S648" s="1302"/>
      <c r="T648" s="1302"/>
      <c r="U648" s="1302"/>
      <c r="V648" s="1302"/>
      <c r="W648" s="1302"/>
      <c r="X648" s="1302"/>
      <c r="Y648" s="1302"/>
      <c r="Z648" s="1302"/>
    </row>
    <row r="649" spans="1:26" ht="18.75" hidden="1">
      <c r="A649" s="1429"/>
      <c r="B649" s="1300"/>
      <c r="C649" s="1301"/>
      <c r="D649" s="1014"/>
      <c r="E649" s="1069" t="s">
        <v>277</v>
      </c>
      <c r="F649" s="1014"/>
      <c r="G649" s="1007"/>
      <c r="H649" s="762" t="s">
        <v>35</v>
      </c>
      <c r="I649" s="880">
        <f ca="1">IFERROR(__xludf.DUMMYFUNCTION("IMPORTRANGE(""https://docs.google.com/spreadsheets/d/1QqKyyYR6Q21VydFLVH3TRQUabQu_ym0Zz7PgGX0-kHA/edit?usp=sharing"",""แผน!HS87"")"),0)</f>
        <v>0</v>
      </c>
      <c r="J649" s="880">
        <f ca="1">IFERROR(__xludf.DUMMYFUNCTION("IMPORTRANGE(""https://docs.google.com/spreadsheets/d/1XWAQStnk-4SwqDmLtmXYiTMKHgktTP8We1SCoS47DrQ/edit?usp=sharing"",""จัดที่ดิน!AW87"")"),0)</f>
        <v>0</v>
      </c>
      <c r="K649" s="998">
        <f t="shared" ca="1" si="271"/>
        <v>0</v>
      </c>
      <c r="L649" s="998"/>
      <c r="M649" s="998"/>
      <c r="N649" s="998"/>
      <c r="O649" s="998"/>
      <c r="P649" s="998"/>
      <c r="Q649" s="1302"/>
      <c r="R649" s="1302"/>
      <c r="S649" s="1302"/>
      <c r="T649" s="1302"/>
      <c r="U649" s="1302"/>
      <c r="V649" s="1302"/>
      <c r="W649" s="1302"/>
      <c r="X649" s="1302"/>
      <c r="Y649" s="1302"/>
      <c r="Z649" s="1302"/>
    </row>
    <row r="650" spans="1:26" ht="18.75" hidden="1">
      <c r="A650" s="1429"/>
      <c r="B650" s="1300"/>
      <c r="C650" s="1301"/>
      <c r="D650" s="1014"/>
      <c r="E650" s="1014"/>
      <c r="F650" s="1014"/>
      <c r="G650" s="1007"/>
      <c r="H650" s="762" t="s">
        <v>46</v>
      </c>
      <c r="I650" s="880">
        <v>0</v>
      </c>
      <c r="J650" s="880">
        <f ca="1">IFERROR(__xludf.DUMMYFUNCTION("IMPORTRANGE(""https://docs.google.com/spreadsheets/d/1XWAQStnk-4SwqDmLtmXYiTMKHgktTP8We1SCoS47DrQ/edit?usp=sharing"",""จัดที่ดิน!AX87"")"),0)</f>
        <v>0</v>
      </c>
      <c r="K650" s="881">
        <f t="shared" si="271"/>
        <v>0</v>
      </c>
      <c r="L650" s="998"/>
      <c r="M650" s="998"/>
      <c r="N650" s="998"/>
      <c r="O650" s="998"/>
      <c r="P650" s="998"/>
      <c r="Q650" s="1302"/>
      <c r="R650" s="1302"/>
      <c r="S650" s="1302"/>
      <c r="T650" s="1302"/>
      <c r="U650" s="1302"/>
      <c r="V650" s="1302"/>
      <c r="W650" s="1302"/>
      <c r="X650" s="1302"/>
      <c r="Y650" s="1302"/>
      <c r="Z650" s="1302"/>
    </row>
    <row r="651" spans="1:26" ht="18.75" hidden="1">
      <c r="A651" s="1429"/>
      <c r="B651" s="1300"/>
      <c r="C651" s="1301"/>
      <c r="D651" s="1014"/>
      <c r="E651" s="1069" t="s">
        <v>278</v>
      </c>
      <c r="F651" s="1014"/>
      <c r="G651" s="1007"/>
      <c r="H651" s="762" t="s">
        <v>35</v>
      </c>
      <c r="I651" s="880">
        <f ca="1">IFERROR(__xludf.DUMMYFUNCTION("IMPORTRANGE(""https://docs.google.com/spreadsheets/d/1QqKyyYR6Q21VydFLVH3TRQUabQu_ym0Zz7PgGX0-kHA/edit?usp=sharing"",""แผน!HS87"")"),0)</f>
        <v>0</v>
      </c>
      <c r="J651" s="880">
        <f ca="1">IFERROR(__xludf.DUMMYFUNCTION("IMPORTRANGE(""https://docs.google.com/spreadsheets/d/1XWAQStnk-4SwqDmLtmXYiTMKHgktTP8We1SCoS47DrQ/edit?usp=sharing"",""จัดที่ดิน!AY87"")"),0)</f>
        <v>0</v>
      </c>
      <c r="K651" s="998">
        <f t="shared" ca="1" si="271"/>
        <v>0</v>
      </c>
      <c r="L651" s="998"/>
      <c r="M651" s="998"/>
      <c r="N651" s="998"/>
      <c r="O651" s="998"/>
      <c r="P651" s="998"/>
      <c r="Q651" s="1302"/>
      <c r="R651" s="1302"/>
      <c r="S651" s="1302"/>
      <c r="T651" s="1302"/>
      <c r="U651" s="1302"/>
      <c r="V651" s="1302"/>
      <c r="W651" s="1302"/>
      <c r="X651" s="1302"/>
      <c r="Y651" s="1302"/>
      <c r="Z651" s="1302"/>
    </row>
    <row r="652" spans="1:26" ht="18.75" hidden="1">
      <c r="A652" s="1430"/>
      <c r="B652" s="1431"/>
      <c r="C652" s="1432"/>
      <c r="D652" s="1169"/>
      <c r="E652" s="1169"/>
      <c r="F652" s="1169"/>
      <c r="G652" s="1422"/>
      <c r="H652" s="504" t="s">
        <v>46</v>
      </c>
      <c r="I652" s="1138">
        <v>0</v>
      </c>
      <c r="J652" s="1138">
        <f ca="1">IFERROR(__xludf.DUMMYFUNCTION("IMPORTRANGE(""https://docs.google.com/spreadsheets/d/1XWAQStnk-4SwqDmLtmXYiTMKHgktTP8We1SCoS47DrQ/edit?usp=sharing"",""จัดที่ดิน!AZ87"")"),0)</f>
        <v>0</v>
      </c>
      <c r="K652" s="1239">
        <f t="shared" si="271"/>
        <v>0</v>
      </c>
      <c r="L652" s="1139"/>
      <c r="M652" s="1139"/>
      <c r="N652" s="1139"/>
      <c r="O652" s="1139"/>
      <c r="P652" s="1139"/>
      <c r="Q652" s="1302"/>
      <c r="R652" s="1302"/>
      <c r="S652" s="1302"/>
      <c r="T652" s="1302"/>
      <c r="U652" s="1302"/>
      <c r="V652" s="1302"/>
      <c r="W652" s="1302"/>
      <c r="X652" s="1302"/>
      <c r="Y652" s="1302"/>
      <c r="Z652" s="1302"/>
    </row>
    <row r="653" spans="1:26" ht="19.5" hidden="1">
      <c r="A653" s="748">
        <v>8</v>
      </c>
      <c r="B653" s="1423" t="s">
        <v>279</v>
      </c>
      <c r="C653" s="1424"/>
      <c r="D653" s="1424"/>
      <c r="E653" s="1424"/>
      <c r="F653" s="1424"/>
      <c r="G653" s="1425"/>
      <c r="H653" s="1425"/>
      <c r="I653" s="1433"/>
      <c r="J653" s="1433"/>
      <c r="K653" s="1428"/>
      <c r="L653" s="1428"/>
      <c r="M653" s="1428"/>
      <c r="N653" s="1428"/>
      <c r="O653" s="1428"/>
      <c r="P653" s="1428"/>
      <c r="Q653" s="1302"/>
      <c r="R653" s="1302"/>
      <c r="S653" s="1302"/>
      <c r="T653" s="1302"/>
      <c r="U653" s="1302"/>
      <c r="V653" s="1302"/>
      <c r="W653" s="1302"/>
      <c r="X653" s="1302"/>
      <c r="Y653" s="1302"/>
      <c r="Z653" s="1302"/>
    </row>
    <row r="654" spans="1:26" ht="19.5" hidden="1">
      <c r="A654" s="1375"/>
      <c r="B654" s="1374" t="s">
        <v>280</v>
      </c>
      <c r="C654" s="1375"/>
      <c r="D654" s="1375"/>
      <c r="E654" s="1375"/>
      <c r="F654" s="1375"/>
      <c r="G654" s="1376"/>
      <c r="H654" s="705" t="s">
        <v>46</v>
      </c>
      <c r="I654" s="1377">
        <f t="shared" ref="I654:J654" ca="1" si="272">I669</f>
        <v>0</v>
      </c>
      <c r="J654" s="1377">
        <f t="shared" si="272"/>
        <v>0</v>
      </c>
      <c r="K654" s="1378">
        <f ca="1">IF(I654&gt;0,J654*100/I654,0)</f>
        <v>0</v>
      </c>
      <c r="L654" s="1379"/>
      <c r="M654" s="1379"/>
      <c r="N654" s="1379"/>
      <c r="O654" s="1379"/>
      <c r="P654" s="1379"/>
      <c r="Q654" s="1302"/>
      <c r="R654" s="1302"/>
      <c r="S654" s="1302"/>
      <c r="T654" s="1302"/>
      <c r="U654" s="1302"/>
      <c r="V654" s="1302"/>
      <c r="W654" s="1302"/>
      <c r="X654" s="1302"/>
      <c r="Y654" s="1302"/>
      <c r="Z654" s="1302"/>
    </row>
    <row r="655" spans="1:26" ht="19.5" hidden="1">
      <c r="A655" s="1317"/>
      <c r="B655" s="1301"/>
      <c r="C655" s="1301" t="s">
        <v>16</v>
      </c>
      <c r="D655" s="1318" t="s">
        <v>17</v>
      </c>
      <c r="E655" s="841"/>
      <c r="F655" s="841"/>
      <c r="G655" s="1016"/>
      <c r="H655" s="597" t="s">
        <v>12</v>
      </c>
      <c r="I655" s="880"/>
      <c r="J655" s="880"/>
      <c r="K655" s="881"/>
      <c r="L655" s="1020">
        <f t="shared" ref="L655:N655" ca="1" si="273">L656+L657</f>
        <v>0</v>
      </c>
      <c r="M655" s="1020">
        <f t="shared" si="273"/>
        <v>0</v>
      </c>
      <c r="N655" s="1020">
        <f t="shared" si="273"/>
        <v>0</v>
      </c>
      <c r="O655" s="1020">
        <f t="shared" ref="O655:O660" ca="1" si="274">IF(L655&gt;0,N655*100/L655,0)</f>
        <v>0</v>
      </c>
      <c r="P655" s="1020">
        <f t="shared" ref="P655:P660" si="275">IF(M655&gt;0,N655*100/M655,0)</f>
        <v>0</v>
      </c>
      <c r="Q655" s="1302"/>
      <c r="R655" s="1302"/>
      <c r="S655" s="1302"/>
      <c r="T655" s="1302"/>
      <c r="U655" s="1302"/>
      <c r="V655" s="1302"/>
      <c r="W655" s="1302"/>
      <c r="X655" s="1302"/>
      <c r="Y655" s="1302"/>
      <c r="Z655" s="1302"/>
    </row>
    <row r="656" spans="1:26" ht="18.75" hidden="1">
      <c r="A656" s="1319"/>
      <c r="B656" s="1320"/>
      <c r="C656" s="1320"/>
      <c r="D656" s="1321"/>
      <c r="E656" s="1320" t="s">
        <v>185</v>
      </c>
      <c r="F656" s="1320"/>
      <c r="G656" s="1322"/>
      <c r="H656" s="165" t="s">
        <v>12</v>
      </c>
      <c r="I656" s="886"/>
      <c r="J656" s="886"/>
      <c r="K656" s="887"/>
      <c r="L656" s="887">
        <f t="shared" ref="L656:N657" si="276">L659+L666</f>
        <v>0</v>
      </c>
      <c r="M656" s="887">
        <f t="shared" si="276"/>
        <v>0</v>
      </c>
      <c r="N656" s="887">
        <f t="shared" si="276"/>
        <v>0</v>
      </c>
      <c r="O656" s="887">
        <f t="shared" si="274"/>
        <v>0</v>
      </c>
      <c r="P656" s="887">
        <f t="shared" si="275"/>
        <v>0</v>
      </c>
      <c r="Q656" s="1323"/>
      <c r="R656" s="1323"/>
      <c r="S656" s="1323"/>
      <c r="T656" s="1323"/>
      <c r="U656" s="1323"/>
      <c r="V656" s="1323"/>
      <c r="W656" s="1323"/>
      <c r="X656" s="1323"/>
      <c r="Y656" s="1323"/>
      <c r="Z656" s="1323"/>
    </row>
    <row r="657" spans="1:26" ht="18.75" hidden="1">
      <c r="A657" s="1319"/>
      <c r="B657" s="1324"/>
      <c r="C657" s="1320"/>
      <c r="D657" s="1321"/>
      <c r="E657" s="1320" t="s">
        <v>186</v>
      </c>
      <c r="F657" s="1320"/>
      <c r="G657" s="1322"/>
      <c r="H657" s="165" t="s">
        <v>12</v>
      </c>
      <c r="I657" s="886"/>
      <c r="J657" s="886"/>
      <c r="K657" s="887"/>
      <c r="L657" s="887">
        <f t="shared" ca="1" si="276"/>
        <v>0</v>
      </c>
      <c r="M657" s="887">
        <f t="shared" si="276"/>
        <v>0</v>
      </c>
      <c r="N657" s="887">
        <f t="shared" si="276"/>
        <v>0</v>
      </c>
      <c r="O657" s="887">
        <f t="shared" ca="1" si="274"/>
        <v>0</v>
      </c>
      <c r="P657" s="887">
        <f t="shared" si="275"/>
        <v>0</v>
      </c>
      <c r="Q657" s="1323"/>
      <c r="R657" s="1323"/>
      <c r="S657" s="1323"/>
      <c r="T657" s="1323"/>
      <c r="U657" s="1323"/>
      <c r="V657" s="1323"/>
      <c r="W657" s="1323"/>
      <c r="X657" s="1323"/>
      <c r="Y657" s="1323"/>
      <c r="Z657" s="1323"/>
    </row>
    <row r="658" spans="1:26" ht="18.75" hidden="1">
      <c r="A658" s="1317"/>
      <c r="B658" s="1300"/>
      <c r="C658" s="1301"/>
      <c r="D658" s="1325" t="s">
        <v>20</v>
      </c>
      <c r="E658" s="1301"/>
      <c r="F658" s="1301"/>
      <c r="G658" s="1016"/>
      <c r="H658" s="161" t="s">
        <v>12</v>
      </c>
      <c r="I658" s="997"/>
      <c r="J658" s="997"/>
      <c r="K658" s="998"/>
      <c r="L658" s="881">
        <f t="shared" ref="L658:N658" ca="1" si="277">L659+L660</f>
        <v>0</v>
      </c>
      <c r="M658" s="881">
        <f t="shared" si="277"/>
        <v>0</v>
      </c>
      <c r="N658" s="881">
        <f t="shared" si="277"/>
        <v>0</v>
      </c>
      <c r="O658" s="881">
        <f t="shared" ca="1" si="274"/>
        <v>0</v>
      </c>
      <c r="P658" s="881">
        <f t="shared" si="275"/>
        <v>0</v>
      </c>
      <c r="Q658" s="1302"/>
      <c r="R658" s="1302"/>
      <c r="S658" s="1302"/>
      <c r="T658" s="1302"/>
      <c r="U658" s="1302"/>
      <c r="V658" s="1302"/>
      <c r="W658" s="1302"/>
      <c r="X658" s="1302"/>
      <c r="Y658" s="1302"/>
      <c r="Z658" s="1302"/>
    </row>
    <row r="659" spans="1:26" ht="18.75" hidden="1">
      <c r="A659" s="1319"/>
      <c r="B659" s="1324"/>
      <c r="C659" s="1320"/>
      <c r="D659" s="1321"/>
      <c r="E659" s="1320" t="s">
        <v>185</v>
      </c>
      <c r="F659" s="1320"/>
      <c r="G659" s="1322"/>
      <c r="H659" s="165" t="s">
        <v>12</v>
      </c>
      <c r="I659" s="886"/>
      <c r="J659" s="886"/>
      <c r="K659" s="887"/>
      <c r="L659" s="887">
        <v>0</v>
      </c>
      <c r="M659" s="887">
        <v>0</v>
      </c>
      <c r="N659" s="887">
        <v>0</v>
      </c>
      <c r="O659" s="887">
        <f t="shared" si="274"/>
        <v>0</v>
      </c>
      <c r="P659" s="887">
        <f t="shared" si="275"/>
        <v>0</v>
      </c>
      <c r="Q659" s="1323"/>
      <c r="R659" s="1323"/>
      <c r="S659" s="1323"/>
      <c r="T659" s="1323"/>
      <c r="U659" s="1323"/>
      <c r="V659" s="1323"/>
      <c r="W659" s="1323"/>
      <c r="X659" s="1323"/>
      <c r="Y659" s="1323"/>
      <c r="Z659" s="1323"/>
    </row>
    <row r="660" spans="1:26" ht="18.75" hidden="1">
      <c r="A660" s="1319"/>
      <c r="B660" s="1324"/>
      <c r="C660" s="1320"/>
      <c r="D660" s="1321"/>
      <c r="E660" s="1320" t="s">
        <v>186</v>
      </c>
      <c r="F660" s="1320"/>
      <c r="G660" s="1322"/>
      <c r="H660" s="165" t="s">
        <v>12</v>
      </c>
      <c r="I660" s="886"/>
      <c r="J660" s="886"/>
      <c r="K660" s="887"/>
      <c r="L660" s="887">
        <f ca="1">IFERROR(__xludf.DUMMYFUNCTION("IMPORTRANGE(""https://docs.google.com/spreadsheets/d/1QqKyyYR6Q21VydFLVH3TRQUabQu_ym0Zz7PgGX0-kHA/edit?usp=sharing"",""แผน!HV87"")"),0)</f>
        <v>0</v>
      </c>
      <c r="M660" s="887">
        <v>0</v>
      </c>
      <c r="N660" s="887">
        <f>N661+N662+N663+N664</f>
        <v>0</v>
      </c>
      <c r="O660" s="887">
        <f t="shared" ca="1" si="274"/>
        <v>0</v>
      </c>
      <c r="P660" s="887">
        <f t="shared" si="275"/>
        <v>0</v>
      </c>
      <c r="Q660" s="1323"/>
      <c r="R660" s="1323"/>
      <c r="S660" s="1323"/>
      <c r="T660" s="1323"/>
      <c r="U660" s="1323"/>
      <c r="V660" s="1323"/>
      <c r="W660" s="1323"/>
      <c r="X660" s="1323"/>
      <c r="Y660" s="1323"/>
      <c r="Z660" s="1323"/>
    </row>
    <row r="661" spans="1:26" ht="18.75" hidden="1">
      <c r="A661" s="1299"/>
      <c r="B661" s="1300"/>
      <c r="C661" s="1301"/>
      <c r="D661" s="1301"/>
      <c r="E661" s="1301"/>
      <c r="F661" s="1301" t="s">
        <v>187</v>
      </c>
      <c r="G661" s="1016"/>
      <c r="H661" s="161" t="s">
        <v>12</v>
      </c>
      <c r="I661" s="880"/>
      <c r="J661" s="880"/>
      <c r="K661" s="881"/>
      <c r="L661" s="881"/>
      <c r="M661" s="881"/>
      <c r="N661" s="1085">
        <v>0</v>
      </c>
      <c r="O661" s="881"/>
      <c r="P661" s="881"/>
      <c r="Q661" s="1302"/>
      <c r="R661" s="1302"/>
      <c r="S661" s="1302"/>
      <c r="T661" s="1302"/>
      <c r="U661" s="1302"/>
      <c r="V661" s="1302"/>
      <c r="W661" s="1302"/>
      <c r="X661" s="1302"/>
      <c r="Y661" s="1302"/>
      <c r="Z661" s="1302"/>
    </row>
    <row r="662" spans="1:26" ht="18.75" hidden="1">
      <c r="A662" s="1299"/>
      <c r="B662" s="1300"/>
      <c r="C662" s="1301"/>
      <c r="D662" s="1301"/>
      <c r="E662" s="1301"/>
      <c r="F662" s="1301" t="s">
        <v>188</v>
      </c>
      <c r="G662" s="1016"/>
      <c r="H662" s="161" t="s">
        <v>12</v>
      </c>
      <c r="I662" s="880"/>
      <c r="J662" s="880"/>
      <c r="K662" s="881"/>
      <c r="L662" s="881"/>
      <c r="M662" s="881"/>
      <c r="N662" s="1085">
        <v>0</v>
      </c>
      <c r="O662" s="881"/>
      <c r="P662" s="881"/>
      <c r="Q662" s="1302"/>
      <c r="R662" s="1302"/>
      <c r="S662" s="1302"/>
      <c r="T662" s="1302"/>
      <c r="U662" s="1302"/>
      <c r="V662" s="1302"/>
      <c r="W662" s="1302"/>
      <c r="X662" s="1302"/>
      <c r="Y662" s="1302"/>
      <c r="Z662" s="1302"/>
    </row>
    <row r="663" spans="1:26" ht="18.75" hidden="1">
      <c r="A663" s="1299"/>
      <c r="B663" s="1300"/>
      <c r="C663" s="1300"/>
      <c r="D663" s="1301"/>
      <c r="E663" s="1301"/>
      <c r="F663" s="1301" t="s">
        <v>189</v>
      </c>
      <c r="G663" s="1016"/>
      <c r="H663" s="161" t="s">
        <v>12</v>
      </c>
      <c r="I663" s="880"/>
      <c r="J663" s="880"/>
      <c r="K663" s="881"/>
      <c r="L663" s="881"/>
      <c r="M663" s="881"/>
      <c r="N663" s="1085">
        <v>0</v>
      </c>
      <c r="O663" s="881"/>
      <c r="P663" s="881"/>
      <c r="Q663" s="1302"/>
      <c r="R663" s="1302"/>
      <c r="S663" s="1302"/>
      <c r="T663" s="1302"/>
      <c r="U663" s="1302"/>
      <c r="V663" s="1302"/>
      <c r="W663" s="1302"/>
      <c r="X663" s="1302"/>
      <c r="Y663" s="1302"/>
      <c r="Z663" s="1302"/>
    </row>
    <row r="664" spans="1:26" ht="18.75" hidden="1">
      <c r="A664" s="1299"/>
      <c r="B664" s="1300"/>
      <c r="C664" s="1300"/>
      <c r="D664" s="1300"/>
      <c r="E664" s="1301"/>
      <c r="F664" s="1301" t="s">
        <v>190</v>
      </c>
      <c r="G664" s="1016"/>
      <c r="H664" s="161" t="s">
        <v>12</v>
      </c>
      <c r="I664" s="880"/>
      <c r="J664" s="880"/>
      <c r="K664" s="881"/>
      <c r="L664" s="881"/>
      <c r="M664" s="881"/>
      <c r="N664" s="1085">
        <v>0</v>
      </c>
      <c r="O664" s="881"/>
      <c r="P664" s="881"/>
      <c r="Q664" s="1302"/>
      <c r="R664" s="1302"/>
      <c r="S664" s="1302"/>
      <c r="T664" s="1302"/>
      <c r="U664" s="1302"/>
      <c r="V664" s="1302"/>
      <c r="W664" s="1302"/>
      <c r="X664" s="1302"/>
      <c r="Y664" s="1302"/>
      <c r="Z664" s="1302"/>
    </row>
    <row r="665" spans="1:26" ht="18.75" hidden="1">
      <c r="A665" s="1317"/>
      <c r="B665" s="1300"/>
      <c r="C665" s="1300"/>
      <c r="D665" s="1325" t="s">
        <v>21</v>
      </c>
      <c r="E665" s="1301"/>
      <c r="F665" s="1301"/>
      <c r="G665" s="1016"/>
      <c r="H665" s="168" t="s">
        <v>12</v>
      </c>
      <c r="I665" s="997"/>
      <c r="J665" s="997"/>
      <c r="K665" s="998"/>
      <c r="L665" s="881">
        <f t="shared" ref="L665:N665" si="278">L666+L667</f>
        <v>0</v>
      </c>
      <c r="M665" s="881">
        <f t="shared" si="278"/>
        <v>0</v>
      </c>
      <c r="N665" s="881">
        <f t="shared" si="278"/>
        <v>0</v>
      </c>
      <c r="O665" s="881">
        <f t="shared" ref="O665:O667" si="279">IF(L665&gt;0,N665*100/L665,0)</f>
        <v>0</v>
      </c>
      <c r="P665" s="881">
        <f t="shared" ref="P665:P667" si="280">IF(M665&gt;0,N665*100/M665,0)</f>
        <v>0</v>
      </c>
      <c r="Q665" s="1302"/>
      <c r="R665" s="1302"/>
      <c r="S665" s="1302"/>
      <c r="T665" s="1302"/>
      <c r="U665" s="1302"/>
      <c r="V665" s="1302"/>
      <c r="W665" s="1302"/>
      <c r="X665" s="1302"/>
      <c r="Y665" s="1302"/>
      <c r="Z665" s="1302"/>
    </row>
    <row r="666" spans="1:26" ht="18.75" hidden="1">
      <c r="A666" s="1319"/>
      <c r="B666" s="1324"/>
      <c r="C666" s="1324"/>
      <c r="D666" s="1324"/>
      <c r="E666" s="1320" t="s">
        <v>18</v>
      </c>
      <c r="F666" s="1320"/>
      <c r="G666" s="1322"/>
      <c r="H666" s="165" t="s">
        <v>12</v>
      </c>
      <c r="I666" s="1000"/>
      <c r="J666" s="1000"/>
      <c r="K666" s="1001"/>
      <c r="L666" s="887">
        <v>0</v>
      </c>
      <c r="M666" s="887">
        <v>0</v>
      </c>
      <c r="N666" s="887">
        <v>0</v>
      </c>
      <c r="O666" s="887">
        <f t="shared" si="279"/>
        <v>0</v>
      </c>
      <c r="P666" s="887">
        <f t="shared" si="280"/>
        <v>0</v>
      </c>
      <c r="Q666" s="1323"/>
      <c r="R666" s="1323"/>
      <c r="S666" s="1323"/>
      <c r="T666" s="1323"/>
      <c r="U666" s="1323"/>
      <c r="V666" s="1323"/>
      <c r="W666" s="1323"/>
      <c r="X666" s="1323"/>
      <c r="Y666" s="1323"/>
      <c r="Z666" s="1323"/>
    </row>
    <row r="667" spans="1:26" ht="18.75" hidden="1">
      <c r="A667" s="1319"/>
      <c r="B667" s="1324"/>
      <c r="C667" s="1324"/>
      <c r="D667" s="1324"/>
      <c r="E667" s="1320" t="s">
        <v>19</v>
      </c>
      <c r="F667" s="1320"/>
      <c r="G667" s="1322"/>
      <c r="H667" s="169" t="s">
        <v>12</v>
      </c>
      <c r="I667" s="1000"/>
      <c r="J667" s="1000"/>
      <c r="K667" s="1001"/>
      <c r="L667" s="887">
        <v>0</v>
      </c>
      <c r="M667" s="887">
        <v>0</v>
      </c>
      <c r="N667" s="887">
        <v>0</v>
      </c>
      <c r="O667" s="887">
        <f t="shared" si="279"/>
        <v>0</v>
      </c>
      <c r="P667" s="887">
        <f t="shared" si="280"/>
        <v>0</v>
      </c>
      <c r="Q667" s="1323"/>
      <c r="R667" s="1323"/>
      <c r="S667" s="1323"/>
      <c r="T667" s="1323"/>
      <c r="U667" s="1323"/>
      <c r="V667" s="1323"/>
      <c r="W667" s="1323"/>
      <c r="X667" s="1323"/>
      <c r="Y667" s="1323"/>
      <c r="Z667" s="1323"/>
    </row>
    <row r="668" spans="1:26" ht="19.5" hidden="1">
      <c r="A668" s="1326"/>
      <c r="B668" s="1327"/>
      <c r="C668" s="1300" t="s">
        <v>16</v>
      </c>
      <c r="D668" s="1328" t="s">
        <v>38</v>
      </c>
      <c r="E668" s="1330"/>
      <c r="F668" s="1330"/>
      <c r="G668" s="1331"/>
      <c r="H668" s="1007"/>
      <c r="I668" s="997"/>
      <c r="J668" s="997"/>
      <c r="K668" s="998"/>
      <c r="L668" s="998"/>
      <c r="M668" s="998"/>
      <c r="N668" s="998"/>
      <c r="O668" s="998"/>
      <c r="P668" s="998"/>
      <c r="Q668" s="1302"/>
      <c r="R668" s="1302"/>
      <c r="S668" s="1302"/>
      <c r="T668" s="1302"/>
      <c r="U668" s="1302"/>
      <c r="V668" s="1302"/>
      <c r="W668" s="1302"/>
      <c r="X668" s="1302"/>
      <c r="Y668" s="1302"/>
      <c r="Z668" s="1302"/>
    </row>
    <row r="669" spans="1:26" ht="19.5" hidden="1">
      <c r="A669" s="1326"/>
      <c r="B669" s="1327"/>
      <c r="C669" s="1327"/>
      <c r="D669" s="1327" t="s">
        <v>281</v>
      </c>
      <c r="E669" s="1014"/>
      <c r="F669" s="1014"/>
      <c r="G669" s="1007"/>
      <c r="H669" s="765" t="s">
        <v>46</v>
      </c>
      <c r="I669" s="1019">
        <f ca="1">IFERROR(__xludf.DUMMYFUNCTION("IMPORTRANGE(""https://docs.google.com/spreadsheets/d/1QqKyyYR6Q21VydFLVH3TRQUabQu_ym0Zz7PgGX0-kHA/edit?usp=sharing"",""แผน!IA87"")"),0)</f>
        <v>0</v>
      </c>
      <c r="J669" s="1019">
        <f>J675</f>
        <v>0</v>
      </c>
      <c r="K669" s="1020">
        <f ca="1">IF(I669&gt;0,J669*100/I669,0)</f>
        <v>0</v>
      </c>
      <c r="L669" s="998"/>
      <c r="M669" s="998"/>
      <c r="N669" s="998"/>
      <c r="O669" s="998"/>
      <c r="P669" s="998"/>
      <c r="Q669" s="1302"/>
      <c r="R669" s="1302"/>
      <c r="S669" s="1302"/>
      <c r="T669" s="1302"/>
      <c r="U669" s="1302"/>
      <c r="V669" s="1302"/>
      <c r="W669" s="1302"/>
      <c r="X669" s="1302"/>
      <c r="Y669" s="1302"/>
      <c r="Z669" s="1302"/>
    </row>
    <row r="670" spans="1:26" ht="18.75" hidden="1">
      <c r="A670" s="1326"/>
      <c r="B670" s="1327"/>
      <c r="C670" s="1327"/>
      <c r="D670" s="1327"/>
      <c r="E670" s="1014" t="s">
        <v>282</v>
      </c>
      <c r="F670" s="1014"/>
      <c r="G670" s="1007"/>
      <c r="H670" s="762" t="s">
        <v>66</v>
      </c>
      <c r="I670" s="880">
        <f ca="1">IFERROR(__xludf.DUMMYFUNCTION("IMPORTRANGE(""https://docs.google.com/spreadsheets/d/1QqKyyYR6Q21VydFLVH3TRQUabQu_ym0Zz7PgGX0-kHA/edit?usp=sharing"",""แผน!HZ87"")"),0)</f>
        <v>0</v>
      </c>
      <c r="J670" s="1012">
        <v>0</v>
      </c>
      <c r="K670" s="881">
        <f ca="1">IF(I670&gt;0,(J670*100)/I670,0)</f>
        <v>0</v>
      </c>
      <c r="L670" s="998"/>
      <c r="M670" s="998"/>
      <c r="N670" s="998"/>
      <c r="O670" s="998"/>
      <c r="P670" s="998"/>
      <c r="Q670" s="1302"/>
      <c r="R670" s="1302"/>
      <c r="S670" s="1302"/>
      <c r="T670" s="1302"/>
      <c r="U670" s="1302"/>
      <c r="V670" s="1302"/>
      <c r="W670" s="1302"/>
      <c r="X670" s="1302"/>
      <c r="Y670" s="1302"/>
      <c r="Z670" s="1302"/>
    </row>
    <row r="671" spans="1:26" ht="18.75" hidden="1">
      <c r="A671" s="1326"/>
      <c r="B671" s="1327"/>
      <c r="C671" s="1327"/>
      <c r="D671" s="1327"/>
      <c r="E671" s="1014" t="s">
        <v>283</v>
      </c>
      <c r="F671" s="1014"/>
      <c r="G671" s="1007"/>
      <c r="H671" s="762" t="s">
        <v>66</v>
      </c>
      <c r="I671" s="880">
        <f ca="1">IFERROR(__xludf.DUMMYFUNCTION("IMPORTRANGE(""https://docs.google.com/spreadsheets/d/1QqKyyYR6Q21VydFLVH3TRQUabQu_ym0Zz7PgGX0-kHA/edit?usp=sharing"",""แผน!HZ87"")"),0)</f>
        <v>0</v>
      </c>
      <c r="J671" s="1012">
        <v>0</v>
      </c>
      <c r="K671" s="881">
        <f ca="1">IF(I$671&gt;0,J671*100/I$671,0)</f>
        <v>0</v>
      </c>
      <c r="L671" s="998"/>
      <c r="M671" s="998"/>
      <c r="N671" s="998"/>
      <c r="O671" s="998"/>
      <c r="P671" s="998"/>
      <c r="Q671" s="1302"/>
      <c r="R671" s="1302"/>
      <c r="S671" s="1302"/>
      <c r="T671" s="1302"/>
      <c r="U671" s="1302"/>
      <c r="V671" s="1302"/>
      <c r="W671" s="1302"/>
      <c r="X671" s="1302"/>
      <c r="Y671" s="1302"/>
      <c r="Z671" s="1302"/>
    </row>
    <row r="672" spans="1:26" ht="18.75" hidden="1">
      <c r="A672" s="1326"/>
      <c r="B672" s="1327"/>
      <c r="C672" s="1327"/>
      <c r="D672" s="1327"/>
      <c r="E672" s="1014" t="s">
        <v>284</v>
      </c>
      <c r="F672" s="1014"/>
      <c r="G672" s="1007"/>
      <c r="H672" s="762" t="s">
        <v>46</v>
      </c>
      <c r="I672" s="880"/>
      <c r="J672" s="1012">
        <v>0</v>
      </c>
      <c r="K672" s="881">
        <f t="shared" ref="K672:K675" ca="1" si="281">IF(I$669&gt;0,J672*100/I$669,0)</f>
        <v>0</v>
      </c>
      <c r="L672" s="998"/>
      <c r="M672" s="998"/>
      <c r="N672" s="998"/>
      <c r="O672" s="998"/>
      <c r="P672" s="998"/>
      <c r="Q672" s="1302"/>
      <c r="R672" s="1302"/>
      <c r="S672" s="1302"/>
      <c r="T672" s="1302"/>
      <c r="U672" s="1302"/>
      <c r="V672" s="1302"/>
      <c r="W672" s="1302"/>
      <c r="X672" s="1302"/>
      <c r="Y672" s="1302"/>
      <c r="Z672" s="1302"/>
    </row>
    <row r="673" spans="1:26" ht="18.75" hidden="1">
      <c r="A673" s="1326"/>
      <c r="B673" s="1327"/>
      <c r="C673" s="1327"/>
      <c r="D673" s="1327"/>
      <c r="E673" s="1014" t="s">
        <v>285</v>
      </c>
      <c r="F673" s="1014"/>
      <c r="G673" s="1007"/>
      <c r="H673" s="762" t="s">
        <v>46</v>
      </c>
      <c r="I673" s="880"/>
      <c r="J673" s="1012">
        <v>0</v>
      </c>
      <c r="K673" s="881">
        <f t="shared" ca="1" si="281"/>
        <v>0</v>
      </c>
      <c r="L673" s="998"/>
      <c r="M673" s="998"/>
      <c r="N673" s="998"/>
      <c r="O673" s="998"/>
      <c r="P673" s="998"/>
      <c r="Q673" s="1302"/>
      <c r="R673" s="1302"/>
      <c r="S673" s="1302"/>
      <c r="T673" s="1302"/>
      <c r="U673" s="1302"/>
      <c r="V673" s="1302"/>
      <c r="W673" s="1302"/>
      <c r="X673" s="1302"/>
      <c r="Y673" s="1302"/>
      <c r="Z673" s="1302"/>
    </row>
    <row r="674" spans="1:26" ht="18.75" hidden="1">
      <c r="A674" s="1326"/>
      <c r="B674" s="1327"/>
      <c r="C674" s="1327"/>
      <c r="D674" s="1327"/>
      <c r="E674" s="1014" t="s">
        <v>286</v>
      </c>
      <c r="F674" s="1014"/>
      <c r="G674" s="1007"/>
      <c r="H674" s="762" t="s">
        <v>46</v>
      </c>
      <c r="I674" s="880"/>
      <c r="J674" s="1012">
        <v>0</v>
      </c>
      <c r="K674" s="881">
        <f t="shared" ca="1" si="281"/>
        <v>0</v>
      </c>
      <c r="L674" s="998"/>
      <c r="M674" s="998"/>
      <c r="N674" s="998"/>
      <c r="O674" s="998"/>
      <c r="P674" s="998"/>
      <c r="Q674" s="1302"/>
      <c r="R674" s="1302"/>
      <c r="S674" s="1302"/>
      <c r="T674" s="1302"/>
      <c r="U674" s="1302"/>
      <c r="V674" s="1302"/>
      <c r="W674" s="1302"/>
      <c r="X674" s="1302"/>
      <c r="Y674" s="1302"/>
      <c r="Z674" s="1302"/>
    </row>
    <row r="675" spans="1:26" ht="19.5" hidden="1">
      <c r="A675" s="1326"/>
      <c r="B675" s="1327"/>
      <c r="C675" s="1327"/>
      <c r="D675" s="1327"/>
      <c r="E675" s="1014" t="s">
        <v>287</v>
      </c>
      <c r="F675" s="1014"/>
      <c r="G675" s="1007"/>
      <c r="H675" s="762" t="s">
        <v>46</v>
      </c>
      <c r="I675" s="880"/>
      <c r="J675" s="1019">
        <f>J676+J677</f>
        <v>0</v>
      </c>
      <c r="K675" s="1020">
        <f t="shared" ca="1" si="281"/>
        <v>0</v>
      </c>
      <c r="L675" s="998"/>
      <c r="M675" s="998"/>
      <c r="N675" s="998"/>
      <c r="O675" s="998"/>
      <c r="P675" s="998"/>
      <c r="Q675" s="1302"/>
      <c r="R675" s="1302"/>
      <c r="S675" s="1302"/>
      <c r="T675" s="1302"/>
      <c r="U675" s="1302"/>
      <c r="V675" s="1302"/>
      <c r="W675" s="1302"/>
      <c r="X675" s="1302"/>
      <c r="Y675" s="1302"/>
      <c r="Z675" s="1302"/>
    </row>
    <row r="676" spans="1:26" ht="18.75" hidden="1">
      <c r="A676" s="1326"/>
      <c r="B676" s="1327"/>
      <c r="C676" s="1327"/>
      <c r="D676" s="1327"/>
      <c r="E676" s="1014"/>
      <c r="F676" s="1014" t="s">
        <v>288</v>
      </c>
      <c r="G676" s="1007"/>
      <c r="H676" s="762" t="s">
        <v>46</v>
      </c>
      <c r="I676" s="880"/>
      <c r="J676" s="1012">
        <v>0</v>
      </c>
      <c r="K676" s="881"/>
      <c r="L676" s="998"/>
      <c r="M676" s="998"/>
      <c r="N676" s="998"/>
      <c r="O676" s="998"/>
      <c r="P676" s="998"/>
      <c r="Q676" s="1302"/>
      <c r="R676" s="1302"/>
      <c r="S676" s="1302"/>
      <c r="T676" s="1302"/>
      <c r="U676" s="1302"/>
      <c r="V676" s="1302"/>
      <c r="W676" s="1302"/>
      <c r="X676" s="1302"/>
      <c r="Y676" s="1302"/>
      <c r="Z676" s="1302"/>
    </row>
    <row r="677" spans="1:26" ht="18.75" hidden="1">
      <c r="A677" s="1326"/>
      <c r="B677" s="1327"/>
      <c r="C677" s="1327"/>
      <c r="D677" s="1327"/>
      <c r="E677" s="1014"/>
      <c r="F677" s="1014" t="s">
        <v>289</v>
      </c>
      <c r="G677" s="1007"/>
      <c r="H677" s="762" t="s">
        <v>46</v>
      </c>
      <c r="I677" s="880"/>
      <c r="J677" s="1012">
        <v>0</v>
      </c>
      <c r="K677" s="881"/>
      <c r="L677" s="998"/>
      <c r="M677" s="998"/>
      <c r="N677" s="998"/>
      <c r="O677" s="998"/>
      <c r="P677" s="998"/>
      <c r="Q677" s="1302"/>
      <c r="R677" s="1302"/>
      <c r="S677" s="1302"/>
      <c r="T677" s="1302"/>
      <c r="U677" s="1302"/>
      <c r="V677" s="1302"/>
      <c r="W677" s="1302"/>
      <c r="X677" s="1302"/>
      <c r="Y677" s="1302"/>
      <c r="Z677" s="1302"/>
    </row>
    <row r="678" spans="1:26" ht="19.5" hidden="1">
      <c r="A678" s="1326"/>
      <c r="B678" s="1327"/>
      <c r="C678" s="1327"/>
      <c r="D678" s="1327" t="s">
        <v>290</v>
      </c>
      <c r="E678" s="1014"/>
      <c r="F678" s="1014"/>
      <c r="G678" s="1007"/>
      <c r="H678" s="762" t="s">
        <v>46</v>
      </c>
      <c r="I678" s="1019">
        <f ca="1">IFERROR(__xludf.DUMMYFUNCTION("IMPORTRANGE(""https://docs.google.com/spreadsheets/d/1QqKyyYR6Q21VydFLVH3TRQUabQu_ym0Zz7PgGX0-kHA/edit?usp=sharing"",""แผน!IB87"")"),0)</f>
        <v>0</v>
      </c>
      <c r="J678" s="1019">
        <f>J679</f>
        <v>0</v>
      </c>
      <c r="K678" s="1020">
        <f ca="1">IF(I678&gt;0,J678*100/I678,0)</f>
        <v>0</v>
      </c>
      <c r="L678" s="998"/>
      <c r="M678" s="998"/>
      <c r="N678" s="998"/>
      <c r="O678" s="998"/>
      <c r="P678" s="998"/>
      <c r="Q678" s="1302"/>
      <c r="R678" s="1302"/>
      <c r="S678" s="1302"/>
      <c r="T678" s="1302"/>
      <c r="U678" s="1302"/>
      <c r="V678" s="1302"/>
      <c r="W678" s="1302"/>
      <c r="X678" s="1302"/>
      <c r="Y678" s="1302"/>
      <c r="Z678" s="1302"/>
    </row>
    <row r="679" spans="1:26" ht="18.75" hidden="1">
      <c r="A679" s="1326"/>
      <c r="B679" s="1327"/>
      <c r="C679" s="1327"/>
      <c r="D679" s="1327"/>
      <c r="E679" s="1014" t="s">
        <v>291</v>
      </c>
      <c r="F679" s="1014"/>
      <c r="G679" s="1007"/>
      <c r="H679" s="762" t="s">
        <v>46</v>
      </c>
      <c r="I679" s="880"/>
      <c r="J679" s="880">
        <f>J680+J681</f>
        <v>0</v>
      </c>
      <c r="K679" s="881"/>
      <c r="L679" s="998"/>
      <c r="M679" s="998"/>
      <c r="N679" s="998"/>
      <c r="O679" s="998"/>
      <c r="P679" s="998"/>
      <c r="Q679" s="1302"/>
      <c r="R679" s="1302"/>
      <c r="S679" s="1302"/>
      <c r="T679" s="1302"/>
      <c r="U679" s="1302"/>
      <c r="V679" s="1302"/>
      <c r="W679" s="1302"/>
      <c r="X679" s="1302"/>
      <c r="Y679" s="1302"/>
      <c r="Z679" s="1302"/>
    </row>
    <row r="680" spans="1:26" ht="18.75" hidden="1">
      <c r="A680" s="1326"/>
      <c r="B680" s="1327"/>
      <c r="C680" s="1327"/>
      <c r="D680" s="1327"/>
      <c r="E680" s="1014"/>
      <c r="F680" s="1014" t="s">
        <v>288</v>
      </c>
      <c r="G680" s="1007"/>
      <c r="H680" s="762" t="s">
        <v>46</v>
      </c>
      <c r="I680" s="880"/>
      <c r="J680" s="1012">
        <v>0</v>
      </c>
      <c r="K680" s="881"/>
      <c r="L680" s="998"/>
      <c r="M680" s="998"/>
      <c r="N680" s="998"/>
      <c r="O680" s="998"/>
      <c r="P680" s="998"/>
      <c r="Q680" s="1302"/>
      <c r="R680" s="1302"/>
      <c r="S680" s="1302"/>
      <c r="T680" s="1302"/>
      <c r="U680" s="1302"/>
      <c r="V680" s="1302"/>
      <c r="W680" s="1302"/>
      <c r="X680" s="1302"/>
      <c r="Y680" s="1302"/>
      <c r="Z680" s="1302"/>
    </row>
    <row r="681" spans="1:26" ht="18.75" hidden="1">
      <c r="A681" s="1326"/>
      <c r="B681" s="1327"/>
      <c r="C681" s="1327"/>
      <c r="D681" s="1327"/>
      <c r="E681" s="1014"/>
      <c r="F681" s="1014" t="s">
        <v>289</v>
      </c>
      <c r="G681" s="1007"/>
      <c r="H681" s="762" t="s">
        <v>46</v>
      </c>
      <c r="I681" s="880"/>
      <c r="J681" s="1012">
        <v>0</v>
      </c>
      <c r="K681" s="881"/>
      <c r="L681" s="998"/>
      <c r="M681" s="998"/>
      <c r="N681" s="998"/>
      <c r="O681" s="998"/>
      <c r="P681" s="998"/>
      <c r="Q681" s="1302"/>
      <c r="R681" s="1302"/>
      <c r="S681" s="1302"/>
      <c r="T681" s="1302"/>
      <c r="U681" s="1302"/>
      <c r="V681" s="1302"/>
      <c r="W681" s="1302"/>
      <c r="X681" s="1302"/>
      <c r="Y681" s="1302"/>
      <c r="Z681" s="1302"/>
    </row>
    <row r="682" spans="1:26" ht="18.75" hidden="1">
      <c r="A682" s="1326"/>
      <c r="B682" s="1327"/>
      <c r="C682" s="1327"/>
      <c r="D682" s="1327"/>
      <c r="E682" s="1014" t="s">
        <v>292</v>
      </c>
      <c r="F682" s="1014"/>
      <c r="G682" s="1007"/>
      <c r="H682" s="762" t="s">
        <v>46</v>
      </c>
      <c r="I682" s="880"/>
      <c r="J682" s="1012">
        <v>0</v>
      </c>
      <c r="K682" s="881"/>
      <c r="L682" s="998"/>
      <c r="M682" s="998"/>
      <c r="N682" s="998"/>
      <c r="O682" s="998"/>
      <c r="P682" s="998"/>
      <c r="Q682" s="1302"/>
      <c r="R682" s="1302"/>
      <c r="S682" s="1302"/>
      <c r="T682" s="1302"/>
      <c r="U682" s="1302"/>
      <c r="V682" s="1302"/>
      <c r="W682" s="1302"/>
      <c r="X682" s="1302"/>
      <c r="Y682" s="1302"/>
      <c r="Z682" s="1302"/>
    </row>
    <row r="683" spans="1:26" ht="18.75" hidden="1">
      <c r="A683" s="1326"/>
      <c r="B683" s="1327"/>
      <c r="C683" s="1327"/>
      <c r="D683" s="1327"/>
      <c r="E683" s="1014"/>
      <c r="F683" s="1014" t="s">
        <v>293</v>
      </c>
      <c r="G683" s="1007"/>
      <c r="H683" s="762" t="s">
        <v>46</v>
      </c>
      <c r="I683" s="880"/>
      <c r="J683" s="1012">
        <v>0</v>
      </c>
      <c r="K683" s="881"/>
      <c r="L683" s="998"/>
      <c r="M683" s="998"/>
      <c r="N683" s="998"/>
      <c r="O683" s="998"/>
      <c r="P683" s="998"/>
      <c r="Q683" s="1302"/>
      <c r="R683" s="1302"/>
      <c r="S683" s="1302"/>
      <c r="T683" s="1302"/>
      <c r="U683" s="1302"/>
      <c r="V683" s="1302"/>
      <c r="W683" s="1302"/>
      <c r="X683" s="1302"/>
      <c r="Y683" s="1302"/>
      <c r="Z683" s="1302"/>
    </row>
    <row r="684" spans="1:26" ht="19.5" hidden="1">
      <c r="A684" s="1434"/>
      <c r="B684" s="1435" t="s">
        <v>294</v>
      </c>
      <c r="C684" s="1434"/>
      <c r="D684" s="1434"/>
      <c r="E684" s="1434"/>
      <c r="F684" s="1434"/>
      <c r="G684" s="1436"/>
      <c r="H684" s="1436"/>
      <c r="I684" s="1437"/>
      <c r="J684" s="1437"/>
      <c r="K684" s="1438"/>
      <c r="L684" s="1438"/>
      <c r="M684" s="1438"/>
      <c r="N684" s="1438"/>
      <c r="O684" s="1438"/>
      <c r="P684" s="1438"/>
      <c r="Q684" s="1302"/>
      <c r="R684" s="1302"/>
      <c r="S684" s="1302"/>
      <c r="T684" s="1302"/>
      <c r="U684" s="1302"/>
      <c r="V684" s="1302"/>
      <c r="W684" s="1302"/>
      <c r="X684" s="1302"/>
      <c r="Y684" s="1302"/>
      <c r="Z684" s="1302"/>
    </row>
    <row r="685" spans="1:26" ht="19.5" hidden="1">
      <c r="A685" s="1317"/>
      <c r="B685" s="1301"/>
      <c r="C685" s="1301" t="s">
        <v>16</v>
      </c>
      <c r="D685" s="1318" t="s">
        <v>17</v>
      </c>
      <c r="E685" s="841"/>
      <c r="F685" s="841"/>
      <c r="G685" s="1016"/>
      <c r="H685" s="597" t="s">
        <v>12</v>
      </c>
      <c r="I685" s="880"/>
      <c r="J685" s="880"/>
      <c r="K685" s="881"/>
      <c r="L685" s="1020">
        <f t="shared" ref="L685:N685" ca="1" si="282">L686+L687</f>
        <v>0</v>
      </c>
      <c r="M685" s="1020">
        <f t="shared" si="282"/>
        <v>0</v>
      </c>
      <c r="N685" s="1020">
        <f t="shared" si="282"/>
        <v>0</v>
      </c>
      <c r="O685" s="1020">
        <f t="shared" ref="O685:O688" ca="1" si="283">IF(L685&gt;0,N685*100/L685,0)</f>
        <v>0</v>
      </c>
      <c r="P685" s="1020">
        <f t="shared" ref="P685:P688" si="284">IF(M685&gt;0,N685*100/M685,0)</f>
        <v>0</v>
      </c>
      <c r="Q685" s="1302"/>
      <c r="R685" s="1302"/>
      <c r="S685" s="1302"/>
      <c r="T685" s="1302"/>
      <c r="U685" s="1302"/>
      <c r="V685" s="1302"/>
      <c r="W685" s="1302"/>
      <c r="X685" s="1302"/>
      <c r="Y685" s="1302"/>
      <c r="Z685" s="1302"/>
    </row>
    <row r="686" spans="1:26" ht="18.75" hidden="1">
      <c r="A686" s="1319"/>
      <c r="B686" s="1320"/>
      <c r="C686" s="1320"/>
      <c r="D686" s="1321"/>
      <c r="E686" s="1320" t="s">
        <v>185</v>
      </c>
      <c r="F686" s="1320"/>
      <c r="G686" s="1322"/>
      <c r="H686" s="165" t="s">
        <v>12</v>
      </c>
      <c r="I686" s="886"/>
      <c r="J686" s="886"/>
      <c r="K686" s="887"/>
      <c r="L686" s="887">
        <f t="shared" ref="L686:N687" si="285">L689+L696</f>
        <v>0</v>
      </c>
      <c r="M686" s="887">
        <f t="shared" si="285"/>
        <v>0</v>
      </c>
      <c r="N686" s="887">
        <f t="shared" si="285"/>
        <v>0</v>
      </c>
      <c r="O686" s="887">
        <f t="shared" si="283"/>
        <v>0</v>
      </c>
      <c r="P686" s="887">
        <f t="shared" si="284"/>
        <v>0</v>
      </c>
      <c r="Q686" s="1323"/>
      <c r="R686" s="1323"/>
      <c r="S686" s="1323"/>
      <c r="T686" s="1323"/>
      <c r="U686" s="1323"/>
      <c r="V686" s="1323"/>
      <c r="W686" s="1323"/>
      <c r="X686" s="1323"/>
      <c r="Y686" s="1323"/>
      <c r="Z686" s="1323"/>
    </row>
    <row r="687" spans="1:26" ht="18.75" hidden="1">
      <c r="A687" s="1319"/>
      <c r="B687" s="1324"/>
      <c r="C687" s="1320"/>
      <c r="D687" s="1321"/>
      <c r="E687" s="1320" t="s">
        <v>186</v>
      </c>
      <c r="F687" s="1320"/>
      <c r="G687" s="1322"/>
      <c r="H687" s="165" t="s">
        <v>12</v>
      </c>
      <c r="I687" s="886"/>
      <c r="J687" s="886"/>
      <c r="K687" s="887"/>
      <c r="L687" s="887">
        <f t="shared" ca="1" si="285"/>
        <v>0</v>
      </c>
      <c r="M687" s="887">
        <f t="shared" si="285"/>
        <v>0</v>
      </c>
      <c r="N687" s="887">
        <f t="shared" si="285"/>
        <v>0</v>
      </c>
      <c r="O687" s="887">
        <f t="shared" ca="1" si="283"/>
        <v>0</v>
      </c>
      <c r="P687" s="887">
        <f t="shared" si="284"/>
        <v>0</v>
      </c>
      <c r="Q687" s="1323"/>
      <c r="R687" s="1323"/>
      <c r="S687" s="1323"/>
      <c r="T687" s="1323"/>
      <c r="U687" s="1323"/>
      <c r="V687" s="1323"/>
      <c r="W687" s="1323"/>
      <c r="X687" s="1323"/>
      <c r="Y687" s="1323"/>
      <c r="Z687" s="1323"/>
    </row>
    <row r="688" spans="1:26" ht="18.75" hidden="1">
      <c r="A688" s="1317"/>
      <c r="B688" s="1300"/>
      <c r="C688" s="1301"/>
      <c r="D688" s="1325" t="s">
        <v>20</v>
      </c>
      <c r="E688" s="1301"/>
      <c r="F688" s="1301"/>
      <c r="G688" s="1016"/>
      <c r="H688" s="161" t="s">
        <v>12</v>
      </c>
      <c r="I688" s="997"/>
      <c r="J688" s="997"/>
      <c r="K688" s="998"/>
      <c r="L688" s="881">
        <f t="shared" ref="L688:N688" ca="1" si="286">L689+L690</f>
        <v>0</v>
      </c>
      <c r="M688" s="881">
        <f t="shared" si="286"/>
        <v>0</v>
      </c>
      <c r="N688" s="881">
        <f t="shared" si="286"/>
        <v>0</v>
      </c>
      <c r="O688" s="881">
        <f t="shared" ca="1" si="283"/>
        <v>0</v>
      </c>
      <c r="P688" s="881">
        <f t="shared" si="284"/>
        <v>0</v>
      </c>
      <c r="Q688" s="1302"/>
      <c r="R688" s="1302"/>
      <c r="S688" s="1302"/>
      <c r="T688" s="1302"/>
      <c r="U688" s="1302"/>
      <c r="V688" s="1302"/>
      <c r="W688" s="1302"/>
      <c r="X688" s="1302"/>
      <c r="Y688" s="1302"/>
      <c r="Z688" s="1302"/>
    </row>
    <row r="689" spans="1:26" ht="18.75" hidden="1">
      <c r="A689" s="1319"/>
      <c r="B689" s="1324"/>
      <c r="C689" s="1320"/>
      <c r="D689" s="1321"/>
      <c r="E689" s="1320" t="s">
        <v>185</v>
      </c>
      <c r="F689" s="1320"/>
      <c r="G689" s="1322"/>
      <c r="H689" s="165" t="s">
        <v>12</v>
      </c>
      <c r="I689" s="886"/>
      <c r="J689" s="886"/>
      <c r="K689" s="887"/>
      <c r="L689" s="887">
        <v>0</v>
      </c>
      <c r="M689" s="887">
        <v>0</v>
      </c>
      <c r="N689" s="887">
        <v>0</v>
      </c>
      <c r="O689" s="887"/>
      <c r="P689" s="887"/>
      <c r="Q689" s="1323"/>
      <c r="R689" s="1323"/>
      <c r="S689" s="1323"/>
      <c r="T689" s="1323"/>
      <c r="U689" s="1323"/>
      <c r="V689" s="1323"/>
      <c r="W689" s="1323"/>
      <c r="X689" s="1323"/>
      <c r="Y689" s="1323"/>
      <c r="Z689" s="1323"/>
    </row>
    <row r="690" spans="1:26" ht="18.75" hidden="1">
      <c r="A690" s="1319"/>
      <c r="B690" s="1324"/>
      <c r="C690" s="1320"/>
      <c r="D690" s="1321"/>
      <c r="E690" s="1320" t="s">
        <v>186</v>
      </c>
      <c r="F690" s="1320"/>
      <c r="G690" s="1322"/>
      <c r="H690" s="165" t="s">
        <v>12</v>
      </c>
      <c r="I690" s="886"/>
      <c r="J690" s="886"/>
      <c r="K690" s="887"/>
      <c r="L690" s="887">
        <f ca="1">IFERROR(__xludf.DUMMYFUNCTION("IMPORTRANGE(""https://docs.google.com/spreadsheets/d/1QqKyyYR6Q21VydFLVH3TRQUabQu_ym0Zz7PgGX0-kHA/edit?usp=sharing"",""แผน!HW87"")"),0)</f>
        <v>0</v>
      </c>
      <c r="M690" s="887">
        <v>0</v>
      </c>
      <c r="N690" s="887">
        <f>N691+N692+N693+N694</f>
        <v>0</v>
      </c>
      <c r="O690" s="887">
        <f ca="1">IF(L690&gt;0,N690*100/L690,0)</f>
        <v>0</v>
      </c>
      <c r="P690" s="887">
        <f>IF(M690&gt;0,N690*100/M690,0)</f>
        <v>0</v>
      </c>
      <c r="Q690" s="1323"/>
      <c r="R690" s="1323"/>
      <c r="S690" s="1323"/>
      <c r="T690" s="1323"/>
      <c r="U690" s="1323"/>
      <c r="V690" s="1323"/>
      <c r="W690" s="1323"/>
      <c r="X690" s="1323"/>
      <c r="Y690" s="1323"/>
      <c r="Z690" s="1323"/>
    </row>
    <row r="691" spans="1:26" ht="18.75" hidden="1">
      <c r="A691" s="1299"/>
      <c r="B691" s="1300"/>
      <c r="C691" s="1301"/>
      <c r="D691" s="1301"/>
      <c r="E691" s="1301"/>
      <c r="F691" s="1301" t="s">
        <v>187</v>
      </c>
      <c r="G691" s="1016"/>
      <c r="H691" s="161" t="s">
        <v>12</v>
      </c>
      <c r="I691" s="880"/>
      <c r="J691" s="880"/>
      <c r="K691" s="881"/>
      <c r="L691" s="881"/>
      <c r="M691" s="881"/>
      <c r="N691" s="1085">
        <v>0</v>
      </c>
      <c r="O691" s="881"/>
      <c r="P691" s="881"/>
      <c r="Q691" s="1302"/>
      <c r="R691" s="1302"/>
      <c r="S691" s="1302"/>
      <c r="T691" s="1302"/>
      <c r="U691" s="1302"/>
      <c r="V691" s="1302"/>
      <c r="W691" s="1302"/>
      <c r="X691" s="1302"/>
      <c r="Y691" s="1302"/>
      <c r="Z691" s="1302"/>
    </row>
    <row r="692" spans="1:26" ht="18.75" hidden="1">
      <c r="A692" s="1299"/>
      <c r="B692" s="1300"/>
      <c r="C692" s="1301"/>
      <c r="D692" s="1301"/>
      <c r="E692" s="1301"/>
      <c r="F692" s="1301" t="s">
        <v>188</v>
      </c>
      <c r="G692" s="1016"/>
      <c r="H692" s="161" t="s">
        <v>12</v>
      </c>
      <c r="I692" s="880"/>
      <c r="J692" s="880"/>
      <c r="K692" s="881"/>
      <c r="L692" s="881"/>
      <c r="M692" s="881"/>
      <c r="N692" s="1085">
        <v>0</v>
      </c>
      <c r="O692" s="881"/>
      <c r="P692" s="881"/>
      <c r="Q692" s="1302"/>
      <c r="R692" s="1302"/>
      <c r="S692" s="1302"/>
      <c r="T692" s="1302"/>
      <c r="U692" s="1302"/>
      <c r="V692" s="1302"/>
      <c r="W692" s="1302"/>
      <c r="X692" s="1302"/>
      <c r="Y692" s="1302"/>
      <c r="Z692" s="1302"/>
    </row>
    <row r="693" spans="1:26" ht="18.75" hidden="1">
      <c r="A693" s="1299"/>
      <c r="B693" s="1300"/>
      <c r="C693" s="1301"/>
      <c r="D693" s="1301"/>
      <c r="E693" s="1301"/>
      <c r="F693" s="1301" t="s">
        <v>189</v>
      </c>
      <c r="G693" s="1016"/>
      <c r="H693" s="161" t="s">
        <v>12</v>
      </c>
      <c r="I693" s="880"/>
      <c r="J693" s="880"/>
      <c r="K693" s="881"/>
      <c r="L693" s="881"/>
      <c r="M693" s="881"/>
      <c r="N693" s="1085">
        <v>0</v>
      </c>
      <c r="O693" s="881"/>
      <c r="P693" s="881"/>
      <c r="Q693" s="1302"/>
      <c r="R693" s="1302"/>
      <c r="S693" s="1302"/>
      <c r="T693" s="1302"/>
      <c r="U693" s="1302"/>
      <c r="V693" s="1302"/>
      <c r="W693" s="1302"/>
      <c r="X693" s="1302"/>
      <c r="Y693" s="1302"/>
      <c r="Z693" s="1302"/>
    </row>
    <row r="694" spans="1:26" ht="18.75" hidden="1">
      <c r="A694" s="1299"/>
      <c r="B694" s="1300"/>
      <c r="C694" s="1301"/>
      <c r="D694" s="1301"/>
      <c r="E694" s="1301"/>
      <c r="F694" s="1301" t="s">
        <v>190</v>
      </c>
      <c r="G694" s="1016"/>
      <c r="H694" s="161" t="s">
        <v>12</v>
      </c>
      <c r="I694" s="880"/>
      <c r="J694" s="880"/>
      <c r="K694" s="881"/>
      <c r="L694" s="881"/>
      <c r="M694" s="881"/>
      <c r="N694" s="1085">
        <v>0</v>
      </c>
      <c r="O694" s="881"/>
      <c r="P694" s="881"/>
      <c r="Q694" s="1302"/>
      <c r="R694" s="1302"/>
      <c r="S694" s="1302"/>
      <c r="T694" s="1302"/>
      <c r="U694" s="1302"/>
      <c r="V694" s="1302"/>
      <c r="W694" s="1302"/>
      <c r="X694" s="1302"/>
      <c r="Y694" s="1302"/>
      <c r="Z694" s="1302"/>
    </row>
    <row r="695" spans="1:26" ht="18.75" hidden="1">
      <c r="A695" s="1317"/>
      <c r="B695" s="1300"/>
      <c r="C695" s="1301"/>
      <c r="D695" s="1325" t="s">
        <v>21</v>
      </c>
      <c r="E695" s="1301"/>
      <c r="F695" s="1301"/>
      <c r="G695" s="1016"/>
      <c r="H695" s="168" t="s">
        <v>12</v>
      </c>
      <c r="I695" s="997"/>
      <c r="J695" s="997"/>
      <c r="K695" s="998"/>
      <c r="L695" s="881">
        <f t="shared" ref="L695:N695" si="287">L696+L697</f>
        <v>0</v>
      </c>
      <c r="M695" s="881">
        <f t="shared" si="287"/>
        <v>0</v>
      </c>
      <c r="N695" s="881">
        <f t="shared" si="287"/>
        <v>0</v>
      </c>
      <c r="O695" s="881">
        <f t="shared" ref="O695:O697" si="288">IF(L695&gt;0,N695*100/L695,0)</f>
        <v>0</v>
      </c>
      <c r="P695" s="881">
        <f t="shared" ref="P695:P697" si="289">IF(M695&gt;0,N695*100/M695,0)</f>
        <v>0</v>
      </c>
      <c r="Q695" s="1302"/>
      <c r="R695" s="1302"/>
      <c r="S695" s="1302"/>
      <c r="T695" s="1302"/>
      <c r="U695" s="1302"/>
      <c r="V695" s="1302"/>
      <c r="W695" s="1302"/>
      <c r="X695" s="1302"/>
      <c r="Y695" s="1302"/>
      <c r="Z695" s="1302"/>
    </row>
    <row r="696" spans="1:26" ht="18.75" hidden="1">
      <c r="A696" s="1319"/>
      <c r="B696" s="1324"/>
      <c r="C696" s="1320"/>
      <c r="D696" s="1320"/>
      <c r="E696" s="1320" t="s">
        <v>18</v>
      </c>
      <c r="F696" s="1320"/>
      <c r="G696" s="1322"/>
      <c r="H696" s="165" t="s">
        <v>12</v>
      </c>
      <c r="I696" s="1000"/>
      <c r="J696" s="1000"/>
      <c r="K696" s="1001"/>
      <c r="L696" s="887">
        <v>0</v>
      </c>
      <c r="M696" s="887">
        <v>0</v>
      </c>
      <c r="N696" s="887">
        <v>0</v>
      </c>
      <c r="O696" s="887">
        <f t="shared" si="288"/>
        <v>0</v>
      </c>
      <c r="P696" s="887">
        <f t="shared" si="289"/>
        <v>0</v>
      </c>
      <c r="Q696" s="1323"/>
      <c r="R696" s="1323"/>
      <c r="S696" s="1323"/>
      <c r="T696" s="1323"/>
      <c r="U696" s="1323"/>
      <c r="V696" s="1323"/>
      <c r="W696" s="1323"/>
      <c r="X696" s="1323"/>
      <c r="Y696" s="1323"/>
      <c r="Z696" s="1323"/>
    </row>
    <row r="697" spans="1:26" ht="18.75" hidden="1">
      <c r="A697" s="1319"/>
      <c r="B697" s="1324"/>
      <c r="C697" s="1320"/>
      <c r="D697" s="1320"/>
      <c r="E697" s="1320" t="s">
        <v>19</v>
      </c>
      <c r="F697" s="1320"/>
      <c r="G697" s="1322"/>
      <c r="H697" s="169" t="s">
        <v>12</v>
      </c>
      <c r="I697" s="1000"/>
      <c r="J697" s="1000"/>
      <c r="K697" s="1001"/>
      <c r="L697" s="887">
        <v>0</v>
      </c>
      <c r="M697" s="887">
        <v>0</v>
      </c>
      <c r="N697" s="887">
        <v>0</v>
      </c>
      <c r="O697" s="887">
        <f t="shared" si="288"/>
        <v>0</v>
      </c>
      <c r="P697" s="887">
        <f t="shared" si="289"/>
        <v>0</v>
      </c>
      <c r="Q697" s="1323"/>
      <c r="R697" s="1323"/>
      <c r="S697" s="1323"/>
      <c r="T697" s="1323"/>
      <c r="U697" s="1323"/>
      <c r="V697" s="1323"/>
      <c r="W697" s="1323"/>
      <c r="X697" s="1323"/>
      <c r="Y697" s="1323"/>
      <c r="Z697" s="1323"/>
    </row>
    <row r="698" spans="1:26" ht="19.5" hidden="1">
      <c r="A698" s="1326"/>
      <c r="B698" s="1327"/>
      <c r="C698" s="1301" t="s">
        <v>16</v>
      </c>
      <c r="D698" s="1439" t="s">
        <v>38</v>
      </c>
      <c r="E698" s="1330"/>
      <c r="F698" s="1330"/>
      <c r="G698" s="1331"/>
      <c r="H698" s="1007"/>
      <c r="I698" s="997"/>
      <c r="J698" s="997"/>
      <c r="K698" s="998"/>
      <c r="L698" s="998"/>
      <c r="M698" s="998"/>
      <c r="N698" s="998"/>
      <c r="O698" s="998"/>
      <c r="P698" s="998"/>
      <c r="Q698" s="1302"/>
      <c r="R698" s="1302"/>
      <c r="S698" s="1302"/>
      <c r="T698" s="1302"/>
      <c r="U698" s="1302"/>
      <c r="V698" s="1302"/>
      <c r="W698" s="1302"/>
      <c r="X698" s="1302"/>
      <c r="Y698" s="1302"/>
      <c r="Z698" s="1302"/>
    </row>
    <row r="699" spans="1:26" ht="18.75" hidden="1">
      <c r="A699" s="1429"/>
      <c r="B699" s="1301"/>
      <c r="C699" s="1301"/>
      <c r="D699" s="1301" t="s">
        <v>295</v>
      </c>
      <c r="E699" s="1301"/>
      <c r="F699" s="1301"/>
      <c r="G699" s="1016"/>
      <c r="H699" s="762" t="s">
        <v>46</v>
      </c>
      <c r="I699" s="1440">
        <f ca="1">IFERROR(__xludf.DUMMYFUNCTION("IMPORTRANGE(""https://docs.google.com/spreadsheets/d/1QqKyyYR6Q21VydFLVH3TRQUabQu_ym0Zz7PgGX0-kHA/edit?usp=sharing"",""แผน!IC87"")"),0)</f>
        <v>0</v>
      </c>
      <c r="J699" s="880">
        <f ca="1">IFERROR(__xludf.DUMMYFUNCTION("IMPORTRANGE(""https://docs.google.com/spreadsheets/d/1XWAQStnk-4SwqDmLtmXYiTMKHgktTP8We1SCoS47DrQ/edit?usp=sharing"",""จัดที่ดิน!BB87"")"),0)</f>
        <v>0</v>
      </c>
      <c r="K699" s="881">
        <f t="shared" ref="K699:K701" ca="1" si="290">IF(I699&gt;0,J699*100/I699,0)</f>
        <v>0</v>
      </c>
      <c r="L699" s="881"/>
      <c r="M699" s="1016"/>
      <c r="N699" s="1441"/>
      <c r="O699" s="881"/>
      <c r="P699" s="881"/>
      <c r="Q699" s="1302"/>
      <c r="R699" s="1302"/>
      <c r="S699" s="1302"/>
      <c r="T699" s="1302"/>
      <c r="U699" s="1302"/>
      <c r="V699" s="1302"/>
      <c r="W699" s="1302"/>
      <c r="X699" s="1302"/>
      <c r="Y699" s="1302"/>
      <c r="Z699" s="1302"/>
    </row>
    <row r="700" spans="1:26" ht="18.75" hidden="1">
      <c r="A700" s="1429"/>
      <c r="B700" s="1301"/>
      <c r="C700" s="1301"/>
      <c r="D700" s="1301" t="s">
        <v>296</v>
      </c>
      <c r="E700" s="1301"/>
      <c r="F700" s="1301"/>
      <c r="G700" s="1016"/>
      <c r="H700" s="762" t="s">
        <v>35</v>
      </c>
      <c r="I700" s="1440">
        <f ca="1">IFERROR(__xludf.DUMMYFUNCTION("IMPORTRANGE(""https://docs.google.com/spreadsheets/d/1QqKyyYR6Q21VydFLVH3TRQUabQu_ym0Zz7PgGX0-kHA/edit?usp=sharing"",""แผน!ID87"")"),0)</f>
        <v>0</v>
      </c>
      <c r="J700" s="880">
        <f ca="1">IFERROR(__xludf.DUMMYFUNCTION("IMPORTRANGE(""https://docs.google.com/spreadsheets/d/1XWAQStnk-4SwqDmLtmXYiTMKHgktTP8We1SCoS47DrQ/edit?usp=sharing"",""จัดที่ดิน!BD87"")"),0)</f>
        <v>0</v>
      </c>
      <c r="K700" s="881">
        <f t="shared" ca="1" si="290"/>
        <v>0</v>
      </c>
      <c r="L700" s="881"/>
      <c r="M700" s="1016"/>
      <c r="N700" s="1441"/>
      <c r="O700" s="881"/>
      <c r="P700" s="881"/>
      <c r="Q700" s="1302"/>
      <c r="R700" s="1302"/>
      <c r="S700" s="1302"/>
      <c r="T700" s="1302"/>
      <c r="U700" s="1302"/>
      <c r="V700" s="1302"/>
      <c r="W700" s="1302"/>
      <c r="X700" s="1302"/>
      <c r="Y700" s="1302"/>
      <c r="Z700" s="1302"/>
    </row>
    <row r="701" spans="1:26" ht="19.5" hidden="1">
      <c r="A701" s="1429"/>
      <c r="B701" s="1301"/>
      <c r="C701" s="1301"/>
      <c r="D701" s="1301" t="s">
        <v>297</v>
      </c>
      <c r="E701" s="1301"/>
      <c r="F701" s="1301"/>
      <c r="G701" s="1016"/>
      <c r="H701" s="765" t="s">
        <v>46</v>
      </c>
      <c r="I701" s="1442">
        <f ca="1">IFERROR(__xludf.DUMMYFUNCTION("IMPORTRANGE(""https://docs.google.com/spreadsheets/d/1QqKyyYR6Q21VydFLVH3TRQUabQu_ym0Zz7PgGX0-kHA/edit?usp=sharing"",""แผน!IE87"")"),0)</f>
        <v>0</v>
      </c>
      <c r="J701" s="1019">
        <f>J704+J707</f>
        <v>0</v>
      </c>
      <c r="K701" s="1020">
        <f t="shared" ca="1" si="290"/>
        <v>0</v>
      </c>
      <c r="L701" s="881"/>
      <c r="M701" s="1016"/>
      <c r="N701" s="1441"/>
      <c r="O701" s="881"/>
      <c r="P701" s="881"/>
      <c r="Q701" s="1302"/>
      <c r="R701" s="1302"/>
      <c r="S701" s="1302"/>
      <c r="T701" s="1302"/>
      <c r="U701" s="1302"/>
      <c r="V701" s="1302"/>
      <c r="W701" s="1302"/>
      <c r="X701" s="1302"/>
      <c r="Y701" s="1302"/>
      <c r="Z701" s="1302"/>
    </row>
    <row r="702" spans="1:26" ht="18.75" hidden="1">
      <c r="A702" s="1429"/>
      <c r="B702" s="1301"/>
      <c r="C702" s="1301"/>
      <c r="D702" s="1301"/>
      <c r="E702" s="1301" t="s">
        <v>298</v>
      </c>
      <c r="F702" s="1301"/>
      <c r="G702" s="1016"/>
      <c r="H702" s="762" t="s">
        <v>35</v>
      </c>
      <c r="I702" s="1440"/>
      <c r="J702" s="1012">
        <v>0</v>
      </c>
      <c r="K702" s="881"/>
      <c r="L702" s="881"/>
      <c r="M702" s="1016"/>
      <c r="N702" s="1441"/>
      <c r="O702" s="881"/>
      <c r="P702" s="881"/>
      <c r="Q702" s="1302"/>
      <c r="R702" s="1302"/>
      <c r="S702" s="1302"/>
      <c r="T702" s="1302"/>
      <c r="U702" s="1302"/>
      <c r="V702" s="1302"/>
      <c r="W702" s="1302"/>
      <c r="X702" s="1302"/>
      <c r="Y702" s="1302"/>
      <c r="Z702" s="1302"/>
    </row>
    <row r="703" spans="1:26" ht="18.75" hidden="1">
      <c r="A703" s="1429"/>
      <c r="B703" s="1301"/>
      <c r="C703" s="1301"/>
      <c r="D703" s="1301"/>
      <c r="E703" s="1301"/>
      <c r="F703" s="1301"/>
      <c r="G703" s="1016"/>
      <c r="H703" s="762" t="s">
        <v>34</v>
      </c>
      <c r="I703" s="1440"/>
      <c r="J703" s="1012">
        <v>0</v>
      </c>
      <c r="K703" s="881"/>
      <c r="L703" s="881"/>
      <c r="M703" s="1016"/>
      <c r="N703" s="1441"/>
      <c r="O703" s="881"/>
      <c r="P703" s="881"/>
      <c r="Q703" s="1302"/>
      <c r="R703" s="1302"/>
      <c r="S703" s="1302"/>
      <c r="T703" s="1302"/>
      <c r="U703" s="1302"/>
      <c r="V703" s="1302"/>
      <c r="W703" s="1302"/>
      <c r="X703" s="1302"/>
      <c r="Y703" s="1302"/>
      <c r="Z703" s="1302"/>
    </row>
    <row r="704" spans="1:26" ht="18.75" hidden="1">
      <c r="A704" s="1429"/>
      <c r="B704" s="1301"/>
      <c r="C704" s="1301"/>
      <c r="D704" s="1301"/>
      <c r="E704" s="1301"/>
      <c r="F704" s="1301"/>
      <c r="G704" s="1016"/>
      <c r="H704" s="762" t="s">
        <v>46</v>
      </c>
      <c r="I704" s="1440">
        <f ca="1">IFERROR(__xludf.DUMMYFUNCTION("IMPORTRANGE(""https://docs.google.com/spreadsheets/d/1QqKyyYR6Q21VydFLVH3TRQUabQu_ym0Zz7PgGX0-kHA/edit?usp=sharing"",""แผน!IF87"")"),0)</f>
        <v>0</v>
      </c>
      <c r="J704" s="1012">
        <v>0</v>
      </c>
      <c r="K704" s="881"/>
      <c r="L704" s="881"/>
      <c r="M704" s="1016"/>
      <c r="N704" s="1441"/>
      <c r="O704" s="881"/>
      <c r="P704" s="881"/>
      <c r="Q704" s="1302"/>
      <c r="R704" s="1302"/>
      <c r="S704" s="1302"/>
      <c r="T704" s="1302"/>
      <c r="U704" s="1302"/>
      <c r="V704" s="1302"/>
      <c r="W704" s="1302"/>
      <c r="X704" s="1302"/>
      <c r="Y704" s="1302"/>
      <c r="Z704" s="1302"/>
    </row>
    <row r="705" spans="1:26" ht="18.75" hidden="1">
      <c r="A705" s="1429"/>
      <c r="B705" s="1301"/>
      <c r="C705" s="1301"/>
      <c r="D705" s="1301"/>
      <c r="E705" s="1301" t="s">
        <v>299</v>
      </c>
      <c r="F705" s="1301"/>
      <c r="G705" s="1016"/>
      <c r="H705" s="762" t="s">
        <v>35</v>
      </c>
      <c r="I705" s="1440"/>
      <c r="J705" s="1012">
        <v>0</v>
      </c>
      <c r="K705" s="881"/>
      <c r="L705" s="881"/>
      <c r="M705" s="1016"/>
      <c r="N705" s="1441"/>
      <c r="O705" s="881"/>
      <c r="P705" s="881"/>
      <c r="Q705" s="1302"/>
      <c r="R705" s="1302"/>
      <c r="S705" s="1302"/>
      <c r="T705" s="1302"/>
      <c r="U705" s="1302"/>
      <c r="V705" s="1302"/>
      <c r="W705" s="1302"/>
      <c r="X705" s="1302"/>
      <c r="Y705" s="1302"/>
      <c r="Z705" s="1302"/>
    </row>
    <row r="706" spans="1:26" ht="18.75" hidden="1">
      <c r="A706" s="1429"/>
      <c r="B706" s="1301"/>
      <c r="C706" s="1301"/>
      <c r="D706" s="1301"/>
      <c r="E706" s="1301"/>
      <c r="F706" s="1301"/>
      <c r="G706" s="1016"/>
      <c r="H706" s="762" t="s">
        <v>34</v>
      </c>
      <c r="I706" s="1440"/>
      <c r="J706" s="1012">
        <v>0</v>
      </c>
      <c r="K706" s="881"/>
      <c r="L706" s="881"/>
      <c r="M706" s="1016"/>
      <c r="N706" s="1441"/>
      <c r="O706" s="881"/>
      <c r="P706" s="881"/>
      <c r="Q706" s="1302"/>
      <c r="R706" s="1302"/>
      <c r="S706" s="1302"/>
      <c r="T706" s="1302"/>
      <c r="U706" s="1302"/>
      <c r="V706" s="1302"/>
      <c r="W706" s="1302"/>
      <c r="X706" s="1302"/>
      <c r="Y706" s="1302"/>
      <c r="Z706" s="1302"/>
    </row>
    <row r="707" spans="1:26" ht="18.75" hidden="1">
      <c r="A707" s="1429"/>
      <c r="B707" s="1301"/>
      <c r="C707" s="1301"/>
      <c r="D707" s="1301"/>
      <c r="E707" s="1301"/>
      <c r="F707" s="1301"/>
      <c r="G707" s="1016"/>
      <c r="H707" s="762" t="s">
        <v>46</v>
      </c>
      <c r="I707" s="1440">
        <f ca="1">IFERROR(__xludf.DUMMYFUNCTION("IMPORTRANGE(""https://docs.google.com/spreadsheets/d/1QqKyyYR6Q21VydFLVH3TRQUabQu_ym0Zz7PgGX0-kHA/edit?usp=sharing"",""แผน!IG87"")"),0)</f>
        <v>0</v>
      </c>
      <c r="J707" s="1012">
        <v>0</v>
      </c>
      <c r="K707" s="881"/>
      <c r="L707" s="881"/>
      <c r="M707" s="1016"/>
      <c r="N707" s="1441"/>
      <c r="O707" s="881"/>
      <c r="P707" s="881"/>
      <c r="Q707" s="1302"/>
      <c r="R707" s="1302"/>
      <c r="S707" s="1302"/>
      <c r="T707" s="1302"/>
      <c r="U707" s="1302"/>
      <c r="V707" s="1302"/>
      <c r="W707" s="1302"/>
      <c r="X707" s="1302"/>
      <c r="Y707" s="1302"/>
      <c r="Z707" s="1302"/>
    </row>
    <row r="708" spans="1:26" ht="19.5" hidden="1">
      <c r="A708" s="1429"/>
      <c r="B708" s="1301"/>
      <c r="C708" s="1301"/>
      <c r="D708" s="1382" t="s">
        <v>300</v>
      </c>
      <c r="E708" s="1301"/>
      <c r="F708" s="1301"/>
      <c r="G708" s="1016"/>
      <c r="H708" s="765" t="s">
        <v>46</v>
      </c>
      <c r="I708" s="1442">
        <f ca="1">IFERROR(__xludf.DUMMYFUNCTION("IMPORTRANGE(""https://docs.google.com/spreadsheets/d/1QqKyyYR6Q21VydFLVH3TRQUabQu_ym0Zz7PgGX0-kHA/edit?usp=sharing"",""แผน!IH87"")"),0)</f>
        <v>0</v>
      </c>
      <c r="J708" s="1019">
        <f>J714+J717</f>
        <v>0</v>
      </c>
      <c r="K708" s="1020">
        <f ca="1">IF(I708&gt;0,J708*100/I708,0)</f>
        <v>0</v>
      </c>
      <c r="L708" s="881"/>
      <c r="M708" s="1016"/>
      <c r="N708" s="1441"/>
      <c r="O708" s="881"/>
      <c r="P708" s="881"/>
      <c r="Q708" s="1302"/>
      <c r="R708" s="1302"/>
      <c r="S708" s="1302"/>
      <c r="T708" s="1302"/>
      <c r="U708" s="1302"/>
      <c r="V708" s="1302"/>
      <c r="W708" s="1302"/>
      <c r="X708" s="1302"/>
      <c r="Y708" s="1302"/>
      <c r="Z708" s="1302"/>
    </row>
    <row r="709" spans="1:26" ht="18.75" hidden="1">
      <c r="A709" s="1429"/>
      <c r="B709" s="1301"/>
      <c r="C709" s="1301"/>
      <c r="D709" s="1301"/>
      <c r="E709" s="1301" t="s">
        <v>301</v>
      </c>
      <c r="F709" s="1301"/>
      <c r="G709" s="1016"/>
      <c r="H709" s="762" t="s">
        <v>34</v>
      </c>
      <c r="I709" s="1440"/>
      <c r="J709" s="1012">
        <v>0</v>
      </c>
      <c r="K709" s="881"/>
      <c r="L709" s="1441"/>
      <c r="M709" s="1016"/>
      <c r="N709" s="1441"/>
      <c r="O709" s="881"/>
      <c r="P709" s="881"/>
      <c r="Q709" s="1302"/>
      <c r="R709" s="1302"/>
      <c r="S709" s="1302"/>
      <c r="T709" s="1302"/>
      <c r="U709" s="1302"/>
      <c r="V709" s="1302"/>
      <c r="W709" s="1302"/>
      <c r="X709" s="1302"/>
      <c r="Y709" s="1302"/>
      <c r="Z709" s="1302"/>
    </row>
    <row r="710" spans="1:26" ht="18.75" hidden="1">
      <c r="A710" s="1429"/>
      <c r="B710" s="1301"/>
      <c r="C710" s="1301"/>
      <c r="D710" s="1301"/>
      <c r="E710" s="1301"/>
      <c r="F710" s="1301"/>
      <c r="G710" s="1016"/>
      <c r="H710" s="762" t="s">
        <v>46</v>
      </c>
      <c r="I710" s="1440"/>
      <c r="J710" s="1012">
        <v>0</v>
      </c>
      <c r="K710" s="881"/>
      <c r="L710" s="1441"/>
      <c r="M710" s="1016"/>
      <c r="N710" s="1441"/>
      <c r="O710" s="881"/>
      <c r="P710" s="881"/>
      <c r="Q710" s="1302"/>
      <c r="R710" s="1302"/>
      <c r="S710" s="1302"/>
      <c r="T710" s="1302"/>
      <c r="U710" s="1302"/>
      <c r="V710" s="1302"/>
      <c r="W710" s="1302"/>
      <c r="X710" s="1302"/>
      <c r="Y710" s="1302"/>
      <c r="Z710" s="1302"/>
    </row>
    <row r="711" spans="1:26" ht="18.75" hidden="1">
      <c r="A711" s="1429"/>
      <c r="B711" s="1301"/>
      <c r="C711" s="1301"/>
      <c r="D711" s="1301"/>
      <c r="E711" s="1301" t="s">
        <v>302</v>
      </c>
      <c r="F711" s="1301"/>
      <c r="G711" s="1016"/>
      <c r="H711" s="1007"/>
      <c r="I711" s="1440"/>
      <c r="J711" s="880"/>
      <c r="K711" s="881"/>
      <c r="L711" s="1441"/>
      <c r="M711" s="1016"/>
      <c r="N711" s="1441"/>
      <c r="O711" s="881"/>
      <c r="P711" s="881"/>
      <c r="Q711" s="1302"/>
      <c r="R711" s="1302"/>
      <c r="S711" s="1302"/>
      <c r="T711" s="1302"/>
      <c r="U711" s="1302"/>
      <c r="V711" s="1302"/>
      <c r="W711" s="1302"/>
      <c r="X711" s="1302"/>
      <c r="Y711" s="1302"/>
      <c r="Z711" s="1302"/>
    </row>
    <row r="712" spans="1:26" ht="18.75" hidden="1">
      <c r="A712" s="1429"/>
      <c r="B712" s="1301"/>
      <c r="C712" s="1301"/>
      <c r="D712" s="1301"/>
      <c r="E712" s="1301"/>
      <c r="F712" s="1301" t="s">
        <v>303</v>
      </c>
      <c r="G712" s="1016"/>
      <c r="H712" s="762" t="s">
        <v>35</v>
      </c>
      <c r="I712" s="1440"/>
      <c r="J712" s="1012">
        <v>0</v>
      </c>
      <c r="K712" s="881"/>
      <c r="L712" s="1441"/>
      <c r="M712" s="1016"/>
      <c r="N712" s="1441"/>
      <c r="O712" s="881"/>
      <c r="P712" s="881"/>
      <c r="Q712" s="1302"/>
      <c r="R712" s="1302"/>
      <c r="S712" s="1302"/>
      <c r="T712" s="1302"/>
      <c r="U712" s="1302"/>
      <c r="V712" s="1302"/>
      <c r="W712" s="1302"/>
      <c r="X712" s="1302"/>
      <c r="Y712" s="1302"/>
      <c r="Z712" s="1302"/>
    </row>
    <row r="713" spans="1:26" ht="18.75" hidden="1">
      <c r="A713" s="1429"/>
      <c r="B713" s="1301"/>
      <c r="C713" s="1301"/>
      <c r="D713" s="1301"/>
      <c r="E713" s="1301"/>
      <c r="F713" s="1301"/>
      <c r="G713" s="1016"/>
      <c r="H713" s="762" t="s">
        <v>34</v>
      </c>
      <c r="I713" s="1440"/>
      <c r="J713" s="1012">
        <v>0</v>
      </c>
      <c r="K713" s="881"/>
      <c r="L713" s="1441"/>
      <c r="M713" s="1016"/>
      <c r="N713" s="1441"/>
      <c r="O713" s="881"/>
      <c r="P713" s="881"/>
      <c r="Q713" s="1302"/>
      <c r="R713" s="1302"/>
      <c r="S713" s="1302"/>
      <c r="T713" s="1302"/>
      <c r="U713" s="1302"/>
      <c r="V713" s="1302"/>
      <c r="W713" s="1302"/>
      <c r="X713" s="1302"/>
      <c r="Y713" s="1302"/>
      <c r="Z713" s="1302"/>
    </row>
    <row r="714" spans="1:26" ht="18.75" hidden="1">
      <c r="A714" s="1429"/>
      <c r="B714" s="1301"/>
      <c r="C714" s="1301"/>
      <c r="D714" s="1301"/>
      <c r="E714" s="1301"/>
      <c r="F714" s="1301"/>
      <c r="G714" s="1016"/>
      <c r="H714" s="762" t="s">
        <v>46</v>
      </c>
      <c r="I714" s="1440"/>
      <c r="J714" s="1012">
        <v>0</v>
      </c>
      <c r="K714" s="881"/>
      <c r="L714" s="1441"/>
      <c r="M714" s="1016"/>
      <c r="N714" s="1441"/>
      <c r="O714" s="881"/>
      <c r="P714" s="881"/>
      <c r="Q714" s="1302"/>
      <c r="R714" s="1302"/>
      <c r="S714" s="1302"/>
      <c r="T714" s="1302"/>
      <c r="U714" s="1302"/>
      <c r="V714" s="1302"/>
      <c r="W714" s="1302"/>
      <c r="X714" s="1302"/>
      <c r="Y714" s="1302"/>
      <c r="Z714" s="1302"/>
    </row>
    <row r="715" spans="1:26" ht="18.75" hidden="1">
      <c r="A715" s="1429"/>
      <c r="B715" s="1301"/>
      <c r="C715" s="1301"/>
      <c r="D715" s="1301"/>
      <c r="E715" s="1301"/>
      <c r="F715" s="1301" t="s">
        <v>304</v>
      </c>
      <c r="G715" s="1016"/>
      <c r="H715" s="762" t="s">
        <v>35</v>
      </c>
      <c r="I715" s="1440"/>
      <c r="J715" s="1012">
        <v>0</v>
      </c>
      <c r="K715" s="881"/>
      <c r="L715" s="1441"/>
      <c r="M715" s="1016"/>
      <c r="N715" s="1441"/>
      <c r="O715" s="881"/>
      <c r="P715" s="881"/>
      <c r="Q715" s="1302"/>
      <c r="R715" s="1302"/>
      <c r="S715" s="1302"/>
      <c r="T715" s="1302"/>
      <c r="U715" s="1302"/>
      <c r="V715" s="1302"/>
      <c r="W715" s="1302"/>
      <c r="X715" s="1302"/>
      <c r="Y715" s="1302"/>
      <c r="Z715" s="1302"/>
    </row>
    <row r="716" spans="1:26" ht="18.75" hidden="1">
      <c r="A716" s="1429"/>
      <c r="B716" s="1301"/>
      <c r="C716" s="1301"/>
      <c r="D716" s="1301"/>
      <c r="E716" s="1301"/>
      <c r="F716" s="1301"/>
      <c r="G716" s="1016"/>
      <c r="H716" s="762" t="s">
        <v>34</v>
      </c>
      <c r="I716" s="1440"/>
      <c r="J716" s="1012">
        <v>0</v>
      </c>
      <c r="K716" s="881"/>
      <c r="L716" s="1441"/>
      <c r="M716" s="1016"/>
      <c r="N716" s="1441"/>
      <c r="O716" s="881"/>
      <c r="P716" s="881"/>
      <c r="Q716" s="1302"/>
      <c r="R716" s="1302"/>
      <c r="S716" s="1302"/>
      <c r="T716" s="1302"/>
      <c r="U716" s="1302"/>
      <c r="V716" s="1302"/>
      <c r="W716" s="1302"/>
      <c r="X716" s="1302"/>
      <c r="Y716" s="1302"/>
      <c r="Z716" s="1302"/>
    </row>
    <row r="717" spans="1:26" ht="18.75" hidden="1">
      <c r="A717" s="1429"/>
      <c r="B717" s="1301"/>
      <c r="C717" s="1301"/>
      <c r="D717" s="1301"/>
      <c r="E717" s="1301"/>
      <c r="F717" s="1301"/>
      <c r="G717" s="1016"/>
      <c r="H717" s="762" t="s">
        <v>46</v>
      </c>
      <c r="I717" s="1440"/>
      <c r="J717" s="1012">
        <v>0</v>
      </c>
      <c r="K717" s="881"/>
      <c r="L717" s="1441"/>
      <c r="M717" s="1016"/>
      <c r="N717" s="1441"/>
      <c r="O717" s="881"/>
      <c r="P717" s="881"/>
      <c r="Q717" s="1302"/>
      <c r="R717" s="1302"/>
      <c r="S717" s="1302"/>
      <c r="T717" s="1302"/>
      <c r="U717" s="1302"/>
      <c r="V717" s="1302"/>
      <c r="W717" s="1302"/>
      <c r="X717" s="1302"/>
      <c r="Y717" s="1302"/>
      <c r="Z717" s="1302"/>
    </row>
    <row r="718" spans="1:26" ht="18.75" hidden="1">
      <c r="A718" s="1429"/>
      <c r="B718" s="1301"/>
      <c r="C718" s="1301"/>
      <c r="D718" s="1301" t="s">
        <v>305</v>
      </c>
      <c r="E718" s="1301"/>
      <c r="F718" s="1301"/>
      <c r="G718" s="1016"/>
      <c r="H718" s="762" t="s">
        <v>35</v>
      </c>
      <c r="I718" s="1440"/>
      <c r="J718" s="880">
        <f ca="1">IFERROR(__xludf.DUMMYFUNCTION("IMPORTRANGE(""https://docs.google.com/spreadsheets/d/1XWAQStnk-4SwqDmLtmXYiTMKHgktTP8We1SCoS47DrQ/edit?usp=sharing"",""จัดที่ดิน!BF87"")"),0)</f>
        <v>0</v>
      </c>
      <c r="K718" s="881"/>
      <c r="L718" s="881"/>
      <c r="M718" s="1016"/>
      <c r="N718" s="1441"/>
      <c r="O718" s="881"/>
      <c r="P718" s="881"/>
      <c r="Q718" s="1302"/>
      <c r="R718" s="1302"/>
      <c r="S718" s="1302"/>
      <c r="T718" s="1302"/>
      <c r="U718" s="1302"/>
      <c r="V718" s="1302"/>
      <c r="W718" s="1302"/>
      <c r="X718" s="1302"/>
      <c r="Y718" s="1302"/>
      <c r="Z718" s="1302"/>
    </row>
    <row r="719" spans="1:26" ht="18.75" hidden="1">
      <c r="A719" s="1429"/>
      <c r="B719" s="1301"/>
      <c r="C719" s="1301"/>
      <c r="D719" s="1301"/>
      <c r="E719" s="1301"/>
      <c r="F719" s="1301"/>
      <c r="G719" s="1016"/>
      <c r="H719" s="762" t="s">
        <v>34</v>
      </c>
      <c r="I719" s="1440"/>
      <c r="J719" s="880">
        <f ca="1">IFERROR(__xludf.DUMMYFUNCTION("IMPORTRANGE(""https://docs.google.com/spreadsheets/d/1XWAQStnk-4SwqDmLtmXYiTMKHgktTP8We1SCoS47DrQ/edit?usp=sharing"",""จัดที่ดิน!BG87"")"),0)</f>
        <v>0</v>
      </c>
      <c r="K719" s="881"/>
      <c r="L719" s="1441"/>
      <c r="M719" s="1016"/>
      <c r="N719" s="1441"/>
      <c r="O719" s="881"/>
      <c r="P719" s="881"/>
      <c r="Q719" s="1302"/>
      <c r="R719" s="1302"/>
      <c r="S719" s="1302"/>
      <c r="T719" s="1302"/>
      <c r="U719" s="1302"/>
      <c r="V719" s="1302"/>
      <c r="W719" s="1302"/>
      <c r="X719" s="1302"/>
      <c r="Y719" s="1302"/>
      <c r="Z719" s="1302"/>
    </row>
    <row r="720" spans="1:26" ht="18.75" hidden="1">
      <c r="A720" s="1429"/>
      <c r="B720" s="1301"/>
      <c r="C720" s="1301"/>
      <c r="D720" s="1301"/>
      <c r="E720" s="1301"/>
      <c r="F720" s="1301"/>
      <c r="G720" s="1016"/>
      <c r="H720" s="762" t="s">
        <v>46</v>
      </c>
      <c r="I720" s="1440">
        <f ca="1">IFERROR(__xludf.DUMMYFUNCTION("IMPORTRANGE(""https://docs.google.com/spreadsheets/d/1QqKyyYR6Q21VydFLVH3TRQUabQu_ym0Zz7PgGX0-kHA/edit?usp=sharing"",""แผน!II87"")"),0)</f>
        <v>0</v>
      </c>
      <c r="J720" s="880">
        <f ca="1">IFERROR(__xludf.DUMMYFUNCTION("IMPORTRANGE(""https://docs.google.com/spreadsheets/d/1XWAQStnk-4SwqDmLtmXYiTMKHgktTP8We1SCoS47DrQ/edit?usp=sharing"",""จัดที่ดิน!BH87"")"),0)</f>
        <v>0</v>
      </c>
      <c r="K720" s="881">
        <f t="shared" ref="K720:K723" ca="1" si="291">IF(I720&gt;0,J720*100/I720,0)</f>
        <v>0</v>
      </c>
      <c r="L720" s="1441"/>
      <c r="M720" s="1016"/>
      <c r="N720" s="1441"/>
      <c r="O720" s="881"/>
      <c r="P720" s="881"/>
      <c r="Q720" s="1302"/>
      <c r="R720" s="1302"/>
      <c r="S720" s="1302"/>
      <c r="T720" s="1302"/>
      <c r="U720" s="1302"/>
      <c r="V720" s="1302"/>
      <c r="W720" s="1302"/>
      <c r="X720" s="1302"/>
      <c r="Y720" s="1302"/>
      <c r="Z720" s="1302"/>
    </row>
    <row r="721" spans="1:26" ht="19.5" hidden="1">
      <c r="A721" s="1429"/>
      <c r="B721" s="1301"/>
      <c r="C721" s="1301"/>
      <c r="D721" s="1301" t="s">
        <v>306</v>
      </c>
      <c r="E721" s="1301"/>
      <c r="F721" s="1301"/>
      <c r="G721" s="1016"/>
      <c r="H721" s="765" t="s">
        <v>35</v>
      </c>
      <c r="I721" s="1442">
        <f ca="1">IFERROR(__xludf.DUMMYFUNCTION("IMPORTRANGE(""https://docs.google.com/spreadsheets/d/1QqKyyYR6Q21VydFLVH3TRQUabQu_ym0Zz7PgGX0-kHA/edit?usp=sharing"",""แผน!IJ87"")"),0)</f>
        <v>0</v>
      </c>
      <c r="J721" s="1019">
        <f ca="1">J723+J726</f>
        <v>0</v>
      </c>
      <c r="K721" s="1020">
        <f t="shared" ca="1" si="291"/>
        <v>0</v>
      </c>
      <c r="L721" s="1441"/>
      <c r="M721" s="1016"/>
      <c r="N721" s="1441"/>
      <c r="O721" s="881"/>
      <c r="P721" s="881"/>
      <c r="Q721" s="1302"/>
      <c r="R721" s="1302"/>
      <c r="S721" s="1302"/>
      <c r="T721" s="1302"/>
      <c r="U721" s="1302"/>
      <c r="V721" s="1302"/>
      <c r="W721" s="1302"/>
      <c r="X721" s="1302"/>
      <c r="Y721" s="1302"/>
      <c r="Z721" s="1302"/>
    </row>
    <row r="722" spans="1:26" ht="19.5" hidden="1">
      <c r="A722" s="1429"/>
      <c r="B722" s="1301"/>
      <c r="C722" s="1301"/>
      <c r="D722" s="1301"/>
      <c r="E722" s="1301"/>
      <c r="F722" s="1301"/>
      <c r="G722" s="1016"/>
      <c r="H722" s="765" t="s">
        <v>46</v>
      </c>
      <c r="I722" s="1442">
        <f ca="1">IFERROR(__xludf.DUMMYFUNCTION("IMPORTRANGE(""https://docs.google.com/spreadsheets/d/1QqKyyYR6Q21VydFLVH3TRQUabQu_ym0Zz7PgGX0-kHA/edit?usp=sharing"",""แผน!IK87"")"),0)</f>
        <v>0</v>
      </c>
      <c r="J722" s="1019">
        <f ca="1">J725+J728</f>
        <v>0</v>
      </c>
      <c r="K722" s="1020">
        <f t="shared" ca="1" si="291"/>
        <v>0</v>
      </c>
      <c r="L722" s="881"/>
      <c r="M722" s="1016"/>
      <c r="N722" s="1441"/>
      <c r="O722" s="881"/>
      <c r="P722" s="881"/>
      <c r="Q722" s="1302"/>
      <c r="R722" s="1302"/>
      <c r="S722" s="1302"/>
      <c r="T722" s="1302"/>
      <c r="U722" s="1302"/>
      <c r="V722" s="1302"/>
      <c r="W722" s="1302"/>
      <c r="X722" s="1302"/>
      <c r="Y722" s="1302"/>
      <c r="Z722" s="1302"/>
    </row>
    <row r="723" spans="1:26" ht="18.75" hidden="1">
      <c r="A723" s="1429"/>
      <c r="B723" s="1301"/>
      <c r="C723" s="1301"/>
      <c r="D723" s="1301"/>
      <c r="E723" s="1301" t="s">
        <v>307</v>
      </c>
      <c r="F723" s="1301"/>
      <c r="G723" s="1016"/>
      <c r="H723" s="762" t="s">
        <v>35</v>
      </c>
      <c r="I723" s="1440">
        <f ca="1">IFERROR(__xludf.DUMMYFUNCTION("IMPORTRANGE(""https://docs.google.com/spreadsheets/d/1QqKyyYR6Q21VydFLVH3TRQUabQu_ym0Zz7PgGX0-kHA/edit?usp=sharing"",""แผน!IL87"")"),0)</f>
        <v>0</v>
      </c>
      <c r="J723" s="880">
        <f ca="1">IFERROR(__xludf.DUMMYFUNCTION("IMPORTRANGE(""https://docs.google.com/spreadsheets/d/1XWAQStnk-4SwqDmLtmXYiTMKHgktTP8We1SCoS47DrQ/edit?usp=sharing"",""จัดที่ดิน!BM87"")"),0)</f>
        <v>0</v>
      </c>
      <c r="K723" s="881">
        <f t="shared" ca="1" si="291"/>
        <v>0</v>
      </c>
      <c r="L723" s="881"/>
      <c r="M723" s="1016"/>
      <c r="N723" s="1441"/>
      <c r="O723" s="881"/>
      <c r="P723" s="881"/>
      <c r="Q723" s="1302"/>
      <c r="R723" s="1302"/>
      <c r="S723" s="1302"/>
      <c r="T723" s="1302"/>
      <c r="U723" s="1302"/>
      <c r="V723" s="1302"/>
      <c r="W723" s="1302"/>
      <c r="X723" s="1302"/>
      <c r="Y723" s="1302"/>
      <c r="Z723" s="1302"/>
    </row>
    <row r="724" spans="1:26" ht="18.75" hidden="1">
      <c r="A724" s="1429"/>
      <c r="B724" s="1301"/>
      <c r="C724" s="1301"/>
      <c r="D724" s="1301"/>
      <c r="E724" s="1301"/>
      <c r="F724" s="1301"/>
      <c r="G724" s="1016"/>
      <c r="H724" s="762" t="s">
        <v>34</v>
      </c>
      <c r="I724" s="1440"/>
      <c r="J724" s="880">
        <f ca="1">IFERROR(__xludf.DUMMYFUNCTION("IMPORTRANGE(""https://docs.google.com/spreadsheets/d/1XWAQStnk-4SwqDmLtmXYiTMKHgktTP8We1SCoS47DrQ/edit?usp=sharing"",""จัดที่ดิน!BN87"")"),0)</f>
        <v>0</v>
      </c>
      <c r="K724" s="881"/>
      <c r="L724" s="1441"/>
      <c r="M724" s="1016"/>
      <c r="N724" s="1441"/>
      <c r="O724" s="881"/>
      <c r="P724" s="881"/>
      <c r="Q724" s="1302"/>
      <c r="R724" s="1302"/>
      <c r="S724" s="1302"/>
      <c r="T724" s="1302"/>
      <c r="U724" s="1302"/>
      <c r="V724" s="1302"/>
      <c r="W724" s="1302"/>
      <c r="X724" s="1302"/>
      <c r="Y724" s="1302"/>
      <c r="Z724" s="1302"/>
    </row>
    <row r="725" spans="1:26" ht="18.75" hidden="1">
      <c r="A725" s="1429"/>
      <c r="B725" s="1301"/>
      <c r="C725" s="1301"/>
      <c r="D725" s="1301"/>
      <c r="E725" s="1301"/>
      <c r="F725" s="1301"/>
      <c r="G725" s="1016"/>
      <c r="H725" s="762" t="s">
        <v>46</v>
      </c>
      <c r="I725" s="1440">
        <f ca="1">IFERROR(__xludf.DUMMYFUNCTION("IMPORTRANGE(""https://docs.google.com/spreadsheets/d/1QqKyyYR6Q21VydFLVH3TRQUabQu_ym0Zz7PgGX0-kHA/edit?usp=sharing"",""แผน!IM87"")"),0)</f>
        <v>0</v>
      </c>
      <c r="J725" s="880">
        <f ca="1">IFERROR(__xludf.DUMMYFUNCTION("IMPORTRANGE(""https://docs.google.com/spreadsheets/d/1XWAQStnk-4SwqDmLtmXYiTMKHgktTP8We1SCoS47DrQ/edit?usp=sharing"",""จัดที่ดิน!BO87"")"),0)</f>
        <v>0</v>
      </c>
      <c r="K725" s="881">
        <f t="shared" ref="K725:K726" ca="1" si="292">IF(I725&gt;0,J725*100/I725,0)</f>
        <v>0</v>
      </c>
      <c r="L725" s="1441"/>
      <c r="M725" s="1016"/>
      <c r="N725" s="1441"/>
      <c r="O725" s="881"/>
      <c r="P725" s="881"/>
      <c r="Q725" s="1302"/>
      <c r="R725" s="1302"/>
      <c r="S725" s="1302"/>
      <c r="T725" s="1302"/>
      <c r="U725" s="1302"/>
      <c r="V725" s="1302"/>
      <c r="W725" s="1302"/>
      <c r="X725" s="1302"/>
      <c r="Y725" s="1302"/>
      <c r="Z725" s="1302"/>
    </row>
    <row r="726" spans="1:26" ht="18.75" hidden="1">
      <c r="A726" s="1429"/>
      <c r="B726" s="1301"/>
      <c r="C726" s="1301"/>
      <c r="D726" s="1301"/>
      <c r="E726" s="1301" t="s">
        <v>308</v>
      </c>
      <c r="F726" s="1301"/>
      <c r="G726" s="1016"/>
      <c r="H726" s="762" t="s">
        <v>35</v>
      </c>
      <c r="I726" s="1440">
        <f ca="1">IFERROR(__xludf.DUMMYFUNCTION("IMPORTRANGE(""https://docs.google.com/spreadsheets/d/1QqKyyYR6Q21VydFLVH3TRQUabQu_ym0Zz7PgGX0-kHA/edit?usp=sharing"",""แผน!IN87"")"),0)</f>
        <v>0</v>
      </c>
      <c r="J726" s="880">
        <f ca="1">IFERROR(__xludf.DUMMYFUNCTION("IMPORTRANGE(""https://docs.google.com/spreadsheets/d/1XWAQStnk-4SwqDmLtmXYiTMKHgktTP8We1SCoS47DrQ/edit?usp=sharing"",""จัดที่ดิน!BR87"")"),0)</f>
        <v>0</v>
      </c>
      <c r="K726" s="881">
        <f t="shared" ca="1" si="292"/>
        <v>0</v>
      </c>
      <c r="L726" s="881"/>
      <c r="M726" s="1016"/>
      <c r="N726" s="1441"/>
      <c r="O726" s="881"/>
      <c r="P726" s="881"/>
      <c r="Q726" s="1302"/>
      <c r="R726" s="1302"/>
      <c r="S726" s="1302"/>
      <c r="T726" s="1302"/>
      <c r="U726" s="1302"/>
      <c r="V726" s="1302"/>
      <c r="W726" s="1302"/>
      <c r="X726" s="1302"/>
      <c r="Y726" s="1302"/>
      <c r="Z726" s="1302"/>
    </row>
    <row r="727" spans="1:26" ht="18.75" hidden="1">
      <c r="A727" s="1429"/>
      <c r="B727" s="1301"/>
      <c r="C727" s="1301"/>
      <c r="D727" s="1301"/>
      <c r="E727" s="1301"/>
      <c r="F727" s="1301"/>
      <c r="G727" s="1016"/>
      <c r="H727" s="762" t="s">
        <v>34</v>
      </c>
      <c r="I727" s="1440"/>
      <c r="J727" s="880">
        <f ca="1">IFERROR(__xludf.DUMMYFUNCTION("IMPORTRANGE(""https://docs.google.com/spreadsheets/d/1XWAQStnk-4SwqDmLtmXYiTMKHgktTP8We1SCoS47DrQ/edit?usp=sharing"",""จัดที่ดิน!BS87"")"),0)</f>
        <v>0</v>
      </c>
      <c r="K727" s="881"/>
      <c r="L727" s="1441"/>
      <c r="M727" s="1016"/>
      <c r="N727" s="1441"/>
      <c r="O727" s="881"/>
      <c r="P727" s="881"/>
      <c r="Q727" s="1302"/>
      <c r="R727" s="1302"/>
      <c r="S727" s="1302"/>
      <c r="T727" s="1302"/>
      <c r="U727" s="1302"/>
      <c r="V727" s="1302"/>
      <c r="W727" s="1302"/>
      <c r="X727" s="1302"/>
      <c r="Y727" s="1302"/>
      <c r="Z727" s="1302"/>
    </row>
    <row r="728" spans="1:26" ht="18.75" hidden="1">
      <c r="A728" s="1429"/>
      <c r="B728" s="1301"/>
      <c r="C728" s="1301"/>
      <c r="D728" s="1301"/>
      <c r="E728" s="1301"/>
      <c r="F728" s="1301"/>
      <c r="G728" s="1016"/>
      <c r="H728" s="762" t="s">
        <v>46</v>
      </c>
      <c r="I728" s="1440">
        <f ca="1">IFERROR(__xludf.DUMMYFUNCTION("IMPORTRANGE(""https://docs.google.com/spreadsheets/d/1QqKyyYR6Q21VydFLVH3TRQUabQu_ym0Zz7PgGX0-kHA/edit?usp=sharing"",""แผน!IO87"")"),0)</f>
        <v>0</v>
      </c>
      <c r="J728" s="880">
        <f ca="1">IFERROR(__xludf.DUMMYFUNCTION("IMPORTRANGE(""https://docs.google.com/spreadsheets/d/1XWAQStnk-4SwqDmLtmXYiTMKHgktTP8We1SCoS47DrQ/edit?usp=sharing"",""จัดที่ดิน!BT87"")"),0)</f>
        <v>0</v>
      </c>
      <c r="K728" s="881">
        <f t="shared" ref="K728:K729" ca="1" si="293">IF(I728&gt;0,J728*100/I728,0)</f>
        <v>0</v>
      </c>
      <c r="L728" s="1441"/>
      <c r="M728" s="1016"/>
      <c r="N728" s="1441"/>
      <c r="O728" s="881"/>
      <c r="P728" s="881"/>
      <c r="Q728" s="1302"/>
      <c r="R728" s="1302"/>
      <c r="S728" s="1302"/>
      <c r="T728" s="1302"/>
      <c r="U728" s="1302"/>
      <c r="V728" s="1302"/>
      <c r="W728" s="1302"/>
      <c r="X728" s="1302"/>
      <c r="Y728" s="1302"/>
      <c r="Z728" s="1302"/>
    </row>
    <row r="729" spans="1:26" ht="19.5" hidden="1">
      <c r="A729" s="1429"/>
      <c r="B729" s="1301"/>
      <c r="C729" s="1301"/>
      <c r="D729" s="1301" t="s">
        <v>309</v>
      </c>
      <c r="E729" s="1301"/>
      <c r="F729" s="1301"/>
      <c r="G729" s="1016"/>
      <c r="H729" s="765" t="s">
        <v>46</v>
      </c>
      <c r="I729" s="1442">
        <f ca="1">IFERROR(__xludf.DUMMYFUNCTION("IMPORTRANGE(""https://docs.google.com/spreadsheets/d/1QqKyyYR6Q21VydFLVH3TRQUabQu_ym0Zz7PgGX0-kHA/edit?usp=sharing"",""แผน!IP87"")"),0)</f>
        <v>0</v>
      </c>
      <c r="J729" s="1019">
        <f>J732+J735</f>
        <v>0</v>
      </c>
      <c r="K729" s="1020">
        <f t="shared" ca="1" si="293"/>
        <v>0</v>
      </c>
      <c r="L729" s="881"/>
      <c r="M729" s="1016"/>
      <c r="N729" s="1441"/>
      <c r="O729" s="881"/>
      <c r="P729" s="881"/>
      <c r="Q729" s="1302"/>
      <c r="R729" s="1302"/>
      <c r="S729" s="1302"/>
      <c r="T729" s="1302"/>
      <c r="U729" s="1302"/>
      <c r="V729" s="1302"/>
      <c r="W729" s="1302"/>
      <c r="X729" s="1302"/>
      <c r="Y729" s="1302"/>
      <c r="Z729" s="1302"/>
    </row>
    <row r="730" spans="1:26" ht="18.75" hidden="1">
      <c r="A730" s="1429"/>
      <c r="B730" s="1301"/>
      <c r="C730" s="1301"/>
      <c r="D730" s="1301"/>
      <c r="E730" s="1301" t="s">
        <v>310</v>
      </c>
      <c r="F730" s="1301"/>
      <c r="G730" s="1016"/>
      <c r="H730" s="762" t="s">
        <v>35</v>
      </c>
      <c r="I730" s="1440"/>
      <c r="J730" s="1012">
        <v>0</v>
      </c>
      <c r="K730" s="881"/>
      <c r="L730" s="1441"/>
      <c r="M730" s="881"/>
      <c r="N730" s="1441"/>
      <c r="O730" s="881"/>
      <c r="P730" s="881"/>
      <c r="Q730" s="1302"/>
      <c r="R730" s="1302"/>
      <c r="S730" s="1302"/>
      <c r="T730" s="1302"/>
      <c r="U730" s="1302"/>
      <c r="V730" s="1302"/>
      <c r="W730" s="1302"/>
      <c r="X730" s="1302"/>
      <c r="Y730" s="1302"/>
      <c r="Z730" s="1302"/>
    </row>
    <row r="731" spans="1:26" ht="18.75" hidden="1">
      <c r="A731" s="1429"/>
      <c r="B731" s="1301"/>
      <c r="C731" s="1301"/>
      <c r="D731" s="1301"/>
      <c r="E731" s="1301"/>
      <c r="F731" s="1301"/>
      <c r="G731" s="1016"/>
      <c r="H731" s="762" t="s">
        <v>34</v>
      </c>
      <c r="I731" s="1440"/>
      <c r="J731" s="1012">
        <v>0</v>
      </c>
      <c r="K731" s="881"/>
      <c r="L731" s="1441"/>
      <c r="M731" s="881"/>
      <c r="N731" s="1441"/>
      <c r="O731" s="881"/>
      <c r="P731" s="881"/>
      <c r="Q731" s="1302"/>
      <c r="R731" s="1302"/>
      <c r="S731" s="1302"/>
      <c r="T731" s="1302"/>
      <c r="U731" s="1302"/>
      <c r="V731" s="1302"/>
      <c r="W731" s="1302"/>
      <c r="X731" s="1302"/>
      <c r="Y731" s="1302"/>
      <c r="Z731" s="1302"/>
    </row>
    <row r="732" spans="1:26" ht="18.75" hidden="1">
      <c r="A732" s="1429"/>
      <c r="B732" s="1301"/>
      <c r="C732" s="1301"/>
      <c r="D732" s="1301"/>
      <c r="E732" s="1301"/>
      <c r="F732" s="1301"/>
      <c r="G732" s="1016"/>
      <c r="H732" s="762" t="s">
        <v>46</v>
      </c>
      <c r="I732" s="1440"/>
      <c r="J732" s="1012">
        <v>0</v>
      </c>
      <c r="K732" s="881"/>
      <c r="L732" s="1441"/>
      <c r="M732" s="881"/>
      <c r="N732" s="1441"/>
      <c r="O732" s="881"/>
      <c r="P732" s="881"/>
      <c r="Q732" s="1302"/>
      <c r="R732" s="1302"/>
      <c r="S732" s="1302"/>
      <c r="T732" s="1302"/>
      <c r="U732" s="1302"/>
      <c r="V732" s="1302"/>
      <c r="W732" s="1302"/>
      <c r="X732" s="1302"/>
      <c r="Y732" s="1302"/>
      <c r="Z732" s="1302"/>
    </row>
    <row r="733" spans="1:26" ht="18.75" hidden="1">
      <c r="A733" s="1429"/>
      <c r="B733" s="1301"/>
      <c r="C733" s="1301"/>
      <c r="D733" s="1301"/>
      <c r="E733" s="1301" t="s">
        <v>311</v>
      </c>
      <c r="F733" s="1301"/>
      <c r="G733" s="1016"/>
      <c r="H733" s="762" t="s">
        <v>35</v>
      </c>
      <c r="I733" s="1440"/>
      <c r="J733" s="1012">
        <v>0</v>
      </c>
      <c r="K733" s="881"/>
      <c r="L733" s="1441"/>
      <c r="M733" s="881"/>
      <c r="N733" s="1441"/>
      <c r="O733" s="881"/>
      <c r="P733" s="881"/>
      <c r="Q733" s="1302"/>
      <c r="R733" s="1302"/>
      <c r="S733" s="1302"/>
      <c r="T733" s="1302"/>
      <c r="U733" s="1302"/>
      <c r="V733" s="1302"/>
      <c r="W733" s="1302"/>
      <c r="X733" s="1302"/>
      <c r="Y733" s="1302"/>
      <c r="Z733" s="1302"/>
    </row>
    <row r="734" spans="1:26" ht="18.75" hidden="1">
      <c r="A734" s="1429"/>
      <c r="B734" s="1301"/>
      <c r="C734" s="1301"/>
      <c r="D734" s="1301"/>
      <c r="E734" s="1301"/>
      <c r="F734" s="1301"/>
      <c r="G734" s="1016"/>
      <c r="H734" s="762" t="s">
        <v>34</v>
      </c>
      <c r="I734" s="1440"/>
      <c r="J734" s="1012">
        <v>0</v>
      </c>
      <c r="K734" s="881"/>
      <c r="L734" s="1441"/>
      <c r="M734" s="881"/>
      <c r="N734" s="1441"/>
      <c r="O734" s="881"/>
      <c r="P734" s="881"/>
      <c r="Q734" s="1302"/>
      <c r="R734" s="1302"/>
      <c r="S734" s="1302"/>
      <c r="T734" s="1302"/>
      <c r="U734" s="1302"/>
      <c r="V734" s="1302"/>
      <c r="W734" s="1302"/>
      <c r="X734" s="1302"/>
      <c r="Y734" s="1302"/>
      <c r="Z734" s="1302"/>
    </row>
    <row r="735" spans="1:26" ht="19.5" hidden="1">
      <c r="A735" s="1443"/>
      <c r="B735" s="1444" t="s">
        <v>312</v>
      </c>
      <c r="C735" s="1169"/>
      <c r="D735" s="1169"/>
      <c r="E735" s="1169"/>
      <c r="F735" s="1169"/>
      <c r="G735" s="1422"/>
      <c r="H735" s="423" t="s">
        <v>46</v>
      </c>
      <c r="I735" s="1445"/>
      <c r="J735" s="1171">
        <v>0</v>
      </c>
      <c r="K735" s="1239"/>
      <c r="L735" s="1446"/>
      <c r="M735" s="1239"/>
      <c r="N735" s="1446"/>
      <c r="O735" s="1239"/>
      <c r="P735" s="1239"/>
      <c r="Q735" s="1302"/>
      <c r="R735" s="1302"/>
      <c r="S735" s="1302"/>
      <c r="T735" s="1302"/>
      <c r="U735" s="1302"/>
      <c r="V735" s="1302"/>
      <c r="W735" s="1302"/>
      <c r="X735" s="1302"/>
      <c r="Y735" s="1302"/>
      <c r="Z735" s="1302"/>
    </row>
    <row r="736" spans="1:26" ht="19.5" hidden="1">
      <c r="A736" s="772">
        <v>9</v>
      </c>
      <c r="B736" s="1447" t="s">
        <v>313</v>
      </c>
      <c r="C736" s="1448"/>
      <c r="D736" s="1448"/>
      <c r="E736" s="1448"/>
      <c r="F736" s="1448"/>
      <c r="G736" s="1449"/>
      <c r="H736" s="776" t="s">
        <v>46</v>
      </c>
      <c r="I736" s="1450"/>
      <c r="J736" s="1450">
        <f>J751</f>
        <v>0</v>
      </c>
      <c r="K736" s="1451">
        <f>IF(I736&gt;0,J736*100/I736,0)</f>
        <v>0</v>
      </c>
      <c r="L736" s="1452"/>
      <c r="M736" s="1452"/>
      <c r="N736" s="1452"/>
      <c r="O736" s="1452"/>
      <c r="P736" s="1452"/>
      <c r="Q736" s="1323"/>
      <c r="R736" s="1323"/>
      <c r="S736" s="1323"/>
      <c r="T736" s="1323"/>
      <c r="U736" s="1323"/>
      <c r="V736" s="1323"/>
      <c r="W736" s="1323"/>
      <c r="X736" s="1323"/>
      <c r="Y736" s="1323"/>
      <c r="Z736" s="1323"/>
    </row>
    <row r="737" spans="1:26" ht="19.5" hidden="1">
      <c r="A737" s="1319"/>
      <c r="B737" s="1320"/>
      <c r="C737" s="1320" t="s">
        <v>16</v>
      </c>
      <c r="D737" s="1351" t="s">
        <v>17</v>
      </c>
      <c r="E737" s="841"/>
      <c r="F737" s="841"/>
      <c r="G737" s="1322"/>
      <c r="H737" s="644" t="s">
        <v>12</v>
      </c>
      <c r="I737" s="886"/>
      <c r="J737" s="886"/>
      <c r="K737" s="887"/>
      <c r="L737" s="1352">
        <f t="shared" ref="L737:N737" si="294">L738+L739</f>
        <v>0</v>
      </c>
      <c r="M737" s="1352">
        <f t="shared" si="294"/>
        <v>0</v>
      </c>
      <c r="N737" s="1352">
        <f t="shared" si="294"/>
        <v>0</v>
      </c>
      <c r="O737" s="1352">
        <f t="shared" ref="O737:O742" si="295">IF(L737&gt;0,N737*100/L737,0)</f>
        <v>0</v>
      </c>
      <c r="P737" s="1352">
        <f t="shared" ref="P737:P742" si="296">IF(M737&gt;0,N737*100/M737,0)</f>
        <v>0</v>
      </c>
      <c r="Q737" s="1323"/>
      <c r="R737" s="1323"/>
      <c r="S737" s="1323"/>
      <c r="T737" s="1323"/>
      <c r="U737" s="1323"/>
      <c r="V737" s="1323"/>
      <c r="W737" s="1323"/>
      <c r="X737" s="1323"/>
      <c r="Y737" s="1323"/>
      <c r="Z737" s="1323"/>
    </row>
    <row r="738" spans="1:26" ht="18.75" hidden="1">
      <c r="A738" s="1319"/>
      <c r="B738" s="1320"/>
      <c r="C738" s="1320"/>
      <c r="D738" s="1321"/>
      <c r="E738" s="1320" t="s">
        <v>185</v>
      </c>
      <c r="F738" s="1320"/>
      <c r="G738" s="1322"/>
      <c r="H738" s="165" t="s">
        <v>12</v>
      </c>
      <c r="I738" s="886"/>
      <c r="J738" s="886"/>
      <c r="K738" s="887"/>
      <c r="L738" s="887">
        <f t="shared" ref="L738:N739" si="297">L741+L748</f>
        <v>0</v>
      </c>
      <c r="M738" s="887">
        <f t="shared" si="297"/>
        <v>0</v>
      </c>
      <c r="N738" s="887">
        <f t="shared" si="297"/>
        <v>0</v>
      </c>
      <c r="O738" s="887">
        <f t="shared" si="295"/>
        <v>0</v>
      </c>
      <c r="P738" s="887">
        <f t="shared" si="296"/>
        <v>0</v>
      </c>
      <c r="Q738" s="1323"/>
      <c r="R738" s="1323"/>
      <c r="S738" s="1323"/>
      <c r="T738" s="1323"/>
      <c r="U738" s="1323"/>
      <c r="V738" s="1323"/>
      <c r="W738" s="1323"/>
      <c r="X738" s="1323"/>
      <c r="Y738" s="1323"/>
      <c r="Z738" s="1323"/>
    </row>
    <row r="739" spans="1:26" ht="18.75" hidden="1">
      <c r="A739" s="1319"/>
      <c r="B739" s="1324"/>
      <c r="C739" s="1320"/>
      <c r="D739" s="1321"/>
      <c r="E739" s="1320" t="s">
        <v>186</v>
      </c>
      <c r="F739" s="1320"/>
      <c r="G739" s="1322"/>
      <c r="H739" s="165" t="s">
        <v>12</v>
      </c>
      <c r="I739" s="886"/>
      <c r="J739" s="886"/>
      <c r="K739" s="887"/>
      <c r="L739" s="887">
        <f t="shared" si="297"/>
        <v>0</v>
      </c>
      <c r="M739" s="887">
        <f t="shared" si="297"/>
        <v>0</v>
      </c>
      <c r="N739" s="887">
        <f t="shared" si="297"/>
        <v>0</v>
      </c>
      <c r="O739" s="887">
        <f t="shared" si="295"/>
        <v>0</v>
      </c>
      <c r="P739" s="887">
        <f t="shared" si="296"/>
        <v>0</v>
      </c>
      <c r="Q739" s="1323"/>
      <c r="R739" s="1323"/>
      <c r="S739" s="1323"/>
      <c r="T739" s="1323"/>
      <c r="U739" s="1323"/>
      <c r="V739" s="1323"/>
      <c r="W739" s="1323"/>
      <c r="X739" s="1323"/>
      <c r="Y739" s="1323"/>
      <c r="Z739" s="1323"/>
    </row>
    <row r="740" spans="1:26" ht="19.5" hidden="1">
      <c r="A740" s="1319"/>
      <c r="B740" s="1324"/>
      <c r="C740" s="1320"/>
      <c r="D740" s="1453" t="s">
        <v>20</v>
      </c>
      <c r="E740" s="1320"/>
      <c r="F740" s="1320"/>
      <c r="G740" s="1322"/>
      <c r="H740" s="644" t="s">
        <v>12</v>
      </c>
      <c r="I740" s="1000"/>
      <c r="J740" s="1000"/>
      <c r="K740" s="1001"/>
      <c r="L740" s="1352">
        <f t="shared" ref="L740:N740" si="298">L741+L742</f>
        <v>0</v>
      </c>
      <c r="M740" s="1352">
        <f t="shared" si="298"/>
        <v>0</v>
      </c>
      <c r="N740" s="1352">
        <f t="shared" si="298"/>
        <v>0</v>
      </c>
      <c r="O740" s="1352">
        <f t="shared" si="295"/>
        <v>0</v>
      </c>
      <c r="P740" s="1352">
        <f t="shared" si="296"/>
        <v>0</v>
      </c>
      <c r="Q740" s="1323"/>
      <c r="R740" s="1323"/>
      <c r="S740" s="1323"/>
      <c r="T740" s="1323"/>
      <c r="U740" s="1323"/>
      <c r="V740" s="1323"/>
      <c r="W740" s="1323"/>
      <c r="X740" s="1323"/>
      <c r="Y740" s="1323"/>
      <c r="Z740" s="1323"/>
    </row>
    <row r="741" spans="1:26" ht="18.75" hidden="1">
      <c r="A741" s="1319"/>
      <c r="B741" s="1324"/>
      <c r="C741" s="1320"/>
      <c r="D741" s="1321"/>
      <c r="E741" s="1320" t="s">
        <v>185</v>
      </c>
      <c r="F741" s="1320"/>
      <c r="G741" s="1322"/>
      <c r="H741" s="165" t="s">
        <v>12</v>
      </c>
      <c r="I741" s="886"/>
      <c r="J741" s="886"/>
      <c r="K741" s="887"/>
      <c r="L741" s="887">
        <v>0</v>
      </c>
      <c r="M741" s="887">
        <v>0</v>
      </c>
      <c r="N741" s="887">
        <v>0</v>
      </c>
      <c r="O741" s="887">
        <f t="shared" si="295"/>
        <v>0</v>
      </c>
      <c r="P741" s="887">
        <f t="shared" si="296"/>
        <v>0</v>
      </c>
      <c r="Q741" s="1323"/>
      <c r="R741" s="1323"/>
      <c r="S741" s="1323"/>
      <c r="T741" s="1323"/>
      <c r="U741" s="1323"/>
      <c r="V741" s="1323"/>
      <c r="W741" s="1323"/>
      <c r="X741" s="1323"/>
      <c r="Y741" s="1323"/>
      <c r="Z741" s="1323"/>
    </row>
    <row r="742" spans="1:26" ht="18.75" hidden="1">
      <c r="A742" s="1319"/>
      <c r="B742" s="1324"/>
      <c r="C742" s="1320"/>
      <c r="D742" s="1321"/>
      <c r="E742" s="1320" t="s">
        <v>186</v>
      </c>
      <c r="F742" s="1320"/>
      <c r="G742" s="1322"/>
      <c r="H742" s="165" t="s">
        <v>12</v>
      </c>
      <c r="I742" s="886"/>
      <c r="J742" s="886"/>
      <c r="K742" s="887"/>
      <c r="L742" s="887">
        <v>0</v>
      </c>
      <c r="M742" s="887">
        <v>0</v>
      </c>
      <c r="N742" s="887">
        <f>N743+N744+N745+N746</f>
        <v>0</v>
      </c>
      <c r="O742" s="887">
        <f t="shared" si="295"/>
        <v>0</v>
      </c>
      <c r="P742" s="887">
        <f t="shared" si="296"/>
        <v>0</v>
      </c>
      <c r="Q742" s="1323"/>
      <c r="R742" s="1323"/>
      <c r="S742" s="1323"/>
      <c r="T742" s="1323"/>
      <c r="U742" s="1323"/>
      <c r="V742" s="1323"/>
      <c r="W742" s="1323"/>
      <c r="X742" s="1323"/>
      <c r="Y742" s="1323"/>
      <c r="Z742" s="1323"/>
    </row>
    <row r="743" spans="1:26" ht="18.75" hidden="1">
      <c r="A743" s="1354"/>
      <c r="B743" s="1324"/>
      <c r="C743" s="1320"/>
      <c r="D743" s="1320"/>
      <c r="E743" s="1320"/>
      <c r="F743" s="1320" t="s">
        <v>187</v>
      </c>
      <c r="G743" s="1322"/>
      <c r="H743" s="165" t="s">
        <v>12</v>
      </c>
      <c r="I743" s="886"/>
      <c r="J743" s="886"/>
      <c r="K743" s="887"/>
      <c r="L743" s="887"/>
      <c r="M743" s="887"/>
      <c r="N743" s="887"/>
      <c r="O743" s="887"/>
      <c r="P743" s="887"/>
      <c r="Q743" s="1323"/>
      <c r="R743" s="1323"/>
      <c r="S743" s="1323"/>
      <c r="T743" s="1323"/>
      <c r="U743" s="1323"/>
      <c r="V743" s="1323"/>
      <c r="W743" s="1323"/>
      <c r="X743" s="1323"/>
      <c r="Y743" s="1323"/>
      <c r="Z743" s="1323"/>
    </row>
    <row r="744" spans="1:26" ht="18.75" hidden="1">
      <c r="A744" s="1354"/>
      <c r="B744" s="1324"/>
      <c r="C744" s="1320"/>
      <c r="D744" s="1320"/>
      <c r="E744" s="1320"/>
      <c r="F744" s="1320" t="s">
        <v>188</v>
      </c>
      <c r="G744" s="1322"/>
      <c r="H744" s="165" t="s">
        <v>12</v>
      </c>
      <c r="I744" s="886"/>
      <c r="J744" s="886"/>
      <c r="K744" s="887"/>
      <c r="L744" s="887"/>
      <c r="M744" s="887"/>
      <c r="N744" s="887"/>
      <c r="O744" s="887"/>
      <c r="P744" s="887"/>
      <c r="Q744" s="1323"/>
      <c r="R744" s="1323"/>
      <c r="S744" s="1323"/>
      <c r="T744" s="1323"/>
      <c r="U744" s="1323"/>
      <c r="V744" s="1323"/>
      <c r="W744" s="1323"/>
      <c r="X744" s="1323"/>
      <c r="Y744" s="1323"/>
      <c r="Z744" s="1323"/>
    </row>
    <row r="745" spans="1:26" ht="18.75" hidden="1">
      <c r="A745" s="1354"/>
      <c r="B745" s="1324"/>
      <c r="C745" s="1320"/>
      <c r="D745" s="1320"/>
      <c r="E745" s="1320"/>
      <c r="F745" s="1320" t="s">
        <v>189</v>
      </c>
      <c r="G745" s="1322"/>
      <c r="H745" s="165" t="s">
        <v>12</v>
      </c>
      <c r="I745" s="886"/>
      <c r="J745" s="886"/>
      <c r="K745" s="887"/>
      <c r="L745" s="887"/>
      <c r="M745" s="887"/>
      <c r="N745" s="887"/>
      <c r="O745" s="887"/>
      <c r="P745" s="887"/>
      <c r="Q745" s="1323"/>
      <c r="R745" s="1323"/>
      <c r="S745" s="1323"/>
      <c r="T745" s="1323"/>
      <c r="U745" s="1323"/>
      <c r="V745" s="1323"/>
      <c r="W745" s="1323"/>
      <c r="X745" s="1323"/>
      <c r="Y745" s="1323"/>
      <c r="Z745" s="1323"/>
    </row>
    <row r="746" spans="1:26" ht="18.75" hidden="1">
      <c r="A746" s="1354"/>
      <c r="B746" s="1324"/>
      <c r="C746" s="1320"/>
      <c r="D746" s="1320"/>
      <c r="E746" s="1320"/>
      <c r="F746" s="1320" t="s">
        <v>190</v>
      </c>
      <c r="G746" s="1322"/>
      <c r="H746" s="165" t="s">
        <v>12</v>
      </c>
      <c r="I746" s="886"/>
      <c r="J746" s="886"/>
      <c r="K746" s="887"/>
      <c r="L746" s="887"/>
      <c r="M746" s="887"/>
      <c r="N746" s="887"/>
      <c r="O746" s="887"/>
      <c r="P746" s="887"/>
      <c r="Q746" s="1323"/>
      <c r="R746" s="1323"/>
      <c r="S746" s="1323"/>
      <c r="T746" s="1323"/>
      <c r="U746" s="1323"/>
      <c r="V746" s="1323"/>
      <c r="W746" s="1323"/>
      <c r="X746" s="1323"/>
      <c r="Y746" s="1323"/>
      <c r="Z746" s="1323"/>
    </row>
    <row r="747" spans="1:26" ht="19.5" hidden="1">
      <c r="A747" s="1319"/>
      <c r="B747" s="1324"/>
      <c r="C747" s="1320"/>
      <c r="D747" s="1453" t="s">
        <v>21</v>
      </c>
      <c r="E747" s="1320"/>
      <c r="F747" s="1320"/>
      <c r="G747" s="1322"/>
      <c r="H747" s="781" t="s">
        <v>12</v>
      </c>
      <c r="I747" s="1000"/>
      <c r="J747" s="1000"/>
      <c r="K747" s="1001"/>
      <c r="L747" s="1352">
        <f t="shared" ref="L747:N747" si="299">L748+L749</f>
        <v>0</v>
      </c>
      <c r="M747" s="1352">
        <f t="shared" si="299"/>
        <v>0</v>
      </c>
      <c r="N747" s="1352">
        <f t="shared" si="299"/>
        <v>0</v>
      </c>
      <c r="O747" s="1352">
        <f t="shared" ref="O747:O749" si="300">IF(L747&gt;0,N747*100/L747,0)</f>
        <v>0</v>
      </c>
      <c r="P747" s="1352">
        <f t="shared" ref="P747:P749" si="301">IF(M747&gt;0,N747*100/M747,0)</f>
        <v>0</v>
      </c>
      <c r="Q747" s="1323"/>
      <c r="R747" s="1323"/>
      <c r="S747" s="1323"/>
      <c r="T747" s="1323"/>
      <c r="U747" s="1323"/>
      <c r="V747" s="1323"/>
      <c r="W747" s="1323"/>
      <c r="X747" s="1323"/>
      <c r="Y747" s="1323"/>
      <c r="Z747" s="1323"/>
    </row>
    <row r="748" spans="1:26" ht="18.75" hidden="1">
      <c r="A748" s="1319"/>
      <c r="B748" s="1324"/>
      <c r="C748" s="1320"/>
      <c r="D748" s="1320"/>
      <c r="E748" s="1320" t="s">
        <v>18</v>
      </c>
      <c r="F748" s="1320"/>
      <c r="G748" s="1322"/>
      <c r="H748" s="165" t="s">
        <v>12</v>
      </c>
      <c r="I748" s="1000"/>
      <c r="J748" s="1000"/>
      <c r="K748" s="1001"/>
      <c r="L748" s="887">
        <v>0</v>
      </c>
      <c r="M748" s="887">
        <v>0</v>
      </c>
      <c r="N748" s="887">
        <v>0</v>
      </c>
      <c r="O748" s="887">
        <f t="shared" si="300"/>
        <v>0</v>
      </c>
      <c r="P748" s="887">
        <f t="shared" si="301"/>
        <v>0</v>
      </c>
      <c r="Q748" s="1323"/>
      <c r="R748" s="1323"/>
      <c r="S748" s="1323"/>
      <c r="T748" s="1323"/>
      <c r="U748" s="1323"/>
      <c r="V748" s="1323"/>
      <c r="W748" s="1323"/>
      <c r="X748" s="1323"/>
      <c r="Y748" s="1323"/>
      <c r="Z748" s="1323"/>
    </row>
    <row r="749" spans="1:26" ht="18.75" hidden="1">
      <c r="A749" s="1319"/>
      <c r="B749" s="1324"/>
      <c r="C749" s="1320"/>
      <c r="D749" s="1320"/>
      <c r="E749" s="1320" t="s">
        <v>19</v>
      </c>
      <c r="F749" s="1320"/>
      <c r="G749" s="1322"/>
      <c r="H749" s="169" t="s">
        <v>12</v>
      </c>
      <c r="I749" s="1000"/>
      <c r="J749" s="1000"/>
      <c r="K749" s="1001"/>
      <c r="L749" s="887">
        <v>0</v>
      </c>
      <c r="M749" s="887">
        <v>0</v>
      </c>
      <c r="N749" s="887">
        <v>0</v>
      </c>
      <c r="O749" s="887">
        <f t="shared" si="300"/>
        <v>0</v>
      </c>
      <c r="P749" s="887">
        <f t="shared" si="301"/>
        <v>0</v>
      </c>
      <c r="Q749" s="1323"/>
      <c r="R749" s="1323"/>
      <c r="S749" s="1323"/>
      <c r="T749" s="1323"/>
      <c r="U749" s="1323"/>
      <c r="V749" s="1323"/>
      <c r="W749" s="1323"/>
      <c r="X749" s="1323"/>
      <c r="Y749" s="1323"/>
      <c r="Z749" s="1323"/>
    </row>
    <row r="750" spans="1:26" ht="19.5" hidden="1">
      <c r="A750" s="1332"/>
      <c r="B750" s="1333"/>
      <c r="C750" s="1320" t="s">
        <v>16</v>
      </c>
      <c r="D750" s="1454" t="s">
        <v>38</v>
      </c>
      <c r="E750" s="1356"/>
      <c r="F750" s="1356"/>
      <c r="G750" s="1357"/>
      <c r="H750" s="1113"/>
      <c r="I750" s="1000"/>
      <c r="J750" s="1000"/>
      <c r="K750" s="1001"/>
      <c r="L750" s="1001"/>
      <c r="M750" s="1001"/>
      <c r="N750" s="1001"/>
      <c r="O750" s="1001"/>
      <c r="P750" s="1001"/>
      <c r="Q750" s="1323"/>
      <c r="R750" s="1323"/>
      <c r="S750" s="1323"/>
      <c r="T750" s="1323"/>
      <c r="U750" s="1323"/>
      <c r="V750" s="1323"/>
      <c r="W750" s="1323"/>
      <c r="X750" s="1323"/>
      <c r="Y750" s="1323"/>
      <c r="Z750" s="1323"/>
    </row>
    <row r="751" spans="1:26" ht="18.75" hidden="1">
      <c r="A751" s="1354"/>
      <c r="B751" s="1324"/>
      <c r="C751" s="1320"/>
      <c r="D751" s="1320"/>
      <c r="E751" s="1320" t="s">
        <v>314</v>
      </c>
      <c r="F751" s="1320"/>
      <c r="G751" s="1322"/>
      <c r="H751" s="165" t="s">
        <v>46</v>
      </c>
      <c r="I751" s="886"/>
      <c r="J751" s="886"/>
      <c r="K751" s="887"/>
      <c r="L751" s="887"/>
      <c r="M751" s="887"/>
      <c r="N751" s="887"/>
      <c r="O751" s="887"/>
      <c r="P751" s="887"/>
      <c r="Q751" s="1323"/>
      <c r="R751" s="1323"/>
      <c r="S751" s="1323"/>
      <c r="T751" s="1323"/>
      <c r="U751" s="1323"/>
      <c r="V751" s="1323"/>
      <c r="W751" s="1323"/>
      <c r="X751" s="1323"/>
      <c r="Y751" s="1323"/>
      <c r="Z751" s="1323"/>
    </row>
    <row r="752" spans="1:26" ht="18.75" hidden="1">
      <c r="A752" s="1354"/>
      <c r="B752" s="1324"/>
      <c r="C752" s="1320"/>
      <c r="D752" s="1320"/>
      <c r="E752" s="1320"/>
      <c r="F752" s="1320"/>
      <c r="G752" s="1322"/>
      <c r="H752" s="165" t="s">
        <v>315</v>
      </c>
      <c r="I752" s="886"/>
      <c r="J752" s="886"/>
      <c r="K752" s="887"/>
      <c r="L752" s="887"/>
      <c r="M752" s="887"/>
      <c r="N752" s="887"/>
      <c r="O752" s="887"/>
      <c r="P752" s="887"/>
      <c r="Q752" s="1323"/>
      <c r="R752" s="1323"/>
      <c r="S752" s="1323"/>
      <c r="T752" s="1323"/>
      <c r="U752" s="1323"/>
      <c r="V752" s="1323"/>
      <c r="W752" s="1323"/>
      <c r="X752" s="1323"/>
      <c r="Y752" s="1323"/>
      <c r="Z752" s="1323"/>
    </row>
    <row r="753" spans="1:26" ht="19.5" hidden="1">
      <c r="A753" s="783">
        <v>10</v>
      </c>
      <c r="B753" s="1455" t="s">
        <v>316</v>
      </c>
      <c r="C753" s="1456"/>
      <c r="D753" s="1456"/>
      <c r="E753" s="1456"/>
      <c r="F753" s="1456"/>
      <c r="G753" s="1457"/>
      <c r="H753" s="787" t="s">
        <v>46</v>
      </c>
      <c r="I753" s="1458"/>
      <c r="J753" s="1458">
        <f>J768</f>
        <v>0</v>
      </c>
      <c r="K753" s="1459">
        <f>IF(I753&gt;0,J753*100/I753,0)</f>
        <v>0</v>
      </c>
      <c r="L753" s="1460"/>
      <c r="M753" s="1460"/>
      <c r="N753" s="1460"/>
      <c r="O753" s="1460"/>
      <c r="P753" s="1460"/>
      <c r="Q753" s="1323"/>
      <c r="R753" s="1323"/>
      <c r="S753" s="1323"/>
      <c r="T753" s="1323"/>
      <c r="U753" s="1323"/>
      <c r="V753" s="1323"/>
      <c r="W753" s="1323"/>
      <c r="X753" s="1323"/>
      <c r="Y753" s="1323"/>
      <c r="Z753" s="1323"/>
    </row>
    <row r="754" spans="1:26" ht="19.5" hidden="1">
      <c r="A754" s="1319"/>
      <c r="B754" s="1320"/>
      <c r="C754" s="1320" t="s">
        <v>16</v>
      </c>
      <c r="D754" s="1351" t="s">
        <v>17</v>
      </c>
      <c r="E754" s="841"/>
      <c r="F754" s="841"/>
      <c r="G754" s="1322"/>
      <c r="H754" s="644" t="s">
        <v>12</v>
      </c>
      <c r="I754" s="886"/>
      <c r="J754" s="886"/>
      <c r="K754" s="887"/>
      <c r="L754" s="1352">
        <f t="shared" ref="L754:N754" si="302">L755+L756</f>
        <v>0</v>
      </c>
      <c r="M754" s="1352">
        <f t="shared" si="302"/>
        <v>0</v>
      </c>
      <c r="N754" s="1352">
        <f t="shared" si="302"/>
        <v>0</v>
      </c>
      <c r="O754" s="1352">
        <f t="shared" ref="O754:O759" si="303">IF(L754&gt;0,N754*100/L754,0)</f>
        <v>0</v>
      </c>
      <c r="P754" s="1352">
        <f t="shared" ref="P754:P759" si="304">IF(M754&gt;0,N754*100/M754,0)</f>
        <v>0</v>
      </c>
      <c r="Q754" s="1323"/>
      <c r="R754" s="1323"/>
      <c r="S754" s="1323"/>
      <c r="T754" s="1323"/>
      <c r="U754" s="1323"/>
      <c r="V754" s="1323"/>
      <c r="W754" s="1323"/>
      <c r="X754" s="1323"/>
      <c r="Y754" s="1323"/>
      <c r="Z754" s="1323"/>
    </row>
    <row r="755" spans="1:26" ht="18.75" hidden="1">
      <c r="A755" s="1319"/>
      <c r="B755" s="1320"/>
      <c r="C755" s="1320"/>
      <c r="D755" s="1321"/>
      <c r="E755" s="1320" t="s">
        <v>185</v>
      </c>
      <c r="F755" s="1320"/>
      <c r="G755" s="1322"/>
      <c r="H755" s="165" t="s">
        <v>12</v>
      </c>
      <c r="I755" s="886"/>
      <c r="J755" s="886"/>
      <c r="K755" s="887"/>
      <c r="L755" s="887">
        <f t="shared" ref="L755:N756" si="305">L758+L765</f>
        <v>0</v>
      </c>
      <c r="M755" s="887">
        <f t="shared" si="305"/>
        <v>0</v>
      </c>
      <c r="N755" s="887">
        <f t="shared" si="305"/>
        <v>0</v>
      </c>
      <c r="O755" s="887">
        <f t="shared" si="303"/>
        <v>0</v>
      </c>
      <c r="P755" s="887">
        <f t="shared" si="304"/>
        <v>0</v>
      </c>
      <c r="Q755" s="1323"/>
      <c r="R755" s="1323"/>
      <c r="S755" s="1323"/>
      <c r="T755" s="1323"/>
      <c r="U755" s="1323"/>
      <c r="V755" s="1323"/>
      <c r="W755" s="1323"/>
      <c r="X755" s="1323"/>
      <c r="Y755" s="1323"/>
      <c r="Z755" s="1323"/>
    </row>
    <row r="756" spans="1:26" ht="18.75" hidden="1">
      <c r="A756" s="1319"/>
      <c r="B756" s="1324"/>
      <c r="C756" s="1320"/>
      <c r="D756" s="1321"/>
      <c r="E756" s="1320" t="s">
        <v>186</v>
      </c>
      <c r="F756" s="1320"/>
      <c r="G756" s="1322"/>
      <c r="H756" s="165" t="s">
        <v>12</v>
      </c>
      <c r="I756" s="886"/>
      <c r="J756" s="886"/>
      <c r="K756" s="887"/>
      <c r="L756" s="887">
        <f t="shared" si="305"/>
        <v>0</v>
      </c>
      <c r="M756" s="887">
        <f t="shared" si="305"/>
        <v>0</v>
      </c>
      <c r="N756" s="887">
        <f t="shared" si="305"/>
        <v>0</v>
      </c>
      <c r="O756" s="887">
        <f t="shared" si="303"/>
        <v>0</v>
      </c>
      <c r="P756" s="887">
        <f t="shared" si="304"/>
        <v>0</v>
      </c>
      <c r="Q756" s="1323"/>
      <c r="R756" s="1323"/>
      <c r="S756" s="1323"/>
      <c r="T756" s="1323"/>
      <c r="U756" s="1323"/>
      <c r="V756" s="1323"/>
      <c r="W756" s="1323"/>
      <c r="X756" s="1323"/>
      <c r="Y756" s="1323"/>
      <c r="Z756" s="1323"/>
    </row>
    <row r="757" spans="1:26" ht="19.5" hidden="1">
      <c r="A757" s="1319"/>
      <c r="B757" s="1324"/>
      <c r="C757" s="1320"/>
      <c r="D757" s="1453" t="s">
        <v>20</v>
      </c>
      <c r="E757" s="1320"/>
      <c r="F757" s="1320"/>
      <c r="G757" s="1322"/>
      <c r="H757" s="644" t="s">
        <v>12</v>
      </c>
      <c r="I757" s="1000"/>
      <c r="J757" s="1000"/>
      <c r="K757" s="1001"/>
      <c r="L757" s="1352">
        <f t="shared" ref="L757:N757" si="306">L758+L759</f>
        <v>0</v>
      </c>
      <c r="M757" s="1352">
        <f t="shared" si="306"/>
        <v>0</v>
      </c>
      <c r="N757" s="1352">
        <f t="shared" si="306"/>
        <v>0</v>
      </c>
      <c r="O757" s="1352">
        <f t="shared" si="303"/>
        <v>0</v>
      </c>
      <c r="P757" s="1352">
        <f t="shared" si="304"/>
        <v>0</v>
      </c>
      <c r="Q757" s="1323"/>
      <c r="R757" s="1323"/>
      <c r="S757" s="1323"/>
      <c r="T757" s="1323"/>
      <c r="U757" s="1323"/>
      <c r="V757" s="1323"/>
      <c r="W757" s="1323"/>
      <c r="X757" s="1323"/>
      <c r="Y757" s="1323"/>
      <c r="Z757" s="1323"/>
    </row>
    <row r="758" spans="1:26" ht="18.75" hidden="1">
      <c r="A758" s="1319"/>
      <c r="B758" s="1324"/>
      <c r="C758" s="1320"/>
      <c r="D758" s="1321"/>
      <c r="E758" s="1320" t="s">
        <v>185</v>
      </c>
      <c r="F758" s="1320"/>
      <c r="G758" s="1322"/>
      <c r="H758" s="165" t="s">
        <v>12</v>
      </c>
      <c r="I758" s="886"/>
      <c r="J758" s="886"/>
      <c r="K758" s="887"/>
      <c r="L758" s="887">
        <v>0</v>
      </c>
      <c r="M758" s="887">
        <v>0</v>
      </c>
      <c r="N758" s="887">
        <v>0</v>
      </c>
      <c r="O758" s="887">
        <f t="shared" si="303"/>
        <v>0</v>
      </c>
      <c r="P758" s="887">
        <f t="shared" si="304"/>
        <v>0</v>
      </c>
      <c r="Q758" s="1323"/>
      <c r="R758" s="1323"/>
      <c r="S758" s="1323"/>
      <c r="T758" s="1323"/>
      <c r="U758" s="1323"/>
      <c r="V758" s="1323"/>
      <c r="W758" s="1323"/>
      <c r="X758" s="1323"/>
      <c r="Y758" s="1323"/>
      <c r="Z758" s="1323"/>
    </row>
    <row r="759" spans="1:26" ht="18.75" hidden="1">
      <c r="A759" s="1319"/>
      <c r="B759" s="1324"/>
      <c r="C759" s="1320"/>
      <c r="D759" s="1321"/>
      <c r="E759" s="1320" t="s">
        <v>186</v>
      </c>
      <c r="F759" s="1320"/>
      <c r="G759" s="1322"/>
      <c r="H759" s="165" t="s">
        <v>12</v>
      </c>
      <c r="I759" s="886"/>
      <c r="J759" s="886"/>
      <c r="K759" s="887"/>
      <c r="L759" s="887">
        <v>0</v>
      </c>
      <c r="M759" s="887">
        <v>0</v>
      </c>
      <c r="N759" s="887">
        <f>N760+N761+N762+N763</f>
        <v>0</v>
      </c>
      <c r="O759" s="887">
        <f t="shared" si="303"/>
        <v>0</v>
      </c>
      <c r="P759" s="887">
        <f t="shared" si="304"/>
        <v>0</v>
      </c>
      <c r="Q759" s="1323"/>
      <c r="R759" s="1323"/>
      <c r="S759" s="1323"/>
      <c r="T759" s="1323"/>
      <c r="U759" s="1323"/>
      <c r="V759" s="1323"/>
      <c r="W759" s="1323"/>
      <c r="X759" s="1323"/>
      <c r="Y759" s="1323"/>
      <c r="Z759" s="1323"/>
    </row>
    <row r="760" spans="1:26" ht="18.75" hidden="1">
      <c r="A760" s="1354"/>
      <c r="B760" s="1324"/>
      <c r="C760" s="1320"/>
      <c r="D760" s="1320"/>
      <c r="E760" s="1320"/>
      <c r="F760" s="1320" t="s">
        <v>187</v>
      </c>
      <c r="G760" s="1322"/>
      <c r="H760" s="165" t="s">
        <v>12</v>
      </c>
      <c r="I760" s="886"/>
      <c r="J760" s="886"/>
      <c r="K760" s="887"/>
      <c r="L760" s="887"/>
      <c r="M760" s="887"/>
      <c r="N760" s="887"/>
      <c r="O760" s="887"/>
      <c r="P760" s="887"/>
      <c r="Q760" s="1323"/>
      <c r="R760" s="1323"/>
      <c r="S760" s="1323"/>
      <c r="T760" s="1323"/>
      <c r="U760" s="1323"/>
      <c r="V760" s="1323"/>
      <c r="W760" s="1323"/>
      <c r="X760" s="1323"/>
      <c r="Y760" s="1323"/>
      <c r="Z760" s="1323"/>
    </row>
    <row r="761" spans="1:26" ht="18.75" hidden="1">
      <c r="A761" s="1354"/>
      <c r="B761" s="1324"/>
      <c r="C761" s="1320"/>
      <c r="D761" s="1320"/>
      <c r="E761" s="1320"/>
      <c r="F761" s="1320" t="s">
        <v>188</v>
      </c>
      <c r="G761" s="1322"/>
      <c r="H761" s="165" t="s">
        <v>12</v>
      </c>
      <c r="I761" s="886"/>
      <c r="J761" s="886"/>
      <c r="K761" s="887"/>
      <c r="L761" s="887"/>
      <c r="M761" s="887"/>
      <c r="N761" s="887"/>
      <c r="O761" s="887"/>
      <c r="P761" s="887"/>
      <c r="Q761" s="1323"/>
      <c r="R761" s="1323"/>
      <c r="S761" s="1323"/>
      <c r="T761" s="1323"/>
      <c r="U761" s="1323"/>
      <c r="V761" s="1323"/>
      <c r="W761" s="1323"/>
      <c r="X761" s="1323"/>
      <c r="Y761" s="1323"/>
      <c r="Z761" s="1323"/>
    </row>
    <row r="762" spans="1:26" ht="18.75" hidden="1">
      <c r="A762" s="1354"/>
      <c r="B762" s="1324"/>
      <c r="C762" s="1320"/>
      <c r="D762" s="1320"/>
      <c r="E762" s="1320"/>
      <c r="F762" s="1320" t="s">
        <v>189</v>
      </c>
      <c r="G762" s="1322"/>
      <c r="H762" s="165" t="s">
        <v>12</v>
      </c>
      <c r="I762" s="886"/>
      <c r="J762" s="886"/>
      <c r="K762" s="887"/>
      <c r="L762" s="887"/>
      <c r="M762" s="887"/>
      <c r="N762" s="887"/>
      <c r="O762" s="887"/>
      <c r="P762" s="887"/>
      <c r="Q762" s="1323"/>
      <c r="R762" s="1323"/>
      <c r="S762" s="1323"/>
      <c r="T762" s="1323"/>
      <c r="U762" s="1323"/>
      <c r="V762" s="1323"/>
      <c r="W762" s="1323"/>
      <c r="X762" s="1323"/>
      <c r="Y762" s="1323"/>
      <c r="Z762" s="1323"/>
    </row>
    <row r="763" spans="1:26" ht="18.75" hidden="1">
      <c r="A763" s="1354"/>
      <c r="B763" s="1324"/>
      <c r="C763" s="1320"/>
      <c r="D763" s="1320"/>
      <c r="E763" s="1320"/>
      <c r="F763" s="1320" t="s">
        <v>190</v>
      </c>
      <c r="G763" s="1322"/>
      <c r="H763" s="165" t="s">
        <v>12</v>
      </c>
      <c r="I763" s="886"/>
      <c r="J763" s="886"/>
      <c r="K763" s="887"/>
      <c r="L763" s="887"/>
      <c r="M763" s="887"/>
      <c r="N763" s="887"/>
      <c r="O763" s="887"/>
      <c r="P763" s="887"/>
      <c r="Q763" s="1323"/>
      <c r="R763" s="1323"/>
      <c r="S763" s="1323"/>
      <c r="T763" s="1323"/>
      <c r="U763" s="1323"/>
      <c r="V763" s="1323"/>
      <c r="W763" s="1323"/>
      <c r="X763" s="1323"/>
      <c r="Y763" s="1323"/>
      <c r="Z763" s="1323"/>
    </row>
    <row r="764" spans="1:26" ht="19.5" hidden="1">
      <c r="A764" s="1319"/>
      <c r="B764" s="1324"/>
      <c r="C764" s="1320"/>
      <c r="D764" s="1453" t="s">
        <v>21</v>
      </c>
      <c r="E764" s="1320"/>
      <c r="F764" s="1320"/>
      <c r="G764" s="1322"/>
      <c r="H764" s="781" t="s">
        <v>12</v>
      </c>
      <c r="I764" s="1000"/>
      <c r="J764" s="1000"/>
      <c r="K764" s="1001"/>
      <c r="L764" s="1352">
        <f t="shared" ref="L764:N764" si="307">L765+L766</f>
        <v>0</v>
      </c>
      <c r="M764" s="1352">
        <f t="shared" si="307"/>
        <v>0</v>
      </c>
      <c r="N764" s="1352">
        <f t="shared" si="307"/>
        <v>0</v>
      </c>
      <c r="O764" s="1352">
        <f t="shared" ref="O764:O766" si="308">IF(L764&gt;0,N764*100/L764,0)</f>
        <v>0</v>
      </c>
      <c r="P764" s="1352">
        <f t="shared" ref="P764:P766" si="309">IF(M764&gt;0,N764*100/M764,0)</f>
        <v>0</v>
      </c>
      <c r="Q764" s="1323"/>
      <c r="R764" s="1323"/>
      <c r="S764" s="1323"/>
      <c r="T764" s="1323"/>
      <c r="U764" s="1323"/>
      <c r="V764" s="1323"/>
      <c r="W764" s="1323"/>
      <c r="X764" s="1323"/>
      <c r="Y764" s="1323"/>
      <c r="Z764" s="1323"/>
    </row>
    <row r="765" spans="1:26" ht="18.75" hidden="1">
      <c r="A765" s="1319"/>
      <c r="B765" s="1324"/>
      <c r="C765" s="1320"/>
      <c r="D765" s="1320"/>
      <c r="E765" s="1320" t="s">
        <v>18</v>
      </c>
      <c r="F765" s="1320"/>
      <c r="G765" s="1322"/>
      <c r="H765" s="165" t="s">
        <v>12</v>
      </c>
      <c r="I765" s="1000"/>
      <c r="J765" s="1000"/>
      <c r="K765" s="1001"/>
      <c r="L765" s="887">
        <v>0</v>
      </c>
      <c r="M765" s="887">
        <v>0</v>
      </c>
      <c r="N765" s="887">
        <v>0</v>
      </c>
      <c r="O765" s="887">
        <f t="shared" si="308"/>
        <v>0</v>
      </c>
      <c r="P765" s="887">
        <f t="shared" si="309"/>
        <v>0</v>
      </c>
      <c r="Q765" s="1323"/>
      <c r="R765" s="1323"/>
      <c r="S765" s="1323"/>
      <c r="T765" s="1323"/>
      <c r="U765" s="1323"/>
      <c r="V765" s="1323"/>
      <c r="W765" s="1323"/>
      <c r="X765" s="1323"/>
      <c r="Y765" s="1323"/>
      <c r="Z765" s="1323"/>
    </row>
    <row r="766" spans="1:26" ht="18.75" hidden="1">
      <c r="A766" s="1319"/>
      <c r="B766" s="1324"/>
      <c r="C766" s="1320"/>
      <c r="D766" s="1320"/>
      <c r="E766" s="1320" t="s">
        <v>19</v>
      </c>
      <c r="F766" s="1320"/>
      <c r="G766" s="1322"/>
      <c r="H766" s="169" t="s">
        <v>12</v>
      </c>
      <c r="I766" s="1000"/>
      <c r="J766" s="1000"/>
      <c r="K766" s="1001"/>
      <c r="L766" s="887">
        <v>0</v>
      </c>
      <c r="M766" s="887">
        <v>0</v>
      </c>
      <c r="N766" s="887">
        <v>0</v>
      </c>
      <c r="O766" s="887">
        <f t="shared" si="308"/>
        <v>0</v>
      </c>
      <c r="P766" s="887">
        <f t="shared" si="309"/>
        <v>0</v>
      </c>
      <c r="Q766" s="1323"/>
      <c r="R766" s="1323"/>
      <c r="S766" s="1323"/>
      <c r="T766" s="1323"/>
      <c r="U766" s="1323"/>
      <c r="V766" s="1323"/>
      <c r="W766" s="1323"/>
      <c r="X766" s="1323"/>
      <c r="Y766" s="1323"/>
      <c r="Z766" s="1323"/>
    </row>
    <row r="767" spans="1:26" ht="19.5" hidden="1">
      <c r="A767" s="1332"/>
      <c r="B767" s="1333"/>
      <c r="C767" s="1320" t="s">
        <v>16</v>
      </c>
      <c r="D767" s="1454" t="s">
        <v>38</v>
      </c>
      <c r="E767" s="1356"/>
      <c r="F767" s="1356"/>
      <c r="G767" s="1357"/>
      <c r="H767" s="1113"/>
      <c r="I767" s="1000"/>
      <c r="J767" s="1000"/>
      <c r="K767" s="1001"/>
      <c r="L767" s="1001"/>
      <c r="M767" s="1001"/>
      <c r="N767" s="1001"/>
      <c r="O767" s="1001"/>
      <c r="P767" s="1001"/>
      <c r="Q767" s="1323"/>
      <c r="R767" s="1323"/>
      <c r="S767" s="1323"/>
      <c r="T767" s="1323"/>
      <c r="U767" s="1323"/>
      <c r="V767" s="1323"/>
      <c r="W767" s="1323"/>
      <c r="X767" s="1323"/>
      <c r="Y767" s="1323"/>
      <c r="Z767" s="1323"/>
    </row>
    <row r="768" spans="1:26" ht="18.75" hidden="1">
      <c r="A768" s="1354"/>
      <c r="B768" s="1324"/>
      <c r="C768" s="1320"/>
      <c r="D768" s="1320"/>
      <c r="E768" s="1320" t="s">
        <v>317</v>
      </c>
      <c r="F768" s="1320"/>
      <c r="G768" s="1322"/>
      <c r="H768" s="165" t="s">
        <v>46</v>
      </c>
      <c r="I768" s="886"/>
      <c r="J768" s="886"/>
      <c r="K768" s="887"/>
      <c r="L768" s="887"/>
      <c r="M768" s="887"/>
      <c r="N768" s="887"/>
      <c r="O768" s="887"/>
      <c r="P768" s="887"/>
      <c r="Q768" s="1323"/>
      <c r="R768" s="1323"/>
      <c r="S768" s="1323"/>
      <c r="T768" s="1323"/>
      <c r="U768" s="1323"/>
      <c r="V768" s="1323"/>
      <c r="W768" s="1323"/>
      <c r="X768" s="1323"/>
      <c r="Y768" s="1323"/>
      <c r="Z768" s="1323"/>
    </row>
    <row r="769" spans="1:26" ht="19.5" hidden="1">
      <c r="A769" s="791">
        <v>11</v>
      </c>
      <c r="B769" s="1461" t="s">
        <v>318</v>
      </c>
      <c r="C769" s="1462"/>
      <c r="D769" s="1462"/>
      <c r="E769" s="1462"/>
      <c r="F769" s="1462"/>
      <c r="G769" s="1463"/>
      <c r="H769" s="795" t="s">
        <v>46</v>
      </c>
      <c r="I769" s="1464"/>
      <c r="J769" s="1464">
        <f>J784</f>
        <v>0</v>
      </c>
      <c r="K769" s="1465">
        <f>IF(I769&gt;0,J769*100/I769,0)</f>
        <v>0</v>
      </c>
      <c r="L769" s="1466"/>
      <c r="M769" s="1466"/>
      <c r="N769" s="1466"/>
      <c r="O769" s="1466"/>
      <c r="P769" s="1466"/>
      <c r="Q769" s="1323"/>
      <c r="R769" s="1323"/>
      <c r="S769" s="1323"/>
      <c r="T769" s="1323"/>
      <c r="U769" s="1323"/>
      <c r="V769" s="1323"/>
      <c r="W769" s="1323"/>
      <c r="X769" s="1323"/>
      <c r="Y769" s="1323"/>
      <c r="Z769" s="1323"/>
    </row>
    <row r="770" spans="1:26" ht="19.5" hidden="1">
      <c r="A770" s="1319"/>
      <c r="B770" s="1320"/>
      <c r="C770" s="1320" t="s">
        <v>16</v>
      </c>
      <c r="D770" s="1351" t="s">
        <v>17</v>
      </c>
      <c r="E770" s="841"/>
      <c r="F770" s="841"/>
      <c r="G770" s="1322"/>
      <c r="H770" s="644" t="s">
        <v>12</v>
      </c>
      <c r="I770" s="886"/>
      <c r="J770" s="886"/>
      <c r="K770" s="887"/>
      <c r="L770" s="1352">
        <f t="shared" ref="L770:N770" si="310">L771+L772</f>
        <v>0</v>
      </c>
      <c r="M770" s="1352">
        <f t="shared" si="310"/>
        <v>0</v>
      </c>
      <c r="N770" s="1352">
        <f t="shared" si="310"/>
        <v>0</v>
      </c>
      <c r="O770" s="1352">
        <f t="shared" ref="O770:O775" si="311">IF(L770&gt;0,N770*100/L770,0)</f>
        <v>0</v>
      </c>
      <c r="P770" s="1352">
        <f t="shared" ref="P770:P775" si="312">IF(M770&gt;0,N770*100/M770,0)</f>
        <v>0</v>
      </c>
      <c r="Q770" s="1323"/>
      <c r="R770" s="1323"/>
      <c r="S770" s="1323"/>
      <c r="T770" s="1323"/>
      <c r="U770" s="1323"/>
      <c r="V770" s="1323"/>
      <c r="W770" s="1323"/>
      <c r="X770" s="1323"/>
      <c r="Y770" s="1323"/>
      <c r="Z770" s="1323"/>
    </row>
    <row r="771" spans="1:26" ht="18.75" hidden="1">
      <c r="A771" s="1319"/>
      <c r="B771" s="1320"/>
      <c r="C771" s="1320"/>
      <c r="D771" s="1321"/>
      <c r="E771" s="1320" t="s">
        <v>185</v>
      </c>
      <c r="F771" s="1320"/>
      <c r="G771" s="1322"/>
      <c r="H771" s="165" t="s">
        <v>12</v>
      </c>
      <c r="I771" s="886"/>
      <c r="J771" s="886"/>
      <c r="K771" s="887"/>
      <c r="L771" s="887">
        <f t="shared" ref="L771:N772" si="313">L774+L781</f>
        <v>0</v>
      </c>
      <c r="M771" s="887">
        <f t="shared" si="313"/>
        <v>0</v>
      </c>
      <c r="N771" s="887">
        <f t="shared" si="313"/>
        <v>0</v>
      </c>
      <c r="O771" s="887">
        <f t="shared" si="311"/>
        <v>0</v>
      </c>
      <c r="P771" s="887">
        <f t="shared" si="312"/>
        <v>0</v>
      </c>
      <c r="Q771" s="1323"/>
      <c r="R771" s="1323"/>
      <c r="S771" s="1323"/>
      <c r="T771" s="1323"/>
      <c r="U771" s="1323"/>
      <c r="V771" s="1323"/>
      <c r="W771" s="1323"/>
      <c r="X771" s="1323"/>
      <c r="Y771" s="1323"/>
      <c r="Z771" s="1323"/>
    </row>
    <row r="772" spans="1:26" ht="18.75" hidden="1">
      <c r="A772" s="1319"/>
      <c r="B772" s="1324"/>
      <c r="C772" s="1320"/>
      <c r="D772" s="1321"/>
      <c r="E772" s="1320" t="s">
        <v>186</v>
      </c>
      <c r="F772" s="1320"/>
      <c r="G772" s="1322"/>
      <c r="H772" s="165" t="s">
        <v>12</v>
      </c>
      <c r="I772" s="886"/>
      <c r="J772" s="886"/>
      <c r="K772" s="887"/>
      <c r="L772" s="887">
        <f t="shared" si="313"/>
        <v>0</v>
      </c>
      <c r="M772" s="887">
        <f t="shared" si="313"/>
        <v>0</v>
      </c>
      <c r="N772" s="887">
        <f t="shared" si="313"/>
        <v>0</v>
      </c>
      <c r="O772" s="887">
        <f t="shared" si="311"/>
        <v>0</v>
      </c>
      <c r="P772" s="887">
        <f t="shared" si="312"/>
        <v>0</v>
      </c>
      <c r="Q772" s="1323"/>
      <c r="R772" s="1323"/>
      <c r="S772" s="1323"/>
      <c r="T772" s="1323"/>
      <c r="U772" s="1323"/>
      <c r="V772" s="1323"/>
      <c r="W772" s="1323"/>
      <c r="X772" s="1323"/>
      <c r="Y772" s="1323"/>
      <c r="Z772" s="1323"/>
    </row>
    <row r="773" spans="1:26" ht="19.5" hidden="1">
      <c r="A773" s="1319"/>
      <c r="B773" s="1324"/>
      <c r="C773" s="1320"/>
      <c r="D773" s="1453" t="s">
        <v>20</v>
      </c>
      <c r="E773" s="1320"/>
      <c r="F773" s="1320"/>
      <c r="G773" s="1322"/>
      <c r="H773" s="644" t="s">
        <v>12</v>
      </c>
      <c r="I773" s="1000"/>
      <c r="J773" s="1000"/>
      <c r="K773" s="1001"/>
      <c r="L773" s="1352">
        <f t="shared" ref="L773:N773" si="314">L774+L775</f>
        <v>0</v>
      </c>
      <c r="M773" s="1352">
        <f t="shared" si="314"/>
        <v>0</v>
      </c>
      <c r="N773" s="1352">
        <f t="shared" si="314"/>
        <v>0</v>
      </c>
      <c r="O773" s="1352">
        <f t="shared" si="311"/>
        <v>0</v>
      </c>
      <c r="P773" s="1352">
        <f t="shared" si="312"/>
        <v>0</v>
      </c>
      <c r="Q773" s="1323"/>
      <c r="R773" s="1323"/>
      <c r="S773" s="1323"/>
      <c r="T773" s="1323"/>
      <c r="U773" s="1323"/>
      <c r="V773" s="1323"/>
      <c r="W773" s="1323"/>
      <c r="X773" s="1323"/>
      <c r="Y773" s="1323"/>
      <c r="Z773" s="1323"/>
    </row>
    <row r="774" spans="1:26" ht="18.75" hidden="1">
      <c r="A774" s="1319"/>
      <c r="B774" s="1324"/>
      <c r="C774" s="1320"/>
      <c r="D774" s="1321"/>
      <c r="E774" s="1320" t="s">
        <v>185</v>
      </c>
      <c r="F774" s="1320"/>
      <c r="G774" s="1322"/>
      <c r="H774" s="165" t="s">
        <v>12</v>
      </c>
      <c r="I774" s="886"/>
      <c r="J774" s="886"/>
      <c r="K774" s="887"/>
      <c r="L774" s="887">
        <v>0</v>
      </c>
      <c r="M774" s="887">
        <v>0</v>
      </c>
      <c r="N774" s="887">
        <v>0</v>
      </c>
      <c r="O774" s="887">
        <f t="shared" si="311"/>
        <v>0</v>
      </c>
      <c r="P774" s="887">
        <f t="shared" si="312"/>
        <v>0</v>
      </c>
      <c r="Q774" s="1323"/>
      <c r="R774" s="1323"/>
      <c r="S774" s="1323"/>
      <c r="T774" s="1323"/>
      <c r="U774" s="1323"/>
      <c r="V774" s="1323"/>
      <c r="W774" s="1323"/>
      <c r="X774" s="1323"/>
      <c r="Y774" s="1323"/>
      <c r="Z774" s="1323"/>
    </row>
    <row r="775" spans="1:26" ht="18.75" hidden="1">
      <c r="A775" s="1319"/>
      <c r="B775" s="1324"/>
      <c r="C775" s="1320"/>
      <c r="D775" s="1321"/>
      <c r="E775" s="1320" t="s">
        <v>186</v>
      </c>
      <c r="F775" s="1320"/>
      <c r="G775" s="1322"/>
      <c r="H775" s="165" t="s">
        <v>12</v>
      </c>
      <c r="I775" s="886"/>
      <c r="J775" s="886"/>
      <c r="K775" s="887"/>
      <c r="L775" s="887">
        <v>0</v>
      </c>
      <c r="M775" s="887">
        <v>0</v>
      </c>
      <c r="N775" s="887">
        <f>N776+N777+N778+N779</f>
        <v>0</v>
      </c>
      <c r="O775" s="887">
        <f t="shared" si="311"/>
        <v>0</v>
      </c>
      <c r="P775" s="887">
        <f t="shared" si="312"/>
        <v>0</v>
      </c>
      <c r="Q775" s="1323"/>
      <c r="R775" s="1323"/>
      <c r="S775" s="1323"/>
      <c r="T775" s="1323"/>
      <c r="U775" s="1323"/>
      <c r="V775" s="1323"/>
      <c r="W775" s="1323"/>
      <c r="X775" s="1323"/>
      <c r="Y775" s="1323"/>
      <c r="Z775" s="1323"/>
    </row>
    <row r="776" spans="1:26" ht="18.75" hidden="1">
      <c r="A776" s="1354"/>
      <c r="B776" s="1324"/>
      <c r="C776" s="1320"/>
      <c r="D776" s="1320"/>
      <c r="E776" s="1320"/>
      <c r="F776" s="1320" t="s">
        <v>187</v>
      </c>
      <c r="G776" s="1322"/>
      <c r="H776" s="165" t="s">
        <v>12</v>
      </c>
      <c r="I776" s="886"/>
      <c r="J776" s="886"/>
      <c r="K776" s="887"/>
      <c r="L776" s="887"/>
      <c r="M776" s="887"/>
      <c r="N776" s="887"/>
      <c r="O776" s="887"/>
      <c r="P776" s="887"/>
      <c r="Q776" s="1323"/>
      <c r="R776" s="1323"/>
      <c r="S776" s="1323"/>
      <c r="T776" s="1323"/>
      <c r="U776" s="1323"/>
      <c r="V776" s="1323"/>
      <c r="W776" s="1323"/>
      <c r="X776" s="1323"/>
      <c r="Y776" s="1323"/>
      <c r="Z776" s="1323"/>
    </row>
    <row r="777" spans="1:26" ht="18.75" hidden="1">
      <c r="A777" s="1354"/>
      <c r="B777" s="1324"/>
      <c r="C777" s="1320"/>
      <c r="D777" s="1320"/>
      <c r="E777" s="1320"/>
      <c r="F777" s="1320" t="s">
        <v>188</v>
      </c>
      <c r="G777" s="1322"/>
      <c r="H777" s="165" t="s">
        <v>12</v>
      </c>
      <c r="I777" s="886"/>
      <c r="J777" s="886"/>
      <c r="K777" s="887"/>
      <c r="L777" s="887"/>
      <c r="M777" s="887"/>
      <c r="N777" s="887"/>
      <c r="O777" s="887"/>
      <c r="P777" s="887"/>
      <c r="Q777" s="1323"/>
      <c r="R777" s="1323"/>
      <c r="S777" s="1323"/>
      <c r="T777" s="1323"/>
      <c r="U777" s="1323"/>
      <c r="V777" s="1323"/>
      <c r="W777" s="1323"/>
      <c r="X777" s="1323"/>
      <c r="Y777" s="1323"/>
      <c r="Z777" s="1323"/>
    </row>
    <row r="778" spans="1:26" ht="18.75" hidden="1">
      <c r="A778" s="1354"/>
      <c r="B778" s="1324"/>
      <c r="C778" s="1320"/>
      <c r="D778" s="1320"/>
      <c r="E778" s="1320"/>
      <c r="F778" s="1320" t="s">
        <v>189</v>
      </c>
      <c r="G778" s="1322"/>
      <c r="H778" s="165" t="s">
        <v>12</v>
      </c>
      <c r="I778" s="886"/>
      <c r="J778" s="886"/>
      <c r="K778" s="887"/>
      <c r="L778" s="887"/>
      <c r="M778" s="887"/>
      <c r="N778" s="887"/>
      <c r="O778" s="887"/>
      <c r="P778" s="887"/>
      <c r="Q778" s="1323"/>
      <c r="R778" s="1323"/>
      <c r="S778" s="1323"/>
      <c r="T778" s="1323"/>
      <c r="U778" s="1323"/>
      <c r="V778" s="1323"/>
      <c r="W778" s="1323"/>
      <c r="X778" s="1323"/>
      <c r="Y778" s="1323"/>
      <c r="Z778" s="1323"/>
    </row>
    <row r="779" spans="1:26" ht="18.75" hidden="1">
      <c r="A779" s="1354"/>
      <c r="B779" s="1324"/>
      <c r="C779" s="1320"/>
      <c r="D779" s="1320"/>
      <c r="E779" s="1320"/>
      <c r="F779" s="1320" t="s">
        <v>190</v>
      </c>
      <c r="G779" s="1322"/>
      <c r="H779" s="165" t="s">
        <v>12</v>
      </c>
      <c r="I779" s="886"/>
      <c r="J779" s="886"/>
      <c r="K779" s="887"/>
      <c r="L779" s="887"/>
      <c r="M779" s="887"/>
      <c r="N779" s="887"/>
      <c r="O779" s="887"/>
      <c r="P779" s="887"/>
      <c r="Q779" s="1323"/>
      <c r="R779" s="1323"/>
      <c r="S779" s="1323"/>
      <c r="T779" s="1323"/>
      <c r="U779" s="1323"/>
      <c r="V779" s="1323"/>
      <c r="W779" s="1323"/>
      <c r="X779" s="1323"/>
      <c r="Y779" s="1323"/>
      <c r="Z779" s="1323"/>
    </row>
    <row r="780" spans="1:26" ht="19.5" hidden="1">
      <c r="A780" s="1319"/>
      <c r="B780" s="1324"/>
      <c r="C780" s="1320"/>
      <c r="D780" s="1453" t="s">
        <v>21</v>
      </c>
      <c r="E780" s="1320"/>
      <c r="F780" s="1320"/>
      <c r="G780" s="1322"/>
      <c r="H780" s="781" t="s">
        <v>12</v>
      </c>
      <c r="I780" s="1000"/>
      <c r="J780" s="1000"/>
      <c r="K780" s="1001"/>
      <c r="L780" s="1352">
        <f t="shared" ref="L780:N780" si="315">L781+L782</f>
        <v>0</v>
      </c>
      <c r="M780" s="1352">
        <f t="shared" si="315"/>
        <v>0</v>
      </c>
      <c r="N780" s="1352">
        <f t="shared" si="315"/>
        <v>0</v>
      </c>
      <c r="O780" s="1352">
        <f t="shared" ref="O780:O782" si="316">IF(L780&gt;0,N780*100/L780,0)</f>
        <v>0</v>
      </c>
      <c r="P780" s="1352">
        <f t="shared" ref="P780:P782" si="317">IF(M780&gt;0,N780*100/M780,0)</f>
        <v>0</v>
      </c>
      <c r="Q780" s="1323"/>
      <c r="R780" s="1323"/>
      <c r="S780" s="1323"/>
      <c r="T780" s="1323"/>
      <c r="U780" s="1323"/>
      <c r="V780" s="1323"/>
      <c r="W780" s="1323"/>
      <c r="X780" s="1323"/>
      <c r="Y780" s="1323"/>
      <c r="Z780" s="1323"/>
    </row>
    <row r="781" spans="1:26" ht="18.75" hidden="1">
      <c r="A781" s="1319"/>
      <c r="B781" s="1324"/>
      <c r="C781" s="1320"/>
      <c r="D781" s="1320"/>
      <c r="E781" s="1320" t="s">
        <v>18</v>
      </c>
      <c r="F781" s="1320"/>
      <c r="G781" s="1322"/>
      <c r="H781" s="165" t="s">
        <v>12</v>
      </c>
      <c r="I781" s="1000"/>
      <c r="J781" s="1000"/>
      <c r="K781" s="1001"/>
      <c r="L781" s="887">
        <v>0</v>
      </c>
      <c r="M781" s="887">
        <v>0</v>
      </c>
      <c r="N781" s="887">
        <v>0</v>
      </c>
      <c r="O781" s="887">
        <f t="shared" si="316"/>
        <v>0</v>
      </c>
      <c r="P781" s="887">
        <f t="shared" si="317"/>
        <v>0</v>
      </c>
      <c r="Q781" s="1323"/>
      <c r="R781" s="1323"/>
      <c r="S781" s="1323"/>
      <c r="T781" s="1323"/>
      <c r="U781" s="1323"/>
      <c r="V781" s="1323"/>
      <c r="W781" s="1323"/>
      <c r="X781" s="1323"/>
      <c r="Y781" s="1323"/>
      <c r="Z781" s="1323"/>
    </row>
    <row r="782" spans="1:26" ht="18.75" hidden="1">
      <c r="A782" s="1319"/>
      <c r="B782" s="1324"/>
      <c r="C782" s="1320"/>
      <c r="D782" s="1320"/>
      <c r="E782" s="1320" t="s">
        <v>19</v>
      </c>
      <c r="F782" s="1320"/>
      <c r="G782" s="1322"/>
      <c r="H782" s="169" t="s">
        <v>12</v>
      </c>
      <c r="I782" s="1000"/>
      <c r="J782" s="1000"/>
      <c r="K782" s="1001"/>
      <c r="L782" s="887">
        <v>0</v>
      </c>
      <c r="M782" s="887">
        <v>0</v>
      </c>
      <c r="N782" s="887">
        <v>0</v>
      </c>
      <c r="O782" s="887">
        <f t="shared" si="316"/>
        <v>0</v>
      </c>
      <c r="P782" s="887">
        <f t="shared" si="317"/>
        <v>0</v>
      </c>
      <c r="Q782" s="1323"/>
      <c r="R782" s="1323"/>
      <c r="S782" s="1323"/>
      <c r="T782" s="1323"/>
      <c r="U782" s="1323"/>
      <c r="V782" s="1323"/>
      <c r="W782" s="1323"/>
      <c r="X782" s="1323"/>
      <c r="Y782" s="1323"/>
      <c r="Z782" s="1323"/>
    </row>
    <row r="783" spans="1:26" ht="19.5" hidden="1">
      <c r="A783" s="1332"/>
      <c r="B783" s="1333"/>
      <c r="C783" s="1320" t="s">
        <v>16</v>
      </c>
      <c r="D783" s="1454" t="s">
        <v>38</v>
      </c>
      <c r="E783" s="1356"/>
      <c r="F783" s="1356"/>
      <c r="G783" s="1357"/>
      <c r="H783" s="1467"/>
      <c r="I783" s="1000"/>
      <c r="J783" s="1000"/>
      <c r="K783" s="1001"/>
      <c r="L783" s="1001"/>
      <c r="M783" s="1001"/>
      <c r="N783" s="1001"/>
      <c r="O783" s="1001"/>
      <c r="P783" s="1001"/>
      <c r="Q783" s="1323"/>
      <c r="R783" s="1323"/>
      <c r="S783" s="1323"/>
      <c r="T783" s="1323"/>
      <c r="U783" s="1323"/>
      <c r="V783" s="1323"/>
      <c r="W783" s="1323"/>
      <c r="X783" s="1323"/>
      <c r="Y783" s="1323"/>
      <c r="Z783" s="1323"/>
    </row>
    <row r="784" spans="1:26" ht="18.75" hidden="1">
      <c r="A784" s="1354"/>
      <c r="B784" s="1324"/>
      <c r="C784" s="1320"/>
      <c r="D784" s="1320"/>
      <c r="E784" s="1320" t="s">
        <v>319</v>
      </c>
      <c r="F784" s="1320"/>
      <c r="G784" s="1322"/>
      <c r="H784" s="165" t="s">
        <v>46</v>
      </c>
      <c r="I784" s="886"/>
      <c r="J784" s="886"/>
      <c r="K784" s="887"/>
      <c r="L784" s="887"/>
      <c r="M784" s="887"/>
      <c r="N784" s="887"/>
      <c r="O784" s="887"/>
      <c r="P784" s="887"/>
      <c r="Q784" s="1323"/>
      <c r="R784" s="1323"/>
      <c r="S784" s="1323"/>
      <c r="T784" s="1323"/>
      <c r="U784" s="1323"/>
      <c r="V784" s="1323"/>
      <c r="W784" s="1323"/>
      <c r="X784" s="1323"/>
      <c r="Y784" s="1323"/>
      <c r="Z784" s="1323"/>
    </row>
    <row r="785" spans="1:26" ht="19.5" hidden="1">
      <c r="A785" s="800">
        <v>12</v>
      </c>
      <c r="B785" s="1468" t="s">
        <v>320</v>
      </c>
      <c r="C785" s="1469"/>
      <c r="D785" s="1469"/>
      <c r="E785" s="1469"/>
      <c r="F785" s="1469"/>
      <c r="G785" s="1470"/>
      <c r="H785" s="804" t="s">
        <v>46</v>
      </c>
      <c r="I785" s="1471">
        <f t="shared" ref="I785:J785" ca="1" si="318">I800</f>
        <v>0</v>
      </c>
      <c r="J785" s="1472">
        <f t="shared" ca="1" si="318"/>
        <v>0</v>
      </c>
      <c r="K785" s="1473">
        <f ca="1">IF(I785&gt;0,J785*100/I785,0)</f>
        <v>0</v>
      </c>
      <c r="L785" s="1474"/>
      <c r="M785" s="1474"/>
      <c r="N785" s="1474"/>
      <c r="O785" s="1474"/>
      <c r="P785" s="1474"/>
      <c r="Q785" s="1302"/>
      <c r="R785" s="1302"/>
      <c r="S785" s="1302"/>
      <c r="T785" s="1302"/>
      <c r="U785" s="1302"/>
      <c r="V785" s="1302"/>
      <c r="W785" s="1302"/>
      <c r="X785" s="1302"/>
      <c r="Y785" s="1302"/>
      <c r="Z785" s="1302"/>
    </row>
    <row r="786" spans="1:26" ht="19.5" hidden="1">
      <c r="A786" s="1317"/>
      <c r="B786" s="1300"/>
      <c r="C786" s="1301" t="s">
        <v>16</v>
      </c>
      <c r="D786" s="1318" t="s">
        <v>17</v>
      </c>
      <c r="E786" s="841"/>
      <c r="F786" s="841"/>
      <c r="G786" s="1016"/>
      <c r="H786" s="597" t="s">
        <v>12</v>
      </c>
      <c r="I786" s="880"/>
      <c r="J786" s="880"/>
      <c r="K786" s="881"/>
      <c r="L786" s="1020">
        <f t="shared" ref="L786:N786" ca="1" si="319">L787+L788</f>
        <v>0</v>
      </c>
      <c r="M786" s="1020">
        <f t="shared" si="319"/>
        <v>0</v>
      </c>
      <c r="N786" s="1020">
        <f t="shared" si="319"/>
        <v>0</v>
      </c>
      <c r="O786" s="1020">
        <f t="shared" ref="O786:O791" ca="1" si="320">IF(L786&gt;0,N786*100/L786,0)</f>
        <v>0</v>
      </c>
      <c r="P786" s="1020">
        <f t="shared" ref="P786:P791" si="321">IF(M786&gt;0,N786*100/M786,0)</f>
        <v>0</v>
      </c>
      <c r="Q786" s="1302"/>
      <c r="R786" s="1302"/>
      <c r="S786" s="1302"/>
      <c r="T786" s="1302"/>
      <c r="U786" s="1302"/>
      <c r="V786" s="1302"/>
      <c r="W786" s="1302"/>
      <c r="X786" s="1302"/>
      <c r="Y786" s="1302"/>
      <c r="Z786" s="1302"/>
    </row>
    <row r="787" spans="1:26" ht="18.75" hidden="1">
      <c r="A787" s="1319"/>
      <c r="B787" s="1324"/>
      <c r="C787" s="1320"/>
      <c r="D787" s="1321"/>
      <c r="E787" s="1320" t="s">
        <v>185</v>
      </c>
      <c r="F787" s="1320"/>
      <c r="G787" s="1322"/>
      <c r="H787" s="165" t="s">
        <v>12</v>
      </c>
      <c r="I787" s="886"/>
      <c r="J787" s="886"/>
      <c r="K787" s="887"/>
      <c r="L787" s="887">
        <f t="shared" ref="L787:N788" si="322">L790+L797</f>
        <v>0</v>
      </c>
      <c r="M787" s="887">
        <f t="shared" si="322"/>
        <v>0</v>
      </c>
      <c r="N787" s="887">
        <f t="shared" si="322"/>
        <v>0</v>
      </c>
      <c r="O787" s="887">
        <f t="shared" si="320"/>
        <v>0</v>
      </c>
      <c r="P787" s="887">
        <f t="shared" si="321"/>
        <v>0</v>
      </c>
      <c r="Q787" s="1323"/>
      <c r="R787" s="1323"/>
      <c r="S787" s="1323"/>
      <c r="T787" s="1323"/>
      <c r="U787" s="1323"/>
      <c r="V787" s="1323"/>
      <c r="W787" s="1323"/>
      <c r="X787" s="1323"/>
      <c r="Y787" s="1323"/>
      <c r="Z787" s="1323"/>
    </row>
    <row r="788" spans="1:26" ht="18.75" hidden="1">
      <c r="A788" s="1319"/>
      <c r="B788" s="1324"/>
      <c r="C788" s="1324"/>
      <c r="D788" s="1333"/>
      <c r="E788" s="1320" t="s">
        <v>186</v>
      </c>
      <c r="F788" s="1320"/>
      <c r="G788" s="1322"/>
      <c r="H788" s="165" t="s">
        <v>12</v>
      </c>
      <c r="I788" s="886"/>
      <c r="J788" s="886"/>
      <c r="K788" s="887"/>
      <c r="L788" s="887">
        <f t="shared" ca="1" si="322"/>
        <v>0</v>
      </c>
      <c r="M788" s="887">
        <f t="shared" si="322"/>
        <v>0</v>
      </c>
      <c r="N788" s="887">
        <f t="shared" si="322"/>
        <v>0</v>
      </c>
      <c r="O788" s="887">
        <f t="shared" ca="1" si="320"/>
        <v>0</v>
      </c>
      <c r="P788" s="887">
        <f t="shared" si="321"/>
        <v>0</v>
      </c>
      <c r="Q788" s="1323"/>
      <c r="R788" s="1323"/>
      <c r="S788" s="1323"/>
      <c r="T788" s="1323"/>
      <c r="U788" s="1323"/>
      <c r="V788" s="1323"/>
      <c r="W788" s="1323"/>
      <c r="X788" s="1323"/>
      <c r="Y788" s="1323"/>
      <c r="Z788" s="1323"/>
    </row>
    <row r="789" spans="1:26" ht="18.75" hidden="1">
      <c r="A789" s="1317"/>
      <c r="B789" s="1300"/>
      <c r="C789" s="1300"/>
      <c r="D789" s="1325" t="s">
        <v>20</v>
      </c>
      <c r="E789" s="1301"/>
      <c r="F789" s="1301"/>
      <c r="G789" s="1016"/>
      <c r="H789" s="161" t="s">
        <v>12</v>
      </c>
      <c r="I789" s="997"/>
      <c r="J789" s="997"/>
      <c r="K789" s="998"/>
      <c r="L789" s="881">
        <f t="shared" ref="L789:N789" ca="1" si="323">L790+L791</f>
        <v>0</v>
      </c>
      <c r="M789" s="881">
        <f t="shared" si="323"/>
        <v>0</v>
      </c>
      <c r="N789" s="881">
        <f t="shared" si="323"/>
        <v>0</v>
      </c>
      <c r="O789" s="881">
        <f t="shared" ca="1" si="320"/>
        <v>0</v>
      </c>
      <c r="P789" s="881">
        <f t="shared" si="321"/>
        <v>0</v>
      </c>
      <c r="Q789" s="1302"/>
      <c r="R789" s="1302"/>
      <c r="S789" s="1302"/>
      <c r="T789" s="1302"/>
      <c r="U789" s="1302"/>
      <c r="V789" s="1302"/>
      <c r="W789" s="1302"/>
      <c r="X789" s="1302"/>
      <c r="Y789" s="1302"/>
      <c r="Z789" s="1302"/>
    </row>
    <row r="790" spans="1:26" ht="18.75" hidden="1">
      <c r="A790" s="1319"/>
      <c r="B790" s="1324"/>
      <c r="C790" s="1324"/>
      <c r="D790" s="1333"/>
      <c r="E790" s="1320" t="s">
        <v>185</v>
      </c>
      <c r="F790" s="1320"/>
      <c r="G790" s="1322"/>
      <c r="H790" s="165" t="s">
        <v>12</v>
      </c>
      <c r="I790" s="886"/>
      <c r="J790" s="886"/>
      <c r="K790" s="887"/>
      <c r="L790" s="887">
        <v>0</v>
      </c>
      <c r="M790" s="887">
        <v>0</v>
      </c>
      <c r="N790" s="887">
        <v>0</v>
      </c>
      <c r="O790" s="887">
        <f t="shared" si="320"/>
        <v>0</v>
      </c>
      <c r="P790" s="887">
        <f t="shared" si="321"/>
        <v>0</v>
      </c>
      <c r="Q790" s="1323"/>
      <c r="R790" s="1323"/>
      <c r="S790" s="1323"/>
      <c r="T790" s="1323"/>
      <c r="U790" s="1323"/>
      <c r="V790" s="1323"/>
      <c r="W790" s="1323"/>
      <c r="X790" s="1323"/>
      <c r="Y790" s="1323"/>
      <c r="Z790" s="1323"/>
    </row>
    <row r="791" spans="1:26" ht="18.75" hidden="1">
      <c r="A791" s="1319"/>
      <c r="B791" s="1324"/>
      <c r="C791" s="1324"/>
      <c r="D791" s="1333"/>
      <c r="E791" s="1320" t="s">
        <v>186</v>
      </c>
      <c r="F791" s="1320"/>
      <c r="G791" s="1322"/>
      <c r="H791" s="165" t="s">
        <v>12</v>
      </c>
      <c r="I791" s="886"/>
      <c r="J791" s="886"/>
      <c r="K791" s="887"/>
      <c r="L791" s="887">
        <f ca="1">IFERROR(__xludf.DUMMYFUNCTION("IMPORTRANGE(""https://docs.google.com/spreadsheets/d/1QqKyyYR6Q21VydFLVH3TRQUabQu_ym0Zz7PgGX0-kHA/edit?usp=sharing"",""แผน!JJ87"")"),0)</f>
        <v>0</v>
      </c>
      <c r="M791" s="887">
        <v>0</v>
      </c>
      <c r="N791" s="887">
        <f>N792+N793+N794+N795</f>
        <v>0</v>
      </c>
      <c r="O791" s="887">
        <f t="shared" ca="1" si="320"/>
        <v>0</v>
      </c>
      <c r="P791" s="887">
        <f t="shared" si="321"/>
        <v>0</v>
      </c>
      <c r="Q791" s="1323"/>
      <c r="R791" s="1323"/>
      <c r="S791" s="1323"/>
      <c r="T791" s="1323"/>
      <c r="U791" s="1323"/>
      <c r="V791" s="1323"/>
      <c r="W791" s="1323"/>
      <c r="X791" s="1323"/>
      <c r="Y791" s="1323"/>
      <c r="Z791" s="1323"/>
    </row>
    <row r="792" spans="1:26" ht="18.75" hidden="1">
      <c r="A792" s="1299"/>
      <c r="B792" s="1300"/>
      <c r="C792" s="1301"/>
      <c r="D792" s="1301"/>
      <c r="E792" s="1301"/>
      <c r="F792" s="1301" t="s">
        <v>187</v>
      </c>
      <c r="G792" s="1016"/>
      <c r="H792" s="161" t="s">
        <v>12</v>
      </c>
      <c r="I792" s="880"/>
      <c r="J792" s="880"/>
      <c r="K792" s="881"/>
      <c r="L792" s="881"/>
      <c r="M792" s="881"/>
      <c r="N792" s="1085">
        <v>0</v>
      </c>
      <c r="O792" s="881"/>
      <c r="P792" s="881"/>
      <c r="Q792" s="1302"/>
      <c r="R792" s="1302"/>
      <c r="S792" s="1302"/>
      <c r="T792" s="1302"/>
      <c r="U792" s="1302"/>
      <c r="V792" s="1302"/>
      <c r="W792" s="1302"/>
      <c r="X792" s="1302"/>
      <c r="Y792" s="1302"/>
      <c r="Z792" s="1302"/>
    </row>
    <row r="793" spans="1:26" ht="18.75" hidden="1">
      <c r="A793" s="1299"/>
      <c r="B793" s="1300"/>
      <c r="C793" s="1301"/>
      <c r="D793" s="1301"/>
      <c r="E793" s="1301"/>
      <c r="F793" s="1301" t="s">
        <v>188</v>
      </c>
      <c r="G793" s="1016"/>
      <c r="H793" s="161" t="s">
        <v>12</v>
      </c>
      <c r="I793" s="880"/>
      <c r="J793" s="880"/>
      <c r="K793" s="881"/>
      <c r="L793" s="881"/>
      <c r="M793" s="881"/>
      <c r="N793" s="1085">
        <v>0</v>
      </c>
      <c r="O793" s="881"/>
      <c r="P793" s="881"/>
      <c r="Q793" s="1302"/>
      <c r="R793" s="1302"/>
      <c r="S793" s="1302"/>
      <c r="T793" s="1302"/>
      <c r="U793" s="1302"/>
      <c r="V793" s="1302"/>
      <c r="W793" s="1302"/>
      <c r="X793" s="1302"/>
      <c r="Y793" s="1302"/>
      <c r="Z793" s="1302"/>
    </row>
    <row r="794" spans="1:26" ht="18.75" hidden="1">
      <c r="A794" s="1299"/>
      <c r="B794" s="1300"/>
      <c r="C794" s="1301"/>
      <c r="D794" s="1301"/>
      <c r="E794" s="1301"/>
      <c r="F794" s="1301" t="s">
        <v>189</v>
      </c>
      <c r="G794" s="1016"/>
      <c r="H794" s="161" t="s">
        <v>12</v>
      </c>
      <c r="I794" s="880"/>
      <c r="J794" s="880"/>
      <c r="K794" s="881"/>
      <c r="L794" s="881"/>
      <c r="M794" s="881"/>
      <c r="N794" s="1085">
        <v>0</v>
      </c>
      <c r="O794" s="881"/>
      <c r="P794" s="881"/>
      <c r="Q794" s="1302"/>
      <c r="R794" s="1302"/>
      <c r="S794" s="1302"/>
      <c r="T794" s="1302"/>
      <c r="U794" s="1302"/>
      <c r="V794" s="1302"/>
      <c r="W794" s="1302"/>
      <c r="X794" s="1302"/>
      <c r="Y794" s="1302"/>
      <c r="Z794" s="1302"/>
    </row>
    <row r="795" spans="1:26" ht="18.75" hidden="1">
      <c r="A795" s="1299"/>
      <c r="B795" s="1300"/>
      <c r="C795" s="1301"/>
      <c r="D795" s="1301"/>
      <c r="E795" s="1301"/>
      <c r="F795" s="1301" t="s">
        <v>190</v>
      </c>
      <c r="G795" s="1016"/>
      <c r="H795" s="161" t="s">
        <v>12</v>
      </c>
      <c r="I795" s="880"/>
      <c r="J795" s="880"/>
      <c r="K795" s="881"/>
      <c r="L795" s="881"/>
      <c r="M795" s="881"/>
      <c r="N795" s="1085">
        <v>0</v>
      </c>
      <c r="O795" s="881"/>
      <c r="P795" s="881"/>
      <c r="Q795" s="1302"/>
      <c r="R795" s="1302"/>
      <c r="S795" s="1302"/>
      <c r="T795" s="1302"/>
      <c r="U795" s="1302"/>
      <c r="V795" s="1302"/>
      <c r="W795" s="1302"/>
      <c r="X795" s="1302"/>
      <c r="Y795" s="1302"/>
      <c r="Z795" s="1302"/>
    </row>
    <row r="796" spans="1:26" ht="18.75" hidden="1">
      <c r="A796" s="1317"/>
      <c r="B796" s="1300"/>
      <c r="C796" s="1301"/>
      <c r="D796" s="1325" t="s">
        <v>21</v>
      </c>
      <c r="E796" s="1301"/>
      <c r="F796" s="1301"/>
      <c r="G796" s="1016"/>
      <c r="H796" s="168" t="s">
        <v>12</v>
      </c>
      <c r="I796" s="997"/>
      <c r="J796" s="997"/>
      <c r="K796" s="998"/>
      <c r="L796" s="881">
        <f t="shared" ref="L796:N796" si="324">L797+L798</f>
        <v>0</v>
      </c>
      <c r="M796" s="881">
        <f t="shared" si="324"/>
        <v>0</v>
      </c>
      <c r="N796" s="881">
        <f t="shared" si="324"/>
        <v>0</v>
      </c>
      <c r="O796" s="881">
        <f t="shared" ref="O796:O798" si="325">IF(L796&gt;0,N796*100/L796,0)</f>
        <v>0</v>
      </c>
      <c r="P796" s="881">
        <f t="shared" ref="P796:P798" si="326">IF(M796&gt;0,N796*100/M796,0)</f>
        <v>0</v>
      </c>
      <c r="Q796" s="1302"/>
      <c r="R796" s="1302"/>
      <c r="S796" s="1302"/>
      <c r="T796" s="1302"/>
      <c r="U796" s="1302"/>
      <c r="V796" s="1302"/>
      <c r="W796" s="1302"/>
      <c r="X796" s="1302"/>
      <c r="Y796" s="1302"/>
      <c r="Z796" s="1302"/>
    </row>
    <row r="797" spans="1:26" ht="18.75" hidden="1">
      <c r="A797" s="1319"/>
      <c r="B797" s="1324"/>
      <c r="C797" s="1320"/>
      <c r="D797" s="1320"/>
      <c r="E797" s="1320" t="s">
        <v>18</v>
      </c>
      <c r="F797" s="1320"/>
      <c r="G797" s="1322"/>
      <c r="H797" s="165" t="s">
        <v>12</v>
      </c>
      <c r="I797" s="1000"/>
      <c r="J797" s="1000"/>
      <c r="K797" s="1001"/>
      <c r="L797" s="887">
        <v>0</v>
      </c>
      <c r="M797" s="887">
        <v>0</v>
      </c>
      <c r="N797" s="887">
        <v>0</v>
      </c>
      <c r="O797" s="887">
        <f t="shared" si="325"/>
        <v>0</v>
      </c>
      <c r="P797" s="887">
        <f t="shared" si="326"/>
        <v>0</v>
      </c>
      <c r="Q797" s="1323"/>
      <c r="R797" s="1323"/>
      <c r="S797" s="1323"/>
      <c r="T797" s="1323"/>
      <c r="U797" s="1323"/>
      <c r="V797" s="1323"/>
      <c r="W797" s="1323"/>
      <c r="X797" s="1323"/>
      <c r="Y797" s="1323"/>
      <c r="Z797" s="1323"/>
    </row>
    <row r="798" spans="1:26" ht="18.75" hidden="1">
      <c r="A798" s="1319"/>
      <c r="B798" s="1324"/>
      <c r="C798" s="1320"/>
      <c r="D798" s="1320"/>
      <c r="E798" s="1320" t="s">
        <v>19</v>
      </c>
      <c r="F798" s="1320"/>
      <c r="G798" s="1322"/>
      <c r="H798" s="169" t="s">
        <v>12</v>
      </c>
      <c r="I798" s="1000"/>
      <c r="J798" s="1000"/>
      <c r="K798" s="1001"/>
      <c r="L798" s="887">
        <v>0</v>
      </c>
      <c r="M798" s="887">
        <v>0</v>
      </c>
      <c r="N798" s="887">
        <v>0</v>
      </c>
      <c r="O798" s="887">
        <f t="shared" si="325"/>
        <v>0</v>
      </c>
      <c r="P798" s="887">
        <f t="shared" si="326"/>
        <v>0</v>
      </c>
      <c r="Q798" s="1323"/>
      <c r="R798" s="1323"/>
      <c r="S798" s="1323"/>
      <c r="T798" s="1323"/>
      <c r="U798" s="1323"/>
      <c r="V798" s="1323"/>
      <c r="W798" s="1323"/>
      <c r="X798" s="1323"/>
      <c r="Y798" s="1323"/>
      <c r="Z798" s="1323"/>
    </row>
    <row r="799" spans="1:26" ht="19.5" hidden="1">
      <c r="A799" s="1326"/>
      <c r="B799" s="1327"/>
      <c r="C799" s="1301" t="s">
        <v>16</v>
      </c>
      <c r="D799" s="1439" t="s">
        <v>38</v>
      </c>
      <c r="E799" s="1330"/>
      <c r="F799" s="1330"/>
      <c r="G799" s="1331"/>
      <c r="H799" s="1475"/>
      <c r="I799" s="997"/>
      <c r="J799" s="997"/>
      <c r="K799" s="998"/>
      <c r="L799" s="998"/>
      <c r="M799" s="998"/>
      <c r="N799" s="998"/>
      <c r="O799" s="998"/>
      <c r="P799" s="998"/>
      <c r="Q799" s="1302"/>
      <c r="R799" s="1302"/>
      <c r="S799" s="1302"/>
      <c r="T799" s="1302"/>
      <c r="U799" s="1302"/>
      <c r="V799" s="1302"/>
      <c r="W799" s="1302"/>
      <c r="X799" s="1302"/>
      <c r="Y799" s="1302"/>
      <c r="Z799" s="1302"/>
    </row>
    <row r="800" spans="1:26" ht="18.75" hidden="1">
      <c r="A800" s="1326"/>
      <c r="B800" s="1327"/>
      <c r="C800" s="1327"/>
      <c r="D800" s="1327"/>
      <c r="E800" s="1014"/>
      <c r="F800" s="1014" t="s">
        <v>321</v>
      </c>
      <c r="G800" s="1007"/>
      <c r="H800" s="185" t="s">
        <v>46</v>
      </c>
      <c r="I800" s="997">
        <f ca="1">IFERROR(__xludf.DUMMYFUNCTION("IMPORTRANGE(""https://docs.google.com/spreadsheets/d/1QqKyyYR6Q21VydFLVH3TRQUabQu_ym0Zz7PgGX0-kHA/edit?usp=sharing"",""แผน!JN87"")"),0)</f>
        <v>0</v>
      </c>
      <c r="J800" s="997">
        <f ca="1">IFERROR(__xludf.DUMMYFUNCTION("IMPORTRANGE(""https://docs.google.com/spreadsheets/d/1MaWodYyGHDf7siQLGxnXhG4mBNTNIuy296niS2xXulU/edit?usp=sharing"",""RTK!H87"")"),0)</f>
        <v>0</v>
      </c>
      <c r="K800" s="881">
        <f ca="1">IF(I800&gt;0,J800*100/I800,0)</f>
        <v>0</v>
      </c>
      <c r="L800" s="881"/>
      <c r="M800" s="881"/>
      <c r="N800" s="881"/>
      <c r="O800" s="998"/>
      <c r="P800" s="998"/>
      <c r="Q800" s="1302"/>
      <c r="R800" s="1302"/>
      <c r="S800" s="1302"/>
      <c r="T800" s="1302"/>
      <c r="U800" s="1302"/>
      <c r="V800" s="1302"/>
      <c r="W800" s="1302"/>
      <c r="X800" s="1302"/>
      <c r="Y800" s="1302"/>
      <c r="Z800" s="1302"/>
    </row>
    <row r="801" spans="1:26" ht="18.75" hidden="1">
      <c r="A801" s="1326"/>
      <c r="B801" s="1327"/>
      <c r="C801" s="1327"/>
      <c r="D801" s="1327"/>
      <c r="E801" s="1014"/>
      <c r="F801" s="1014"/>
      <c r="G801" s="1007"/>
      <c r="H801" s="161" t="s">
        <v>34</v>
      </c>
      <c r="I801" s="997"/>
      <c r="J801" s="880">
        <f ca="1">IFERROR(__xludf.DUMMYFUNCTION("IMPORTRANGE(""https://docs.google.com/spreadsheets/d/1MaWodYyGHDf7siQLGxnXhG4mBNTNIuy296niS2xXulU/edit?usp=sharing"",""RTK!I87"")"),0)</f>
        <v>0</v>
      </c>
      <c r="K801" s="881"/>
      <c r="L801" s="881"/>
      <c r="M801" s="881"/>
      <c r="N801" s="881"/>
      <c r="O801" s="998"/>
      <c r="P801" s="998"/>
      <c r="Q801" s="1302"/>
      <c r="R801" s="1302"/>
      <c r="S801" s="1302"/>
      <c r="T801" s="1302"/>
      <c r="U801" s="1302"/>
      <c r="V801" s="1302"/>
      <c r="W801" s="1302"/>
      <c r="X801" s="1302"/>
      <c r="Y801" s="1302"/>
      <c r="Z801" s="1302"/>
    </row>
    <row r="802" spans="1:26" ht="18.75" hidden="1">
      <c r="A802" s="1332"/>
      <c r="B802" s="1333"/>
      <c r="C802" s="1333"/>
      <c r="D802" s="1333"/>
      <c r="E802" s="1321"/>
      <c r="F802" s="1321" t="s">
        <v>322</v>
      </c>
      <c r="G802" s="1113"/>
      <c r="H802" s="651" t="s">
        <v>46</v>
      </c>
      <c r="I802" s="1000"/>
      <c r="J802" s="886"/>
      <c r="K802" s="1001">
        <f>IF(I802&gt;0,J802*100/I802,0)</f>
        <v>0</v>
      </c>
      <c r="L802" s="1001"/>
      <c r="M802" s="1001"/>
      <c r="N802" s="1001"/>
      <c r="O802" s="1001"/>
      <c r="P802" s="1001"/>
      <c r="Q802" s="1323"/>
      <c r="R802" s="1323"/>
      <c r="S802" s="1323"/>
      <c r="T802" s="1323"/>
      <c r="U802" s="1323"/>
      <c r="V802" s="1323"/>
      <c r="W802" s="1323"/>
      <c r="X802" s="1323"/>
      <c r="Y802" s="1323"/>
      <c r="Z802" s="1323"/>
    </row>
    <row r="803" spans="1:26" ht="18.75" hidden="1">
      <c r="A803" s="1332"/>
      <c r="B803" s="1333"/>
      <c r="C803" s="1333"/>
      <c r="D803" s="1333"/>
      <c r="E803" s="1321"/>
      <c r="F803" s="1321"/>
      <c r="G803" s="1113"/>
      <c r="H803" s="651" t="s">
        <v>34</v>
      </c>
      <c r="I803" s="1000"/>
      <c r="J803" s="886"/>
      <c r="K803" s="1001"/>
      <c r="L803" s="1001"/>
      <c r="M803" s="1001"/>
      <c r="N803" s="1001"/>
      <c r="O803" s="1001"/>
      <c r="P803" s="1001"/>
      <c r="Q803" s="1323"/>
      <c r="R803" s="1323"/>
      <c r="S803" s="1323"/>
      <c r="T803" s="1323"/>
      <c r="U803" s="1323"/>
      <c r="V803" s="1323"/>
      <c r="W803" s="1323"/>
      <c r="X803" s="1323"/>
      <c r="Y803" s="1323"/>
      <c r="Z803" s="1323"/>
    </row>
    <row r="804" spans="1:26" ht="19.5" hidden="1">
      <c r="A804" s="791">
        <v>13</v>
      </c>
      <c r="B804" s="1461" t="s">
        <v>323</v>
      </c>
      <c r="C804" s="1462"/>
      <c r="D804" s="1476"/>
      <c r="E804" s="1462"/>
      <c r="F804" s="1462"/>
      <c r="G804" s="1463"/>
      <c r="H804" s="795" t="s">
        <v>46</v>
      </c>
      <c r="I804" s="1464"/>
      <c r="J804" s="1464">
        <f>J819</f>
        <v>0</v>
      </c>
      <c r="K804" s="1465">
        <f>IF(I804&gt;0,J804*100/I804,0)</f>
        <v>0</v>
      </c>
      <c r="L804" s="1466"/>
      <c r="M804" s="1466"/>
      <c r="N804" s="1466"/>
      <c r="O804" s="1466"/>
      <c r="P804" s="1466"/>
      <c r="Q804" s="1323"/>
      <c r="R804" s="1323"/>
      <c r="S804" s="1323"/>
      <c r="T804" s="1323"/>
      <c r="U804" s="1323"/>
      <c r="V804" s="1323"/>
      <c r="W804" s="1323"/>
      <c r="X804" s="1323"/>
      <c r="Y804" s="1323"/>
      <c r="Z804" s="1323"/>
    </row>
    <row r="805" spans="1:26" ht="19.5" hidden="1">
      <c r="A805" s="1319"/>
      <c r="B805" s="1320"/>
      <c r="C805" s="1320" t="s">
        <v>16</v>
      </c>
      <c r="D805" s="1351" t="s">
        <v>17</v>
      </c>
      <c r="E805" s="841"/>
      <c r="F805" s="841"/>
      <c r="G805" s="1322"/>
      <c r="H805" s="644" t="s">
        <v>12</v>
      </c>
      <c r="I805" s="886"/>
      <c r="J805" s="886"/>
      <c r="K805" s="887"/>
      <c r="L805" s="1352">
        <f t="shared" ref="L805:N805" si="327">L806+L807</f>
        <v>0</v>
      </c>
      <c r="M805" s="1352">
        <f t="shared" si="327"/>
        <v>0</v>
      </c>
      <c r="N805" s="1352">
        <f t="shared" si="327"/>
        <v>0</v>
      </c>
      <c r="O805" s="1352">
        <f t="shared" ref="O805:O810" si="328">IF(L805&gt;0,N805*100/L805,0)</f>
        <v>0</v>
      </c>
      <c r="P805" s="1352">
        <f t="shared" ref="P805:P810" si="329">IF(M805&gt;0,N805*100/M805,0)</f>
        <v>0</v>
      </c>
      <c r="Q805" s="1323"/>
      <c r="R805" s="1323"/>
      <c r="S805" s="1323"/>
      <c r="T805" s="1323"/>
      <c r="U805" s="1323"/>
      <c r="V805" s="1323"/>
      <c r="W805" s="1323"/>
      <c r="X805" s="1323"/>
      <c r="Y805" s="1323"/>
      <c r="Z805" s="1323"/>
    </row>
    <row r="806" spans="1:26" ht="18.75" hidden="1">
      <c r="A806" s="1319"/>
      <c r="B806" s="1320"/>
      <c r="C806" s="1320"/>
      <c r="D806" s="1333"/>
      <c r="E806" s="1320" t="s">
        <v>185</v>
      </c>
      <c r="F806" s="1320"/>
      <c r="G806" s="1322"/>
      <c r="H806" s="165" t="s">
        <v>12</v>
      </c>
      <c r="I806" s="886"/>
      <c r="J806" s="886"/>
      <c r="K806" s="887"/>
      <c r="L806" s="887">
        <f t="shared" ref="L806:N807" si="330">L809+L816</f>
        <v>0</v>
      </c>
      <c r="M806" s="887">
        <f t="shared" si="330"/>
        <v>0</v>
      </c>
      <c r="N806" s="887">
        <f t="shared" si="330"/>
        <v>0</v>
      </c>
      <c r="O806" s="887">
        <f t="shared" si="328"/>
        <v>0</v>
      </c>
      <c r="P806" s="887">
        <f t="shared" si="329"/>
        <v>0</v>
      </c>
      <c r="Q806" s="1323"/>
      <c r="R806" s="1323"/>
      <c r="S806" s="1323"/>
      <c r="T806" s="1323"/>
      <c r="U806" s="1323"/>
      <c r="V806" s="1323"/>
      <c r="W806" s="1323"/>
      <c r="X806" s="1323"/>
      <c r="Y806" s="1323"/>
      <c r="Z806" s="1323"/>
    </row>
    <row r="807" spans="1:26" ht="18.75" hidden="1">
      <c r="A807" s="1319"/>
      <c r="B807" s="1320"/>
      <c r="C807" s="1320"/>
      <c r="D807" s="1333"/>
      <c r="E807" s="1320" t="s">
        <v>186</v>
      </c>
      <c r="F807" s="1320"/>
      <c r="G807" s="1322"/>
      <c r="H807" s="165" t="s">
        <v>12</v>
      </c>
      <c r="I807" s="886"/>
      <c r="J807" s="886"/>
      <c r="K807" s="887"/>
      <c r="L807" s="887">
        <f t="shared" si="330"/>
        <v>0</v>
      </c>
      <c r="M807" s="887">
        <f t="shared" si="330"/>
        <v>0</v>
      </c>
      <c r="N807" s="887">
        <f t="shared" si="330"/>
        <v>0</v>
      </c>
      <c r="O807" s="887">
        <f t="shared" si="328"/>
        <v>0</v>
      </c>
      <c r="P807" s="887">
        <f t="shared" si="329"/>
        <v>0</v>
      </c>
      <c r="Q807" s="1323"/>
      <c r="R807" s="1323"/>
      <c r="S807" s="1323"/>
      <c r="T807" s="1323"/>
      <c r="U807" s="1323"/>
      <c r="V807" s="1323"/>
      <c r="W807" s="1323"/>
      <c r="X807" s="1323"/>
      <c r="Y807" s="1323"/>
      <c r="Z807" s="1323"/>
    </row>
    <row r="808" spans="1:26" ht="19.5" hidden="1">
      <c r="A808" s="1319"/>
      <c r="B808" s="1324"/>
      <c r="C808" s="1320"/>
      <c r="D808" s="1477" t="s">
        <v>20</v>
      </c>
      <c r="E808" s="841"/>
      <c r="F808" s="841"/>
      <c r="G808" s="1322"/>
      <c r="H808" s="644" t="s">
        <v>12</v>
      </c>
      <c r="I808" s="1000"/>
      <c r="J808" s="1000"/>
      <c r="K808" s="1001"/>
      <c r="L808" s="1352">
        <f t="shared" ref="L808:N808" si="331">L809+L810</f>
        <v>0</v>
      </c>
      <c r="M808" s="1352">
        <f t="shared" si="331"/>
        <v>0</v>
      </c>
      <c r="N808" s="1352">
        <f t="shared" si="331"/>
        <v>0</v>
      </c>
      <c r="O808" s="1352">
        <f t="shared" si="328"/>
        <v>0</v>
      </c>
      <c r="P808" s="1352">
        <f t="shared" si="329"/>
        <v>0</v>
      </c>
      <c r="Q808" s="1323"/>
      <c r="R808" s="1323"/>
      <c r="S808" s="1323"/>
      <c r="T808" s="1323"/>
      <c r="U808" s="1323"/>
      <c r="V808" s="1323"/>
      <c r="W808" s="1323"/>
      <c r="X808" s="1323"/>
      <c r="Y808" s="1323"/>
      <c r="Z808" s="1323"/>
    </row>
    <row r="809" spans="1:26" ht="18.75" hidden="1">
      <c r="A809" s="1319"/>
      <c r="B809" s="1320"/>
      <c r="C809" s="1320"/>
      <c r="D809" s="1333"/>
      <c r="E809" s="1320" t="s">
        <v>185</v>
      </c>
      <c r="F809" s="1320"/>
      <c r="G809" s="1322"/>
      <c r="H809" s="165" t="s">
        <v>12</v>
      </c>
      <c r="I809" s="886"/>
      <c r="J809" s="886"/>
      <c r="K809" s="887"/>
      <c r="L809" s="887">
        <v>0</v>
      </c>
      <c r="M809" s="887">
        <v>0</v>
      </c>
      <c r="N809" s="887">
        <v>0</v>
      </c>
      <c r="O809" s="887">
        <f t="shared" si="328"/>
        <v>0</v>
      </c>
      <c r="P809" s="887">
        <f t="shared" si="329"/>
        <v>0</v>
      </c>
      <c r="Q809" s="1323"/>
      <c r="R809" s="1323"/>
      <c r="S809" s="1323"/>
      <c r="T809" s="1323"/>
      <c r="U809" s="1323"/>
      <c r="V809" s="1323"/>
      <c r="W809" s="1323"/>
      <c r="X809" s="1323"/>
      <c r="Y809" s="1323"/>
      <c r="Z809" s="1323"/>
    </row>
    <row r="810" spans="1:26" ht="18.75" hidden="1">
      <c r="A810" s="1319"/>
      <c r="B810" s="1320"/>
      <c r="C810" s="1320"/>
      <c r="D810" s="1333"/>
      <c r="E810" s="1320" t="s">
        <v>186</v>
      </c>
      <c r="F810" s="1320"/>
      <c r="G810" s="1322"/>
      <c r="H810" s="165" t="s">
        <v>12</v>
      </c>
      <c r="I810" s="886"/>
      <c r="J810" s="886"/>
      <c r="K810" s="887"/>
      <c r="L810" s="887">
        <v>0</v>
      </c>
      <c r="M810" s="887">
        <v>0</v>
      </c>
      <c r="N810" s="887">
        <f>N811+N812+N813+N814</f>
        <v>0</v>
      </c>
      <c r="O810" s="887">
        <f t="shared" si="328"/>
        <v>0</v>
      </c>
      <c r="P810" s="887">
        <f t="shared" si="329"/>
        <v>0</v>
      </c>
      <c r="Q810" s="1323"/>
      <c r="R810" s="1323"/>
      <c r="S810" s="1323"/>
      <c r="T810" s="1323"/>
      <c r="U810" s="1323"/>
      <c r="V810" s="1323"/>
      <c r="W810" s="1323"/>
      <c r="X810" s="1323"/>
      <c r="Y810" s="1323"/>
      <c r="Z810" s="1323"/>
    </row>
    <row r="811" spans="1:26" ht="18.75" hidden="1">
      <c r="A811" s="1354"/>
      <c r="B811" s="1324"/>
      <c r="C811" s="1320"/>
      <c r="D811" s="1324"/>
      <c r="E811" s="1320"/>
      <c r="F811" s="1320" t="s">
        <v>187</v>
      </c>
      <c r="G811" s="1322"/>
      <c r="H811" s="165" t="s">
        <v>12</v>
      </c>
      <c r="I811" s="886"/>
      <c r="J811" s="886"/>
      <c r="K811" s="887"/>
      <c r="L811" s="887"/>
      <c r="M811" s="887"/>
      <c r="N811" s="887"/>
      <c r="O811" s="887"/>
      <c r="P811" s="887"/>
      <c r="Q811" s="1323"/>
      <c r="R811" s="1323"/>
      <c r="S811" s="1323"/>
      <c r="T811" s="1323"/>
      <c r="U811" s="1323"/>
      <c r="V811" s="1323"/>
      <c r="W811" s="1323"/>
      <c r="X811" s="1323"/>
      <c r="Y811" s="1323"/>
      <c r="Z811" s="1323"/>
    </row>
    <row r="812" spans="1:26" ht="18.75" hidden="1">
      <c r="A812" s="1354"/>
      <c r="B812" s="1324"/>
      <c r="C812" s="1320"/>
      <c r="D812" s="1324"/>
      <c r="E812" s="1320"/>
      <c r="F812" s="1320" t="s">
        <v>188</v>
      </c>
      <c r="G812" s="1322"/>
      <c r="H812" s="165" t="s">
        <v>12</v>
      </c>
      <c r="I812" s="886"/>
      <c r="J812" s="886"/>
      <c r="K812" s="887"/>
      <c r="L812" s="887"/>
      <c r="M812" s="887"/>
      <c r="N812" s="887"/>
      <c r="O812" s="887"/>
      <c r="P812" s="887"/>
      <c r="Q812" s="1323"/>
      <c r="R812" s="1323"/>
      <c r="S812" s="1323"/>
      <c r="T812" s="1323"/>
      <c r="U812" s="1323"/>
      <c r="V812" s="1323"/>
      <c r="W812" s="1323"/>
      <c r="X812" s="1323"/>
      <c r="Y812" s="1323"/>
      <c r="Z812" s="1323"/>
    </row>
    <row r="813" spans="1:26" ht="18.75" hidden="1">
      <c r="A813" s="1354"/>
      <c r="B813" s="1324"/>
      <c r="C813" s="1320"/>
      <c r="D813" s="1324"/>
      <c r="E813" s="1320"/>
      <c r="F813" s="1320" t="s">
        <v>189</v>
      </c>
      <c r="G813" s="1322"/>
      <c r="H813" s="165" t="s">
        <v>12</v>
      </c>
      <c r="I813" s="886"/>
      <c r="J813" s="886"/>
      <c r="K813" s="887"/>
      <c r="L813" s="887"/>
      <c r="M813" s="887"/>
      <c r="N813" s="887"/>
      <c r="O813" s="887"/>
      <c r="P813" s="887"/>
      <c r="Q813" s="1323"/>
      <c r="R813" s="1323"/>
      <c r="S813" s="1323"/>
      <c r="T813" s="1323"/>
      <c r="U813" s="1323"/>
      <c r="V813" s="1323"/>
      <c r="W813" s="1323"/>
      <c r="X813" s="1323"/>
      <c r="Y813" s="1323"/>
      <c r="Z813" s="1323"/>
    </row>
    <row r="814" spans="1:26" ht="18.75" hidden="1">
      <c r="A814" s="1354"/>
      <c r="B814" s="1324"/>
      <c r="C814" s="1320"/>
      <c r="D814" s="1324"/>
      <c r="E814" s="1320"/>
      <c r="F814" s="1320" t="s">
        <v>190</v>
      </c>
      <c r="G814" s="1322"/>
      <c r="H814" s="165" t="s">
        <v>12</v>
      </c>
      <c r="I814" s="886"/>
      <c r="J814" s="886"/>
      <c r="K814" s="887"/>
      <c r="L814" s="887"/>
      <c r="M814" s="887"/>
      <c r="N814" s="887"/>
      <c r="O814" s="887"/>
      <c r="P814" s="887"/>
      <c r="Q814" s="1323"/>
      <c r="R814" s="1323"/>
      <c r="S814" s="1323"/>
      <c r="T814" s="1323"/>
      <c r="U814" s="1323"/>
      <c r="V814" s="1323"/>
      <c r="W814" s="1323"/>
      <c r="X814" s="1323"/>
      <c r="Y814" s="1323"/>
      <c r="Z814" s="1323"/>
    </row>
    <row r="815" spans="1:26" ht="19.5" hidden="1">
      <c r="A815" s="1319"/>
      <c r="B815" s="1324"/>
      <c r="C815" s="1320"/>
      <c r="D815" s="1477" t="s">
        <v>21</v>
      </c>
      <c r="E815" s="841"/>
      <c r="F815" s="841"/>
      <c r="G815" s="1322"/>
      <c r="H815" s="781" t="s">
        <v>12</v>
      </c>
      <c r="I815" s="1000"/>
      <c r="J815" s="1000"/>
      <c r="K815" s="1001"/>
      <c r="L815" s="1352">
        <f t="shared" ref="L815:N815" si="332">L816+L817</f>
        <v>0</v>
      </c>
      <c r="M815" s="1352">
        <f t="shared" si="332"/>
        <v>0</v>
      </c>
      <c r="N815" s="1352">
        <f t="shared" si="332"/>
        <v>0</v>
      </c>
      <c r="O815" s="1352">
        <f t="shared" ref="O815:O817" si="333">IF(L815&gt;0,N815*100/L815,0)</f>
        <v>0</v>
      </c>
      <c r="P815" s="1352">
        <f t="shared" ref="P815:P817" si="334">IF(M815&gt;0,N815*100/M815,0)</f>
        <v>0</v>
      </c>
      <c r="Q815" s="1323"/>
      <c r="R815" s="1323"/>
      <c r="S815" s="1323"/>
      <c r="T815" s="1323"/>
      <c r="U815" s="1323"/>
      <c r="V815" s="1323"/>
      <c r="W815" s="1323"/>
      <c r="X815" s="1323"/>
      <c r="Y815" s="1323"/>
      <c r="Z815" s="1323"/>
    </row>
    <row r="816" spans="1:26" ht="18.75" hidden="1">
      <c r="A816" s="1319"/>
      <c r="B816" s="1324"/>
      <c r="C816" s="1320"/>
      <c r="D816" s="1324"/>
      <c r="E816" s="1320" t="s">
        <v>18</v>
      </c>
      <c r="F816" s="1320"/>
      <c r="G816" s="1322"/>
      <c r="H816" s="165" t="s">
        <v>12</v>
      </c>
      <c r="I816" s="1000"/>
      <c r="J816" s="1000"/>
      <c r="K816" s="1001"/>
      <c r="L816" s="887">
        <v>0</v>
      </c>
      <c r="M816" s="887">
        <v>0</v>
      </c>
      <c r="N816" s="887">
        <v>0</v>
      </c>
      <c r="O816" s="887">
        <f t="shared" si="333"/>
        <v>0</v>
      </c>
      <c r="P816" s="887">
        <f t="shared" si="334"/>
        <v>0</v>
      </c>
      <c r="Q816" s="1323"/>
      <c r="R816" s="1323"/>
      <c r="S816" s="1323"/>
      <c r="T816" s="1323"/>
      <c r="U816" s="1323"/>
      <c r="V816" s="1323"/>
      <c r="W816" s="1323"/>
      <c r="X816" s="1323"/>
      <c r="Y816" s="1323"/>
      <c r="Z816" s="1323"/>
    </row>
    <row r="817" spans="1:26" ht="18.75" hidden="1">
      <c r="A817" s="1319"/>
      <c r="B817" s="1324"/>
      <c r="C817" s="1320"/>
      <c r="D817" s="1324"/>
      <c r="E817" s="1320" t="s">
        <v>19</v>
      </c>
      <c r="F817" s="1320"/>
      <c r="G817" s="1322"/>
      <c r="H817" s="169" t="s">
        <v>12</v>
      </c>
      <c r="I817" s="1000"/>
      <c r="J817" s="1000"/>
      <c r="K817" s="1001"/>
      <c r="L817" s="887">
        <v>0</v>
      </c>
      <c r="M817" s="887">
        <v>0</v>
      </c>
      <c r="N817" s="887">
        <v>0</v>
      </c>
      <c r="O817" s="887">
        <f t="shared" si="333"/>
        <v>0</v>
      </c>
      <c r="P817" s="887">
        <f t="shared" si="334"/>
        <v>0</v>
      </c>
      <c r="Q817" s="1323"/>
      <c r="R817" s="1323"/>
      <c r="S817" s="1323"/>
      <c r="T817" s="1323"/>
      <c r="U817" s="1323"/>
      <c r="V817" s="1323"/>
      <c r="W817" s="1323"/>
      <c r="X817" s="1323"/>
      <c r="Y817" s="1323"/>
      <c r="Z817" s="1323"/>
    </row>
    <row r="818" spans="1:26" ht="19.5" hidden="1">
      <c r="A818" s="1332"/>
      <c r="B818" s="1333"/>
      <c r="C818" s="1320" t="s">
        <v>16</v>
      </c>
      <c r="D818" s="1478" t="s">
        <v>38</v>
      </c>
      <c r="E818" s="1356"/>
      <c r="F818" s="1356"/>
      <c r="G818" s="1357"/>
      <c r="H818" s="1113"/>
      <c r="I818" s="1000"/>
      <c r="J818" s="1000"/>
      <c r="K818" s="1001"/>
      <c r="L818" s="1001"/>
      <c r="M818" s="1001"/>
      <c r="N818" s="1001"/>
      <c r="O818" s="1001"/>
      <c r="P818" s="1001"/>
      <c r="Q818" s="1323"/>
      <c r="R818" s="1323"/>
      <c r="S818" s="1323"/>
      <c r="T818" s="1323"/>
      <c r="U818" s="1323"/>
      <c r="V818" s="1323"/>
      <c r="W818" s="1323"/>
      <c r="X818" s="1323"/>
      <c r="Y818" s="1323"/>
      <c r="Z818" s="1323"/>
    </row>
    <row r="819" spans="1:26" ht="19.5" hidden="1" thickBot="1">
      <c r="A819" s="1479"/>
      <c r="B819" s="1480"/>
      <c r="C819" s="1481"/>
      <c r="D819" s="1480"/>
      <c r="E819" s="1481" t="s">
        <v>324</v>
      </c>
      <c r="F819" s="1481"/>
      <c r="G819" s="1482"/>
      <c r="H819" s="817" t="s">
        <v>46</v>
      </c>
      <c r="I819" s="1483"/>
      <c r="J819" s="1483"/>
      <c r="K819" s="1484"/>
      <c r="L819" s="1484"/>
      <c r="M819" s="1484"/>
      <c r="N819" s="1484"/>
      <c r="O819" s="1484"/>
      <c r="P819" s="1484"/>
      <c r="Q819" s="1323"/>
      <c r="R819" s="1323"/>
      <c r="S819" s="1323"/>
      <c r="T819" s="1323"/>
      <c r="U819" s="1323"/>
      <c r="V819" s="1323"/>
      <c r="W819" s="1323"/>
      <c r="X819" s="1323"/>
      <c r="Y819" s="1323"/>
      <c r="Z819" s="1323"/>
    </row>
    <row r="820" spans="1:26" ht="19.5">
      <c r="A820" s="1485" t="s">
        <v>342</v>
      </c>
      <c r="B820" s="1486"/>
      <c r="C820" s="1486"/>
      <c r="D820" s="1487"/>
      <c r="E820" s="1486"/>
      <c r="F820" s="1486"/>
      <c r="G820" s="1488"/>
      <c r="H820" s="1489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0"/>
      <c r="J820" s="1490"/>
      <c r="K820" s="1491"/>
      <c r="L820" s="1491"/>
      <c r="M820" s="1491"/>
      <c r="N820" s="1491"/>
      <c r="O820" s="1491"/>
      <c r="P820" s="1491"/>
      <c r="Q820" s="1302"/>
      <c r="R820" s="1302"/>
      <c r="S820" s="1302"/>
      <c r="T820" s="1302"/>
      <c r="U820" s="1302"/>
      <c r="V820" s="1302"/>
      <c r="W820" s="1302"/>
      <c r="X820" s="1302"/>
      <c r="Y820" s="1302"/>
      <c r="Z820" s="1302"/>
    </row>
    <row r="821" spans="1:26" ht="18.75">
      <c r="A821" s="1429"/>
      <c r="B821" s="1301" t="s">
        <v>326</v>
      </c>
      <c r="C821" s="1301"/>
      <c r="D821" s="1300"/>
      <c r="E821" s="1301"/>
      <c r="F821" s="1301"/>
      <c r="G821" s="1016"/>
      <c r="H821" s="622" t="s">
        <v>12</v>
      </c>
      <c r="I821" s="880">
        <f ca="1">IFERROR(__xludf.DUMMYFUNCTION("IMPORTRANGE(""https://docs.google.com/spreadsheets/d/19vJNZY_5yjcGF2XGBMNZRCAIB0Kwfpjp8YEOfu-bneM/edit?usp=sharing"",""งานกองทุน!D87"")"),378474.21)</f>
        <v>378474.21</v>
      </c>
      <c r="J821" s="880">
        <f ca="1">IFERROR(__xludf.DUMMYFUNCTION("IMPORTRANGE(""https://docs.google.com/spreadsheets/d/19vJNZY_5yjcGF2XGBMNZRCAIB0Kwfpjp8YEOfu-bneM/edit?usp=sharing"",""งานกองทุน!F87"")"),282299.68)</f>
        <v>282299.68</v>
      </c>
      <c r="K821" s="881">
        <f t="shared" ref="K821:K828" ca="1" si="335">IF(I821&gt;0,J821*100/I821,0)</f>
        <v>74.588881498689162</v>
      </c>
      <c r="L821" s="881"/>
      <c r="M821" s="881"/>
      <c r="N821" s="881"/>
      <c r="O821" s="881"/>
      <c r="P821" s="881"/>
      <c r="Q821" s="1302"/>
      <c r="R821" s="1302"/>
      <c r="S821" s="1302"/>
      <c r="T821" s="1302"/>
      <c r="U821" s="1302"/>
      <c r="V821" s="1302"/>
      <c r="W821" s="1302"/>
      <c r="X821" s="1302"/>
      <c r="Y821" s="1302"/>
      <c r="Z821" s="1302"/>
    </row>
    <row r="822" spans="1:26" ht="18.75">
      <c r="A822" s="1429"/>
      <c r="B822" s="1301"/>
      <c r="C822" s="1301"/>
      <c r="D822" s="1300"/>
      <c r="E822" s="1301"/>
      <c r="F822" s="1301"/>
      <c r="G822" s="1016"/>
      <c r="H822" s="622" t="s">
        <v>35</v>
      </c>
      <c r="I822" s="880">
        <f ca="1">IFERROR(__xludf.DUMMYFUNCTION("IMPORTRANGE(""https://docs.google.com/spreadsheets/d/19vJNZY_5yjcGF2XGBMNZRCAIB0Kwfpjp8YEOfu-bneM/edit?usp=sharing"",""งานกองทุน!C87"")"),42)</f>
        <v>42</v>
      </c>
      <c r="J822" s="880">
        <f ca="1">IFERROR(__xludf.DUMMYFUNCTION("IMPORTRANGE(""https://docs.google.com/spreadsheets/d/19vJNZY_5yjcGF2XGBMNZRCAIB0Kwfpjp8YEOfu-bneM/edit?usp=sharing"",""งานกองทุน!E87"")"),35)</f>
        <v>35</v>
      </c>
      <c r="K822" s="881">
        <f t="shared" ca="1" si="335"/>
        <v>83.333333333333329</v>
      </c>
      <c r="L822" s="881"/>
      <c r="M822" s="881"/>
      <c r="N822" s="881"/>
      <c r="O822" s="881"/>
      <c r="P822" s="881"/>
      <c r="Q822" s="1302"/>
      <c r="R822" s="1302"/>
      <c r="S822" s="1302"/>
      <c r="T822" s="1302"/>
      <c r="U822" s="1302"/>
      <c r="V822" s="1302"/>
      <c r="W822" s="1302"/>
      <c r="X822" s="1302"/>
      <c r="Y822" s="1302"/>
      <c r="Z822" s="1302"/>
    </row>
    <row r="823" spans="1:26" ht="18.75">
      <c r="A823" s="1429"/>
      <c r="B823" s="1301" t="s">
        <v>327</v>
      </c>
      <c r="C823" s="1301"/>
      <c r="D823" s="1300"/>
      <c r="E823" s="1301"/>
      <c r="F823" s="1301"/>
      <c r="G823" s="1016"/>
      <c r="H823" s="622" t="s">
        <v>12</v>
      </c>
      <c r="I823" s="880">
        <f ca="1">IFERROR(__xludf.DUMMYFUNCTION("IMPORTRANGE(""https://docs.google.com/spreadsheets/d/19vJNZY_5yjcGF2XGBMNZRCAIB0Kwfpjp8YEOfu-bneM/edit?usp=sharing"",""งานกองทุน!I87"")"),9790.63)</f>
        <v>9790.6299999999992</v>
      </c>
      <c r="J823" s="880">
        <f ca="1">IFERROR(__xludf.DUMMYFUNCTION("IMPORTRANGE(""https://docs.google.com/spreadsheets/d/19vJNZY_5yjcGF2XGBMNZRCAIB0Kwfpjp8YEOfu-bneM/edit?usp=sharing"",""งานกองทุน!K87"")"),20117.63)</f>
        <v>20117.63</v>
      </c>
      <c r="K823" s="881">
        <f t="shared" ca="1" si="335"/>
        <v>205.4784012877619</v>
      </c>
      <c r="L823" s="881"/>
      <c r="M823" s="881"/>
      <c r="N823" s="881"/>
      <c r="O823" s="881"/>
      <c r="P823" s="881"/>
      <c r="Q823" s="1302"/>
      <c r="R823" s="1302"/>
      <c r="S823" s="1302"/>
      <c r="T823" s="1302"/>
      <c r="U823" s="1302"/>
      <c r="V823" s="1302"/>
      <c r="W823" s="1302"/>
      <c r="X823" s="1302"/>
      <c r="Y823" s="1302"/>
      <c r="Z823" s="1302"/>
    </row>
    <row r="824" spans="1:26" ht="18.75">
      <c r="A824" s="1429"/>
      <c r="B824" s="1301"/>
      <c r="C824" s="1301"/>
      <c r="D824" s="1300"/>
      <c r="E824" s="1301"/>
      <c r="F824" s="1301"/>
      <c r="G824" s="1016"/>
      <c r="H824" s="622" t="s">
        <v>35</v>
      </c>
      <c r="I824" s="880">
        <f ca="1">IFERROR(__xludf.DUMMYFUNCTION("IMPORTRANGE(""https://docs.google.com/spreadsheets/d/19vJNZY_5yjcGF2XGBMNZRCAIB0Kwfpjp8YEOfu-bneM/edit?usp=sharing"",""งานกองทุน!H87"")"),1)</f>
        <v>1</v>
      </c>
      <c r="J824" s="880">
        <f ca="1">IFERROR(__xludf.DUMMYFUNCTION("IMPORTRANGE(""https://docs.google.com/spreadsheets/d/19vJNZY_5yjcGF2XGBMNZRCAIB0Kwfpjp8YEOfu-bneM/edit?usp=sharing"",""งานกองทุน!J87"")"),2)</f>
        <v>2</v>
      </c>
      <c r="K824" s="881">
        <f t="shared" ca="1" si="335"/>
        <v>200</v>
      </c>
      <c r="L824" s="881"/>
      <c r="M824" s="881"/>
      <c r="N824" s="881"/>
      <c r="O824" s="881"/>
      <c r="P824" s="881"/>
      <c r="Q824" s="1302"/>
      <c r="R824" s="1302"/>
      <c r="S824" s="1302"/>
      <c r="T824" s="1302"/>
      <c r="U824" s="1302"/>
      <c r="V824" s="1302"/>
      <c r="W824" s="1302"/>
      <c r="X824" s="1302"/>
      <c r="Y824" s="1302"/>
      <c r="Z824" s="1302"/>
    </row>
    <row r="825" spans="1:26" ht="18.75">
      <c r="A825" s="1429"/>
      <c r="B825" s="1301" t="s">
        <v>328</v>
      </c>
      <c r="C825" s="1301"/>
      <c r="D825" s="1300"/>
      <c r="E825" s="1301"/>
      <c r="F825" s="1301"/>
      <c r="G825" s="1016"/>
      <c r="H825" s="622" t="s">
        <v>12</v>
      </c>
      <c r="I825" s="880">
        <f ca="1">IFERROR(__xludf.DUMMYFUNCTION("IMPORTRANGE(""https://docs.google.com/spreadsheets/d/19vJNZY_5yjcGF2XGBMNZRCAIB0Kwfpjp8YEOfu-bneM/edit?usp=sharing"",""งานกองทุน!N87"")"),0)</f>
        <v>0</v>
      </c>
      <c r="J825" s="880">
        <f ca="1">IFERROR(__xludf.DUMMYFUNCTION("IMPORTRANGE(""https://docs.google.com/spreadsheets/d/19vJNZY_5yjcGF2XGBMNZRCAIB0Kwfpjp8YEOfu-bneM/edit?usp=sharing"",""งานกองทุน!P87"")"),0)</f>
        <v>0</v>
      </c>
      <c r="K825" s="881">
        <f t="shared" ca="1" si="335"/>
        <v>0</v>
      </c>
      <c r="L825" s="881"/>
      <c r="M825" s="881"/>
      <c r="N825" s="881"/>
      <c r="O825" s="881"/>
      <c r="P825" s="881"/>
      <c r="Q825" s="1302"/>
      <c r="R825" s="1302"/>
      <c r="S825" s="1302"/>
      <c r="T825" s="1302"/>
      <c r="U825" s="1302"/>
      <c r="V825" s="1302"/>
      <c r="W825" s="1302"/>
      <c r="X825" s="1302"/>
      <c r="Y825" s="1302"/>
      <c r="Z825" s="1302"/>
    </row>
    <row r="826" spans="1:26" ht="18.75">
      <c r="A826" s="1429"/>
      <c r="B826" s="1301"/>
      <c r="C826" s="1301"/>
      <c r="D826" s="1300"/>
      <c r="E826" s="1301"/>
      <c r="F826" s="1301"/>
      <c r="G826" s="1016"/>
      <c r="H826" s="622" t="s">
        <v>35</v>
      </c>
      <c r="I826" s="880">
        <f ca="1">IFERROR(__xludf.DUMMYFUNCTION("IMPORTRANGE(""https://docs.google.com/spreadsheets/d/19vJNZY_5yjcGF2XGBMNZRCAIB0Kwfpjp8YEOfu-bneM/edit?usp=sharing"",""งานกองทุน!M87"")"),0)</f>
        <v>0</v>
      </c>
      <c r="J826" s="880">
        <f ca="1">IFERROR(__xludf.DUMMYFUNCTION("IMPORTRANGE(""https://docs.google.com/spreadsheets/d/19vJNZY_5yjcGF2XGBMNZRCAIB0Kwfpjp8YEOfu-bneM/edit?usp=sharing"",""งานกองทุน!O87"")"),0)</f>
        <v>0</v>
      </c>
      <c r="K826" s="881">
        <f t="shared" ca="1" si="335"/>
        <v>0</v>
      </c>
      <c r="L826" s="881"/>
      <c r="M826" s="881"/>
      <c r="N826" s="881"/>
      <c r="O826" s="881"/>
      <c r="P826" s="881"/>
      <c r="Q826" s="1302"/>
      <c r="R826" s="1302"/>
      <c r="S826" s="1302"/>
      <c r="T826" s="1302"/>
      <c r="U826" s="1302"/>
      <c r="V826" s="1302"/>
      <c r="W826" s="1302"/>
      <c r="X826" s="1302"/>
      <c r="Y826" s="1302"/>
      <c r="Z826" s="1302"/>
    </row>
    <row r="827" spans="1:26" ht="18.75">
      <c r="A827" s="1429"/>
      <c r="B827" s="1301" t="s">
        <v>329</v>
      </c>
      <c r="C827" s="1301"/>
      <c r="D827" s="1300"/>
      <c r="E827" s="1301"/>
      <c r="F827" s="1301"/>
      <c r="G827" s="1016"/>
      <c r="H827" s="622" t="s">
        <v>12</v>
      </c>
      <c r="I827" s="880">
        <f ca="1">IFERROR(__xludf.DUMMYFUNCTION("IMPORTRANGE(""https://docs.google.com/spreadsheets/d/19vJNZY_5yjcGF2XGBMNZRCAIB0Kwfpjp8YEOfu-bneM/edit?usp=sharing"",""งานกองทุน!S87"")"),780000)</f>
        <v>780000</v>
      </c>
      <c r="J827" s="880">
        <f ca="1">IFERROR(__xludf.DUMMYFUNCTION("IMPORTRANGE(""https://docs.google.com/spreadsheets/d/19vJNZY_5yjcGF2XGBMNZRCAIB0Kwfpjp8YEOfu-bneM/edit?usp=sharing"",""งานกองทุน!U87"")"),270000)</f>
        <v>270000</v>
      </c>
      <c r="K827" s="881">
        <f t="shared" ca="1" si="335"/>
        <v>34.615384615384613</v>
      </c>
      <c r="L827" s="881"/>
      <c r="M827" s="881"/>
      <c r="N827" s="881"/>
      <c r="O827" s="881"/>
      <c r="P827" s="881"/>
      <c r="Q827" s="1302"/>
      <c r="R827" s="1302"/>
      <c r="S827" s="1302"/>
      <c r="T827" s="1302"/>
      <c r="U827" s="1302"/>
      <c r="V827" s="1302"/>
      <c r="W827" s="1302"/>
      <c r="X827" s="1302"/>
      <c r="Y827" s="1302"/>
      <c r="Z827" s="1302"/>
    </row>
    <row r="828" spans="1:26" ht="18.75">
      <c r="A828" s="1430"/>
      <c r="B828" s="1432"/>
      <c r="C828" s="1432"/>
      <c r="D828" s="1431"/>
      <c r="E828" s="1432"/>
      <c r="F828" s="1432"/>
      <c r="G828" s="1492"/>
      <c r="H828" s="827" t="s">
        <v>35</v>
      </c>
      <c r="I828" s="1138">
        <f ca="1">IFERROR(__xludf.DUMMYFUNCTION("IMPORTRANGE(""https://docs.google.com/spreadsheets/d/19vJNZY_5yjcGF2XGBMNZRCAIB0Kwfpjp8YEOfu-bneM/edit?usp=sharing"",""งานกองทุน!R87"")"),31)</f>
        <v>31</v>
      </c>
      <c r="J828" s="1138">
        <f ca="1">IFERROR(__xludf.DUMMYFUNCTION("IMPORTRANGE(""https://docs.google.com/spreadsheets/d/19vJNZY_5yjcGF2XGBMNZRCAIB0Kwfpjp8YEOfu-bneM/edit?usp=sharing"",""งานกองทุน!T87"")"),9)</f>
        <v>9</v>
      </c>
      <c r="K828" s="1239">
        <f t="shared" ca="1" si="335"/>
        <v>29.032258064516128</v>
      </c>
      <c r="L828" s="1239"/>
      <c r="M828" s="1239"/>
      <c r="N828" s="1239"/>
      <c r="O828" s="1239"/>
      <c r="P828" s="1239"/>
      <c r="Q828" s="1302"/>
      <c r="R828" s="1302"/>
      <c r="S828" s="1302"/>
      <c r="T828" s="1302"/>
      <c r="U828" s="1302"/>
      <c r="V828" s="1302"/>
      <c r="W828" s="1302"/>
      <c r="X828" s="1302"/>
      <c r="Y828" s="1302"/>
      <c r="Z828" s="130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AE10C-F4A1-42F6-8E32-0AB47DD4842D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52" customWidth="1"/>
    <col min="4" max="6" width="5.85546875" style="852" customWidth="1"/>
    <col min="7" max="7" width="56.42578125" style="852" customWidth="1"/>
    <col min="8" max="8" width="9.42578125" style="852" customWidth="1"/>
    <col min="9" max="9" width="16.140625" style="852" bestFit="1" customWidth="1"/>
    <col min="10" max="10" width="13.7109375" style="852" bestFit="1" customWidth="1"/>
    <col min="11" max="11" width="14.5703125" style="852" bestFit="1" customWidth="1"/>
    <col min="12" max="15" width="20.28515625" style="852" bestFit="1" customWidth="1"/>
    <col min="16" max="16" width="22.140625" style="852" bestFit="1" customWidth="1"/>
    <col min="17" max="16384" width="12.5703125" style="852"/>
  </cols>
  <sheetData>
    <row r="1" spans="1:26" ht="19.5">
      <c r="A1" s="828" t="s">
        <v>0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51"/>
    </row>
    <row r="2" spans="1:26" ht="19.5">
      <c r="A2" s="828" t="s">
        <v>354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</row>
    <row r="3" spans="1:26" ht="19.5">
      <c r="A3" s="828" t="s">
        <v>330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</row>
    <row r="4" spans="1:26" ht="12.75">
      <c r="A4" s="853"/>
      <c r="B4" s="853"/>
      <c r="C4" s="853"/>
      <c r="D4" s="853"/>
      <c r="E4" s="853"/>
      <c r="F4" s="853"/>
      <c r="G4" s="853"/>
      <c r="H4" s="853"/>
      <c r="I4" s="853"/>
      <c r="J4" s="854"/>
      <c r="K4" s="855"/>
      <c r="L4" s="854"/>
      <c r="M4" s="854"/>
      <c r="N4" s="854"/>
      <c r="O4" s="853"/>
      <c r="P4" s="853"/>
    </row>
    <row r="5" spans="1:26" ht="19.5">
      <c r="A5" s="836" t="s">
        <v>2</v>
      </c>
      <c r="B5" s="851"/>
      <c r="C5" s="851"/>
      <c r="D5" s="851"/>
      <c r="E5" s="851"/>
      <c r="F5" s="851"/>
      <c r="G5" s="837"/>
      <c r="H5" s="830" t="s">
        <v>3</v>
      </c>
      <c r="I5" s="832" t="s">
        <v>4</v>
      </c>
      <c r="J5" s="833"/>
      <c r="K5" s="831"/>
      <c r="L5" s="834" t="s">
        <v>5</v>
      </c>
      <c r="M5" s="831"/>
      <c r="N5" s="835" t="s">
        <v>6</v>
      </c>
      <c r="O5" s="833"/>
      <c r="P5" s="831"/>
    </row>
    <row r="6" spans="1:26" ht="19.5">
      <c r="A6" s="838"/>
      <c r="B6" s="833"/>
      <c r="C6" s="833"/>
      <c r="D6" s="833"/>
      <c r="E6" s="833"/>
      <c r="F6" s="833"/>
      <c r="G6" s="831"/>
      <c r="H6" s="83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6" t="s">
        <v>15</v>
      </c>
      <c r="B7" s="833"/>
      <c r="C7" s="833"/>
      <c r="D7" s="833"/>
      <c r="E7" s="833"/>
      <c r="F7" s="833"/>
      <c r="G7" s="831"/>
      <c r="H7" s="857"/>
      <c r="I7" s="858"/>
      <c r="J7" s="858"/>
      <c r="K7" s="859"/>
      <c r="L7" s="859"/>
      <c r="M7" s="859"/>
      <c r="N7" s="859"/>
      <c r="O7" s="859"/>
      <c r="P7" s="859"/>
    </row>
    <row r="8" spans="1:26" ht="19.5">
      <c r="A8" s="860"/>
      <c r="B8" s="861"/>
      <c r="C8" s="862" t="s">
        <v>16</v>
      </c>
      <c r="D8" s="863" t="s">
        <v>17</v>
      </c>
      <c r="E8" s="861"/>
      <c r="F8" s="861"/>
      <c r="G8" s="864"/>
      <c r="H8" s="19" t="s">
        <v>12</v>
      </c>
      <c r="I8" s="865"/>
      <c r="J8" s="865"/>
      <c r="K8" s="866"/>
      <c r="L8" s="867">
        <f t="shared" ref="L8:N8" ca="1" si="0">L9+L10</f>
        <v>7067032</v>
      </c>
      <c r="M8" s="867">
        <f t="shared" ca="1" si="0"/>
        <v>6214203</v>
      </c>
      <c r="N8" s="867">
        <f t="shared" ca="1" si="0"/>
        <v>4117623.6999999997</v>
      </c>
      <c r="O8" s="867">
        <f t="shared" ref="O8:O16" ca="1" si="1">IF(L8&gt;0,N8*100/L8,0)</f>
        <v>58.265247702288598</v>
      </c>
      <c r="P8" s="867">
        <f t="shared" ref="P8:P16" ca="1" si="2">IF(M8&gt;0,N8*100/M8,0)</f>
        <v>66.261493227691474</v>
      </c>
      <c r="Q8" s="868"/>
      <c r="R8" s="868"/>
      <c r="S8" s="868"/>
      <c r="T8" s="868"/>
      <c r="U8" s="868"/>
      <c r="V8" s="868"/>
      <c r="W8" s="868"/>
      <c r="X8" s="868"/>
      <c r="Y8" s="868"/>
      <c r="Z8" s="868"/>
    </row>
    <row r="9" spans="1:26" ht="18.75" hidden="1">
      <c r="A9" s="869"/>
      <c r="B9" s="870"/>
      <c r="C9" s="870"/>
      <c r="D9" s="870"/>
      <c r="E9" s="871" t="s">
        <v>18</v>
      </c>
      <c r="F9" s="870"/>
      <c r="G9" s="872"/>
      <c r="H9" s="28" t="s">
        <v>12</v>
      </c>
      <c r="I9" s="873"/>
      <c r="J9" s="873"/>
      <c r="K9" s="874"/>
      <c r="L9" s="874">
        <f t="shared" ref="L9:N10" si="3">L12+L15</f>
        <v>0</v>
      </c>
      <c r="M9" s="874">
        <f t="shared" si="3"/>
        <v>0</v>
      </c>
      <c r="N9" s="874">
        <f t="shared" si="3"/>
        <v>0</v>
      </c>
      <c r="O9" s="874">
        <f t="shared" si="1"/>
        <v>0</v>
      </c>
      <c r="P9" s="874">
        <f t="shared" si="2"/>
        <v>0</v>
      </c>
      <c r="Q9" s="875"/>
      <c r="R9" s="875"/>
      <c r="S9" s="875"/>
      <c r="T9" s="875"/>
      <c r="U9" s="875"/>
      <c r="V9" s="875"/>
      <c r="W9" s="875"/>
      <c r="X9" s="875"/>
      <c r="Y9" s="875"/>
      <c r="Z9" s="875"/>
    </row>
    <row r="10" spans="1:26" ht="18.75" hidden="1">
      <c r="A10" s="869"/>
      <c r="B10" s="870"/>
      <c r="C10" s="870"/>
      <c r="D10" s="870"/>
      <c r="E10" s="871" t="s">
        <v>19</v>
      </c>
      <c r="F10" s="870"/>
      <c r="G10" s="872"/>
      <c r="H10" s="28" t="s">
        <v>12</v>
      </c>
      <c r="I10" s="873"/>
      <c r="J10" s="873"/>
      <c r="K10" s="874"/>
      <c r="L10" s="874">
        <f t="shared" ca="1" si="3"/>
        <v>7067032</v>
      </c>
      <c r="M10" s="874">
        <f t="shared" ca="1" si="3"/>
        <v>6214203</v>
      </c>
      <c r="N10" s="874">
        <f t="shared" ca="1" si="3"/>
        <v>4117623.6999999997</v>
      </c>
      <c r="O10" s="874">
        <f t="shared" ca="1" si="1"/>
        <v>58.265247702288598</v>
      </c>
      <c r="P10" s="874">
        <f t="shared" ca="1" si="2"/>
        <v>66.261493227691474</v>
      </c>
      <c r="Q10" s="875"/>
      <c r="R10" s="875"/>
      <c r="S10" s="875"/>
      <c r="T10" s="875"/>
      <c r="U10" s="875"/>
      <c r="V10" s="875"/>
      <c r="W10" s="875"/>
      <c r="X10" s="875"/>
      <c r="Y10" s="875"/>
      <c r="Z10" s="875"/>
    </row>
    <row r="11" spans="1:26" ht="18.75">
      <c r="A11" s="876"/>
      <c r="B11" s="877"/>
      <c r="C11" s="877"/>
      <c r="D11" s="878" t="s">
        <v>20</v>
      </c>
      <c r="E11" s="877"/>
      <c r="F11" s="877"/>
      <c r="G11" s="879"/>
      <c r="H11" s="622" t="s">
        <v>12</v>
      </c>
      <c r="I11" s="880"/>
      <c r="J11" s="880"/>
      <c r="K11" s="881"/>
      <c r="L11" s="881">
        <f t="shared" ref="L11:N11" ca="1" si="4">L12+L13</f>
        <v>6598432</v>
      </c>
      <c r="M11" s="881">
        <f t="shared" ca="1" si="4"/>
        <v>5778203</v>
      </c>
      <c r="N11" s="881">
        <f t="shared" ca="1" si="4"/>
        <v>3681623.6999999997</v>
      </c>
      <c r="O11" s="881">
        <f t="shared" ca="1" si="1"/>
        <v>55.795432914971315</v>
      </c>
      <c r="P11" s="881">
        <f t="shared" ca="1" si="2"/>
        <v>63.715720960305482</v>
      </c>
      <c r="Q11" s="868"/>
      <c r="R11" s="868"/>
      <c r="S11" s="868"/>
      <c r="T11" s="868"/>
      <c r="U11" s="868"/>
      <c r="V11" s="868"/>
      <c r="W11" s="868"/>
      <c r="X11" s="868"/>
      <c r="Y11" s="868"/>
      <c r="Z11" s="868"/>
    </row>
    <row r="12" spans="1:26" ht="18.75" hidden="1">
      <c r="A12" s="882"/>
      <c r="B12" s="883"/>
      <c r="C12" s="883"/>
      <c r="D12" s="883"/>
      <c r="E12" s="884" t="s">
        <v>18</v>
      </c>
      <c r="F12" s="883"/>
      <c r="G12" s="885"/>
      <c r="H12" s="43" t="s">
        <v>12</v>
      </c>
      <c r="I12" s="886"/>
      <c r="J12" s="886"/>
      <c r="K12" s="887"/>
      <c r="L12" s="887">
        <f t="shared" ref="L12:N13" si="5">L22+L32</f>
        <v>0</v>
      </c>
      <c r="M12" s="887">
        <f t="shared" si="5"/>
        <v>0</v>
      </c>
      <c r="N12" s="887">
        <f t="shared" si="5"/>
        <v>0</v>
      </c>
      <c r="O12" s="887">
        <f t="shared" si="1"/>
        <v>0</v>
      </c>
      <c r="P12" s="887">
        <f t="shared" si="2"/>
        <v>0</v>
      </c>
      <c r="Q12" s="875"/>
      <c r="R12" s="875"/>
      <c r="S12" s="875"/>
      <c r="T12" s="875"/>
      <c r="U12" s="875"/>
      <c r="V12" s="875"/>
      <c r="W12" s="875"/>
      <c r="X12" s="875"/>
      <c r="Y12" s="875"/>
      <c r="Z12" s="875"/>
    </row>
    <row r="13" spans="1:26" ht="18.75" hidden="1">
      <c r="A13" s="882"/>
      <c r="B13" s="883"/>
      <c r="C13" s="883"/>
      <c r="D13" s="883"/>
      <c r="E13" s="884" t="s">
        <v>19</v>
      </c>
      <c r="F13" s="883"/>
      <c r="G13" s="885"/>
      <c r="H13" s="43" t="s">
        <v>12</v>
      </c>
      <c r="I13" s="886"/>
      <c r="J13" s="886"/>
      <c r="K13" s="887"/>
      <c r="L13" s="887">
        <f t="shared" ca="1" si="5"/>
        <v>6598432</v>
      </c>
      <c r="M13" s="887">
        <f t="shared" ca="1" si="5"/>
        <v>5778203</v>
      </c>
      <c r="N13" s="887">
        <f t="shared" ca="1" si="5"/>
        <v>3681623.6999999997</v>
      </c>
      <c r="O13" s="887">
        <f t="shared" ca="1" si="1"/>
        <v>55.795432914971315</v>
      </c>
      <c r="P13" s="887">
        <f t="shared" ca="1" si="2"/>
        <v>63.715720960305482</v>
      </c>
      <c r="Q13" s="875"/>
      <c r="R13" s="875"/>
      <c r="S13" s="875"/>
      <c r="T13" s="875"/>
      <c r="U13" s="875"/>
      <c r="V13" s="875"/>
      <c r="W13" s="875"/>
      <c r="X13" s="875"/>
      <c r="Y13" s="875"/>
      <c r="Z13" s="875"/>
    </row>
    <row r="14" spans="1:26" ht="18.75">
      <c r="A14" s="876"/>
      <c r="B14" s="877"/>
      <c r="C14" s="877"/>
      <c r="D14" s="878" t="s">
        <v>21</v>
      </c>
      <c r="E14" s="877"/>
      <c r="F14" s="877"/>
      <c r="G14" s="879"/>
      <c r="H14" s="622" t="s">
        <v>12</v>
      </c>
      <c r="I14" s="880"/>
      <c r="J14" s="880"/>
      <c r="K14" s="881"/>
      <c r="L14" s="881">
        <f t="shared" ref="L14:N14" ca="1" si="6">L15+L16</f>
        <v>468600</v>
      </c>
      <c r="M14" s="881">
        <f t="shared" ca="1" si="6"/>
        <v>436000</v>
      </c>
      <c r="N14" s="881">
        <f t="shared" ca="1" si="6"/>
        <v>436000</v>
      </c>
      <c r="O14" s="881">
        <f t="shared" ca="1" si="1"/>
        <v>93.043107127614164</v>
      </c>
      <c r="P14" s="881">
        <f t="shared" ca="1" si="2"/>
        <v>100</v>
      </c>
      <c r="Q14" s="868"/>
      <c r="R14" s="868"/>
      <c r="S14" s="868"/>
      <c r="T14" s="868"/>
      <c r="U14" s="868"/>
      <c r="V14" s="868"/>
      <c r="W14" s="868"/>
      <c r="X14" s="868"/>
      <c r="Y14" s="868"/>
      <c r="Z14" s="868"/>
    </row>
    <row r="15" spans="1:26" ht="18.75" hidden="1">
      <c r="A15" s="882"/>
      <c r="B15" s="883"/>
      <c r="C15" s="883"/>
      <c r="D15" s="883"/>
      <c r="E15" s="884" t="s">
        <v>18</v>
      </c>
      <c r="F15" s="883"/>
      <c r="G15" s="885"/>
      <c r="H15" s="43" t="s">
        <v>12</v>
      </c>
      <c r="I15" s="886"/>
      <c r="J15" s="886"/>
      <c r="K15" s="887"/>
      <c r="L15" s="887">
        <f t="shared" ref="L15:N16" si="7">L25+L35</f>
        <v>0</v>
      </c>
      <c r="M15" s="887">
        <f t="shared" si="7"/>
        <v>0</v>
      </c>
      <c r="N15" s="887">
        <f t="shared" si="7"/>
        <v>0</v>
      </c>
      <c r="O15" s="887">
        <f t="shared" si="1"/>
        <v>0</v>
      </c>
      <c r="P15" s="887">
        <f t="shared" si="2"/>
        <v>0</v>
      </c>
      <c r="Q15" s="875"/>
      <c r="R15" s="875"/>
      <c r="S15" s="875"/>
      <c r="T15" s="875"/>
      <c r="U15" s="875"/>
      <c r="V15" s="875"/>
      <c r="W15" s="875"/>
      <c r="X15" s="875"/>
      <c r="Y15" s="875"/>
      <c r="Z15" s="875"/>
    </row>
    <row r="16" spans="1:26" ht="18.75" hidden="1">
      <c r="A16" s="888"/>
      <c r="B16" s="889"/>
      <c r="C16" s="889"/>
      <c r="D16" s="889"/>
      <c r="E16" s="890" t="s">
        <v>19</v>
      </c>
      <c r="F16" s="889"/>
      <c r="G16" s="891"/>
      <c r="H16" s="50" t="s">
        <v>12</v>
      </c>
      <c r="I16" s="892"/>
      <c r="J16" s="892"/>
      <c r="K16" s="893"/>
      <c r="L16" s="893">
        <f t="shared" ca="1" si="7"/>
        <v>468600</v>
      </c>
      <c r="M16" s="893">
        <f t="shared" ca="1" si="7"/>
        <v>436000</v>
      </c>
      <c r="N16" s="893">
        <f t="shared" ca="1" si="7"/>
        <v>436000</v>
      </c>
      <c r="O16" s="893">
        <f t="shared" ca="1" si="1"/>
        <v>93.043107127614164</v>
      </c>
      <c r="P16" s="893">
        <f t="shared" ca="1" si="2"/>
        <v>100</v>
      </c>
      <c r="Q16" s="875"/>
      <c r="R16" s="875"/>
      <c r="S16" s="875"/>
      <c r="T16" s="875"/>
      <c r="U16" s="875"/>
      <c r="V16" s="875"/>
      <c r="W16" s="875"/>
      <c r="X16" s="875"/>
      <c r="Y16" s="875"/>
      <c r="Z16" s="875"/>
    </row>
    <row r="17" spans="1:26" ht="19.5">
      <c r="A17" s="856" t="s">
        <v>22</v>
      </c>
      <c r="B17" s="833"/>
      <c r="C17" s="833"/>
      <c r="D17" s="833"/>
      <c r="E17" s="833"/>
      <c r="F17" s="833"/>
      <c r="G17" s="831"/>
      <c r="H17" s="857"/>
      <c r="I17" s="858"/>
      <c r="J17" s="858"/>
      <c r="K17" s="859"/>
      <c r="L17" s="859"/>
      <c r="M17" s="859"/>
      <c r="N17" s="859"/>
      <c r="O17" s="859"/>
      <c r="P17" s="859"/>
    </row>
    <row r="18" spans="1:26" ht="19.5">
      <c r="A18" s="860"/>
      <c r="B18" s="861"/>
      <c r="C18" s="862" t="s">
        <v>16</v>
      </c>
      <c r="D18" s="863" t="s">
        <v>17</v>
      </c>
      <c r="E18" s="861"/>
      <c r="F18" s="861"/>
      <c r="G18" s="864"/>
      <c r="H18" s="19" t="s">
        <v>12</v>
      </c>
      <c r="I18" s="865"/>
      <c r="J18" s="865"/>
      <c r="K18" s="866"/>
      <c r="L18" s="867">
        <f t="shared" ref="L18:N18" ca="1" si="8">L19+L20</f>
        <v>4971944</v>
      </c>
      <c r="M18" s="867">
        <f t="shared" ca="1" si="8"/>
        <v>4119115</v>
      </c>
      <c r="N18" s="867">
        <f t="shared" ca="1" si="8"/>
        <v>2984929.3</v>
      </c>
      <c r="O18" s="867">
        <f t="shared" ref="O18:O26" ca="1" si="9">IF(L18&gt;0,N18*100/L18,0)</f>
        <v>60.035456956071911</v>
      </c>
      <c r="P18" s="867">
        <f t="shared" ref="P18:P26" ca="1" si="10">IF(M18&gt;0,N18*100/M18,0)</f>
        <v>72.46530626117503</v>
      </c>
      <c r="Q18" s="868"/>
      <c r="R18" s="868"/>
      <c r="S18" s="868"/>
      <c r="T18" s="868"/>
      <c r="U18" s="868"/>
      <c r="V18" s="868"/>
      <c r="W18" s="868"/>
      <c r="X18" s="868"/>
      <c r="Y18" s="868"/>
      <c r="Z18" s="868"/>
    </row>
    <row r="19" spans="1:26" ht="18.75" hidden="1">
      <c r="A19" s="869"/>
      <c r="B19" s="870"/>
      <c r="C19" s="870"/>
      <c r="D19" s="870"/>
      <c r="E19" s="871" t="s">
        <v>18</v>
      </c>
      <c r="F19" s="870"/>
      <c r="G19" s="872"/>
      <c r="H19" s="28" t="s">
        <v>12</v>
      </c>
      <c r="I19" s="873"/>
      <c r="J19" s="873"/>
      <c r="K19" s="874"/>
      <c r="L19" s="874">
        <f t="shared" ref="L19:N20" si="11">L22+L25</f>
        <v>0</v>
      </c>
      <c r="M19" s="874">
        <f t="shared" si="11"/>
        <v>0</v>
      </c>
      <c r="N19" s="874">
        <f t="shared" si="11"/>
        <v>0</v>
      </c>
      <c r="O19" s="874">
        <f t="shared" si="9"/>
        <v>0</v>
      </c>
      <c r="P19" s="874">
        <f t="shared" si="10"/>
        <v>0</v>
      </c>
      <c r="Q19" s="875"/>
      <c r="R19" s="875"/>
      <c r="S19" s="875"/>
      <c r="T19" s="875"/>
      <c r="U19" s="875"/>
      <c r="V19" s="875"/>
      <c r="W19" s="875"/>
      <c r="X19" s="875"/>
      <c r="Y19" s="875"/>
      <c r="Z19" s="875"/>
    </row>
    <row r="20" spans="1:26" ht="18.75" hidden="1">
      <c r="A20" s="869"/>
      <c r="B20" s="870"/>
      <c r="C20" s="870"/>
      <c r="D20" s="870"/>
      <c r="E20" s="871" t="s">
        <v>19</v>
      </c>
      <c r="F20" s="870"/>
      <c r="G20" s="872"/>
      <c r="H20" s="28" t="s">
        <v>12</v>
      </c>
      <c r="I20" s="873"/>
      <c r="J20" s="873"/>
      <c r="K20" s="874"/>
      <c r="L20" s="874">
        <f t="shared" ca="1" si="11"/>
        <v>4971944</v>
      </c>
      <c r="M20" s="874">
        <f t="shared" ca="1" si="11"/>
        <v>4119115</v>
      </c>
      <c r="N20" s="874">
        <f t="shared" ca="1" si="11"/>
        <v>2984929.3</v>
      </c>
      <c r="O20" s="874">
        <f t="shared" ca="1" si="9"/>
        <v>60.035456956071911</v>
      </c>
      <c r="P20" s="874">
        <f t="shared" ca="1" si="10"/>
        <v>72.46530626117503</v>
      </c>
      <c r="Q20" s="875"/>
      <c r="R20" s="875"/>
      <c r="S20" s="875"/>
      <c r="T20" s="875"/>
      <c r="U20" s="875"/>
      <c r="V20" s="875"/>
      <c r="W20" s="875"/>
      <c r="X20" s="875"/>
      <c r="Y20" s="875"/>
      <c r="Z20" s="875"/>
    </row>
    <row r="21" spans="1:26" ht="18.75">
      <c r="A21" s="876"/>
      <c r="B21" s="877"/>
      <c r="C21" s="877"/>
      <c r="D21" s="878" t="s">
        <v>20</v>
      </c>
      <c r="E21" s="877"/>
      <c r="F21" s="877"/>
      <c r="G21" s="879"/>
      <c r="H21" s="622" t="s">
        <v>12</v>
      </c>
      <c r="I21" s="880"/>
      <c r="J21" s="880"/>
      <c r="K21" s="881"/>
      <c r="L21" s="881">
        <f t="shared" ref="L21:N21" ca="1" si="12">L22+L23</f>
        <v>4503344</v>
      </c>
      <c r="M21" s="881">
        <f t="shared" ca="1" si="12"/>
        <v>3683115</v>
      </c>
      <c r="N21" s="881">
        <f t="shared" ca="1" si="12"/>
        <v>2548929.2999999998</v>
      </c>
      <c r="O21" s="881">
        <f t="shared" ca="1" si="9"/>
        <v>56.600812640562204</v>
      </c>
      <c r="P21" s="881">
        <f t="shared" ca="1" si="10"/>
        <v>69.205802696901941</v>
      </c>
      <c r="Q21" s="868"/>
      <c r="R21" s="868"/>
      <c r="S21" s="868"/>
      <c r="T21" s="868"/>
      <c r="U21" s="868"/>
      <c r="V21" s="868"/>
      <c r="W21" s="868"/>
      <c r="X21" s="868"/>
      <c r="Y21" s="868"/>
      <c r="Z21" s="868"/>
    </row>
    <row r="22" spans="1:26" ht="18.75" hidden="1">
      <c r="A22" s="882"/>
      <c r="B22" s="883"/>
      <c r="C22" s="883"/>
      <c r="D22" s="883"/>
      <c r="E22" s="884" t="s">
        <v>18</v>
      </c>
      <c r="F22" s="883"/>
      <c r="G22" s="885"/>
      <c r="H22" s="43" t="s">
        <v>12</v>
      </c>
      <c r="I22" s="886"/>
      <c r="J22" s="886"/>
      <c r="K22" s="887"/>
      <c r="L22" s="887">
        <f t="shared" ref="L22:N23" si="13">L45+L57+L70+L92+L123+L136+L153+L185+L169+L265+L281+L302+L319+L332+L349+L393+L406</f>
        <v>0</v>
      </c>
      <c r="M22" s="887">
        <f t="shared" si="13"/>
        <v>0</v>
      </c>
      <c r="N22" s="887">
        <f t="shared" si="13"/>
        <v>0</v>
      </c>
      <c r="O22" s="887">
        <f t="shared" si="9"/>
        <v>0</v>
      </c>
      <c r="P22" s="887">
        <f t="shared" si="10"/>
        <v>0</v>
      </c>
      <c r="Q22" s="875"/>
      <c r="R22" s="875"/>
      <c r="S22" s="875"/>
      <c r="T22" s="875"/>
      <c r="U22" s="875"/>
      <c r="V22" s="875"/>
      <c r="W22" s="875"/>
      <c r="X22" s="875"/>
      <c r="Y22" s="875"/>
      <c r="Z22" s="875"/>
    </row>
    <row r="23" spans="1:26" ht="18.75" hidden="1">
      <c r="A23" s="882"/>
      <c r="B23" s="883"/>
      <c r="C23" s="883"/>
      <c r="D23" s="883"/>
      <c r="E23" s="884" t="s">
        <v>19</v>
      </c>
      <c r="F23" s="883"/>
      <c r="G23" s="885"/>
      <c r="H23" s="43" t="s">
        <v>12</v>
      </c>
      <c r="I23" s="886"/>
      <c r="J23" s="886"/>
      <c r="K23" s="887"/>
      <c r="L23" s="887">
        <f t="shared" ca="1" si="13"/>
        <v>4503344</v>
      </c>
      <c r="M23" s="887">
        <f t="shared" ca="1" si="13"/>
        <v>3683115</v>
      </c>
      <c r="N23" s="887">
        <f t="shared" ca="1" si="13"/>
        <v>2548929.2999999998</v>
      </c>
      <c r="O23" s="887">
        <f t="shared" ca="1" si="9"/>
        <v>56.600812640562204</v>
      </c>
      <c r="P23" s="887">
        <f t="shared" ca="1" si="10"/>
        <v>69.205802696901941</v>
      </c>
      <c r="Q23" s="875"/>
      <c r="R23" s="875"/>
      <c r="S23" s="875"/>
      <c r="T23" s="875"/>
      <c r="U23" s="875"/>
      <c r="V23" s="875"/>
      <c r="W23" s="875"/>
      <c r="X23" s="875"/>
      <c r="Y23" s="875"/>
      <c r="Z23" s="875"/>
    </row>
    <row r="24" spans="1:26" ht="18.75">
      <c r="A24" s="876"/>
      <c r="B24" s="877"/>
      <c r="C24" s="877"/>
      <c r="D24" s="878" t="s">
        <v>21</v>
      </c>
      <c r="E24" s="877"/>
      <c r="F24" s="877"/>
      <c r="G24" s="879"/>
      <c r="H24" s="622" t="s">
        <v>12</v>
      </c>
      <c r="I24" s="880"/>
      <c r="J24" s="880"/>
      <c r="K24" s="881"/>
      <c r="L24" s="881">
        <f t="shared" ref="L24:N24" ca="1" si="14">L25+L26</f>
        <v>468600</v>
      </c>
      <c r="M24" s="881">
        <f t="shared" ca="1" si="14"/>
        <v>436000</v>
      </c>
      <c r="N24" s="881">
        <f t="shared" ca="1" si="14"/>
        <v>436000</v>
      </c>
      <c r="O24" s="881">
        <f t="shared" ca="1" si="9"/>
        <v>93.043107127614164</v>
      </c>
      <c r="P24" s="881">
        <f t="shared" ca="1" si="10"/>
        <v>100</v>
      </c>
      <c r="Q24" s="868"/>
      <c r="R24" s="868"/>
      <c r="S24" s="868"/>
      <c r="T24" s="868"/>
      <c r="U24" s="868"/>
      <c r="V24" s="868"/>
      <c r="W24" s="868"/>
      <c r="X24" s="868"/>
      <c r="Y24" s="868"/>
      <c r="Z24" s="868"/>
    </row>
    <row r="25" spans="1:26" ht="18.75" hidden="1">
      <c r="A25" s="882"/>
      <c r="B25" s="883"/>
      <c r="C25" s="883"/>
      <c r="D25" s="883"/>
      <c r="E25" s="884" t="s">
        <v>18</v>
      </c>
      <c r="F25" s="883"/>
      <c r="G25" s="885"/>
      <c r="H25" s="43" t="s">
        <v>12</v>
      </c>
      <c r="I25" s="886"/>
      <c r="J25" s="886"/>
      <c r="K25" s="887"/>
      <c r="L25" s="887">
        <f t="shared" ref="L25:N26" si="15">L48+L60+L73+L95+L126+L139+L156+L188+L172+L268+L284+L305+L322+L335+L352+L396+L409</f>
        <v>0</v>
      </c>
      <c r="M25" s="887">
        <f t="shared" si="15"/>
        <v>0</v>
      </c>
      <c r="N25" s="887">
        <f t="shared" si="15"/>
        <v>0</v>
      </c>
      <c r="O25" s="887">
        <f t="shared" si="9"/>
        <v>0</v>
      </c>
      <c r="P25" s="887">
        <f t="shared" si="10"/>
        <v>0</v>
      </c>
      <c r="Q25" s="875"/>
      <c r="R25" s="875"/>
      <c r="S25" s="875"/>
      <c r="T25" s="875"/>
      <c r="U25" s="875"/>
      <c r="V25" s="875"/>
      <c r="W25" s="875"/>
      <c r="X25" s="875"/>
      <c r="Y25" s="875"/>
      <c r="Z25" s="875"/>
    </row>
    <row r="26" spans="1:26" ht="18.75" hidden="1">
      <c r="A26" s="888"/>
      <c r="B26" s="889"/>
      <c r="C26" s="889"/>
      <c r="D26" s="889"/>
      <c r="E26" s="890" t="s">
        <v>19</v>
      </c>
      <c r="F26" s="889"/>
      <c r="G26" s="891"/>
      <c r="H26" s="50" t="s">
        <v>12</v>
      </c>
      <c r="I26" s="892"/>
      <c r="J26" s="892"/>
      <c r="K26" s="893"/>
      <c r="L26" s="893">
        <f t="shared" ca="1" si="15"/>
        <v>468600</v>
      </c>
      <c r="M26" s="893">
        <f t="shared" ca="1" si="15"/>
        <v>436000</v>
      </c>
      <c r="N26" s="893">
        <f t="shared" ca="1" si="15"/>
        <v>436000</v>
      </c>
      <c r="O26" s="893">
        <f t="shared" ca="1" si="9"/>
        <v>93.043107127614164</v>
      </c>
      <c r="P26" s="893">
        <f t="shared" ca="1" si="10"/>
        <v>100</v>
      </c>
      <c r="Q26" s="875"/>
      <c r="R26" s="875"/>
      <c r="S26" s="875"/>
      <c r="T26" s="875"/>
      <c r="U26" s="875"/>
      <c r="V26" s="875"/>
      <c r="W26" s="875"/>
      <c r="X26" s="875"/>
      <c r="Y26" s="875"/>
      <c r="Z26" s="875"/>
    </row>
    <row r="27" spans="1:26" ht="19.5">
      <c r="A27" s="856" t="s">
        <v>23</v>
      </c>
      <c r="B27" s="833"/>
      <c r="C27" s="833"/>
      <c r="D27" s="833"/>
      <c r="E27" s="833"/>
      <c r="F27" s="833"/>
      <c r="G27" s="831"/>
      <c r="H27" s="857"/>
      <c r="I27" s="858"/>
      <c r="J27" s="858"/>
      <c r="K27" s="859"/>
      <c r="L27" s="859"/>
      <c r="M27" s="859"/>
      <c r="N27" s="859"/>
      <c r="O27" s="859"/>
      <c r="P27" s="859"/>
    </row>
    <row r="28" spans="1:26" ht="19.5">
      <c r="A28" s="860"/>
      <c r="B28" s="861"/>
      <c r="C28" s="862" t="s">
        <v>16</v>
      </c>
      <c r="D28" s="863" t="s">
        <v>17</v>
      </c>
      <c r="E28" s="861"/>
      <c r="F28" s="861"/>
      <c r="G28" s="864"/>
      <c r="H28" s="19" t="s">
        <v>12</v>
      </c>
      <c r="I28" s="865"/>
      <c r="J28" s="865"/>
      <c r="K28" s="866"/>
      <c r="L28" s="867">
        <f t="shared" ref="L28:N28" ca="1" si="16">L29+L30</f>
        <v>2095088</v>
      </c>
      <c r="M28" s="867">
        <f t="shared" ca="1" si="16"/>
        <v>2095088</v>
      </c>
      <c r="N28" s="867">
        <f t="shared" si="16"/>
        <v>1132694.3999999999</v>
      </c>
      <c r="O28" s="867">
        <f t="shared" ref="O28:O37" ca="1" si="17">IF(L28&gt;0,N28*100/L28,0)</f>
        <v>54.064287514414659</v>
      </c>
      <c r="P28" s="867">
        <f t="shared" ref="P28:P37" ca="1" si="18">IF(M28&gt;0,N28*100/M28,0)</f>
        <v>54.064287514414659</v>
      </c>
      <c r="Q28" s="868"/>
      <c r="R28" s="868"/>
      <c r="S28" s="868"/>
      <c r="T28" s="868"/>
      <c r="U28" s="868"/>
      <c r="V28" s="868"/>
      <c r="W28" s="868"/>
      <c r="X28" s="868"/>
      <c r="Y28" s="868"/>
      <c r="Z28" s="868"/>
    </row>
    <row r="29" spans="1:26" ht="18.75" hidden="1">
      <c r="A29" s="869"/>
      <c r="B29" s="870"/>
      <c r="C29" s="870"/>
      <c r="D29" s="870"/>
      <c r="E29" s="871" t="s">
        <v>18</v>
      </c>
      <c r="F29" s="870"/>
      <c r="G29" s="872"/>
      <c r="H29" s="28" t="s">
        <v>12</v>
      </c>
      <c r="I29" s="873"/>
      <c r="J29" s="873"/>
      <c r="K29" s="874"/>
      <c r="L29" s="874">
        <f t="shared" ref="L29:N30" si="19">L32+L35</f>
        <v>0</v>
      </c>
      <c r="M29" s="874">
        <f t="shared" si="19"/>
        <v>0</v>
      </c>
      <c r="N29" s="874">
        <f t="shared" si="19"/>
        <v>0</v>
      </c>
      <c r="O29" s="874">
        <f t="shared" si="17"/>
        <v>0</v>
      </c>
      <c r="P29" s="874">
        <f t="shared" si="18"/>
        <v>0</v>
      </c>
      <c r="Q29" s="875"/>
      <c r="R29" s="875"/>
      <c r="S29" s="875"/>
      <c r="T29" s="875"/>
      <c r="U29" s="875"/>
      <c r="V29" s="875"/>
      <c r="W29" s="875"/>
      <c r="X29" s="875"/>
      <c r="Y29" s="875"/>
      <c r="Z29" s="875"/>
    </row>
    <row r="30" spans="1:26" ht="18.75" hidden="1">
      <c r="A30" s="869"/>
      <c r="B30" s="870"/>
      <c r="C30" s="870"/>
      <c r="D30" s="870"/>
      <c r="E30" s="871" t="s">
        <v>19</v>
      </c>
      <c r="F30" s="870"/>
      <c r="G30" s="872"/>
      <c r="H30" s="28" t="s">
        <v>12</v>
      </c>
      <c r="I30" s="873"/>
      <c r="J30" s="873"/>
      <c r="K30" s="874"/>
      <c r="L30" s="874">
        <f t="shared" ca="1" si="19"/>
        <v>2095088</v>
      </c>
      <c r="M30" s="874">
        <f t="shared" ca="1" si="19"/>
        <v>2095088</v>
      </c>
      <c r="N30" s="874">
        <f t="shared" si="19"/>
        <v>1132694.3999999999</v>
      </c>
      <c r="O30" s="874">
        <f t="shared" ca="1" si="17"/>
        <v>54.064287514414659</v>
      </c>
      <c r="P30" s="874">
        <f t="shared" ca="1" si="18"/>
        <v>54.064287514414659</v>
      </c>
      <c r="Q30" s="875"/>
      <c r="R30" s="875"/>
      <c r="S30" s="875"/>
      <c r="T30" s="875"/>
      <c r="U30" s="875"/>
      <c r="V30" s="875"/>
      <c r="W30" s="875"/>
      <c r="X30" s="875"/>
      <c r="Y30" s="875"/>
      <c r="Z30" s="875"/>
    </row>
    <row r="31" spans="1:26" ht="18.75">
      <c r="A31" s="876"/>
      <c r="B31" s="877"/>
      <c r="C31" s="877"/>
      <c r="D31" s="878" t="s">
        <v>20</v>
      </c>
      <c r="E31" s="877"/>
      <c r="F31" s="877"/>
      <c r="G31" s="879"/>
      <c r="H31" s="622" t="s">
        <v>12</v>
      </c>
      <c r="I31" s="880"/>
      <c r="J31" s="880"/>
      <c r="K31" s="881"/>
      <c r="L31" s="881">
        <f t="shared" ref="L31:N31" ca="1" si="20">L32+L33</f>
        <v>2095088</v>
      </c>
      <c r="M31" s="881">
        <f t="shared" ca="1" si="20"/>
        <v>2095088</v>
      </c>
      <c r="N31" s="881">
        <f t="shared" si="20"/>
        <v>1132694.3999999999</v>
      </c>
      <c r="O31" s="881">
        <f t="shared" ca="1" si="17"/>
        <v>54.064287514414659</v>
      </c>
      <c r="P31" s="881">
        <f t="shared" ca="1" si="18"/>
        <v>54.064287514414659</v>
      </c>
      <c r="Q31" s="868"/>
      <c r="R31" s="868"/>
      <c r="S31" s="868"/>
      <c r="T31" s="868"/>
      <c r="U31" s="868"/>
      <c r="V31" s="868"/>
      <c r="W31" s="868"/>
      <c r="X31" s="868"/>
      <c r="Y31" s="868"/>
      <c r="Z31" s="868"/>
    </row>
    <row r="32" spans="1:26" ht="18.75" hidden="1">
      <c r="A32" s="882"/>
      <c r="B32" s="883"/>
      <c r="C32" s="883"/>
      <c r="D32" s="883"/>
      <c r="E32" s="884" t="s">
        <v>18</v>
      </c>
      <c r="F32" s="883"/>
      <c r="G32" s="885"/>
      <c r="H32" s="43" t="s">
        <v>12</v>
      </c>
      <c r="I32" s="886"/>
      <c r="J32" s="886"/>
      <c r="K32" s="887"/>
      <c r="L32" s="887">
        <f t="shared" ref="L32:N33" si="21">L423+L448+L471+L506+L527+L548+L633+L659+L689+L741+L758+L774+L790+L809</f>
        <v>0</v>
      </c>
      <c r="M32" s="887">
        <f t="shared" si="21"/>
        <v>0</v>
      </c>
      <c r="N32" s="887">
        <f t="shared" si="21"/>
        <v>0</v>
      </c>
      <c r="O32" s="887">
        <f t="shared" si="17"/>
        <v>0</v>
      </c>
      <c r="P32" s="887">
        <f t="shared" si="18"/>
        <v>0</v>
      </c>
      <c r="Q32" s="875"/>
      <c r="R32" s="875"/>
      <c r="S32" s="875"/>
      <c r="T32" s="875"/>
      <c r="U32" s="875"/>
      <c r="V32" s="875"/>
      <c r="W32" s="875"/>
      <c r="X32" s="875"/>
      <c r="Y32" s="875"/>
      <c r="Z32" s="875"/>
    </row>
    <row r="33" spans="1:26" ht="18.75" hidden="1">
      <c r="A33" s="882"/>
      <c r="B33" s="883"/>
      <c r="C33" s="883"/>
      <c r="D33" s="883"/>
      <c r="E33" s="884" t="s">
        <v>19</v>
      </c>
      <c r="F33" s="883"/>
      <c r="G33" s="885"/>
      <c r="H33" s="43" t="s">
        <v>12</v>
      </c>
      <c r="I33" s="886"/>
      <c r="J33" s="886"/>
      <c r="K33" s="887"/>
      <c r="L33" s="887">
        <f t="shared" ca="1" si="21"/>
        <v>2095088</v>
      </c>
      <c r="M33" s="887">
        <f t="shared" ca="1" si="21"/>
        <v>2095088</v>
      </c>
      <c r="N33" s="887">
        <f t="shared" si="21"/>
        <v>1132694.3999999999</v>
      </c>
      <c r="O33" s="887">
        <f t="shared" ca="1" si="17"/>
        <v>54.064287514414659</v>
      </c>
      <c r="P33" s="887">
        <f t="shared" ca="1" si="18"/>
        <v>54.064287514414659</v>
      </c>
      <c r="Q33" s="875"/>
      <c r="R33" s="875"/>
      <c r="S33" s="875"/>
      <c r="T33" s="875"/>
      <c r="U33" s="875"/>
      <c r="V33" s="875"/>
      <c r="W33" s="875"/>
      <c r="X33" s="875"/>
      <c r="Y33" s="875"/>
      <c r="Z33" s="875"/>
    </row>
    <row r="34" spans="1:26" ht="18.75">
      <c r="A34" s="876"/>
      <c r="B34" s="877"/>
      <c r="C34" s="877"/>
      <c r="D34" s="878" t="s">
        <v>21</v>
      </c>
      <c r="E34" s="877"/>
      <c r="F34" s="877"/>
      <c r="G34" s="879"/>
      <c r="H34" s="622" t="s">
        <v>12</v>
      </c>
      <c r="I34" s="880"/>
      <c r="J34" s="880"/>
      <c r="K34" s="881"/>
      <c r="L34" s="881">
        <f t="shared" ref="L34:N34" ca="1" si="22">L35+L36</f>
        <v>0</v>
      </c>
      <c r="M34" s="881">
        <f t="shared" si="22"/>
        <v>0</v>
      </c>
      <c r="N34" s="881">
        <f t="shared" si="22"/>
        <v>0</v>
      </c>
      <c r="O34" s="881">
        <f t="shared" ca="1" si="17"/>
        <v>0</v>
      </c>
      <c r="P34" s="881">
        <f t="shared" si="18"/>
        <v>0</v>
      </c>
      <c r="Q34" s="868"/>
      <c r="R34" s="868"/>
      <c r="S34" s="868"/>
      <c r="T34" s="868"/>
      <c r="U34" s="868"/>
      <c r="V34" s="868"/>
      <c r="W34" s="868"/>
      <c r="X34" s="868"/>
      <c r="Y34" s="868"/>
      <c r="Z34" s="868"/>
    </row>
    <row r="35" spans="1:26" ht="18.75" hidden="1">
      <c r="A35" s="882"/>
      <c r="B35" s="883"/>
      <c r="C35" s="883"/>
      <c r="D35" s="883"/>
      <c r="E35" s="884" t="s">
        <v>18</v>
      </c>
      <c r="F35" s="883"/>
      <c r="G35" s="885"/>
      <c r="H35" s="43" t="s">
        <v>12</v>
      </c>
      <c r="I35" s="886"/>
      <c r="J35" s="886"/>
      <c r="K35" s="887"/>
      <c r="L35" s="887">
        <f t="shared" ref="L35:N36" si="23">L430+L455+L478+L513+L534+L556+L640+L666+L696+L748+L765+L781+L797+L816</f>
        <v>0</v>
      </c>
      <c r="M35" s="887">
        <f t="shared" si="23"/>
        <v>0</v>
      </c>
      <c r="N35" s="887">
        <f t="shared" si="23"/>
        <v>0</v>
      </c>
      <c r="O35" s="887">
        <f t="shared" si="17"/>
        <v>0</v>
      </c>
      <c r="P35" s="887">
        <f t="shared" si="18"/>
        <v>0</v>
      </c>
      <c r="Q35" s="875"/>
      <c r="R35" s="875"/>
      <c r="S35" s="875"/>
      <c r="T35" s="875"/>
      <c r="U35" s="875"/>
      <c r="V35" s="875"/>
      <c r="W35" s="875"/>
      <c r="X35" s="875"/>
      <c r="Y35" s="875"/>
      <c r="Z35" s="875"/>
    </row>
    <row r="36" spans="1:26" ht="18.75" hidden="1">
      <c r="A36" s="888"/>
      <c r="B36" s="889"/>
      <c r="C36" s="889"/>
      <c r="D36" s="889"/>
      <c r="E36" s="890" t="s">
        <v>19</v>
      </c>
      <c r="F36" s="889"/>
      <c r="G36" s="891"/>
      <c r="H36" s="50" t="s">
        <v>12</v>
      </c>
      <c r="I36" s="892"/>
      <c r="J36" s="892"/>
      <c r="K36" s="893"/>
      <c r="L36" s="893">
        <f t="shared" ca="1" si="23"/>
        <v>0</v>
      </c>
      <c r="M36" s="893">
        <f t="shared" si="23"/>
        <v>0</v>
      </c>
      <c r="N36" s="893">
        <f t="shared" si="23"/>
        <v>0</v>
      </c>
      <c r="O36" s="893">
        <f t="shared" ca="1" si="17"/>
        <v>0</v>
      </c>
      <c r="P36" s="893">
        <f t="shared" si="18"/>
        <v>0</v>
      </c>
      <c r="Q36" s="875"/>
      <c r="R36" s="875"/>
      <c r="S36" s="875"/>
      <c r="T36" s="875"/>
      <c r="U36" s="875"/>
      <c r="V36" s="875"/>
      <c r="W36" s="875"/>
      <c r="X36" s="875"/>
      <c r="Y36" s="875"/>
      <c r="Z36" s="875"/>
    </row>
    <row r="37" spans="1:26" ht="19.5">
      <c r="A37" s="894" t="s">
        <v>24</v>
      </c>
      <c r="B37" s="895"/>
      <c r="C37" s="895"/>
      <c r="D37" s="895"/>
      <c r="E37" s="895"/>
      <c r="F37" s="895"/>
      <c r="G37" s="896"/>
      <c r="H37" s="897"/>
      <c r="I37" s="898"/>
      <c r="J37" s="898"/>
      <c r="K37" s="899"/>
      <c r="L37" s="900">
        <f t="shared" ref="L37:N37" ca="1" si="24">L41+L53+L66+L88+L119+L132+L149+L165+L181+L261+L277+L298+L315+L328+L345+L389+L402</f>
        <v>4971944</v>
      </c>
      <c r="M37" s="900">
        <f t="shared" ca="1" si="24"/>
        <v>4119115</v>
      </c>
      <c r="N37" s="900">
        <f t="shared" ca="1" si="24"/>
        <v>2984929.3</v>
      </c>
      <c r="O37" s="900">
        <f t="shared" ca="1" si="17"/>
        <v>60.035456956071911</v>
      </c>
      <c r="P37" s="900">
        <f t="shared" ca="1" si="18"/>
        <v>72.46530626117503</v>
      </c>
    </row>
    <row r="38" spans="1:26" ht="19.5">
      <c r="A38" s="901" t="s">
        <v>25</v>
      </c>
      <c r="B38" s="902"/>
      <c r="C38" s="902"/>
      <c r="D38" s="902"/>
      <c r="E38" s="902"/>
      <c r="F38" s="902"/>
      <c r="G38" s="903"/>
      <c r="H38" s="904"/>
      <c r="I38" s="905"/>
      <c r="J38" s="905"/>
      <c r="K38" s="906"/>
      <c r="L38" s="906"/>
      <c r="M38" s="906"/>
      <c r="N38" s="906"/>
      <c r="O38" s="906"/>
      <c r="P38" s="906"/>
    </row>
    <row r="39" spans="1:26" ht="19.5">
      <c r="A39" s="907"/>
      <c r="B39" s="908" t="s">
        <v>26</v>
      </c>
      <c r="C39" s="909"/>
      <c r="D39" s="909"/>
      <c r="E39" s="909"/>
      <c r="F39" s="909"/>
      <c r="G39" s="910"/>
      <c r="H39" s="911"/>
      <c r="I39" s="912"/>
      <c r="J39" s="912"/>
      <c r="K39" s="913"/>
      <c r="L39" s="913"/>
      <c r="M39" s="913"/>
      <c r="N39" s="913"/>
      <c r="O39" s="913"/>
      <c r="P39" s="913"/>
    </row>
    <row r="40" spans="1:26" ht="19.5">
      <c r="A40" s="914"/>
      <c r="B40" s="915" t="s">
        <v>27</v>
      </c>
      <c r="C40" s="841"/>
      <c r="D40" s="841"/>
      <c r="E40" s="841"/>
      <c r="F40" s="841"/>
      <c r="G40" s="842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82" t="s">
        <v>12</v>
      </c>
      <c r="I41" s="924"/>
      <c r="J41" s="924"/>
      <c r="K41" s="925"/>
      <c r="L41" s="926">
        <f t="shared" ref="L41:N41" ca="1" si="25">L42+L43</f>
        <v>675169</v>
      </c>
      <c r="M41" s="926">
        <f t="shared" ca="1" si="25"/>
        <v>696040</v>
      </c>
      <c r="N41" s="926">
        <f t="shared" ca="1" si="25"/>
        <v>365521</v>
      </c>
      <c r="O41" s="926">
        <f t="shared" ref="O41:O49" ca="1" si="26">IF(L41&gt;0,N41*100/L41,0)</f>
        <v>54.137704782061974</v>
      </c>
      <c r="P41" s="926">
        <f t="shared" ref="P41:P49" ca="1" si="27">IF(M41&gt;0,N41*100/M41,0)</f>
        <v>52.514366990402849</v>
      </c>
      <c r="Q41" s="868"/>
      <c r="R41" s="868"/>
      <c r="S41" s="868"/>
      <c r="T41" s="868"/>
      <c r="U41" s="868"/>
      <c r="V41" s="868"/>
      <c r="W41" s="868"/>
      <c r="X41" s="868"/>
      <c r="Y41" s="868"/>
      <c r="Z41" s="868"/>
    </row>
    <row r="42" spans="1:26" ht="18.75" hidden="1">
      <c r="A42" s="927"/>
      <c r="B42" s="928"/>
      <c r="C42" s="928"/>
      <c r="D42" s="928"/>
      <c r="E42" s="929" t="s">
        <v>18</v>
      </c>
      <c r="F42" s="928"/>
      <c r="G42" s="930"/>
      <c r="H42" s="90" t="s">
        <v>12</v>
      </c>
      <c r="I42" s="931"/>
      <c r="J42" s="931"/>
      <c r="K42" s="932"/>
      <c r="L42" s="932">
        <f t="shared" ref="L42:N43" si="28">L45+L48</f>
        <v>0</v>
      </c>
      <c r="M42" s="932">
        <f t="shared" si="28"/>
        <v>0</v>
      </c>
      <c r="N42" s="932">
        <f t="shared" si="28"/>
        <v>0</v>
      </c>
      <c r="O42" s="932">
        <f t="shared" si="26"/>
        <v>0</v>
      </c>
      <c r="P42" s="932">
        <f t="shared" si="27"/>
        <v>0</v>
      </c>
      <c r="Q42" s="875"/>
      <c r="R42" s="875"/>
      <c r="S42" s="875"/>
      <c r="T42" s="875"/>
      <c r="U42" s="875"/>
      <c r="V42" s="875"/>
      <c r="W42" s="875"/>
      <c r="X42" s="875"/>
      <c r="Y42" s="875"/>
      <c r="Z42" s="875"/>
    </row>
    <row r="43" spans="1:26" ht="18.75" hidden="1">
      <c r="A43" s="927"/>
      <c r="B43" s="928"/>
      <c r="C43" s="928"/>
      <c r="D43" s="928"/>
      <c r="E43" s="929" t="s">
        <v>19</v>
      </c>
      <c r="F43" s="928"/>
      <c r="G43" s="930"/>
      <c r="H43" s="90" t="s">
        <v>12</v>
      </c>
      <c r="I43" s="931"/>
      <c r="J43" s="931"/>
      <c r="K43" s="932"/>
      <c r="L43" s="932">
        <f t="shared" ca="1" si="28"/>
        <v>675169</v>
      </c>
      <c r="M43" s="932">
        <f t="shared" ca="1" si="28"/>
        <v>696040</v>
      </c>
      <c r="N43" s="932">
        <f t="shared" ca="1" si="28"/>
        <v>365521</v>
      </c>
      <c r="O43" s="932">
        <f t="shared" ca="1" si="26"/>
        <v>54.137704782061974</v>
      </c>
      <c r="P43" s="932">
        <f t="shared" ca="1" si="27"/>
        <v>52.514366990402849</v>
      </c>
      <c r="Q43" s="875"/>
      <c r="R43" s="875"/>
      <c r="S43" s="875"/>
      <c r="T43" s="875"/>
      <c r="U43" s="875"/>
      <c r="V43" s="875"/>
      <c r="W43" s="875"/>
      <c r="X43" s="875"/>
      <c r="Y43" s="875"/>
      <c r="Z43" s="875"/>
    </row>
    <row r="44" spans="1:26" ht="18.75">
      <c r="A44" s="876"/>
      <c r="B44" s="877"/>
      <c r="C44" s="877"/>
      <c r="D44" s="878" t="s">
        <v>20</v>
      </c>
      <c r="E44" s="877"/>
      <c r="F44" s="877"/>
      <c r="G44" s="879"/>
      <c r="H44" s="622" t="s">
        <v>12</v>
      </c>
      <c r="I44" s="880"/>
      <c r="J44" s="880"/>
      <c r="K44" s="881"/>
      <c r="L44" s="881">
        <f t="shared" ref="L44:N44" ca="1" si="29">L45+L46</f>
        <v>675169</v>
      </c>
      <c r="M44" s="881">
        <f t="shared" ca="1" si="29"/>
        <v>696040</v>
      </c>
      <c r="N44" s="881">
        <f t="shared" ca="1" si="29"/>
        <v>365521</v>
      </c>
      <c r="O44" s="881">
        <f t="shared" ca="1" si="26"/>
        <v>54.137704782061974</v>
      </c>
      <c r="P44" s="881">
        <f t="shared" ca="1" si="27"/>
        <v>52.514366990402849</v>
      </c>
      <c r="Q44" s="868"/>
      <c r="R44" s="868"/>
      <c r="S44" s="868"/>
      <c r="T44" s="868"/>
      <c r="U44" s="868"/>
      <c r="V44" s="868"/>
      <c r="W44" s="868"/>
      <c r="X44" s="868"/>
      <c r="Y44" s="868"/>
      <c r="Z44" s="868"/>
    </row>
    <row r="45" spans="1:26" ht="18.75" hidden="1">
      <c r="A45" s="882"/>
      <c r="B45" s="883"/>
      <c r="C45" s="883"/>
      <c r="D45" s="883"/>
      <c r="E45" s="884" t="s">
        <v>18</v>
      </c>
      <c r="F45" s="883"/>
      <c r="G45" s="885"/>
      <c r="H45" s="43" t="s">
        <v>12</v>
      </c>
      <c r="I45" s="886"/>
      <c r="J45" s="886"/>
      <c r="K45" s="887"/>
      <c r="L45" s="887">
        <v>0</v>
      </c>
      <c r="M45" s="887">
        <v>0</v>
      </c>
      <c r="N45" s="887">
        <v>0</v>
      </c>
      <c r="O45" s="887">
        <f t="shared" si="26"/>
        <v>0</v>
      </c>
      <c r="P45" s="887">
        <f t="shared" si="27"/>
        <v>0</v>
      </c>
      <c r="Q45" s="875"/>
      <c r="R45" s="875"/>
      <c r="S45" s="875"/>
      <c r="T45" s="875"/>
      <c r="U45" s="875"/>
      <c r="V45" s="875"/>
      <c r="W45" s="875"/>
      <c r="X45" s="875"/>
      <c r="Y45" s="875"/>
      <c r="Z45" s="875"/>
    </row>
    <row r="46" spans="1:26" ht="18.75" hidden="1">
      <c r="A46" s="882"/>
      <c r="B46" s="883"/>
      <c r="C46" s="883"/>
      <c r="D46" s="883"/>
      <c r="E46" s="884" t="s">
        <v>19</v>
      </c>
      <c r="F46" s="883"/>
      <c r="G46" s="885"/>
      <c r="H46" s="43" t="s">
        <v>12</v>
      </c>
      <c r="I46" s="886"/>
      <c r="J46" s="886"/>
      <c r="K46" s="887"/>
      <c r="L46" s="887">
        <f ca="1">IFERROR(__xludf.DUMMYFUNCTION("IMPORTRANGE(""https://docs.google.com/spreadsheets/d/1MeEWN-I1oV_STSDYn1IFDPWt_1FKiwhDph83XaGc0o0/edit?usp=sharing"",""งบพรบ!M88"")"),675169)</f>
        <v>675169</v>
      </c>
      <c r="M46" s="887">
        <f ca="1">IFERROR(__xludf.DUMMYFUNCTION("IMPORTRANGE(""https://docs.google.com/spreadsheets/d/1MeEWN-I1oV_STSDYn1IFDPWt_1FKiwhDph83XaGc0o0/edit?usp=sharing"",""งบพรบ!R88"")"),696040)</f>
        <v>696040</v>
      </c>
      <c r="N46" s="887">
        <f ca="1">IFERROR(__xludf.DUMMYFUNCTION("IMPORTRANGE(""https://docs.google.com/spreadsheets/d/1MeEWN-I1oV_STSDYn1IFDPWt_1FKiwhDph83XaGc0o0/edit?usp=sharing"",""งบพรบ!T88"")"),365521)</f>
        <v>365521</v>
      </c>
      <c r="O46" s="887">
        <f t="shared" ca="1" si="26"/>
        <v>54.137704782061974</v>
      </c>
      <c r="P46" s="887">
        <f t="shared" ca="1" si="27"/>
        <v>52.514366990402849</v>
      </c>
      <c r="Q46" s="875"/>
      <c r="R46" s="875"/>
      <c r="S46" s="875"/>
      <c r="T46" s="875"/>
      <c r="U46" s="875"/>
      <c r="V46" s="875"/>
      <c r="W46" s="875"/>
      <c r="X46" s="875"/>
      <c r="Y46" s="875"/>
      <c r="Z46" s="875"/>
    </row>
    <row r="47" spans="1:26" ht="18.75">
      <c r="A47" s="876"/>
      <c r="B47" s="877"/>
      <c r="C47" s="877"/>
      <c r="D47" s="878" t="s">
        <v>21</v>
      </c>
      <c r="E47" s="877"/>
      <c r="F47" s="877"/>
      <c r="G47" s="879"/>
      <c r="H47" s="622" t="s">
        <v>12</v>
      </c>
      <c r="I47" s="880"/>
      <c r="J47" s="880"/>
      <c r="K47" s="881"/>
      <c r="L47" s="881">
        <f t="shared" ref="L47:N47" ca="1" si="30">L48+L49</f>
        <v>0</v>
      </c>
      <c r="M47" s="881">
        <f t="shared" ca="1" si="30"/>
        <v>0</v>
      </c>
      <c r="N47" s="881">
        <f t="shared" ca="1" si="30"/>
        <v>0</v>
      </c>
      <c r="O47" s="881">
        <f t="shared" ca="1" si="26"/>
        <v>0</v>
      </c>
      <c r="P47" s="881">
        <f t="shared" ca="1" si="27"/>
        <v>0</v>
      </c>
      <c r="Q47" s="868"/>
      <c r="R47" s="868"/>
      <c r="S47" s="868"/>
      <c r="T47" s="868"/>
      <c r="U47" s="868"/>
      <c r="V47" s="868"/>
      <c r="W47" s="868"/>
      <c r="X47" s="868"/>
      <c r="Y47" s="868"/>
      <c r="Z47" s="868"/>
    </row>
    <row r="48" spans="1:26" ht="18.75" hidden="1">
      <c r="A48" s="882"/>
      <c r="B48" s="883"/>
      <c r="C48" s="883"/>
      <c r="D48" s="883"/>
      <c r="E48" s="884" t="s">
        <v>18</v>
      </c>
      <c r="F48" s="883"/>
      <c r="G48" s="885"/>
      <c r="H48" s="43" t="s">
        <v>12</v>
      </c>
      <c r="I48" s="886"/>
      <c r="J48" s="886"/>
      <c r="K48" s="887"/>
      <c r="L48" s="887">
        <v>0</v>
      </c>
      <c r="M48" s="887">
        <v>0</v>
      </c>
      <c r="N48" s="887">
        <v>0</v>
      </c>
      <c r="O48" s="887">
        <f t="shared" si="26"/>
        <v>0</v>
      </c>
      <c r="P48" s="887">
        <f t="shared" si="27"/>
        <v>0</v>
      </c>
      <c r="Q48" s="875"/>
      <c r="R48" s="875"/>
      <c r="S48" s="875"/>
      <c r="T48" s="875"/>
      <c r="U48" s="875"/>
      <c r="V48" s="875"/>
      <c r="W48" s="875"/>
      <c r="X48" s="875"/>
      <c r="Y48" s="875"/>
      <c r="Z48" s="875"/>
    </row>
    <row r="49" spans="1:26" ht="18.75" hidden="1">
      <c r="A49" s="888"/>
      <c r="B49" s="889"/>
      <c r="C49" s="889"/>
      <c r="D49" s="889"/>
      <c r="E49" s="890" t="s">
        <v>19</v>
      </c>
      <c r="F49" s="889"/>
      <c r="G49" s="891"/>
      <c r="H49" s="50" t="s">
        <v>12</v>
      </c>
      <c r="I49" s="892"/>
      <c r="J49" s="892"/>
      <c r="K49" s="893"/>
      <c r="L49" s="893">
        <f ca="1">IFERROR(__xludf.DUMMYFUNCTION("IMPORTRANGE(""https://docs.google.com/spreadsheets/d/1MeEWN-I1oV_STSDYn1IFDPWt_1FKiwhDph83XaGc0o0/edit?usp=sharing"",""งบพรบ!P88"")"),0)</f>
        <v>0</v>
      </c>
      <c r="M49" s="893">
        <f ca="1">IFERROR(__xludf.DUMMYFUNCTION("IMPORTRANGE(""https://docs.google.com/spreadsheets/d/1MeEWN-I1oV_STSDYn1IFDPWt_1FKiwhDph83XaGc0o0/edit?usp=sharing"",""งบพรบ!S88"")"),0)</f>
        <v>0</v>
      </c>
      <c r="N49" s="893">
        <f ca="1">IFERROR(__xludf.DUMMYFUNCTION("IMPORTRANGE(""https://docs.google.com/spreadsheets/d/1MeEWN-I1oV_STSDYn1IFDPWt_1FKiwhDph83XaGc0o0/edit?usp=sharing"",""งบพรบ!U88"")"),0)</f>
        <v>0</v>
      </c>
      <c r="O49" s="893">
        <f t="shared" ca="1" si="26"/>
        <v>0</v>
      </c>
      <c r="P49" s="893">
        <f t="shared" ca="1" si="27"/>
        <v>0</v>
      </c>
      <c r="Q49" s="875"/>
      <c r="R49" s="875"/>
      <c r="S49" s="875"/>
      <c r="T49" s="875"/>
      <c r="U49" s="875"/>
      <c r="V49" s="875"/>
      <c r="W49" s="875"/>
      <c r="X49" s="875"/>
      <c r="Y49" s="875"/>
      <c r="Z49" s="875"/>
    </row>
    <row r="50" spans="1:26" ht="19.5">
      <c r="A50" s="933" t="s">
        <v>28</v>
      </c>
      <c r="B50" s="833"/>
      <c r="C50" s="833"/>
      <c r="D50" s="833"/>
      <c r="E50" s="833"/>
      <c r="F50" s="833"/>
      <c r="G50" s="831"/>
      <c r="H50" s="934"/>
      <c r="I50" s="935"/>
      <c r="J50" s="935"/>
      <c r="K50" s="936"/>
      <c r="L50" s="936"/>
      <c r="M50" s="936"/>
      <c r="N50" s="936"/>
      <c r="O50" s="936"/>
      <c r="P50" s="936"/>
    </row>
    <row r="51" spans="1:26" ht="19.5">
      <c r="A51" s="937"/>
      <c r="B51" s="938" t="s">
        <v>29</v>
      </c>
      <c r="C51" s="841"/>
      <c r="D51" s="841"/>
      <c r="E51" s="841"/>
      <c r="F51" s="841"/>
      <c r="G51" s="842"/>
      <c r="H51" s="939"/>
      <c r="I51" s="940"/>
      <c r="J51" s="940"/>
      <c r="K51" s="941"/>
      <c r="L51" s="941"/>
      <c r="M51" s="941"/>
      <c r="N51" s="941"/>
      <c r="O51" s="941"/>
      <c r="P51" s="941"/>
    </row>
    <row r="52" spans="1:26" ht="19.5">
      <c r="A52" s="942"/>
      <c r="B52" s="943" t="s">
        <v>30</v>
      </c>
      <c r="C52" s="944"/>
      <c r="D52" s="944"/>
      <c r="E52" s="944"/>
      <c r="F52" s="944"/>
      <c r="G52" s="945"/>
      <c r="H52" s="946"/>
      <c r="I52" s="947"/>
      <c r="J52" s="947"/>
      <c r="K52" s="948"/>
      <c r="L52" s="948"/>
      <c r="M52" s="948"/>
      <c r="N52" s="948"/>
      <c r="O52" s="948"/>
      <c r="P52" s="948"/>
    </row>
    <row r="53" spans="1:26" ht="19.5">
      <c r="A53" s="949"/>
      <c r="B53" s="950"/>
      <c r="C53" s="951" t="s">
        <v>16</v>
      </c>
      <c r="D53" s="952" t="s">
        <v>17</v>
      </c>
      <c r="E53" s="950"/>
      <c r="F53" s="950"/>
      <c r="G53" s="953"/>
      <c r="H53" s="113" t="s">
        <v>12</v>
      </c>
      <c r="I53" s="954"/>
      <c r="J53" s="954"/>
      <c r="K53" s="955"/>
      <c r="L53" s="956">
        <f t="shared" ref="L53:N53" ca="1" si="31">L54+L55</f>
        <v>643400</v>
      </c>
      <c r="M53" s="956">
        <f t="shared" ca="1" si="31"/>
        <v>504900</v>
      </c>
      <c r="N53" s="956">
        <f t="shared" ca="1" si="31"/>
        <v>433605.97</v>
      </c>
      <c r="O53" s="956">
        <f t="shared" ref="O53:O61" ca="1" si="32">IF(L53&gt;0,N53*100/L53,0)</f>
        <v>67.392907988809455</v>
      </c>
      <c r="P53" s="956">
        <f t="shared" ref="P53:P61" ca="1" si="33">IF(M53&gt;0,N53*100/M53,0)</f>
        <v>85.879574173103592</v>
      </c>
      <c r="Q53" s="868"/>
      <c r="R53" s="868"/>
      <c r="S53" s="868"/>
      <c r="T53" s="868"/>
      <c r="U53" s="868"/>
      <c r="V53" s="868"/>
      <c r="W53" s="868"/>
      <c r="X53" s="868"/>
      <c r="Y53" s="868"/>
      <c r="Z53" s="868"/>
    </row>
    <row r="54" spans="1:26" ht="18.75" hidden="1">
      <c r="A54" s="957"/>
      <c r="B54" s="958"/>
      <c r="C54" s="958"/>
      <c r="D54" s="958"/>
      <c r="E54" s="959" t="s">
        <v>18</v>
      </c>
      <c r="F54" s="958"/>
      <c r="G54" s="960"/>
      <c r="H54" s="121" t="s">
        <v>12</v>
      </c>
      <c r="I54" s="961"/>
      <c r="J54" s="961"/>
      <c r="K54" s="962"/>
      <c r="L54" s="962">
        <f t="shared" ref="L54:N55" si="34">L57+L60</f>
        <v>0</v>
      </c>
      <c r="M54" s="962">
        <f t="shared" si="34"/>
        <v>0</v>
      </c>
      <c r="N54" s="962">
        <f t="shared" si="34"/>
        <v>0</v>
      </c>
      <c r="O54" s="962">
        <f t="shared" si="32"/>
        <v>0</v>
      </c>
      <c r="P54" s="962">
        <f t="shared" si="33"/>
        <v>0</v>
      </c>
      <c r="Q54" s="875"/>
      <c r="R54" s="875"/>
      <c r="S54" s="875"/>
      <c r="T54" s="875"/>
      <c r="U54" s="875"/>
      <c r="V54" s="875"/>
      <c r="W54" s="875"/>
      <c r="X54" s="875"/>
      <c r="Y54" s="875"/>
      <c r="Z54" s="875"/>
    </row>
    <row r="55" spans="1:26" ht="18.75" hidden="1">
      <c r="A55" s="957"/>
      <c r="B55" s="958"/>
      <c r="C55" s="958"/>
      <c r="D55" s="958"/>
      <c r="E55" s="959" t="s">
        <v>19</v>
      </c>
      <c r="F55" s="958"/>
      <c r="G55" s="960"/>
      <c r="H55" s="121" t="s">
        <v>12</v>
      </c>
      <c r="I55" s="961"/>
      <c r="J55" s="961"/>
      <c r="K55" s="962"/>
      <c r="L55" s="962">
        <f t="shared" ca="1" si="34"/>
        <v>643400</v>
      </c>
      <c r="M55" s="962">
        <f t="shared" ca="1" si="34"/>
        <v>504900</v>
      </c>
      <c r="N55" s="962">
        <f t="shared" ca="1" si="34"/>
        <v>433605.97</v>
      </c>
      <c r="O55" s="962">
        <f t="shared" ca="1" si="32"/>
        <v>67.392907988809455</v>
      </c>
      <c r="P55" s="962">
        <f t="shared" ca="1" si="33"/>
        <v>85.879574173103592</v>
      </c>
      <c r="Q55" s="875"/>
      <c r="R55" s="875"/>
      <c r="S55" s="875"/>
      <c r="T55" s="875"/>
      <c r="U55" s="875"/>
      <c r="V55" s="875"/>
      <c r="W55" s="875"/>
      <c r="X55" s="875"/>
      <c r="Y55" s="875"/>
      <c r="Z55" s="875"/>
    </row>
    <row r="56" spans="1:26" ht="18.75">
      <c r="A56" s="876"/>
      <c r="B56" s="877"/>
      <c r="C56" s="877"/>
      <c r="D56" s="878" t="s">
        <v>20</v>
      </c>
      <c r="E56" s="877"/>
      <c r="F56" s="877"/>
      <c r="G56" s="879"/>
      <c r="H56" s="622" t="s">
        <v>12</v>
      </c>
      <c r="I56" s="880"/>
      <c r="J56" s="880"/>
      <c r="K56" s="881"/>
      <c r="L56" s="881">
        <f t="shared" ref="L56:N56" ca="1" si="35">L57+L58</f>
        <v>532400</v>
      </c>
      <c r="M56" s="881">
        <f t="shared" ca="1" si="35"/>
        <v>399300</v>
      </c>
      <c r="N56" s="881">
        <f t="shared" ca="1" si="35"/>
        <v>328005.96999999997</v>
      </c>
      <c r="O56" s="881">
        <f t="shared" ca="1" si="32"/>
        <v>61.608935011269715</v>
      </c>
      <c r="P56" s="881">
        <f t="shared" ca="1" si="33"/>
        <v>82.145246681692953</v>
      </c>
      <c r="Q56" s="868"/>
      <c r="R56" s="868"/>
      <c r="S56" s="868"/>
      <c r="T56" s="868"/>
      <c r="U56" s="868"/>
      <c r="V56" s="868"/>
      <c r="W56" s="868"/>
      <c r="X56" s="868"/>
      <c r="Y56" s="868"/>
      <c r="Z56" s="868"/>
    </row>
    <row r="57" spans="1:26" ht="18.75" hidden="1">
      <c r="A57" s="882"/>
      <c r="B57" s="883"/>
      <c r="C57" s="883"/>
      <c r="D57" s="883"/>
      <c r="E57" s="884" t="s">
        <v>18</v>
      </c>
      <c r="F57" s="883"/>
      <c r="G57" s="885"/>
      <c r="H57" s="43" t="s">
        <v>12</v>
      </c>
      <c r="I57" s="886"/>
      <c r="J57" s="886"/>
      <c r="K57" s="887"/>
      <c r="L57" s="887">
        <v>0</v>
      </c>
      <c r="M57" s="887">
        <v>0</v>
      </c>
      <c r="N57" s="887">
        <v>0</v>
      </c>
      <c r="O57" s="887">
        <f t="shared" si="32"/>
        <v>0</v>
      </c>
      <c r="P57" s="887">
        <f t="shared" si="33"/>
        <v>0</v>
      </c>
      <c r="Q57" s="875"/>
      <c r="R57" s="875"/>
      <c r="S57" s="875"/>
      <c r="T57" s="875"/>
      <c r="U57" s="875"/>
      <c r="V57" s="875"/>
      <c r="W57" s="875"/>
      <c r="X57" s="875"/>
      <c r="Y57" s="875"/>
      <c r="Z57" s="875"/>
    </row>
    <row r="58" spans="1:26" ht="18.75" hidden="1">
      <c r="A58" s="882"/>
      <c r="B58" s="883"/>
      <c r="C58" s="883"/>
      <c r="D58" s="883"/>
      <c r="E58" s="884" t="s">
        <v>19</v>
      </c>
      <c r="F58" s="883"/>
      <c r="G58" s="885"/>
      <c r="H58" s="43" t="s">
        <v>12</v>
      </c>
      <c r="I58" s="886"/>
      <c r="J58" s="886"/>
      <c r="K58" s="887"/>
      <c r="L58" s="887">
        <f ca="1">IFERROR(__xludf.DUMMYFUNCTION("IMPORTRANGE(""https://docs.google.com/spreadsheets/d/1MeEWN-I1oV_STSDYn1IFDPWt_1FKiwhDph83XaGc0o0/edit?usp=sharing"",""งบพรบ!W88"")"),532400)</f>
        <v>532400</v>
      </c>
      <c r="M58" s="887">
        <f ca="1">IFERROR(__xludf.DUMMYFUNCTION("IMPORTRANGE(""https://docs.google.com/spreadsheets/d/1MeEWN-I1oV_STSDYn1IFDPWt_1FKiwhDph83XaGc0o0/edit?usp=sharing"",""งบพรบ!AB88"")"),399300)</f>
        <v>399300</v>
      </c>
      <c r="N58" s="887">
        <f ca="1">IFERROR(__xludf.DUMMYFUNCTION("IMPORTRANGE(""https://docs.google.com/spreadsheets/d/1MeEWN-I1oV_STSDYn1IFDPWt_1FKiwhDph83XaGc0o0/edit?usp=sharing"",""งบพรบ!AD88"")"),328005.97)</f>
        <v>328005.96999999997</v>
      </c>
      <c r="O58" s="887">
        <f t="shared" ca="1" si="32"/>
        <v>61.608935011269715</v>
      </c>
      <c r="P58" s="887">
        <f t="shared" ca="1" si="33"/>
        <v>82.145246681692953</v>
      </c>
      <c r="Q58" s="875"/>
      <c r="R58" s="875"/>
      <c r="S58" s="875"/>
      <c r="T58" s="875"/>
      <c r="U58" s="875"/>
      <c r="V58" s="875"/>
      <c r="W58" s="875"/>
      <c r="X58" s="875"/>
      <c r="Y58" s="875"/>
      <c r="Z58" s="875"/>
    </row>
    <row r="59" spans="1:26" ht="18.75">
      <c r="A59" s="876"/>
      <c r="B59" s="877"/>
      <c r="C59" s="877"/>
      <c r="D59" s="878" t="s">
        <v>21</v>
      </c>
      <c r="E59" s="877"/>
      <c r="F59" s="877"/>
      <c r="G59" s="879"/>
      <c r="H59" s="622" t="s">
        <v>12</v>
      </c>
      <c r="I59" s="880"/>
      <c r="J59" s="880"/>
      <c r="K59" s="881"/>
      <c r="L59" s="881">
        <f t="shared" ref="L59:N59" ca="1" si="36">L60+L61</f>
        <v>111000</v>
      </c>
      <c r="M59" s="881">
        <f t="shared" ca="1" si="36"/>
        <v>105600</v>
      </c>
      <c r="N59" s="881">
        <f t="shared" ca="1" si="36"/>
        <v>105600</v>
      </c>
      <c r="O59" s="881">
        <f t="shared" ca="1" si="32"/>
        <v>95.13513513513513</v>
      </c>
      <c r="P59" s="881">
        <f t="shared" ca="1" si="33"/>
        <v>100</v>
      </c>
      <c r="Q59" s="868"/>
      <c r="R59" s="868"/>
      <c r="S59" s="868"/>
      <c r="T59" s="868"/>
      <c r="U59" s="868"/>
      <c r="V59" s="868"/>
      <c r="W59" s="868"/>
      <c r="X59" s="868"/>
      <c r="Y59" s="868"/>
      <c r="Z59" s="868"/>
    </row>
    <row r="60" spans="1:26" ht="18.75" hidden="1">
      <c r="A60" s="882"/>
      <c r="B60" s="883"/>
      <c r="C60" s="883"/>
      <c r="D60" s="883"/>
      <c r="E60" s="884" t="s">
        <v>18</v>
      </c>
      <c r="F60" s="883"/>
      <c r="G60" s="885"/>
      <c r="H60" s="43" t="s">
        <v>12</v>
      </c>
      <c r="I60" s="886"/>
      <c r="J60" s="886"/>
      <c r="K60" s="887"/>
      <c r="L60" s="887">
        <v>0</v>
      </c>
      <c r="M60" s="887">
        <v>0</v>
      </c>
      <c r="N60" s="887">
        <v>0</v>
      </c>
      <c r="O60" s="887">
        <f t="shared" si="32"/>
        <v>0</v>
      </c>
      <c r="P60" s="887">
        <f t="shared" si="33"/>
        <v>0</v>
      </c>
      <c r="Q60" s="875"/>
      <c r="R60" s="875"/>
      <c r="S60" s="875"/>
      <c r="T60" s="875"/>
      <c r="U60" s="875"/>
      <c r="V60" s="875"/>
      <c r="W60" s="875"/>
      <c r="X60" s="875"/>
      <c r="Y60" s="875"/>
      <c r="Z60" s="875"/>
    </row>
    <row r="61" spans="1:26" ht="18.75" hidden="1">
      <c r="A61" s="888"/>
      <c r="B61" s="889"/>
      <c r="C61" s="889"/>
      <c r="D61" s="889"/>
      <c r="E61" s="890" t="s">
        <v>19</v>
      </c>
      <c r="F61" s="889"/>
      <c r="G61" s="891"/>
      <c r="H61" s="50" t="s">
        <v>12</v>
      </c>
      <c r="I61" s="892"/>
      <c r="J61" s="892"/>
      <c r="K61" s="893"/>
      <c r="L61" s="893">
        <f ca="1">IFERROR(__xludf.DUMMYFUNCTION("IMPORTRANGE(""https://docs.google.com/spreadsheets/d/1MeEWN-I1oV_STSDYn1IFDPWt_1FKiwhDph83XaGc0o0/edit?usp=sharing"",""งบพรบ!Z88"")"),111000)</f>
        <v>111000</v>
      </c>
      <c r="M61" s="893">
        <f ca="1">IFERROR(__xludf.DUMMYFUNCTION("IMPORTRANGE(""https://docs.google.com/spreadsheets/d/1MeEWN-I1oV_STSDYn1IFDPWt_1FKiwhDph83XaGc0o0/edit?usp=sharing"",""งบพรบ!AC88"")"),105600)</f>
        <v>105600</v>
      </c>
      <c r="N61" s="893">
        <f ca="1">IFERROR(__xludf.DUMMYFUNCTION("IMPORTRANGE(""https://docs.google.com/spreadsheets/d/1MeEWN-I1oV_STSDYn1IFDPWt_1FKiwhDph83XaGc0o0/edit?usp=sharing"",""งบพรบ!AE88"")"),105600)</f>
        <v>105600</v>
      </c>
      <c r="O61" s="893">
        <f t="shared" ca="1" si="32"/>
        <v>95.13513513513513</v>
      </c>
      <c r="P61" s="893">
        <f t="shared" ca="1" si="33"/>
        <v>100</v>
      </c>
      <c r="Q61" s="875"/>
      <c r="R61" s="875"/>
      <c r="S61" s="875"/>
      <c r="T61" s="875"/>
      <c r="U61" s="875"/>
      <c r="V61" s="875"/>
      <c r="W61" s="875"/>
      <c r="X61" s="875"/>
      <c r="Y61" s="875"/>
      <c r="Z61" s="875"/>
    </row>
    <row r="62" spans="1:26" ht="19.5">
      <c r="A62" s="963" t="s">
        <v>31</v>
      </c>
      <c r="B62" s="964"/>
      <c r="C62" s="964"/>
      <c r="D62" s="964"/>
      <c r="E62" s="965"/>
      <c r="F62" s="965"/>
      <c r="G62" s="966"/>
      <c r="H62" s="967"/>
      <c r="I62" s="968"/>
      <c r="J62" s="968"/>
      <c r="K62" s="969"/>
      <c r="L62" s="969"/>
      <c r="M62" s="969"/>
      <c r="N62" s="969"/>
      <c r="O62" s="969"/>
      <c r="P62" s="969"/>
    </row>
    <row r="63" spans="1:26" ht="19.5">
      <c r="A63" s="970" t="s">
        <v>32</v>
      </c>
      <c r="B63" s="971"/>
      <c r="C63" s="972"/>
      <c r="D63" s="971"/>
      <c r="E63" s="971"/>
      <c r="F63" s="971"/>
      <c r="G63" s="973"/>
      <c r="H63" s="974"/>
      <c r="I63" s="975"/>
      <c r="J63" s="975"/>
      <c r="K63" s="976"/>
      <c r="L63" s="976"/>
      <c r="M63" s="976"/>
      <c r="N63" s="976"/>
      <c r="O63" s="976"/>
      <c r="P63" s="976"/>
    </row>
    <row r="64" spans="1:26" ht="19.5">
      <c r="A64" s="977"/>
      <c r="B64" s="978" t="s">
        <v>33</v>
      </c>
      <c r="C64" s="979"/>
      <c r="D64" s="980"/>
      <c r="E64" s="979"/>
      <c r="F64" s="979"/>
      <c r="G64" s="981"/>
      <c r="H64" s="205" t="s">
        <v>34</v>
      </c>
      <c r="I64" s="982">
        <f t="shared" ref="I64:J65" ca="1" si="37">I76</f>
        <v>1</v>
      </c>
      <c r="J64" s="982">
        <f t="shared" si="37"/>
        <v>1</v>
      </c>
      <c r="K64" s="983">
        <f t="shared" ref="K64:K65" ca="1" si="38">IF(I64&gt;0,J64*100/I64,0)</f>
        <v>100</v>
      </c>
      <c r="L64" s="984"/>
      <c r="M64" s="984"/>
      <c r="N64" s="984"/>
      <c r="O64" s="984"/>
      <c r="P64" s="984"/>
    </row>
    <row r="65" spans="1:26" ht="19.5">
      <c r="A65" s="977"/>
      <c r="B65" s="979"/>
      <c r="C65" s="979"/>
      <c r="D65" s="980"/>
      <c r="E65" s="979"/>
      <c r="F65" s="979"/>
      <c r="G65" s="981"/>
      <c r="H65" s="205" t="s">
        <v>35</v>
      </c>
      <c r="I65" s="982">
        <f t="shared" ca="1" si="37"/>
        <v>30</v>
      </c>
      <c r="J65" s="982">
        <f t="shared" si="37"/>
        <v>30</v>
      </c>
      <c r="K65" s="983">
        <f t="shared" ca="1" si="38"/>
        <v>100</v>
      </c>
      <c r="L65" s="984"/>
      <c r="M65" s="984"/>
      <c r="N65" s="984"/>
      <c r="O65" s="984"/>
      <c r="P65" s="984"/>
    </row>
    <row r="66" spans="1:26" ht="19.5">
      <c r="A66" s="985"/>
      <c r="B66" s="986"/>
      <c r="C66" s="987" t="s">
        <v>16</v>
      </c>
      <c r="D66" s="988" t="s">
        <v>17</v>
      </c>
      <c r="E66" s="986"/>
      <c r="F66" s="986"/>
      <c r="G66" s="989"/>
      <c r="H66" s="152" t="s">
        <v>12</v>
      </c>
      <c r="I66" s="990"/>
      <c r="J66" s="990"/>
      <c r="K66" s="991"/>
      <c r="L66" s="992">
        <f t="shared" ref="L66:N66" ca="1" si="39">L67+L68</f>
        <v>384000</v>
      </c>
      <c r="M66" s="992">
        <f t="shared" ca="1" si="39"/>
        <v>285000</v>
      </c>
      <c r="N66" s="992">
        <f t="shared" ca="1" si="39"/>
        <v>227494.76</v>
      </c>
      <c r="O66" s="992">
        <f t="shared" ref="O66:O74" ca="1" si="40">IF(L66&gt;0,N66*100/L66,0)</f>
        <v>59.24342708333333</v>
      </c>
      <c r="P66" s="992">
        <f t="shared" ref="P66:P74" ca="1" si="41">IF(M66&gt;0,N66*100/M66,0)</f>
        <v>79.822722807017541</v>
      </c>
      <c r="Q66" s="868"/>
      <c r="R66" s="868"/>
      <c r="S66" s="868"/>
      <c r="T66" s="868"/>
      <c r="U66" s="868"/>
      <c r="V66" s="868"/>
      <c r="W66" s="868"/>
      <c r="X66" s="868"/>
      <c r="Y66" s="868"/>
      <c r="Z66" s="868"/>
    </row>
    <row r="67" spans="1:26" ht="18.75" hidden="1">
      <c r="A67" s="993"/>
      <c r="B67" s="883"/>
      <c r="C67" s="883"/>
      <c r="D67" s="883"/>
      <c r="E67" s="884" t="s">
        <v>18</v>
      </c>
      <c r="F67" s="883"/>
      <c r="G67" s="994"/>
      <c r="H67" s="158" t="s">
        <v>12</v>
      </c>
      <c r="I67" s="886"/>
      <c r="J67" s="886"/>
      <c r="K67" s="887"/>
      <c r="L67" s="887">
        <f t="shared" ref="L67:N68" si="42">L70+L73</f>
        <v>0</v>
      </c>
      <c r="M67" s="887">
        <f t="shared" si="42"/>
        <v>0</v>
      </c>
      <c r="N67" s="887">
        <f t="shared" si="42"/>
        <v>0</v>
      </c>
      <c r="O67" s="887">
        <f t="shared" si="40"/>
        <v>0</v>
      </c>
      <c r="P67" s="887">
        <f t="shared" si="41"/>
        <v>0</v>
      </c>
      <c r="Q67" s="875"/>
      <c r="R67" s="875"/>
      <c r="S67" s="875"/>
      <c r="T67" s="875"/>
      <c r="U67" s="875"/>
      <c r="V67" s="875"/>
      <c r="W67" s="875"/>
      <c r="X67" s="875"/>
      <c r="Y67" s="875"/>
      <c r="Z67" s="875"/>
    </row>
    <row r="68" spans="1:26" ht="18.75" hidden="1">
      <c r="A68" s="993"/>
      <c r="B68" s="883"/>
      <c r="C68" s="883"/>
      <c r="D68" s="883"/>
      <c r="E68" s="884" t="s">
        <v>19</v>
      </c>
      <c r="F68" s="883"/>
      <c r="G68" s="994"/>
      <c r="H68" s="158" t="s">
        <v>12</v>
      </c>
      <c r="I68" s="886"/>
      <c r="J68" s="886"/>
      <c r="K68" s="887"/>
      <c r="L68" s="887">
        <f t="shared" ca="1" si="42"/>
        <v>384000</v>
      </c>
      <c r="M68" s="887">
        <f t="shared" ca="1" si="42"/>
        <v>285000</v>
      </c>
      <c r="N68" s="887">
        <f t="shared" ca="1" si="42"/>
        <v>227494.76</v>
      </c>
      <c r="O68" s="887">
        <f t="shared" ca="1" si="40"/>
        <v>59.24342708333333</v>
      </c>
      <c r="P68" s="887">
        <f t="shared" ca="1" si="41"/>
        <v>79.822722807017541</v>
      </c>
      <c r="Q68" s="875"/>
      <c r="R68" s="875"/>
      <c r="S68" s="875"/>
      <c r="T68" s="875"/>
      <c r="U68" s="875"/>
      <c r="V68" s="875"/>
      <c r="W68" s="875"/>
      <c r="X68" s="875"/>
      <c r="Y68" s="875"/>
      <c r="Z68" s="875"/>
    </row>
    <row r="69" spans="1:26" ht="18.75">
      <c r="A69" s="995"/>
      <c r="B69" s="877"/>
      <c r="C69" s="996"/>
      <c r="D69" s="878" t="s">
        <v>20</v>
      </c>
      <c r="E69" s="877"/>
      <c r="F69" s="877"/>
      <c r="G69" s="879"/>
      <c r="H69" s="161" t="s">
        <v>12</v>
      </c>
      <c r="I69" s="997"/>
      <c r="J69" s="997"/>
      <c r="K69" s="998"/>
      <c r="L69" s="881">
        <f t="shared" ref="L69:N69" ca="1" si="43">L70+L71</f>
        <v>384000</v>
      </c>
      <c r="M69" s="881">
        <f t="shared" ca="1" si="43"/>
        <v>285000</v>
      </c>
      <c r="N69" s="881">
        <f t="shared" ca="1" si="43"/>
        <v>227494.76</v>
      </c>
      <c r="O69" s="881">
        <f t="shared" ca="1" si="40"/>
        <v>59.24342708333333</v>
      </c>
      <c r="P69" s="881">
        <f t="shared" ca="1" si="41"/>
        <v>79.822722807017541</v>
      </c>
      <c r="Q69" s="868"/>
      <c r="R69" s="868"/>
      <c r="S69" s="868"/>
      <c r="T69" s="868"/>
      <c r="U69" s="868"/>
      <c r="V69" s="868"/>
      <c r="W69" s="868"/>
      <c r="X69" s="868"/>
      <c r="Y69" s="868"/>
      <c r="Z69" s="868"/>
    </row>
    <row r="70" spans="1:26" ht="19.5" hidden="1">
      <c r="A70" s="993"/>
      <c r="B70" s="883"/>
      <c r="C70" s="999"/>
      <c r="D70" s="883"/>
      <c r="E70" s="884" t="s">
        <v>36</v>
      </c>
      <c r="F70" s="883"/>
      <c r="G70" s="994"/>
      <c r="H70" s="165" t="s">
        <v>12</v>
      </c>
      <c r="I70" s="1000"/>
      <c r="J70" s="1000"/>
      <c r="K70" s="1001"/>
      <c r="L70" s="887">
        <v>0</v>
      </c>
      <c r="M70" s="887">
        <v>0</v>
      </c>
      <c r="N70" s="887">
        <v>0</v>
      </c>
      <c r="O70" s="887">
        <f t="shared" si="40"/>
        <v>0</v>
      </c>
      <c r="P70" s="887">
        <f t="shared" si="41"/>
        <v>0</v>
      </c>
      <c r="Q70" s="875"/>
      <c r="R70" s="875"/>
      <c r="S70" s="875"/>
      <c r="T70" s="875"/>
      <c r="U70" s="875"/>
      <c r="V70" s="875"/>
      <c r="W70" s="875"/>
      <c r="X70" s="875"/>
      <c r="Y70" s="875"/>
      <c r="Z70" s="875"/>
    </row>
    <row r="71" spans="1:26" ht="19.5" hidden="1">
      <c r="A71" s="993"/>
      <c r="B71" s="883"/>
      <c r="C71" s="999"/>
      <c r="D71" s="883"/>
      <c r="E71" s="884" t="s">
        <v>37</v>
      </c>
      <c r="F71" s="883"/>
      <c r="G71" s="994"/>
      <c r="H71" s="165" t="s">
        <v>12</v>
      </c>
      <c r="I71" s="1000"/>
      <c r="J71" s="1000"/>
      <c r="K71" s="1001"/>
      <c r="L71" s="887">
        <f ca="1">IFERROR(__xludf.DUMMYFUNCTION("IMPORTRANGE(""https://docs.google.com/spreadsheets/d/1MeEWN-I1oV_STSDYn1IFDPWt_1FKiwhDph83XaGc0o0/edit?usp=sharing"",""งบพรบ!AG88"")"),384000)</f>
        <v>384000</v>
      </c>
      <c r="M71" s="887">
        <f ca="1">IFERROR(__xludf.DUMMYFUNCTION("IMPORTRANGE(""https://docs.google.com/spreadsheets/d/1MeEWN-I1oV_STSDYn1IFDPWt_1FKiwhDph83XaGc0o0/edit?usp=sharing"",""งบพรบ!AL88"")"),285000)</f>
        <v>285000</v>
      </c>
      <c r="N71" s="887">
        <f ca="1">IFERROR(__xludf.DUMMYFUNCTION("IMPORTRANGE(""https://docs.google.com/spreadsheets/d/1MeEWN-I1oV_STSDYn1IFDPWt_1FKiwhDph83XaGc0o0/edit?usp=sharing"",""งบพรบ!AN88"")"),227494.76)</f>
        <v>227494.76</v>
      </c>
      <c r="O71" s="887">
        <f t="shared" ca="1" si="40"/>
        <v>59.24342708333333</v>
      </c>
      <c r="P71" s="887">
        <f t="shared" ca="1" si="41"/>
        <v>79.822722807017541</v>
      </c>
      <c r="Q71" s="875"/>
      <c r="R71" s="875"/>
      <c r="S71" s="875"/>
      <c r="T71" s="875"/>
      <c r="U71" s="875"/>
      <c r="V71" s="875"/>
      <c r="W71" s="875"/>
      <c r="X71" s="875"/>
      <c r="Y71" s="875"/>
      <c r="Z71" s="875"/>
    </row>
    <row r="72" spans="1:26" ht="18.75">
      <c r="A72" s="995"/>
      <c r="B72" s="877"/>
      <c r="C72" s="996"/>
      <c r="D72" s="878" t="s">
        <v>21</v>
      </c>
      <c r="E72" s="877"/>
      <c r="F72" s="877"/>
      <c r="G72" s="879"/>
      <c r="H72" s="168" t="s">
        <v>12</v>
      </c>
      <c r="I72" s="997"/>
      <c r="J72" s="997"/>
      <c r="K72" s="998"/>
      <c r="L72" s="881">
        <f t="shared" ref="L72:N72" ca="1" si="44">L73+L74</f>
        <v>0</v>
      </c>
      <c r="M72" s="881">
        <f t="shared" ca="1" si="44"/>
        <v>0</v>
      </c>
      <c r="N72" s="881">
        <f t="shared" ca="1" si="44"/>
        <v>0</v>
      </c>
      <c r="O72" s="881">
        <f t="shared" ca="1" si="40"/>
        <v>0</v>
      </c>
      <c r="P72" s="881">
        <f t="shared" ca="1" si="41"/>
        <v>0</v>
      </c>
      <c r="Q72" s="868"/>
      <c r="R72" s="868"/>
      <c r="S72" s="868"/>
      <c r="T72" s="868"/>
      <c r="U72" s="868"/>
      <c r="V72" s="868"/>
      <c r="W72" s="868"/>
      <c r="X72" s="868"/>
      <c r="Y72" s="868"/>
      <c r="Z72" s="868"/>
    </row>
    <row r="73" spans="1:26" ht="19.5" hidden="1">
      <c r="A73" s="993"/>
      <c r="B73" s="883"/>
      <c r="C73" s="999"/>
      <c r="D73" s="883"/>
      <c r="E73" s="884" t="s">
        <v>18</v>
      </c>
      <c r="F73" s="883"/>
      <c r="G73" s="994"/>
      <c r="H73" s="165" t="s">
        <v>12</v>
      </c>
      <c r="I73" s="1000"/>
      <c r="J73" s="1000"/>
      <c r="K73" s="1001"/>
      <c r="L73" s="887">
        <v>0</v>
      </c>
      <c r="M73" s="887"/>
      <c r="N73" s="887"/>
      <c r="O73" s="887">
        <f t="shared" si="40"/>
        <v>0</v>
      </c>
      <c r="P73" s="887">
        <f t="shared" si="41"/>
        <v>0</v>
      </c>
      <c r="Q73" s="875"/>
      <c r="R73" s="875"/>
      <c r="S73" s="875"/>
      <c r="T73" s="875"/>
      <c r="U73" s="875"/>
      <c r="V73" s="875"/>
      <c r="W73" s="875"/>
      <c r="X73" s="875"/>
      <c r="Y73" s="875"/>
      <c r="Z73" s="875"/>
    </row>
    <row r="74" spans="1:26" ht="19.5" hidden="1">
      <c r="A74" s="993"/>
      <c r="B74" s="883"/>
      <c r="C74" s="999"/>
      <c r="D74" s="883"/>
      <c r="E74" s="884" t="s">
        <v>19</v>
      </c>
      <c r="F74" s="883"/>
      <c r="G74" s="994"/>
      <c r="H74" s="169" t="s">
        <v>12</v>
      </c>
      <c r="I74" s="1000"/>
      <c r="J74" s="1000"/>
      <c r="K74" s="1001"/>
      <c r="L74" s="887">
        <f ca="1">IFERROR(__xludf.DUMMYFUNCTION("IMPORTRANGE(""https://docs.google.com/spreadsheets/d/1MeEWN-I1oV_STSDYn1IFDPWt_1FKiwhDph83XaGc0o0/edit?usp=sharing"",""งบพรบ!AJ88"")"),0)</f>
        <v>0</v>
      </c>
      <c r="M74" s="887">
        <f ca="1">IFERROR(__xludf.DUMMYFUNCTION("IMPORTRANGE(""https://docs.google.com/spreadsheets/d/1MeEWN-I1oV_STSDYn1IFDPWt_1FKiwhDph83XaGc0o0/edit?usp=sharing"",""งบพรบ!AM88"")"),0)</f>
        <v>0</v>
      </c>
      <c r="N74" s="887">
        <f ca="1">IFERROR(__xludf.DUMMYFUNCTION("IMPORTRANGE(""https://docs.google.com/spreadsheets/d/1MeEWN-I1oV_STSDYn1IFDPWt_1FKiwhDph83XaGc0o0/edit?usp=sharing"",""งบพรบ!AO88"")"),0)</f>
        <v>0</v>
      </c>
      <c r="O74" s="887">
        <f t="shared" ca="1" si="40"/>
        <v>0</v>
      </c>
      <c r="P74" s="887">
        <f t="shared" ca="1" si="41"/>
        <v>0</v>
      </c>
      <c r="Q74" s="875"/>
      <c r="R74" s="875"/>
      <c r="S74" s="875"/>
      <c r="T74" s="875"/>
      <c r="U74" s="875"/>
      <c r="V74" s="875"/>
      <c r="W74" s="875"/>
      <c r="X74" s="875"/>
      <c r="Y74" s="875"/>
      <c r="Z74" s="875"/>
    </row>
    <row r="75" spans="1:26" ht="19.5">
      <c r="A75" s="1002"/>
      <c r="B75" s="1003"/>
      <c r="C75" s="999" t="s">
        <v>16</v>
      </c>
      <c r="D75" s="1004" t="s">
        <v>38</v>
      </c>
      <c r="E75" s="1005"/>
      <c r="F75" s="1005"/>
      <c r="G75" s="1006"/>
      <c r="H75" s="1007"/>
      <c r="I75" s="997"/>
      <c r="J75" s="997"/>
      <c r="K75" s="998"/>
      <c r="L75" s="998"/>
      <c r="M75" s="998"/>
      <c r="N75" s="998"/>
      <c r="O75" s="998"/>
      <c r="P75" s="998"/>
    </row>
    <row r="76" spans="1:26" ht="19.5">
      <c r="A76" s="1002"/>
      <c r="B76" s="1003"/>
      <c r="C76" s="1003"/>
      <c r="D76" s="1008" t="s">
        <v>39</v>
      </c>
      <c r="E76" s="1009"/>
      <c r="F76" s="1010"/>
      <c r="G76" s="1011"/>
      <c r="H76" s="180" t="s">
        <v>34</v>
      </c>
      <c r="I76" s="880">
        <f t="shared" ref="I76:J77" ca="1" si="45">I78+I80+I82</f>
        <v>1</v>
      </c>
      <c r="J76" s="880">
        <f t="shared" si="45"/>
        <v>1</v>
      </c>
      <c r="K76" s="998">
        <f t="shared" ref="K76:K84" ca="1" si="46">IF(I76&gt;0,J76*100/I76,0)</f>
        <v>100</v>
      </c>
      <c r="L76" s="998"/>
      <c r="M76" s="998"/>
      <c r="N76" s="998"/>
      <c r="O76" s="998"/>
      <c r="P76" s="998"/>
    </row>
    <row r="77" spans="1:26" ht="19.5">
      <c r="A77" s="1002"/>
      <c r="B77" s="1003"/>
      <c r="C77" s="1003"/>
      <c r="D77" s="1003"/>
      <c r="E77" s="1010"/>
      <c r="F77" s="1010"/>
      <c r="G77" s="1011"/>
      <c r="H77" s="180" t="s">
        <v>35</v>
      </c>
      <c r="I77" s="880">
        <f t="shared" ca="1" si="45"/>
        <v>30</v>
      </c>
      <c r="J77" s="880">
        <f t="shared" si="45"/>
        <v>30</v>
      </c>
      <c r="K77" s="998">
        <f t="shared" ca="1" si="46"/>
        <v>100</v>
      </c>
      <c r="L77" s="998"/>
      <c r="M77" s="998"/>
      <c r="N77" s="998"/>
      <c r="O77" s="998"/>
      <c r="P77" s="998"/>
    </row>
    <row r="78" spans="1:26" ht="18.75">
      <c r="A78" s="1002"/>
      <c r="B78" s="1003"/>
      <c r="C78" s="1003"/>
      <c r="D78" s="1003"/>
      <c r="E78" s="1009" t="s">
        <v>40</v>
      </c>
      <c r="F78" s="1009"/>
      <c r="G78" s="1011"/>
      <c r="H78" s="762" t="s">
        <v>34</v>
      </c>
      <c r="I78" s="997">
        <f ca="1">IFERROR(__xludf.DUMMYFUNCTION("IMPORTRANGE(""https://docs.google.com/spreadsheets/d/1QqKyyYR6Q21VydFLVH3TRQUabQu_ym0Zz7PgGX0-kHA/edit?usp=sharing"",""แผน!H88"")"),1)</f>
        <v>1</v>
      </c>
      <c r="J78" s="1012">
        <v>1</v>
      </c>
      <c r="K78" s="998">
        <f t="shared" ca="1" si="46"/>
        <v>100</v>
      </c>
      <c r="L78" s="998"/>
      <c r="M78" s="998"/>
      <c r="N78" s="998"/>
      <c r="O78" s="998"/>
      <c r="P78" s="998"/>
    </row>
    <row r="79" spans="1:26" ht="18.75">
      <c r="A79" s="1002"/>
      <c r="B79" s="1003"/>
      <c r="C79" s="1003"/>
      <c r="D79" s="1003"/>
      <c r="E79" s="1010"/>
      <c r="F79" s="1010"/>
      <c r="G79" s="1011"/>
      <c r="H79" s="762" t="s">
        <v>35</v>
      </c>
      <c r="I79" s="997">
        <f ca="1">IFERROR(__xludf.DUMMYFUNCTION("IMPORTRANGE(""https://docs.google.com/spreadsheets/d/1QqKyyYR6Q21VydFLVH3TRQUabQu_ym0Zz7PgGX0-kHA/edit?usp=sharing"",""แผน!I88"")"),30)</f>
        <v>30</v>
      </c>
      <c r="J79" s="1012">
        <v>30</v>
      </c>
      <c r="K79" s="998">
        <f t="shared" ca="1" si="46"/>
        <v>100</v>
      </c>
      <c r="L79" s="998"/>
      <c r="M79" s="998"/>
      <c r="N79" s="998"/>
      <c r="O79" s="998"/>
      <c r="P79" s="998"/>
    </row>
    <row r="80" spans="1:26" ht="18.75">
      <c r="A80" s="1002"/>
      <c r="B80" s="1003"/>
      <c r="C80" s="1003"/>
      <c r="D80" s="1003"/>
      <c r="E80" s="1009" t="s">
        <v>41</v>
      </c>
      <c r="F80" s="1009"/>
      <c r="G80" s="1011"/>
      <c r="H80" s="762" t="s">
        <v>34</v>
      </c>
      <c r="I80" s="997">
        <f ca="1">IFERROR(__xludf.DUMMYFUNCTION("IMPORTRANGE(""https://docs.google.com/spreadsheets/d/1QqKyyYR6Q21VydFLVH3TRQUabQu_ym0Zz7PgGX0-kHA/edit?usp=sharing"",""แผน!F88"")"),0)</f>
        <v>0</v>
      </c>
      <c r="J80" s="1012">
        <v>0</v>
      </c>
      <c r="K80" s="998">
        <f t="shared" ca="1" si="46"/>
        <v>0</v>
      </c>
      <c r="L80" s="998"/>
      <c r="M80" s="998"/>
      <c r="N80" s="998"/>
      <c r="O80" s="998"/>
      <c r="P80" s="998"/>
    </row>
    <row r="81" spans="1:26" ht="18.75">
      <c r="A81" s="1002"/>
      <c r="B81" s="1003"/>
      <c r="C81" s="1003"/>
      <c r="D81" s="1003"/>
      <c r="E81" s="1010"/>
      <c r="F81" s="1010"/>
      <c r="G81" s="1011"/>
      <c r="H81" s="762" t="s">
        <v>35</v>
      </c>
      <c r="I81" s="997">
        <f ca="1">IFERROR(__xludf.DUMMYFUNCTION("IMPORTRANGE(""https://docs.google.com/spreadsheets/d/1QqKyyYR6Q21VydFLVH3TRQUabQu_ym0Zz7PgGX0-kHA/edit?usp=sharing"",""แผน!G88"")"),0)</f>
        <v>0</v>
      </c>
      <c r="J81" s="1012">
        <v>0</v>
      </c>
      <c r="K81" s="998">
        <f t="shared" ca="1" si="46"/>
        <v>0</v>
      </c>
      <c r="L81" s="998"/>
      <c r="M81" s="998"/>
      <c r="N81" s="998"/>
      <c r="O81" s="998"/>
      <c r="P81" s="998"/>
    </row>
    <row r="82" spans="1:26" ht="18.75">
      <c r="A82" s="1002"/>
      <c r="B82" s="1003"/>
      <c r="C82" s="1003"/>
      <c r="D82" s="1003"/>
      <c r="E82" s="1009" t="s">
        <v>42</v>
      </c>
      <c r="F82" s="1009"/>
      <c r="G82" s="1011"/>
      <c r="H82" s="762" t="s">
        <v>34</v>
      </c>
      <c r="I82" s="997">
        <f ca="1">IFERROR(__xludf.DUMMYFUNCTION("IMPORTRANGE(""https://docs.google.com/spreadsheets/d/1QqKyyYR6Q21VydFLVH3TRQUabQu_ym0Zz7PgGX0-kHA/edit?usp=sharing"",""แผน!D88"")"),0)</f>
        <v>0</v>
      </c>
      <c r="J82" s="1012">
        <v>0</v>
      </c>
      <c r="K82" s="998">
        <f t="shared" ca="1" si="46"/>
        <v>0</v>
      </c>
      <c r="L82" s="998"/>
      <c r="M82" s="998"/>
      <c r="N82" s="998"/>
      <c r="O82" s="998"/>
      <c r="P82" s="998"/>
    </row>
    <row r="83" spans="1:26" ht="18.75">
      <c r="A83" s="1002"/>
      <c r="B83" s="1003"/>
      <c r="C83" s="1003"/>
      <c r="D83" s="1003"/>
      <c r="E83" s="1010"/>
      <c r="F83" s="1010"/>
      <c r="G83" s="1011"/>
      <c r="H83" s="762" t="s">
        <v>35</v>
      </c>
      <c r="I83" s="997">
        <f ca="1">IFERROR(__xludf.DUMMYFUNCTION("IMPORTRANGE(""https://docs.google.com/spreadsheets/d/1QqKyyYR6Q21VydFLVH3TRQUabQu_ym0Zz7PgGX0-kHA/edit?usp=sharing"",""แผน!E88"")"),0)</f>
        <v>0</v>
      </c>
      <c r="J83" s="1012">
        <v>0</v>
      </c>
      <c r="K83" s="998">
        <f t="shared" ca="1" si="46"/>
        <v>0</v>
      </c>
      <c r="L83" s="998"/>
      <c r="M83" s="998"/>
      <c r="N83" s="998"/>
      <c r="O83" s="998"/>
      <c r="P83" s="998"/>
    </row>
    <row r="84" spans="1:26" ht="18.75">
      <c r="A84" s="1002"/>
      <c r="B84" s="1003"/>
      <c r="C84" s="1003"/>
      <c r="D84" s="1008" t="s">
        <v>43</v>
      </c>
      <c r="E84" s="1009"/>
      <c r="F84" s="1010"/>
      <c r="G84" s="1011"/>
      <c r="H84" s="185" t="s">
        <v>34</v>
      </c>
      <c r="I84" s="997">
        <f ca="1">IFERROR(__xludf.DUMMYFUNCTION("IMPORTRANGE(""https://docs.google.com/spreadsheets/d/1QqKyyYR6Q21VydFLVH3TRQUabQu_ym0Zz7PgGX0-kHA/edit?usp=sharing"",""แผน!J88"")"),1)</f>
        <v>1</v>
      </c>
      <c r="J84" s="1012">
        <v>0</v>
      </c>
      <c r="K84" s="998">
        <f t="shared" ca="1" si="46"/>
        <v>0</v>
      </c>
      <c r="L84" s="998"/>
      <c r="M84" s="998"/>
      <c r="N84" s="998"/>
      <c r="O84" s="998"/>
      <c r="P84" s="998"/>
    </row>
    <row r="85" spans="1:26" ht="19.5">
      <c r="A85" s="970" t="s">
        <v>44</v>
      </c>
      <c r="B85" s="971"/>
      <c r="C85" s="972"/>
      <c r="D85" s="971"/>
      <c r="E85" s="971"/>
      <c r="F85" s="971"/>
      <c r="G85" s="973"/>
      <c r="H85" s="974"/>
      <c r="I85" s="975"/>
      <c r="J85" s="975"/>
      <c r="K85" s="976"/>
      <c r="L85" s="976"/>
      <c r="M85" s="976"/>
      <c r="N85" s="976"/>
      <c r="O85" s="976"/>
      <c r="P85" s="976"/>
    </row>
    <row r="86" spans="1:26" ht="19.5">
      <c r="A86" s="977"/>
      <c r="B86" s="978" t="s">
        <v>45</v>
      </c>
      <c r="C86" s="979"/>
      <c r="D86" s="980"/>
      <c r="E86" s="979"/>
      <c r="F86" s="979"/>
      <c r="G86" s="981"/>
      <c r="H86" s="205" t="s">
        <v>46</v>
      </c>
      <c r="I86" s="982">
        <f t="shared" ref="I86:J87" ca="1" si="47">I98</f>
        <v>30</v>
      </c>
      <c r="J86" s="982">
        <f t="shared" si="47"/>
        <v>30</v>
      </c>
      <c r="K86" s="983">
        <f t="shared" ref="K86:K87" ca="1" si="48">IF(I86&gt;0,J86*100/I86,0)</f>
        <v>100</v>
      </c>
      <c r="L86" s="984"/>
      <c r="M86" s="984"/>
      <c r="N86" s="984"/>
      <c r="O86" s="984"/>
      <c r="P86" s="984"/>
    </row>
    <row r="87" spans="1:26" ht="19.5">
      <c r="A87" s="977"/>
      <c r="B87" s="979"/>
      <c r="C87" s="979"/>
      <c r="D87" s="980"/>
      <c r="E87" s="979"/>
      <c r="F87" s="979"/>
      <c r="G87" s="981"/>
      <c r="H87" s="205" t="s">
        <v>35</v>
      </c>
      <c r="I87" s="982">
        <f t="shared" ca="1" si="47"/>
        <v>10</v>
      </c>
      <c r="J87" s="982">
        <f t="shared" si="47"/>
        <v>10</v>
      </c>
      <c r="K87" s="983">
        <f t="shared" ca="1" si="48"/>
        <v>100</v>
      </c>
      <c r="L87" s="984"/>
      <c r="M87" s="984"/>
      <c r="N87" s="984"/>
      <c r="O87" s="984"/>
      <c r="P87" s="984"/>
    </row>
    <row r="88" spans="1:26" ht="19.5">
      <c r="A88" s="985"/>
      <c r="B88" s="986"/>
      <c r="C88" s="987" t="s">
        <v>16</v>
      </c>
      <c r="D88" s="988" t="s">
        <v>17</v>
      </c>
      <c r="E88" s="986"/>
      <c r="F88" s="986"/>
      <c r="G88" s="989"/>
      <c r="H88" s="152" t="s">
        <v>12</v>
      </c>
      <c r="I88" s="990"/>
      <c r="J88" s="990"/>
      <c r="K88" s="991"/>
      <c r="L88" s="992">
        <f t="shared" ref="L88:N88" ca="1" si="49">L89+L90</f>
        <v>56040</v>
      </c>
      <c r="M88" s="992">
        <f t="shared" ca="1" si="49"/>
        <v>51190</v>
      </c>
      <c r="N88" s="992">
        <f t="shared" ca="1" si="49"/>
        <v>49590</v>
      </c>
      <c r="O88" s="992">
        <f t="shared" ref="O88:O96" ca="1" si="50">IF(L88&gt;0,N88*100/L88,0)</f>
        <v>88.490364025695925</v>
      </c>
      <c r="P88" s="992">
        <f t="shared" ref="P88:P96" ca="1" si="51">IF(M88&gt;0,N88*100/M88,0)</f>
        <v>96.874389529204919</v>
      </c>
      <c r="Q88" s="868"/>
      <c r="R88" s="868"/>
      <c r="S88" s="868"/>
      <c r="T88" s="868"/>
      <c r="U88" s="868"/>
      <c r="V88" s="868"/>
      <c r="W88" s="868"/>
      <c r="X88" s="868"/>
      <c r="Y88" s="868"/>
      <c r="Z88" s="868"/>
    </row>
    <row r="89" spans="1:26" ht="18.75" hidden="1">
      <c r="A89" s="993"/>
      <c r="B89" s="883"/>
      <c r="C89" s="883"/>
      <c r="D89" s="883"/>
      <c r="E89" s="884" t="s">
        <v>18</v>
      </c>
      <c r="F89" s="883"/>
      <c r="G89" s="994"/>
      <c r="H89" s="158" t="s">
        <v>12</v>
      </c>
      <c r="I89" s="886"/>
      <c r="J89" s="886"/>
      <c r="K89" s="887"/>
      <c r="L89" s="887">
        <f t="shared" ref="L89:N90" si="52">L92+L95</f>
        <v>0</v>
      </c>
      <c r="M89" s="887">
        <f t="shared" si="52"/>
        <v>0</v>
      </c>
      <c r="N89" s="887">
        <f t="shared" si="52"/>
        <v>0</v>
      </c>
      <c r="O89" s="887">
        <f t="shared" si="50"/>
        <v>0</v>
      </c>
      <c r="P89" s="887">
        <f t="shared" si="51"/>
        <v>0</v>
      </c>
      <c r="Q89" s="875"/>
      <c r="R89" s="875"/>
      <c r="S89" s="875"/>
      <c r="T89" s="875"/>
      <c r="U89" s="875"/>
      <c r="V89" s="875"/>
      <c r="W89" s="875"/>
      <c r="X89" s="875"/>
      <c r="Y89" s="875"/>
      <c r="Z89" s="875"/>
    </row>
    <row r="90" spans="1:26" ht="18.75" hidden="1">
      <c r="A90" s="993"/>
      <c r="B90" s="883"/>
      <c r="C90" s="883"/>
      <c r="D90" s="883"/>
      <c r="E90" s="884" t="s">
        <v>19</v>
      </c>
      <c r="F90" s="883"/>
      <c r="G90" s="994"/>
      <c r="H90" s="158" t="s">
        <v>12</v>
      </c>
      <c r="I90" s="886"/>
      <c r="J90" s="886"/>
      <c r="K90" s="887"/>
      <c r="L90" s="887">
        <f t="shared" ca="1" si="52"/>
        <v>56040</v>
      </c>
      <c r="M90" s="887">
        <f t="shared" ca="1" si="52"/>
        <v>51190</v>
      </c>
      <c r="N90" s="887">
        <f t="shared" ca="1" si="52"/>
        <v>49590</v>
      </c>
      <c r="O90" s="887">
        <f t="shared" ca="1" si="50"/>
        <v>88.490364025695925</v>
      </c>
      <c r="P90" s="887">
        <f t="shared" ca="1" si="51"/>
        <v>96.874389529204919</v>
      </c>
      <c r="Q90" s="875"/>
      <c r="R90" s="875"/>
      <c r="S90" s="875"/>
      <c r="T90" s="875"/>
      <c r="U90" s="875"/>
      <c r="V90" s="875"/>
      <c r="W90" s="875"/>
      <c r="X90" s="875"/>
      <c r="Y90" s="875"/>
      <c r="Z90" s="875"/>
    </row>
    <row r="91" spans="1:26" ht="18.75">
      <c r="A91" s="995"/>
      <c r="B91" s="877"/>
      <c r="C91" s="996"/>
      <c r="D91" s="878" t="s">
        <v>20</v>
      </c>
      <c r="E91" s="877"/>
      <c r="F91" s="877"/>
      <c r="G91" s="879"/>
      <c r="H91" s="161" t="s">
        <v>12</v>
      </c>
      <c r="I91" s="997"/>
      <c r="J91" s="997"/>
      <c r="K91" s="998"/>
      <c r="L91" s="881">
        <f t="shared" ref="L91:N91" ca="1" si="53">L92+L93</f>
        <v>56040</v>
      </c>
      <c r="M91" s="881">
        <f t="shared" ca="1" si="53"/>
        <v>51190</v>
      </c>
      <c r="N91" s="881">
        <f t="shared" ca="1" si="53"/>
        <v>49590</v>
      </c>
      <c r="O91" s="881">
        <f t="shared" ca="1" si="50"/>
        <v>88.490364025695925</v>
      </c>
      <c r="P91" s="881">
        <f t="shared" ca="1" si="51"/>
        <v>96.874389529204919</v>
      </c>
      <c r="Q91" s="868"/>
      <c r="R91" s="868"/>
      <c r="S91" s="868"/>
      <c r="T91" s="868"/>
      <c r="U91" s="868"/>
      <c r="V91" s="868"/>
      <c r="W91" s="868"/>
      <c r="X91" s="868"/>
      <c r="Y91" s="868"/>
      <c r="Z91" s="868"/>
    </row>
    <row r="92" spans="1:26" ht="19.5" hidden="1">
      <c r="A92" s="993"/>
      <c r="B92" s="883"/>
      <c r="C92" s="999"/>
      <c r="D92" s="883"/>
      <c r="E92" s="884" t="s">
        <v>36</v>
      </c>
      <c r="F92" s="883"/>
      <c r="G92" s="994"/>
      <c r="H92" s="165" t="s">
        <v>12</v>
      </c>
      <c r="I92" s="1000"/>
      <c r="J92" s="1000"/>
      <c r="K92" s="1001"/>
      <c r="L92" s="887">
        <v>0</v>
      </c>
      <c r="M92" s="887">
        <v>0</v>
      </c>
      <c r="N92" s="887">
        <v>0</v>
      </c>
      <c r="O92" s="887">
        <f t="shared" si="50"/>
        <v>0</v>
      </c>
      <c r="P92" s="887">
        <f t="shared" si="51"/>
        <v>0</v>
      </c>
      <c r="Q92" s="875"/>
      <c r="R92" s="875"/>
      <c r="S92" s="875"/>
      <c r="T92" s="875"/>
      <c r="U92" s="875"/>
      <c r="V92" s="875"/>
      <c r="W92" s="875"/>
      <c r="X92" s="875"/>
      <c r="Y92" s="875"/>
      <c r="Z92" s="875"/>
    </row>
    <row r="93" spans="1:26" ht="19.5" hidden="1">
      <c r="A93" s="993"/>
      <c r="B93" s="883"/>
      <c r="C93" s="999"/>
      <c r="D93" s="883"/>
      <c r="E93" s="884" t="s">
        <v>37</v>
      </c>
      <c r="F93" s="883"/>
      <c r="G93" s="994"/>
      <c r="H93" s="165" t="s">
        <v>12</v>
      </c>
      <c r="I93" s="1000"/>
      <c r="J93" s="1000"/>
      <c r="K93" s="1001"/>
      <c r="L93" s="887">
        <f ca="1">IFERROR(__xludf.DUMMYFUNCTION("IMPORTRANGE(""https://docs.google.com/spreadsheets/d/1MeEWN-I1oV_STSDYn1IFDPWt_1FKiwhDph83XaGc0o0/edit?usp=sharing"",""งบพรบ!AQ88"")"),56040)</f>
        <v>56040</v>
      </c>
      <c r="M93" s="887">
        <f ca="1">IFERROR(__xludf.DUMMYFUNCTION("IMPORTRANGE(""https://docs.google.com/spreadsheets/d/1MeEWN-I1oV_STSDYn1IFDPWt_1FKiwhDph83XaGc0o0/edit?usp=sharing"",""งบพรบ!AV88"")"),51190)</f>
        <v>51190</v>
      </c>
      <c r="N93" s="887">
        <f ca="1">IFERROR(__xludf.DUMMYFUNCTION("IMPORTRANGE(""https://docs.google.com/spreadsheets/d/1MeEWN-I1oV_STSDYn1IFDPWt_1FKiwhDph83XaGc0o0/edit?usp=sharing"",""งบพรบ!AX88"")"),49590)</f>
        <v>49590</v>
      </c>
      <c r="O93" s="887">
        <f t="shared" ca="1" si="50"/>
        <v>88.490364025695925</v>
      </c>
      <c r="P93" s="887">
        <f t="shared" ca="1" si="51"/>
        <v>96.874389529204919</v>
      </c>
      <c r="Q93" s="875"/>
      <c r="R93" s="875"/>
      <c r="S93" s="875"/>
      <c r="T93" s="875"/>
      <c r="U93" s="875"/>
      <c r="V93" s="875"/>
      <c r="W93" s="875"/>
      <c r="X93" s="875"/>
      <c r="Y93" s="875"/>
      <c r="Z93" s="875"/>
    </row>
    <row r="94" spans="1:26" ht="18.75">
      <c r="A94" s="995"/>
      <c r="B94" s="877"/>
      <c r="C94" s="996"/>
      <c r="D94" s="878" t="s">
        <v>21</v>
      </c>
      <c r="E94" s="877"/>
      <c r="F94" s="877"/>
      <c r="G94" s="879"/>
      <c r="H94" s="168" t="s">
        <v>12</v>
      </c>
      <c r="I94" s="997"/>
      <c r="J94" s="997"/>
      <c r="K94" s="998"/>
      <c r="L94" s="881">
        <f t="shared" ref="L94:N94" ca="1" si="54">L95+L96</f>
        <v>0</v>
      </c>
      <c r="M94" s="881">
        <f t="shared" ca="1" si="54"/>
        <v>0</v>
      </c>
      <c r="N94" s="881">
        <f t="shared" ca="1" si="54"/>
        <v>0</v>
      </c>
      <c r="O94" s="881">
        <f t="shared" ca="1" si="50"/>
        <v>0</v>
      </c>
      <c r="P94" s="881">
        <f t="shared" ca="1" si="51"/>
        <v>0</v>
      </c>
      <c r="Q94" s="868"/>
      <c r="R94" s="868"/>
      <c r="S94" s="868"/>
      <c r="T94" s="868"/>
      <c r="U94" s="868"/>
      <c r="V94" s="868"/>
      <c r="W94" s="868"/>
      <c r="X94" s="868"/>
      <c r="Y94" s="868"/>
      <c r="Z94" s="868"/>
    </row>
    <row r="95" spans="1:26" ht="19.5" hidden="1">
      <c r="A95" s="993"/>
      <c r="B95" s="883"/>
      <c r="C95" s="999"/>
      <c r="D95" s="883"/>
      <c r="E95" s="884" t="s">
        <v>18</v>
      </c>
      <c r="F95" s="883"/>
      <c r="G95" s="994"/>
      <c r="H95" s="165" t="s">
        <v>12</v>
      </c>
      <c r="I95" s="1000"/>
      <c r="J95" s="1000"/>
      <c r="K95" s="1001"/>
      <c r="L95" s="887">
        <v>0</v>
      </c>
      <c r="M95" s="887">
        <v>0</v>
      </c>
      <c r="N95" s="887">
        <v>0</v>
      </c>
      <c r="O95" s="887">
        <f t="shared" si="50"/>
        <v>0</v>
      </c>
      <c r="P95" s="887">
        <f t="shared" si="51"/>
        <v>0</v>
      </c>
      <c r="Q95" s="875"/>
      <c r="R95" s="875"/>
      <c r="S95" s="875"/>
      <c r="T95" s="875"/>
      <c r="U95" s="875"/>
      <c r="V95" s="875"/>
      <c r="W95" s="875"/>
      <c r="X95" s="875"/>
      <c r="Y95" s="875"/>
      <c r="Z95" s="875"/>
    </row>
    <row r="96" spans="1:26" ht="19.5" hidden="1">
      <c r="A96" s="993"/>
      <c r="B96" s="883"/>
      <c r="C96" s="999"/>
      <c r="D96" s="883"/>
      <c r="E96" s="884" t="s">
        <v>19</v>
      </c>
      <c r="F96" s="883"/>
      <c r="G96" s="994"/>
      <c r="H96" s="169" t="s">
        <v>12</v>
      </c>
      <c r="I96" s="1000"/>
      <c r="J96" s="1000"/>
      <c r="K96" s="1001"/>
      <c r="L96" s="887">
        <f ca="1">IFERROR(__xludf.DUMMYFUNCTION("IMPORTRANGE(""https://docs.google.com/spreadsheets/d/1MeEWN-I1oV_STSDYn1IFDPWt_1FKiwhDph83XaGc0o0/edit?usp=sharing"",""งบพรบ!AT88"")"),0)</f>
        <v>0</v>
      </c>
      <c r="M96" s="887">
        <f ca="1">IFERROR(__xludf.DUMMYFUNCTION("IMPORTRANGE(""https://docs.google.com/spreadsheets/d/1MeEWN-I1oV_STSDYn1IFDPWt_1FKiwhDph83XaGc0o0/edit?usp=sharing"",""งบพรบ!AW88"")"),0)</f>
        <v>0</v>
      </c>
      <c r="N96" s="887">
        <f ca="1">IFERROR(__xludf.DUMMYFUNCTION("IMPORTRANGE(""https://docs.google.com/spreadsheets/d/1MeEWN-I1oV_STSDYn1IFDPWt_1FKiwhDph83XaGc0o0/edit?usp=sharing"",""งบพรบ!AY88"")"),0)</f>
        <v>0</v>
      </c>
      <c r="O96" s="887">
        <f t="shared" ca="1" si="50"/>
        <v>0</v>
      </c>
      <c r="P96" s="887">
        <f t="shared" ca="1" si="51"/>
        <v>0</v>
      </c>
      <c r="Q96" s="875"/>
      <c r="R96" s="875"/>
      <c r="S96" s="875"/>
      <c r="T96" s="875"/>
      <c r="U96" s="875"/>
      <c r="V96" s="875"/>
      <c r="W96" s="875"/>
      <c r="X96" s="875"/>
      <c r="Y96" s="875"/>
      <c r="Z96" s="875"/>
    </row>
    <row r="97" spans="1:16" ht="19.5">
      <c r="A97" s="1002"/>
      <c r="B97" s="1003"/>
      <c r="C97" s="999" t="s">
        <v>16</v>
      </c>
      <c r="D97" s="1004" t="s">
        <v>38</v>
      </c>
      <c r="E97" s="1005"/>
      <c r="F97" s="1005"/>
      <c r="G97" s="1006"/>
      <c r="H97" s="1007"/>
      <c r="I97" s="997"/>
      <c r="J97" s="880"/>
      <c r="K97" s="881"/>
      <c r="L97" s="881"/>
      <c r="M97" s="881"/>
      <c r="N97" s="881"/>
      <c r="O97" s="998"/>
      <c r="P97" s="998"/>
    </row>
    <row r="98" spans="1:16" ht="18.75">
      <c r="A98" s="1002"/>
      <c r="B98" s="1003"/>
      <c r="C98" s="1003"/>
      <c r="D98" s="1009" t="s">
        <v>47</v>
      </c>
      <c r="E98" s="1009"/>
      <c r="F98" s="1010"/>
      <c r="G98" s="1011"/>
      <c r="H98" s="622" t="s">
        <v>46</v>
      </c>
      <c r="I98" s="880">
        <f ca="1">IFERROR(__xludf.DUMMYFUNCTION("IMPORTRANGE(""https://docs.google.com/spreadsheets/d/1QqKyyYR6Q21VydFLVH3TRQUabQu_ym0Zz7PgGX0-kHA/edit?usp=sharing"",""แผน!K88"")"),30)</f>
        <v>30</v>
      </c>
      <c r="J98" s="880">
        <f>J102</f>
        <v>30</v>
      </c>
      <c r="K98" s="881">
        <f t="shared" ref="K98:K100" ca="1" si="55">IF(I98&gt;0,J98*100/I98,0)</f>
        <v>100</v>
      </c>
      <c r="L98" s="881"/>
      <c r="M98" s="881"/>
      <c r="N98" s="881"/>
      <c r="O98" s="998"/>
      <c r="P98" s="998"/>
    </row>
    <row r="99" spans="1:16" ht="18.75">
      <c r="A99" s="1002"/>
      <c r="B99" s="1003"/>
      <c r="C99" s="1003"/>
      <c r="D99" s="1009" t="s">
        <v>48</v>
      </c>
      <c r="E99" s="1009"/>
      <c r="F99" s="1010"/>
      <c r="G99" s="1011"/>
      <c r="H99" s="622" t="s">
        <v>35</v>
      </c>
      <c r="I99" s="880">
        <f ca="1">IFERROR(__xludf.DUMMYFUNCTION("IMPORTRANGE(""https://docs.google.com/spreadsheets/d/1QqKyyYR6Q21VydFLVH3TRQUabQu_ym0Zz7PgGX0-kHA/edit?usp=sharing"",""แผน!L88"")"),10)</f>
        <v>10</v>
      </c>
      <c r="J99" s="880">
        <f>J104</f>
        <v>10</v>
      </c>
      <c r="K99" s="881">
        <f t="shared" ca="1" si="55"/>
        <v>100</v>
      </c>
      <c r="L99" s="881"/>
      <c r="M99" s="881"/>
      <c r="N99" s="881"/>
      <c r="O99" s="998"/>
      <c r="P99" s="998"/>
    </row>
    <row r="100" spans="1:16" ht="18.75">
      <c r="A100" s="1002"/>
      <c r="B100" s="1003"/>
      <c r="C100" s="1003"/>
      <c r="D100" s="1003"/>
      <c r="E100" s="1010"/>
      <c r="F100" s="1010"/>
      <c r="G100" s="1011"/>
      <c r="H100" s="622" t="s">
        <v>49</v>
      </c>
      <c r="I100" s="880">
        <f ca="1">IFERROR(__xludf.DUMMYFUNCTION("IMPORTRANGE(""https://docs.google.com/spreadsheets/d/1QqKyyYR6Q21VydFLVH3TRQUabQu_ym0Zz7PgGX0-kHA/edit?usp=sharing"",""แผน!M88"")"),1)</f>
        <v>1</v>
      </c>
      <c r="J100" s="880">
        <f>J107+J110</f>
        <v>1</v>
      </c>
      <c r="K100" s="881">
        <f t="shared" ca="1" si="55"/>
        <v>100</v>
      </c>
      <c r="L100" s="881"/>
      <c r="M100" s="881"/>
      <c r="N100" s="881"/>
      <c r="O100" s="998"/>
      <c r="P100" s="998"/>
    </row>
    <row r="101" spans="1:16" ht="19.5">
      <c r="A101" s="1002"/>
      <c r="B101" s="1003"/>
      <c r="C101" s="1003"/>
      <c r="D101" s="1010"/>
      <c r="E101" s="1013" t="s">
        <v>50</v>
      </c>
      <c r="F101" s="1010"/>
      <c r="G101" s="1011"/>
      <c r="H101" s="622"/>
      <c r="I101" s="880"/>
      <c r="J101" s="880"/>
      <c r="K101" s="881"/>
      <c r="L101" s="881"/>
      <c r="M101" s="881"/>
      <c r="N101" s="881"/>
      <c r="O101" s="998"/>
      <c r="P101" s="998"/>
    </row>
    <row r="102" spans="1:16" ht="18.75">
      <c r="A102" s="1002"/>
      <c r="B102" s="1003"/>
      <c r="C102" s="1003"/>
      <c r="D102" s="1010"/>
      <c r="E102" s="1014" t="s">
        <v>47</v>
      </c>
      <c r="F102" s="1010"/>
      <c r="G102" s="1011"/>
      <c r="H102" s="622" t="s">
        <v>46</v>
      </c>
      <c r="I102" s="880">
        <f ca="1">IFERROR(__xludf.DUMMYFUNCTION("IMPORTRANGE(""https://docs.google.com/spreadsheets/d/1QqKyyYR6Q21VydFLVH3TRQUabQu_ym0Zz7PgGX0-kHA/edit?usp=sharing"",""แผน!N88"")"),30)</f>
        <v>30</v>
      </c>
      <c r="J102" s="1012">
        <v>30</v>
      </c>
      <c r="K102" s="881">
        <f t="shared" ref="K102:K104" ca="1" si="56">IF(I102&gt;0,J102*100/I102,0)</f>
        <v>100</v>
      </c>
      <c r="L102" s="881"/>
      <c r="M102" s="881"/>
      <c r="N102" s="881"/>
      <c r="O102" s="998"/>
      <c r="P102" s="998"/>
    </row>
    <row r="103" spans="1:16" ht="19.5">
      <c r="A103" s="1002"/>
      <c r="B103" s="1003"/>
      <c r="C103" s="1003"/>
      <c r="D103" s="1010"/>
      <c r="E103" s="1009" t="s">
        <v>51</v>
      </c>
      <c r="F103" s="1010"/>
      <c r="G103" s="1011"/>
      <c r="H103" s="622" t="s">
        <v>35</v>
      </c>
      <c r="I103" s="880">
        <f ca="1">IFERROR(__xludf.DUMMYFUNCTION("IMPORTRANGE(""https://docs.google.com/spreadsheets/d/1QqKyyYR6Q21VydFLVH3TRQUabQu_ym0Zz7PgGX0-kHA/edit?usp=sharing"",""แผน!O88"")"),10)</f>
        <v>10</v>
      </c>
      <c r="J103" s="1012">
        <v>10</v>
      </c>
      <c r="K103" s="881">
        <f t="shared" ca="1" si="56"/>
        <v>100</v>
      </c>
      <c r="L103" s="881"/>
      <c r="M103" s="881"/>
      <c r="N103" s="881"/>
      <c r="O103" s="998"/>
      <c r="P103" s="998"/>
    </row>
    <row r="104" spans="1:16" ht="18.75">
      <c r="A104" s="1002"/>
      <c r="B104" s="1003"/>
      <c r="C104" s="1003"/>
      <c r="D104" s="1010"/>
      <c r="E104" s="1015" t="s">
        <v>52</v>
      </c>
      <c r="F104" s="1010"/>
      <c r="G104" s="1011"/>
      <c r="H104" s="622" t="s">
        <v>35</v>
      </c>
      <c r="I104" s="880">
        <f ca="1">IFERROR(__xludf.DUMMYFUNCTION("IMPORTRANGE(""https://docs.google.com/spreadsheets/d/1QqKyyYR6Q21VydFLVH3TRQUabQu_ym0Zz7PgGX0-kHA/edit?usp=sharing"",""แผน!O88"")"),10)</f>
        <v>10</v>
      </c>
      <c r="J104" s="1012">
        <v>10</v>
      </c>
      <c r="K104" s="881">
        <f t="shared" ca="1" si="56"/>
        <v>100</v>
      </c>
      <c r="L104" s="881"/>
      <c r="M104" s="881"/>
      <c r="N104" s="881"/>
      <c r="O104" s="998"/>
      <c r="P104" s="998"/>
    </row>
    <row r="105" spans="1:16" ht="19.5">
      <c r="A105" s="1002"/>
      <c r="B105" s="1003"/>
      <c r="C105" s="1003"/>
      <c r="D105" s="1010"/>
      <c r="E105" s="1013" t="s">
        <v>53</v>
      </c>
      <c r="F105" s="1010"/>
      <c r="G105" s="1011"/>
      <c r="H105" s="1016"/>
      <c r="I105" s="880"/>
      <c r="J105" s="880"/>
      <c r="K105" s="881"/>
      <c r="L105" s="881"/>
      <c r="M105" s="881"/>
      <c r="N105" s="881"/>
      <c r="O105" s="998"/>
      <c r="P105" s="998"/>
    </row>
    <row r="106" spans="1:16" ht="19.5">
      <c r="A106" s="1002"/>
      <c r="B106" s="1003"/>
      <c r="C106" s="1003"/>
      <c r="D106" s="1010"/>
      <c r="E106" s="1009" t="s">
        <v>54</v>
      </c>
      <c r="F106" s="1010"/>
      <c r="G106" s="1011"/>
      <c r="H106" s="622" t="s">
        <v>49</v>
      </c>
      <c r="I106" s="880">
        <f ca="1">IFERROR(__xludf.DUMMYFUNCTION("IMPORTRANGE(""https://docs.google.com/spreadsheets/d/1QqKyyYR6Q21VydFLVH3TRQUabQu_ym0Zz7PgGX0-kHA/edit?usp=sharing"",""แผน!P88"")"),1)</f>
        <v>1</v>
      </c>
      <c r="J106" s="1012">
        <v>1</v>
      </c>
      <c r="K106" s="881">
        <f t="shared" ref="K106:K107" ca="1" si="57">IF(I106&gt;0,J106*100/I106,0)</f>
        <v>100</v>
      </c>
      <c r="L106" s="881"/>
      <c r="M106" s="881"/>
      <c r="N106" s="881"/>
      <c r="O106" s="998"/>
      <c r="P106" s="998"/>
    </row>
    <row r="107" spans="1:16" ht="18.75">
      <c r="A107" s="1002"/>
      <c r="B107" s="1003"/>
      <c r="C107" s="1003"/>
      <c r="D107" s="1010"/>
      <c r="E107" s="1015" t="s">
        <v>55</v>
      </c>
      <c r="F107" s="1010"/>
      <c r="G107" s="1011"/>
      <c r="H107" s="622" t="s">
        <v>49</v>
      </c>
      <c r="I107" s="880">
        <f ca="1">IFERROR(__xludf.DUMMYFUNCTION("IMPORTRANGE(""https://docs.google.com/spreadsheets/d/1QqKyyYR6Q21VydFLVH3TRQUabQu_ym0Zz7PgGX0-kHA/edit?usp=sharing"",""แผน!P88"")"),1)</f>
        <v>1</v>
      </c>
      <c r="J107" s="1012">
        <v>1</v>
      </c>
      <c r="K107" s="881">
        <f t="shared" ca="1" si="57"/>
        <v>100</v>
      </c>
      <c r="L107" s="881"/>
      <c r="M107" s="881"/>
      <c r="N107" s="881"/>
      <c r="O107" s="998"/>
      <c r="P107" s="998"/>
    </row>
    <row r="108" spans="1:16" ht="19.5">
      <c r="A108" s="1002"/>
      <c r="B108" s="1003"/>
      <c r="C108" s="1003"/>
      <c r="D108" s="1010"/>
      <c r="E108" s="1013" t="s">
        <v>56</v>
      </c>
      <c r="F108" s="1010"/>
      <c r="G108" s="1011"/>
      <c r="H108" s="1016"/>
      <c r="I108" s="880"/>
      <c r="J108" s="880"/>
      <c r="K108" s="881"/>
      <c r="L108" s="881"/>
      <c r="M108" s="881"/>
      <c r="N108" s="881"/>
      <c r="O108" s="998"/>
      <c r="P108" s="998"/>
    </row>
    <row r="109" spans="1:16" ht="19.5">
      <c r="A109" s="1002"/>
      <c r="B109" s="1003"/>
      <c r="C109" s="1003"/>
      <c r="D109" s="1010"/>
      <c r="E109" s="1009" t="s">
        <v>57</v>
      </c>
      <c r="F109" s="1010"/>
      <c r="G109" s="1011"/>
      <c r="H109" s="622" t="s">
        <v>49</v>
      </c>
      <c r="I109" s="880">
        <f ca="1">IFERROR(__xludf.DUMMYFUNCTION("IMPORTRANGE(""https://docs.google.com/spreadsheets/d/1QqKyyYR6Q21VydFLVH3TRQUabQu_ym0Zz7PgGX0-kHA/edit?usp=sharing"",""แผน!Q88"")"),0)</f>
        <v>0</v>
      </c>
      <c r="J109" s="1012">
        <v>0</v>
      </c>
      <c r="K109" s="881">
        <f t="shared" ref="K109:K116" ca="1" si="58">IF(I109&gt;0,J109*100/I109,0)</f>
        <v>0</v>
      </c>
      <c r="L109" s="881"/>
      <c r="M109" s="881"/>
      <c r="N109" s="881"/>
      <c r="O109" s="998"/>
      <c r="P109" s="998"/>
    </row>
    <row r="110" spans="1:16" ht="18.75">
      <c r="A110" s="1002"/>
      <c r="B110" s="1003"/>
      <c r="C110" s="1003"/>
      <c r="D110" s="1010"/>
      <c r="E110" s="1017" t="s">
        <v>58</v>
      </c>
      <c r="F110" s="1010"/>
      <c r="G110" s="1011"/>
      <c r="H110" s="622" t="s">
        <v>49</v>
      </c>
      <c r="I110" s="880">
        <f ca="1">IFERROR(__xludf.DUMMYFUNCTION("IMPORTRANGE(""https://docs.google.com/spreadsheets/d/1QqKyyYR6Q21VydFLVH3TRQUabQu_ym0Zz7PgGX0-kHA/edit?usp=sharing"",""แผน!Q88"")"),0)</f>
        <v>0</v>
      </c>
      <c r="J110" s="1012">
        <v>0</v>
      </c>
      <c r="K110" s="881">
        <f t="shared" ca="1" si="58"/>
        <v>0</v>
      </c>
      <c r="L110" s="881"/>
      <c r="M110" s="881"/>
      <c r="N110" s="881"/>
      <c r="O110" s="998"/>
      <c r="P110" s="998"/>
    </row>
    <row r="111" spans="1:16" ht="19.5">
      <c r="A111" s="1002"/>
      <c r="B111" s="1003"/>
      <c r="C111" s="1003"/>
      <c r="D111" s="1013" t="s">
        <v>59</v>
      </c>
      <c r="E111" s="1013"/>
      <c r="F111" s="1010"/>
      <c r="G111" s="1011"/>
      <c r="H111" s="765" t="s">
        <v>35</v>
      </c>
      <c r="I111" s="1018">
        <f ca="1">IFERROR(__xludf.DUMMYFUNCTION("IMPORTRANGE(""https://docs.google.com/spreadsheets/d/1QqKyyYR6Q21VydFLVH3TRQUabQu_ym0Zz7PgGX0-kHA/edit?usp=sharing"",""แผน!R88"")"),10)</f>
        <v>10</v>
      </c>
      <c r="J111" s="1019">
        <f>J114</f>
        <v>0</v>
      </c>
      <c r="K111" s="1020">
        <f t="shared" ca="1" si="58"/>
        <v>0</v>
      </c>
      <c r="L111" s="881"/>
      <c r="M111" s="881"/>
      <c r="N111" s="881"/>
      <c r="O111" s="998"/>
      <c r="P111" s="998"/>
    </row>
    <row r="112" spans="1:16" ht="19.5">
      <c r="A112" s="1002"/>
      <c r="B112" s="1003"/>
      <c r="C112" s="1003"/>
      <c r="D112" s="1003"/>
      <c r="E112" s="1010"/>
      <c r="F112" s="1010"/>
      <c r="G112" s="1011"/>
      <c r="H112" s="196" t="s">
        <v>49</v>
      </c>
      <c r="I112" s="1018">
        <f t="shared" ref="I112:J112" ca="1" si="59">I115+I116</f>
        <v>1</v>
      </c>
      <c r="J112" s="1019">
        <f t="shared" si="59"/>
        <v>0</v>
      </c>
      <c r="K112" s="1020">
        <f t="shared" ca="1" si="58"/>
        <v>0</v>
      </c>
      <c r="L112" s="881"/>
      <c r="M112" s="881"/>
      <c r="N112" s="881"/>
      <c r="O112" s="998"/>
      <c r="P112" s="998"/>
    </row>
    <row r="113" spans="1:26" ht="19.5">
      <c r="A113" s="1002"/>
      <c r="B113" s="1003"/>
      <c r="C113" s="1003"/>
      <c r="D113" s="1003"/>
      <c r="E113" s="1021" t="s">
        <v>60</v>
      </c>
      <c r="F113" s="1010"/>
      <c r="G113" s="1011"/>
      <c r="H113" s="198" t="s">
        <v>35</v>
      </c>
      <c r="I113" s="997">
        <f ca="1">IFERROR(__xludf.DUMMYFUNCTION("IMPORTRANGE(""https://docs.google.com/spreadsheets/d/1QqKyyYR6Q21VydFLVH3TRQUabQu_ym0Zz7PgGX0-kHA/edit?usp=sharing"",""แผน!R88"")"),10)</f>
        <v>10</v>
      </c>
      <c r="J113" s="1012">
        <v>0</v>
      </c>
      <c r="K113" s="881">
        <f t="shared" ca="1" si="58"/>
        <v>0</v>
      </c>
      <c r="L113" s="881"/>
      <c r="M113" s="881"/>
      <c r="N113" s="881"/>
      <c r="O113" s="998"/>
      <c r="P113" s="998"/>
    </row>
    <row r="114" spans="1:26" ht="19.5">
      <c r="A114" s="1002"/>
      <c r="B114" s="1003"/>
      <c r="C114" s="1003"/>
      <c r="D114" s="1003"/>
      <c r="E114" s="1009" t="s">
        <v>61</v>
      </c>
      <c r="F114" s="1010"/>
      <c r="G114" s="1011"/>
      <c r="H114" s="199" t="s">
        <v>35</v>
      </c>
      <c r="I114" s="997">
        <f ca="1">IFERROR(__xludf.DUMMYFUNCTION("IMPORTRANGE(""https://docs.google.com/spreadsheets/d/1QqKyyYR6Q21VydFLVH3TRQUabQu_ym0Zz7PgGX0-kHA/edit?usp=sharing"",""แผน!R88"")"),10)</f>
        <v>10</v>
      </c>
      <c r="J114" s="1012">
        <v>0</v>
      </c>
      <c r="K114" s="881">
        <f t="shared" ca="1" si="58"/>
        <v>0</v>
      </c>
      <c r="L114" s="881"/>
      <c r="M114" s="881"/>
      <c r="N114" s="881"/>
      <c r="O114" s="998"/>
      <c r="P114" s="998"/>
    </row>
    <row r="115" spans="1:26" ht="18.75">
      <c r="A115" s="1002"/>
      <c r="B115" s="1003"/>
      <c r="C115" s="1003"/>
      <c r="D115" s="1003"/>
      <c r="E115" s="1009" t="s">
        <v>62</v>
      </c>
      <c r="F115" s="1010"/>
      <c r="G115" s="1011"/>
      <c r="H115" s="199" t="s">
        <v>49</v>
      </c>
      <c r="I115" s="997">
        <f ca="1">IFERROR(__xludf.DUMMYFUNCTION("IMPORTRANGE(""https://docs.google.com/spreadsheets/d/1QqKyyYR6Q21VydFLVH3TRQUabQu_ym0Zz7PgGX0-kHA/edit?usp=sharing"",""แผน!S88"")"),1)</f>
        <v>1</v>
      </c>
      <c r="J115" s="1012">
        <v>0</v>
      </c>
      <c r="K115" s="881">
        <f t="shared" ca="1" si="58"/>
        <v>0</v>
      </c>
      <c r="L115" s="881"/>
      <c r="M115" s="881"/>
      <c r="N115" s="881"/>
      <c r="O115" s="998"/>
      <c r="P115" s="998"/>
    </row>
    <row r="116" spans="1:26" ht="18.75">
      <c r="A116" s="1002"/>
      <c r="B116" s="1003"/>
      <c r="C116" s="1003"/>
      <c r="D116" s="1003"/>
      <c r="E116" s="1009" t="s">
        <v>63</v>
      </c>
      <c r="F116" s="1010"/>
      <c r="G116" s="1011"/>
      <c r="H116" s="199" t="s">
        <v>49</v>
      </c>
      <c r="I116" s="997">
        <f ca="1">IFERROR(__xludf.DUMMYFUNCTION("IMPORTRANGE(""https://docs.google.com/spreadsheets/d/1QqKyyYR6Q21VydFLVH3TRQUabQu_ym0Zz7PgGX0-kHA/edit?usp=sharing"",""แผน!T88"")"),0)</f>
        <v>0</v>
      </c>
      <c r="J116" s="1012">
        <v>0</v>
      </c>
      <c r="K116" s="881">
        <f t="shared" ca="1" si="58"/>
        <v>0</v>
      </c>
      <c r="L116" s="881"/>
      <c r="M116" s="881"/>
      <c r="N116" s="881"/>
      <c r="O116" s="998"/>
      <c r="P116" s="998"/>
    </row>
    <row r="117" spans="1:26" ht="19.5">
      <c r="A117" s="970" t="s">
        <v>64</v>
      </c>
      <c r="B117" s="971"/>
      <c r="C117" s="1022"/>
      <c r="D117" s="971"/>
      <c r="E117" s="971"/>
      <c r="F117" s="971"/>
      <c r="G117" s="971"/>
      <c r="H117" s="1023"/>
      <c r="I117" s="1024"/>
      <c r="J117" s="1024"/>
      <c r="K117" s="1025"/>
      <c r="L117" s="976"/>
      <c r="M117" s="976"/>
      <c r="N117" s="976"/>
      <c r="O117" s="976"/>
      <c r="P117" s="976"/>
    </row>
    <row r="118" spans="1:26" ht="19.5">
      <c r="A118" s="977"/>
      <c r="B118" s="978" t="s">
        <v>65</v>
      </c>
      <c r="C118" s="1026"/>
      <c r="D118" s="980"/>
      <c r="E118" s="979"/>
      <c r="F118" s="979"/>
      <c r="G118" s="981"/>
      <c r="H118" s="205" t="s">
        <v>66</v>
      </c>
      <c r="I118" s="1027">
        <v>1</v>
      </c>
      <c r="J118" s="1027">
        <f>J438</f>
        <v>1</v>
      </c>
      <c r="K118" s="984">
        <f>IF(I118&gt;0,J118*100/I118,0)</f>
        <v>100</v>
      </c>
      <c r="L118" s="984"/>
      <c r="M118" s="984"/>
      <c r="N118" s="984"/>
      <c r="O118" s="984"/>
      <c r="P118" s="984"/>
    </row>
    <row r="119" spans="1:26" ht="19.5">
      <c r="A119" s="985"/>
      <c r="B119" s="986"/>
      <c r="C119" s="987" t="s">
        <v>16</v>
      </c>
      <c r="D119" s="988" t="s">
        <v>17</v>
      </c>
      <c r="E119" s="986"/>
      <c r="F119" s="986"/>
      <c r="G119" s="989"/>
      <c r="H119" s="152" t="s">
        <v>12</v>
      </c>
      <c r="I119" s="990"/>
      <c r="J119" s="990"/>
      <c r="K119" s="991"/>
      <c r="L119" s="992">
        <f t="shared" ref="L119:N119" ca="1" si="60">L120+L121</f>
        <v>0</v>
      </c>
      <c r="M119" s="992">
        <f t="shared" ca="1" si="60"/>
        <v>0</v>
      </c>
      <c r="N119" s="992">
        <f t="shared" ca="1" si="60"/>
        <v>0</v>
      </c>
      <c r="O119" s="992">
        <f t="shared" ref="O119:O127" ca="1" si="61">IF(L119&gt;0,N119*100/L119,0)</f>
        <v>0</v>
      </c>
      <c r="P119" s="992">
        <f t="shared" ref="P119:P127" ca="1" si="62">IF(M119&gt;0,N119*100/M119,0)</f>
        <v>0</v>
      </c>
      <c r="Q119" s="868"/>
      <c r="R119" s="868"/>
      <c r="S119" s="868"/>
      <c r="T119" s="868"/>
      <c r="U119" s="868"/>
      <c r="V119" s="868"/>
      <c r="W119" s="868"/>
      <c r="X119" s="868"/>
      <c r="Y119" s="868"/>
      <c r="Z119" s="868"/>
    </row>
    <row r="120" spans="1:26" ht="18.75" hidden="1">
      <c r="A120" s="993"/>
      <c r="B120" s="883"/>
      <c r="C120" s="883"/>
      <c r="D120" s="883"/>
      <c r="E120" s="884" t="s">
        <v>18</v>
      </c>
      <c r="F120" s="883"/>
      <c r="G120" s="994"/>
      <c r="H120" s="158" t="s">
        <v>12</v>
      </c>
      <c r="I120" s="886"/>
      <c r="J120" s="886"/>
      <c r="K120" s="887"/>
      <c r="L120" s="887">
        <f t="shared" ref="L120:N121" si="63">L123+L126</f>
        <v>0</v>
      </c>
      <c r="M120" s="887">
        <f t="shared" si="63"/>
        <v>0</v>
      </c>
      <c r="N120" s="887">
        <f t="shared" si="63"/>
        <v>0</v>
      </c>
      <c r="O120" s="887">
        <f t="shared" si="61"/>
        <v>0</v>
      </c>
      <c r="P120" s="887">
        <f t="shared" si="62"/>
        <v>0</v>
      </c>
      <c r="Q120" s="875"/>
      <c r="R120" s="875"/>
      <c r="S120" s="875"/>
      <c r="T120" s="875"/>
      <c r="U120" s="875"/>
      <c r="V120" s="875"/>
      <c r="W120" s="875"/>
      <c r="X120" s="875"/>
      <c r="Y120" s="875"/>
      <c r="Z120" s="875"/>
    </row>
    <row r="121" spans="1:26" ht="18.75" hidden="1">
      <c r="A121" s="993"/>
      <c r="B121" s="883"/>
      <c r="C121" s="883"/>
      <c r="D121" s="883"/>
      <c r="E121" s="884" t="s">
        <v>19</v>
      </c>
      <c r="F121" s="883"/>
      <c r="G121" s="994"/>
      <c r="H121" s="158" t="s">
        <v>12</v>
      </c>
      <c r="I121" s="886"/>
      <c r="J121" s="886"/>
      <c r="K121" s="887"/>
      <c r="L121" s="887">
        <f t="shared" ca="1" si="63"/>
        <v>0</v>
      </c>
      <c r="M121" s="887">
        <f t="shared" ca="1" si="63"/>
        <v>0</v>
      </c>
      <c r="N121" s="887">
        <f t="shared" ca="1" si="63"/>
        <v>0</v>
      </c>
      <c r="O121" s="887">
        <f t="shared" ca="1" si="61"/>
        <v>0</v>
      </c>
      <c r="P121" s="887">
        <f t="shared" ca="1" si="62"/>
        <v>0</v>
      </c>
      <c r="Q121" s="875"/>
      <c r="R121" s="875"/>
      <c r="S121" s="875"/>
      <c r="T121" s="875"/>
      <c r="U121" s="875"/>
      <c r="V121" s="875"/>
      <c r="W121" s="875"/>
      <c r="X121" s="875"/>
      <c r="Y121" s="875"/>
      <c r="Z121" s="875"/>
    </row>
    <row r="122" spans="1:26" ht="18.75" hidden="1">
      <c r="A122" s="995"/>
      <c r="B122" s="877"/>
      <c r="C122" s="996"/>
      <c r="D122" s="878" t="s">
        <v>20</v>
      </c>
      <c r="E122" s="877"/>
      <c r="F122" s="877"/>
      <c r="G122" s="879"/>
      <c r="H122" s="161" t="s">
        <v>12</v>
      </c>
      <c r="I122" s="997"/>
      <c r="J122" s="997"/>
      <c r="K122" s="998"/>
      <c r="L122" s="881">
        <f t="shared" ref="L122:N122" ca="1" si="64">L123+L124</f>
        <v>0</v>
      </c>
      <c r="M122" s="881">
        <f t="shared" ca="1" si="64"/>
        <v>0</v>
      </c>
      <c r="N122" s="881">
        <f t="shared" ca="1" si="64"/>
        <v>0</v>
      </c>
      <c r="O122" s="881">
        <f t="shared" ca="1" si="61"/>
        <v>0</v>
      </c>
      <c r="P122" s="881">
        <f t="shared" ca="1" si="62"/>
        <v>0</v>
      </c>
      <c r="Q122" s="868"/>
      <c r="R122" s="868"/>
      <c r="S122" s="868"/>
      <c r="T122" s="868"/>
      <c r="U122" s="868"/>
      <c r="V122" s="868"/>
      <c r="W122" s="868"/>
      <c r="X122" s="868"/>
      <c r="Y122" s="868"/>
      <c r="Z122" s="868"/>
    </row>
    <row r="123" spans="1:26" ht="18.75" hidden="1">
      <c r="A123" s="993"/>
      <c r="B123" s="883"/>
      <c r="C123" s="884"/>
      <c r="D123" s="883"/>
      <c r="E123" s="884" t="s">
        <v>36</v>
      </c>
      <c r="F123" s="883"/>
      <c r="G123" s="994"/>
      <c r="H123" s="165" t="s">
        <v>12</v>
      </c>
      <c r="I123" s="1000"/>
      <c r="J123" s="1000"/>
      <c r="K123" s="1001"/>
      <c r="L123" s="887">
        <v>0</v>
      </c>
      <c r="M123" s="887">
        <v>0</v>
      </c>
      <c r="N123" s="887">
        <v>0</v>
      </c>
      <c r="O123" s="887">
        <f t="shared" si="61"/>
        <v>0</v>
      </c>
      <c r="P123" s="887">
        <f t="shared" si="62"/>
        <v>0</v>
      </c>
      <c r="Q123" s="875"/>
      <c r="R123" s="875"/>
      <c r="S123" s="875"/>
      <c r="T123" s="875"/>
      <c r="U123" s="875"/>
      <c r="V123" s="875"/>
      <c r="W123" s="875"/>
      <c r="X123" s="875"/>
      <c r="Y123" s="875"/>
      <c r="Z123" s="875"/>
    </row>
    <row r="124" spans="1:26" ht="18.75" hidden="1">
      <c r="A124" s="993"/>
      <c r="B124" s="883"/>
      <c r="C124" s="884"/>
      <c r="D124" s="883"/>
      <c r="E124" s="884" t="s">
        <v>37</v>
      </c>
      <c r="F124" s="883"/>
      <c r="G124" s="994"/>
      <c r="H124" s="165" t="s">
        <v>12</v>
      </c>
      <c r="I124" s="1000"/>
      <c r="J124" s="1000"/>
      <c r="K124" s="1001"/>
      <c r="L124" s="887">
        <f ca="1">IFERROR(__xludf.DUMMYFUNCTION("IMPORTRANGE(""https://docs.google.com/spreadsheets/d/1MeEWN-I1oV_STSDYn1IFDPWt_1FKiwhDph83XaGc0o0/edit?usp=sharing"",""งบพรบ!BA88"")"),0)</f>
        <v>0</v>
      </c>
      <c r="M124" s="887">
        <f ca="1">IFERROR(__xludf.DUMMYFUNCTION("IMPORTRANGE(""https://docs.google.com/spreadsheets/d/1MeEWN-I1oV_STSDYn1IFDPWt_1FKiwhDph83XaGc0o0/edit?usp=sharing"",""งบพรบ!BF88"")"),0)</f>
        <v>0</v>
      </c>
      <c r="N124" s="887">
        <f ca="1">IFERROR(__xludf.DUMMYFUNCTION("IMPORTRANGE(""https://docs.google.com/spreadsheets/d/1MeEWN-I1oV_STSDYn1IFDPWt_1FKiwhDph83XaGc0o0/edit?usp=sharing"",""งบพรบ!BH88"")"),0)</f>
        <v>0</v>
      </c>
      <c r="O124" s="887">
        <f t="shared" ca="1" si="61"/>
        <v>0</v>
      </c>
      <c r="P124" s="887">
        <f t="shared" ca="1" si="62"/>
        <v>0</v>
      </c>
      <c r="Q124" s="875"/>
      <c r="R124" s="875"/>
      <c r="S124" s="875"/>
      <c r="T124" s="875"/>
      <c r="U124" s="875"/>
      <c r="V124" s="875"/>
      <c r="W124" s="875"/>
      <c r="X124" s="875"/>
      <c r="Y124" s="875"/>
      <c r="Z124" s="875"/>
    </row>
    <row r="125" spans="1:26" ht="18.75" hidden="1">
      <c r="A125" s="995"/>
      <c r="B125" s="877"/>
      <c r="C125" s="996"/>
      <c r="D125" s="878" t="s">
        <v>21</v>
      </c>
      <c r="E125" s="877"/>
      <c r="F125" s="877"/>
      <c r="G125" s="879"/>
      <c r="H125" s="168" t="s">
        <v>12</v>
      </c>
      <c r="I125" s="997"/>
      <c r="J125" s="997"/>
      <c r="K125" s="998"/>
      <c r="L125" s="881">
        <f t="shared" ref="L125:N125" ca="1" si="65">L126+L127</f>
        <v>0</v>
      </c>
      <c r="M125" s="881">
        <f t="shared" ca="1" si="65"/>
        <v>0</v>
      </c>
      <c r="N125" s="881">
        <f t="shared" ca="1" si="65"/>
        <v>0</v>
      </c>
      <c r="O125" s="881">
        <f t="shared" ca="1" si="61"/>
        <v>0</v>
      </c>
      <c r="P125" s="881">
        <f t="shared" ca="1" si="62"/>
        <v>0</v>
      </c>
      <c r="Q125" s="868"/>
      <c r="R125" s="868"/>
      <c r="S125" s="868"/>
      <c r="T125" s="868"/>
      <c r="U125" s="868"/>
      <c r="V125" s="868"/>
      <c r="W125" s="868"/>
      <c r="X125" s="868"/>
      <c r="Y125" s="868"/>
      <c r="Z125" s="868"/>
    </row>
    <row r="126" spans="1:26" ht="19.5" hidden="1">
      <c r="A126" s="993"/>
      <c r="B126" s="883"/>
      <c r="C126" s="999"/>
      <c r="D126" s="883"/>
      <c r="E126" s="884" t="s">
        <v>18</v>
      </c>
      <c r="F126" s="883"/>
      <c r="G126" s="994"/>
      <c r="H126" s="165" t="s">
        <v>12</v>
      </c>
      <c r="I126" s="1000"/>
      <c r="J126" s="1000"/>
      <c r="K126" s="1001"/>
      <c r="L126" s="887">
        <v>0</v>
      </c>
      <c r="M126" s="887">
        <v>0</v>
      </c>
      <c r="N126" s="887">
        <v>0</v>
      </c>
      <c r="O126" s="887">
        <f t="shared" si="61"/>
        <v>0</v>
      </c>
      <c r="P126" s="887">
        <f t="shared" si="62"/>
        <v>0</v>
      </c>
      <c r="Q126" s="875"/>
      <c r="R126" s="875"/>
      <c r="S126" s="875"/>
      <c r="T126" s="875"/>
      <c r="U126" s="875"/>
      <c r="V126" s="875"/>
      <c r="W126" s="875"/>
      <c r="X126" s="875"/>
      <c r="Y126" s="875"/>
      <c r="Z126" s="875"/>
    </row>
    <row r="127" spans="1:26" ht="19.5" hidden="1">
      <c r="A127" s="993"/>
      <c r="B127" s="883"/>
      <c r="C127" s="999"/>
      <c r="D127" s="883"/>
      <c r="E127" s="884" t="s">
        <v>19</v>
      </c>
      <c r="F127" s="883"/>
      <c r="G127" s="994"/>
      <c r="H127" s="169" t="s">
        <v>12</v>
      </c>
      <c r="I127" s="1000"/>
      <c r="J127" s="1000"/>
      <c r="K127" s="1001"/>
      <c r="L127" s="887">
        <f ca="1">IFERROR(__xludf.DUMMYFUNCTION("IMPORTRANGE(""https://docs.google.com/spreadsheets/d/1MeEWN-I1oV_STSDYn1IFDPWt_1FKiwhDph83XaGc0o0/edit?usp=sharing"",""งบพรบ!BD88"")"),0)</f>
        <v>0</v>
      </c>
      <c r="M127" s="887">
        <f ca="1">IFERROR(__xludf.DUMMYFUNCTION("IMPORTRANGE(""https://docs.google.com/spreadsheets/d/1MeEWN-I1oV_STSDYn1IFDPWt_1FKiwhDph83XaGc0o0/edit?usp=sharing"",""งบพรบ!BG88"")"),0)</f>
        <v>0</v>
      </c>
      <c r="N127" s="887">
        <f ca="1">IFERROR(__xludf.DUMMYFUNCTION("IMPORTRANGE(""https://docs.google.com/spreadsheets/d/1MeEWN-I1oV_STSDYn1IFDPWt_1FKiwhDph83XaGc0o0/edit?usp=sharing"",""งบพรบ!BI88"")"),0)</f>
        <v>0</v>
      </c>
      <c r="O127" s="887">
        <f t="shared" ca="1" si="61"/>
        <v>0</v>
      </c>
      <c r="P127" s="887">
        <f t="shared" ca="1" si="62"/>
        <v>0</v>
      </c>
      <c r="Q127" s="875"/>
      <c r="R127" s="875"/>
      <c r="S127" s="875"/>
      <c r="T127" s="875"/>
      <c r="U127" s="875"/>
      <c r="V127" s="875"/>
      <c r="W127" s="875"/>
      <c r="X127" s="875"/>
      <c r="Y127" s="875"/>
      <c r="Z127" s="875"/>
    </row>
    <row r="128" spans="1:26" ht="19.5">
      <c r="A128" s="970" t="s">
        <v>67</v>
      </c>
      <c r="B128" s="971"/>
      <c r="C128" s="1022"/>
      <c r="D128" s="971"/>
      <c r="E128" s="971"/>
      <c r="F128" s="971"/>
      <c r="G128" s="971"/>
      <c r="H128" s="1023"/>
      <c r="I128" s="1024"/>
      <c r="J128" s="1024"/>
      <c r="K128" s="1025"/>
      <c r="L128" s="976"/>
      <c r="M128" s="976"/>
      <c r="N128" s="976"/>
      <c r="O128" s="976"/>
      <c r="P128" s="976"/>
    </row>
    <row r="129" spans="1:26" ht="19.5">
      <c r="A129" s="977"/>
      <c r="B129" s="978" t="s">
        <v>68</v>
      </c>
      <c r="C129" s="1026"/>
      <c r="D129" s="980"/>
      <c r="E129" s="979"/>
      <c r="F129" s="979"/>
      <c r="G129" s="979"/>
      <c r="H129" s="207"/>
      <c r="I129" s="1027"/>
      <c r="J129" s="1027"/>
      <c r="K129" s="984"/>
      <c r="L129" s="984"/>
      <c r="M129" s="984"/>
      <c r="N129" s="984"/>
      <c r="O129" s="984"/>
      <c r="P129" s="984"/>
    </row>
    <row r="130" spans="1:26" ht="19.5">
      <c r="A130" s="977"/>
      <c r="B130" s="978"/>
      <c r="C130" s="1028" t="s">
        <v>69</v>
      </c>
      <c r="D130" s="980"/>
      <c r="E130" s="979"/>
      <c r="F130" s="979"/>
      <c r="G130" s="981"/>
      <c r="H130" s="205" t="s">
        <v>66</v>
      </c>
      <c r="I130" s="982">
        <f t="shared" ref="I130:J130" ca="1" si="66">I146</f>
        <v>2</v>
      </c>
      <c r="J130" s="982">
        <f t="shared" si="66"/>
        <v>2</v>
      </c>
      <c r="K130" s="983">
        <f t="shared" ref="K130:K131" ca="1" si="67">IF(I130&gt;0,J130*100/I130,0)</f>
        <v>100</v>
      </c>
      <c r="L130" s="984"/>
      <c r="M130" s="984"/>
      <c r="N130" s="984"/>
      <c r="O130" s="984"/>
      <c r="P130" s="984"/>
    </row>
    <row r="131" spans="1:26" ht="19.5">
      <c r="A131" s="977"/>
      <c r="B131" s="978"/>
      <c r="C131" s="1028" t="s">
        <v>70</v>
      </c>
      <c r="D131" s="980"/>
      <c r="E131" s="979"/>
      <c r="F131" s="979"/>
      <c r="G131" s="981"/>
      <c r="H131" s="205" t="s">
        <v>35</v>
      </c>
      <c r="I131" s="982">
        <f t="shared" ref="I131:J131" ca="1" si="68">I143</f>
        <v>20</v>
      </c>
      <c r="J131" s="982">
        <f t="shared" ca="1" si="68"/>
        <v>20</v>
      </c>
      <c r="K131" s="983">
        <f t="shared" ca="1" si="67"/>
        <v>100</v>
      </c>
      <c r="L131" s="984"/>
      <c r="M131" s="984"/>
      <c r="N131" s="984"/>
      <c r="O131" s="984"/>
      <c r="P131" s="984"/>
    </row>
    <row r="132" spans="1:26" ht="19.5">
      <c r="A132" s="985"/>
      <c r="B132" s="986"/>
      <c r="C132" s="987" t="s">
        <v>16</v>
      </c>
      <c r="D132" s="988" t="s">
        <v>17</v>
      </c>
      <c r="E132" s="986"/>
      <c r="F132" s="986"/>
      <c r="G132" s="989"/>
      <c r="H132" s="152" t="s">
        <v>12</v>
      </c>
      <c r="I132" s="990"/>
      <c r="J132" s="990"/>
      <c r="K132" s="991"/>
      <c r="L132" s="992">
        <f t="shared" ref="L132:N132" ca="1" si="69">L133+L134</f>
        <v>911610</v>
      </c>
      <c r="M132" s="992">
        <f t="shared" ca="1" si="69"/>
        <v>743950</v>
      </c>
      <c r="N132" s="992">
        <f t="shared" ca="1" si="69"/>
        <v>536657.77</v>
      </c>
      <c r="O132" s="992">
        <f t="shared" ref="O132:O140" ca="1" si="70">IF(L132&gt;0,N132*100/L132,0)</f>
        <v>58.869228069020743</v>
      </c>
      <c r="P132" s="992">
        <f t="shared" ref="P132:P140" ca="1" si="71">IF(M132&gt;0,N132*100/M132,0)</f>
        <v>72.136268566435916</v>
      </c>
      <c r="Q132" s="868"/>
      <c r="R132" s="868"/>
      <c r="S132" s="868"/>
      <c r="T132" s="868"/>
      <c r="U132" s="868"/>
      <c r="V132" s="868"/>
      <c r="W132" s="868"/>
      <c r="X132" s="868"/>
      <c r="Y132" s="868"/>
      <c r="Z132" s="868"/>
    </row>
    <row r="133" spans="1:26" ht="18.75" hidden="1">
      <c r="A133" s="993"/>
      <c r="B133" s="883"/>
      <c r="C133" s="883"/>
      <c r="D133" s="883"/>
      <c r="E133" s="884" t="s">
        <v>18</v>
      </c>
      <c r="F133" s="883"/>
      <c r="G133" s="994"/>
      <c r="H133" s="158" t="s">
        <v>12</v>
      </c>
      <c r="I133" s="886"/>
      <c r="J133" s="886"/>
      <c r="K133" s="887"/>
      <c r="L133" s="887">
        <f t="shared" ref="L133:N134" si="72">L136+L139</f>
        <v>0</v>
      </c>
      <c r="M133" s="887">
        <f t="shared" si="72"/>
        <v>0</v>
      </c>
      <c r="N133" s="887">
        <f t="shared" si="72"/>
        <v>0</v>
      </c>
      <c r="O133" s="887">
        <f t="shared" si="70"/>
        <v>0</v>
      </c>
      <c r="P133" s="887">
        <f t="shared" si="71"/>
        <v>0</v>
      </c>
      <c r="Q133" s="875"/>
      <c r="R133" s="875"/>
      <c r="S133" s="875"/>
      <c r="T133" s="875"/>
      <c r="U133" s="875"/>
      <c r="V133" s="875"/>
      <c r="W133" s="875"/>
      <c r="X133" s="875"/>
      <c r="Y133" s="875"/>
      <c r="Z133" s="875"/>
    </row>
    <row r="134" spans="1:26" ht="18.75" hidden="1">
      <c r="A134" s="993"/>
      <c r="B134" s="883"/>
      <c r="C134" s="883"/>
      <c r="D134" s="883"/>
      <c r="E134" s="884" t="s">
        <v>19</v>
      </c>
      <c r="F134" s="883"/>
      <c r="G134" s="994"/>
      <c r="H134" s="158" t="s">
        <v>12</v>
      </c>
      <c r="I134" s="886"/>
      <c r="J134" s="886"/>
      <c r="K134" s="887"/>
      <c r="L134" s="887">
        <f t="shared" ca="1" si="72"/>
        <v>911610</v>
      </c>
      <c r="M134" s="887">
        <f t="shared" ca="1" si="72"/>
        <v>743950</v>
      </c>
      <c r="N134" s="887">
        <f t="shared" ca="1" si="72"/>
        <v>536657.77</v>
      </c>
      <c r="O134" s="887">
        <f t="shared" ca="1" si="70"/>
        <v>58.869228069020743</v>
      </c>
      <c r="P134" s="887">
        <f t="shared" ca="1" si="71"/>
        <v>72.136268566435916</v>
      </c>
      <c r="Q134" s="875"/>
      <c r="R134" s="875"/>
      <c r="S134" s="875"/>
      <c r="T134" s="875"/>
      <c r="U134" s="875"/>
      <c r="V134" s="875"/>
      <c r="W134" s="875"/>
      <c r="X134" s="875"/>
      <c r="Y134" s="875"/>
      <c r="Z134" s="875"/>
    </row>
    <row r="135" spans="1:26" ht="18.75">
      <c r="A135" s="995"/>
      <c r="B135" s="877"/>
      <c r="C135" s="996"/>
      <c r="D135" s="878" t="s">
        <v>20</v>
      </c>
      <c r="E135" s="877"/>
      <c r="F135" s="877"/>
      <c r="G135" s="879"/>
      <c r="H135" s="161" t="s">
        <v>12</v>
      </c>
      <c r="I135" s="997"/>
      <c r="J135" s="997"/>
      <c r="K135" s="998"/>
      <c r="L135" s="881">
        <f t="shared" ref="L135:N135" ca="1" si="73">L136+L137</f>
        <v>705610</v>
      </c>
      <c r="M135" s="881">
        <f t="shared" ca="1" si="73"/>
        <v>543950</v>
      </c>
      <c r="N135" s="881">
        <f t="shared" ca="1" si="73"/>
        <v>336657.77</v>
      </c>
      <c r="O135" s="881">
        <f t="shared" ca="1" si="70"/>
        <v>47.711592806224402</v>
      </c>
      <c r="P135" s="881">
        <f t="shared" ca="1" si="71"/>
        <v>61.891308024634618</v>
      </c>
      <c r="Q135" s="868"/>
      <c r="R135" s="868"/>
      <c r="S135" s="868"/>
      <c r="T135" s="868"/>
      <c r="U135" s="868"/>
      <c r="V135" s="868"/>
      <c r="W135" s="868"/>
      <c r="X135" s="868"/>
      <c r="Y135" s="868"/>
      <c r="Z135" s="868"/>
    </row>
    <row r="136" spans="1:26" ht="19.5" hidden="1">
      <c r="A136" s="993"/>
      <c r="B136" s="883"/>
      <c r="C136" s="999"/>
      <c r="D136" s="883"/>
      <c r="E136" s="884" t="s">
        <v>36</v>
      </c>
      <c r="F136" s="883"/>
      <c r="G136" s="994"/>
      <c r="H136" s="165" t="s">
        <v>12</v>
      </c>
      <c r="I136" s="1000"/>
      <c r="J136" s="1000"/>
      <c r="K136" s="1001"/>
      <c r="L136" s="887">
        <v>0</v>
      </c>
      <c r="M136" s="887">
        <v>0</v>
      </c>
      <c r="N136" s="887">
        <v>0</v>
      </c>
      <c r="O136" s="887">
        <f t="shared" si="70"/>
        <v>0</v>
      </c>
      <c r="P136" s="887">
        <f t="shared" si="71"/>
        <v>0</v>
      </c>
      <c r="Q136" s="875"/>
      <c r="R136" s="875"/>
      <c r="S136" s="875"/>
      <c r="T136" s="875"/>
      <c r="U136" s="875"/>
      <c r="V136" s="875"/>
      <c r="W136" s="875"/>
      <c r="X136" s="875"/>
      <c r="Y136" s="875"/>
      <c r="Z136" s="875"/>
    </row>
    <row r="137" spans="1:26" ht="19.5" hidden="1">
      <c r="A137" s="993"/>
      <c r="B137" s="883"/>
      <c r="C137" s="999"/>
      <c r="D137" s="883"/>
      <c r="E137" s="884" t="s">
        <v>37</v>
      </c>
      <c r="F137" s="883"/>
      <c r="G137" s="994"/>
      <c r="H137" s="165" t="s">
        <v>12</v>
      </c>
      <c r="I137" s="1000"/>
      <c r="J137" s="1000"/>
      <c r="K137" s="1001"/>
      <c r="L137" s="887">
        <f ca="1">IFERROR(__xludf.DUMMYFUNCTION("IMPORTRANGE(""https://docs.google.com/spreadsheets/d/1MeEWN-I1oV_STSDYn1IFDPWt_1FKiwhDph83XaGc0o0/edit?usp=sharing"",""งบพรบ!BK88"")"),705610)</f>
        <v>705610</v>
      </c>
      <c r="M137" s="887">
        <f ca="1">IFERROR(__xludf.DUMMYFUNCTION("IMPORTRANGE(""https://docs.google.com/spreadsheets/d/1MeEWN-I1oV_STSDYn1IFDPWt_1FKiwhDph83XaGc0o0/edit?usp=sharing"",""งบพรบ!BP88"")"),543950)</f>
        <v>543950</v>
      </c>
      <c r="N137" s="887">
        <f ca="1">IFERROR(__xludf.DUMMYFUNCTION("IMPORTRANGE(""https://docs.google.com/spreadsheets/d/1MeEWN-I1oV_STSDYn1IFDPWt_1FKiwhDph83XaGc0o0/edit?usp=sharing"",""งบพรบ!BR88"")"),336657.77)</f>
        <v>336657.77</v>
      </c>
      <c r="O137" s="887">
        <f t="shared" ca="1" si="70"/>
        <v>47.711592806224402</v>
      </c>
      <c r="P137" s="887">
        <f t="shared" ca="1" si="71"/>
        <v>61.891308024634618</v>
      </c>
      <c r="Q137" s="875"/>
      <c r="R137" s="875"/>
      <c r="S137" s="875"/>
      <c r="T137" s="875"/>
      <c r="U137" s="875"/>
      <c r="V137" s="875"/>
      <c r="W137" s="875"/>
      <c r="X137" s="875"/>
      <c r="Y137" s="875"/>
      <c r="Z137" s="875"/>
    </row>
    <row r="138" spans="1:26" ht="18.75">
      <c r="A138" s="995"/>
      <c r="B138" s="877"/>
      <c r="C138" s="996"/>
      <c r="D138" s="878" t="s">
        <v>21</v>
      </c>
      <c r="E138" s="877"/>
      <c r="F138" s="877"/>
      <c r="G138" s="879"/>
      <c r="H138" s="168" t="s">
        <v>12</v>
      </c>
      <c r="I138" s="997"/>
      <c r="J138" s="997"/>
      <c r="K138" s="998"/>
      <c r="L138" s="881">
        <f t="shared" ref="L138:N138" ca="1" si="74">L139+L140</f>
        <v>206000</v>
      </c>
      <c r="M138" s="881">
        <f t="shared" ca="1" si="74"/>
        <v>200000</v>
      </c>
      <c r="N138" s="881">
        <f t="shared" ca="1" si="74"/>
        <v>200000</v>
      </c>
      <c r="O138" s="881">
        <f t="shared" ca="1" si="70"/>
        <v>97.087378640776706</v>
      </c>
      <c r="P138" s="881">
        <f t="shared" ca="1" si="71"/>
        <v>100</v>
      </c>
      <c r="Q138" s="868"/>
      <c r="R138" s="868"/>
      <c r="S138" s="868"/>
      <c r="T138" s="868"/>
      <c r="U138" s="868"/>
      <c r="V138" s="868"/>
      <c r="W138" s="868"/>
      <c r="X138" s="868"/>
      <c r="Y138" s="868"/>
      <c r="Z138" s="868"/>
    </row>
    <row r="139" spans="1:26" ht="19.5" hidden="1">
      <c r="A139" s="993"/>
      <c r="B139" s="883"/>
      <c r="C139" s="999"/>
      <c r="D139" s="883"/>
      <c r="E139" s="884" t="s">
        <v>18</v>
      </c>
      <c r="F139" s="883"/>
      <c r="G139" s="994"/>
      <c r="H139" s="165" t="s">
        <v>12</v>
      </c>
      <c r="I139" s="1000"/>
      <c r="J139" s="1000"/>
      <c r="K139" s="1001"/>
      <c r="L139" s="887">
        <v>0</v>
      </c>
      <c r="M139" s="887">
        <v>0</v>
      </c>
      <c r="N139" s="887">
        <v>0</v>
      </c>
      <c r="O139" s="887">
        <f t="shared" si="70"/>
        <v>0</v>
      </c>
      <c r="P139" s="887">
        <f t="shared" si="71"/>
        <v>0</v>
      </c>
      <c r="Q139" s="875"/>
      <c r="R139" s="875"/>
      <c r="S139" s="875"/>
      <c r="T139" s="875"/>
      <c r="U139" s="875"/>
      <c r="V139" s="875"/>
      <c r="W139" s="875"/>
      <c r="X139" s="875"/>
      <c r="Y139" s="875"/>
      <c r="Z139" s="875"/>
    </row>
    <row r="140" spans="1:26" ht="19.5" hidden="1">
      <c r="A140" s="993"/>
      <c r="B140" s="883"/>
      <c r="C140" s="999"/>
      <c r="D140" s="883"/>
      <c r="E140" s="884" t="s">
        <v>19</v>
      </c>
      <c r="F140" s="883"/>
      <c r="G140" s="994"/>
      <c r="H140" s="169" t="s">
        <v>12</v>
      </c>
      <c r="I140" s="1000"/>
      <c r="J140" s="1000"/>
      <c r="K140" s="1001"/>
      <c r="L140" s="887">
        <f ca="1">IFERROR(__xludf.DUMMYFUNCTION("IMPORTRANGE(""https://docs.google.com/spreadsheets/d/1MeEWN-I1oV_STSDYn1IFDPWt_1FKiwhDph83XaGc0o0/edit?usp=sharing"",""งบพรบ!BN88"")"),206000)</f>
        <v>206000</v>
      </c>
      <c r="M140" s="887">
        <f ca="1">IFERROR(__xludf.DUMMYFUNCTION("IMPORTRANGE(""https://docs.google.com/spreadsheets/d/1MeEWN-I1oV_STSDYn1IFDPWt_1FKiwhDph83XaGc0o0/edit?usp=sharing"",""งบพรบ!BQ88"")"),200000)</f>
        <v>200000</v>
      </c>
      <c r="N140" s="887">
        <f ca="1">IFERROR(__xludf.DUMMYFUNCTION("IMPORTRANGE(""https://docs.google.com/spreadsheets/d/1MeEWN-I1oV_STSDYn1IFDPWt_1FKiwhDph83XaGc0o0/edit?usp=sharing"",""งบพรบ!BS88"")"),200000)</f>
        <v>200000</v>
      </c>
      <c r="O140" s="887">
        <f t="shared" ca="1" si="70"/>
        <v>97.087378640776706</v>
      </c>
      <c r="P140" s="887">
        <f t="shared" ca="1" si="71"/>
        <v>100</v>
      </c>
      <c r="Q140" s="875"/>
      <c r="R140" s="875"/>
      <c r="S140" s="875"/>
      <c r="T140" s="875"/>
      <c r="U140" s="875"/>
      <c r="V140" s="875"/>
      <c r="W140" s="875"/>
      <c r="X140" s="875"/>
      <c r="Y140" s="875"/>
      <c r="Z140" s="875"/>
    </row>
    <row r="141" spans="1:26" ht="19.5">
      <c r="A141" s="1002"/>
      <c r="B141" s="1003"/>
      <c r="C141" s="987" t="s">
        <v>16</v>
      </c>
      <c r="D141" s="1004" t="s">
        <v>38</v>
      </c>
      <c r="E141" s="1005"/>
      <c r="F141" s="1005"/>
      <c r="G141" s="1006"/>
      <c r="H141" s="168"/>
      <c r="I141" s="880"/>
      <c r="J141" s="880"/>
      <c r="K141" s="881"/>
      <c r="L141" s="881"/>
      <c r="M141" s="881"/>
      <c r="N141" s="881"/>
      <c r="O141" s="881"/>
      <c r="P141" s="881"/>
    </row>
    <row r="142" spans="1:26" ht="19.5">
      <c r="A142" s="995"/>
      <c r="B142" s="877"/>
      <c r="C142" s="1029"/>
      <c r="D142" s="996" t="s">
        <v>71</v>
      </c>
      <c r="E142" s="878"/>
      <c r="F142" s="877"/>
      <c r="G142" s="1030"/>
      <c r="H142" s="168"/>
      <c r="I142" s="880"/>
      <c r="J142" s="1012">
        <v>0</v>
      </c>
      <c r="K142" s="881"/>
      <c r="L142" s="881"/>
      <c r="M142" s="881"/>
      <c r="N142" s="881"/>
      <c r="O142" s="881"/>
      <c r="P142" s="881"/>
    </row>
    <row r="143" spans="1:26" ht="19.5">
      <c r="A143" s="995"/>
      <c r="B143" s="877"/>
      <c r="C143" s="1029"/>
      <c r="D143" s="996" t="s">
        <v>72</v>
      </c>
      <c r="E143" s="878"/>
      <c r="F143" s="877"/>
      <c r="G143" s="1030"/>
      <c r="H143" s="168" t="s">
        <v>35</v>
      </c>
      <c r="I143" s="880">
        <f ca="1">I145</f>
        <v>20</v>
      </c>
      <c r="J143" s="880">
        <f ca="1">IF(AND(J144&gt;=I144,J145&gt;=I145),J145,0)</f>
        <v>20</v>
      </c>
      <c r="K143" s="881">
        <f t="shared" ref="K143:K146" ca="1" si="75">IF(I143&gt;0,J143*100/I143,0)</f>
        <v>100</v>
      </c>
      <c r="L143" s="881"/>
      <c r="M143" s="881"/>
      <c r="N143" s="881"/>
      <c r="O143" s="881"/>
      <c r="P143" s="881"/>
    </row>
    <row r="144" spans="1:26" ht="19.5">
      <c r="A144" s="995"/>
      <c r="B144" s="877"/>
      <c r="C144" s="1029"/>
      <c r="D144" s="1010"/>
      <c r="E144" s="996" t="s">
        <v>73</v>
      </c>
      <c r="F144" s="877"/>
      <c r="G144" s="1030"/>
      <c r="H144" s="168" t="s">
        <v>35</v>
      </c>
      <c r="I144" s="880">
        <f ca="1">IFERROR(__xludf.DUMMYFUNCTION("IMPORTRANGE(""https://docs.google.com/spreadsheets/d/1QqKyyYR6Q21VydFLVH3TRQUabQu_ym0Zz7PgGX0-kHA/edit?usp=sharing"",""แผน!U88"")"),10)</f>
        <v>10</v>
      </c>
      <c r="J144" s="1012">
        <v>10</v>
      </c>
      <c r="K144" s="881">
        <f t="shared" ca="1" si="75"/>
        <v>100</v>
      </c>
      <c r="L144" s="881"/>
      <c r="M144" s="881"/>
      <c r="N144" s="881"/>
      <c r="O144" s="881"/>
      <c r="P144" s="881"/>
    </row>
    <row r="145" spans="1:26" ht="19.5">
      <c r="A145" s="995"/>
      <c r="B145" s="877"/>
      <c r="C145" s="1029"/>
      <c r="D145" s="1010"/>
      <c r="E145" s="996" t="s">
        <v>74</v>
      </c>
      <c r="F145" s="877"/>
      <c r="G145" s="1030"/>
      <c r="H145" s="168" t="s">
        <v>35</v>
      </c>
      <c r="I145" s="880">
        <f ca="1">IFERROR(__xludf.DUMMYFUNCTION("IMPORTRANGE(""https://docs.google.com/spreadsheets/d/1QqKyyYR6Q21VydFLVH3TRQUabQu_ym0Zz7PgGX0-kHA/edit?usp=sharing"",""แผน!V88"")"),20)</f>
        <v>20</v>
      </c>
      <c r="J145" s="1012">
        <v>20</v>
      </c>
      <c r="K145" s="881">
        <f t="shared" ca="1" si="75"/>
        <v>100</v>
      </c>
      <c r="L145" s="881"/>
      <c r="M145" s="881"/>
      <c r="N145" s="881"/>
      <c r="O145" s="881"/>
      <c r="P145" s="881"/>
    </row>
    <row r="146" spans="1:26" ht="19.5">
      <c r="A146" s="995"/>
      <c r="B146" s="877"/>
      <c r="C146" s="1029"/>
      <c r="D146" s="996" t="s">
        <v>75</v>
      </c>
      <c r="E146" s="878"/>
      <c r="F146" s="877"/>
      <c r="G146" s="1030"/>
      <c r="H146" s="168" t="s">
        <v>66</v>
      </c>
      <c r="I146" s="880">
        <f ca="1">IFERROR(__xludf.DUMMYFUNCTION("IMPORTRANGE(""https://docs.google.com/spreadsheets/d/1QqKyyYR6Q21VydFLVH3TRQUabQu_ym0Zz7PgGX0-kHA/edit?usp=sharing"",""แผน!W88"")"),2)</f>
        <v>2</v>
      </c>
      <c r="J146" s="1012">
        <v>2</v>
      </c>
      <c r="K146" s="881">
        <f t="shared" ca="1" si="75"/>
        <v>100</v>
      </c>
      <c r="L146" s="881"/>
      <c r="M146" s="881"/>
      <c r="N146" s="881"/>
      <c r="O146" s="881"/>
      <c r="P146" s="881"/>
    </row>
    <row r="147" spans="1:26" ht="19.5">
      <c r="A147" s="970" t="s">
        <v>76</v>
      </c>
      <c r="B147" s="971"/>
      <c r="C147" s="1022"/>
      <c r="D147" s="971"/>
      <c r="E147" s="971"/>
      <c r="F147" s="971"/>
      <c r="G147" s="971"/>
      <c r="H147" s="1023"/>
      <c r="I147" s="1024"/>
      <c r="J147" s="1024"/>
      <c r="K147" s="1025"/>
      <c r="L147" s="976"/>
      <c r="M147" s="976"/>
      <c r="N147" s="976"/>
      <c r="O147" s="976"/>
      <c r="P147" s="976"/>
    </row>
    <row r="148" spans="1:26" ht="19.5">
      <c r="A148" s="1031"/>
      <c r="B148" s="978" t="s">
        <v>77</v>
      </c>
      <c r="C148" s="978"/>
      <c r="D148" s="978"/>
      <c r="E148" s="1032"/>
      <c r="F148" s="1033"/>
      <c r="G148" s="1034"/>
      <c r="H148" s="221" t="s">
        <v>35</v>
      </c>
      <c r="I148" s="982">
        <f t="shared" ref="I148:J148" ca="1" si="76">I159</f>
        <v>20</v>
      </c>
      <c r="J148" s="982">
        <f t="shared" si="76"/>
        <v>20</v>
      </c>
      <c r="K148" s="983">
        <f ca="1">IF(I148&gt;0,J148*100/I148,0)</f>
        <v>100</v>
      </c>
      <c r="L148" s="983"/>
      <c r="M148" s="983"/>
      <c r="N148" s="983"/>
      <c r="O148" s="983"/>
      <c r="P148" s="98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85"/>
      <c r="B149" s="986"/>
      <c r="C149" s="987" t="s">
        <v>16</v>
      </c>
      <c r="D149" s="988" t="s">
        <v>17</v>
      </c>
      <c r="E149" s="986"/>
      <c r="F149" s="986"/>
      <c r="G149" s="989"/>
      <c r="H149" s="152" t="s">
        <v>12</v>
      </c>
      <c r="I149" s="990"/>
      <c r="J149" s="990"/>
      <c r="K149" s="991"/>
      <c r="L149" s="992">
        <f t="shared" ref="L149:N149" ca="1" si="77">L150+L151</f>
        <v>10000</v>
      </c>
      <c r="M149" s="992">
        <f t="shared" ca="1" si="77"/>
        <v>10000</v>
      </c>
      <c r="N149" s="992">
        <f t="shared" ca="1" si="77"/>
        <v>10000</v>
      </c>
      <c r="O149" s="992">
        <f t="shared" ref="O149:O157" ca="1" si="78">IF(L149&gt;0,N149*100/L149,0)</f>
        <v>100</v>
      </c>
      <c r="P149" s="992">
        <f t="shared" ref="P149:P157" ca="1" si="79">IF(M149&gt;0,N149*100/M149,0)</f>
        <v>100</v>
      </c>
      <c r="Q149" s="868"/>
      <c r="R149" s="868"/>
      <c r="S149" s="868"/>
      <c r="T149" s="868"/>
      <c r="U149" s="868"/>
      <c r="V149" s="868"/>
      <c r="W149" s="868"/>
      <c r="X149" s="868"/>
      <c r="Y149" s="868"/>
      <c r="Z149" s="868"/>
    </row>
    <row r="150" spans="1:26" ht="18.75" hidden="1">
      <c r="A150" s="993"/>
      <c r="B150" s="883"/>
      <c r="C150" s="883"/>
      <c r="D150" s="883"/>
      <c r="E150" s="884" t="s">
        <v>18</v>
      </c>
      <c r="F150" s="883"/>
      <c r="G150" s="994"/>
      <c r="H150" s="158" t="s">
        <v>12</v>
      </c>
      <c r="I150" s="886"/>
      <c r="J150" s="886"/>
      <c r="K150" s="887"/>
      <c r="L150" s="887">
        <f t="shared" ref="L150:N151" si="80">L153+L156</f>
        <v>0</v>
      </c>
      <c r="M150" s="887">
        <f t="shared" si="80"/>
        <v>0</v>
      </c>
      <c r="N150" s="887">
        <f t="shared" si="80"/>
        <v>0</v>
      </c>
      <c r="O150" s="887">
        <f t="shared" si="78"/>
        <v>0</v>
      </c>
      <c r="P150" s="887">
        <f t="shared" si="79"/>
        <v>0</v>
      </c>
      <c r="Q150" s="875"/>
      <c r="R150" s="875"/>
      <c r="S150" s="875"/>
      <c r="T150" s="875"/>
      <c r="U150" s="875"/>
      <c r="V150" s="875"/>
      <c r="W150" s="875"/>
      <c r="X150" s="875"/>
      <c r="Y150" s="875"/>
      <c r="Z150" s="875"/>
    </row>
    <row r="151" spans="1:26" ht="18.75" hidden="1">
      <c r="A151" s="993"/>
      <c r="B151" s="883"/>
      <c r="C151" s="883"/>
      <c r="D151" s="883"/>
      <c r="E151" s="884" t="s">
        <v>19</v>
      </c>
      <c r="F151" s="883"/>
      <c r="G151" s="994"/>
      <c r="H151" s="158" t="s">
        <v>12</v>
      </c>
      <c r="I151" s="886"/>
      <c r="J151" s="886"/>
      <c r="K151" s="887"/>
      <c r="L151" s="887">
        <f t="shared" ca="1" si="80"/>
        <v>10000</v>
      </c>
      <c r="M151" s="887">
        <f t="shared" ca="1" si="80"/>
        <v>10000</v>
      </c>
      <c r="N151" s="887">
        <f t="shared" ca="1" si="80"/>
        <v>10000</v>
      </c>
      <c r="O151" s="887">
        <f t="shared" ca="1" si="78"/>
        <v>100</v>
      </c>
      <c r="P151" s="887">
        <f t="shared" ca="1" si="79"/>
        <v>100</v>
      </c>
      <c r="Q151" s="875"/>
      <c r="R151" s="875"/>
      <c r="S151" s="875"/>
      <c r="T151" s="875"/>
      <c r="U151" s="875"/>
      <c r="V151" s="875"/>
      <c r="W151" s="875"/>
      <c r="X151" s="875"/>
      <c r="Y151" s="875"/>
      <c r="Z151" s="875"/>
    </row>
    <row r="152" spans="1:26" ht="18.75">
      <c r="A152" s="995"/>
      <c r="B152" s="877"/>
      <c r="C152" s="996"/>
      <c r="D152" s="878" t="s">
        <v>20</v>
      </c>
      <c r="E152" s="877"/>
      <c r="F152" s="877"/>
      <c r="G152" s="879"/>
      <c r="H152" s="161" t="s">
        <v>12</v>
      </c>
      <c r="I152" s="997"/>
      <c r="J152" s="997"/>
      <c r="K152" s="998"/>
      <c r="L152" s="881">
        <f t="shared" ref="L152:N152" ca="1" si="81">L153+L154</f>
        <v>10000</v>
      </c>
      <c r="M152" s="881">
        <f t="shared" ca="1" si="81"/>
        <v>10000</v>
      </c>
      <c r="N152" s="881">
        <f t="shared" ca="1" si="81"/>
        <v>10000</v>
      </c>
      <c r="O152" s="881">
        <f t="shared" ca="1" si="78"/>
        <v>100</v>
      </c>
      <c r="P152" s="881">
        <f t="shared" ca="1" si="79"/>
        <v>100</v>
      </c>
      <c r="Q152" s="868"/>
      <c r="R152" s="868"/>
      <c r="S152" s="868"/>
      <c r="T152" s="868"/>
      <c r="U152" s="868"/>
      <c r="V152" s="868"/>
      <c r="W152" s="868"/>
      <c r="X152" s="868"/>
      <c r="Y152" s="868"/>
      <c r="Z152" s="868"/>
    </row>
    <row r="153" spans="1:26" ht="19.5" hidden="1">
      <c r="A153" s="993"/>
      <c r="B153" s="883"/>
      <c r="C153" s="999"/>
      <c r="D153" s="883"/>
      <c r="E153" s="884" t="s">
        <v>36</v>
      </c>
      <c r="F153" s="883"/>
      <c r="G153" s="994"/>
      <c r="H153" s="165" t="s">
        <v>12</v>
      </c>
      <c r="I153" s="1000"/>
      <c r="J153" s="1000"/>
      <c r="K153" s="1001"/>
      <c r="L153" s="887">
        <v>0</v>
      </c>
      <c r="M153" s="887">
        <v>0</v>
      </c>
      <c r="N153" s="887">
        <v>0</v>
      </c>
      <c r="O153" s="887">
        <f t="shared" si="78"/>
        <v>0</v>
      </c>
      <c r="P153" s="887">
        <f t="shared" si="79"/>
        <v>0</v>
      </c>
      <c r="Q153" s="875"/>
      <c r="R153" s="875"/>
      <c r="S153" s="875"/>
      <c r="T153" s="875"/>
      <c r="U153" s="875"/>
      <c r="V153" s="875"/>
      <c r="W153" s="875"/>
      <c r="X153" s="875"/>
      <c r="Y153" s="875"/>
      <c r="Z153" s="875"/>
    </row>
    <row r="154" spans="1:26" ht="19.5" hidden="1">
      <c r="A154" s="993"/>
      <c r="B154" s="883"/>
      <c r="C154" s="999"/>
      <c r="D154" s="883"/>
      <c r="E154" s="884" t="s">
        <v>37</v>
      </c>
      <c r="F154" s="883"/>
      <c r="G154" s="994"/>
      <c r="H154" s="165" t="s">
        <v>12</v>
      </c>
      <c r="I154" s="1000"/>
      <c r="J154" s="1000"/>
      <c r="K154" s="1001"/>
      <c r="L154" s="887">
        <f ca="1">IFERROR(__xludf.DUMMYFUNCTION("IMPORTRANGE(""https://docs.google.com/spreadsheets/d/1MeEWN-I1oV_STSDYn1IFDPWt_1FKiwhDph83XaGc0o0/edit?usp=sharing"",""งบพรบ!BU88"")"),10000)</f>
        <v>10000</v>
      </c>
      <c r="M154" s="887">
        <f ca="1">IFERROR(__xludf.DUMMYFUNCTION("IMPORTRANGE(""https://docs.google.com/spreadsheets/d/1MeEWN-I1oV_STSDYn1IFDPWt_1FKiwhDph83XaGc0o0/edit?usp=sharing"",""งบพรบ!BZ88"")"),10000)</f>
        <v>10000</v>
      </c>
      <c r="N154" s="887">
        <f ca="1">IFERROR(__xludf.DUMMYFUNCTION("IMPORTRANGE(""https://docs.google.com/spreadsheets/d/1MeEWN-I1oV_STSDYn1IFDPWt_1FKiwhDph83XaGc0o0/edit?usp=sharing"",""งบพรบ!CB88"")"),10000)</f>
        <v>10000</v>
      </c>
      <c r="O154" s="887">
        <f t="shared" ca="1" si="78"/>
        <v>100</v>
      </c>
      <c r="P154" s="887">
        <f t="shared" ca="1" si="79"/>
        <v>100</v>
      </c>
      <c r="Q154" s="875"/>
      <c r="R154" s="875"/>
      <c r="S154" s="875"/>
      <c r="T154" s="875"/>
      <c r="U154" s="875"/>
      <c r="V154" s="875"/>
      <c r="W154" s="875"/>
      <c r="X154" s="875"/>
      <c r="Y154" s="875"/>
      <c r="Z154" s="875"/>
    </row>
    <row r="155" spans="1:26" ht="18.75">
      <c r="A155" s="995"/>
      <c r="B155" s="877"/>
      <c r="C155" s="996"/>
      <c r="D155" s="878" t="s">
        <v>21</v>
      </c>
      <c r="E155" s="877"/>
      <c r="F155" s="877"/>
      <c r="G155" s="879"/>
      <c r="H155" s="168" t="s">
        <v>12</v>
      </c>
      <c r="I155" s="997"/>
      <c r="J155" s="997"/>
      <c r="K155" s="998"/>
      <c r="L155" s="881">
        <f t="shared" ref="L155:N155" ca="1" si="82">L156+L157</f>
        <v>0</v>
      </c>
      <c r="M155" s="881">
        <f t="shared" ca="1" si="82"/>
        <v>0</v>
      </c>
      <c r="N155" s="881">
        <f t="shared" ca="1" si="82"/>
        <v>0</v>
      </c>
      <c r="O155" s="881">
        <f t="shared" ca="1" si="78"/>
        <v>0</v>
      </c>
      <c r="P155" s="881">
        <f t="shared" ca="1" si="79"/>
        <v>0</v>
      </c>
      <c r="Q155" s="868"/>
      <c r="R155" s="868"/>
      <c r="S155" s="868"/>
      <c r="T155" s="868"/>
      <c r="U155" s="868"/>
      <c r="V155" s="868"/>
      <c r="W155" s="868"/>
      <c r="X155" s="868"/>
      <c r="Y155" s="868"/>
      <c r="Z155" s="868"/>
    </row>
    <row r="156" spans="1:26" ht="19.5" hidden="1">
      <c r="A156" s="993"/>
      <c r="B156" s="883"/>
      <c r="C156" s="999"/>
      <c r="D156" s="883"/>
      <c r="E156" s="884" t="s">
        <v>18</v>
      </c>
      <c r="F156" s="883"/>
      <c r="G156" s="994"/>
      <c r="H156" s="165" t="s">
        <v>12</v>
      </c>
      <c r="I156" s="1000"/>
      <c r="J156" s="1000"/>
      <c r="K156" s="1001"/>
      <c r="L156" s="887">
        <v>0</v>
      </c>
      <c r="M156" s="887">
        <v>0</v>
      </c>
      <c r="N156" s="887">
        <v>0</v>
      </c>
      <c r="O156" s="887">
        <f t="shared" si="78"/>
        <v>0</v>
      </c>
      <c r="P156" s="887">
        <f t="shared" si="79"/>
        <v>0</v>
      </c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</row>
    <row r="157" spans="1:26" ht="19.5" hidden="1">
      <c r="A157" s="993"/>
      <c r="B157" s="883"/>
      <c r="C157" s="999"/>
      <c r="D157" s="883"/>
      <c r="E157" s="884" t="s">
        <v>19</v>
      </c>
      <c r="F157" s="883"/>
      <c r="G157" s="994"/>
      <c r="H157" s="169" t="s">
        <v>12</v>
      </c>
      <c r="I157" s="1000"/>
      <c r="J157" s="1000"/>
      <c r="K157" s="1001"/>
      <c r="L157" s="887">
        <f ca="1">IFERROR(__xludf.DUMMYFUNCTION("IMPORTRANGE(""https://docs.google.com/spreadsheets/d/1MeEWN-I1oV_STSDYn1IFDPWt_1FKiwhDph83XaGc0o0/edit?usp=sharing"",""งบพรบ!BX88"")"),0)</f>
        <v>0</v>
      </c>
      <c r="M157" s="887">
        <f ca="1">IFERROR(__xludf.DUMMYFUNCTION("IMPORTRANGE(""https://docs.google.com/spreadsheets/d/1MeEWN-I1oV_STSDYn1IFDPWt_1FKiwhDph83XaGc0o0/edit?usp=sharing"",""งบพรบ!CA88"")"),0)</f>
        <v>0</v>
      </c>
      <c r="N157" s="887">
        <f ca="1">IFERROR(__xludf.DUMMYFUNCTION("IMPORTRANGE(""https://docs.google.com/spreadsheets/d/1MeEWN-I1oV_STSDYn1IFDPWt_1FKiwhDph83XaGc0o0/edit?usp=sharing"",""งบพรบ!CC88"")"),0)</f>
        <v>0</v>
      </c>
      <c r="O157" s="887">
        <f t="shared" ca="1" si="78"/>
        <v>0</v>
      </c>
      <c r="P157" s="887">
        <f t="shared" ca="1" si="79"/>
        <v>0</v>
      </c>
      <c r="Q157" s="875"/>
      <c r="R157" s="875"/>
      <c r="S157" s="875"/>
      <c r="T157" s="875"/>
      <c r="U157" s="875"/>
      <c r="V157" s="875"/>
      <c r="W157" s="875"/>
      <c r="X157" s="875"/>
      <c r="Y157" s="875"/>
      <c r="Z157" s="875"/>
    </row>
    <row r="158" spans="1:26" ht="19.5">
      <c r="A158" s="1002"/>
      <c r="B158" s="1003"/>
      <c r="C158" s="999" t="s">
        <v>16</v>
      </c>
      <c r="D158" s="1004" t="s">
        <v>38</v>
      </c>
      <c r="E158" s="1005"/>
      <c r="F158" s="1005"/>
      <c r="G158" s="1006"/>
      <c r="H158" s="168"/>
      <c r="I158" s="880"/>
      <c r="J158" s="880"/>
      <c r="K158" s="881"/>
      <c r="L158" s="881"/>
      <c r="M158" s="881"/>
      <c r="N158" s="881"/>
      <c r="O158" s="881"/>
      <c r="P158" s="881"/>
    </row>
    <row r="159" spans="1:26" ht="19.5">
      <c r="A159" s="995"/>
      <c r="B159" s="877"/>
      <c r="C159" s="1029"/>
      <c r="D159" s="996" t="s">
        <v>78</v>
      </c>
      <c r="E159" s="878"/>
      <c r="F159" s="877"/>
      <c r="G159" s="1030"/>
      <c r="H159" s="168" t="s">
        <v>35</v>
      </c>
      <c r="I159" s="880">
        <f ca="1">IFERROR(__xludf.DUMMYFUNCTION("IMPORTRANGE(""https://docs.google.com/spreadsheets/d/1QqKyyYR6Q21VydFLVH3TRQUabQu_ym0Zz7PgGX0-kHA/edit?usp=sharing"",""แผน!X88"")"),20)</f>
        <v>20</v>
      </c>
      <c r="J159" s="1012">
        <v>20</v>
      </c>
      <c r="K159" s="881">
        <f ca="1">IF(I159&gt;0,J159*100/I159,0)</f>
        <v>100</v>
      </c>
      <c r="L159" s="881"/>
      <c r="M159" s="881"/>
      <c r="N159" s="881"/>
      <c r="O159" s="881"/>
      <c r="P159" s="881"/>
    </row>
    <row r="160" spans="1:26" ht="19.5" hidden="1">
      <c r="A160" s="993"/>
      <c r="B160" s="883"/>
      <c r="C160" s="999"/>
      <c r="D160" s="884" t="s">
        <v>79</v>
      </c>
      <c r="E160" s="1035"/>
      <c r="F160" s="883"/>
      <c r="G160" s="994"/>
      <c r="H160" s="169" t="s">
        <v>35</v>
      </c>
      <c r="I160" s="886"/>
      <c r="J160" s="886"/>
      <c r="K160" s="887"/>
      <c r="L160" s="887"/>
      <c r="M160" s="887"/>
      <c r="N160" s="887"/>
      <c r="O160" s="887"/>
      <c r="P160" s="88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232" t="s">
        <v>35</v>
      </c>
      <c r="I161" s="1042"/>
      <c r="J161" s="1042"/>
      <c r="K161" s="1043"/>
      <c r="L161" s="1043"/>
      <c r="M161" s="1043"/>
      <c r="N161" s="1043"/>
      <c r="O161" s="1043"/>
      <c r="P161" s="104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44" t="s">
        <v>81</v>
      </c>
      <c r="B162" s="1045"/>
      <c r="C162" s="1045"/>
      <c r="D162" s="1045"/>
      <c r="E162" s="1046"/>
      <c r="F162" s="1046"/>
      <c r="G162" s="1047"/>
      <c r="H162" s="1048"/>
      <c r="I162" s="1049"/>
      <c r="J162" s="1049"/>
      <c r="K162" s="1050"/>
      <c r="L162" s="1050"/>
      <c r="M162" s="1050"/>
      <c r="N162" s="1050"/>
      <c r="O162" s="1050"/>
      <c r="P162" s="1050"/>
    </row>
    <row r="163" spans="1:26" ht="19.5">
      <c r="A163" s="1051" t="s">
        <v>82</v>
      </c>
      <c r="B163" s="1052"/>
      <c r="C163" s="1052"/>
      <c r="D163" s="1053"/>
      <c r="E163" s="1053"/>
      <c r="F163" s="1053"/>
      <c r="G163" s="1054"/>
      <c r="H163" s="1055"/>
      <c r="I163" s="1056"/>
      <c r="J163" s="1056"/>
      <c r="K163" s="1057"/>
      <c r="L163" s="1057"/>
      <c r="M163" s="1057"/>
      <c r="N163" s="1057"/>
      <c r="O163" s="1057"/>
      <c r="P163" s="1057"/>
    </row>
    <row r="164" spans="1:26" ht="19.5">
      <c r="A164" s="1058"/>
      <c r="B164" s="1059" t="s">
        <v>83</v>
      </c>
      <c r="C164" s="1060"/>
      <c r="D164" s="1005"/>
      <c r="E164" s="1005"/>
      <c r="F164" s="1005"/>
      <c r="G164" s="1006"/>
      <c r="H164" s="252" t="s">
        <v>35</v>
      </c>
      <c r="I164" s="1075">
        <f t="shared" ref="I164:J164" ca="1" si="83">I174+I177</f>
        <v>11</v>
      </c>
      <c r="J164" s="1075">
        <f t="shared" si="83"/>
        <v>11</v>
      </c>
      <c r="K164" s="1076">
        <f ca="1">IF(I164&gt;0,J164*100/I164,0)</f>
        <v>100</v>
      </c>
      <c r="L164" s="1062"/>
      <c r="M164" s="1062"/>
      <c r="N164" s="1062"/>
      <c r="O164" s="1062"/>
      <c r="P164" s="1062"/>
    </row>
    <row r="165" spans="1:26" ht="19.5">
      <c r="A165" s="985"/>
      <c r="B165" s="986"/>
      <c r="C165" s="987" t="s">
        <v>16</v>
      </c>
      <c r="D165" s="988" t="s">
        <v>17</v>
      </c>
      <c r="E165" s="986"/>
      <c r="F165" s="986"/>
      <c r="G165" s="989"/>
      <c r="H165" s="152" t="s">
        <v>12</v>
      </c>
      <c r="I165" s="990"/>
      <c r="J165" s="990"/>
      <c r="K165" s="991"/>
      <c r="L165" s="992">
        <f t="shared" ref="L165:N165" ca="1" si="84">L166+L167</f>
        <v>22055</v>
      </c>
      <c r="M165" s="992">
        <f t="shared" ca="1" si="84"/>
        <v>38105</v>
      </c>
      <c r="N165" s="992">
        <f t="shared" ca="1" si="84"/>
        <v>38105</v>
      </c>
      <c r="O165" s="992">
        <f t="shared" ref="O165:O173" ca="1" si="85">IF(L165&gt;0,N165*100/L165,0)</f>
        <v>172.77261391974608</v>
      </c>
      <c r="P165" s="992">
        <f t="shared" ref="P165:P173" ca="1" si="86">IF(M165&gt;0,N165*100/M165,0)</f>
        <v>100</v>
      </c>
      <c r="Q165" s="868"/>
      <c r="R165" s="868"/>
      <c r="S165" s="868"/>
      <c r="T165" s="868"/>
      <c r="U165" s="868"/>
      <c r="V165" s="868"/>
      <c r="W165" s="868"/>
      <c r="X165" s="868"/>
      <c r="Y165" s="868"/>
      <c r="Z165" s="868"/>
    </row>
    <row r="166" spans="1:26" ht="18.75" hidden="1">
      <c r="A166" s="993"/>
      <c r="B166" s="883"/>
      <c r="C166" s="883"/>
      <c r="D166" s="883"/>
      <c r="E166" s="884" t="s">
        <v>18</v>
      </c>
      <c r="F166" s="883"/>
      <c r="G166" s="994"/>
      <c r="H166" s="158" t="s">
        <v>12</v>
      </c>
      <c r="I166" s="886"/>
      <c r="J166" s="886"/>
      <c r="K166" s="887"/>
      <c r="L166" s="887">
        <f t="shared" ref="L166:N167" si="87">L169+L172</f>
        <v>0</v>
      </c>
      <c r="M166" s="887">
        <f t="shared" si="87"/>
        <v>0</v>
      </c>
      <c r="N166" s="887">
        <f t="shared" si="87"/>
        <v>0</v>
      </c>
      <c r="O166" s="887">
        <f t="shared" si="85"/>
        <v>0</v>
      </c>
      <c r="P166" s="887">
        <f t="shared" si="86"/>
        <v>0</v>
      </c>
      <c r="Q166" s="875"/>
      <c r="R166" s="875"/>
      <c r="S166" s="875"/>
      <c r="T166" s="875"/>
      <c r="U166" s="875"/>
      <c r="V166" s="875"/>
      <c r="W166" s="875"/>
      <c r="X166" s="875"/>
      <c r="Y166" s="875"/>
      <c r="Z166" s="875"/>
    </row>
    <row r="167" spans="1:26" ht="18.75" hidden="1">
      <c r="A167" s="993"/>
      <c r="B167" s="883"/>
      <c r="C167" s="883"/>
      <c r="D167" s="883"/>
      <c r="E167" s="884" t="s">
        <v>19</v>
      </c>
      <c r="F167" s="883"/>
      <c r="G167" s="994"/>
      <c r="H167" s="158" t="s">
        <v>12</v>
      </c>
      <c r="I167" s="886"/>
      <c r="J167" s="886"/>
      <c r="K167" s="887"/>
      <c r="L167" s="887">
        <f t="shared" ca="1" si="87"/>
        <v>22055</v>
      </c>
      <c r="M167" s="887">
        <f t="shared" ca="1" si="87"/>
        <v>38105</v>
      </c>
      <c r="N167" s="887">
        <f t="shared" ca="1" si="87"/>
        <v>38105</v>
      </c>
      <c r="O167" s="887">
        <f t="shared" ca="1" si="85"/>
        <v>172.77261391974608</v>
      </c>
      <c r="P167" s="887">
        <f t="shared" ca="1" si="86"/>
        <v>100</v>
      </c>
      <c r="Q167" s="875"/>
      <c r="R167" s="875"/>
      <c r="S167" s="875"/>
      <c r="T167" s="875"/>
      <c r="U167" s="875"/>
      <c r="V167" s="875"/>
      <c r="W167" s="875"/>
      <c r="X167" s="875"/>
      <c r="Y167" s="875"/>
      <c r="Z167" s="875"/>
    </row>
    <row r="168" spans="1:26" ht="18.75">
      <c r="A168" s="995"/>
      <c r="B168" s="877"/>
      <c r="C168" s="996"/>
      <c r="D168" s="878" t="s">
        <v>20</v>
      </c>
      <c r="E168" s="877"/>
      <c r="F168" s="877"/>
      <c r="G168" s="879"/>
      <c r="H168" s="161" t="s">
        <v>12</v>
      </c>
      <c r="I168" s="997"/>
      <c r="J168" s="997"/>
      <c r="K168" s="998"/>
      <c r="L168" s="881">
        <f t="shared" ref="L168:N168" ca="1" si="88">L169+L170</f>
        <v>22055</v>
      </c>
      <c r="M168" s="881">
        <f t="shared" ca="1" si="88"/>
        <v>38105</v>
      </c>
      <c r="N168" s="881">
        <f t="shared" ca="1" si="88"/>
        <v>38105</v>
      </c>
      <c r="O168" s="881">
        <f t="shared" ca="1" si="85"/>
        <v>172.77261391974608</v>
      </c>
      <c r="P168" s="881">
        <f t="shared" ca="1" si="86"/>
        <v>100</v>
      </c>
      <c r="Q168" s="868"/>
      <c r="R168" s="868"/>
      <c r="S168" s="868"/>
      <c r="T168" s="868"/>
      <c r="U168" s="868"/>
      <c r="V168" s="868"/>
      <c r="W168" s="868"/>
      <c r="X168" s="868"/>
      <c r="Y168" s="868"/>
      <c r="Z168" s="868"/>
    </row>
    <row r="169" spans="1:26" ht="19.5" hidden="1">
      <c r="A169" s="993"/>
      <c r="B169" s="883"/>
      <c r="C169" s="999"/>
      <c r="D169" s="883"/>
      <c r="E169" s="884" t="s">
        <v>36</v>
      </c>
      <c r="F169" s="883"/>
      <c r="G169" s="994"/>
      <c r="H169" s="165" t="s">
        <v>12</v>
      </c>
      <c r="I169" s="1000"/>
      <c r="J169" s="1000"/>
      <c r="K169" s="1001"/>
      <c r="L169" s="887">
        <v>0</v>
      </c>
      <c r="M169" s="887">
        <v>0</v>
      </c>
      <c r="N169" s="887">
        <v>0</v>
      </c>
      <c r="O169" s="887">
        <f t="shared" si="85"/>
        <v>0</v>
      </c>
      <c r="P169" s="887">
        <f t="shared" si="86"/>
        <v>0</v>
      </c>
      <c r="Q169" s="875"/>
      <c r="R169" s="875"/>
      <c r="S169" s="875"/>
      <c r="T169" s="875"/>
      <c r="U169" s="875"/>
      <c r="V169" s="875"/>
      <c r="W169" s="875"/>
      <c r="X169" s="875"/>
      <c r="Y169" s="875"/>
      <c r="Z169" s="875"/>
    </row>
    <row r="170" spans="1:26" ht="19.5" hidden="1">
      <c r="A170" s="993"/>
      <c r="B170" s="883"/>
      <c r="C170" s="999"/>
      <c r="D170" s="883"/>
      <c r="E170" s="884" t="s">
        <v>37</v>
      </c>
      <c r="F170" s="883"/>
      <c r="G170" s="994"/>
      <c r="H170" s="165" t="s">
        <v>12</v>
      </c>
      <c r="I170" s="1000"/>
      <c r="J170" s="1000"/>
      <c r="K170" s="1001"/>
      <c r="L170" s="887">
        <f ca="1">IFERROR(__xludf.DUMMYFUNCTION("IMPORTRANGE(""https://docs.google.com/spreadsheets/d/1MeEWN-I1oV_STSDYn1IFDPWt_1FKiwhDph83XaGc0o0/edit?usp=sharing"",""งบพรบ!CE88"")"),22055)</f>
        <v>22055</v>
      </c>
      <c r="M170" s="887">
        <f ca="1">IFERROR(__xludf.DUMMYFUNCTION("IMPORTRANGE(""https://docs.google.com/spreadsheets/d/1MeEWN-I1oV_STSDYn1IFDPWt_1FKiwhDph83XaGc0o0/edit?usp=sharing"",""งบพรบ!CJ88"")"),38105)</f>
        <v>38105</v>
      </c>
      <c r="N170" s="887">
        <f ca="1">IFERROR(__xludf.DUMMYFUNCTION("IMPORTRANGE(""https://docs.google.com/spreadsheets/d/1MeEWN-I1oV_STSDYn1IFDPWt_1FKiwhDph83XaGc0o0/edit?usp=sharing"",""งบพรบ!CL88"")"),38105)</f>
        <v>38105</v>
      </c>
      <c r="O170" s="887">
        <f t="shared" ca="1" si="85"/>
        <v>172.77261391974608</v>
      </c>
      <c r="P170" s="887">
        <f t="shared" ca="1" si="86"/>
        <v>100</v>
      </c>
      <c r="Q170" s="875"/>
      <c r="R170" s="875"/>
      <c r="S170" s="875"/>
      <c r="T170" s="875"/>
      <c r="U170" s="875"/>
      <c r="V170" s="875"/>
      <c r="W170" s="875"/>
      <c r="X170" s="875"/>
      <c r="Y170" s="875"/>
      <c r="Z170" s="875"/>
    </row>
    <row r="171" spans="1:26" ht="18.75">
      <c r="A171" s="995"/>
      <c r="B171" s="877"/>
      <c r="C171" s="996"/>
      <c r="D171" s="878" t="s">
        <v>21</v>
      </c>
      <c r="E171" s="877"/>
      <c r="F171" s="877"/>
      <c r="G171" s="879"/>
      <c r="H171" s="168" t="s">
        <v>12</v>
      </c>
      <c r="I171" s="997"/>
      <c r="J171" s="997"/>
      <c r="K171" s="998"/>
      <c r="L171" s="881">
        <f t="shared" ref="L171:N171" ca="1" si="89">L172+L173</f>
        <v>0</v>
      </c>
      <c r="M171" s="881">
        <f t="shared" ca="1" si="89"/>
        <v>0</v>
      </c>
      <c r="N171" s="881">
        <f t="shared" ca="1" si="89"/>
        <v>0</v>
      </c>
      <c r="O171" s="881">
        <f t="shared" ca="1" si="85"/>
        <v>0</v>
      </c>
      <c r="P171" s="881">
        <f t="shared" ca="1" si="86"/>
        <v>0</v>
      </c>
      <c r="Q171" s="868"/>
      <c r="R171" s="868"/>
      <c r="S171" s="868"/>
      <c r="T171" s="868"/>
      <c r="U171" s="868"/>
      <c r="V171" s="868"/>
      <c r="W171" s="868"/>
      <c r="X171" s="868"/>
      <c r="Y171" s="868"/>
      <c r="Z171" s="868"/>
    </row>
    <row r="172" spans="1:26" ht="19.5" hidden="1">
      <c r="A172" s="993"/>
      <c r="B172" s="883"/>
      <c r="C172" s="999"/>
      <c r="D172" s="883"/>
      <c r="E172" s="884" t="s">
        <v>18</v>
      </c>
      <c r="F172" s="883"/>
      <c r="G172" s="994"/>
      <c r="H172" s="165" t="s">
        <v>12</v>
      </c>
      <c r="I172" s="1000"/>
      <c r="J172" s="1000"/>
      <c r="K172" s="1001"/>
      <c r="L172" s="887">
        <v>0</v>
      </c>
      <c r="M172" s="887">
        <v>0</v>
      </c>
      <c r="N172" s="887">
        <v>0</v>
      </c>
      <c r="O172" s="887">
        <f t="shared" si="85"/>
        <v>0</v>
      </c>
      <c r="P172" s="887">
        <f t="shared" si="86"/>
        <v>0</v>
      </c>
      <c r="Q172" s="875"/>
      <c r="R172" s="875"/>
      <c r="S172" s="875"/>
      <c r="T172" s="875"/>
      <c r="U172" s="875"/>
      <c r="V172" s="875"/>
      <c r="W172" s="875"/>
      <c r="X172" s="875"/>
      <c r="Y172" s="875"/>
      <c r="Z172" s="875"/>
    </row>
    <row r="173" spans="1:26" ht="19.5" hidden="1">
      <c r="A173" s="993"/>
      <c r="B173" s="883"/>
      <c r="C173" s="999"/>
      <c r="D173" s="883"/>
      <c r="E173" s="884" t="s">
        <v>19</v>
      </c>
      <c r="F173" s="883"/>
      <c r="G173" s="994"/>
      <c r="H173" s="169" t="s">
        <v>12</v>
      </c>
      <c r="I173" s="1000"/>
      <c r="J173" s="1000"/>
      <c r="K173" s="1001"/>
      <c r="L173" s="887">
        <f ca="1">IFERROR(__xludf.DUMMYFUNCTION("IMPORTRANGE(""https://docs.google.com/spreadsheets/d/1MeEWN-I1oV_STSDYn1IFDPWt_1FKiwhDph83XaGc0o0/edit?usp=sharing"",""งบพรบ!CH88"")"),0)</f>
        <v>0</v>
      </c>
      <c r="M173" s="887">
        <f ca="1">IFERROR(__xludf.DUMMYFUNCTION("IMPORTRANGE(""https://docs.google.com/spreadsheets/d/1MeEWN-I1oV_STSDYn1IFDPWt_1FKiwhDph83XaGc0o0/edit?usp=sharing"",""งบพรบ!CK88"")"),0)</f>
        <v>0</v>
      </c>
      <c r="N173" s="887">
        <f ca="1">IFERROR(__xludf.DUMMYFUNCTION("IMPORTRANGE(""https://docs.google.com/spreadsheets/d/1MeEWN-I1oV_STSDYn1IFDPWt_1FKiwhDph83XaGc0o0/edit?usp=sharing"",""งบพรบ!CM88"")"),0)</f>
        <v>0</v>
      </c>
      <c r="O173" s="887">
        <f t="shared" ca="1" si="85"/>
        <v>0</v>
      </c>
      <c r="P173" s="887">
        <f t="shared" ca="1" si="86"/>
        <v>0</v>
      </c>
      <c r="Q173" s="875"/>
      <c r="R173" s="875"/>
      <c r="S173" s="875"/>
      <c r="T173" s="875"/>
      <c r="U173" s="875"/>
      <c r="V173" s="875"/>
      <c r="W173" s="875"/>
      <c r="X173" s="875"/>
      <c r="Y173" s="875"/>
      <c r="Z173" s="875"/>
    </row>
    <row r="174" spans="1:26" ht="19.5">
      <c r="A174" s="1063"/>
      <c r="B174" s="1064"/>
      <c r="C174" s="1065" t="s">
        <v>84</v>
      </c>
      <c r="D174" s="1064"/>
      <c r="E174" s="1064"/>
      <c r="F174" s="1064"/>
      <c r="G174" s="1066"/>
      <c r="H174" s="260" t="s">
        <v>35</v>
      </c>
      <c r="I174" s="1067">
        <f t="shared" ref="I174:J174" ca="1" si="90">I176</f>
        <v>11</v>
      </c>
      <c r="J174" s="1067">
        <f t="shared" si="90"/>
        <v>11</v>
      </c>
      <c r="K174" s="1068">
        <f ca="1">IF(I174&gt;0,J174*100/I174,0)</f>
        <v>100</v>
      </c>
      <c r="L174" s="1068"/>
      <c r="M174" s="1068"/>
      <c r="N174" s="1068"/>
      <c r="O174" s="1068"/>
      <c r="P174" s="1068"/>
    </row>
    <row r="175" spans="1:26" ht="19.5">
      <c r="A175" s="1002"/>
      <c r="B175" s="1003"/>
      <c r="C175" s="999" t="s">
        <v>16</v>
      </c>
      <c r="D175" s="1004" t="s">
        <v>38</v>
      </c>
      <c r="E175" s="1005"/>
      <c r="F175" s="1005"/>
      <c r="G175" s="1006"/>
      <c r="H175" s="1007"/>
      <c r="I175" s="997"/>
      <c r="J175" s="997"/>
      <c r="K175" s="998"/>
      <c r="L175" s="998"/>
      <c r="M175" s="998"/>
      <c r="N175" s="998"/>
      <c r="O175" s="998"/>
      <c r="P175" s="998"/>
    </row>
    <row r="176" spans="1:26" ht="18.75">
      <c r="A176" s="1002"/>
      <c r="B176" s="1003"/>
      <c r="C176" s="1003"/>
      <c r="D176" s="1069" t="s">
        <v>85</v>
      </c>
      <c r="E176" s="1010"/>
      <c r="F176" s="1010"/>
      <c r="G176" s="1011"/>
      <c r="H176" s="622" t="s">
        <v>35</v>
      </c>
      <c r="I176" s="880">
        <f ca="1">IFERROR(__xludf.DUMMYFUNCTION("IMPORTRANGE(""https://docs.google.com/spreadsheets/d/1QqKyyYR6Q21VydFLVH3TRQUabQu_ym0Zz7PgGX0-kHA/edit?usp=sharing"",""แผน!Y88"")"),11)</f>
        <v>11</v>
      </c>
      <c r="J176" s="1012">
        <v>11</v>
      </c>
      <c r="K176" s="998">
        <f ca="1">IF(I176&gt;0,J176*100/I176,0)</f>
        <v>100</v>
      </c>
      <c r="L176" s="998"/>
      <c r="M176" s="998"/>
      <c r="N176" s="998"/>
      <c r="O176" s="998"/>
      <c r="P176" s="998"/>
    </row>
    <row r="177" spans="1:26" ht="19.5" hidden="1">
      <c r="A177" s="1063"/>
      <c r="B177" s="1070"/>
      <c r="C177" s="1071" t="s">
        <v>86</v>
      </c>
      <c r="D177" s="1070"/>
      <c r="E177" s="1064"/>
      <c r="F177" s="1064"/>
      <c r="G177" s="1066"/>
      <c r="H177" s="266" t="s">
        <v>35</v>
      </c>
      <c r="I177" s="1067"/>
      <c r="J177" s="1067">
        <f>J179</f>
        <v>0</v>
      </c>
      <c r="K177" s="1068"/>
      <c r="L177" s="1068"/>
      <c r="M177" s="1068"/>
      <c r="N177" s="1068"/>
      <c r="O177" s="1068"/>
      <c r="P177" s="1068"/>
    </row>
    <row r="178" spans="1:26" ht="19.5" hidden="1">
      <c r="A178" s="1002"/>
      <c r="B178" s="1003"/>
      <c r="C178" s="999" t="s">
        <v>16</v>
      </c>
      <c r="D178" s="1072" t="s">
        <v>38</v>
      </c>
      <c r="E178" s="1005"/>
      <c r="F178" s="1005"/>
      <c r="G178" s="1006"/>
      <c r="H178" s="1007"/>
      <c r="I178" s="997"/>
      <c r="J178" s="997"/>
      <c r="K178" s="998"/>
      <c r="L178" s="998"/>
      <c r="M178" s="998"/>
      <c r="N178" s="998"/>
      <c r="O178" s="998"/>
      <c r="P178" s="998"/>
    </row>
    <row r="179" spans="1:26" ht="18.75" hidden="1">
      <c r="A179" s="1002"/>
      <c r="B179" s="1003"/>
      <c r="C179" s="1003"/>
      <c r="D179" s="1073" t="s">
        <v>87</v>
      </c>
      <c r="E179" s="1010"/>
      <c r="F179" s="1074"/>
      <c r="G179" s="1011"/>
      <c r="H179" s="43" t="s">
        <v>35</v>
      </c>
      <c r="I179" s="880"/>
      <c r="J179" s="880"/>
      <c r="K179" s="998"/>
      <c r="L179" s="998"/>
      <c r="M179" s="998"/>
      <c r="N179" s="998"/>
      <c r="O179" s="998"/>
      <c r="P179" s="998"/>
    </row>
    <row r="180" spans="1:26" ht="19.5">
      <c r="A180" s="1058"/>
      <c r="B180" s="1059" t="s">
        <v>88</v>
      </c>
      <c r="C180" s="1060"/>
      <c r="D180" s="1005"/>
      <c r="E180" s="1005"/>
      <c r="F180" s="1005"/>
      <c r="G180" s="1006"/>
      <c r="H180" s="252" t="s">
        <v>35</v>
      </c>
      <c r="I180" s="1075" t="e">
        <f t="shared" ref="I180:J180" ca="1" si="91">I225+I226</f>
        <v>#VALUE!</v>
      </c>
      <c r="J180" s="1075">
        <f t="shared" si="91"/>
        <v>0</v>
      </c>
      <c r="K180" s="1076" t="e">
        <f ca="1">IF(I180&gt;0,J180*100/I180,0)</f>
        <v>#VALUE!</v>
      </c>
      <c r="L180" s="1062"/>
      <c r="M180" s="1062"/>
      <c r="N180" s="1062"/>
      <c r="O180" s="1062"/>
      <c r="P180" s="1062"/>
    </row>
    <row r="181" spans="1:26" ht="19.5">
      <c r="A181" s="985"/>
      <c r="B181" s="986"/>
      <c r="C181" s="987" t="s">
        <v>16</v>
      </c>
      <c r="D181" s="988" t="s">
        <v>17</v>
      </c>
      <c r="E181" s="986"/>
      <c r="F181" s="986"/>
      <c r="G181" s="989"/>
      <c r="H181" s="152" t="s">
        <v>12</v>
      </c>
      <c r="I181" s="990"/>
      <c r="J181" s="990"/>
      <c r="K181" s="991"/>
      <c r="L181" s="992">
        <f t="shared" ref="L181:N181" ca="1" si="92">L182+L183</f>
        <v>64500</v>
      </c>
      <c r="M181" s="992">
        <f t="shared" ca="1" si="92"/>
        <v>59500</v>
      </c>
      <c r="N181" s="992">
        <f t="shared" ca="1" si="92"/>
        <v>52410</v>
      </c>
      <c r="O181" s="992">
        <f t="shared" ref="O181:O189" ca="1" si="93">IF(L181&gt;0,N181*100/L181,0)</f>
        <v>81.255813953488371</v>
      </c>
      <c r="P181" s="992">
        <f t="shared" ref="P181:P189" ca="1" si="94">IF(M181&gt;0,N181*100/M181,0)</f>
        <v>88.084033613445385</v>
      </c>
      <c r="Q181" s="868"/>
      <c r="R181" s="868"/>
      <c r="S181" s="868"/>
      <c r="T181" s="868"/>
      <c r="U181" s="868"/>
      <c r="V181" s="868"/>
      <c r="W181" s="868"/>
      <c r="X181" s="868"/>
      <c r="Y181" s="868"/>
      <c r="Z181" s="868"/>
    </row>
    <row r="182" spans="1:26" ht="18.75" hidden="1">
      <c r="A182" s="993"/>
      <c r="B182" s="883"/>
      <c r="C182" s="883"/>
      <c r="D182" s="883"/>
      <c r="E182" s="884" t="s">
        <v>18</v>
      </c>
      <c r="F182" s="883"/>
      <c r="G182" s="994"/>
      <c r="H182" s="158" t="s">
        <v>12</v>
      </c>
      <c r="I182" s="886"/>
      <c r="J182" s="886"/>
      <c r="K182" s="887"/>
      <c r="L182" s="887">
        <f t="shared" ref="L182:N183" si="95">L185+L188</f>
        <v>0</v>
      </c>
      <c r="M182" s="887">
        <f t="shared" si="95"/>
        <v>0</v>
      </c>
      <c r="N182" s="887">
        <f t="shared" si="95"/>
        <v>0</v>
      </c>
      <c r="O182" s="887">
        <f t="shared" si="93"/>
        <v>0</v>
      </c>
      <c r="P182" s="887">
        <f t="shared" si="94"/>
        <v>0</v>
      </c>
      <c r="Q182" s="875"/>
      <c r="R182" s="875"/>
      <c r="S182" s="875"/>
      <c r="T182" s="875"/>
      <c r="U182" s="875"/>
      <c r="V182" s="875"/>
      <c r="W182" s="875"/>
      <c r="X182" s="875"/>
      <c r="Y182" s="875"/>
      <c r="Z182" s="875"/>
    </row>
    <row r="183" spans="1:26" ht="18.75" hidden="1">
      <c r="A183" s="993"/>
      <c r="B183" s="883"/>
      <c r="C183" s="883"/>
      <c r="D183" s="883"/>
      <c r="E183" s="884" t="s">
        <v>19</v>
      </c>
      <c r="F183" s="883"/>
      <c r="G183" s="994"/>
      <c r="H183" s="158" t="s">
        <v>12</v>
      </c>
      <c r="I183" s="886"/>
      <c r="J183" s="886"/>
      <c r="K183" s="887"/>
      <c r="L183" s="887">
        <f t="shared" ca="1" si="95"/>
        <v>64500</v>
      </c>
      <c r="M183" s="887">
        <f t="shared" ca="1" si="95"/>
        <v>59500</v>
      </c>
      <c r="N183" s="887">
        <f t="shared" ca="1" si="95"/>
        <v>52410</v>
      </c>
      <c r="O183" s="887">
        <f t="shared" ca="1" si="93"/>
        <v>81.255813953488371</v>
      </c>
      <c r="P183" s="887">
        <f t="shared" ca="1" si="94"/>
        <v>88.084033613445385</v>
      </c>
      <c r="Q183" s="875"/>
      <c r="R183" s="875"/>
      <c r="S183" s="875"/>
      <c r="T183" s="875"/>
      <c r="U183" s="875"/>
      <c r="V183" s="875"/>
      <c r="W183" s="875"/>
      <c r="X183" s="875"/>
      <c r="Y183" s="875"/>
      <c r="Z183" s="875"/>
    </row>
    <row r="184" spans="1:26" ht="18.75">
      <c r="A184" s="995"/>
      <c r="B184" s="877"/>
      <c r="C184" s="996"/>
      <c r="D184" s="878" t="s">
        <v>20</v>
      </c>
      <c r="E184" s="877"/>
      <c r="F184" s="877"/>
      <c r="G184" s="879"/>
      <c r="H184" s="161" t="s">
        <v>12</v>
      </c>
      <c r="I184" s="997"/>
      <c r="J184" s="997"/>
      <c r="K184" s="998"/>
      <c r="L184" s="881">
        <f t="shared" ref="L184:N184" ca="1" si="96">L185+L186</f>
        <v>64500</v>
      </c>
      <c r="M184" s="881">
        <f t="shared" ca="1" si="96"/>
        <v>59500</v>
      </c>
      <c r="N184" s="881">
        <f t="shared" ca="1" si="96"/>
        <v>52410</v>
      </c>
      <c r="O184" s="881">
        <f t="shared" ca="1" si="93"/>
        <v>81.255813953488371</v>
      </c>
      <c r="P184" s="881">
        <f t="shared" ca="1" si="94"/>
        <v>88.084033613445385</v>
      </c>
      <c r="Q184" s="868"/>
      <c r="R184" s="868"/>
      <c r="S184" s="868"/>
      <c r="T184" s="868"/>
      <c r="U184" s="868"/>
      <c r="V184" s="868"/>
      <c r="W184" s="868"/>
      <c r="X184" s="868"/>
      <c r="Y184" s="868"/>
      <c r="Z184" s="868"/>
    </row>
    <row r="185" spans="1:26" ht="19.5" hidden="1">
      <c r="A185" s="993"/>
      <c r="B185" s="883"/>
      <c r="C185" s="999"/>
      <c r="D185" s="883"/>
      <c r="E185" s="884" t="s">
        <v>36</v>
      </c>
      <c r="F185" s="883"/>
      <c r="G185" s="994"/>
      <c r="H185" s="165" t="s">
        <v>12</v>
      </c>
      <c r="I185" s="1000"/>
      <c r="J185" s="1000"/>
      <c r="K185" s="1001"/>
      <c r="L185" s="887">
        <v>0</v>
      </c>
      <c r="M185" s="887">
        <v>0</v>
      </c>
      <c r="N185" s="887">
        <v>0</v>
      </c>
      <c r="O185" s="887">
        <f t="shared" si="93"/>
        <v>0</v>
      </c>
      <c r="P185" s="887">
        <f t="shared" si="94"/>
        <v>0</v>
      </c>
      <c r="Q185" s="875"/>
      <c r="R185" s="875"/>
      <c r="S185" s="875"/>
      <c r="T185" s="875"/>
      <c r="U185" s="875"/>
      <c r="V185" s="875"/>
      <c r="W185" s="875"/>
      <c r="X185" s="875"/>
      <c r="Y185" s="875"/>
      <c r="Z185" s="875"/>
    </row>
    <row r="186" spans="1:26" ht="19.5" hidden="1">
      <c r="A186" s="993"/>
      <c r="B186" s="883"/>
      <c r="C186" s="999"/>
      <c r="D186" s="883"/>
      <c r="E186" s="884" t="s">
        <v>37</v>
      </c>
      <c r="F186" s="883"/>
      <c r="G186" s="994"/>
      <c r="H186" s="165" t="s">
        <v>12</v>
      </c>
      <c r="I186" s="1000"/>
      <c r="J186" s="1000"/>
      <c r="K186" s="1001"/>
      <c r="L186" s="887">
        <f ca="1">IFERROR(__xludf.DUMMYFUNCTION("IMPORTRANGE(""https://docs.google.com/spreadsheets/d/1MeEWN-I1oV_STSDYn1IFDPWt_1FKiwhDph83XaGc0o0/edit?usp=sharing"",""งบพรบ!CO88"")"),64500)</f>
        <v>64500</v>
      </c>
      <c r="M186" s="887">
        <f ca="1">IFERROR(__xludf.DUMMYFUNCTION("IMPORTRANGE(""https://docs.google.com/spreadsheets/d/1MeEWN-I1oV_STSDYn1IFDPWt_1FKiwhDph83XaGc0o0/edit?usp=sharing"",""งบพรบ!CT88"")"),59500)</f>
        <v>59500</v>
      </c>
      <c r="N186" s="887">
        <f ca="1">IFERROR(__xludf.DUMMYFUNCTION("IMPORTRANGE(""https://docs.google.com/spreadsheets/d/1MeEWN-I1oV_STSDYn1IFDPWt_1FKiwhDph83XaGc0o0/edit?usp=sharing"",""งบพรบ!CV88"")"),52410)</f>
        <v>52410</v>
      </c>
      <c r="O186" s="887">
        <f t="shared" ca="1" si="93"/>
        <v>81.255813953488371</v>
      </c>
      <c r="P186" s="887">
        <f t="shared" ca="1" si="94"/>
        <v>88.084033613445385</v>
      </c>
      <c r="Q186" s="875"/>
      <c r="R186" s="875"/>
      <c r="S186" s="875"/>
      <c r="T186" s="875"/>
      <c r="U186" s="875"/>
      <c r="V186" s="875"/>
      <c r="W186" s="875"/>
      <c r="X186" s="875"/>
      <c r="Y186" s="875"/>
      <c r="Z186" s="875"/>
    </row>
    <row r="187" spans="1:26" ht="18.75">
      <c r="A187" s="995"/>
      <c r="B187" s="877"/>
      <c r="C187" s="996"/>
      <c r="D187" s="878" t="s">
        <v>21</v>
      </c>
      <c r="E187" s="877"/>
      <c r="F187" s="877"/>
      <c r="G187" s="879"/>
      <c r="H187" s="168" t="s">
        <v>12</v>
      </c>
      <c r="I187" s="997"/>
      <c r="J187" s="997"/>
      <c r="K187" s="998"/>
      <c r="L187" s="881">
        <f t="shared" ref="L187:N187" ca="1" si="97">L188+L189</f>
        <v>0</v>
      </c>
      <c r="M187" s="881">
        <f t="shared" ca="1" si="97"/>
        <v>0</v>
      </c>
      <c r="N187" s="881">
        <f t="shared" ca="1" si="97"/>
        <v>0</v>
      </c>
      <c r="O187" s="881">
        <f t="shared" ca="1" si="93"/>
        <v>0</v>
      </c>
      <c r="P187" s="881">
        <f t="shared" ca="1" si="94"/>
        <v>0</v>
      </c>
      <c r="Q187" s="868"/>
      <c r="R187" s="868"/>
      <c r="S187" s="868"/>
      <c r="T187" s="868"/>
      <c r="U187" s="868"/>
      <c r="V187" s="868"/>
      <c r="W187" s="868"/>
      <c r="X187" s="868"/>
      <c r="Y187" s="868"/>
      <c r="Z187" s="868"/>
    </row>
    <row r="188" spans="1:26" ht="19.5" hidden="1">
      <c r="A188" s="993"/>
      <c r="B188" s="883"/>
      <c r="C188" s="999"/>
      <c r="D188" s="883"/>
      <c r="E188" s="884" t="s">
        <v>18</v>
      </c>
      <c r="F188" s="883"/>
      <c r="G188" s="994"/>
      <c r="H188" s="165" t="s">
        <v>12</v>
      </c>
      <c r="I188" s="1000"/>
      <c r="J188" s="1000"/>
      <c r="K188" s="1001"/>
      <c r="L188" s="887">
        <v>0</v>
      </c>
      <c r="M188" s="887">
        <v>0</v>
      </c>
      <c r="N188" s="887">
        <v>0</v>
      </c>
      <c r="O188" s="887">
        <f t="shared" si="93"/>
        <v>0</v>
      </c>
      <c r="P188" s="887">
        <f t="shared" si="94"/>
        <v>0</v>
      </c>
      <c r="Q188" s="875"/>
      <c r="R188" s="875"/>
      <c r="S188" s="875"/>
      <c r="T188" s="875"/>
      <c r="U188" s="875"/>
      <c r="V188" s="875"/>
      <c r="W188" s="875"/>
      <c r="X188" s="875"/>
      <c r="Y188" s="875"/>
      <c r="Z188" s="875"/>
    </row>
    <row r="189" spans="1:26" ht="19.5" hidden="1">
      <c r="A189" s="993"/>
      <c r="B189" s="883"/>
      <c r="C189" s="999"/>
      <c r="D189" s="883"/>
      <c r="E189" s="884" t="s">
        <v>19</v>
      </c>
      <c r="F189" s="883"/>
      <c r="G189" s="994"/>
      <c r="H189" s="169" t="s">
        <v>12</v>
      </c>
      <c r="I189" s="1000"/>
      <c r="J189" s="1000"/>
      <c r="K189" s="1001"/>
      <c r="L189" s="887">
        <f ca="1">IFERROR(__xludf.DUMMYFUNCTION("IMPORTRANGE(""https://docs.google.com/spreadsheets/d/1MeEWN-I1oV_STSDYn1IFDPWt_1FKiwhDph83XaGc0o0/edit?usp=sharing"",""งบพรบ!CR88"")"),0)</f>
        <v>0</v>
      </c>
      <c r="M189" s="887">
        <f ca="1">IFERROR(__xludf.DUMMYFUNCTION("IMPORTRANGE(""https://docs.google.com/spreadsheets/d/1MeEWN-I1oV_STSDYn1IFDPWt_1FKiwhDph83XaGc0o0/edit?usp=sharing"",""งบพรบ!CU88"")"),0)</f>
        <v>0</v>
      </c>
      <c r="N189" s="887">
        <f ca="1">IFERROR(__xludf.DUMMYFUNCTION("IMPORTRANGE(""https://docs.google.com/spreadsheets/d/1MeEWN-I1oV_STSDYn1IFDPWt_1FKiwhDph83XaGc0o0/edit?usp=sharing"",""งบพรบ!CW88"")"),0)</f>
        <v>0</v>
      </c>
      <c r="O189" s="887">
        <f t="shared" ca="1" si="93"/>
        <v>0</v>
      </c>
      <c r="P189" s="887">
        <f t="shared" ca="1" si="94"/>
        <v>0</v>
      </c>
      <c r="Q189" s="875"/>
      <c r="R189" s="875"/>
      <c r="S189" s="875"/>
      <c r="T189" s="875"/>
      <c r="U189" s="875"/>
      <c r="V189" s="875"/>
      <c r="W189" s="875"/>
      <c r="X189" s="875"/>
      <c r="Y189" s="875"/>
      <c r="Z189" s="875"/>
    </row>
    <row r="190" spans="1:26" ht="19.5">
      <c r="A190" s="1063"/>
      <c r="B190" s="1070"/>
      <c r="C190" s="1077" t="s">
        <v>89</v>
      </c>
      <c r="D190" s="1064"/>
      <c r="E190" s="1064"/>
      <c r="F190" s="1064"/>
      <c r="G190" s="1066"/>
      <c r="H190" s="260" t="s">
        <v>90</v>
      </c>
      <c r="I190" s="1078">
        <f t="shared" ref="I190:J190" ca="1" si="98">I193</f>
        <v>4</v>
      </c>
      <c r="J190" s="1078">
        <f t="shared" si="98"/>
        <v>2</v>
      </c>
      <c r="K190" s="1079">
        <f ca="1">IF(I190&gt;0,J190*100/I190,0)</f>
        <v>50</v>
      </c>
      <c r="L190" s="1068"/>
      <c r="M190" s="1068"/>
      <c r="N190" s="1068"/>
      <c r="O190" s="1068"/>
      <c r="P190" s="1068"/>
    </row>
    <row r="191" spans="1:26" ht="19.5">
      <c r="A191" s="985"/>
      <c r="B191" s="986"/>
      <c r="C191" s="987" t="s">
        <v>16</v>
      </c>
      <c r="D191" s="1080" t="s">
        <v>17</v>
      </c>
      <c r="E191" s="986"/>
      <c r="F191" s="986"/>
      <c r="G191" s="989"/>
      <c r="H191" s="275" t="s">
        <v>12</v>
      </c>
      <c r="I191" s="990"/>
      <c r="J191" s="990"/>
      <c r="K191" s="991"/>
      <c r="L191" s="992">
        <f ca="1">IFERROR(__xludf.DUMMYFUNCTION("IMPORTRANGE(""https://docs.google.com/spreadsheets/d/1QqKyyYR6Q21VydFLVH3TRQUabQu_ym0Zz7PgGX0-kHA/edit?usp=sharing"",""แผน!Z88"")"),6000)</f>
        <v>6000</v>
      </c>
      <c r="M191" s="992"/>
      <c r="N191" s="1081">
        <v>2200</v>
      </c>
      <c r="O191" s="992">
        <f ca="1">IF(L191&gt;0,N191*100/L191,0)</f>
        <v>36.666666666666664</v>
      </c>
      <c r="P191" s="992">
        <f>IF(M191&gt;0,N191*100/M191,0)</f>
        <v>0</v>
      </c>
      <c r="Q191" s="868"/>
      <c r="R191" s="868"/>
      <c r="S191" s="868"/>
      <c r="T191" s="868"/>
      <c r="U191" s="868"/>
      <c r="V191" s="868"/>
      <c r="W191" s="868"/>
      <c r="X191" s="868"/>
      <c r="Y191" s="868"/>
      <c r="Z191" s="868"/>
    </row>
    <row r="192" spans="1:26" ht="19.5">
      <c r="A192" s="1002"/>
      <c r="B192" s="1003"/>
      <c r="C192" s="1029" t="s">
        <v>16</v>
      </c>
      <c r="D192" s="1004" t="s">
        <v>38</v>
      </c>
      <c r="E192" s="1005"/>
      <c r="F192" s="1005"/>
      <c r="G192" s="1006"/>
      <c r="H192" s="1007"/>
      <c r="I192" s="880"/>
      <c r="J192" s="880"/>
      <c r="K192" s="881"/>
      <c r="L192" s="881"/>
      <c r="M192" s="881"/>
      <c r="N192" s="881"/>
      <c r="O192" s="881"/>
      <c r="P192" s="881"/>
      <c r="Q192" s="868"/>
      <c r="R192" s="868"/>
      <c r="S192" s="868"/>
      <c r="T192" s="868"/>
      <c r="U192" s="868"/>
      <c r="V192" s="868"/>
      <c r="W192" s="868"/>
      <c r="X192" s="868"/>
      <c r="Y192" s="868"/>
      <c r="Z192" s="868"/>
    </row>
    <row r="193" spans="1:26" ht="18.75">
      <c r="A193" s="1002"/>
      <c r="B193" s="1003"/>
      <c r="C193" s="1003"/>
      <c r="D193" s="1009" t="s">
        <v>91</v>
      </c>
      <c r="E193" s="1010"/>
      <c r="F193" s="1010"/>
      <c r="G193" s="1011"/>
      <c r="H193" s="762" t="s">
        <v>90</v>
      </c>
      <c r="I193" s="880">
        <f ca="1">IFERROR(__xludf.DUMMYFUNCTION("IMPORTRANGE(""https://docs.google.com/spreadsheets/d/1QqKyyYR6Q21VydFLVH3TRQUabQu_ym0Zz7PgGX0-kHA/edit?usp=sharing"",""แผน!AC88"")"),4)</f>
        <v>4</v>
      </c>
      <c r="J193" s="1012">
        <v>2</v>
      </c>
      <c r="K193" s="881">
        <f ca="1">IF(I193&gt;0,J193*100/I193,0)</f>
        <v>50</v>
      </c>
      <c r="L193" s="881"/>
      <c r="M193" s="881"/>
      <c r="N193" s="881"/>
      <c r="O193" s="881"/>
      <c r="P193" s="881"/>
      <c r="Q193" s="868"/>
      <c r="R193" s="868"/>
      <c r="S193" s="868"/>
      <c r="T193" s="868"/>
      <c r="U193" s="868"/>
      <c r="V193" s="868"/>
      <c r="W193" s="868"/>
      <c r="X193" s="868"/>
      <c r="Y193" s="868"/>
      <c r="Z193" s="868"/>
    </row>
    <row r="194" spans="1:26" ht="18.75">
      <c r="A194" s="1002"/>
      <c r="B194" s="1003"/>
      <c r="C194" s="1003"/>
      <c r="D194" s="1009" t="s">
        <v>92</v>
      </c>
      <c r="E194" s="1010"/>
      <c r="F194" s="1010"/>
      <c r="G194" s="1011"/>
      <c r="H194" s="277" t="s">
        <v>35</v>
      </c>
      <c r="I194" s="880"/>
      <c r="J194" s="880">
        <f>J195+J196</f>
        <v>50</v>
      </c>
      <c r="K194" s="881"/>
      <c r="L194" s="881"/>
      <c r="M194" s="881"/>
      <c r="N194" s="881"/>
      <c r="O194" s="881"/>
      <c r="P194" s="881"/>
      <c r="Q194" s="868"/>
      <c r="R194" s="868"/>
      <c r="S194" s="868"/>
      <c r="T194" s="868"/>
      <c r="U194" s="868"/>
      <c r="V194" s="868"/>
      <c r="W194" s="868"/>
      <c r="X194" s="868"/>
      <c r="Y194" s="868"/>
      <c r="Z194" s="868"/>
    </row>
    <row r="195" spans="1:26" ht="18.75">
      <c r="A195" s="1002"/>
      <c r="B195" s="1003"/>
      <c r="C195" s="1003"/>
      <c r="D195" s="1003"/>
      <c r="E195" s="1009" t="s">
        <v>93</v>
      </c>
      <c r="F195" s="1010"/>
      <c r="G195" s="1011"/>
      <c r="H195" s="277" t="s">
        <v>35</v>
      </c>
      <c r="I195" s="880"/>
      <c r="J195" s="1012">
        <v>50</v>
      </c>
      <c r="K195" s="881"/>
      <c r="L195" s="881"/>
      <c r="M195" s="881"/>
      <c r="N195" s="881"/>
      <c r="O195" s="881"/>
      <c r="P195" s="881"/>
      <c r="Q195" s="868"/>
      <c r="R195" s="868"/>
      <c r="S195" s="868"/>
      <c r="T195" s="868"/>
      <c r="U195" s="868"/>
      <c r="V195" s="868"/>
      <c r="W195" s="868"/>
      <c r="X195" s="868"/>
      <c r="Y195" s="868"/>
      <c r="Z195" s="868"/>
    </row>
    <row r="196" spans="1:26" ht="18.75">
      <c r="A196" s="1002"/>
      <c r="B196" s="1003"/>
      <c r="C196" s="1003"/>
      <c r="D196" s="1003"/>
      <c r="E196" s="1009" t="s">
        <v>94</v>
      </c>
      <c r="F196" s="1010"/>
      <c r="G196" s="1011"/>
      <c r="H196" s="277" t="s">
        <v>35</v>
      </c>
      <c r="I196" s="880"/>
      <c r="J196" s="1012">
        <v>0</v>
      </c>
      <c r="K196" s="881"/>
      <c r="L196" s="881"/>
      <c r="M196" s="881"/>
      <c r="N196" s="881"/>
      <c r="O196" s="881"/>
      <c r="P196" s="881"/>
      <c r="Q196" s="868"/>
      <c r="R196" s="868"/>
      <c r="S196" s="868"/>
      <c r="T196" s="868"/>
      <c r="U196" s="868"/>
      <c r="V196" s="868"/>
      <c r="W196" s="868"/>
      <c r="X196" s="868"/>
      <c r="Y196" s="868"/>
      <c r="Z196" s="868"/>
    </row>
    <row r="197" spans="1:26" ht="19.5">
      <c r="A197" s="1063"/>
      <c r="B197" s="1070"/>
      <c r="C197" s="1077" t="s">
        <v>95</v>
      </c>
      <c r="D197" s="1064"/>
      <c r="E197" s="1064"/>
      <c r="F197" s="1064"/>
      <c r="G197" s="1066"/>
      <c r="H197" s="278" t="s">
        <v>96</v>
      </c>
      <c r="I197" s="1078">
        <f t="shared" ref="I197:J197" ca="1" si="99">I204</f>
        <v>4</v>
      </c>
      <c r="J197" s="1078">
        <f t="shared" si="99"/>
        <v>4</v>
      </c>
      <c r="K197" s="1079">
        <f ca="1">IF(I197&gt;0,J197*100/I197,0)</f>
        <v>100</v>
      </c>
      <c r="L197" s="1068"/>
      <c r="M197" s="1068"/>
      <c r="N197" s="1068"/>
      <c r="O197" s="1068"/>
      <c r="P197" s="1068"/>
    </row>
    <row r="198" spans="1:26" ht="19.5">
      <c r="A198" s="985"/>
      <c r="B198" s="986"/>
      <c r="C198" s="987" t="s">
        <v>16</v>
      </c>
      <c r="D198" s="1080" t="s">
        <v>17</v>
      </c>
      <c r="E198" s="986"/>
      <c r="F198" s="986"/>
      <c r="G198" s="989"/>
      <c r="H198" s="275" t="s">
        <v>12</v>
      </c>
      <c r="I198" s="1082"/>
      <c r="J198" s="1082"/>
      <c r="K198" s="1083"/>
      <c r="L198" s="992">
        <f ca="1">L199+L200+L201+L202</f>
        <v>52000</v>
      </c>
      <c r="M198" s="992"/>
      <c r="N198" s="992">
        <f>N199+N200+N201+N202</f>
        <v>50210</v>
      </c>
      <c r="O198" s="992">
        <f ca="1">IF(L198&gt;0,N198*100/L198,0)</f>
        <v>96.557692307692307</v>
      </c>
      <c r="P198" s="992">
        <f>IF(M198&gt;0,N198*100/M198,0)</f>
        <v>0</v>
      </c>
      <c r="Q198" s="868"/>
      <c r="R198" s="868"/>
      <c r="S198" s="868"/>
      <c r="T198" s="868"/>
      <c r="U198" s="868"/>
      <c r="V198" s="868"/>
      <c r="W198" s="868"/>
      <c r="X198" s="868"/>
      <c r="Y198" s="868"/>
      <c r="Z198" s="868"/>
    </row>
    <row r="199" spans="1:26" ht="18.75">
      <c r="A199" s="995"/>
      <c r="B199" s="1084"/>
      <c r="C199" s="877"/>
      <c r="D199" s="996" t="s">
        <v>97</v>
      </c>
      <c r="E199" s="877"/>
      <c r="F199" s="877"/>
      <c r="G199" s="879"/>
      <c r="H199" s="161" t="s">
        <v>12</v>
      </c>
      <c r="I199" s="997"/>
      <c r="J199" s="997"/>
      <c r="K199" s="998"/>
      <c r="L199" s="881">
        <f ca="1">IFERROR(__xludf.DUMMYFUNCTION("IMPORTRANGE(""https://docs.google.com/spreadsheets/d/1QqKyyYR6Q21VydFLVH3TRQUabQu_ym0Zz7PgGX0-kHA/edit?usp=sharing"",""แผน!AE88"")"),4000)</f>
        <v>4000</v>
      </c>
      <c r="M199" s="881"/>
      <c r="N199" s="1085">
        <v>2210</v>
      </c>
      <c r="O199" s="881"/>
      <c r="P199" s="881"/>
      <c r="Q199" s="868"/>
      <c r="R199" s="868"/>
      <c r="S199" s="868"/>
      <c r="T199" s="868"/>
      <c r="U199" s="868"/>
      <c r="V199" s="868"/>
      <c r="W199" s="868"/>
      <c r="X199" s="868"/>
      <c r="Y199" s="868"/>
      <c r="Z199" s="868"/>
    </row>
    <row r="200" spans="1:26" ht="19.5">
      <c r="A200" s="1086"/>
      <c r="B200" s="1084"/>
      <c r="C200" s="1029"/>
      <c r="D200" s="996" t="s">
        <v>98</v>
      </c>
      <c r="E200" s="877"/>
      <c r="F200" s="877"/>
      <c r="G200" s="879"/>
      <c r="H200" s="622" t="s">
        <v>12</v>
      </c>
      <c r="I200" s="880"/>
      <c r="J200" s="880"/>
      <c r="K200" s="881"/>
      <c r="L200" s="881">
        <f ca="1">IFERROR(__xludf.DUMMYFUNCTION("IMPORTRANGE(""https://docs.google.com/spreadsheets/d/1QqKyyYR6Q21VydFLVH3TRQUabQu_ym0Zz7PgGX0-kHA/edit?usp=sharing"",""แผน!AF88"")"),32000)</f>
        <v>32000</v>
      </c>
      <c r="M200" s="881"/>
      <c r="N200" s="1085">
        <v>32000</v>
      </c>
      <c r="O200" s="881"/>
      <c r="P200" s="881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</row>
    <row r="201" spans="1:26" ht="19.5">
      <c r="A201" s="1086"/>
      <c r="B201" s="1084"/>
      <c r="C201" s="1029"/>
      <c r="D201" s="996" t="s">
        <v>99</v>
      </c>
      <c r="E201" s="877"/>
      <c r="F201" s="877"/>
      <c r="G201" s="879"/>
      <c r="H201" s="622" t="s">
        <v>12</v>
      </c>
      <c r="I201" s="880"/>
      <c r="J201" s="880"/>
      <c r="K201" s="881"/>
      <c r="L201" s="881">
        <f ca="1">IFERROR(__xludf.DUMMYFUNCTION("IMPORTRANGE(""https://docs.google.com/spreadsheets/d/1QqKyyYR6Q21VydFLVH3TRQUabQu_ym0Zz7PgGX0-kHA/edit?usp=sharing"",""แผน!AG88"")"),16000)</f>
        <v>16000</v>
      </c>
      <c r="M201" s="881"/>
      <c r="N201" s="1085">
        <v>16000</v>
      </c>
      <c r="O201" s="881"/>
      <c r="P201" s="881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</row>
    <row r="202" spans="1:26" ht="19.5">
      <c r="A202" s="1086"/>
      <c r="B202" s="1084"/>
      <c r="C202" s="1029"/>
      <c r="D202" s="996" t="s">
        <v>100</v>
      </c>
      <c r="E202" s="877"/>
      <c r="F202" s="877"/>
      <c r="G202" s="879"/>
      <c r="H202" s="622" t="s">
        <v>12</v>
      </c>
      <c r="I202" s="880"/>
      <c r="J202" s="880"/>
      <c r="K202" s="881"/>
      <c r="L202" s="881">
        <f ca="1">IFERROR(__xludf.DUMMYFUNCTION("IMPORTRANGE(""https://docs.google.com/spreadsheets/d/1QqKyyYR6Q21VydFLVH3TRQUabQu_ym0Zz7PgGX0-kHA/edit?usp=sharing"",""แผน!AH88"")"),0)</f>
        <v>0</v>
      </c>
      <c r="M202" s="881"/>
      <c r="N202" s="1085">
        <v>0</v>
      </c>
      <c r="O202" s="881"/>
      <c r="P202" s="881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</row>
    <row r="203" spans="1:26" ht="19.5">
      <c r="A203" s="1002"/>
      <c r="B203" s="1003"/>
      <c r="C203" s="1029" t="s">
        <v>16</v>
      </c>
      <c r="D203" s="1004" t="s">
        <v>38</v>
      </c>
      <c r="E203" s="1005"/>
      <c r="F203" s="1005"/>
      <c r="G203" s="1006"/>
      <c r="H203" s="1007"/>
      <c r="I203" s="997"/>
      <c r="J203" s="997"/>
      <c r="K203" s="998"/>
      <c r="L203" s="998"/>
      <c r="M203" s="998"/>
      <c r="N203" s="998"/>
      <c r="O203" s="998"/>
      <c r="P203" s="99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</row>
    <row r="204" spans="1:26" ht="18.75">
      <c r="A204" s="1002"/>
      <c r="B204" s="1003"/>
      <c r="C204" s="1003"/>
      <c r="D204" s="1008" t="s">
        <v>101</v>
      </c>
      <c r="E204" s="1010"/>
      <c r="F204" s="1010"/>
      <c r="G204" s="1011"/>
      <c r="H204" s="1007" t="s">
        <v>96</v>
      </c>
      <c r="I204" s="880">
        <f ca="1">IFERROR(__xludf.DUMMYFUNCTION("IMPORTRANGE(""https://docs.google.com/spreadsheets/d/1QqKyyYR6Q21VydFLVH3TRQUabQu_ym0Zz7PgGX0-kHA/edit?usp=sharing"",""แผน!AI88"")"),4)</f>
        <v>4</v>
      </c>
      <c r="J204" s="1012">
        <v>4</v>
      </c>
      <c r="K204" s="998">
        <f ca="1">IF(I204&gt;0,J204*100/I204,0)</f>
        <v>100</v>
      </c>
      <c r="L204" s="881"/>
      <c r="M204" s="881"/>
      <c r="N204" s="881"/>
      <c r="O204" s="881"/>
      <c r="P204" s="881"/>
      <c r="Q204" s="868"/>
      <c r="R204" s="868"/>
      <c r="S204" s="868"/>
      <c r="T204" s="868"/>
      <c r="U204" s="868"/>
      <c r="V204" s="868"/>
      <c r="W204" s="868"/>
      <c r="X204" s="868"/>
      <c r="Y204" s="868"/>
      <c r="Z204" s="868"/>
    </row>
    <row r="205" spans="1:26" ht="18.75">
      <c r="A205" s="1002"/>
      <c r="B205" s="1003"/>
      <c r="C205" s="1003"/>
      <c r="D205" s="1009" t="s">
        <v>59</v>
      </c>
      <c r="E205" s="1010"/>
      <c r="F205" s="1010"/>
      <c r="G205" s="1011"/>
      <c r="H205" s="1007"/>
      <c r="I205" s="880"/>
      <c r="J205" s="880"/>
      <c r="K205" s="998"/>
      <c r="L205" s="881"/>
      <c r="M205" s="881"/>
      <c r="N205" s="881"/>
      <c r="O205" s="881"/>
      <c r="P205" s="881"/>
      <c r="Q205" s="868"/>
      <c r="R205" s="868"/>
      <c r="S205" s="868"/>
      <c r="T205" s="868"/>
      <c r="U205" s="868"/>
      <c r="V205" s="868"/>
      <c r="W205" s="868"/>
      <c r="X205" s="868"/>
      <c r="Y205" s="868"/>
      <c r="Z205" s="868"/>
    </row>
    <row r="206" spans="1:26" ht="18.75">
      <c r="A206" s="1002"/>
      <c r="B206" s="1003"/>
      <c r="C206" s="1003"/>
      <c r="D206" s="1010"/>
      <c r="E206" s="1021" t="s">
        <v>102</v>
      </c>
      <c r="F206" s="1088"/>
      <c r="G206" s="1089"/>
      <c r="H206" s="1090" t="s">
        <v>96</v>
      </c>
      <c r="I206" s="880">
        <v>4</v>
      </c>
      <c r="J206" s="1012">
        <v>4</v>
      </c>
      <c r="K206" s="998">
        <f t="shared" ref="K206:K208" si="100">IF(I206&gt;0,J206*100/I206,0)</f>
        <v>100</v>
      </c>
      <c r="L206" s="881"/>
      <c r="M206" s="881"/>
      <c r="N206" s="881"/>
      <c r="O206" s="881"/>
      <c r="P206" s="881"/>
      <c r="Q206" s="868"/>
      <c r="R206" s="868"/>
      <c r="S206" s="868"/>
      <c r="T206" s="868"/>
      <c r="U206" s="868"/>
      <c r="V206" s="868"/>
      <c r="W206" s="868"/>
      <c r="X206" s="868"/>
      <c r="Y206" s="868"/>
      <c r="Z206" s="868"/>
    </row>
    <row r="207" spans="1:26" ht="18.75">
      <c r="A207" s="1002"/>
      <c r="B207" s="1003"/>
      <c r="C207" s="1003"/>
      <c r="D207" s="1009"/>
      <c r="E207" s="1009" t="s">
        <v>103</v>
      </c>
      <c r="F207" s="1010"/>
      <c r="G207" s="1010"/>
      <c r="H207" s="290" t="s">
        <v>104</v>
      </c>
      <c r="I207" s="880">
        <v>0</v>
      </c>
      <c r="J207" s="1012">
        <v>0</v>
      </c>
      <c r="K207" s="998">
        <f t="shared" si="100"/>
        <v>0</v>
      </c>
      <c r="L207" s="881"/>
      <c r="M207" s="881"/>
      <c r="N207" s="881"/>
      <c r="O207" s="881"/>
      <c r="P207" s="881"/>
      <c r="Q207" s="868"/>
      <c r="R207" s="868"/>
      <c r="S207" s="868"/>
      <c r="T207" s="868"/>
      <c r="U207" s="868"/>
      <c r="V207" s="868"/>
      <c r="W207" s="868"/>
      <c r="X207" s="868"/>
      <c r="Y207" s="868"/>
      <c r="Z207" s="868"/>
    </row>
    <row r="208" spans="1:26" ht="19.5" hidden="1">
      <c r="A208" s="1063"/>
      <c r="B208" s="1070"/>
      <c r="C208" s="1077" t="s">
        <v>105</v>
      </c>
      <c r="D208" s="1064"/>
      <c r="E208" s="1064"/>
      <c r="F208" s="1091"/>
      <c r="G208" s="1066"/>
      <c r="H208" s="278" t="s">
        <v>96</v>
      </c>
      <c r="I208" s="1078">
        <f t="shared" ref="I208:J208" ca="1" si="101">I215</f>
        <v>0</v>
      </c>
      <c r="J208" s="1078">
        <f t="shared" si="101"/>
        <v>0</v>
      </c>
      <c r="K208" s="1079">
        <f t="shared" ca="1" si="100"/>
        <v>0</v>
      </c>
      <c r="L208" s="1068"/>
      <c r="M208" s="1068"/>
      <c r="N208" s="1068"/>
      <c r="O208" s="1068"/>
      <c r="P208" s="1068"/>
    </row>
    <row r="209" spans="1:26" ht="19.5" hidden="1">
      <c r="A209" s="985"/>
      <c r="B209" s="986"/>
      <c r="C209" s="987" t="s">
        <v>16</v>
      </c>
      <c r="D209" s="1080" t="s">
        <v>17</v>
      </c>
      <c r="E209" s="986"/>
      <c r="F209" s="986"/>
      <c r="G209" s="989"/>
      <c r="H209" s="275" t="s">
        <v>12</v>
      </c>
      <c r="I209" s="1082"/>
      <c r="J209" s="1082"/>
      <c r="K209" s="1083"/>
      <c r="L209" s="992">
        <f ca="1">L210+L211+L212</f>
        <v>0</v>
      </c>
      <c r="M209" s="992"/>
      <c r="N209" s="992">
        <f>N210+N211+N212</f>
        <v>0</v>
      </c>
      <c r="O209" s="992">
        <f ca="1">IF(L209&gt;0,N209*100/L209,0)</f>
        <v>0</v>
      </c>
      <c r="P209" s="992">
        <f>IF(M209&gt;0,N209*100/M209,0)</f>
        <v>0</v>
      </c>
      <c r="Q209" s="868"/>
      <c r="R209" s="868"/>
      <c r="S209" s="868"/>
      <c r="T209" s="868"/>
      <c r="U209" s="868"/>
      <c r="V209" s="868"/>
      <c r="W209" s="868"/>
      <c r="X209" s="868"/>
      <c r="Y209" s="868"/>
      <c r="Z209" s="868"/>
    </row>
    <row r="210" spans="1:26" ht="18.75" hidden="1">
      <c r="A210" s="995"/>
      <c r="B210" s="1084"/>
      <c r="C210" s="877"/>
      <c r="D210" s="996" t="s">
        <v>97</v>
      </c>
      <c r="E210" s="877"/>
      <c r="F210" s="877"/>
      <c r="G210" s="879"/>
      <c r="H210" s="161" t="s">
        <v>12</v>
      </c>
      <c r="I210" s="997"/>
      <c r="J210" s="997"/>
      <c r="K210" s="998"/>
      <c r="L210" s="881">
        <f ca="1">IFERROR(__xludf.DUMMYFUNCTION("IMPORTRANGE(""https://docs.google.com/spreadsheets/d/1QqKyyYR6Q21VydFLVH3TRQUabQu_ym0Zz7PgGX0-kHA/edit?usp=sharing"",""แผน!AK88"")"),0)</f>
        <v>0</v>
      </c>
      <c r="M210" s="881"/>
      <c r="N210" s="1085">
        <v>0</v>
      </c>
      <c r="O210" s="881"/>
      <c r="P210" s="881"/>
      <c r="Q210" s="868"/>
      <c r="R210" s="868"/>
      <c r="S210" s="868"/>
      <c r="T210" s="868"/>
      <c r="U210" s="868"/>
      <c r="V210" s="868"/>
      <c r="W210" s="868"/>
      <c r="X210" s="868"/>
      <c r="Y210" s="868"/>
      <c r="Z210" s="868"/>
    </row>
    <row r="211" spans="1:26" ht="19.5" hidden="1">
      <c r="A211" s="1086"/>
      <c r="B211" s="1084"/>
      <c r="C211" s="1092"/>
      <c r="D211" s="996" t="s">
        <v>99</v>
      </c>
      <c r="E211" s="877"/>
      <c r="F211" s="877"/>
      <c r="G211" s="879"/>
      <c r="H211" s="161" t="s">
        <v>12</v>
      </c>
      <c r="I211" s="880"/>
      <c r="J211" s="880"/>
      <c r="K211" s="881"/>
      <c r="L211" s="881">
        <f ca="1">IFERROR(__xludf.DUMMYFUNCTION("IMPORTRANGE(""https://docs.google.com/spreadsheets/d/1QqKyyYR6Q21VydFLVH3TRQUabQu_ym0Zz7PgGX0-kHA/edit?usp=sharing"",""แผน!AL88"")"),0)</f>
        <v>0</v>
      </c>
      <c r="M211" s="881"/>
      <c r="N211" s="1085">
        <v>0</v>
      </c>
      <c r="O211" s="881"/>
      <c r="P211" s="881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</row>
    <row r="212" spans="1:26" ht="19.5" hidden="1">
      <c r="A212" s="1086"/>
      <c r="B212" s="1084"/>
      <c r="C212" s="1092"/>
      <c r="D212" s="996" t="s">
        <v>98</v>
      </c>
      <c r="E212" s="877"/>
      <c r="F212" s="877"/>
      <c r="G212" s="879"/>
      <c r="H212" s="161" t="s">
        <v>12</v>
      </c>
      <c r="I212" s="880"/>
      <c r="J212" s="880"/>
      <c r="K212" s="881"/>
      <c r="L212" s="881">
        <f ca="1">IFERROR(__xludf.DUMMYFUNCTION("IMPORTRANGE(""https://docs.google.com/spreadsheets/d/1QqKyyYR6Q21VydFLVH3TRQUabQu_ym0Zz7PgGX0-kHA/edit?usp=sharing"",""แผน!AM88"")"),0)</f>
        <v>0</v>
      </c>
      <c r="M212" s="881"/>
      <c r="N212" s="1085">
        <v>0</v>
      </c>
      <c r="O212" s="881"/>
      <c r="P212" s="881"/>
      <c r="Q212" s="1087"/>
      <c r="R212" s="1087"/>
      <c r="S212" s="1087"/>
      <c r="T212" s="1087"/>
      <c r="U212" s="1087"/>
      <c r="V212" s="1087"/>
      <c r="W212" s="1087"/>
      <c r="X212" s="1087"/>
      <c r="Y212" s="1087"/>
      <c r="Z212" s="1087"/>
    </row>
    <row r="213" spans="1:26" ht="19.5" hidden="1">
      <c r="A213" s="1002"/>
      <c r="B213" s="1003"/>
      <c r="C213" s="1092" t="s">
        <v>16</v>
      </c>
      <c r="D213" s="1004" t="s">
        <v>38</v>
      </c>
      <c r="E213" s="1005"/>
      <c r="F213" s="1005"/>
      <c r="G213" s="1006"/>
      <c r="H213" s="1007"/>
      <c r="I213" s="997"/>
      <c r="J213" s="880"/>
      <c r="K213" s="881"/>
      <c r="L213" s="881"/>
      <c r="M213" s="881"/>
      <c r="N213" s="881"/>
      <c r="O213" s="998"/>
      <c r="P213" s="998"/>
      <c r="Q213" s="868"/>
      <c r="R213" s="868"/>
      <c r="S213" s="868"/>
      <c r="T213" s="868"/>
      <c r="U213" s="868"/>
      <c r="V213" s="868"/>
      <c r="W213" s="868"/>
      <c r="X213" s="868"/>
      <c r="Y213" s="868"/>
      <c r="Z213" s="868"/>
    </row>
    <row r="214" spans="1:26" ht="18.75" hidden="1">
      <c r="A214" s="1002"/>
      <c r="B214" s="1003"/>
      <c r="C214" s="1003"/>
      <c r="D214" s="1008" t="s">
        <v>106</v>
      </c>
      <c r="E214" s="1010"/>
      <c r="F214" s="1010"/>
      <c r="G214" s="1011"/>
      <c r="H214" s="1007" t="s">
        <v>96</v>
      </c>
      <c r="I214" s="880">
        <f ca="1">IFERROR(__xludf.DUMMYFUNCTION("IMPORTRANGE(""https://docs.google.com/spreadsheets/d/1QqKyyYR6Q21VydFLVH3TRQUabQu_ym0Zz7PgGX0-kHA/edit?usp=sharing"",""แผน!AN88"")"),0)</f>
        <v>0</v>
      </c>
      <c r="J214" s="1012">
        <v>0</v>
      </c>
      <c r="K214" s="881">
        <f t="shared" ref="K214:K216" ca="1" si="102">IF(I214&gt;0,J214*100/I214,0)</f>
        <v>0</v>
      </c>
      <c r="L214" s="881"/>
      <c r="M214" s="881"/>
      <c r="N214" s="881"/>
      <c r="O214" s="881"/>
      <c r="P214" s="881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</row>
    <row r="215" spans="1:26" ht="18.75" hidden="1">
      <c r="A215" s="1002"/>
      <c r="B215" s="1003"/>
      <c r="C215" s="1003"/>
      <c r="D215" s="1008" t="s">
        <v>107</v>
      </c>
      <c r="E215" s="1010"/>
      <c r="F215" s="1010"/>
      <c r="G215" s="1011"/>
      <c r="H215" s="1007" t="s">
        <v>96</v>
      </c>
      <c r="I215" s="880">
        <f ca="1">IFERROR(__xludf.DUMMYFUNCTION("IMPORTRANGE(""https://docs.google.com/spreadsheets/d/1QqKyyYR6Q21VydFLVH3TRQUabQu_ym0Zz7PgGX0-kHA/edit?usp=sharing"",""แผน!AN88"")"),0)</f>
        <v>0</v>
      </c>
      <c r="J215" s="1012">
        <v>0</v>
      </c>
      <c r="K215" s="881">
        <f t="shared" ca="1" si="102"/>
        <v>0</v>
      </c>
      <c r="L215" s="881"/>
      <c r="M215" s="881"/>
      <c r="N215" s="881"/>
      <c r="O215" s="881"/>
      <c r="P215" s="881"/>
      <c r="Q215" s="868"/>
      <c r="R215" s="868"/>
      <c r="S215" s="868"/>
      <c r="T215" s="868"/>
      <c r="U215" s="868"/>
      <c r="V215" s="868"/>
      <c r="W215" s="868"/>
      <c r="X215" s="868"/>
      <c r="Y215" s="868"/>
      <c r="Z215" s="868"/>
    </row>
    <row r="216" spans="1:26" ht="19.5">
      <c r="A216" s="1063"/>
      <c r="B216" s="1070"/>
      <c r="C216" s="1077" t="s">
        <v>108</v>
      </c>
      <c r="D216" s="1064"/>
      <c r="E216" s="1064"/>
      <c r="F216" s="1091"/>
      <c r="G216" s="1066"/>
      <c r="H216" s="260" t="s">
        <v>109</v>
      </c>
      <c r="I216" s="1078">
        <f t="shared" ref="I216:J216" ca="1" si="103">I224</f>
        <v>10000</v>
      </c>
      <c r="J216" s="1078">
        <f t="shared" si="103"/>
        <v>0</v>
      </c>
      <c r="K216" s="1079">
        <f t="shared" ca="1" si="102"/>
        <v>0</v>
      </c>
      <c r="L216" s="1068"/>
      <c r="M216" s="1068"/>
      <c r="N216" s="1068"/>
      <c r="O216" s="1068"/>
      <c r="P216" s="1068"/>
    </row>
    <row r="217" spans="1:26" ht="19.5">
      <c r="A217" s="985"/>
      <c r="B217" s="986"/>
      <c r="C217" s="987" t="s">
        <v>16</v>
      </c>
      <c r="D217" s="1080" t="s">
        <v>17</v>
      </c>
      <c r="E217" s="986"/>
      <c r="F217" s="986"/>
      <c r="G217" s="989"/>
      <c r="H217" s="275" t="s">
        <v>12</v>
      </c>
      <c r="I217" s="1082"/>
      <c r="J217" s="1082"/>
      <c r="K217" s="1083"/>
      <c r="L217" s="992">
        <f ca="1">L218+L219+L220</f>
        <v>6500</v>
      </c>
      <c r="M217" s="992"/>
      <c r="N217" s="992">
        <f>N218+N219+N220</f>
        <v>0</v>
      </c>
      <c r="O217" s="992">
        <f ca="1">IF(L217&gt;0,N217*100/L217,0)</f>
        <v>0</v>
      </c>
      <c r="P217" s="992">
        <f>IF(M217&gt;0,N217*100/M217,0)</f>
        <v>0</v>
      </c>
      <c r="Q217" s="868"/>
      <c r="R217" s="868"/>
      <c r="S217" s="868"/>
      <c r="T217" s="868"/>
      <c r="U217" s="868"/>
      <c r="V217" s="868"/>
      <c r="W217" s="868"/>
      <c r="X217" s="868"/>
      <c r="Y217" s="868"/>
      <c r="Z217" s="868"/>
    </row>
    <row r="218" spans="1:26" ht="18.75">
      <c r="A218" s="995"/>
      <c r="B218" s="1084"/>
      <c r="C218" s="877"/>
      <c r="D218" s="996" t="s">
        <v>97</v>
      </c>
      <c r="E218" s="877"/>
      <c r="F218" s="877"/>
      <c r="G218" s="879"/>
      <c r="H218" s="161" t="s">
        <v>12</v>
      </c>
      <c r="I218" s="997"/>
      <c r="J218" s="997"/>
      <c r="K218" s="998"/>
      <c r="L218" s="881">
        <f ca="1">IFERROR(__xludf.DUMMYFUNCTION("IMPORTRANGE(""https://docs.google.com/spreadsheets/d/1QqKyyYR6Q21VydFLVH3TRQUabQu_ym0Zz7PgGX0-kHA/edit?usp=sharing"",""แผน!AP88"")"),3000)</f>
        <v>3000</v>
      </c>
      <c r="M218" s="881"/>
      <c r="N218" s="1085">
        <v>0</v>
      </c>
      <c r="O218" s="881"/>
      <c r="P218" s="881"/>
      <c r="Q218" s="868"/>
      <c r="R218" s="868"/>
      <c r="S218" s="868"/>
      <c r="T218" s="868"/>
      <c r="U218" s="868"/>
      <c r="V218" s="868"/>
      <c r="W218" s="868"/>
      <c r="X218" s="868"/>
      <c r="Y218" s="868"/>
      <c r="Z218" s="868"/>
    </row>
    <row r="219" spans="1:26" ht="19.5">
      <c r="A219" s="1086"/>
      <c r="B219" s="1084"/>
      <c r="C219" s="1092"/>
      <c r="D219" s="996" t="s">
        <v>110</v>
      </c>
      <c r="E219" s="877"/>
      <c r="F219" s="877"/>
      <c r="G219" s="879"/>
      <c r="H219" s="161" t="s">
        <v>12</v>
      </c>
      <c r="I219" s="880"/>
      <c r="J219" s="880"/>
      <c r="K219" s="881"/>
      <c r="L219" s="881">
        <f ca="1">IFERROR(__xludf.DUMMYFUNCTION("IMPORTRANGE(""https://docs.google.com/spreadsheets/d/1QqKyyYR6Q21VydFLVH3TRQUabQu_ym0Zz7PgGX0-kHA/edit?usp=sharing"",""แผน!AQ88"")"),3500)</f>
        <v>3500</v>
      </c>
      <c r="M219" s="881"/>
      <c r="N219" s="1085">
        <v>0</v>
      </c>
      <c r="O219" s="881"/>
      <c r="P219" s="881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</row>
    <row r="220" spans="1:26" ht="19.5">
      <c r="A220" s="1086"/>
      <c r="B220" s="1084"/>
      <c r="C220" s="1092"/>
      <c r="D220" s="996" t="s">
        <v>98</v>
      </c>
      <c r="E220" s="877"/>
      <c r="F220" s="877"/>
      <c r="G220" s="879"/>
      <c r="H220" s="161" t="s">
        <v>12</v>
      </c>
      <c r="I220" s="880"/>
      <c r="J220" s="880"/>
      <c r="K220" s="881"/>
      <c r="L220" s="881">
        <f ca="1">IFERROR(__xludf.DUMMYFUNCTION("IMPORTRANGE(""https://docs.google.com/spreadsheets/d/1QqKyyYR6Q21VydFLVH3TRQUabQu_ym0Zz7PgGX0-kHA/edit?usp=sharing"",""แผน!AR88"")"),0)</f>
        <v>0</v>
      </c>
      <c r="M220" s="881"/>
      <c r="N220" s="1085">
        <v>0</v>
      </c>
      <c r="O220" s="881"/>
      <c r="P220" s="881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</row>
    <row r="221" spans="1:26" ht="19.5">
      <c r="A221" s="1002"/>
      <c r="B221" s="1003"/>
      <c r="C221" s="1092" t="s">
        <v>16</v>
      </c>
      <c r="D221" s="1004" t="s">
        <v>38</v>
      </c>
      <c r="E221" s="1005"/>
      <c r="F221" s="1005"/>
      <c r="G221" s="1006"/>
      <c r="H221" s="1007"/>
      <c r="I221" s="997"/>
      <c r="J221" s="997"/>
      <c r="K221" s="998"/>
      <c r="L221" s="998"/>
      <c r="M221" s="998"/>
      <c r="N221" s="998"/>
      <c r="O221" s="998"/>
      <c r="P221" s="99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8"/>
    </row>
    <row r="222" spans="1:26" ht="18.75">
      <c r="A222" s="1002"/>
      <c r="B222" s="1003"/>
      <c r="C222" s="1003"/>
      <c r="D222" s="996" t="s">
        <v>111</v>
      </c>
      <c r="E222" s="1010"/>
      <c r="F222" s="1010"/>
      <c r="G222" s="1011"/>
      <c r="H222" s="1007"/>
      <c r="I222" s="880"/>
      <c r="J222" s="880"/>
      <c r="K222" s="998"/>
      <c r="L222" s="998"/>
      <c r="M222" s="998"/>
      <c r="N222" s="998"/>
      <c r="O222" s="998"/>
      <c r="P222" s="998"/>
      <c r="Q222" s="868"/>
      <c r="R222" s="868"/>
      <c r="S222" s="868"/>
      <c r="T222" s="868"/>
      <c r="U222" s="868"/>
      <c r="V222" s="868"/>
      <c r="W222" s="868"/>
      <c r="X222" s="868"/>
      <c r="Y222" s="868"/>
      <c r="Z222" s="868"/>
    </row>
    <row r="223" spans="1:26" ht="18.75">
      <c r="A223" s="1002"/>
      <c r="B223" s="1003"/>
      <c r="C223" s="1003"/>
      <c r="D223" s="1003"/>
      <c r="E223" s="1008" t="s">
        <v>112</v>
      </c>
      <c r="F223" s="1010"/>
      <c r="G223" s="1011"/>
      <c r="H223" s="762" t="s">
        <v>109</v>
      </c>
      <c r="I223" s="880">
        <f ca="1">IFERROR(__xludf.DUMMYFUNCTION("IMPORTRANGE(""https://docs.google.com/spreadsheets/d/1QqKyyYR6Q21VydFLVH3TRQUabQu_ym0Zz7PgGX0-kHA/edit?usp=sharing"",""แผน!AT88"")"),10000)</f>
        <v>10000</v>
      </c>
      <c r="J223" s="1012">
        <v>10000</v>
      </c>
      <c r="K223" s="998">
        <f t="shared" ref="K223:K226" ca="1" si="104">IF(I223&gt;0,J223*100/I223,0)</f>
        <v>100</v>
      </c>
      <c r="L223" s="998"/>
      <c r="M223" s="998"/>
      <c r="N223" s="998"/>
      <c r="O223" s="998"/>
      <c r="P223" s="998"/>
      <c r="Q223" s="868"/>
      <c r="R223" s="868"/>
      <c r="S223" s="868"/>
      <c r="T223" s="868"/>
      <c r="U223" s="868"/>
      <c r="V223" s="868"/>
      <c r="W223" s="868"/>
      <c r="X223" s="868"/>
      <c r="Y223" s="868"/>
      <c r="Z223" s="868"/>
    </row>
    <row r="224" spans="1:26" ht="18.75">
      <c r="A224" s="1002"/>
      <c r="B224" s="1003"/>
      <c r="C224" s="1003"/>
      <c r="D224" s="1003"/>
      <c r="E224" s="1008" t="s">
        <v>113</v>
      </c>
      <c r="F224" s="1010"/>
      <c r="G224" s="1011"/>
      <c r="H224" s="762" t="s">
        <v>109</v>
      </c>
      <c r="I224" s="880">
        <f ca="1">IFERROR(__xludf.DUMMYFUNCTION("IMPORTRANGE(""https://docs.google.com/spreadsheets/d/1QqKyyYR6Q21VydFLVH3TRQUabQu_ym0Zz7PgGX0-kHA/edit?usp=sharing"",""แผน!AT88"")"),10000)</f>
        <v>10000</v>
      </c>
      <c r="J224" s="1012">
        <v>0</v>
      </c>
      <c r="K224" s="998">
        <f t="shared" ca="1" si="104"/>
        <v>0</v>
      </c>
      <c r="L224" s="881"/>
      <c r="M224" s="881"/>
      <c r="N224" s="881"/>
      <c r="O224" s="881"/>
      <c r="P224" s="881"/>
      <c r="Q224" s="868"/>
      <c r="R224" s="868"/>
      <c r="S224" s="868"/>
      <c r="T224" s="868"/>
      <c r="U224" s="868"/>
      <c r="V224" s="868"/>
      <c r="W224" s="868"/>
      <c r="X224" s="868"/>
      <c r="Y224" s="868"/>
      <c r="Z224" s="868"/>
    </row>
    <row r="225" spans="1:26" ht="18.75">
      <c r="A225" s="1002"/>
      <c r="B225" s="1003"/>
      <c r="C225" s="1003"/>
      <c r="D225" s="996" t="s">
        <v>114</v>
      </c>
      <c r="E225" s="1010"/>
      <c r="F225" s="1010"/>
      <c r="G225" s="1011"/>
      <c r="H225" s="762" t="s">
        <v>35</v>
      </c>
      <c r="I225" s="880">
        <f ca="1">IFERROR(__xludf.DUMMYFUNCTION("IMPORTRANGE(""https://docs.google.com/spreadsheets/d/1QqKyyYR6Q21VydFLVH3TRQUabQu_ym0Zz7PgGX0-kHA/edit?usp=sharing"",""แผน!AS88"")"),0)</f>
        <v>0</v>
      </c>
      <c r="J225" s="1012">
        <v>0</v>
      </c>
      <c r="K225" s="998">
        <f t="shared" ca="1" si="104"/>
        <v>0</v>
      </c>
      <c r="L225" s="881"/>
      <c r="M225" s="881"/>
      <c r="N225" s="881"/>
      <c r="O225" s="881"/>
      <c r="P225" s="881"/>
      <c r="Q225" s="868"/>
      <c r="R225" s="868"/>
      <c r="S225" s="868"/>
      <c r="T225" s="868"/>
      <c r="U225" s="868"/>
      <c r="V225" s="868"/>
      <c r="W225" s="868"/>
      <c r="X225" s="868"/>
      <c r="Y225" s="868"/>
      <c r="Z225" s="868"/>
    </row>
    <row r="226" spans="1:26" ht="19.5" hidden="1">
      <c r="A226" s="1063"/>
      <c r="B226" s="1070"/>
      <c r="C226" s="1093" t="s">
        <v>115</v>
      </c>
      <c r="D226" s="1064"/>
      <c r="E226" s="1064"/>
      <c r="F226" s="1064"/>
      <c r="G226" s="1066"/>
      <c r="H226" s="266" t="s">
        <v>35</v>
      </c>
      <c r="I226" s="1094" t="e">
        <f t="shared" ref="I226:J226" ca="1" si="105">I237+I248</f>
        <v>#VALUE!</v>
      </c>
      <c r="J226" s="1094">
        <f t="shared" si="105"/>
        <v>0</v>
      </c>
      <c r="K226" s="1095" t="e">
        <f t="shared" ca="1" si="104"/>
        <v>#VALUE!</v>
      </c>
      <c r="L226" s="1068"/>
      <c r="M226" s="1068"/>
      <c r="N226" s="1068"/>
      <c r="O226" s="1068"/>
      <c r="P226" s="1068"/>
    </row>
    <row r="227" spans="1:26" ht="19.5" hidden="1">
      <c r="A227" s="1096"/>
      <c r="B227" s="1097"/>
      <c r="C227" s="1098" t="s">
        <v>16</v>
      </c>
      <c r="D227" s="1099" t="s">
        <v>17</v>
      </c>
      <c r="E227" s="1097"/>
      <c r="F227" s="1097"/>
      <c r="G227" s="1100"/>
      <c r="H227" s="353" t="s">
        <v>12</v>
      </c>
      <c r="I227" s="1101"/>
      <c r="J227" s="1101"/>
      <c r="K227" s="1102"/>
      <c r="L227" s="1103">
        <f t="shared" ref="L227:L231" ca="1" si="106">L238+L249</f>
        <v>0</v>
      </c>
      <c r="M227" s="1103"/>
      <c r="N227" s="1103">
        <f t="shared" ref="N227:N231" si="107">N238+N249</f>
        <v>0</v>
      </c>
      <c r="O227" s="1104"/>
      <c r="P227" s="1104"/>
      <c r="Q227" s="875"/>
      <c r="R227" s="875"/>
      <c r="S227" s="875"/>
      <c r="T227" s="875"/>
      <c r="U227" s="875"/>
      <c r="V227" s="875"/>
      <c r="W227" s="875"/>
      <c r="X227" s="875"/>
      <c r="Y227" s="875"/>
      <c r="Z227" s="875"/>
    </row>
    <row r="228" spans="1:26" ht="18.75" hidden="1">
      <c r="A228" s="993"/>
      <c r="B228" s="1105"/>
      <c r="C228" s="883"/>
      <c r="D228" s="884" t="s">
        <v>97</v>
      </c>
      <c r="E228" s="883"/>
      <c r="F228" s="883"/>
      <c r="G228" s="885"/>
      <c r="H228" s="165" t="s">
        <v>12</v>
      </c>
      <c r="I228" s="1000"/>
      <c r="J228" s="1000"/>
      <c r="K228" s="1001"/>
      <c r="L228" s="887">
        <f t="shared" ca="1" si="106"/>
        <v>0</v>
      </c>
      <c r="M228" s="887"/>
      <c r="N228" s="887">
        <f t="shared" si="107"/>
        <v>0</v>
      </c>
      <c r="O228" s="887"/>
      <c r="P228" s="887"/>
      <c r="Q228" s="875"/>
      <c r="R228" s="875"/>
      <c r="S228" s="875"/>
      <c r="T228" s="875"/>
      <c r="U228" s="875"/>
      <c r="V228" s="875"/>
      <c r="W228" s="875"/>
      <c r="X228" s="875"/>
      <c r="Y228" s="875"/>
      <c r="Z228" s="875"/>
    </row>
    <row r="229" spans="1:26" ht="19.5" hidden="1">
      <c r="A229" s="1106"/>
      <c r="B229" s="1105"/>
      <c r="C229" s="1107"/>
      <c r="D229" s="884" t="s">
        <v>98</v>
      </c>
      <c r="E229" s="883"/>
      <c r="F229" s="883"/>
      <c r="G229" s="885"/>
      <c r="H229" s="165" t="s">
        <v>12</v>
      </c>
      <c r="I229" s="886"/>
      <c r="J229" s="886"/>
      <c r="K229" s="887"/>
      <c r="L229" s="887">
        <f t="shared" ca="1" si="106"/>
        <v>0</v>
      </c>
      <c r="M229" s="887"/>
      <c r="N229" s="887">
        <f t="shared" si="107"/>
        <v>0</v>
      </c>
      <c r="O229" s="887"/>
      <c r="P229" s="887"/>
      <c r="Q229" s="1108"/>
      <c r="R229" s="1108"/>
      <c r="S229" s="1108"/>
      <c r="T229" s="1108"/>
      <c r="U229" s="1108"/>
      <c r="V229" s="1108"/>
      <c r="W229" s="1108"/>
      <c r="X229" s="1108"/>
      <c r="Y229" s="1108"/>
      <c r="Z229" s="1108"/>
    </row>
    <row r="230" spans="1:26" ht="19.5" hidden="1">
      <c r="A230" s="1106"/>
      <c r="B230" s="1105"/>
      <c r="C230" s="1107"/>
      <c r="D230" s="884" t="s">
        <v>116</v>
      </c>
      <c r="E230" s="883"/>
      <c r="F230" s="883"/>
      <c r="G230" s="885"/>
      <c r="H230" s="165" t="s">
        <v>12</v>
      </c>
      <c r="I230" s="886"/>
      <c r="J230" s="886"/>
      <c r="K230" s="887"/>
      <c r="L230" s="887">
        <f t="shared" ca="1" si="106"/>
        <v>0</v>
      </c>
      <c r="M230" s="887"/>
      <c r="N230" s="887">
        <f t="shared" si="107"/>
        <v>0</v>
      </c>
      <c r="O230" s="887"/>
      <c r="P230" s="887"/>
      <c r="Q230" s="1108"/>
      <c r="R230" s="1108"/>
      <c r="S230" s="1108"/>
      <c r="T230" s="1108"/>
      <c r="U230" s="1108"/>
      <c r="V230" s="1108"/>
      <c r="W230" s="1108"/>
      <c r="X230" s="1108"/>
      <c r="Y230" s="1108"/>
      <c r="Z230" s="1108"/>
    </row>
    <row r="231" spans="1:26" ht="19.5" hidden="1">
      <c r="A231" s="1106"/>
      <c r="B231" s="1105"/>
      <c r="C231" s="1107"/>
      <c r="D231" s="884" t="s">
        <v>100</v>
      </c>
      <c r="E231" s="883"/>
      <c r="F231" s="883"/>
      <c r="G231" s="885"/>
      <c r="H231" s="165" t="s">
        <v>12</v>
      </c>
      <c r="I231" s="886"/>
      <c r="J231" s="886"/>
      <c r="K231" s="887"/>
      <c r="L231" s="887">
        <f t="shared" ca="1" si="106"/>
        <v>0</v>
      </c>
      <c r="M231" s="887"/>
      <c r="N231" s="887">
        <f t="shared" si="107"/>
        <v>0</v>
      </c>
      <c r="O231" s="887"/>
      <c r="P231" s="887"/>
      <c r="Q231" s="1108"/>
      <c r="R231" s="1108"/>
      <c r="S231" s="1108"/>
      <c r="T231" s="1108"/>
      <c r="U231" s="1108"/>
      <c r="V231" s="1108"/>
      <c r="W231" s="1108"/>
      <c r="X231" s="1108"/>
      <c r="Y231" s="1108"/>
      <c r="Z231" s="1108"/>
    </row>
    <row r="232" spans="1:26" ht="19.5" hidden="1">
      <c r="A232" s="1109"/>
      <c r="B232" s="1110"/>
      <c r="C232" s="1107" t="s">
        <v>16</v>
      </c>
      <c r="D232" s="1072" t="s">
        <v>38</v>
      </c>
      <c r="E232" s="1111"/>
      <c r="F232" s="1111"/>
      <c r="G232" s="1112"/>
      <c r="H232" s="1113"/>
      <c r="I232" s="1000"/>
      <c r="J232" s="886"/>
      <c r="K232" s="887"/>
      <c r="L232" s="887"/>
      <c r="M232" s="887"/>
      <c r="N232" s="887"/>
      <c r="O232" s="1001"/>
      <c r="P232" s="1001"/>
      <c r="Q232" s="875"/>
      <c r="R232" s="875"/>
      <c r="S232" s="875"/>
      <c r="T232" s="875"/>
      <c r="U232" s="875"/>
      <c r="V232" s="875"/>
      <c r="W232" s="875"/>
      <c r="X232" s="875"/>
      <c r="Y232" s="875"/>
      <c r="Z232" s="875"/>
    </row>
    <row r="233" spans="1:26" ht="18.75" hidden="1">
      <c r="A233" s="1109"/>
      <c r="B233" s="1110"/>
      <c r="C233" s="1110"/>
      <c r="D233" s="1074" t="s">
        <v>117</v>
      </c>
      <c r="E233" s="1114"/>
      <c r="F233" s="1114"/>
      <c r="G233" s="1115"/>
      <c r="H233" s="370" t="s">
        <v>35</v>
      </c>
      <c r="I233" s="886" t="e">
        <f t="shared" ref="I233:J233" ca="1" si="108">I244+I255</f>
        <v>#VALUE!</v>
      </c>
      <c r="J233" s="886">
        <f t="shared" si="108"/>
        <v>0</v>
      </c>
      <c r="K233" s="887" t="e">
        <f ca="1">IF(I233&gt;0,J233*100/I233,0)</f>
        <v>#VALUE!</v>
      </c>
      <c r="L233" s="887"/>
      <c r="M233" s="887"/>
      <c r="N233" s="887"/>
      <c r="O233" s="887"/>
      <c r="P233" s="887"/>
      <c r="Q233" s="875"/>
      <c r="R233" s="875"/>
      <c r="S233" s="875"/>
      <c r="T233" s="875"/>
      <c r="U233" s="875"/>
      <c r="V233" s="875"/>
      <c r="W233" s="875"/>
      <c r="X233" s="875"/>
      <c r="Y233" s="875"/>
      <c r="Z233" s="875"/>
    </row>
    <row r="234" spans="1:26" ht="18.75" hidden="1">
      <c r="A234" s="1109"/>
      <c r="B234" s="1110"/>
      <c r="C234" s="1110"/>
      <c r="D234" s="1116" t="s">
        <v>43</v>
      </c>
      <c r="E234" s="1114"/>
      <c r="F234" s="1114"/>
      <c r="G234" s="1115"/>
      <c r="H234" s="370"/>
      <c r="I234" s="886"/>
      <c r="J234" s="886"/>
      <c r="K234" s="887"/>
      <c r="L234" s="887"/>
      <c r="M234" s="887"/>
      <c r="N234" s="887"/>
      <c r="O234" s="1001"/>
      <c r="P234" s="1001"/>
      <c r="Q234" s="875"/>
      <c r="R234" s="875"/>
      <c r="S234" s="875"/>
      <c r="T234" s="875"/>
      <c r="U234" s="875"/>
      <c r="V234" s="875"/>
      <c r="W234" s="875"/>
      <c r="X234" s="875"/>
      <c r="Y234" s="875"/>
      <c r="Z234" s="875"/>
    </row>
    <row r="235" spans="1:26" ht="18.75" hidden="1">
      <c r="A235" s="1109"/>
      <c r="B235" s="1110"/>
      <c r="C235" s="1110"/>
      <c r="D235" s="1110"/>
      <c r="E235" s="1073" t="s">
        <v>118</v>
      </c>
      <c r="F235" s="1114"/>
      <c r="G235" s="1115"/>
      <c r="H235" s="370" t="s">
        <v>35</v>
      </c>
      <c r="I235" s="886">
        <f t="shared" ref="I235:J236" si="109">I246+I257</f>
        <v>0</v>
      </c>
      <c r="J235" s="886">
        <f t="shared" si="109"/>
        <v>0</v>
      </c>
      <c r="K235" s="887">
        <f t="shared" ref="K235:K237" si="110">IF(I235&gt;0,J235*100/I235,0)</f>
        <v>0</v>
      </c>
      <c r="L235" s="887"/>
      <c r="M235" s="887"/>
      <c r="N235" s="887"/>
      <c r="O235" s="887"/>
      <c r="P235" s="887"/>
      <c r="Q235" s="875"/>
      <c r="R235" s="875"/>
      <c r="S235" s="875"/>
      <c r="T235" s="875"/>
      <c r="U235" s="875"/>
      <c r="V235" s="875"/>
      <c r="W235" s="875"/>
      <c r="X235" s="875"/>
      <c r="Y235" s="875"/>
      <c r="Z235" s="875"/>
    </row>
    <row r="236" spans="1:26" ht="18.75" hidden="1">
      <c r="A236" s="1109"/>
      <c r="B236" s="1110"/>
      <c r="C236" s="1110"/>
      <c r="D236" s="1110"/>
      <c r="E236" s="1073" t="s">
        <v>119</v>
      </c>
      <c r="F236" s="1114"/>
      <c r="G236" s="1115"/>
      <c r="H236" s="370" t="s">
        <v>66</v>
      </c>
      <c r="I236" s="886">
        <f t="shared" si="109"/>
        <v>0</v>
      </c>
      <c r="J236" s="886">
        <f t="shared" si="109"/>
        <v>0</v>
      </c>
      <c r="K236" s="887">
        <f t="shared" si="110"/>
        <v>0</v>
      </c>
      <c r="L236" s="887"/>
      <c r="M236" s="887"/>
      <c r="N236" s="887"/>
      <c r="O236" s="887"/>
      <c r="P236" s="887"/>
      <c r="Q236" s="875"/>
      <c r="R236" s="875"/>
      <c r="S236" s="875"/>
      <c r="T236" s="875"/>
      <c r="U236" s="875"/>
      <c r="V236" s="875"/>
      <c r="W236" s="875"/>
      <c r="X236" s="875"/>
      <c r="Y236" s="875"/>
      <c r="Z236" s="875"/>
    </row>
    <row r="237" spans="1:26" ht="19.5" hidden="1">
      <c r="A237" s="1063"/>
      <c r="B237" s="1070"/>
      <c r="C237" s="1077" t="s">
        <v>332</v>
      </c>
      <c r="D237" s="1064"/>
      <c r="E237" s="1064"/>
      <c r="F237" s="1064"/>
      <c r="G237" s="1066"/>
      <c r="H237" s="260" t="s">
        <v>35</v>
      </c>
      <c r="I237" s="1078">
        <f t="shared" ref="I237:J237" ca="1" si="111">I244</f>
        <v>0</v>
      </c>
      <c r="J237" s="1078">
        <f t="shared" si="111"/>
        <v>0</v>
      </c>
      <c r="K237" s="1079">
        <f t="shared" ca="1" si="110"/>
        <v>0</v>
      </c>
      <c r="L237" s="1068"/>
      <c r="M237" s="1068"/>
      <c r="N237" s="1068"/>
      <c r="O237" s="1068"/>
      <c r="P237" s="1068"/>
    </row>
    <row r="238" spans="1:26" ht="19.5" hidden="1">
      <c r="A238" s="985"/>
      <c r="B238" s="986"/>
      <c r="C238" s="987" t="s">
        <v>16</v>
      </c>
      <c r="D238" s="988" t="s">
        <v>17</v>
      </c>
      <c r="E238" s="986"/>
      <c r="F238" s="986"/>
      <c r="G238" s="989"/>
      <c r="H238" s="275" t="s">
        <v>12</v>
      </c>
      <c r="I238" s="1082"/>
      <c r="J238" s="1082"/>
      <c r="K238" s="1083"/>
      <c r="L238" s="992">
        <f ca="1">L239+L240+L241+L242</f>
        <v>0</v>
      </c>
      <c r="M238" s="992"/>
      <c r="N238" s="992">
        <f>N239+N240+N241+N242</f>
        <v>0</v>
      </c>
      <c r="O238" s="992">
        <f ca="1">IF(L238&gt;0,N238*100/L238,0)</f>
        <v>0</v>
      </c>
      <c r="P238" s="992">
        <f>IF(M238&gt;0,N238*100/M238,0)</f>
        <v>0</v>
      </c>
      <c r="Q238" s="868"/>
      <c r="R238" s="868"/>
      <c r="S238" s="868"/>
      <c r="T238" s="868"/>
      <c r="U238" s="868"/>
      <c r="V238" s="868"/>
      <c r="W238" s="868"/>
      <c r="X238" s="868"/>
      <c r="Y238" s="868"/>
      <c r="Z238" s="868"/>
    </row>
    <row r="239" spans="1:26" ht="18.75" hidden="1">
      <c r="A239" s="1117"/>
      <c r="B239" s="1118"/>
      <c r="C239" s="1119"/>
      <c r="D239" s="1120" t="s">
        <v>97</v>
      </c>
      <c r="E239" s="1119"/>
      <c r="F239" s="1119"/>
      <c r="G239" s="1121"/>
      <c r="H239" s="319" t="s">
        <v>12</v>
      </c>
      <c r="I239" s="1122"/>
      <c r="J239" s="1122"/>
      <c r="K239" s="1123"/>
      <c r="L239" s="1124">
        <f ca="1">IFERROR(__xludf.DUMMYFUNCTION("IMPORTRANGE(""https://docs.google.com/spreadsheets/d/1QqKyyYR6Q21VydFLVH3TRQUabQu_ym0Zz7PgGX0-kHA/edit?usp=sharing"",""แผน!AV88"")"),0)</f>
        <v>0</v>
      </c>
      <c r="M239" s="1124"/>
      <c r="N239" s="1125">
        <v>0</v>
      </c>
      <c r="O239" s="1124"/>
      <c r="P239" s="1124"/>
      <c r="Q239" s="1126"/>
      <c r="R239" s="1126"/>
      <c r="S239" s="1126"/>
      <c r="T239" s="1126"/>
      <c r="U239" s="1126"/>
      <c r="V239" s="1126"/>
      <c r="W239" s="1126"/>
      <c r="X239" s="1126"/>
      <c r="Y239" s="1126"/>
      <c r="Z239" s="1126"/>
    </row>
    <row r="240" spans="1:26" ht="19.5" hidden="1">
      <c r="A240" s="1127"/>
      <c r="B240" s="1118"/>
      <c r="C240" s="1128"/>
      <c r="D240" s="1120" t="s">
        <v>98</v>
      </c>
      <c r="E240" s="1119"/>
      <c r="F240" s="1119"/>
      <c r="G240" s="1121"/>
      <c r="H240" s="319" t="s">
        <v>12</v>
      </c>
      <c r="I240" s="1129"/>
      <c r="J240" s="1129"/>
      <c r="K240" s="1124"/>
      <c r="L240" s="1124">
        <f ca="1">IFERROR(__xludf.DUMMYFUNCTION("IMPORTRANGE(""https://docs.google.com/spreadsheets/d/1QqKyyYR6Q21VydFLVH3TRQUabQu_ym0Zz7PgGX0-kHA/edit?usp=sharing"",""แผน!AW88"")"),0)</f>
        <v>0</v>
      </c>
      <c r="M240" s="1124"/>
      <c r="N240" s="1125">
        <v>0</v>
      </c>
      <c r="O240" s="1124"/>
      <c r="P240" s="1124"/>
      <c r="Q240" s="1130"/>
      <c r="R240" s="1130"/>
      <c r="S240" s="1130"/>
      <c r="T240" s="1130"/>
      <c r="U240" s="1130"/>
      <c r="V240" s="1130"/>
      <c r="W240" s="1130"/>
      <c r="X240" s="1130"/>
      <c r="Y240" s="1130"/>
      <c r="Z240" s="1130"/>
    </row>
    <row r="241" spans="1:26" ht="19.5" hidden="1">
      <c r="A241" s="1127"/>
      <c r="B241" s="1118"/>
      <c r="C241" s="1128"/>
      <c r="D241" s="1120" t="s">
        <v>116</v>
      </c>
      <c r="E241" s="1119"/>
      <c r="F241" s="1119"/>
      <c r="G241" s="1121"/>
      <c r="H241" s="319" t="s">
        <v>12</v>
      </c>
      <c r="I241" s="1129"/>
      <c r="J241" s="1129"/>
      <c r="K241" s="1124"/>
      <c r="L241" s="1124">
        <f ca="1">IFERROR(__xludf.DUMMYFUNCTION("IMPORTRANGE(""https://docs.google.com/spreadsheets/d/1QqKyyYR6Q21VydFLVH3TRQUabQu_ym0Zz7PgGX0-kHA/edit?usp=sharing"",""แผน!AX88"")"),0)</f>
        <v>0</v>
      </c>
      <c r="M241" s="1124"/>
      <c r="N241" s="1125">
        <v>0</v>
      </c>
      <c r="O241" s="1124"/>
      <c r="P241" s="1124"/>
      <c r="Q241" s="1130"/>
      <c r="R241" s="1130"/>
      <c r="S241" s="1130"/>
      <c r="T241" s="1130"/>
      <c r="U241" s="1130"/>
      <c r="V241" s="1130"/>
      <c r="W241" s="1130"/>
      <c r="X241" s="1130"/>
      <c r="Y241" s="1130"/>
      <c r="Z241" s="1130"/>
    </row>
    <row r="242" spans="1:26" ht="19.5" hidden="1">
      <c r="A242" s="1127"/>
      <c r="B242" s="1118"/>
      <c r="C242" s="1128"/>
      <c r="D242" s="1120" t="s">
        <v>100</v>
      </c>
      <c r="E242" s="1119"/>
      <c r="F242" s="1119"/>
      <c r="G242" s="1121"/>
      <c r="H242" s="319" t="s">
        <v>12</v>
      </c>
      <c r="I242" s="1129"/>
      <c r="J242" s="1129"/>
      <c r="K242" s="1124"/>
      <c r="L242" s="1124">
        <f ca="1">IFERROR(__xludf.DUMMYFUNCTION("IMPORTRANGE(""https://docs.google.com/spreadsheets/d/1QqKyyYR6Q21VydFLVH3TRQUabQu_ym0Zz7PgGX0-kHA/edit?usp=sharing"",""แผน!AY88"")"),0)</f>
        <v>0</v>
      </c>
      <c r="M242" s="1124"/>
      <c r="N242" s="1125">
        <v>0</v>
      </c>
      <c r="O242" s="1124"/>
      <c r="P242" s="1124"/>
      <c r="Q242" s="1130"/>
      <c r="R242" s="1130"/>
      <c r="S242" s="1130"/>
      <c r="T242" s="1130"/>
      <c r="U242" s="1130"/>
      <c r="V242" s="1130"/>
      <c r="W242" s="1130"/>
      <c r="X242" s="1130"/>
      <c r="Y242" s="1130"/>
      <c r="Z242" s="1130"/>
    </row>
    <row r="243" spans="1:26" ht="19.5" hidden="1">
      <c r="A243" s="1002"/>
      <c r="B243" s="1003"/>
      <c r="C243" s="1092" t="s">
        <v>16</v>
      </c>
      <c r="D243" s="1004" t="s">
        <v>38</v>
      </c>
      <c r="E243" s="1005"/>
      <c r="F243" s="1005"/>
      <c r="G243" s="1006"/>
      <c r="H243" s="1007"/>
      <c r="I243" s="997"/>
      <c r="J243" s="880"/>
      <c r="K243" s="881"/>
      <c r="L243" s="881"/>
      <c r="M243" s="881"/>
      <c r="N243" s="881"/>
      <c r="O243" s="998"/>
      <c r="P243" s="998"/>
      <c r="Q243" s="868"/>
      <c r="R243" s="868"/>
      <c r="S243" s="868"/>
      <c r="T243" s="868"/>
      <c r="U243" s="868"/>
      <c r="V243" s="868"/>
      <c r="W243" s="868"/>
      <c r="X243" s="868"/>
      <c r="Y243" s="868"/>
      <c r="Z243" s="868"/>
    </row>
    <row r="244" spans="1:26" ht="18.75" hidden="1">
      <c r="A244" s="1002"/>
      <c r="B244" s="1003"/>
      <c r="C244" s="1003"/>
      <c r="D244" s="1009" t="s">
        <v>117</v>
      </c>
      <c r="E244" s="1010"/>
      <c r="F244" s="1010"/>
      <c r="G244" s="1011"/>
      <c r="H244" s="762" t="s">
        <v>35</v>
      </c>
      <c r="I244" s="880">
        <f ca="1">IFERROR(__xludf.DUMMYFUNCTION("IMPORTRANGE(""https://docs.google.com/spreadsheets/d/1QqKyyYR6Q21VydFLVH3TRQUabQu_ym0Zz7PgGX0-kHA/edit?usp=sharing"",""แผน!BE88"")"),0)</f>
        <v>0</v>
      </c>
      <c r="J244" s="1012">
        <v>0</v>
      </c>
      <c r="K244" s="881">
        <f ca="1">IF(I244&gt;0,J244*100/I244,0)</f>
        <v>0</v>
      </c>
      <c r="L244" s="881"/>
      <c r="M244" s="881"/>
      <c r="N244" s="881"/>
      <c r="O244" s="881"/>
      <c r="P244" s="881"/>
      <c r="Q244" s="868"/>
      <c r="R244" s="868"/>
      <c r="S244" s="868"/>
      <c r="T244" s="868"/>
      <c r="U244" s="868"/>
      <c r="V244" s="868"/>
      <c r="W244" s="868"/>
      <c r="X244" s="868"/>
      <c r="Y244" s="868"/>
      <c r="Z244" s="868"/>
    </row>
    <row r="245" spans="1:26" ht="18.75" hidden="1">
      <c r="A245" s="1002"/>
      <c r="B245" s="1003"/>
      <c r="C245" s="1003"/>
      <c r="D245" s="1131" t="s">
        <v>43</v>
      </c>
      <c r="E245" s="1010"/>
      <c r="F245" s="1010"/>
      <c r="G245" s="1011"/>
      <c r="H245" s="762"/>
      <c r="I245" s="880"/>
      <c r="J245" s="880"/>
      <c r="K245" s="881"/>
      <c r="L245" s="881"/>
      <c r="M245" s="881"/>
      <c r="N245" s="881"/>
      <c r="O245" s="998"/>
      <c r="P245" s="998"/>
      <c r="Q245" s="868"/>
      <c r="R245" s="868"/>
      <c r="S245" s="868"/>
      <c r="T245" s="868"/>
      <c r="U245" s="868"/>
      <c r="V245" s="868"/>
      <c r="W245" s="868"/>
      <c r="X245" s="868"/>
      <c r="Y245" s="868"/>
      <c r="Z245" s="868"/>
    </row>
    <row r="246" spans="1:26" ht="18.75" hidden="1">
      <c r="A246" s="1002"/>
      <c r="B246" s="1003"/>
      <c r="C246" s="1003"/>
      <c r="D246" s="1003"/>
      <c r="E246" s="1008" t="s">
        <v>118</v>
      </c>
      <c r="F246" s="1010"/>
      <c r="G246" s="1011"/>
      <c r="H246" s="762" t="s">
        <v>35</v>
      </c>
      <c r="I246" s="880"/>
      <c r="J246" s="1012">
        <v>0</v>
      </c>
      <c r="K246" s="881">
        <f t="shared" ref="K246:K248" si="112">IF(I246&gt;0,J246*100/I246,0)</f>
        <v>0</v>
      </c>
      <c r="L246" s="881"/>
      <c r="M246" s="881"/>
      <c r="N246" s="881"/>
      <c r="O246" s="881"/>
      <c r="P246" s="881"/>
      <c r="Q246" s="868"/>
      <c r="R246" s="868"/>
      <c r="S246" s="868"/>
      <c r="T246" s="868"/>
      <c r="U246" s="868"/>
      <c r="V246" s="868"/>
      <c r="W246" s="868"/>
      <c r="X246" s="868"/>
      <c r="Y246" s="868"/>
      <c r="Z246" s="868"/>
    </row>
    <row r="247" spans="1:26" ht="18.75" hidden="1">
      <c r="A247" s="1002"/>
      <c r="B247" s="1003"/>
      <c r="C247" s="1003"/>
      <c r="D247" s="1003"/>
      <c r="E247" s="1008" t="s">
        <v>119</v>
      </c>
      <c r="F247" s="1010"/>
      <c r="G247" s="1011"/>
      <c r="H247" s="762" t="s">
        <v>66</v>
      </c>
      <c r="I247" s="880"/>
      <c r="J247" s="1012">
        <v>0</v>
      </c>
      <c r="K247" s="881">
        <f t="shared" si="112"/>
        <v>0</v>
      </c>
      <c r="L247" s="881"/>
      <c r="M247" s="881"/>
      <c r="N247" s="881"/>
      <c r="O247" s="881"/>
      <c r="P247" s="881"/>
      <c r="Q247" s="868"/>
      <c r="R247" s="868"/>
      <c r="S247" s="868"/>
      <c r="T247" s="868"/>
      <c r="U247" s="868"/>
      <c r="V247" s="868"/>
      <c r="W247" s="868"/>
      <c r="X247" s="868"/>
      <c r="Y247" s="868"/>
      <c r="Z247" s="868"/>
    </row>
    <row r="248" spans="1:26" ht="19.5" hidden="1">
      <c r="A248" s="1063"/>
      <c r="B248" s="1070"/>
      <c r="C248" s="1077" t="s">
        <v>333</v>
      </c>
      <c r="D248" s="1064"/>
      <c r="E248" s="1064"/>
      <c r="F248" s="1064"/>
      <c r="G248" s="1066"/>
      <c r="H248" s="260" t="s">
        <v>35</v>
      </c>
      <c r="I248" s="1078" t="str">
        <f t="shared" ref="I248:J248" ca="1" si="113">I255</f>
        <v/>
      </c>
      <c r="J248" s="1078">
        <f t="shared" si="113"/>
        <v>0</v>
      </c>
      <c r="K248" s="1079" t="e">
        <f t="shared" ca="1" si="112"/>
        <v>#VALUE!</v>
      </c>
      <c r="L248" s="1068"/>
      <c r="M248" s="1068"/>
      <c r="N248" s="1068"/>
      <c r="O248" s="1068"/>
      <c r="P248" s="1068"/>
    </row>
    <row r="249" spans="1:26" ht="19.5" hidden="1">
      <c r="A249" s="985"/>
      <c r="B249" s="986"/>
      <c r="C249" s="987" t="s">
        <v>16</v>
      </c>
      <c r="D249" s="1080" t="s">
        <v>17</v>
      </c>
      <c r="E249" s="986"/>
      <c r="F249" s="986"/>
      <c r="G249" s="989"/>
      <c r="H249" s="275" t="s">
        <v>12</v>
      </c>
      <c r="I249" s="1082"/>
      <c r="J249" s="1082"/>
      <c r="K249" s="1083"/>
      <c r="L249" s="992">
        <f ca="1">L250+L251+L252+L253</f>
        <v>0</v>
      </c>
      <c r="M249" s="992"/>
      <c r="N249" s="992">
        <f>N250+N251+N252+N253</f>
        <v>0</v>
      </c>
      <c r="O249" s="992">
        <f ca="1">IF(L249&gt;0,N249*100/L249,0)</f>
        <v>0</v>
      </c>
      <c r="P249" s="992">
        <f>IF(M249&gt;0,N249*100/M249,0)</f>
        <v>0</v>
      </c>
      <c r="Q249" s="868"/>
      <c r="R249" s="868"/>
      <c r="S249" s="868"/>
      <c r="T249" s="868"/>
      <c r="U249" s="868"/>
      <c r="V249" s="868"/>
      <c r="W249" s="868"/>
      <c r="X249" s="868"/>
      <c r="Y249" s="868"/>
      <c r="Z249" s="868"/>
    </row>
    <row r="250" spans="1:26" ht="18.75" hidden="1">
      <c r="A250" s="1117"/>
      <c r="B250" s="1118"/>
      <c r="C250" s="1119"/>
      <c r="D250" s="1120" t="s">
        <v>97</v>
      </c>
      <c r="E250" s="1119"/>
      <c r="F250" s="1119"/>
      <c r="G250" s="1121"/>
      <c r="H250" s="319" t="s">
        <v>12</v>
      </c>
      <c r="I250" s="1122"/>
      <c r="J250" s="1122"/>
      <c r="K250" s="1123"/>
      <c r="L250" s="1124">
        <f ca="1">IFERROR(__xludf.DUMMYFUNCTION("IMPORTRANGE(""https://docs.google.com/spreadsheets/d/1QqKyyYR6Q21VydFLVH3TRQUabQu_ym0Zz7PgGX0-kHA/edit?usp=sharing"",""แผน!AZ88"")"),0)</f>
        <v>0</v>
      </c>
      <c r="M250" s="1124"/>
      <c r="N250" s="1125">
        <v>0</v>
      </c>
      <c r="O250" s="1124"/>
      <c r="P250" s="1124"/>
      <c r="Q250" s="1126"/>
      <c r="R250" s="1126"/>
      <c r="S250" s="1126"/>
      <c r="T250" s="1126"/>
      <c r="U250" s="1126"/>
      <c r="V250" s="1126"/>
      <c r="W250" s="1126"/>
      <c r="X250" s="1126"/>
      <c r="Y250" s="1126"/>
      <c r="Z250" s="1126"/>
    </row>
    <row r="251" spans="1:26" ht="19.5" hidden="1">
      <c r="A251" s="1127"/>
      <c r="B251" s="1118"/>
      <c r="C251" s="1128"/>
      <c r="D251" s="1120" t="s">
        <v>98</v>
      </c>
      <c r="E251" s="1119"/>
      <c r="F251" s="1119"/>
      <c r="G251" s="1121"/>
      <c r="H251" s="319" t="s">
        <v>12</v>
      </c>
      <c r="I251" s="1129"/>
      <c r="J251" s="1129"/>
      <c r="K251" s="1124"/>
      <c r="L251" s="1124">
        <f ca="1">IFERROR(__xludf.DUMMYFUNCTION("IMPORTRANGE(""https://docs.google.com/spreadsheets/d/1QqKyyYR6Q21VydFLVH3TRQUabQu_ym0Zz7PgGX0-kHA/edit?usp=sharing"",""แผน!BA88"")"),0)</f>
        <v>0</v>
      </c>
      <c r="M251" s="1124"/>
      <c r="N251" s="1125">
        <v>0</v>
      </c>
      <c r="O251" s="1124"/>
      <c r="P251" s="1124"/>
      <c r="Q251" s="1130"/>
      <c r="R251" s="1130"/>
      <c r="S251" s="1130"/>
      <c r="T251" s="1130"/>
      <c r="U251" s="1130"/>
      <c r="V251" s="1130"/>
      <c r="W251" s="1130"/>
      <c r="X251" s="1130"/>
      <c r="Y251" s="1130"/>
      <c r="Z251" s="1130"/>
    </row>
    <row r="252" spans="1:26" ht="19.5" hidden="1">
      <c r="A252" s="1127"/>
      <c r="B252" s="1118"/>
      <c r="C252" s="1128"/>
      <c r="D252" s="1120" t="s">
        <v>116</v>
      </c>
      <c r="E252" s="1119"/>
      <c r="F252" s="1119"/>
      <c r="G252" s="1121"/>
      <c r="H252" s="319" t="s">
        <v>12</v>
      </c>
      <c r="I252" s="1129"/>
      <c r="J252" s="1129"/>
      <c r="K252" s="1124"/>
      <c r="L252" s="1124">
        <f ca="1">IFERROR(__xludf.DUMMYFUNCTION("IMPORTRANGE(""https://docs.google.com/spreadsheets/d/1QqKyyYR6Q21VydFLVH3TRQUabQu_ym0Zz7PgGX0-kHA/edit?usp=sharing"",""แผน!BB88"")"),0)</f>
        <v>0</v>
      </c>
      <c r="M252" s="1124"/>
      <c r="N252" s="1125">
        <v>0</v>
      </c>
      <c r="O252" s="1124"/>
      <c r="P252" s="1124"/>
      <c r="Q252" s="1130"/>
      <c r="R252" s="1130"/>
      <c r="S252" s="1130"/>
      <c r="T252" s="1130"/>
      <c r="U252" s="1130"/>
      <c r="V252" s="1130"/>
      <c r="W252" s="1130"/>
      <c r="X252" s="1130"/>
      <c r="Y252" s="1130"/>
      <c r="Z252" s="1130"/>
    </row>
    <row r="253" spans="1:26" ht="19.5" hidden="1">
      <c r="A253" s="1127"/>
      <c r="B253" s="1118"/>
      <c r="C253" s="1128"/>
      <c r="D253" s="1120" t="s">
        <v>100</v>
      </c>
      <c r="E253" s="1119"/>
      <c r="F253" s="1119"/>
      <c r="G253" s="1121"/>
      <c r="H253" s="319" t="s">
        <v>12</v>
      </c>
      <c r="I253" s="1129"/>
      <c r="J253" s="1129"/>
      <c r="K253" s="1124"/>
      <c r="L253" s="1124">
        <f ca="1">IFERROR(__xludf.DUMMYFUNCTION("IMPORTRANGE(""https://docs.google.com/spreadsheets/d/1QqKyyYR6Q21VydFLVH3TRQUabQu_ym0Zz7PgGX0-kHA/edit?usp=sharing"",""แผน!BC88"")"),0)</f>
        <v>0</v>
      </c>
      <c r="M253" s="1124"/>
      <c r="N253" s="1125">
        <v>0</v>
      </c>
      <c r="O253" s="1124"/>
      <c r="P253" s="1124"/>
      <c r="Q253" s="1130"/>
      <c r="R253" s="1130"/>
      <c r="S253" s="1130"/>
      <c r="T253" s="1130"/>
      <c r="U253" s="1130"/>
      <c r="V253" s="1130"/>
      <c r="W253" s="1130"/>
      <c r="X253" s="1130"/>
      <c r="Y253" s="1130"/>
      <c r="Z253" s="1130"/>
    </row>
    <row r="254" spans="1:26" ht="19.5" hidden="1">
      <c r="A254" s="1002"/>
      <c r="B254" s="1003"/>
      <c r="C254" s="1092" t="s">
        <v>16</v>
      </c>
      <c r="D254" s="1004" t="s">
        <v>38</v>
      </c>
      <c r="E254" s="1005"/>
      <c r="F254" s="1005"/>
      <c r="G254" s="1006"/>
      <c r="H254" s="1007"/>
      <c r="I254" s="997"/>
      <c r="J254" s="880"/>
      <c r="K254" s="881"/>
      <c r="L254" s="881"/>
      <c r="M254" s="881"/>
      <c r="N254" s="881"/>
      <c r="O254" s="998"/>
      <c r="P254" s="998"/>
      <c r="Q254" s="868"/>
      <c r="R254" s="868"/>
      <c r="S254" s="868"/>
      <c r="T254" s="868"/>
      <c r="U254" s="868"/>
      <c r="V254" s="868"/>
      <c r="W254" s="868"/>
      <c r="X254" s="868"/>
      <c r="Y254" s="868"/>
      <c r="Z254" s="868"/>
    </row>
    <row r="255" spans="1:26" ht="18.75" hidden="1">
      <c r="A255" s="1002"/>
      <c r="B255" s="1003"/>
      <c r="C255" s="1003"/>
      <c r="D255" s="1009" t="s">
        <v>117</v>
      </c>
      <c r="E255" s="1010"/>
      <c r="F255" s="1010"/>
      <c r="G255" s="1011"/>
      <c r="H255" s="762" t="s">
        <v>35</v>
      </c>
      <c r="I255" s="880" t="str">
        <f ca="1">IFERROR(__xludf.DUMMYFUNCTION("IMPORTRANGE(""https://docs.google.com/spreadsheets/d/1QqKyyYR6Q21VydFLVH3TRQUabQu_ym0Zz7PgGX0-kHA/edit?usp=sharing"",""แผน!BF88"")"),"")</f>
        <v/>
      </c>
      <c r="J255" s="1012">
        <v>0</v>
      </c>
      <c r="K255" s="881" t="e">
        <f ca="1">IF(I255&gt;0,J255*100/I255,0)</f>
        <v>#VALUE!</v>
      </c>
      <c r="L255" s="881"/>
      <c r="M255" s="881"/>
      <c r="N255" s="881"/>
      <c r="O255" s="881"/>
      <c r="P255" s="881"/>
      <c r="Q255" s="868"/>
      <c r="R255" s="868"/>
      <c r="S255" s="868"/>
      <c r="T255" s="868"/>
      <c r="U255" s="868"/>
      <c r="V255" s="868"/>
      <c r="W255" s="868"/>
      <c r="X255" s="868"/>
      <c r="Y255" s="868"/>
      <c r="Z255" s="868"/>
    </row>
    <row r="256" spans="1:26" ht="18.75" hidden="1">
      <c r="A256" s="1002"/>
      <c r="B256" s="1003"/>
      <c r="C256" s="1003"/>
      <c r="D256" s="1131" t="s">
        <v>43</v>
      </c>
      <c r="E256" s="1010"/>
      <c r="F256" s="1010"/>
      <c r="G256" s="1011"/>
      <c r="H256" s="762"/>
      <c r="I256" s="880"/>
      <c r="J256" s="880"/>
      <c r="K256" s="881"/>
      <c r="L256" s="881"/>
      <c r="M256" s="881"/>
      <c r="N256" s="881"/>
      <c r="O256" s="998"/>
      <c r="P256" s="998"/>
      <c r="Q256" s="868"/>
      <c r="R256" s="868"/>
      <c r="S256" s="868"/>
      <c r="T256" s="868"/>
      <c r="U256" s="868"/>
      <c r="V256" s="868"/>
      <c r="W256" s="868"/>
      <c r="X256" s="868"/>
      <c r="Y256" s="868"/>
      <c r="Z256" s="868"/>
    </row>
    <row r="257" spans="1:26" ht="18.75" hidden="1">
      <c r="A257" s="1002"/>
      <c r="B257" s="1003"/>
      <c r="C257" s="1003"/>
      <c r="D257" s="1003"/>
      <c r="E257" s="1008" t="s">
        <v>118</v>
      </c>
      <c r="F257" s="1010"/>
      <c r="G257" s="1011"/>
      <c r="H257" s="762" t="s">
        <v>35</v>
      </c>
      <c r="I257" s="880"/>
      <c r="J257" s="1012">
        <v>0</v>
      </c>
      <c r="K257" s="881">
        <f t="shared" ref="K257:K258" si="114">IF(I257&gt;0,J257*100/I257,0)</f>
        <v>0</v>
      </c>
      <c r="L257" s="881"/>
      <c r="M257" s="881"/>
      <c r="N257" s="881"/>
      <c r="O257" s="881"/>
      <c r="P257" s="881"/>
      <c r="Q257" s="868"/>
      <c r="R257" s="868"/>
      <c r="S257" s="868"/>
      <c r="T257" s="868"/>
      <c r="U257" s="868"/>
      <c r="V257" s="868"/>
      <c r="W257" s="868"/>
      <c r="X257" s="868"/>
      <c r="Y257" s="868"/>
      <c r="Z257" s="868"/>
    </row>
    <row r="258" spans="1:26" ht="18.75" hidden="1">
      <c r="A258" s="1002"/>
      <c r="B258" s="1003"/>
      <c r="C258" s="1003"/>
      <c r="D258" s="1003"/>
      <c r="E258" s="1008" t="s">
        <v>119</v>
      </c>
      <c r="F258" s="1010"/>
      <c r="G258" s="1011"/>
      <c r="H258" s="762" t="s">
        <v>66</v>
      </c>
      <c r="I258" s="880"/>
      <c r="J258" s="1012">
        <v>0</v>
      </c>
      <c r="K258" s="881">
        <f t="shared" si="114"/>
        <v>0</v>
      </c>
      <c r="L258" s="881"/>
      <c r="M258" s="881"/>
      <c r="N258" s="881"/>
      <c r="O258" s="881"/>
      <c r="P258" s="881"/>
      <c r="Q258" s="868"/>
      <c r="R258" s="868"/>
      <c r="S258" s="868"/>
      <c r="T258" s="868"/>
      <c r="U258" s="868"/>
      <c r="V258" s="868"/>
      <c r="W258" s="868"/>
      <c r="X258" s="868"/>
      <c r="Y258" s="868"/>
      <c r="Z258" s="868"/>
    </row>
    <row r="259" spans="1:26" ht="19.5">
      <c r="A259" s="1051" t="s">
        <v>122</v>
      </c>
      <c r="B259" s="1052"/>
      <c r="C259" s="1052"/>
      <c r="D259" s="1053"/>
      <c r="E259" s="1053"/>
      <c r="F259" s="1053"/>
      <c r="G259" s="1054"/>
      <c r="H259" s="1055"/>
      <c r="I259" s="1056"/>
      <c r="J259" s="1056"/>
      <c r="K259" s="1057"/>
      <c r="L259" s="1057"/>
      <c r="M259" s="1057"/>
      <c r="N259" s="1057"/>
      <c r="O259" s="1057"/>
      <c r="P259" s="1057"/>
    </row>
    <row r="260" spans="1:26" ht="19.5">
      <c r="A260" s="1058"/>
      <c r="B260" s="1059" t="s">
        <v>123</v>
      </c>
      <c r="C260" s="1060"/>
      <c r="D260" s="1005"/>
      <c r="E260" s="1005"/>
      <c r="F260" s="1005"/>
      <c r="G260" s="1006"/>
      <c r="H260" s="252" t="s">
        <v>35</v>
      </c>
      <c r="I260" s="1075">
        <f t="shared" ref="I260:J260" ca="1" si="115">I271</f>
        <v>20</v>
      </c>
      <c r="J260" s="1075">
        <f t="shared" si="115"/>
        <v>0</v>
      </c>
      <c r="K260" s="1076">
        <f ca="1">IF(I260&gt;0,J260*100/I260,0)</f>
        <v>0</v>
      </c>
      <c r="L260" s="1062"/>
      <c r="M260" s="1062"/>
      <c r="N260" s="1062"/>
      <c r="O260" s="1062"/>
      <c r="P260" s="1062"/>
    </row>
    <row r="261" spans="1:26" ht="19.5">
      <c r="A261" s="985"/>
      <c r="B261" s="986"/>
      <c r="C261" s="987" t="s">
        <v>16</v>
      </c>
      <c r="D261" s="988" t="s">
        <v>17</v>
      </c>
      <c r="E261" s="986"/>
      <c r="F261" s="986"/>
      <c r="G261" s="989"/>
      <c r="H261" s="152" t="s">
        <v>12</v>
      </c>
      <c r="I261" s="990"/>
      <c r="J261" s="990"/>
      <c r="K261" s="991"/>
      <c r="L261" s="992">
        <f t="shared" ref="L261:N261" ca="1" si="116">L262+L263</f>
        <v>25000</v>
      </c>
      <c r="M261" s="992">
        <f t="shared" ca="1" si="116"/>
        <v>0</v>
      </c>
      <c r="N261" s="992">
        <f t="shared" ca="1" si="116"/>
        <v>0</v>
      </c>
      <c r="O261" s="992">
        <f t="shared" ref="O261:O269" ca="1" si="117">IF(L261&gt;0,N261*100/L261,0)</f>
        <v>0</v>
      </c>
      <c r="P261" s="992">
        <f t="shared" ref="P261:P269" ca="1" si="118">IF(M261&gt;0,N261*100/M261,0)</f>
        <v>0</v>
      </c>
      <c r="Q261" s="868"/>
      <c r="R261" s="868"/>
      <c r="S261" s="868"/>
      <c r="T261" s="868"/>
      <c r="U261" s="868"/>
      <c r="V261" s="868"/>
      <c r="W261" s="868"/>
      <c r="X261" s="868"/>
      <c r="Y261" s="868"/>
      <c r="Z261" s="868"/>
    </row>
    <row r="262" spans="1:26" ht="18.75" hidden="1">
      <c r="A262" s="993"/>
      <c r="B262" s="883"/>
      <c r="C262" s="883"/>
      <c r="D262" s="883"/>
      <c r="E262" s="884" t="s">
        <v>18</v>
      </c>
      <c r="F262" s="883"/>
      <c r="G262" s="994"/>
      <c r="H262" s="158" t="s">
        <v>12</v>
      </c>
      <c r="I262" s="886"/>
      <c r="J262" s="886"/>
      <c r="K262" s="887"/>
      <c r="L262" s="887">
        <f t="shared" ref="L262:N263" si="119">L265+L268</f>
        <v>0</v>
      </c>
      <c r="M262" s="887">
        <f t="shared" si="119"/>
        <v>0</v>
      </c>
      <c r="N262" s="887">
        <f t="shared" si="119"/>
        <v>0</v>
      </c>
      <c r="O262" s="887">
        <f t="shared" si="117"/>
        <v>0</v>
      </c>
      <c r="P262" s="887">
        <f t="shared" si="118"/>
        <v>0</v>
      </c>
      <c r="Q262" s="875"/>
      <c r="R262" s="875"/>
      <c r="S262" s="875"/>
      <c r="T262" s="875"/>
      <c r="U262" s="875"/>
      <c r="V262" s="875"/>
      <c r="W262" s="875"/>
      <c r="X262" s="875"/>
      <c r="Y262" s="875"/>
      <c r="Z262" s="875"/>
    </row>
    <row r="263" spans="1:26" ht="18.75" hidden="1">
      <c r="A263" s="993"/>
      <c r="B263" s="883"/>
      <c r="C263" s="883"/>
      <c r="D263" s="883"/>
      <c r="E263" s="884" t="s">
        <v>19</v>
      </c>
      <c r="F263" s="883"/>
      <c r="G263" s="994"/>
      <c r="H263" s="158" t="s">
        <v>12</v>
      </c>
      <c r="I263" s="886"/>
      <c r="J263" s="886"/>
      <c r="K263" s="887"/>
      <c r="L263" s="887">
        <f t="shared" ca="1" si="119"/>
        <v>25000</v>
      </c>
      <c r="M263" s="887">
        <f t="shared" ca="1" si="119"/>
        <v>0</v>
      </c>
      <c r="N263" s="887">
        <f t="shared" ca="1" si="119"/>
        <v>0</v>
      </c>
      <c r="O263" s="887">
        <f t="shared" ca="1" si="117"/>
        <v>0</v>
      </c>
      <c r="P263" s="887">
        <f t="shared" ca="1" si="118"/>
        <v>0</v>
      </c>
      <c r="Q263" s="875"/>
      <c r="R263" s="875"/>
      <c r="S263" s="875"/>
      <c r="T263" s="875"/>
      <c r="U263" s="875"/>
      <c r="V263" s="875"/>
      <c r="W263" s="875"/>
      <c r="X263" s="875"/>
      <c r="Y263" s="875"/>
      <c r="Z263" s="875"/>
    </row>
    <row r="264" spans="1:26" ht="18.75">
      <c r="A264" s="995"/>
      <c r="B264" s="877"/>
      <c r="C264" s="996"/>
      <c r="D264" s="878" t="s">
        <v>20</v>
      </c>
      <c r="E264" s="877"/>
      <c r="F264" s="877"/>
      <c r="G264" s="879"/>
      <c r="H264" s="161" t="s">
        <v>12</v>
      </c>
      <c r="I264" s="997"/>
      <c r="J264" s="997"/>
      <c r="K264" s="998"/>
      <c r="L264" s="881">
        <f t="shared" ref="L264:N264" ca="1" si="120">L265+L266</f>
        <v>25000</v>
      </c>
      <c r="M264" s="881">
        <f t="shared" ca="1" si="120"/>
        <v>0</v>
      </c>
      <c r="N264" s="881">
        <f t="shared" ca="1" si="120"/>
        <v>0</v>
      </c>
      <c r="O264" s="881">
        <f t="shared" ca="1" si="117"/>
        <v>0</v>
      </c>
      <c r="P264" s="881">
        <f t="shared" ca="1" si="118"/>
        <v>0</v>
      </c>
      <c r="Q264" s="868"/>
      <c r="R264" s="868"/>
      <c r="S264" s="868"/>
      <c r="T264" s="868"/>
      <c r="U264" s="868"/>
      <c r="V264" s="868"/>
      <c r="W264" s="868"/>
      <c r="X264" s="868"/>
      <c r="Y264" s="868"/>
      <c r="Z264" s="868"/>
    </row>
    <row r="265" spans="1:26" ht="19.5" hidden="1">
      <c r="A265" s="993"/>
      <c r="B265" s="883"/>
      <c r="C265" s="999"/>
      <c r="D265" s="883"/>
      <c r="E265" s="884" t="s">
        <v>36</v>
      </c>
      <c r="F265" s="883"/>
      <c r="G265" s="994"/>
      <c r="H265" s="165" t="s">
        <v>12</v>
      </c>
      <c r="I265" s="1000"/>
      <c r="J265" s="1000"/>
      <c r="K265" s="1001"/>
      <c r="L265" s="887">
        <v>0</v>
      </c>
      <c r="M265" s="887">
        <v>0</v>
      </c>
      <c r="N265" s="887">
        <v>0</v>
      </c>
      <c r="O265" s="887">
        <f t="shared" si="117"/>
        <v>0</v>
      </c>
      <c r="P265" s="887">
        <f t="shared" si="118"/>
        <v>0</v>
      </c>
      <c r="Q265" s="875"/>
      <c r="R265" s="875"/>
      <c r="S265" s="875"/>
      <c r="T265" s="875"/>
      <c r="U265" s="875"/>
      <c r="V265" s="875"/>
      <c r="W265" s="875"/>
      <c r="X265" s="875"/>
      <c r="Y265" s="875"/>
      <c r="Z265" s="875"/>
    </row>
    <row r="266" spans="1:26" ht="19.5" hidden="1">
      <c r="A266" s="993"/>
      <c r="B266" s="883"/>
      <c r="C266" s="999"/>
      <c r="D266" s="883"/>
      <c r="E266" s="884" t="s">
        <v>37</v>
      </c>
      <c r="F266" s="883"/>
      <c r="G266" s="994"/>
      <c r="H266" s="165" t="s">
        <v>12</v>
      </c>
      <c r="I266" s="1000"/>
      <c r="J266" s="1000"/>
      <c r="K266" s="1001"/>
      <c r="L266" s="887">
        <f ca="1">IFERROR(__xludf.DUMMYFUNCTION("IMPORTRANGE(""https://docs.google.com/spreadsheets/d/1MeEWN-I1oV_STSDYn1IFDPWt_1FKiwhDph83XaGc0o0/edit?usp=sharing"",""งบพรบ!CY88"")"),25000)</f>
        <v>25000</v>
      </c>
      <c r="M266" s="887">
        <f ca="1">IFERROR(__xludf.DUMMYFUNCTION("IMPORTRANGE(""https://docs.google.com/spreadsheets/d/1MeEWN-I1oV_STSDYn1IFDPWt_1FKiwhDph83XaGc0o0/edit?usp=sharing"",""งบพรบ!DD88"")"),0)</f>
        <v>0</v>
      </c>
      <c r="N266" s="887">
        <f ca="1">IFERROR(__xludf.DUMMYFUNCTION("IMPORTRANGE(""https://docs.google.com/spreadsheets/d/1MeEWN-I1oV_STSDYn1IFDPWt_1FKiwhDph83XaGc0o0/edit?usp=sharing"",""งบพรบ!DF88"")"),0)</f>
        <v>0</v>
      </c>
      <c r="O266" s="887">
        <f t="shared" ca="1" si="117"/>
        <v>0</v>
      </c>
      <c r="P266" s="887">
        <f t="shared" ca="1" si="118"/>
        <v>0</v>
      </c>
      <c r="Q266" s="875"/>
      <c r="R266" s="875"/>
      <c r="S266" s="875"/>
      <c r="T266" s="875"/>
      <c r="U266" s="875"/>
      <c r="V266" s="875"/>
      <c r="W266" s="875"/>
      <c r="X266" s="875"/>
      <c r="Y266" s="875"/>
      <c r="Z266" s="875"/>
    </row>
    <row r="267" spans="1:26" ht="18.75">
      <c r="A267" s="995"/>
      <c r="B267" s="877"/>
      <c r="C267" s="996"/>
      <c r="D267" s="878" t="s">
        <v>21</v>
      </c>
      <c r="E267" s="877"/>
      <c r="F267" s="877"/>
      <c r="G267" s="879"/>
      <c r="H267" s="168" t="s">
        <v>12</v>
      </c>
      <c r="I267" s="997"/>
      <c r="J267" s="997"/>
      <c r="K267" s="998"/>
      <c r="L267" s="881">
        <f t="shared" ref="L267:N267" ca="1" si="121">L268+L269</f>
        <v>0</v>
      </c>
      <c r="M267" s="881">
        <f t="shared" ca="1" si="121"/>
        <v>0</v>
      </c>
      <c r="N267" s="881">
        <f t="shared" ca="1" si="121"/>
        <v>0</v>
      </c>
      <c r="O267" s="881">
        <f t="shared" ca="1" si="117"/>
        <v>0</v>
      </c>
      <c r="P267" s="881">
        <f t="shared" ca="1" si="118"/>
        <v>0</v>
      </c>
      <c r="Q267" s="868"/>
      <c r="R267" s="868"/>
      <c r="S267" s="868"/>
      <c r="T267" s="868"/>
      <c r="U267" s="868"/>
      <c r="V267" s="868"/>
      <c r="W267" s="868"/>
      <c r="X267" s="868"/>
      <c r="Y267" s="868"/>
      <c r="Z267" s="868"/>
    </row>
    <row r="268" spans="1:26" ht="19.5" hidden="1">
      <c r="A268" s="993"/>
      <c r="B268" s="883"/>
      <c r="C268" s="999"/>
      <c r="D268" s="883"/>
      <c r="E268" s="884" t="s">
        <v>18</v>
      </c>
      <c r="F268" s="883"/>
      <c r="G268" s="994"/>
      <c r="H268" s="165" t="s">
        <v>12</v>
      </c>
      <c r="I268" s="1000"/>
      <c r="J268" s="1000"/>
      <c r="K268" s="1001"/>
      <c r="L268" s="887">
        <v>0</v>
      </c>
      <c r="M268" s="887">
        <v>0</v>
      </c>
      <c r="N268" s="887">
        <v>0</v>
      </c>
      <c r="O268" s="887">
        <f t="shared" si="117"/>
        <v>0</v>
      </c>
      <c r="P268" s="887">
        <f t="shared" si="118"/>
        <v>0</v>
      </c>
      <c r="Q268" s="875"/>
      <c r="R268" s="875"/>
      <c r="S268" s="875"/>
      <c r="T268" s="875"/>
      <c r="U268" s="875"/>
      <c r="V268" s="875"/>
      <c r="W268" s="875"/>
      <c r="X268" s="875"/>
      <c r="Y268" s="875"/>
      <c r="Z268" s="875"/>
    </row>
    <row r="269" spans="1:26" ht="19.5" hidden="1">
      <c r="A269" s="993"/>
      <c r="B269" s="883"/>
      <c r="C269" s="999"/>
      <c r="D269" s="883"/>
      <c r="E269" s="884" t="s">
        <v>19</v>
      </c>
      <c r="F269" s="883"/>
      <c r="G269" s="994"/>
      <c r="H269" s="169" t="s">
        <v>12</v>
      </c>
      <c r="I269" s="1000"/>
      <c r="J269" s="1000"/>
      <c r="K269" s="1001"/>
      <c r="L269" s="887">
        <f ca="1">IFERROR(__xludf.DUMMYFUNCTION("IMPORTRANGE(""https://docs.google.com/spreadsheets/d/1MeEWN-I1oV_STSDYn1IFDPWt_1FKiwhDph83XaGc0o0/edit?usp=sharing"",""งบพรบ!DB88"")"),0)</f>
        <v>0</v>
      </c>
      <c r="M269" s="887">
        <f ca="1">IFERROR(__xludf.DUMMYFUNCTION("IMPORTRANGE(""https://docs.google.com/spreadsheets/d/1MeEWN-I1oV_STSDYn1IFDPWt_1FKiwhDph83XaGc0o0/edit?usp=sharing"",""งบพรบ!DE88"")"),0)</f>
        <v>0</v>
      </c>
      <c r="N269" s="887">
        <f ca="1">IFERROR(__xludf.DUMMYFUNCTION("IMPORTRANGE(""https://docs.google.com/spreadsheets/d/1MeEWN-I1oV_STSDYn1IFDPWt_1FKiwhDph83XaGc0o0/edit?usp=sharing"",""งบพรบ!DG88"")"),0)</f>
        <v>0</v>
      </c>
      <c r="O269" s="887">
        <f t="shared" ca="1" si="117"/>
        <v>0</v>
      </c>
      <c r="P269" s="887">
        <f t="shared" ca="1" si="118"/>
        <v>0</v>
      </c>
      <c r="Q269" s="875"/>
      <c r="R269" s="875"/>
      <c r="S269" s="875"/>
      <c r="T269" s="875"/>
      <c r="U269" s="875"/>
      <c r="V269" s="875"/>
      <c r="W269" s="875"/>
      <c r="X269" s="875"/>
      <c r="Y269" s="875"/>
      <c r="Z269" s="875"/>
    </row>
    <row r="270" spans="1:26" ht="19.5">
      <c r="A270" s="1002"/>
      <c r="B270" s="1003"/>
      <c r="C270" s="996" t="s">
        <v>16</v>
      </c>
      <c r="D270" s="1004" t="s">
        <v>38</v>
      </c>
      <c r="E270" s="1005"/>
      <c r="F270" s="1005"/>
      <c r="G270" s="1006"/>
      <c r="H270" s="1007"/>
      <c r="I270" s="997"/>
      <c r="J270" s="997"/>
      <c r="K270" s="998"/>
      <c r="L270" s="998"/>
      <c r="M270" s="998"/>
      <c r="N270" s="998"/>
      <c r="O270" s="998"/>
      <c r="P270" s="998"/>
    </row>
    <row r="271" spans="1:26" ht="18.75">
      <c r="A271" s="1002"/>
      <c r="B271" s="1003"/>
      <c r="C271" s="1003"/>
      <c r="D271" s="1132" t="s">
        <v>124</v>
      </c>
      <c r="E271" s="1010"/>
      <c r="F271" s="1074"/>
      <c r="G271" s="1011"/>
      <c r="H271" s="377" t="s">
        <v>35</v>
      </c>
      <c r="I271" s="880">
        <f ca="1">IFERROR(__xludf.DUMMYFUNCTION("IMPORTRANGE(""https://docs.google.com/spreadsheets/d/1QqKyyYR6Q21VydFLVH3TRQUabQu_ym0Zz7PgGX0-kHA/edit?usp=sharing"",""แผน!EA88"")"),20)</f>
        <v>20</v>
      </c>
      <c r="J271" s="1012">
        <v>0</v>
      </c>
      <c r="K271" s="998">
        <f ca="1">IF(I271&gt;0,J271*100/I271,0)</f>
        <v>0</v>
      </c>
      <c r="L271" s="998"/>
      <c r="M271" s="998"/>
      <c r="N271" s="998"/>
      <c r="O271" s="998"/>
      <c r="P271" s="998"/>
    </row>
    <row r="272" spans="1:26" ht="18.75" hidden="1">
      <c r="A272" s="1133"/>
      <c r="B272" s="1134"/>
      <c r="C272" s="1134"/>
      <c r="D272" s="1135" t="s">
        <v>125</v>
      </c>
      <c r="E272" s="1136"/>
      <c r="F272" s="1136"/>
      <c r="G272" s="1137"/>
      <c r="H272" s="50" t="s">
        <v>35</v>
      </c>
      <c r="I272" s="1138">
        <v>0</v>
      </c>
      <c r="J272" s="1138">
        <v>0</v>
      </c>
      <c r="K272" s="1139">
        <v>0</v>
      </c>
      <c r="L272" s="1139"/>
      <c r="M272" s="1139"/>
      <c r="N272" s="1139"/>
      <c r="O272" s="1139"/>
      <c r="P272" s="1139"/>
    </row>
    <row r="273" spans="1:26" ht="19.5">
      <c r="A273" s="1140" t="s">
        <v>126</v>
      </c>
      <c r="B273" s="1141"/>
      <c r="C273" s="1141"/>
      <c r="D273" s="1141"/>
      <c r="E273" s="1142"/>
      <c r="F273" s="1142"/>
      <c r="G273" s="1143"/>
      <c r="H273" s="1144"/>
      <c r="I273" s="1145"/>
      <c r="J273" s="1145"/>
      <c r="K273" s="1146"/>
      <c r="L273" s="1146"/>
      <c r="M273" s="1146"/>
      <c r="N273" s="1146"/>
      <c r="O273" s="1146"/>
      <c r="P273" s="1146"/>
    </row>
    <row r="274" spans="1:26" ht="19.5">
      <c r="A274" s="1147" t="s">
        <v>127</v>
      </c>
      <c r="B274" s="1148"/>
      <c r="C274" s="1149"/>
      <c r="D274" s="1148"/>
      <c r="E274" s="1148"/>
      <c r="F274" s="1148"/>
      <c r="G274" s="1148"/>
      <c r="H274" s="1150"/>
      <c r="I274" s="1151"/>
      <c r="J274" s="1152"/>
      <c r="K274" s="1153"/>
      <c r="L274" s="1153"/>
      <c r="M274" s="1153"/>
      <c r="N274" s="1153"/>
      <c r="O274" s="1153"/>
      <c r="P274" s="1153"/>
    </row>
    <row r="275" spans="1:26" ht="19.5">
      <c r="A275" s="1154"/>
      <c r="B275" s="1155" t="s">
        <v>128</v>
      </c>
      <c r="C275" s="1156"/>
      <c r="D275" s="1157"/>
      <c r="E275" s="1156"/>
      <c r="F275" s="1156"/>
      <c r="G275" s="1158"/>
      <c r="H275" s="405" t="s">
        <v>35</v>
      </c>
      <c r="I275" s="1159">
        <f t="shared" ref="I275:J275" ca="1" si="122">I288</f>
        <v>10</v>
      </c>
      <c r="J275" s="1159">
        <f t="shared" ca="1" si="122"/>
        <v>10</v>
      </c>
      <c r="K275" s="1160">
        <f t="shared" ref="K275:K276" ca="1" si="123">IF(I275&gt;0,J275*100/I275,0)</f>
        <v>100</v>
      </c>
      <c r="L275" s="1161"/>
      <c r="M275" s="1161"/>
      <c r="N275" s="1161"/>
      <c r="O275" s="1161"/>
      <c r="P275" s="1161"/>
    </row>
    <row r="276" spans="1:26" ht="19.5">
      <c r="A276" s="1154"/>
      <c r="B276" s="1155"/>
      <c r="C276" s="1156"/>
      <c r="D276" s="1157"/>
      <c r="E276" s="1156"/>
      <c r="F276" s="1156"/>
      <c r="G276" s="1158"/>
      <c r="H276" s="405" t="s">
        <v>46</v>
      </c>
      <c r="I276" s="1493">
        <f t="shared" ref="I276:J276" ca="1" si="124">I287</f>
        <v>100</v>
      </c>
      <c r="J276" s="1493">
        <f t="shared" si="124"/>
        <v>0</v>
      </c>
      <c r="K276" s="1161">
        <f t="shared" ca="1" si="123"/>
        <v>0</v>
      </c>
      <c r="L276" s="1161"/>
      <c r="M276" s="1161"/>
      <c r="N276" s="1161"/>
      <c r="O276" s="1161"/>
      <c r="P276" s="1161"/>
    </row>
    <row r="277" spans="1:26" ht="19.5">
      <c r="A277" s="985"/>
      <c r="B277" s="986"/>
      <c r="C277" s="987" t="s">
        <v>16</v>
      </c>
      <c r="D277" s="988" t="s">
        <v>17</v>
      </c>
      <c r="E277" s="986"/>
      <c r="F277" s="986"/>
      <c r="G277" s="989"/>
      <c r="H277" s="152" t="s">
        <v>12</v>
      </c>
      <c r="I277" s="990"/>
      <c r="J277" s="990"/>
      <c r="K277" s="991"/>
      <c r="L277" s="992">
        <f t="shared" ref="L277:N277" ca="1" si="125">L278+L279</f>
        <v>41010</v>
      </c>
      <c r="M277" s="992">
        <f t="shared" ca="1" si="125"/>
        <v>41010</v>
      </c>
      <c r="N277" s="992">
        <f t="shared" ca="1" si="125"/>
        <v>40060</v>
      </c>
      <c r="O277" s="992">
        <f t="shared" ref="O277:O285" ca="1" si="126">IF(L277&gt;0,N277*100/L277,0)</f>
        <v>97.683491831260667</v>
      </c>
      <c r="P277" s="992">
        <f t="shared" ref="P277:P285" ca="1" si="127">IF(M277&gt;0,N277*100/M277,0)</f>
        <v>97.683491831260667</v>
      </c>
      <c r="Q277" s="868"/>
      <c r="R277" s="868"/>
      <c r="S277" s="868"/>
      <c r="T277" s="868"/>
      <c r="U277" s="868"/>
      <c r="V277" s="868"/>
      <c r="W277" s="868"/>
      <c r="X277" s="868"/>
      <c r="Y277" s="868"/>
      <c r="Z277" s="868"/>
    </row>
    <row r="278" spans="1:26" ht="18.75" hidden="1">
      <c r="A278" s="993"/>
      <c r="B278" s="883"/>
      <c r="C278" s="883"/>
      <c r="D278" s="883"/>
      <c r="E278" s="884" t="s">
        <v>18</v>
      </c>
      <c r="F278" s="883"/>
      <c r="G278" s="994"/>
      <c r="H278" s="158" t="s">
        <v>12</v>
      </c>
      <c r="I278" s="886"/>
      <c r="J278" s="886"/>
      <c r="K278" s="887"/>
      <c r="L278" s="887">
        <f t="shared" ref="L278:N279" si="128">L281+L284</f>
        <v>0</v>
      </c>
      <c r="M278" s="887">
        <f t="shared" si="128"/>
        <v>0</v>
      </c>
      <c r="N278" s="887">
        <f t="shared" si="128"/>
        <v>0</v>
      </c>
      <c r="O278" s="887">
        <f t="shared" si="126"/>
        <v>0</v>
      </c>
      <c r="P278" s="887">
        <f t="shared" si="127"/>
        <v>0</v>
      </c>
      <c r="Q278" s="875"/>
      <c r="R278" s="875"/>
      <c r="S278" s="875"/>
      <c r="T278" s="875"/>
      <c r="U278" s="875"/>
      <c r="V278" s="875"/>
      <c r="W278" s="875"/>
      <c r="X278" s="875"/>
      <c r="Y278" s="875"/>
      <c r="Z278" s="875"/>
    </row>
    <row r="279" spans="1:26" ht="18.75" hidden="1">
      <c r="A279" s="993"/>
      <c r="B279" s="883"/>
      <c r="C279" s="883"/>
      <c r="D279" s="883"/>
      <c r="E279" s="884" t="s">
        <v>19</v>
      </c>
      <c r="F279" s="883"/>
      <c r="G279" s="994"/>
      <c r="H279" s="158" t="s">
        <v>12</v>
      </c>
      <c r="I279" s="886"/>
      <c r="J279" s="886"/>
      <c r="K279" s="887"/>
      <c r="L279" s="887">
        <f t="shared" ca="1" si="128"/>
        <v>41010</v>
      </c>
      <c r="M279" s="887">
        <f t="shared" ca="1" si="128"/>
        <v>41010</v>
      </c>
      <c r="N279" s="887">
        <f t="shared" ca="1" si="128"/>
        <v>40060</v>
      </c>
      <c r="O279" s="887">
        <f t="shared" ca="1" si="126"/>
        <v>97.683491831260667</v>
      </c>
      <c r="P279" s="887">
        <f t="shared" ca="1" si="127"/>
        <v>97.683491831260667</v>
      </c>
      <c r="Q279" s="875"/>
      <c r="R279" s="875"/>
      <c r="S279" s="875"/>
      <c r="T279" s="875"/>
      <c r="U279" s="875"/>
      <c r="V279" s="875"/>
      <c r="W279" s="875"/>
      <c r="X279" s="875"/>
      <c r="Y279" s="875"/>
      <c r="Z279" s="875"/>
    </row>
    <row r="280" spans="1:26" ht="18.75">
      <c r="A280" s="995"/>
      <c r="B280" s="877"/>
      <c r="C280" s="996"/>
      <c r="D280" s="878" t="s">
        <v>20</v>
      </c>
      <c r="E280" s="877"/>
      <c r="F280" s="877"/>
      <c r="G280" s="879"/>
      <c r="H280" s="161" t="s">
        <v>12</v>
      </c>
      <c r="I280" s="997"/>
      <c r="J280" s="997"/>
      <c r="K280" s="998"/>
      <c r="L280" s="881">
        <f t="shared" ref="L280:N280" ca="1" si="129">L281+L282</f>
        <v>41010</v>
      </c>
      <c r="M280" s="881">
        <f t="shared" ca="1" si="129"/>
        <v>41010</v>
      </c>
      <c r="N280" s="881">
        <f t="shared" ca="1" si="129"/>
        <v>40060</v>
      </c>
      <c r="O280" s="881">
        <f t="shared" ca="1" si="126"/>
        <v>97.683491831260667</v>
      </c>
      <c r="P280" s="881">
        <f t="shared" ca="1" si="127"/>
        <v>97.683491831260667</v>
      </c>
      <c r="Q280" s="868"/>
      <c r="R280" s="868"/>
      <c r="S280" s="868"/>
      <c r="T280" s="868"/>
      <c r="U280" s="868"/>
      <c r="V280" s="868"/>
      <c r="W280" s="868"/>
      <c r="X280" s="868"/>
      <c r="Y280" s="868"/>
      <c r="Z280" s="868"/>
    </row>
    <row r="281" spans="1:26" ht="19.5" hidden="1">
      <c r="A281" s="993"/>
      <c r="B281" s="883"/>
      <c r="C281" s="999"/>
      <c r="D281" s="883"/>
      <c r="E281" s="884" t="s">
        <v>36</v>
      </c>
      <c r="F281" s="883"/>
      <c r="G281" s="994"/>
      <c r="H281" s="165" t="s">
        <v>12</v>
      </c>
      <c r="I281" s="1000"/>
      <c r="J281" s="1000"/>
      <c r="K281" s="1001"/>
      <c r="L281" s="887">
        <v>0</v>
      </c>
      <c r="M281" s="887">
        <v>0</v>
      </c>
      <c r="N281" s="887">
        <v>0</v>
      </c>
      <c r="O281" s="887">
        <f t="shared" si="126"/>
        <v>0</v>
      </c>
      <c r="P281" s="887">
        <f t="shared" si="127"/>
        <v>0</v>
      </c>
      <c r="Q281" s="875"/>
      <c r="R281" s="875"/>
      <c r="S281" s="875"/>
      <c r="T281" s="875"/>
      <c r="U281" s="875"/>
      <c r="V281" s="875"/>
      <c r="W281" s="875"/>
      <c r="X281" s="875"/>
      <c r="Y281" s="875"/>
      <c r="Z281" s="875"/>
    </row>
    <row r="282" spans="1:26" ht="19.5" hidden="1">
      <c r="A282" s="993"/>
      <c r="B282" s="883"/>
      <c r="C282" s="999"/>
      <c r="D282" s="883"/>
      <c r="E282" s="884" t="s">
        <v>37</v>
      </c>
      <c r="F282" s="883"/>
      <c r="G282" s="994"/>
      <c r="H282" s="165" t="s">
        <v>12</v>
      </c>
      <c r="I282" s="1000"/>
      <c r="J282" s="1000"/>
      <c r="K282" s="1001"/>
      <c r="L282" s="887">
        <f ca="1">IFERROR(__xludf.DUMMYFUNCTION("IMPORTRANGE(""https://docs.google.com/spreadsheets/d/1MeEWN-I1oV_STSDYn1IFDPWt_1FKiwhDph83XaGc0o0/edit?usp=sharing"",""งบพรบ!DI88"")"),41010)</f>
        <v>41010</v>
      </c>
      <c r="M282" s="887">
        <f ca="1">IFERROR(__xludf.DUMMYFUNCTION("IMPORTRANGE(""https://docs.google.com/spreadsheets/d/1MeEWN-I1oV_STSDYn1IFDPWt_1FKiwhDph83XaGc0o0/edit?usp=sharing"",""งบพรบ!DN88"")"),41010)</f>
        <v>41010</v>
      </c>
      <c r="N282" s="887">
        <f ca="1">IFERROR(__xludf.DUMMYFUNCTION("IMPORTRANGE(""https://docs.google.com/spreadsheets/d/1MeEWN-I1oV_STSDYn1IFDPWt_1FKiwhDph83XaGc0o0/edit?usp=sharing"",""งบพรบ!DP88"")"),40060)</f>
        <v>40060</v>
      </c>
      <c r="O282" s="887">
        <f t="shared" ca="1" si="126"/>
        <v>97.683491831260667</v>
      </c>
      <c r="P282" s="887">
        <f t="shared" ca="1" si="127"/>
        <v>97.683491831260667</v>
      </c>
      <c r="Q282" s="875"/>
      <c r="R282" s="875"/>
      <c r="S282" s="875"/>
      <c r="T282" s="875"/>
      <c r="U282" s="875"/>
      <c r="V282" s="875"/>
      <c r="W282" s="875"/>
      <c r="X282" s="875"/>
      <c r="Y282" s="875"/>
      <c r="Z282" s="875"/>
    </row>
    <row r="283" spans="1:26" ht="18.75">
      <c r="A283" s="995"/>
      <c r="B283" s="877"/>
      <c r="C283" s="996"/>
      <c r="D283" s="878" t="s">
        <v>21</v>
      </c>
      <c r="E283" s="877"/>
      <c r="F283" s="877"/>
      <c r="G283" s="879"/>
      <c r="H283" s="168" t="s">
        <v>12</v>
      </c>
      <c r="I283" s="997"/>
      <c r="J283" s="997"/>
      <c r="K283" s="998"/>
      <c r="L283" s="881">
        <f t="shared" ref="L283:N283" ca="1" si="130">L284+L285</f>
        <v>0</v>
      </c>
      <c r="M283" s="881">
        <f t="shared" ca="1" si="130"/>
        <v>0</v>
      </c>
      <c r="N283" s="881">
        <f t="shared" ca="1" si="130"/>
        <v>0</v>
      </c>
      <c r="O283" s="881">
        <f t="shared" ca="1" si="126"/>
        <v>0</v>
      </c>
      <c r="P283" s="881">
        <f t="shared" ca="1" si="127"/>
        <v>0</v>
      </c>
      <c r="Q283" s="868"/>
      <c r="R283" s="868"/>
      <c r="S283" s="868"/>
      <c r="T283" s="868"/>
      <c r="U283" s="868"/>
      <c r="V283" s="868"/>
      <c r="W283" s="868"/>
      <c r="X283" s="868"/>
      <c r="Y283" s="868"/>
      <c r="Z283" s="868"/>
    </row>
    <row r="284" spans="1:26" ht="19.5" hidden="1">
      <c r="A284" s="993"/>
      <c r="B284" s="883"/>
      <c r="C284" s="999"/>
      <c r="D284" s="883"/>
      <c r="E284" s="884" t="s">
        <v>18</v>
      </c>
      <c r="F284" s="883"/>
      <c r="G284" s="994"/>
      <c r="H284" s="165" t="s">
        <v>12</v>
      </c>
      <c r="I284" s="1000"/>
      <c r="J284" s="1000"/>
      <c r="K284" s="1001"/>
      <c r="L284" s="887">
        <v>0</v>
      </c>
      <c r="M284" s="887">
        <v>0</v>
      </c>
      <c r="N284" s="887">
        <v>0</v>
      </c>
      <c r="O284" s="887">
        <f t="shared" si="126"/>
        <v>0</v>
      </c>
      <c r="P284" s="887">
        <f t="shared" si="127"/>
        <v>0</v>
      </c>
      <c r="Q284" s="875"/>
      <c r="R284" s="875"/>
      <c r="S284" s="875"/>
      <c r="T284" s="875"/>
      <c r="U284" s="875"/>
      <c r="V284" s="875"/>
      <c r="W284" s="875"/>
      <c r="X284" s="875"/>
      <c r="Y284" s="875"/>
      <c r="Z284" s="875"/>
    </row>
    <row r="285" spans="1:26" ht="19.5" hidden="1">
      <c r="A285" s="993"/>
      <c r="B285" s="883"/>
      <c r="C285" s="999"/>
      <c r="D285" s="883"/>
      <c r="E285" s="884" t="s">
        <v>19</v>
      </c>
      <c r="F285" s="883"/>
      <c r="G285" s="994"/>
      <c r="H285" s="169" t="s">
        <v>12</v>
      </c>
      <c r="I285" s="1000"/>
      <c r="J285" s="1000"/>
      <c r="K285" s="1001"/>
      <c r="L285" s="887">
        <f ca="1">IFERROR(__xludf.DUMMYFUNCTION("IMPORTRANGE(""https://docs.google.com/spreadsheets/d/1MeEWN-I1oV_STSDYn1IFDPWt_1FKiwhDph83XaGc0o0/edit?usp=sharing"",""งบพรบ!DL88"")"),0)</f>
        <v>0</v>
      </c>
      <c r="M285" s="887">
        <f ca="1">IFERROR(__xludf.DUMMYFUNCTION("IMPORTRANGE(""https://docs.google.com/spreadsheets/d/1MeEWN-I1oV_STSDYn1IFDPWt_1FKiwhDph83XaGc0o0/edit?usp=sharing"",""งบพรบ!DO88"")"),0)</f>
        <v>0</v>
      </c>
      <c r="N285" s="887">
        <f ca="1">IFERROR(__xludf.DUMMYFUNCTION("IMPORTRANGE(""https://docs.google.com/spreadsheets/d/1MeEWN-I1oV_STSDYn1IFDPWt_1FKiwhDph83XaGc0o0/edit?usp=sharing"",""งบพรบ!DQ88"")"),0)</f>
        <v>0</v>
      </c>
      <c r="O285" s="887">
        <f t="shared" ca="1" si="126"/>
        <v>0</v>
      </c>
      <c r="P285" s="887">
        <f t="shared" ca="1" si="127"/>
        <v>0</v>
      </c>
      <c r="Q285" s="875"/>
      <c r="R285" s="875"/>
      <c r="S285" s="875"/>
      <c r="T285" s="875"/>
      <c r="U285" s="875"/>
      <c r="V285" s="875"/>
      <c r="W285" s="875"/>
      <c r="X285" s="875"/>
      <c r="Y285" s="875"/>
      <c r="Z285" s="875"/>
    </row>
    <row r="286" spans="1:26" ht="19.5">
      <c r="A286" s="1002"/>
      <c r="B286" s="1003"/>
      <c r="C286" s="999" t="s">
        <v>16</v>
      </c>
      <c r="D286" s="1004" t="s">
        <v>38</v>
      </c>
      <c r="E286" s="1005"/>
      <c r="F286" s="1005"/>
      <c r="G286" s="1006"/>
      <c r="H286" s="1007"/>
      <c r="I286" s="997"/>
      <c r="J286" s="997"/>
      <c r="K286" s="998"/>
      <c r="L286" s="998"/>
      <c r="M286" s="998"/>
      <c r="N286" s="998"/>
      <c r="O286" s="998"/>
      <c r="P286" s="998"/>
    </row>
    <row r="287" spans="1:26" ht="18.75">
      <c r="A287" s="1002"/>
      <c r="B287" s="1003"/>
      <c r="C287" s="1003"/>
      <c r="D287" s="1014" t="s">
        <v>129</v>
      </c>
      <c r="E287" s="1003"/>
      <c r="F287" s="1010"/>
      <c r="G287" s="1011"/>
      <c r="H287" s="185" t="s">
        <v>46</v>
      </c>
      <c r="I287" s="880">
        <f ca="1">IFERROR(__xludf.DUMMYFUNCTION("IMPORTRANGE(""https://docs.google.com/spreadsheets/d/1QqKyyYR6Q21VydFLVH3TRQUabQu_ym0Zz7PgGX0-kHA/edit?usp=sharing"",""แผน!EC88"")"),100)</f>
        <v>100</v>
      </c>
      <c r="J287" s="1012">
        <v>0</v>
      </c>
      <c r="K287" s="998">
        <f t="shared" ref="K287:K288" ca="1" si="131">IF(I287&gt;0,J287*100/I287,0)</f>
        <v>0</v>
      </c>
      <c r="L287" s="998"/>
      <c r="M287" s="998"/>
      <c r="N287" s="998"/>
      <c r="O287" s="998"/>
      <c r="P287" s="998"/>
    </row>
    <row r="288" spans="1:26" ht="19.5">
      <c r="A288" s="1002"/>
      <c r="B288" s="1003"/>
      <c r="C288" s="1003"/>
      <c r="D288" s="1014" t="s">
        <v>130</v>
      </c>
      <c r="E288" s="1003"/>
      <c r="F288" s="1010"/>
      <c r="G288" s="1011"/>
      <c r="H288" s="180" t="s">
        <v>35</v>
      </c>
      <c r="I288" s="1019">
        <f ca="1">IFERROR(__xludf.DUMMYFUNCTION("IMPORTRANGE(""https://docs.google.com/spreadsheets/d/1QqKyyYR6Q21VydFLVH3TRQUabQu_ym0Zz7PgGX0-kHA/edit?usp=sharing"",""แผน!EB88"")"),10)</f>
        <v>10</v>
      </c>
      <c r="J288" s="1019">
        <f ca="1">IF(AND(J291&gt;=I288,J294&gt;=I288),J294,0)</f>
        <v>10</v>
      </c>
      <c r="K288" s="1162">
        <f t="shared" ca="1" si="131"/>
        <v>100</v>
      </c>
      <c r="L288" s="998"/>
      <c r="M288" s="998"/>
      <c r="N288" s="998"/>
      <c r="O288" s="998"/>
      <c r="P288" s="998"/>
    </row>
    <row r="289" spans="1:26" ht="19.5">
      <c r="A289" s="1002"/>
      <c r="B289" s="1003"/>
      <c r="C289" s="1003"/>
      <c r="D289" s="1163"/>
      <c r="E289" s="1164" t="s">
        <v>131</v>
      </c>
      <c r="F289" s="1010"/>
      <c r="G289" s="1011"/>
      <c r="H289" s="762"/>
      <c r="I289" s="997"/>
      <c r="J289" s="880"/>
      <c r="K289" s="998"/>
      <c r="L289" s="998"/>
      <c r="M289" s="998"/>
      <c r="N289" s="998"/>
      <c r="O289" s="998"/>
      <c r="P289" s="998"/>
    </row>
    <row r="290" spans="1:26" ht="19.5">
      <c r="A290" s="1002"/>
      <c r="B290" s="1003"/>
      <c r="C290" s="1003"/>
      <c r="D290" s="1163"/>
      <c r="E290" s="1014" t="s">
        <v>132</v>
      </c>
      <c r="F290" s="1010"/>
      <c r="G290" s="1011"/>
      <c r="H290" s="762" t="s">
        <v>35</v>
      </c>
      <c r="I290" s="997">
        <f ca="1">IFERROR(__xludf.DUMMYFUNCTION("IMPORTRANGE(""https://docs.google.com/spreadsheets/d/1QqKyyYR6Q21VydFLVH3TRQUabQu_ym0Zz7PgGX0-kHA/edit?usp=sharing"",""แผน!EB88"")"),10)</f>
        <v>10</v>
      </c>
      <c r="J290" s="1012">
        <v>10</v>
      </c>
      <c r="K290" s="998">
        <f t="shared" ref="K290:K291" ca="1" si="132">IF(I290&gt;0,J290*100/I290,0)</f>
        <v>100</v>
      </c>
      <c r="L290" s="998"/>
      <c r="M290" s="998"/>
      <c r="N290" s="998"/>
      <c r="O290" s="998"/>
      <c r="P290" s="998"/>
    </row>
    <row r="291" spans="1:26" ht="19.5">
      <c r="A291" s="1002"/>
      <c r="B291" s="1003"/>
      <c r="C291" s="1003"/>
      <c r="D291" s="1010"/>
      <c r="E291" s="1014" t="s">
        <v>133</v>
      </c>
      <c r="F291" s="1010"/>
      <c r="G291" s="1011"/>
      <c r="H291" s="762" t="s">
        <v>35</v>
      </c>
      <c r="I291" s="997">
        <f ca="1">IFERROR(__xludf.DUMMYFUNCTION("IMPORTRANGE(""https://docs.google.com/spreadsheets/d/1QqKyyYR6Q21VydFLVH3TRQUabQu_ym0Zz7PgGX0-kHA/edit?usp=sharing"",""แผน!EB88"")"),10)</f>
        <v>10</v>
      </c>
      <c r="J291" s="1012">
        <v>10</v>
      </c>
      <c r="K291" s="998">
        <f t="shared" ca="1" si="132"/>
        <v>100</v>
      </c>
      <c r="L291" s="998"/>
      <c r="M291" s="998"/>
      <c r="N291" s="998"/>
      <c r="O291" s="998"/>
      <c r="P291" s="998"/>
    </row>
    <row r="292" spans="1:26" ht="19.5">
      <c r="A292" s="1165"/>
      <c r="B292" s="1166"/>
      <c r="C292" s="1166"/>
      <c r="D292" s="1167"/>
      <c r="E292" s="1168" t="s">
        <v>134</v>
      </c>
      <c r="F292" s="1088"/>
      <c r="G292" s="1089"/>
      <c r="H292" s="419"/>
      <c r="I292" s="1082"/>
      <c r="J292" s="990"/>
      <c r="K292" s="1083"/>
      <c r="L292" s="1083"/>
      <c r="M292" s="1083"/>
      <c r="N292" s="1083"/>
      <c r="O292" s="1083"/>
      <c r="P292" s="1083"/>
    </row>
    <row r="293" spans="1:26" ht="19.5">
      <c r="A293" s="1002"/>
      <c r="B293" s="1003"/>
      <c r="C293" s="1003"/>
      <c r="D293" s="1163"/>
      <c r="E293" s="1014" t="s">
        <v>132</v>
      </c>
      <c r="F293" s="1010"/>
      <c r="G293" s="1011"/>
      <c r="H293" s="762" t="s">
        <v>35</v>
      </c>
      <c r="I293" s="997">
        <f ca="1">IFERROR(__xludf.DUMMYFUNCTION("IMPORTRANGE(""https://docs.google.com/spreadsheets/d/1QqKyyYR6Q21VydFLVH3TRQUabQu_ym0Zz7PgGX0-kHA/edit?usp=sharing"",""แผน!EB88"")"),10)</f>
        <v>10</v>
      </c>
      <c r="J293" s="1012">
        <v>10</v>
      </c>
      <c r="K293" s="998">
        <f t="shared" ref="K293:K294" ca="1" si="133">IF(I293&gt;0,J293*100/I293,0)</f>
        <v>100</v>
      </c>
      <c r="L293" s="998"/>
      <c r="M293" s="998"/>
      <c r="N293" s="998"/>
      <c r="O293" s="998"/>
      <c r="P293" s="998"/>
    </row>
    <row r="294" spans="1:26" ht="19.5">
      <c r="A294" s="1133"/>
      <c r="B294" s="1134"/>
      <c r="C294" s="1134"/>
      <c r="D294" s="1136"/>
      <c r="E294" s="1169" t="s">
        <v>136</v>
      </c>
      <c r="F294" s="1136"/>
      <c r="G294" s="1137"/>
      <c r="H294" s="423" t="s">
        <v>35</v>
      </c>
      <c r="I294" s="1170">
        <f ca="1">IFERROR(__xludf.DUMMYFUNCTION("IMPORTRANGE(""https://docs.google.com/spreadsheets/d/1QqKyyYR6Q21VydFLVH3TRQUabQu_ym0Zz7PgGX0-kHA/edit?usp=sharing"",""แผน!EB88"")"),10)</f>
        <v>10</v>
      </c>
      <c r="J294" s="1171">
        <v>10</v>
      </c>
      <c r="K294" s="1139">
        <f t="shared" ca="1" si="133"/>
        <v>100</v>
      </c>
      <c r="L294" s="1139"/>
      <c r="M294" s="1139"/>
      <c r="N294" s="1139"/>
      <c r="O294" s="1139"/>
      <c r="P294" s="1139"/>
    </row>
    <row r="295" spans="1:26" ht="19.5">
      <c r="A295" s="1172" t="s">
        <v>137</v>
      </c>
      <c r="B295" s="1173"/>
      <c r="C295" s="1173"/>
      <c r="D295" s="1173"/>
      <c r="E295" s="1174"/>
      <c r="F295" s="1174"/>
      <c r="G295" s="1175"/>
      <c r="H295" s="1176"/>
      <c r="I295" s="1177"/>
      <c r="J295" s="1177"/>
      <c r="K295" s="1178"/>
      <c r="L295" s="1178"/>
      <c r="M295" s="1178"/>
      <c r="N295" s="1178"/>
      <c r="O295" s="1178"/>
      <c r="P295" s="1178"/>
    </row>
    <row r="296" spans="1:26" ht="19.5">
      <c r="A296" s="1179" t="s">
        <v>138</v>
      </c>
      <c r="B296" s="1180"/>
      <c r="C296" s="1180"/>
      <c r="D296" s="1181"/>
      <c r="E296" s="1181"/>
      <c r="F296" s="1181"/>
      <c r="G296" s="1182"/>
      <c r="H296" s="1183"/>
      <c r="I296" s="1184"/>
      <c r="J296" s="1184"/>
      <c r="K296" s="1185"/>
      <c r="L296" s="1185"/>
      <c r="M296" s="1185"/>
      <c r="N296" s="1185"/>
      <c r="O296" s="1185"/>
      <c r="P296" s="1185"/>
    </row>
    <row r="297" spans="1:26" ht="19.5">
      <c r="A297" s="1186"/>
      <c r="B297" s="1187" t="s">
        <v>139</v>
      </c>
      <c r="C297" s="1188"/>
      <c r="D297" s="1188"/>
      <c r="E297" s="1188"/>
      <c r="F297" s="1188"/>
      <c r="G297" s="1189"/>
      <c r="H297" s="444" t="s">
        <v>35</v>
      </c>
      <c r="I297" s="1190">
        <f t="shared" ref="I297:J297" ca="1" si="134">I309</f>
        <v>20</v>
      </c>
      <c r="J297" s="1190">
        <f t="shared" si="134"/>
        <v>20</v>
      </c>
      <c r="K297" s="1191">
        <f ca="1">IF(I297&gt;0,J297*100/I297,0)</f>
        <v>100</v>
      </c>
      <c r="L297" s="1192"/>
      <c r="M297" s="1192"/>
      <c r="N297" s="1192"/>
      <c r="O297" s="1192"/>
      <c r="P297" s="1192"/>
    </row>
    <row r="298" spans="1:26" ht="19.5">
      <c r="A298" s="985"/>
      <c r="B298" s="986"/>
      <c r="C298" s="987" t="s">
        <v>16</v>
      </c>
      <c r="D298" s="988" t="s">
        <v>17</v>
      </c>
      <c r="E298" s="986"/>
      <c r="F298" s="986"/>
      <c r="G298" s="989"/>
      <c r="H298" s="152" t="s">
        <v>12</v>
      </c>
      <c r="I298" s="990"/>
      <c r="J298" s="990"/>
      <c r="K298" s="991"/>
      <c r="L298" s="992">
        <f t="shared" ref="L298:N298" ca="1" si="135">L299+L300</f>
        <v>82400</v>
      </c>
      <c r="M298" s="992">
        <f t="shared" ca="1" si="135"/>
        <v>64400</v>
      </c>
      <c r="N298" s="992">
        <f t="shared" ca="1" si="135"/>
        <v>60400</v>
      </c>
      <c r="O298" s="992">
        <f t="shared" ref="O298:O306" ca="1" si="136">IF(L298&gt;0,N298*100/L298,0)</f>
        <v>73.300970873786412</v>
      </c>
      <c r="P298" s="992">
        <f t="shared" ref="P298:P306" ca="1" si="137">IF(M298&gt;0,N298*100/M298,0)</f>
        <v>93.788819875776397</v>
      </c>
      <c r="Q298" s="868"/>
      <c r="R298" s="868"/>
      <c r="S298" s="868"/>
      <c r="T298" s="868"/>
      <c r="U298" s="868"/>
      <c r="V298" s="868"/>
      <c r="W298" s="868"/>
      <c r="X298" s="868"/>
      <c r="Y298" s="868"/>
      <c r="Z298" s="868"/>
    </row>
    <row r="299" spans="1:26" ht="18.75" hidden="1">
      <c r="A299" s="993"/>
      <c r="B299" s="883"/>
      <c r="C299" s="883"/>
      <c r="D299" s="883"/>
      <c r="E299" s="884" t="s">
        <v>18</v>
      </c>
      <c r="F299" s="883"/>
      <c r="G299" s="994"/>
      <c r="H299" s="158" t="s">
        <v>12</v>
      </c>
      <c r="I299" s="886"/>
      <c r="J299" s="886"/>
      <c r="K299" s="887"/>
      <c r="L299" s="887">
        <f t="shared" ref="L299:N300" si="138">L302+L305</f>
        <v>0</v>
      </c>
      <c r="M299" s="887">
        <f t="shared" si="138"/>
        <v>0</v>
      </c>
      <c r="N299" s="887">
        <f t="shared" si="138"/>
        <v>0</v>
      </c>
      <c r="O299" s="887">
        <f t="shared" si="136"/>
        <v>0</v>
      </c>
      <c r="P299" s="887">
        <f t="shared" si="137"/>
        <v>0</v>
      </c>
      <c r="Q299" s="875"/>
      <c r="R299" s="875"/>
      <c r="S299" s="875"/>
      <c r="T299" s="875"/>
      <c r="U299" s="875"/>
      <c r="V299" s="875"/>
      <c r="W299" s="875"/>
      <c r="X299" s="875"/>
      <c r="Y299" s="875"/>
      <c r="Z299" s="875"/>
    </row>
    <row r="300" spans="1:26" ht="18.75" hidden="1">
      <c r="A300" s="993"/>
      <c r="B300" s="883"/>
      <c r="C300" s="883"/>
      <c r="D300" s="883"/>
      <c r="E300" s="884" t="s">
        <v>19</v>
      </c>
      <c r="F300" s="883"/>
      <c r="G300" s="994"/>
      <c r="H300" s="158" t="s">
        <v>12</v>
      </c>
      <c r="I300" s="886"/>
      <c r="J300" s="886"/>
      <c r="K300" s="887"/>
      <c r="L300" s="887">
        <f t="shared" ca="1" si="138"/>
        <v>82400</v>
      </c>
      <c r="M300" s="887">
        <f t="shared" ca="1" si="138"/>
        <v>64400</v>
      </c>
      <c r="N300" s="887">
        <f t="shared" ca="1" si="138"/>
        <v>60400</v>
      </c>
      <c r="O300" s="887">
        <f t="shared" ca="1" si="136"/>
        <v>73.300970873786412</v>
      </c>
      <c r="P300" s="887">
        <f t="shared" ca="1" si="137"/>
        <v>93.788819875776397</v>
      </c>
      <c r="Q300" s="875"/>
      <c r="R300" s="875"/>
      <c r="S300" s="875"/>
      <c r="T300" s="875"/>
      <c r="U300" s="875"/>
      <c r="V300" s="875"/>
      <c r="W300" s="875"/>
      <c r="X300" s="875"/>
      <c r="Y300" s="875"/>
      <c r="Z300" s="875"/>
    </row>
    <row r="301" spans="1:26" ht="18.75">
      <c r="A301" s="995"/>
      <c r="B301" s="877"/>
      <c r="C301" s="996"/>
      <c r="D301" s="878" t="s">
        <v>20</v>
      </c>
      <c r="E301" s="877"/>
      <c r="F301" s="877"/>
      <c r="G301" s="879"/>
      <c r="H301" s="161" t="s">
        <v>12</v>
      </c>
      <c r="I301" s="997"/>
      <c r="J301" s="997"/>
      <c r="K301" s="998"/>
      <c r="L301" s="881">
        <f t="shared" ref="L301:N301" ca="1" si="139">L302+L303</f>
        <v>82400</v>
      </c>
      <c r="M301" s="881">
        <f t="shared" ca="1" si="139"/>
        <v>64400</v>
      </c>
      <c r="N301" s="881">
        <f t="shared" ca="1" si="139"/>
        <v>60400</v>
      </c>
      <c r="O301" s="881">
        <f t="shared" ca="1" si="136"/>
        <v>73.300970873786412</v>
      </c>
      <c r="P301" s="881">
        <f t="shared" ca="1" si="137"/>
        <v>93.788819875776397</v>
      </c>
      <c r="Q301" s="868"/>
      <c r="R301" s="868"/>
      <c r="S301" s="868"/>
      <c r="T301" s="868"/>
      <c r="U301" s="868"/>
      <c r="V301" s="868"/>
      <c r="W301" s="868"/>
      <c r="X301" s="868"/>
      <c r="Y301" s="868"/>
      <c r="Z301" s="868"/>
    </row>
    <row r="302" spans="1:26" ht="19.5" hidden="1">
      <c r="A302" s="993"/>
      <c r="B302" s="883"/>
      <c r="C302" s="999"/>
      <c r="D302" s="883"/>
      <c r="E302" s="884" t="s">
        <v>36</v>
      </c>
      <c r="F302" s="883"/>
      <c r="G302" s="994"/>
      <c r="H302" s="165" t="s">
        <v>12</v>
      </c>
      <c r="I302" s="1000"/>
      <c r="J302" s="1000"/>
      <c r="K302" s="1001"/>
      <c r="L302" s="887">
        <v>0</v>
      </c>
      <c r="M302" s="887">
        <v>0</v>
      </c>
      <c r="N302" s="887">
        <v>0</v>
      </c>
      <c r="O302" s="887">
        <f t="shared" si="136"/>
        <v>0</v>
      </c>
      <c r="P302" s="887">
        <f t="shared" si="137"/>
        <v>0</v>
      </c>
      <c r="Q302" s="875"/>
      <c r="R302" s="875"/>
      <c r="S302" s="875"/>
      <c r="T302" s="875"/>
      <c r="U302" s="875"/>
      <c r="V302" s="875"/>
      <c r="W302" s="875"/>
      <c r="X302" s="875"/>
      <c r="Y302" s="875"/>
      <c r="Z302" s="875"/>
    </row>
    <row r="303" spans="1:26" ht="19.5" hidden="1">
      <c r="A303" s="993"/>
      <c r="B303" s="883"/>
      <c r="C303" s="999"/>
      <c r="D303" s="883"/>
      <c r="E303" s="884" t="s">
        <v>37</v>
      </c>
      <c r="F303" s="883"/>
      <c r="G303" s="994"/>
      <c r="H303" s="165" t="s">
        <v>12</v>
      </c>
      <c r="I303" s="1000"/>
      <c r="J303" s="1000"/>
      <c r="K303" s="1001"/>
      <c r="L303" s="887">
        <f ca="1">IFERROR(__xludf.DUMMYFUNCTION("IMPORTRANGE(""https://docs.google.com/spreadsheets/d/1MeEWN-I1oV_STSDYn1IFDPWt_1FKiwhDph83XaGc0o0/edit?usp=sharing"",""งบพรบ!DS88"")"),82400)</f>
        <v>82400</v>
      </c>
      <c r="M303" s="887">
        <f ca="1">IFERROR(__xludf.DUMMYFUNCTION("IMPORTRANGE(""https://docs.google.com/spreadsheets/d/1MeEWN-I1oV_STSDYn1IFDPWt_1FKiwhDph83XaGc0o0/edit?usp=sharing"",""งบพรบ!DX88"")"),64400)</f>
        <v>64400</v>
      </c>
      <c r="N303" s="887">
        <f ca="1">IFERROR(__xludf.DUMMYFUNCTION("IMPORTRANGE(""https://docs.google.com/spreadsheets/d/1MeEWN-I1oV_STSDYn1IFDPWt_1FKiwhDph83XaGc0o0/edit?usp=sharing"",""งบพรบ!DZ88"")"),60400)</f>
        <v>60400</v>
      </c>
      <c r="O303" s="887">
        <f t="shared" ca="1" si="136"/>
        <v>73.300970873786412</v>
      </c>
      <c r="P303" s="887">
        <f t="shared" ca="1" si="137"/>
        <v>93.788819875776397</v>
      </c>
      <c r="Q303" s="875"/>
      <c r="R303" s="875"/>
      <c r="S303" s="875"/>
      <c r="T303" s="875"/>
      <c r="U303" s="875"/>
      <c r="V303" s="875"/>
      <c r="W303" s="875"/>
      <c r="X303" s="875"/>
      <c r="Y303" s="875"/>
      <c r="Z303" s="875"/>
    </row>
    <row r="304" spans="1:26" ht="18.75">
      <c r="A304" s="995"/>
      <c r="B304" s="877"/>
      <c r="C304" s="996"/>
      <c r="D304" s="878" t="s">
        <v>21</v>
      </c>
      <c r="E304" s="877"/>
      <c r="F304" s="877"/>
      <c r="G304" s="879"/>
      <c r="H304" s="168" t="s">
        <v>12</v>
      </c>
      <c r="I304" s="997"/>
      <c r="J304" s="997"/>
      <c r="K304" s="998"/>
      <c r="L304" s="881">
        <f t="shared" ref="L304:N304" ca="1" si="140">L305+L306</f>
        <v>0</v>
      </c>
      <c r="M304" s="881">
        <f t="shared" ca="1" si="140"/>
        <v>0</v>
      </c>
      <c r="N304" s="881">
        <f t="shared" ca="1" si="140"/>
        <v>0</v>
      </c>
      <c r="O304" s="881">
        <f t="shared" ca="1" si="136"/>
        <v>0</v>
      </c>
      <c r="P304" s="881">
        <f t="shared" ca="1" si="137"/>
        <v>0</v>
      </c>
      <c r="Q304" s="868"/>
      <c r="R304" s="868"/>
      <c r="S304" s="868"/>
      <c r="T304" s="868"/>
      <c r="U304" s="868"/>
      <c r="V304" s="868"/>
      <c r="W304" s="868"/>
      <c r="X304" s="868"/>
      <c r="Y304" s="868"/>
      <c r="Z304" s="868"/>
    </row>
    <row r="305" spans="1:26" ht="19.5" hidden="1">
      <c r="A305" s="993"/>
      <c r="B305" s="883"/>
      <c r="C305" s="999"/>
      <c r="D305" s="883"/>
      <c r="E305" s="884" t="s">
        <v>18</v>
      </c>
      <c r="F305" s="883"/>
      <c r="G305" s="994"/>
      <c r="H305" s="165" t="s">
        <v>12</v>
      </c>
      <c r="I305" s="1000"/>
      <c r="J305" s="1000"/>
      <c r="K305" s="1001"/>
      <c r="L305" s="887">
        <v>0</v>
      </c>
      <c r="M305" s="887">
        <v>0</v>
      </c>
      <c r="N305" s="887">
        <v>0</v>
      </c>
      <c r="O305" s="887">
        <f t="shared" si="136"/>
        <v>0</v>
      </c>
      <c r="P305" s="887">
        <f t="shared" si="137"/>
        <v>0</v>
      </c>
      <c r="Q305" s="875"/>
      <c r="R305" s="875"/>
      <c r="S305" s="875"/>
      <c r="T305" s="875"/>
      <c r="U305" s="875"/>
      <c r="V305" s="875"/>
      <c r="W305" s="875"/>
      <c r="X305" s="875"/>
      <c r="Y305" s="875"/>
      <c r="Z305" s="875"/>
    </row>
    <row r="306" spans="1:26" ht="19.5" hidden="1">
      <c r="A306" s="993"/>
      <c r="B306" s="883"/>
      <c r="C306" s="999"/>
      <c r="D306" s="883"/>
      <c r="E306" s="884" t="s">
        <v>19</v>
      </c>
      <c r="F306" s="883"/>
      <c r="G306" s="994"/>
      <c r="H306" s="169" t="s">
        <v>12</v>
      </c>
      <c r="I306" s="1000"/>
      <c r="J306" s="1000"/>
      <c r="K306" s="1001"/>
      <c r="L306" s="887">
        <f ca="1">IFERROR(__xludf.DUMMYFUNCTION("IMPORTRANGE(""https://docs.google.com/spreadsheets/d/1MeEWN-I1oV_STSDYn1IFDPWt_1FKiwhDph83XaGc0o0/edit?usp=sharing"",""งบพรบ!DV88"")"),0)</f>
        <v>0</v>
      </c>
      <c r="M306" s="887">
        <f ca="1">IFERROR(__xludf.DUMMYFUNCTION("IMPORTRANGE(""https://docs.google.com/spreadsheets/d/1MeEWN-I1oV_STSDYn1IFDPWt_1FKiwhDph83XaGc0o0/edit?usp=sharing"",""งบพรบ!DY88"")"),0)</f>
        <v>0</v>
      </c>
      <c r="N306" s="887">
        <f ca="1">IFERROR(__xludf.DUMMYFUNCTION("IMPORTRANGE(""https://docs.google.com/spreadsheets/d/1MeEWN-I1oV_STSDYn1IFDPWt_1FKiwhDph83XaGc0o0/edit?usp=sharing"",""งบพรบ!EA88"")"),0)</f>
        <v>0</v>
      </c>
      <c r="O306" s="887">
        <f t="shared" ca="1" si="136"/>
        <v>0</v>
      </c>
      <c r="P306" s="887">
        <f t="shared" ca="1" si="137"/>
        <v>0</v>
      </c>
      <c r="Q306" s="875"/>
      <c r="R306" s="875"/>
      <c r="S306" s="875"/>
      <c r="T306" s="875"/>
      <c r="U306" s="875"/>
      <c r="V306" s="875"/>
      <c r="W306" s="875"/>
      <c r="X306" s="875"/>
      <c r="Y306" s="875"/>
      <c r="Z306" s="875"/>
    </row>
    <row r="307" spans="1:26" ht="19.5">
      <c r="A307" s="1002"/>
      <c r="B307" s="1003"/>
      <c r="C307" s="999" t="s">
        <v>16</v>
      </c>
      <c r="D307" s="1004" t="s">
        <v>38</v>
      </c>
      <c r="E307" s="1005"/>
      <c r="F307" s="1005"/>
      <c r="G307" s="1006"/>
      <c r="H307" s="1007"/>
      <c r="I307" s="880"/>
      <c r="J307" s="880"/>
      <c r="K307" s="881"/>
      <c r="L307" s="881"/>
      <c r="M307" s="881"/>
      <c r="N307" s="881"/>
      <c r="O307" s="881"/>
      <c r="P307" s="881"/>
    </row>
    <row r="308" spans="1:26" ht="18.75">
      <c r="A308" s="1002"/>
      <c r="B308" s="1003"/>
      <c r="C308" s="1003"/>
      <c r="D308" s="1009" t="s">
        <v>140</v>
      </c>
      <c r="E308" s="1009"/>
      <c r="F308" s="1009"/>
      <c r="G308" s="1011"/>
      <c r="H308" s="762"/>
      <c r="I308" s="880"/>
      <c r="J308" s="1012">
        <v>1</v>
      </c>
      <c r="K308" s="881"/>
      <c r="L308" s="881"/>
      <c r="M308" s="881"/>
      <c r="N308" s="881"/>
      <c r="O308" s="881"/>
      <c r="P308" s="881"/>
    </row>
    <row r="309" spans="1:26" ht="18.75">
      <c r="A309" s="1002"/>
      <c r="B309" s="1003"/>
      <c r="C309" s="1003"/>
      <c r="D309" s="1009" t="s">
        <v>141</v>
      </c>
      <c r="E309" s="1009"/>
      <c r="F309" s="1009"/>
      <c r="G309" s="1011"/>
      <c r="H309" s="762" t="s">
        <v>35</v>
      </c>
      <c r="I309" s="880">
        <f ca="1">IFERROR(__xludf.DUMMYFUNCTION("IMPORTRANGE(""https://docs.google.com/spreadsheets/d/1QqKyyYR6Q21VydFLVH3TRQUabQu_ym0Zz7PgGX0-kHA/edit?usp=sharing"",""แผน!ED88"")"),20)</f>
        <v>20</v>
      </c>
      <c r="J309" s="1012">
        <v>20</v>
      </c>
      <c r="K309" s="881">
        <f t="shared" ref="K309:K312" ca="1" si="141">IF(I309&gt;0,J309*100/I309,0)</f>
        <v>100</v>
      </c>
      <c r="L309" s="881"/>
      <c r="M309" s="881"/>
      <c r="N309" s="881"/>
      <c r="O309" s="881"/>
      <c r="P309" s="881"/>
    </row>
    <row r="310" spans="1:26" ht="18.75">
      <c r="A310" s="1002"/>
      <c r="B310" s="1003"/>
      <c r="C310" s="1003"/>
      <c r="D310" s="1009" t="s">
        <v>142</v>
      </c>
      <c r="E310" s="1009"/>
      <c r="F310" s="1009"/>
      <c r="G310" s="1011"/>
      <c r="H310" s="762" t="s">
        <v>35</v>
      </c>
      <c r="I310" s="880">
        <f ca="1">IFERROR(__xludf.DUMMYFUNCTION("IMPORTRANGE(""https://docs.google.com/spreadsheets/d/1QqKyyYR6Q21VydFLVH3TRQUabQu_ym0Zz7PgGX0-kHA/edit?usp=sharing"",""แผน!ED88"")"),20)</f>
        <v>20</v>
      </c>
      <c r="J310" s="1012">
        <v>20</v>
      </c>
      <c r="K310" s="881">
        <f t="shared" ca="1" si="141"/>
        <v>100</v>
      </c>
      <c r="L310" s="881"/>
      <c r="M310" s="881"/>
      <c r="N310" s="881"/>
      <c r="O310" s="881"/>
      <c r="P310" s="881"/>
    </row>
    <row r="311" spans="1:26" ht="18.75">
      <c r="A311" s="1002"/>
      <c r="B311" s="1003"/>
      <c r="C311" s="1003"/>
      <c r="D311" s="1009" t="s">
        <v>59</v>
      </c>
      <c r="E311" s="1009"/>
      <c r="F311" s="1009"/>
      <c r="G311" s="1011"/>
      <c r="H311" s="762" t="s">
        <v>35</v>
      </c>
      <c r="I311" s="880">
        <f ca="1">IFERROR(__xludf.DUMMYFUNCTION("IMPORTRANGE(""https://docs.google.com/spreadsheets/d/1QqKyyYR6Q21VydFLVH3TRQUabQu_ym0Zz7PgGX0-kHA/edit?usp=sharing"",""แผน!ED88"")"),20)</f>
        <v>20</v>
      </c>
      <c r="J311" s="1012">
        <v>0</v>
      </c>
      <c r="K311" s="881">
        <f t="shared" ca="1" si="141"/>
        <v>0</v>
      </c>
      <c r="L311" s="881"/>
      <c r="M311" s="881"/>
      <c r="N311" s="881"/>
      <c r="O311" s="881"/>
      <c r="P311" s="881"/>
    </row>
    <row r="312" spans="1:26" ht="18.75">
      <c r="A312" s="1002"/>
      <c r="B312" s="1003"/>
      <c r="C312" s="1003"/>
      <c r="D312" s="1009" t="s">
        <v>143</v>
      </c>
      <c r="E312" s="1009"/>
      <c r="F312" s="1009"/>
      <c r="G312" s="1011"/>
      <c r="H312" s="762" t="s">
        <v>35</v>
      </c>
      <c r="I312" s="880">
        <f ca="1">IFERROR(__xludf.DUMMYFUNCTION("IMPORTRANGE(""https://docs.google.com/spreadsheets/d/1QqKyyYR6Q21VydFLVH3TRQUabQu_ym0Zz7PgGX0-kHA/edit?usp=sharing"",""แผน!EE88"")"),4)</f>
        <v>4</v>
      </c>
      <c r="J312" s="1012">
        <v>0</v>
      </c>
      <c r="K312" s="881">
        <f t="shared" ca="1" si="141"/>
        <v>0</v>
      </c>
      <c r="L312" s="881"/>
      <c r="M312" s="881"/>
      <c r="N312" s="881"/>
      <c r="O312" s="881"/>
      <c r="P312" s="881"/>
    </row>
    <row r="313" spans="1:26" ht="19.5">
      <c r="A313" s="1179" t="s">
        <v>144</v>
      </c>
      <c r="B313" s="1180"/>
      <c r="C313" s="1180"/>
      <c r="D313" s="1181"/>
      <c r="E313" s="1180"/>
      <c r="F313" s="1180"/>
      <c r="G313" s="1180"/>
      <c r="H313" s="1193"/>
      <c r="I313" s="1184"/>
      <c r="J313" s="1184"/>
      <c r="K313" s="1185"/>
      <c r="L313" s="1185"/>
      <c r="M313" s="1185"/>
      <c r="N313" s="1185"/>
      <c r="O313" s="1185"/>
      <c r="P313" s="1185"/>
    </row>
    <row r="314" spans="1:26" ht="19.5">
      <c r="A314" s="1194"/>
      <c r="B314" s="1187" t="s">
        <v>145</v>
      </c>
      <c r="C314" s="1195"/>
      <c r="D314" s="1196"/>
      <c r="E314" s="1188"/>
      <c r="F314" s="1188"/>
      <c r="G314" s="1189"/>
      <c r="H314" s="444" t="s">
        <v>146</v>
      </c>
      <c r="I314" s="1190">
        <f t="shared" ref="I314:J314" ca="1" si="142">I325</f>
        <v>1</v>
      </c>
      <c r="J314" s="1190">
        <f t="shared" si="142"/>
        <v>1</v>
      </c>
      <c r="K314" s="1191">
        <f ca="1">IF(I314&gt;0,J314*100/I314,0)</f>
        <v>100</v>
      </c>
      <c r="L314" s="1192"/>
      <c r="M314" s="1192"/>
      <c r="N314" s="1192"/>
      <c r="O314" s="1192"/>
      <c r="P314" s="1192"/>
    </row>
    <row r="315" spans="1:26" ht="19.5">
      <c r="A315" s="985"/>
      <c r="B315" s="986"/>
      <c r="C315" s="987" t="s">
        <v>16</v>
      </c>
      <c r="D315" s="988" t="s">
        <v>17</v>
      </c>
      <c r="E315" s="986"/>
      <c r="F315" s="986"/>
      <c r="G315" s="989"/>
      <c r="H315" s="152" t="s">
        <v>12</v>
      </c>
      <c r="I315" s="990"/>
      <c r="J315" s="990"/>
      <c r="K315" s="991"/>
      <c r="L315" s="992">
        <f t="shared" ref="L315:N315" ca="1" si="143">L316+L317</f>
        <v>439000</v>
      </c>
      <c r="M315" s="992">
        <f t="shared" ca="1" si="143"/>
        <v>322500</v>
      </c>
      <c r="N315" s="992">
        <f t="shared" ca="1" si="143"/>
        <v>188190.61</v>
      </c>
      <c r="O315" s="992">
        <f t="shared" ref="O315:O323" ca="1" si="144">IF(L315&gt;0,N315*100/L315,0)</f>
        <v>42.86802050113895</v>
      </c>
      <c r="P315" s="992">
        <f t="shared" ref="P315:P323" ca="1" si="145">IF(M315&gt;0,N315*100/M315,0)</f>
        <v>58.353677519379843</v>
      </c>
      <c r="Q315" s="868"/>
      <c r="R315" s="868"/>
      <c r="S315" s="868"/>
      <c r="T315" s="868"/>
      <c r="U315" s="868"/>
      <c r="V315" s="868"/>
      <c r="W315" s="868"/>
      <c r="X315" s="868"/>
      <c r="Y315" s="868"/>
      <c r="Z315" s="868"/>
    </row>
    <row r="316" spans="1:26" ht="18.75" hidden="1">
      <c r="A316" s="993"/>
      <c r="B316" s="883"/>
      <c r="C316" s="883"/>
      <c r="D316" s="883"/>
      <c r="E316" s="884" t="s">
        <v>18</v>
      </c>
      <c r="F316" s="883"/>
      <c r="G316" s="994"/>
      <c r="H316" s="158" t="s">
        <v>12</v>
      </c>
      <c r="I316" s="886"/>
      <c r="J316" s="886"/>
      <c r="K316" s="887"/>
      <c r="L316" s="887">
        <f t="shared" ref="L316:N317" si="146">L319+L322</f>
        <v>0</v>
      </c>
      <c r="M316" s="887">
        <f t="shared" si="146"/>
        <v>0</v>
      </c>
      <c r="N316" s="887">
        <f t="shared" si="146"/>
        <v>0</v>
      </c>
      <c r="O316" s="887">
        <f t="shared" si="144"/>
        <v>0</v>
      </c>
      <c r="P316" s="887">
        <f t="shared" si="145"/>
        <v>0</v>
      </c>
      <c r="Q316" s="875"/>
      <c r="R316" s="875"/>
      <c r="S316" s="875"/>
      <c r="T316" s="875"/>
      <c r="U316" s="875"/>
      <c r="V316" s="875"/>
      <c r="W316" s="875"/>
      <c r="X316" s="875"/>
      <c r="Y316" s="875"/>
      <c r="Z316" s="875"/>
    </row>
    <row r="317" spans="1:26" ht="18.75" hidden="1">
      <c r="A317" s="993"/>
      <c r="B317" s="883"/>
      <c r="C317" s="883"/>
      <c r="D317" s="883"/>
      <c r="E317" s="884" t="s">
        <v>19</v>
      </c>
      <c r="F317" s="883"/>
      <c r="G317" s="994"/>
      <c r="H317" s="158" t="s">
        <v>12</v>
      </c>
      <c r="I317" s="886"/>
      <c r="J317" s="886"/>
      <c r="K317" s="887"/>
      <c r="L317" s="887">
        <f t="shared" ca="1" si="146"/>
        <v>439000</v>
      </c>
      <c r="M317" s="887">
        <f t="shared" ca="1" si="146"/>
        <v>322500</v>
      </c>
      <c r="N317" s="887">
        <f t="shared" ca="1" si="146"/>
        <v>188190.61</v>
      </c>
      <c r="O317" s="887">
        <f t="shared" ca="1" si="144"/>
        <v>42.86802050113895</v>
      </c>
      <c r="P317" s="887">
        <f t="shared" ca="1" si="145"/>
        <v>58.353677519379843</v>
      </c>
      <c r="Q317" s="875"/>
      <c r="R317" s="875"/>
      <c r="S317" s="875"/>
      <c r="T317" s="875"/>
      <c r="U317" s="875"/>
      <c r="V317" s="875"/>
      <c r="W317" s="875"/>
      <c r="X317" s="875"/>
      <c r="Y317" s="875"/>
      <c r="Z317" s="875"/>
    </row>
    <row r="318" spans="1:26" ht="18.75">
      <c r="A318" s="995"/>
      <c r="B318" s="877"/>
      <c r="C318" s="996"/>
      <c r="D318" s="878" t="s">
        <v>20</v>
      </c>
      <c r="E318" s="877"/>
      <c r="F318" s="877"/>
      <c r="G318" s="879"/>
      <c r="H318" s="161" t="s">
        <v>12</v>
      </c>
      <c r="I318" s="997"/>
      <c r="J318" s="997"/>
      <c r="K318" s="998"/>
      <c r="L318" s="881">
        <f t="shared" ref="L318:N318" ca="1" si="147">L319+L320</f>
        <v>439000</v>
      </c>
      <c r="M318" s="881">
        <f t="shared" ca="1" si="147"/>
        <v>322500</v>
      </c>
      <c r="N318" s="881">
        <f t="shared" ca="1" si="147"/>
        <v>188190.61</v>
      </c>
      <c r="O318" s="881">
        <f t="shared" ca="1" si="144"/>
        <v>42.86802050113895</v>
      </c>
      <c r="P318" s="881">
        <f t="shared" ca="1" si="145"/>
        <v>58.353677519379843</v>
      </c>
      <c r="Q318" s="868"/>
      <c r="R318" s="868"/>
      <c r="S318" s="868"/>
      <c r="T318" s="868"/>
      <c r="U318" s="868"/>
      <c r="V318" s="868"/>
      <c r="W318" s="868"/>
      <c r="X318" s="868"/>
      <c r="Y318" s="868"/>
      <c r="Z318" s="868"/>
    </row>
    <row r="319" spans="1:26" ht="19.5" hidden="1">
      <c r="A319" s="993"/>
      <c r="B319" s="883"/>
      <c r="C319" s="999"/>
      <c r="D319" s="883"/>
      <c r="E319" s="884" t="s">
        <v>36</v>
      </c>
      <c r="F319" s="883"/>
      <c r="G319" s="994"/>
      <c r="H319" s="165" t="s">
        <v>12</v>
      </c>
      <c r="I319" s="1000"/>
      <c r="J319" s="1000"/>
      <c r="K319" s="1001"/>
      <c r="L319" s="887">
        <v>0</v>
      </c>
      <c r="M319" s="887">
        <v>0</v>
      </c>
      <c r="N319" s="887">
        <v>0</v>
      </c>
      <c r="O319" s="887">
        <f t="shared" si="144"/>
        <v>0</v>
      </c>
      <c r="P319" s="887">
        <f t="shared" si="145"/>
        <v>0</v>
      </c>
      <c r="Q319" s="875"/>
      <c r="R319" s="875"/>
      <c r="S319" s="875"/>
      <c r="T319" s="875"/>
      <c r="U319" s="875"/>
      <c r="V319" s="875"/>
      <c r="W319" s="875"/>
      <c r="X319" s="875"/>
      <c r="Y319" s="875"/>
      <c r="Z319" s="875"/>
    </row>
    <row r="320" spans="1:26" ht="19.5" hidden="1">
      <c r="A320" s="993"/>
      <c r="B320" s="883"/>
      <c r="C320" s="999"/>
      <c r="D320" s="883"/>
      <c r="E320" s="884" t="s">
        <v>37</v>
      </c>
      <c r="F320" s="883"/>
      <c r="G320" s="994"/>
      <c r="H320" s="165" t="s">
        <v>12</v>
      </c>
      <c r="I320" s="1000"/>
      <c r="J320" s="1000"/>
      <c r="K320" s="1001"/>
      <c r="L320" s="887">
        <f ca="1">IFERROR(__xludf.DUMMYFUNCTION("IMPORTRANGE(""https://docs.google.com/spreadsheets/d/1MeEWN-I1oV_STSDYn1IFDPWt_1FKiwhDph83XaGc0o0/edit?usp=sharing"",""งบพรบ!EC88"")"),439000)</f>
        <v>439000</v>
      </c>
      <c r="M320" s="887">
        <f ca="1">IFERROR(__xludf.DUMMYFUNCTION("IMPORTRANGE(""https://docs.google.com/spreadsheets/d/1MeEWN-I1oV_STSDYn1IFDPWt_1FKiwhDph83XaGc0o0/edit?usp=sharing"",""งบพรบ!EH88"")"),322500)</f>
        <v>322500</v>
      </c>
      <c r="N320" s="887">
        <f ca="1">IFERROR(__xludf.DUMMYFUNCTION("IMPORTRANGE(""https://docs.google.com/spreadsheets/d/1MeEWN-I1oV_STSDYn1IFDPWt_1FKiwhDph83XaGc0o0/edit?usp=sharing"",""งบพรบ!EJ88"")"),188190.61)</f>
        <v>188190.61</v>
      </c>
      <c r="O320" s="887">
        <f t="shared" ca="1" si="144"/>
        <v>42.86802050113895</v>
      </c>
      <c r="P320" s="887">
        <f t="shared" ca="1" si="145"/>
        <v>58.353677519379843</v>
      </c>
      <c r="Q320" s="875"/>
      <c r="R320" s="875"/>
      <c r="S320" s="875"/>
      <c r="T320" s="875"/>
      <c r="U320" s="875"/>
      <c r="V320" s="875"/>
      <c r="W320" s="875"/>
      <c r="X320" s="875"/>
      <c r="Y320" s="875"/>
      <c r="Z320" s="875"/>
    </row>
    <row r="321" spans="1:26" ht="18.75">
      <c r="A321" s="995"/>
      <c r="B321" s="877"/>
      <c r="C321" s="996"/>
      <c r="D321" s="878" t="s">
        <v>21</v>
      </c>
      <c r="E321" s="877"/>
      <c r="F321" s="877"/>
      <c r="G321" s="879"/>
      <c r="H321" s="168" t="s">
        <v>12</v>
      </c>
      <c r="I321" s="997"/>
      <c r="J321" s="997"/>
      <c r="K321" s="998"/>
      <c r="L321" s="881">
        <f t="shared" ref="L321:N321" ca="1" si="148">L322+L323</f>
        <v>0</v>
      </c>
      <c r="M321" s="881">
        <f t="shared" ca="1" si="148"/>
        <v>0</v>
      </c>
      <c r="N321" s="881">
        <f t="shared" ca="1" si="148"/>
        <v>0</v>
      </c>
      <c r="O321" s="881">
        <f t="shared" ca="1" si="144"/>
        <v>0</v>
      </c>
      <c r="P321" s="881">
        <f t="shared" ca="1" si="145"/>
        <v>0</v>
      </c>
      <c r="Q321" s="868"/>
      <c r="R321" s="868"/>
      <c r="S321" s="868"/>
      <c r="T321" s="868"/>
      <c r="U321" s="868"/>
      <c r="V321" s="868"/>
      <c r="W321" s="868"/>
      <c r="X321" s="868"/>
      <c r="Y321" s="868"/>
      <c r="Z321" s="868"/>
    </row>
    <row r="322" spans="1:26" ht="19.5" hidden="1">
      <c r="A322" s="993"/>
      <c r="B322" s="883"/>
      <c r="C322" s="999"/>
      <c r="D322" s="883"/>
      <c r="E322" s="884" t="s">
        <v>18</v>
      </c>
      <c r="F322" s="883"/>
      <c r="G322" s="994"/>
      <c r="H322" s="165" t="s">
        <v>12</v>
      </c>
      <c r="I322" s="1000"/>
      <c r="J322" s="1000"/>
      <c r="K322" s="1001"/>
      <c r="L322" s="887">
        <v>0</v>
      </c>
      <c r="M322" s="887">
        <v>0</v>
      </c>
      <c r="N322" s="887">
        <v>0</v>
      </c>
      <c r="O322" s="887">
        <f t="shared" si="144"/>
        <v>0</v>
      </c>
      <c r="P322" s="887">
        <f t="shared" si="145"/>
        <v>0</v>
      </c>
      <c r="Q322" s="875"/>
      <c r="R322" s="875"/>
      <c r="S322" s="875"/>
      <c r="T322" s="875"/>
      <c r="U322" s="875"/>
      <c r="V322" s="875"/>
      <c r="W322" s="875"/>
      <c r="X322" s="875"/>
      <c r="Y322" s="875"/>
      <c r="Z322" s="875"/>
    </row>
    <row r="323" spans="1:26" ht="19.5" hidden="1">
      <c r="A323" s="993"/>
      <c r="B323" s="883"/>
      <c r="C323" s="999"/>
      <c r="D323" s="883"/>
      <c r="E323" s="884" t="s">
        <v>19</v>
      </c>
      <c r="F323" s="883"/>
      <c r="G323" s="994"/>
      <c r="H323" s="169" t="s">
        <v>12</v>
      </c>
      <c r="I323" s="1000"/>
      <c r="J323" s="1000"/>
      <c r="K323" s="1001"/>
      <c r="L323" s="887">
        <f ca="1">IFERROR(__xludf.DUMMYFUNCTION("IMPORTRANGE(""https://docs.google.com/spreadsheets/d/1MeEWN-I1oV_STSDYn1IFDPWt_1FKiwhDph83XaGc0o0/edit?usp=sharing"",""งบพรบ!EF88"")"),0)</f>
        <v>0</v>
      </c>
      <c r="M323" s="887">
        <f ca="1">IFERROR(__xludf.DUMMYFUNCTION("IMPORTRANGE(""https://docs.google.com/spreadsheets/d/1MeEWN-I1oV_STSDYn1IFDPWt_1FKiwhDph83XaGc0o0/edit?usp=sharing"",""งบพรบ!EI88"")"),0)</f>
        <v>0</v>
      </c>
      <c r="N323" s="887">
        <f ca="1">IFERROR(__xludf.DUMMYFUNCTION("IMPORTRANGE(""https://docs.google.com/spreadsheets/d/1MeEWN-I1oV_STSDYn1IFDPWt_1FKiwhDph83XaGc0o0/edit?usp=sharing"",""งบพรบ!EK88"")"),0)</f>
        <v>0</v>
      </c>
      <c r="O323" s="887">
        <f t="shared" ca="1" si="144"/>
        <v>0</v>
      </c>
      <c r="P323" s="887">
        <f t="shared" ca="1" si="145"/>
        <v>0</v>
      </c>
      <c r="Q323" s="875"/>
      <c r="R323" s="875"/>
      <c r="S323" s="875"/>
      <c r="T323" s="875"/>
      <c r="U323" s="875"/>
      <c r="V323" s="875"/>
      <c r="W323" s="875"/>
      <c r="X323" s="875"/>
      <c r="Y323" s="875"/>
      <c r="Z323" s="875"/>
    </row>
    <row r="324" spans="1:26" ht="19.5">
      <c r="A324" s="1002"/>
      <c r="B324" s="1003"/>
      <c r="C324" s="999" t="s">
        <v>16</v>
      </c>
      <c r="D324" s="1004" t="s">
        <v>38</v>
      </c>
      <c r="E324" s="1005"/>
      <c r="F324" s="1005"/>
      <c r="G324" s="1006"/>
      <c r="H324" s="1007"/>
      <c r="I324" s="997"/>
      <c r="J324" s="880"/>
      <c r="K324" s="881"/>
      <c r="L324" s="881"/>
      <c r="M324" s="881"/>
      <c r="N324" s="881"/>
      <c r="O324" s="998"/>
      <c r="P324" s="998"/>
    </row>
    <row r="325" spans="1:26" ht="18.75">
      <c r="A325" s="1002"/>
      <c r="B325" s="1003"/>
      <c r="C325" s="1003"/>
      <c r="D325" s="1008" t="s">
        <v>147</v>
      </c>
      <c r="E325" s="1010"/>
      <c r="F325" s="1009"/>
      <c r="G325" s="1011"/>
      <c r="H325" s="622" t="s">
        <v>146</v>
      </c>
      <c r="I325" s="880">
        <f ca="1">IFERROR(__xludf.DUMMYFUNCTION("IMPORTRANGE(""https://docs.google.com/spreadsheets/d/1QqKyyYR6Q21VydFLVH3TRQUabQu_ym0Zz7PgGX0-kHA/edit?usp=sharing"",""แผน!EF88"")"),1)</f>
        <v>1</v>
      </c>
      <c r="J325" s="1012">
        <v>1</v>
      </c>
      <c r="K325" s="881">
        <f ca="1">IF(I325&gt;0,J325*100/I325,0)</f>
        <v>100</v>
      </c>
      <c r="L325" s="881"/>
      <c r="M325" s="881"/>
      <c r="N325" s="881"/>
      <c r="O325" s="998"/>
      <c r="P325" s="998"/>
    </row>
    <row r="326" spans="1:26" ht="19.5">
      <c r="A326" s="1179" t="s">
        <v>148</v>
      </c>
      <c r="B326" s="1180"/>
      <c r="C326" s="1180"/>
      <c r="D326" s="1181"/>
      <c r="E326" s="1180"/>
      <c r="F326" s="1180"/>
      <c r="G326" s="1180"/>
      <c r="H326" s="1193"/>
      <c r="I326" s="1184"/>
      <c r="J326" s="1184"/>
      <c r="K326" s="1185"/>
      <c r="L326" s="1185"/>
      <c r="M326" s="1185"/>
      <c r="N326" s="1185"/>
      <c r="O326" s="1185"/>
      <c r="P326" s="1185"/>
    </row>
    <row r="327" spans="1:26" ht="19.5">
      <c r="A327" s="1186"/>
      <c r="B327" s="1187" t="s">
        <v>149</v>
      </c>
      <c r="C327" s="1196"/>
      <c r="D327" s="1188"/>
      <c r="E327" s="1188"/>
      <c r="F327" s="1188"/>
      <c r="G327" s="1189"/>
      <c r="H327" s="444" t="s">
        <v>35</v>
      </c>
      <c r="I327" s="1190">
        <f ca="1">IFERROR(__xludf.DUMMYFUNCTION("IMPORTRANGE(""https://docs.google.com/spreadsheets/d/1QqKyyYR6Q21VydFLVH3TRQUabQu_ym0Zz7PgGX0-kHA/edit?usp=sharing"",""แผน!EG88"")"),4800)</f>
        <v>4800</v>
      </c>
      <c r="J327" s="1190">
        <f ca="1">J338+J341+J342+J343</f>
        <v>6097</v>
      </c>
      <c r="K327" s="1191">
        <f ca="1">IF(I327&gt;0,J327*100/I327,0)</f>
        <v>127.02083333333333</v>
      </c>
      <c r="L327" s="1192"/>
      <c r="M327" s="1192"/>
      <c r="N327" s="1192"/>
      <c r="O327" s="1192"/>
      <c r="P327" s="1192"/>
    </row>
    <row r="328" spans="1:26" ht="19.5">
      <c r="A328" s="985"/>
      <c r="B328" s="986"/>
      <c r="C328" s="987" t="s">
        <v>16</v>
      </c>
      <c r="D328" s="988" t="s">
        <v>17</v>
      </c>
      <c r="E328" s="986"/>
      <c r="F328" s="986"/>
      <c r="G328" s="989"/>
      <c r="H328" s="152" t="s">
        <v>12</v>
      </c>
      <c r="I328" s="990"/>
      <c r="J328" s="990"/>
      <c r="K328" s="991"/>
      <c r="L328" s="992">
        <f t="shared" ref="L328:N328" ca="1" si="149">L329+L330</f>
        <v>179000</v>
      </c>
      <c r="M328" s="992">
        <f t="shared" ca="1" si="149"/>
        <v>136750</v>
      </c>
      <c r="N328" s="992">
        <f t="shared" ca="1" si="149"/>
        <v>88842.58</v>
      </c>
      <c r="O328" s="992">
        <f t="shared" ref="O328:O336" ca="1" si="150">IF(L328&gt;0,N328*100/L328,0)</f>
        <v>49.63272625698324</v>
      </c>
      <c r="P328" s="992">
        <f t="shared" ref="P328:P336" ca="1" si="151">IF(M328&gt;0,N328*100/M328,0)</f>
        <v>64.96715173674589</v>
      </c>
      <c r="Q328" s="868"/>
      <c r="R328" s="868"/>
      <c r="S328" s="868"/>
      <c r="T328" s="868"/>
      <c r="U328" s="868"/>
      <c r="V328" s="868"/>
      <c r="W328" s="868"/>
      <c r="X328" s="868"/>
      <c r="Y328" s="868"/>
      <c r="Z328" s="868"/>
    </row>
    <row r="329" spans="1:26" ht="18.75" hidden="1">
      <c r="A329" s="993"/>
      <c r="B329" s="883"/>
      <c r="C329" s="883"/>
      <c r="D329" s="883"/>
      <c r="E329" s="884" t="s">
        <v>18</v>
      </c>
      <c r="F329" s="883"/>
      <c r="G329" s="994"/>
      <c r="H329" s="158" t="s">
        <v>12</v>
      </c>
      <c r="I329" s="886"/>
      <c r="J329" s="886"/>
      <c r="K329" s="887"/>
      <c r="L329" s="887">
        <f t="shared" ref="L329:N330" si="152">L332+L335</f>
        <v>0</v>
      </c>
      <c r="M329" s="887">
        <f t="shared" si="152"/>
        <v>0</v>
      </c>
      <c r="N329" s="887">
        <f t="shared" si="152"/>
        <v>0</v>
      </c>
      <c r="O329" s="887">
        <f t="shared" si="150"/>
        <v>0</v>
      </c>
      <c r="P329" s="887">
        <f t="shared" si="151"/>
        <v>0</v>
      </c>
      <c r="Q329" s="875"/>
      <c r="R329" s="875"/>
      <c r="S329" s="875"/>
      <c r="T329" s="875"/>
      <c r="U329" s="875"/>
      <c r="V329" s="875"/>
      <c r="W329" s="875"/>
      <c r="X329" s="875"/>
      <c r="Y329" s="875"/>
      <c r="Z329" s="875"/>
    </row>
    <row r="330" spans="1:26" ht="18.75" hidden="1">
      <c r="A330" s="993"/>
      <c r="B330" s="883"/>
      <c r="C330" s="883"/>
      <c r="D330" s="883"/>
      <c r="E330" s="884" t="s">
        <v>19</v>
      </c>
      <c r="F330" s="883"/>
      <c r="G330" s="994"/>
      <c r="H330" s="158" t="s">
        <v>12</v>
      </c>
      <c r="I330" s="886"/>
      <c r="J330" s="886"/>
      <c r="K330" s="887"/>
      <c r="L330" s="887">
        <f t="shared" ca="1" si="152"/>
        <v>179000</v>
      </c>
      <c r="M330" s="887">
        <f t="shared" ca="1" si="152"/>
        <v>136750</v>
      </c>
      <c r="N330" s="887">
        <f t="shared" ca="1" si="152"/>
        <v>88842.58</v>
      </c>
      <c r="O330" s="887">
        <f t="shared" ca="1" si="150"/>
        <v>49.63272625698324</v>
      </c>
      <c r="P330" s="887">
        <f t="shared" ca="1" si="151"/>
        <v>64.96715173674589</v>
      </c>
      <c r="Q330" s="875"/>
      <c r="R330" s="875"/>
      <c r="S330" s="875"/>
      <c r="T330" s="875"/>
      <c r="U330" s="875"/>
      <c r="V330" s="875"/>
      <c r="W330" s="875"/>
      <c r="X330" s="875"/>
      <c r="Y330" s="875"/>
      <c r="Z330" s="875"/>
    </row>
    <row r="331" spans="1:26" ht="18.75">
      <c r="A331" s="995"/>
      <c r="B331" s="877"/>
      <c r="C331" s="996"/>
      <c r="D331" s="878" t="s">
        <v>20</v>
      </c>
      <c r="E331" s="877"/>
      <c r="F331" s="877"/>
      <c r="G331" s="879"/>
      <c r="H331" s="161" t="s">
        <v>12</v>
      </c>
      <c r="I331" s="997"/>
      <c r="J331" s="997"/>
      <c r="K331" s="998"/>
      <c r="L331" s="881">
        <f t="shared" ref="L331:N331" ca="1" si="153">L332+L333</f>
        <v>179000</v>
      </c>
      <c r="M331" s="881">
        <f t="shared" ca="1" si="153"/>
        <v>136750</v>
      </c>
      <c r="N331" s="881">
        <f t="shared" ca="1" si="153"/>
        <v>88842.58</v>
      </c>
      <c r="O331" s="881">
        <f t="shared" ca="1" si="150"/>
        <v>49.63272625698324</v>
      </c>
      <c r="P331" s="881">
        <f t="shared" ca="1" si="151"/>
        <v>64.96715173674589</v>
      </c>
      <c r="Q331" s="868"/>
      <c r="R331" s="868"/>
      <c r="S331" s="868"/>
      <c r="T331" s="868"/>
      <c r="U331" s="868"/>
      <c r="V331" s="868"/>
      <c r="W331" s="868"/>
      <c r="X331" s="868"/>
      <c r="Y331" s="868"/>
      <c r="Z331" s="868"/>
    </row>
    <row r="332" spans="1:26" ht="19.5" hidden="1">
      <c r="A332" s="993"/>
      <c r="B332" s="883"/>
      <c r="C332" s="999"/>
      <c r="D332" s="883"/>
      <c r="E332" s="884" t="s">
        <v>36</v>
      </c>
      <c r="F332" s="883"/>
      <c r="G332" s="994"/>
      <c r="H332" s="165" t="s">
        <v>12</v>
      </c>
      <c r="I332" s="1000"/>
      <c r="J332" s="1000"/>
      <c r="K332" s="1001"/>
      <c r="L332" s="887">
        <v>0</v>
      </c>
      <c r="M332" s="887">
        <v>0</v>
      </c>
      <c r="N332" s="887">
        <v>0</v>
      </c>
      <c r="O332" s="887">
        <f t="shared" si="150"/>
        <v>0</v>
      </c>
      <c r="P332" s="887">
        <f t="shared" si="151"/>
        <v>0</v>
      </c>
      <c r="Q332" s="875"/>
      <c r="R332" s="875"/>
      <c r="S332" s="875"/>
      <c r="T332" s="875"/>
      <c r="U332" s="875"/>
      <c r="V332" s="875"/>
      <c r="W332" s="875"/>
      <c r="X332" s="875"/>
      <c r="Y332" s="875"/>
      <c r="Z332" s="875"/>
    </row>
    <row r="333" spans="1:26" ht="19.5" hidden="1">
      <c r="A333" s="993"/>
      <c r="B333" s="883"/>
      <c r="C333" s="999"/>
      <c r="D333" s="883"/>
      <c r="E333" s="884" t="s">
        <v>37</v>
      </c>
      <c r="F333" s="883"/>
      <c r="G333" s="994"/>
      <c r="H333" s="165" t="s">
        <v>12</v>
      </c>
      <c r="I333" s="1000"/>
      <c r="J333" s="1000"/>
      <c r="K333" s="1001"/>
      <c r="L333" s="887">
        <f ca="1">IFERROR(__xludf.DUMMYFUNCTION("IMPORTRANGE(""https://docs.google.com/spreadsheets/d/1MeEWN-I1oV_STSDYn1IFDPWt_1FKiwhDph83XaGc0o0/edit?usp=sharing"",""งบพรบ!EM88"")"),179000)</f>
        <v>179000</v>
      </c>
      <c r="M333" s="887">
        <f ca="1">IFERROR(__xludf.DUMMYFUNCTION("IMPORTRANGE(""https://docs.google.com/spreadsheets/d/1MeEWN-I1oV_STSDYn1IFDPWt_1FKiwhDph83XaGc0o0/edit?usp=sharing"",""งบพรบ!ER88"")"),136750)</f>
        <v>136750</v>
      </c>
      <c r="N333" s="887">
        <f ca="1">IFERROR(__xludf.DUMMYFUNCTION("IMPORTRANGE(""https://docs.google.com/spreadsheets/d/1MeEWN-I1oV_STSDYn1IFDPWt_1FKiwhDph83XaGc0o0/edit?usp=sharing"",""งบพรบ!ET88"")"),88842.58)</f>
        <v>88842.58</v>
      </c>
      <c r="O333" s="887">
        <f t="shared" ca="1" si="150"/>
        <v>49.63272625698324</v>
      </c>
      <c r="P333" s="887">
        <f t="shared" ca="1" si="151"/>
        <v>64.96715173674589</v>
      </c>
      <c r="Q333" s="875"/>
      <c r="R333" s="875"/>
      <c r="S333" s="875"/>
      <c r="T333" s="875"/>
      <c r="U333" s="875"/>
      <c r="V333" s="875"/>
      <c r="W333" s="875"/>
      <c r="X333" s="875"/>
      <c r="Y333" s="875"/>
      <c r="Z333" s="875"/>
    </row>
    <row r="334" spans="1:26" ht="18.75">
      <c r="A334" s="995"/>
      <c r="B334" s="877"/>
      <c r="C334" s="996"/>
      <c r="D334" s="878" t="s">
        <v>21</v>
      </c>
      <c r="E334" s="877"/>
      <c r="F334" s="877"/>
      <c r="G334" s="879"/>
      <c r="H334" s="168" t="s">
        <v>12</v>
      </c>
      <c r="I334" s="997"/>
      <c r="J334" s="997"/>
      <c r="K334" s="998"/>
      <c r="L334" s="881">
        <f t="shared" ref="L334:N334" ca="1" si="154">L335+L336</f>
        <v>0</v>
      </c>
      <c r="M334" s="881">
        <f t="shared" ca="1" si="154"/>
        <v>0</v>
      </c>
      <c r="N334" s="881">
        <f t="shared" ca="1" si="154"/>
        <v>0</v>
      </c>
      <c r="O334" s="881">
        <f t="shared" ca="1" si="150"/>
        <v>0</v>
      </c>
      <c r="P334" s="881">
        <f t="shared" ca="1" si="151"/>
        <v>0</v>
      </c>
      <c r="Q334" s="868"/>
      <c r="R334" s="868"/>
      <c r="S334" s="868"/>
      <c r="T334" s="868"/>
      <c r="U334" s="868"/>
      <c r="V334" s="868"/>
      <c r="W334" s="868"/>
      <c r="X334" s="868"/>
      <c r="Y334" s="868"/>
      <c r="Z334" s="868"/>
    </row>
    <row r="335" spans="1:26" ht="19.5" hidden="1">
      <c r="A335" s="993"/>
      <c r="B335" s="883"/>
      <c r="C335" s="999"/>
      <c r="D335" s="883"/>
      <c r="E335" s="884" t="s">
        <v>18</v>
      </c>
      <c r="F335" s="883"/>
      <c r="G335" s="994"/>
      <c r="H335" s="165" t="s">
        <v>12</v>
      </c>
      <c r="I335" s="1000"/>
      <c r="J335" s="1000"/>
      <c r="K335" s="1001"/>
      <c r="L335" s="887">
        <v>0</v>
      </c>
      <c r="M335" s="887">
        <v>0</v>
      </c>
      <c r="N335" s="887">
        <v>0</v>
      </c>
      <c r="O335" s="887">
        <f t="shared" si="150"/>
        <v>0</v>
      </c>
      <c r="P335" s="887">
        <f t="shared" si="151"/>
        <v>0</v>
      </c>
      <c r="Q335" s="875"/>
      <c r="R335" s="875"/>
      <c r="S335" s="875"/>
      <c r="T335" s="875"/>
      <c r="U335" s="875"/>
      <c r="V335" s="875"/>
      <c r="W335" s="875"/>
      <c r="X335" s="875"/>
      <c r="Y335" s="875"/>
      <c r="Z335" s="875"/>
    </row>
    <row r="336" spans="1:26" ht="19.5" hidden="1">
      <c r="A336" s="993"/>
      <c r="B336" s="883"/>
      <c r="C336" s="999"/>
      <c r="D336" s="883"/>
      <c r="E336" s="884" t="s">
        <v>19</v>
      </c>
      <c r="F336" s="883"/>
      <c r="G336" s="994"/>
      <c r="H336" s="169" t="s">
        <v>12</v>
      </c>
      <c r="I336" s="1000"/>
      <c r="J336" s="1000"/>
      <c r="K336" s="1001"/>
      <c r="L336" s="887">
        <f ca="1">IFERROR(__xludf.DUMMYFUNCTION("IMPORTRANGE(""https://docs.google.com/spreadsheets/d/1MeEWN-I1oV_STSDYn1IFDPWt_1FKiwhDph83XaGc0o0/edit?usp=sharing"",""งบพรบ!EP88"")"),0)</f>
        <v>0</v>
      </c>
      <c r="M336" s="887">
        <f ca="1">IFERROR(__xludf.DUMMYFUNCTION("IMPORTRANGE(""https://docs.google.com/spreadsheets/d/1MeEWN-I1oV_STSDYn1IFDPWt_1FKiwhDph83XaGc0o0/edit?usp=sharing"",""งบพรบ!ES88"")"),0)</f>
        <v>0</v>
      </c>
      <c r="N336" s="887">
        <f ca="1">IFERROR(__xludf.DUMMYFUNCTION("IMPORTRANGE(""https://docs.google.com/spreadsheets/d/1MeEWN-I1oV_STSDYn1IFDPWt_1FKiwhDph83XaGc0o0/edit?usp=sharing"",""งบพรบ!EU88"")"),0)</f>
        <v>0</v>
      </c>
      <c r="O336" s="887">
        <f t="shared" ca="1" si="150"/>
        <v>0</v>
      </c>
      <c r="P336" s="887">
        <f t="shared" ca="1" si="151"/>
        <v>0</v>
      </c>
      <c r="Q336" s="875"/>
      <c r="R336" s="875"/>
      <c r="S336" s="875"/>
      <c r="T336" s="875"/>
      <c r="U336" s="875"/>
      <c r="V336" s="875"/>
      <c r="W336" s="875"/>
      <c r="X336" s="875"/>
      <c r="Y336" s="875"/>
      <c r="Z336" s="875"/>
    </row>
    <row r="337" spans="1:26" ht="19.5">
      <c r="A337" s="1002"/>
      <c r="B337" s="1003"/>
      <c r="C337" s="999" t="s">
        <v>16</v>
      </c>
      <c r="D337" s="1004" t="s">
        <v>38</v>
      </c>
      <c r="E337" s="1005"/>
      <c r="F337" s="1005"/>
      <c r="G337" s="1006"/>
      <c r="H337" s="1007"/>
      <c r="I337" s="997"/>
      <c r="J337" s="880"/>
      <c r="K337" s="881"/>
      <c r="L337" s="881"/>
      <c r="M337" s="881"/>
      <c r="N337" s="881"/>
      <c r="O337" s="998"/>
      <c r="P337" s="998"/>
    </row>
    <row r="338" spans="1:26" ht="18.75">
      <c r="A338" s="1086"/>
      <c r="B338" s="877"/>
      <c r="C338" s="1084"/>
      <c r="D338" s="1009" t="s">
        <v>150</v>
      </c>
      <c r="E338" s="1003"/>
      <c r="F338" s="877"/>
      <c r="G338" s="879"/>
      <c r="H338" s="277" t="s">
        <v>35</v>
      </c>
      <c r="I338" s="880">
        <f ca="1">IFERROR(__xludf.DUMMYFUNCTION("IMPORTRANGE(""https://docs.google.com/spreadsheets/d/1QqKyyYR6Q21VydFLVH3TRQUabQu_ym0Zz7PgGX0-kHA/edit?usp=sharing"",""แผน!EG88"")"),4800)</f>
        <v>4800</v>
      </c>
      <c r="J338" s="880">
        <f ca="1">IFERROR(__xludf.DUMMYFUNCTION("IMPORTRANGE(""https://docs.google.com/spreadsheets/d/1kVcqe37tkHyjCSG3S0O1AXqVkqjo8mSIZil3BcpIysc/edit?usp=sharing"",""ศูนย์!D88"")"),5778)</f>
        <v>5778</v>
      </c>
      <c r="K338" s="881">
        <f ca="1">IF(I338&gt;0,J338*100/I338,0)</f>
        <v>120.375</v>
      </c>
      <c r="L338" s="881"/>
      <c r="M338" s="881"/>
      <c r="N338" s="881"/>
      <c r="O338" s="881"/>
      <c r="P338" s="881"/>
    </row>
    <row r="339" spans="1:26" ht="18.75">
      <c r="A339" s="1086"/>
      <c r="B339" s="877"/>
      <c r="C339" s="1084"/>
      <c r="D339" s="1009" t="s">
        <v>151</v>
      </c>
      <c r="E339" s="1003"/>
      <c r="F339" s="877"/>
      <c r="G339" s="879"/>
      <c r="H339" s="277"/>
      <c r="I339" s="880"/>
      <c r="J339" s="880"/>
      <c r="K339" s="881"/>
      <c r="L339" s="881"/>
      <c r="M339" s="881"/>
      <c r="N339" s="881"/>
      <c r="O339" s="881"/>
      <c r="P339" s="881"/>
    </row>
    <row r="340" spans="1:26" ht="18.75">
      <c r="A340" s="1086"/>
      <c r="B340" s="877"/>
      <c r="C340" s="1084"/>
      <c r="D340" s="1010"/>
      <c r="E340" s="1009" t="s">
        <v>152</v>
      </c>
      <c r="F340" s="877"/>
      <c r="G340" s="879"/>
      <c r="H340" s="277" t="s">
        <v>153</v>
      </c>
      <c r="I340" s="880">
        <f ca="1">IFERROR(__xludf.DUMMYFUNCTION("IMPORTRANGE(""https://docs.google.com/spreadsheets/d/1QqKyyYR6Q21VydFLVH3TRQUabQu_ym0Zz7PgGX0-kHA/edit?usp=sharing"",""แผน!EH88"")"),8)</f>
        <v>8</v>
      </c>
      <c r="J340" s="880">
        <f ca="1">IFERROR(__xludf.DUMMYFUNCTION("IMPORTRANGE(""https://docs.google.com/spreadsheets/d/1kVcqe37tkHyjCSG3S0O1AXqVkqjo8mSIZil3BcpIysc/edit?usp=sharing"",""ศูนย์!E88"")"),5)</f>
        <v>5</v>
      </c>
      <c r="K340" s="881">
        <f ca="1">IF(I340&gt;0,J340*100/I340,0)</f>
        <v>62.5</v>
      </c>
      <c r="L340" s="881"/>
      <c r="M340" s="881"/>
      <c r="N340" s="881"/>
      <c r="O340" s="881"/>
      <c r="P340" s="881"/>
    </row>
    <row r="341" spans="1:26" ht="18.75">
      <c r="A341" s="1086"/>
      <c r="B341" s="877"/>
      <c r="C341" s="1084"/>
      <c r="D341" s="1010"/>
      <c r="E341" s="1009" t="s">
        <v>154</v>
      </c>
      <c r="F341" s="877"/>
      <c r="G341" s="879"/>
      <c r="H341" s="277" t="s">
        <v>35</v>
      </c>
      <c r="I341" s="880"/>
      <c r="J341" s="880">
        <f ca="1">IFERROR(__xludf.DUMMYFUNCTION("IMPORTRANGE(""https://docs.google.com/spreadsheets/d/1kVcqe37tkHyjCSG3S0O1AXqVkqjo8mSIZil3BcpIysc/edit?usp=sharing"",""ศูนย์!F88"")"),306)</f>
        <v>306</v>
      </c>
      <c r="K341" s="881"/>
      <c r="L341" s="881"/>
      <c r="M341" s="881"/>
      <c r="N341" s="881"/>
      <c r="O341" s="881"/>
      <c r="P341" s="881"/>
    </row>
    <row r="342" spans="1:26" ht="18.75">
      <c r="A342" s="1086"/>
      <c r="B342" s="877"/>
      <c r="C342" s="1084"/>
      <c r="D342" s="1009" t="s">
        <v>155</v>
      </c>
      <c r="E342" s="1010"/>
      <c r="F342" s="1010"/>
      <c r="G342" s="879"/>
      <c r="H342" s="277" t="s">
        <v>35</v>
      </c>
      <c r="I342" s="880"/>
      <c r="J342" s="880">
        <f ca="1">IFERROR(__xludf.DUMMYFUNCTION("IMPORTRANGE(""https://docs.google.com/spreadsheets/d/1kVcqe37tkHyjCSG3S0O1AXqVkqjo8mSIZil3BcpIysc/edit?usp=sharing"",""ศูนย์!G88"")"),0)</f>
        <v>0</v>
      </c>
      <c r="K342" s="881"/>
      <c r="L342" s="881"/>
      <c r="M342" s="881"/>
      <c r="N342" s="881"/>
      <c r="O342" s="881"/>
      <c r="P342" s="881"/>
    </row>
    <row r="343" spans="1:26" ht="18.75">
      <c r="A343" s="1086"/>
      <c r="B343" s="877"/>
      <c r="C343" s="1084"/>
      <c r="D343" s="1009" t="s">
        <v>156</v>
      </c>
      <c r="E343" s="1010"/>
      <c r="F343" s="1010"/>
      <c r="G343" s="879"/>
      <c r="H343" s="277" t="s">
        <v>35</v>
      </c>
      <c r="I343" s="880"/>
      <c r="J343" s="880">
        <f ca="1">IFERROR(__xludf.DUMMYFUNCTION("IMPORTRANGE(""https://docs.google.com/spreadsheets/d/1kVcqe37tkHyjCSG3S0O1AXqVkqjo8mSIZil3BcpIysc/edit?usp=sharing"",""ศูนย์!H88"")"),13)</f>
        <v>13</v>
      </c>
      <c r="K343" s="881"/>
      <c r="L343" s="881"/>
      <c r="M343" s="881"/>
      <c r="N343" s="881"/>
      <c r="O343" s="881"/>
      <c r="P343" s="881"/>
    </row>
    <row r="344" spans="1:26" ht="19.5">
      <c r="A344" s="1186"/>
      <c r="B344" s="1187" t="s">
        <v>157</v>
      </c>
      <c r="C344" s="1196"/>
      <c r="D344" s="1188"/>
      <c r="E344" s="1188"/>
      <c r="F344" s="1188"/>
      <c r="G344" s="1189"/>
      <c r="H344" s="444"/>
      <c r="I344" s="1197"/>
      <c r="J344" s="1197"/>
      <c r="K344" s="1192"/>
      <c r="L344" s="1192"/>
      <c r="M344" s="1192"/>
      <c r="N344" s="1192"/>
      <c r="O344" s="1192"/>
      <c r="P344" s="1192"/>
    </row>
    <row r="345" spans="1:26" ht="19.5">
      <c r="A345" s="985"/>
      <c r="B345" s="986"/>
      <c r="C345" s="987" t="s">
        <v>16</v>
      </c>
      <c r="D345" s="988" t="s">
        <v>17</v>
      </c>
      <c r="E345" s="986"/>
      <c r="F345" s="986"/>
      <c r="G345" s="989"/>
      <c r="H345" s="152" t="s">
        <v>12</v>
      </c>
      <c r="I345" s="990"/>
      <c r="J345" s="990"/>
      <c r="K345" s="991"/>
      <c r="L345" s="992">
        <f t="shared" ref="L345:N345" ca="1" si="155">L346+L347</f>
        <v>1438760</v>
      </c>
      <c r="M345" s="992">
        <f t="shared" ca="1" si="155"/>
        <v>1165770</v>
      </c>
      <c r="N345" s="992">
        <f t="shared" ca="1" si="155"/>
        <v>894051.61</v>
      </c>
      <c r="O345" s="992">
        <f t="shared" ref="O345:O353" ca="1" si="156">IF(L345&gt;0,N345*100/L345,0)</f>
        <v>62.140427173399317</v>
      </c>
      <c r="P345" s="992">
        <f t="shared" ref="P345:P353" ca="1" si="157">IF(M345&gt;0,N345*100/M345,0)</f>
        <v>76.691938375494303</v>
      </c>
      <c r="Q345" s="868"/>
      <c r="R345" s="868"/>
      <c r="S345" s="868"/>
      <c r="T345" s="868"/>
      <c r="U345" s="868"/>
      <c r="V345" s="868"/>
      <c r="W345" s="868"/>
      <c r="X345" s="868"/>
      <c r="Y345" s="868"/>
      <c r="Z345" s="868"/>
    </row>
    <row r="346" spans="1:26" ht="18.75" hidden="1">
      <c r="A346" s="993"/>
      <c r="B346" s="883"/>
      <c r="C346" s="883"/>
      <c r="D346" s="883"/>
      <c r="E346" s="884" t="s">
        <v>18</v>
      </c>
      <c r="F346" s="883"/>
      <c r="G346" s="994"/>
      <c r="H346" s="158" t="s">
        <v>12</v>
      </c>
      <c r="I346" s="886"/>
      <c r="J346" s="886"/>
      <c r="K346" s="887"/>
      <c r="L346" s="887">
        <f t="shared" ref="L346:N347" si="158">L349+L352</f>
        <v>0</v>
      </c>
      <c r="M346" s="887">
        <f t="shared" si="158"/>
        <v>0</v>
      </c>
      <c r="N346" s="887">
        <f t="shared" si="158"/>
        <v>0</v>
      </c>
      <c r="O346" s="887">
        <f t="shared" si="156"/>
        <v>0</v>
      </c>
      <c r="P346" s="887">
        <f t="shared" si="157"/>
        <v>0</v>
      </c>
      <c r="Q346" s="875"/>
      <c r="R346" s="875"/>
      <c r="S346" s="875"/>
      <c r="T346" s="875"/>
      <c r="U346" s="875"/>
      <c r="V346" s="875"/>
      <c r="W346" s="875"/>
      <c r="X346" s="875"/>
      <c r="Y346" s="875"/>
      <c r="Z346" s="875"/>
    </row>
    <row r="347" spans="1:26" ht="18.75" hidden="1">
      <c r="A347" s="993"/>
      <c r="B347" s="883"/>
      <c r="C347" s="883"/>
      <c r="D347" s="883"/>
      <c r="E347" s="884" t="s">
        <v>19</v>
      </c>
      <c r="F347" s="883"/>
      <c r="G347" s="994"/>
      <c r="H347" s="158" t="s">
        <v>12</v>
      </c>
      <c r="I347" s="886"/>
      <c r="J347" s="886"/>
      <c r="K347" s="887"/>
      <c r="L347" s="887">
        <f t="shared" ca="1" si="158"/>
        <v>1438760</v>
      </c>
      <c r="M347" s="887">
        <f t="shared" ca="1" si="158"/>
        <v>1165770</v>
      </c>
      <c r="N347" s="887">
        <f t="shared" ca="1" si="158"/>
        <v>894051.61</v>
      </c>
      <c r="O347" s="887">
        <f t="shared" ca="1" si="156"/>
        <v>62.140427173399317</v>
      </c>
      <c r="P347" s="887">
        <f t="shared" ca="1" si="157"/>
        <v>76.691938375494303</v>
      </c>
      <c r="Q347" s="875"/>
      <c r="R347" s="875"/>
      <c r="S347" s="875"/>
      <c r="T347" s="875"/>
      <c r="U347" s="875"/>
      <c r="V347" s="875"/>
      <c r="W347" s="875"/>
      <c r="X347" s="875"/>
      <c r="Y347" s="875"/>
      <c r="Z347" s="875"/>
    </row>
    <row r="348" spans="1:26" ht="18.75">
      <c r="A348" s="995"/>
      <c r="B348" s="877"/>
      <c r="C348" s="996"/>
      <c r="D348" s="878" t="s">
        <v>20</v>
      </c>
      <c r="E348" s="877"/>
      <c r="F348" s="877"/>
      <c r="G348" s="879"/>
      <c r="H348" s="161" t="s">
        <v>12</v>
      </c>
      <c r="I348" s="997"/>
      <c r="J348" s="997"/>
      <c r="K348" s="998"/>
      <c r="L348" s="881">
        <f t="shared" ref="L348:N348" ca="1" si="159">L349+L350</f>
        <v>1287160</v>
      </c>
      <c r="M348" s="881">
        <f t="shared" ca="1" si="159"/>
        <v>1035370</v>
      </c>
      <c r="N348" s="881">
        <f t="shared" ca="1" si="159"/>
        <v>763651.61</v>
      </c>
      <c r="O348" s="881">
        <f t="shared" ca="1" si="156"/>
        <v>59.328413717020418</v>
      </c>
      <c r="P348" s="881">
        <f t="shared" ca="1" si="157"/>
        <v>73.756397229975761</v>
      </c>
      <c r="Q348" s="868"/>
      <c r="R348" s="868"/>
      <c r="S348" s="868"/>
      <c r="T348" s="868"/>
      <c r="U348" s="868"/>
      <c r="V348" s="868"/>
      <c r="W348" s="868"/>
      <c r="X348" s="868"/>
      <c r="Y348" s="868"/>
      <c r="Z348" s="868"/>
    </row>
    <row r="349" spans="1:26" ht="19.5" hidden="1">
      <c r="A349" s="993"/>
      <c r="B349" s="883"/>
      <c r="C349" s="999"/>
      <c r="D349" s="883"/>
      <c r="E349" s="884" t="s">
        <v>36</v>
      </c>
      <c r="F349" s="883"/>
      <c r="G349" s="994"/>
      <c r="H349" s="165" t="s">
        <v>12</v>
      </c>
      <c r="I349" s="1000"/>
      <c r="J349" s="1000"/>
      <c r="K349" s="1001"/>
      <c r="L349" s="887">
        <v>0</v>
      </c>
      <c r="M349" s="887">
        <v>0</v>
      </c>
      <c r="N349" s="887">
        <v>0</v>
      </c>
      <c r="O349" s="887">
        <f t="shared" si="156"/>
        <v>0</v>
      </c>
      <c r="P349" s="887">
        <f t="shared" si="157"/>
        <v>0</v>
      </c>
      <c r="Q349" s="875"/>
      <c r="R349" s="875"/>
      <c r="S349" s="875"/>
      <c r="T349" s="875"/>
      <c r="U349" s="875"/>
      <c r="V349" s="875"/>
      <c r="W349" s="875"/>
      <c r="X349" s="875"/>
      <c r="Y349" s="875"/>
      <c r="Z349" s="875"/>
    </row>
    <row r="350" spans="1:26" ht="19.5" hidden="1">
      <c r="A350" s="993"/>
      <c r="B350" s="883"/>
      <c r="C350" s="999"/>
      <c r="D350" s="883"/>
      <c r="E350" s="884" t="s">
        <v>37</v>
      </c>
      <c r="F350" s="883"/>
      <c r="G350" s="994"/>
      <c r="H350" s="165" t="s">
        <v>12</v>
      </c>
      <c r="I350" s="1000"/>
      <c r="J350" s="1000"/>
      <c r="K350" s="1001"/>
      <c r="L350" s="887">
        <f ca="1">IFERROR(__xludf.DUMMYFUNCTION("IMPORTRANGE(""https://docs.google.com/spreadsheets/d/1MeEWN-I1oV_STSDYn1IFDPWt_1FKiwhDph83XaGc0o0/edit?usp=sharing"",""งบพรบ!EW88"")"),1287160)</f>
        <v>1287160</v>
      </c>
      <c r="M350" s="887">
        <f ca="1">IFERROR(__xludf.DUMMYFUNCTION("IMPORTRANGE(""https://docs.google.com/spreadsheets/d/1MeEWN-I1oV_STSDYn1IFDPWt_1FKiwhDph83XaGc0o0/edit?usp=sharing"",""งบพรบ!FB88"")"),1035370)</f>
        <v>1035370</v>
      </c>
      <c r="N350" s="887">
        <f ca="1">IFERROR(__xludf.DUMMYFUNCTION("IMPORTRANGE(""https://docs.google.com/spreadsheets/d/1MeEWN-I1oV_STSDYn1IFDPWt_1FKiwhDph83XaGc0o0/edit?usp=sharing"",""งบพรบ!FD88"")"),763651.61)</f>
        <v>763651.61</v>
      </c>
      <c r="O350" s="887">
        <f t="shared" ca="1" si="156"/>
        <v>59.328413717020418</v>
      </c>
      <c r="P350" s="887">
        <f t="shared" ca="1" si="157"/>
        <v>73.756397229975761</v>
      </c>
      <c r="Q350" s="875"/>
      <c r="R350" s="875"/>
      <c r="S350" s="875"/>
      <c r="T350" s="875"/>
      <c r="U350" s="875"/>
      <c r="V350" s="875"/>
      <c r="W350" s="875"/>
      <c r="X350" s="875"/>
      <c r="Y350" s="875"/>
      <c r="Z350" s="875"/>
    </row>
    <row r="351" spans="1:26" ht="18.75">
      <c r="A351" s="995"/>
      <c r="B351" s="877"/>
      <c r="C351" s="996"/>
      <c r="D351" s="878" t="s">
        <v>21</v>
      </c>
      <c r="E351" s="877"/>
      <c r="F351" s="877"/>
      <c r="G351" s="879"/>
      <c r="H351" s="168" t="s">
        <v>12</v>
      </c>
      <c r="I351" s="997"/>
      <c r="J351" s="997"/>
      <c r="K351" s="998"/>
      <c r="L351" s="881">
        <f t="shared" ref="L351:N351" ca="1" si="160">L352+L353</f>
        <v>151600</v>
      </c>
      <c r="M351" s="881">
        <f t="shared" ca="1" si="160"/>
        <v>130400</v>
      </c>
      <c r="N351" s="881">
        <f t="shared" ca="1" si="160"/>
        <v>130400</v>
      </c>
      <c r="O351" s="881">
        <f t="shared" ca="1" si="156"/>
        <v>86.01583113456465</v>
      </c>
      <c r="P351" s="881">
        <f t="shared" ca="1" si="157"/>
        <v>100</v>
      </c>
      <c r="Q351" s="868"/>
      <c r="R351" s="868"/>
      <c r="S351" s="868"/>
      <c r="T351" s="868"/>
      <c r="U351" s="868"/>
      <c r="V351" s="868"/>
      <c r="W351" s="868"/>
      <c r="X351" s="868"/>
      <c r="Y351" s="868"/>
      <c r="Z351" s="868"/>
    </row>
    <row r="352" spans="1:26" ht="19.5" hidden="1">
      <c r="A352" s="993"/>
      <c r="B352" s="883"/>
      <c r="C352" s="999"/>
      <c r="D352" s="883"/>
      <c r="E352" s="884" t="s">
        <v>18</v>
      </c>
      <c r="F352" s="883"/>
      <c r="G352" s="994"/>
      <c r="H352" s="165" t="s">
        <v>12</v>
      </c>
      <c r="I352" s="1000"/>
      <c r="J352" s="1000"/>
      <c r="K352" s="1001"/>
      <c r="L352" s="887">
        <v>0</v>
      </c>
      <c r="M352" s="887">
        <v>0</v>
      </c>
      <c r="N352" s="887">
        <v>0</v>
      </c>
      <c r="O352" s="887">
        <f t="shared" si="156"/>
        <v>0</v>
      </c>
      <c r="P352" s="887">
        <f t="shared" si="157"/>
        <v>0</v>
      </c>
      <c r="Q352" s="875"/>
      <c r="R352" s="875"/>
      <c r="S352" s="875"/>
      <c r="T352" s="875"/>
      <c r="U352" s="875"/>
      <c r="V352" s="875"/>
      <c r="W352" s="875"/>
      <c r="X352" s="875"/>
      <c r="Y352" s="875"/>
      <c r="Z352" s="875"/>
    </row>
    <row r="353" spans="1:26" ht="19.5" hidden="1">
      <c r="A353" s="993"/>
      <c r="B353" s="883"/>
      <c r="C353" s="999"/>
      <c r="D353" s="883"/>
      <c r="E353" s="884" t="s">
        <v>19</v>
      </c>
      <c r="F353" s="883"/>
      <c r="G353" s="994"/>
      <c r="H353" s="169" t="s">
        <v>12</v>
      </c>
      <c r="I353" s="1000"/>
      <c r="J353" s="1000"/>
      <c r="K353" s="1001"/>
      <c r="L353" s="887">
        <f ca="1">IFERROR(__xludf.DUMMYFUNCTION("IMPORTRANGE(""https://docs.google.com/spreadsheets/d/1MeEWN-I1oV_STSDYn1IFDPWt_1FKiwhDph83XaGc0o0/edit?usp=sharing"",""งบพรบ!EZ88"")"),151600)</f>
        <v>151600</v>
      </c>
      <c r="M353" s="887">
        <f ca="1">IFERROR(__xludf.DUMMYFUNCTION("IMPORTRANGE(""https://docs.google.com/spreadsheets/d/1MeEWN-I1oV_STSDYn1IFDPWt_1FKiwhDph83XaGc0o0/edit?usp=sharing"",""งบพรบ!FC88"")"),130400)</f>
        <v>130400</v>
      </c>
      <c r="N353" s="887">
        <f ca="1">IFERROR(__xludf.DUMMYFUNCTION("IMPORTRANGE(""https://docs.google.com/spreadsheets/d/1MeEWN-I1oV_STSDYn1IFDPWt_1FKiwhDph83XaGc0o0/edit?usp=sharing"",""งบพรบ!FE88"")"),130400)</f>
        <v>130400</v>
      </c>
      <c r="O353" s="887">
        <f t="shared" ca="1" si="156"/>
        <v>86.01583113456465</v>
      </c>
      <c r="P353" s="887">
        <f t="shared" ca="1" si="157"/>
        <v>100</v>
      </c>
      <c r="Q353" s="875"/>
      <c r="R353" s="875"/>
      <c r="S353" s="875"/>
      <c r="T353" s="875"/>
      <c r="U353" s="875"/>
      <c r="V353" s="875"/>
      <c r="W353" s="875"/>
      <c r="X353" s="875"/>
      <c r="Y353" s="875"/>
      <c r="Z353" s="875"/>
    </row>
    <row r="354" spans="1:26" ht="19.5">
      <c r="A354" s="1063"/>
      <c r="B354" s="1070"/>
      <c r="C354" s="1064"/>
      <c r="D354" s="1198" t="s">
        <v>158</v>
      </c>
      <c r="E354" s="1064"/>
      <c r="F354" s="1064"/>
      <c r="G354" s="1066"/>
      <c r="H354" s="1199"/>
      <c r="I354" s="1067"/>
      <c r="J354" s="1067"/>
      <c r="K354" s="1068"/>
      <c r="L354" s="1068"/>
      <c r="M354" s="1068"/>
      <c r="N354" s="1068"/>
      <c r="O354" s="1068"/>
      <c r="P354" s="1068"/>
    </row>
    <row r="355" spans="1:26" ht="19.5">
      <c r="A355" s="1200"/>
      <c r="B355" s="1201"/>
      <c r="C355" s="1202"/>
      <c r="D355" s="1203" t="s">
        <v>159</v>
      </c>
      <c r="E355" s="1204"/>
      <c r="F355" s="1204"/>
      <c r="G355" s="1205"/>
      <c r="H355" s="463" t="s">
        <v>35</v>
      </c>
      <c r="I355" s="1206">
        <f ca="1">IFERROR(__xludf.DUMMYFUNCTION("IMPORTRANGE(""https://docs.google.com/spreadsheets/d/1QqKyyYR6Q21VydFLVH3TRQUabQu_ym0Zz7PgGX0-kHA/edit?usp=sharing"",""แผน!EP88"")"),500)</f>
        <v>500</v>
      </c>
      <c r="J355" s="1206">
        <f ca="1">J362</f>
        <v>186</v>
      </c>
      <c r="K355" s="1207">
        <f ca="1">IF(I355&gt;0,J355*100/I355,0)</f>
        <v>37.200000000000003</v>
      </c>
      <c r="L355" s="1208"/>
      <c r="M355" s="1208"/>
      <c r="N355" s="1208"/>
      <c r="O355" s="1208"/>
      <c r="P355" s="1208"/>
    </row>
    <row r="356" spans="1:26" ht="19.5">
      <c r="A356" s="1200"/>
      <c r="B356" s="1201"/>
      <c r="C356" s="1202"/>
      <c r="D356" s="1209" t="s">
        <v>160</v>
      </c>
      <c r="E356" s="1204"/>
      <c r="F356" s="1204"/>
      <c r="G356" s="1205"/>
      <c r="H356" s="1210"/>
      <c r="I356" s="1211"/>
      <c r="J356" s="1211"/>
      <c r="K356" s="1208"/>
      <c r="L356" s="1208"/>
      <c r="M356" s="1208"/>
      <c r="N356" s="1208"/>
      <c r="O356" s="1208"/>
      <c r="P356" s="1208"/>
    </row>
    <row r="357" spans="1:26" ht="19.5">
      <c r="A357" s="1002"/>
      <c r="B357" s="1003"/>
      <c r="C357" s="999" t="s">
        <v>16</v>
      </c>
      <c r="D357" s="1004" t="s">
        <v>38</v>
      </c>
      <c r="E357" s="1005"/>
      <c r="F357" s="1005"/>
      <c r="G357" s="1006"/>
      <c r="H357" s="1007"/>
      <c r="I357" s="880"/>
      <c r="J357" s="880"/>
      <c r="K357" s="881"/>
      <c r="L357" s="998"/>
      <c r="M357" s="998"/>
      <c r="N357" s="998"/>
      <c r="O357" s="998"/>
      <c r="P357" s="998"/>
    </row>
    <row r="358" spans="1:26" ht="18.75">
      <c r="A358" s="1002"/>
      <c r="B358" s="1010"/>
      <c r="C358" s="1003"/>
      <c r="D358" s="1010"/>
      <c r="E358" s="1008" t="s">
        <v>161</v>
      </c>
      <c r="F358" s="1010"/>
      <c r="G358" s="1011"/>
      <c r="H358" s="185" t="s">
        <v>35</v>
      </c>
      <c r="I358" s="880">
        <v>0</v>
      </c>
      <c r="J358" s="880">
        <f ca="1">IFERROR(__xludf.DUMMYFUNCTION("IMPORTRANGE(""https://docs.google.com/spreadsheets/d/1XWAQStnk-4SwqDmLtmXYiTMKHgktTP8We1SCoS47DrQ/edit?usp=sharing"",""จัดที่ดิน!W88"")"),394)</f>
        <v>394</v>
      </c>
      <c r="K358" s="881">
        <f t="shared" ref="K358:K365" si="161">IF(I358&gt;0,J358*100/I358,0)</f>
        <v>0</v>
      </c>
      <c r="L358" s="998"/>
      <c r="M358" s="998"/>
      <c r="N358" s="998"/>
      <c r="O358" s="998"/>
      <c r="P358" s="998"/>
    </row>
    <row r="359" spans="1:26" ht="18.75">
      <c r="A359" s="1002"/>
      <c r="B359" s="1010"/>
      <c r="C359" s="1003"/>
      <c r="D359" s="1010"/>
      <c r="E359" s="1010"/>
      <c r="F359" s="1010"/>
      <c r="G359" s="1011"/>
      <c r="H359" s="185" t="s">
        <v>46</v>
      </c>
      <c r="I359" s="880">
        <f ca="1">IFERROR(__xludf.DUMMYFUNCTION("IMPORTRANGE(""https://docs.google.com/spreadsheets/d/1QqKyyYR6Q21VydFLVH3TRQUabQu_ym0Zz7PgGX0-kHA/edit?usp=sharing"",""แผน!EO88"")"),5000)</f>
        <v>5000</v>
      </c>
      <c r="J359" s="880">
        <f ca="1">IFERROR(__xludf.DUMMYFUNCTION("IMPORTRANGE(""https://docs.google.com/spreadsheets/d/1XWAQStnk-4SwqDmLtmXYiTMKHgktTP8We1SCoS47DrQ/edit?usp=sharing"",""จัดที่ดิน!X88"")"),4200.82)</f>
        <v>4200.82</v>
      </c>
      <c r="K359" s="881">
        <f t="shared" ca="1" si="161"/>
        <v>84.016400000000004</v>
      </c>
      <c r="L359" s="998"/>
      <c r="M359" s="998"/>
      <c r="N359" s="998"/>
      <c r="O359" s="998"/>
      <c r="P359" s="998"/>
    </row>
    <row r="360" spans="1:26" ht="18.75">
      <c r="A360" s="1002"/>
      <c r="B360" s="1010"/>
      <c r="C360" s="1003"/>
      <c r="D360" s="1010"/>
      <c r="E360" s="1008" t="s">
        <v>162</v>
      </c>
      <c r="F360" s="1010"/>
      <c r="G360" s="1011"/>
      <c r="H360" s="762" t="s">
        <v>35</v>
      </c>
      <c r="I360" s="880">
        <f ca="1">IFERROR(__xludf.DUMMYFUNCTION("IMPORTRANGE(""https://docs.google.com/spreadsheets/d/1QqKyyYR6Q21VydFLVH3TRQUabQu_ym0Zz7PgGX0-kHA/edit?usp=sharing"",""แผน!EP88"")"),500)</f>
        <v>500</v>
      </c>
      <c r="J360" s="880">
        <f ca="1">IFERROR(__xludf.DUMMYFUNCTION("IMPORTRANGE(""https://docs.google.com/spreadsheets/d/1XWAQStnk-4SwqDmLtmXYiTMKHgktTP8We1SCoS47DrQ/edit?usp=sharing"",""จัดที่ดิน!Y88"")"),288)</f>
        <v>288</v>
      </c>
      <c r="K360" s="881">
        <f t="shared" ca="1" si="161"/>
        <v>57.6</v>
      </c>
      <c r="L360" s="998"/>
      <c r="M360" s="998"/>
      <c r="N360" s="998"/>
      <c r="O360" s="998"/>
      <c r="P360" s="998"/>
    </row>
    <row r="361" spans="1:26" ht="18.75">
      <c r="A361" s="1002"/>
      <c r="B361" s="1010"/>
      <c r="C361" s="1003"/>
      <c r="D361" s="1010"/>
      <c r="E361" s="1010"/>
      <c r="F361" s="1010"/>
      <c r="G361" s="1011"/>
      <c r="H361" s="762" t="s">
        <v>46</v>
      </c>
      <c r="I361" s="880">
        <v>0</v>
      </c>
      <c r="J361" s="880">
        <f ca="1">IFERROR(__xludf.DUMMYFUNCTION("IMPORTRANGE(""https://docs.google.com/spreadsheets/d/1XWAQStnk-4SwqDmLtmXYiTMKHgktTP8We1SCoS47DrQ/edit?usp=sharing"",""จัดที่ดิน!Z88"")"),2742.74)</f>
        <v>2742.74</v>
      </c>
      <c r="K361" s="881">
        <f t="shared" si="161"/>
        <v>0</v>
      </c>
      <c r="L361" s="998"/>
      <c r="M361" s="998"/>
      <c r="N361" s="998"/>
      <c r="O361" s="998"/>
      <c r="P361" s="998"/>
    </row>
    <row r="362" spans="1:26" ht="18.75">
      <c r="A362" s="1002"/>
      <c r="B362" s="1010"/>
      <c r="C362" s="1003"/>
      <c r="D362" s="1010"/>
      <c r="E362" s="1008" t="s">
        <v>163</v>
      </c>
      <c r="F362" s="1010"/>
      <c r="G362" s="1011"/>
      <c r="H362" s="762" t="s">
        <v>35</v>
      </c>
      <c r="I362" s="880">
        <f ca="1">IFERROR(__xludf.DUMMYFUNCTION("IMPORTRANGE(""https://docs.google.com/spreadsheets/d/1QqKyyYR6Q21VydFLVH3TRQUabQu_ym0Zz7PgGX0-kHA/edit?usp=sharing"",""แผน!EP88"")"),500)</f>
        <v>500</v>
      </c>
      <c r="J362" s="880">
        <f ca="1">IFERROR(__xludf.DUMMYFUNCTION("IMPORTRANGE(""https://docs.google.com/spreadsheets/d/1XWAQStnk-4SwqDmLtmXYiTMKHgktTP8We1SCoS47DrQ/edit?usp=sharing"",""จัดที่ดิน!AA88"")"),186)</f>
        <v>186</v>
      </c>
      <c r="K362" s="881">
        <f t="shared" ca="1" si="161"/>
        <v>37.200000000000003</v>
      </c>
      <c r="L362" s="998"/>
      <c r="M362" s="998"/>
      <c r="N362" s="998"/>
      <c r="O362" s="998"/>
      <c r="P362" s="998"/>
    </row>
    <row r="363" spans="1:26" ht="18.75">
      <c r="A363" s="1212" t="s">
        <v>164</v>
      </c>
      <c r="B363" s="1010"/>
      <c r="C363" s="1003"/>
      <c r="D363" s="1010"/>
      <c r="E363" s="1009"/>
      <c r="F363" s="1010"/>
      <c r="G363" s="1011"/>
      <c r="H363" s="762" t="s">
        <v>46</v>
      </c>
      <c r="I363" s="880">
        <v>0</v>
      </c>
      <c r="J363" s="880">
        <f ca="1">IFERROR(__xludf.DUMMYFUNCTION("IMPORTRANGE(""https://docs.google.com/spreadsheets/d/1XWAQStnk-4SwqDmLtmXYiTMKHgktTP8We1SCoS47DrQ/edit?usp=sharing"",""จัดที่ดิน!AB88"")"),1741.31)</f>
        <v>1741.31</v>
      </c>
      <c r="K363" s="881">
        <f t="shared" si="161"/>
        <v>0</v>
      </c>
      <c r="L363" s="998"/>
      <c r="M363" s="998"/>
      <c r="N363" s="998"/>
      <c r="O363" s="998"/>
      <c r="P363" s="998"/>
    </row>
    <row r="364" spans="1:26" ht="19.5">
      <c r="A364" s="1213"/>
      <c r="B364" s="1214"/>
      <c r="C364" s="1215"/>
      <c r="D364" s="1216" t="s">
        <v>165</v>
      </c>
      <c r="E364" s="1217"/>
      <c r="F364" s="1217"/>
      <c r="G364" s="1218"/>
      <c r="H364" s="478" t="s">
        <v>35</v>
      </c>
      <c r="I364" s="1219">
        <f t="shared" ref="I364:J364" ca="1" si="162">I365+I374</f>
        <v>800</v>
      </c>
      <c r="J364" s="1219">
        <f t="shared" ca="1" si="162"/>
        <v>710</v>
      </c>
      <c r="K364" s="1220">
        <f t="shared" ca="1" si="161"/>
        <v>88.75</v>
      </c>
      <c r="L364" s="1221"/>
      <c r="M364" s="1221"/>
      <c r="N364" s="1221"/>
      <c r="O364" s="1221"/>
      <c r="P364" s="122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222"/>
      <c r="B365" s="1223"/>
      <c r="C365" s="1224"/>
      <c r="D365" s="1224" t="s">
        <v>166</v>
      </c>
      <c r="E365" s="1225"/>
      <c r="F365" s="1225"/>
      <c r="G365" s="1226"/>
      <c r="H365" s="489" t="s">
        <v>35</v>
      </c>
      <c r="I365" s="1227">
        <f ca="1">IFERROR(__xludf.DUMMYFUNCTION("IMPORTRANGE(""https://docs.google.com/spreadsheets/d/1QqKyyYR6Q21VydFLVH3TRQUabQu_ym0Zz7PgGX0-kHA/edit?usp=sharing"",""แผน!EJ88"")"),150)</f>
        <v>150</v>
      </c>
      <c r="J365" s="1227">
        <f ca="1">J372</f>
        <v>109</v>
      </c>
      <c r="K365" s="1228">
        <f t="shared" ca="1" si="161"/>
        <v>72.666666666666671</v>
      </c>
      <c r="L365" s="1229"/>
      <c r="M365" s="1229"/>
      <c r="N365" s="1229"/>
      <c r="O365" s="1229"/>
      <c r="P365" s="1229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222"/>
      <c r="B366" s="1223"/>
      <c r="C366" s="1224"/>
      <c r="D366" s="1230" t="s">
        <v>167</v>
      </c>
      <c r="E366" s="1225"/>
      <c r="F366" s="1225"/>
      <c r="G366" s="1226"/>
      <c r="H366" s="1231"/>
      <c r="I366" s="1232"/>
      <c r="J366" s="1232"/>
      <c r="K366" s="1229"/>
      <c r="L366" s="1229"/>
      <c r="M366" s="1229"/>
      <c r="N366" s="1229"/>
      <c r="O366" s="1229"/>
      <c r="P366" s="1229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002"/>
      <c r="B367" s="1003"/>
      <c r="C367" s="999" t="s">
        <v>16</v>
      </c>
      <c r="D367" s="1004" t="s">
        <v>38</v>
      </c>
      <c r="E367" s="1005"/>
      <c r="F367" s="1005"/>
      <c r="G367" s="1006"/>
      <c r="H367" s="1007"/>
      <c r="I367" s="880"/>
      <c r="J367" s="880"/>
      <c r="K367" s="881"/>
      <c r="L367" s="998"/>
      <c r="M367" s="998"/>
      <c r="N367" s="998"/>
      <c r="O367" s="998"/>
      <c r="P367" s="998"/>
    </row>
    <row r="368" spans="1:26" ht="18.75">
      <c r="A368" s="1002"/>
      <c r="B368" s="1010"/>
      <c r="C368" s="1003"/>
      <c r="D368" s="1010"/>
      <c r="E368" s="1008" t="s">
        <v>161</v>
      </c>
      <c r="F368" s="1010"/>
      <c r="G368" s="1011"/>
      <c r="H368" s="185" t="s">
        <v>35</v>
      </c>
      <c r="I368" s="880">
        <v>0</v>
      </c>
      <c r="J368" s="880">
        <f ca="1">IFERROR(__xludf.DUMMYFUNCTION("IMPORTRANGE(""https://docs.google.com/spreadsheets/d/1XWAQStnk-4SwqDmLtmXYiTMKHgktTP8We1SCoS47DrQ/edit?usp=sharing"",""จัดที่ดิน!E88"")"),153)</f>
        <v>153</v>
      </c>
      <c r="K368" s="881">
        <f t="shared" ref="K368:K374" si="163">IF(I368&gt;0,J368*100/I368,0)</f>
        <v>0</v>
      </c>
      <c r="L368" s="998"/>
      <c r="M368" s="998"/>
      <c r="N368" s="998"/>
      <c r="O368" s="998"/>
      <c r="P368" s="998"/>
    </row>
    <row r="369" spans="1:26" ht="18.75">
      <c r="A369" s="1002"/>
      <c r="B369" s="1010"/>
      <c r="C369" s="1003"/>
      <c r="D369" s="1010"/>
      <c r="E369" s="1010"/>
      <c r="F369" s="1010"/>
      <c r="G369" s="1011"/>
      <c r="H369" s="185" t="s">
        <v>46</v>
      </c>
      <c r="I369" s="880">
        <f ca="1">IFERROR(__xludf.DUMMYFUNCTION("IMPORTRANGE(""https://docs.google.com/spreadsheets/d/1QqKyyYR6Q21VydFLVH3TRQUabQu_ym0Zz7PgGX0-kHA/edit?usp=sharing"",""แผน!EI88"")"),1500)</f>
        <v>1500</v>
      </c>
      <c r="J369" s="880">
        <f ca="1">IFERROR(__xludf.DUMMYFUNCTION("IMPORTRANGE(""https://docs.google.com/spreadsheets/d/1XWAQStnk-4SwqDmLtmXYiTMKHgktTP8We1SCoS47DrQ/edit?usp=sharing"",""จัดที่ดิน!F88"")"),1496.48)</f>
        <v>1496.48</v>
      </c>
      <c r="K369" s="881">
        <f t="shared" ca="1" si="163"/>
        <v>99.765333333333331</v>
      </c>
      <c r="L369" s="998"/>
      <c r="M369" s="998"/>
      <c r="N369" s="998"/>
      <c r="O369" s="998"/>
      <c r="P369" s="998"/>
    </row>
    <row r="370" spans="1:26" ht="18.75">
      <c r="A370" s="1002"/>
      <c r="B370" s="1010"/>
      <c r="C370" s="1003"/>
      <c r="D370" s="1010"/>
      <c r="E370" s="1008" t="s">
        <v>162</v>
      </c>
      <c r="F370" s="1010"/>
      <c r="G370" s="1011"/>
      <c r="H370" s="762" t="s">
        <v>35</v>
      </c>
      <c r="I370" s="880">
        <f ca="1">IFERROR(__xludf.DUMMYFUNCTION("IMPORTRANGE(""https://docs.google.com/spreadsheets/d/1QqKyyYR6Q21VydFLVH3TRQUabQu_ym0Zz7PgGX0-kHA/edit?usp=sharing"",""แผน!EJ88"")"),150)</f>
        <v>150</v>
      </c>
      <c r="J370" s="880">
        <f ca="1">IFERROR(__xludf.DUMMYFUNCTION("IMPORTRANGE(""https://docs.google.com/spreadsheets/d/1XWAQStnk-4SwqDmLtmXYiTMKHgktTP8We1SCoS47DrQ/edit?usp=sharing"",""จัดที่ดิน!G88"")"),110)</f>
        <v>110</v>
      </c>
      <c r="K370" s="881">
        <f t="shared" ca="1" si="163"/>
        <v>73.333333333333329</v>
      </c>
      <c r="L370" s="998"/>
      <c r="M370" s="998"/>
      <c r="N370" s="998"/>
      <c r="O370" s="998"/>
      <c r="P370" s="998"/>
    </row>
    <row r="371" spans="1:26" ht="18.75">
      <c r="A371" s="1002"/>
      <c r="B371" s="1010"/>
      <c r="C371" s="1003"/>
      <c r="D371" s="1010"/>
      <c r="E371" s="1010"/>
      <c r="F371" s="1010"/>
      <c r="G371" s="1011"/>
      <c r="H371" s="762" t="s">
        <v>46</v>
      </c>
      <c r="I371" s="880">
        <v>0</v>
      </c>
      <c r="J371" s="880">
        <f ca="1">IFERROR(__xludf.DUMMYFUNCTION("IMPORTRANGE(""https://docs.google.com/spreadsheets/d/1XWAQStnk-4SwqDmLtmXYiTMKHgktTP8We1SCoS47DrQ/edit?usp=sharing"",""จัดที่ดิน!H88"")"),954.91)</f>
        <v>954.91</v>
      </c>
      <c r="K371" s="881">
        <f t="shared" si="163"/>
        <v>0</v>
      </c>
      <c r="L371" s="998"/>
      <c r="M371" s="998"/>
      <c r="N371" s="998"/>
      <c r="O371" s="998"/>
      <c r="P371" s="998"/>
    </row>
    <row r="372" spans="1:26" ht="18.75">
      <c r="A372" s="1002"/>
      <c r="B372" s="1010"/>
      <c r="C372" s="1003"/>
      <c r="D372" s="1010"/>
      <c r="E372" s="1008" t="s">
        <v>163</v>
      </c>
      <c r="F372" s="1010"/>
      <c r="G372" s="1011"/>
      <c r="H372" s="762" t="s">
        <v>35</v>
      </c>
      <c r="I372" s="880">
        <f ca="1">IFERROR(__xludf.DUMMYFUNCTION("IMPORTRANGE(""https://docs.google.com/spreadsheets/d/1QqKyyYR6Q21VydFLVH3TRQUabQu_ym0Zz7PgGX0-kHA/edit?usp=sharing"",""แผน!EJ88"")"),150)</f>
        <v>150</v>
      </c>
      <c r="J372" s="880">
        <f ca="1">IFERROR(__xludf.DUMMYFUNCTION("IMPORTRANGE(""https://docs.google.com/spreadsheets/d/1XWAQStnk-4SwqDmLtmXYiTMKHgktTP8We1SCoS47DrQ/edit?usp=sharing"",""จัดที่ดิน!I88"")"),109)</f>
        <v>109</v>
      </c>
      <c r="K372" s="881">
        <f t="shared" ca="1" si="163"/>
        <v>72.666666666666671</v>
      </c>
      <c r="L372" s="998"/>
      <c r="M372" s="998"/>
      <c r="N372" s="998"/>
      <c r="O372" s="998"/>
      <c r="P372" s="998"/>
    </row>
    <row r="373" spans="1:26" ht="18.75">
      <c r="A373" s="1212" t="s">
        <v>164</v>
      </c>
      <c r="B373" s="1010"/>
      <c r="C373" s="1003"/>
      <c r="D373" s="1010"/>
      <c r="E373" s="1009"/>
      <c r="F373" s="1010"/>
      <c r="G373" s="1011"/>
      <c r="H373" s="762" t="s">
        <v>46</v>
      </c>
      <c r="I373" s="880">
        <v>0</v>
      </c>
      <c r="J373" s="880">
        <f ca="1">IFERROR(__xludf.DUMMYFUNCTION("IMPORTRANGE(""https://docs.google.com/spreadsheets/d/1XWAQStnk-4SwqDmLtmXYiTMKHgktTP8We1SCoS47DrQ/edit?usp=sharing"",""จัดที่ดิน!J88"")"),951.73)</f>
        <v>951.73</v>
      </c>
      <c r="K373" s="881">
        <f t="shared" si="163"/>
        <v>0</v>
      </c>
      <c r="L373" s="998"/>
      <c r="M373" s="998"/>
      <c r="N373" s="998"/>
      <c r="O373" s="998"/>
      <c r="P373" s="998"/>
    </row>
    <row r="374" spans="1:26" ht="19.5">
      <c r="A374" s="1222"/>
      <c r="B374" s="1223"/>
      <c r="C374" s="1224"/>
      <c r="D374" s="1224" t="s">
        <v>168</v>
      </c>
      <c r="E374" s="1225"/>
      <c r="F374" s="1225"/>
      <c r="G374" s="1226"/>
      <c r="H374" s="489" t="s">
        <v>35</v>
      </c>
      <c r="I374" s="1233">
        <f ca="1">IFERROR(__xludf.DUMMYFUNCTION("IMPORTRANGE(""https://docs.google.com/spreadsheets/d/1QqKyyYR6Q21VydFLVH3TRQUabQu_ym0Zz7PgGX0-kHA/edit?usp=sharing"",""แผน!EU88"")"),650)</f>
        <v>650</v>
      </c>
      <c r="J374" s="1227">
        <f ca="1">J381</f>
        <v>601</v>
      </c>
      <c r="K374" s="1228">
        <f t="shared" ca="1" si="163"/>
        <v>92.461538461538467</v>
      </c>
      <c r="L374" s="1229"/>
      <c r="M374" s="1229"/>
      <c r="N374" s="1229"/>
      <c r="O374" s="1229"/>
      <c r="P374" s="1229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222"/>
      <c r="B375" s="1223"/>
      <c r="C375" s="1224"/>
      <c r="D375" s="1230" t="s">
        <v>169</v>
      </c>
      <c r="E375" s="1225"/>
      <c r="F375" s="1225"/>
      <c r="G375" s="1226"/>
      <c r="H375" s="1231"/>
      <c r="I375" s="1232"/>
      <c r="J375" s="1232"/>
      <c r="K375" s="1229"/>
      <c r="L375" s="1229"/>
      <c r="M375" s="1229"/>
      <c r="N375" s="1229"/>
      <c r="O375" s="1229"/>
      <c r="P375" s="1229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002"/>
      <c r="B376" s="1003"/>
      <c r="C376" s="999" t="s">
        <v>16</v>
      </c>
      <c r="D376" s="1004" t="s">
        <v>38</v>
      </c>
      <c r="E376" s="1005"/>
      <c r="F376" s="1005"/>
      <c r="G376" s="1006"/>
      <c r="H376" s="1007"/>
      <c r="I376" s="880"/>
      <c r="J376" s="880"/>
      <c r="K376" s="881"/>
      <c r="L376" s="998"/>
      <c r="M376" s="998"/>
      <c r="N376" s="998"/>
      <c r="O376" s="998"/>
      <c r="P376" s="998"/>
    </row>
    <row r="377" spans="1:26" ht="18.75">
      <c r="A377" s="1002"/>
      <c r="B377" s="1010"/>
      <c r="C377" s="1003"/>
      <c r="D377" s="1010"/>
      <c r="E377" s="1008" t="s">
        <v>161</v>
      </c>
      <c r="F377" s="1010"/>
      <c r="G377" s="1011"/>
      <c r="H377" s="185" t="s">
        <v>35</v>
      </c>
      <c r="I377" s="880">
        <v>0</v>
      </c>
      <c r="J377" s="880">
        <f ca="1">IFERROR(__xludf.DUMMYFUNCTION("IMPORTRANGE(""https://docs.google.com/spreadsheets/d/1XWAQStnk-4SwqDmLtmXYiTMKHgktTP8We1SCoS47DrQ/edit?usp=sharing"",""จัดที่ดิน!AH88"")"),241)</f>
        <v>241</v>
      </c>
      <c r="K377" s="881">
        <f t="shared" ref="K377:K382" si="164">IF(I377&gt;0,J377*100/I377,0)</f>
        <v>0</v>
      </c>
      <c r="L377" s="998"/>
      <c r="M377" s="998"/>
      <c r="N377" s="998"/>
      <c r="O377" s="998"/>
      <c r="P377" s="998"/>
    </row>
    <row r="378" spans="1:26" ht="18.75">
      <c r="A378" s="1002"/>
      <c r="B378" s="1010"/>
      <c r="C378" s="1003"/>
      <c r="D378" s="1010"/>
      <c r="E378" s="1010"/>
      <c r="F378" s="1010"/>
      <c r="G378" s="1011"/>
      <c r="H378" s="185" t="s">
        <v>46</v>
      </c>
      <c r="I378" s="880">
        <f ca="1">IFERROR(__xludf.DUMMYFUNCTION("IMPORTRANGE(""https://docs.google.com/spreadsheets/d/1QqKyyYR6Q21VydFLVH3TRQUabQu_ym0Zz7PgGX0-kHA/edit?usp=sharing"",""แผน!ET88"")"),3500)</f>
        <v>3500</v>
      </c>
      <c r="J378" s="880">
        <f ca="1">IFERROR(__xludf.DUMMYFUNCTION("IMPORTRANGE(""https://docs.google.com/spreadsheets/d/1XWAQStnk-4SwqDmLtmXYiTMKHgktTP8We1SCoS47DrQ/edit?usp=sharing"",""จัดที่ดิน!AI88"")"),2704.34)</f>
        <v>2704.34</v>
      </c>
      <c r="K378" s="881">
        <f t="shared" ca="1" si="164"/>
        <v>77.266857142857148</v>
      </c>
      <c r="L378" s="998"/>
      <c r="M378" s="998"/>
      <c r="N378" s="998"/>
      <c r="O378" s="998"/>
      <c r="P378" s="998"/>
    </row>
    <row r="379" spans="1:26" ht="18.75">
      <c r="A379" s="1002"/>
      <c r="B379" s="1010"/>
      <c r="C379" s="1003"/>
      <c r="D379" s="1010"/>
      <c r="E379" s="1008" t="s">
        <v>162</v>
      </c>
      <c r="F379" s="1010"/>
      <c r="G379" s="1011"/>
      <c r="H379" s="762" t="s">
        <v>35</v>
      </c>
      <c r="I379" s="880">
        <f ca="1">IFERROR(__xludf.DUMMYFUNCTION("IMPORTRANGE(""https://docs.google.com/spreadsheets/d/1QqKyyYR6Q21VydFLVH3TRQUabQu_ym0Zz7PgGX0-kHA/edit?usp=sharing"",""แผน!EU88"")"),650)</f>
        <v>650</v>
      </c>
      <c r="J379" s="880">
        <f ca="1">IFERROR(__xludf.DUMMYFUNCTION("IMPORTRANGE(""https://docs.google.com/spreadsheets/d/1XWAQStnk-4SwqDmLtmXYiTMKHgktTP8We1SCoS47DrQ/edit?usp=sharing"",""จัดที่ดิน!AJ88"")"),702)</f>
        <v>702</v>
      </c>
      <c r="K379" s="881">
        <f t="shared" ca="1" si="164"/>
        <v>108</v>
      </c>
      <c r="L379" s="998"/>
      <c r="M379" s="998"/>
      <c r="N379" s="998"/>
      <c r="O379" s="998"/>
      <c r="P379" s="998"/>
    </row>
    <row r="380" spans="1:26" ht="18.75">
      <c r="A380" s="1002"/>
      <c r="B380" s="1010"/>
      <c r="C380" s="1003"/>
      <c r="D380" s="1010"/>
      <c r="E380" s="1010"/>
      <c r="F380" s="1010"/>
      <c r="G380" s="1011"/>
      <c r="H380" s="762" t="s">
        <v>46</v>
      </c>
      <c r="I380" s="880">
        <v>0</v>
      </c>
      <c r="J380" s="880">
        <f ca="1">IFERROR(__xludf.DUMMYFUNCTION("IMPORTRANGE(""https://docs.google.com/spreadsheets/d/1XWAQStnk-4SwqDmLtmXYiTMKHgktTP8We1SCoS47DrQ/edit?usp=sharing"",""จัดที่ดิน!AK88"")"),9709.23)</f>
        <v>9709.23</v>
      </c>
      <c r="K380" s="881">
        <f t="shared" si="164"/>
        <v>0</v>
      </c>
      <c r="L380" s="998"/>
      <c r="M380" s="998"/>
      <c r="N380" s="998"/>
      <c r="O380" s="998"/>
      <c r="P380" s="998"/>
    </row>
    <row r="381" spans="1:26" ht="18.75">
      <c r="A381" s="1002"/>
      <c r="B381" s="1010"/>
      <c r="C381" s="1003"/>
      <c r="D381" s="1010"/>
      <c r="E381" s="1008" t="s">
        <v>163</v>
      </c>
      <c r="F381" s="1010"/>
      <c r="G381" s="1011"/>
      <c r="H381" s="762" t="s">
        <v>35</v>
      </c>
      <c r="I381" s="880">
        <f ca="1">IFERROR(__xludf.DUMMYFUNCTION("IMPORTRANGE(""https://docs.google.com/spreadsheets/d/1QqKyyYR6Q21VydFLVH3TRQUabQu_ym0Zz7PgGX0-kHA/edit?usp=sharing"",""แผน!EU88"")"),650)</f>
        <v>650</v>
      </c>
      <c r="J381" s="880">
        <f ca="1">IFERROR(__xludf.DUMMYFUNCTION("IMPORTRANGE(""https://docs.google.com/spreadsheets/d/1XWAQStnk-4SwqDmLtmXYiTMKHgktTP8We1SCoS47DrQ/edit?usp=sharing"",""จัดที่ดิน!AL88"")"),601)</f>
        <v>601</v>
      </c>
      <c r="K381" s="881">
        <f t="shared" ca="1" si="164"/>
        <v>92.461538461538467</v>
      </c>
      <c r="L381" s="998"/>
      <c r="M381" s="998"/>
      <c r="N381" s="998"/>
      <c r="O381" s="998"/>
      <c r="P381" s="998"/>
    </row>
    <row r="382" spans="1:26" ht="18.75">
      <c r="A382" s="1212" t="s">
        <v>164</v>
      </c>
      <c r="B382" s="1010"/>
      <c r="C382" s="1003"/>
      <c r="D382" s="1010"/>
      <c r="E382" s="1009"/>
      <c r="F382" s="1010"/>
      <c r="G382" s="1011"/>
      <c r="H382" s="762" t="s">
        <v>46</v>
      </c>
      <c r="I382" s="880">
        <v>0</v>
      </c>
      <c r="J382" s="880">
        <f ca="1">IFERROR(__xludf.DUMMYFUNCTION("IMPORTRANGE(""https://docs.google.com/spreadsheets/d/1XWAQStnk-4SwqDmLtmXYiTMKHgktTP8We1SCoS47DrQ/edit?usp=sharing"",""จัดที่ดิน!AM88"")"),8710.98)</f>
        <v>8710.98</v>
      </c>
      <c r="K382" s="881">
        <f t="shared" si="164"/>
        <v>0</v>
      </c>
      <c r="L382" s="998"/>
      <c r="M382" s="998"/>
      <c r="N382" s="998"/>
      <c r="O382" s="998"/>
      <c r="P382" s="998"/>
    </row>
    <row r="383" spans="1:26" ht="19.5">
      <c r="A383" s="1234"/>
      <c r="B383" s="1235"/>
      <c r="C383" s="1091"/>
      <c r="D383" s="1236" t="s">
        <v>170</v>
      </c>
      <c r="E383" s="1091"/>
      <c r="F383" s="1091"/>
      <c r="G383" s="1237"/>
      <c r="H383" s="1199"/>
      <c r="I383" s="1067"/>
      <c r="J383" s="1067"/>
      <c r="K383" s="1068"/>
      <c r="L383" s="1068"/>
      <c r="M383" s="1068"/>
      <c r="N383" s="1068"/>
      <c r="O383" s="1068"/>
      <c r="P383" s="1068"/>
    </row>
    <row r="384" spans="1:26" ht="19.5">
      <c r="A384" s="1002"/>
      <c r="B384" s="1003"/>
      <c r="C384" s="877" t="s">
        <v>16</v>
      </c>
      <c r="D384" s="1004" t="s">
        <v>38</v>
      </c>
      <c r="E384" s="1005"/>
      <c r="F384" s="1005"/>
      <c r="G384" s="1006"/>
      <c r="H384" s="1007"/>
      <c r="I384" s="880"/>
      <c r="J384" s="880"/>
      <c r="K384" s="881"/>
      <c r="L384" s="998"/>
      <c r="M384" s="998"/>
      <c r="N384" s="998"/>
      <c r="O384" s="998"/>
      <c r="P384" s="998"/>
    </row>
    <row r="385" spans="1:26" ht="18.75">
      <c r="A385" s="1133"/>
      <c r="B385" s="1136"/>
      <c r="C385" s="1134"/>
      <c r="D385" s="1136"/>
      <c r="E385" s="1238" t="s">
        <v>171</v>
      </c>
      <c r="F385" s="1136"/>
      <c r="G385" s="1137"/>
      <c r="H385" s="504" t="s">
        <v>35</v>
      </c>
      <c r="I385" s="1138">
        <f ca="1">IFERROR(__xludf.DUMMYFUNCTION("IMPORTRANGE(""https://docs.google.com/spreadsheets/d/1QqKyyYR6Q21VydFLVH3TRQUabQu_ym0Zz7PgGX0-kHA/edit?usp=sharing"",""แผน!EW88"")"),150)</f>
        <v>150</v>
      </c>
      <c r="J385" s="1138">
        <f ca="1">IFERROR(__xludf.DUMMYFUNCTION("IMPORTRANGE(""https://docs.google.com/spreadsheets/d/1XWAQStnk-4SwqDmLtmXYiTMKHgktTP8We1SCoS47DrQ/edit?usp=sharing"",""จัดที่ดิน!AP88"")"),77)</f>
        <v>77</v>
      </c>
      <c r="K385" s="1239">
        <f ca="1">IF(I385&gt;0,J385*100/I385,0)</f>
        <v>51.333333333333336</v>
      </c>
      <c r="L385" s="1139"/>
      <c r="M385" s="1139"/>
      <c r="N385" s="1139"/>
      <c r="O385" s="1139"/>
      <c r="P385" s="1139"/>
    </row>
    <row r="386" spans="1:26" ht="19.5" hidden="1">
      <c r="A386" s="1240" t="s">
        <v>172</v>
      </c>
      <c r="B386" s="1241"/>
      <c r="C386" s="1241"/>
      <c r="D386" s="1241"/>
      <c r="E386" s="1242"/>
      <c r="F386" s="1242"/>
      <c r="G386" s="1243"/>
      <c r="H386" s="1244"/>
      <c r="I386" s="1245"/>
      <c r="J386" s="1245"/>
      <c r="K386" s="1246"/>
      <c r="L386" s="1246"/>
      <c r="M386" s="1246"/>
      <c r="N386" s="1246"/>
      <c r="O386" s="1246"/>
      <c r="P386" s="1246"/>
    </row>
    <row r="387" spans="1:26" ht="19.5" hidden="1">
      <c r="A387" s="1247" t="s">
        <v>173</v>
      </c>
      <c r="B387" s="1248"/>
      <c r="C387" s="1248"/>
      <c r="D387" s="1249"/>
      <c r="E387" s="1248"/>
      <c r="F387" s="1248"/>
      <c r="G387" s="1248"/>
      <c r="H387" s="1250"/>
      <c r="I387" s="1251"/>
      <c r="J387" s="1251"/>
      <c r="K387" s="1252"/>
      <c r="L387" s="1252"/>
      <c r="M387" s="1252"/>
      <c r="N387" s="1252"/>
      <c r="O387" s="1252"/>
      <c r="P387" s="1252"/>
    </row>
    <row r="388" spans="1:26" ht="19.5" hidden="1">
      <c r="A388" s="1253"/>
      <c r="B388" s="1254" t="s">
        <v>174</v>
      </c>
      <c r="C388" s="1255"/>
      <c r="D388" s="1256"/>
      <c r="E388" s="1256"/>
      <c r="F388" s="1256"/>
      <c r="G388" s="1257"/>
      <c r="H388" s="525" t="s">
        <v>66</v>
      </c>
      <c r="I388" s="1258">
        <f t="shared" ref="I388:J388" si="165">I400</f>
        <v>0</v>
      </c>
      <c r="J388" s="1258">
        <f t="shared" si="165"/>
        <v>0</v>
      </c>
      <c r="K388" s="1259">
        <f>IF(I388&gt;0,J388*100/I388,0)</f>
        <v>0</v>
      </c>
      <c r="L388" s="1260"/>
      <c r="M388" s="1260"/>
      <c r="N388" s="1260"/>
      <c r="O388" s="1260"/>
      <c r="P388" s="1260"/>
    </row>
    <row r="389" spans="1:26" ht="19.5" hidden="1">
      <c r="A389" s="985"/>
      <c r="B389" s="986"/>
      <c r="C389" s="987" t="s">
        <v>16</v>
      </c>
      <c r="D389" s="988" t="s">
        <v>17</v>
      </c>
      <c r="E389" s="986"/>
      <c r="F389" s="986"/>
      <c r="G389" s="989"/>
      <c r="H389" s="152" t="s">
        <v>12</v>
      </c>
      <c r="I389" s="990"/>
      <c r="J389" s="990"/>
      <c r="K389" s="991"/>
      <c r="L389" s="992">
        <f t="shared" ref="L389:N389" ca="1" si="166">L390+L391</f>
        <v>0</v>
      </c>
      <c r="M389" s="992">
        <f t="shared" ca="1" si="166"/>
        <v>0</v>
      </c>
      <c r="N389" s="992">
        <f t="shared" ca="1" si="166"/>
        <v>0</v>
      </c>
      <c r="O389" s="992">
        <f t="shared" ref="O389:O397" ca="1" si="167">IF(L389&gt;0,N389*100/L389,0)</f>
        <v>0</v>
      </c>
      <c r="P389" s="992">
        <f t="shared" ref="P389:P397" ca="1" si="168">IF(M389&gt;0,N389*100/M389,0)</f>
        <v>0</v>
      </c>
      <c r="Q389" s="868"/>
      <c r="R389" s="868"/>
      <c r="S389" s="868"/>
      <c r="T389" s="868"/>
      <c r="U389" s="868"/>
      <c r="V389" s="868"/>
      <c r="W389" s="868"/>
      <c r="X389" s="868"/>
      <c r="Y389" s="868"/>
      <c r="Z389" s="868"/>
    </row>
    <row r="390" spans="1:26" ht="18.75" hidden="1">
      <c r="A390" s="993"/>
      <c r="B390" s="883"/>
      <c r="C390" s="883"/>
      <c r="D390" s="883"/>
      <c r="E390" s="884" t="s">
        <v>18</v>
      </c>
      <c r="F390" s="883"/>
      <c r="G390" s="994"/>
      <c r="H390" s="158" t="s">
        <v>12</v>
      </c>
      <c r="I390" s="886"/>
      <c r="J390" s="886"/>
      <c r="K390" s="887"/>
      <c r="L390" s="887">
        <f t="shared" ref="L390:N391" si="169">L393+L396</f>
        <v>0</v>
      </c>
      <c r="M390" s="887">
        <f t="shared" si="169"/>
        <v>0</v>
      </c>
      <c r="N390" s="887">
        <f t="shared" si="169"/>
        <v>0</v>
      </c>
      <c r="O390" s="887">
        <f t="shared" si="167"/>
        <v>0</v>
      </c>
      <c r="P390" s="887">
        <f t="shared" si="168"/>
        <v>0</v>
      </c>
      <c r="Q390" s="875"/>
      <c r="R390" s="875"/>
      <c r="S390" s="875"/>
      <c r="T390" s="875"/>
      <c r="U390" s="875"/>
      <c r="V390" s="875"/>
      <c r="W390" s="875"/>
      <c r="X390" s="875"/>
      <c r="Y390" s="875"/>
      <c r="Z390" s="875"/>
    </row>
    <row r="391" spans="1:26" ht="18.75" hidden="1">
      <c r="A391" s="993"/>
      <c r="B391" s="883"/>
      <c r="C391" s="883"/>
      <c r="D391" s="883"/>
      <c r="E391" s="884" t="s">
        <v>19</v>
      </c>
      <c r="F391" s="883"/>
      <c r="G391" s="994"/>
      <c r="H391" s="158" t="s">
        <v>12</v>
      </c>
      <c r="I391" s="886"/>
      <c r="J391" s="886"/>
      <c r="K391" s="887"/>
      <c r="L391" s="887">
        <f t="shared" ca="1" si="169"/>
        <v>0</v>
      </c>
      <c r="M391" s="887">
        <f t="shared" ca="1" si="169"/>
        <v>0</v>
      </c>
      <c r="N391" s="887">
        <f t="shared" ca="1" si="169"/>
        <v>0</v>
      </c>
      <c r="O391" s="887">
        <f t="shared" ca="1" si="167"/>
        <v>0</v>
      </c>
      <c r="P391" s="887">
        <f t="shared" ca="1" si="168"/>
        <v>0</v>
      </c>
      <c r="Q391" s="875"/>
      <c r="R391" s="875"/>
      <c r="S391" s="875"/>
      <c r="T391" s="875"/>
      <c r="U391" s="875"/>
      <c r="V391" s="875"/>
      <c r="W391" s="875"/>
      <c r="X391" s="875"/>
      <c r="Y391" s="875"/>
      <c r="Z391" s="875"/>
    </row>
    <row r="392" spans="1:26" ht="18.75" hidden="1">
      <c r="A392" s="995"/>
      <c r="B392" s="877"/>
      <c r="C392" s="996"/>
      <c r="D392" s="878" t="s">
        <v>20</v>
      </c>
      <c r="E392" s="877"/>
      <c r="F392" s="877"/>
      <c r="G392" s="879"/>
      <c r="H392" s="161" t="s">
        <v>12</v>
      </c>
      <c r="I392" s="997"/>
      <c r="J392" s="997"/>
      <c r="K392" s="998"/>
      <c r="L392" s="881">
        <f t="shared" ref="L392:N392" ca="1" si="170">L393+L394</f>
        <v>0</v>
      </c>
      <c r="M392" s="881">
        <f t="shared" ca="1" si="170"/>
        <v>0</v>
      </c>
      <c r="N392" s="881">
        <f t="shared" ca="1" si="170"/>
        <v>0</v>
      </c>
      <c r="O392" s="881">
        <f t="shared" ca="1" si="167"/>
        <v>0</v>
      </c>
      <c r="P392" s="881">
        <f t="shared" ca="1" si="168"/>
        <v>0</v>
      </c>
      <c r="Q392" s="868"/>
      <c r="R392" s="868"/>
      <c r="S392" s="868"/>
      <c r="T392" s="868"/>
      <c r="U392" s="868"/>
      <c r="V392" s="868"/>
      <c r="W392" s="868"/>
      <c r="X392" s="868"/>
      <c r="Y392" s="868"/>
      <c r="Z392" s="868"/>
    </row>
    <row r="393" spans="1:26" ht="19.5" hidden="1">
      <c r="A393" s="993"/>
      <c r="B393" s="883"/>
      <c r="C393" s="999"/>
      <c r="D393" s="883"/>
      <c r="E393" s="884" t="s">
        <v>36</v>
      </c>
      <c r="F393" s="883"/>
      <c r="G393" s="994"/>
      <c r="H393" s="165" t="s">
        <v>12</v>
      </c>
      <c r="I393" s="1000"/>
      <c r="J393" s="1000"/>
      <c r="K393" s="1001"/>
      <c r="L393" s="887">
        <v>0</v>
      </c>
      <c r="M393" s="887">
        <v>0</v>
      </c>
      <c r="N393" s="887">
        <v>0</v>
      </c>
      <c r="O393" s="887">
        <f t="shared" si="167"/>
        <v>0</v>
      </c>
      <c r="P393" s="887">
        <f t="shared" si="168"/>
        <v>0</v>
      </c>
      <c r="Q393" s="875"/>
      <c r="R393" s="875"/>
      <c r="S393" s="875"/>
      <c r="T393" s="875"/>
      <c r="U393" s="875"/>
      <c r="V393" s="875"/>
      <c r="W393" s="875"/>
      <c r="X393" s="875"/>
      <c r="Y393" s="875"/>
      <c r="Z393" s="875"/>
    </row>
    <row r="394" spans="1:26" ht="19.5" hidden="1">
      <c r="A394" s="993"/>
      <c r="B394" s="883"/>
      <c r="C394" s="999"/>
      <c r="D394" s="883"/>
      <c r="E394" s="884" t="s">
        <v>37</v>
      </c>
      <c r="F394" s="883"/>
      <c r="G394" s="994"/>
      <c r="H394" s="165" t="s">
        <v>12</v>
      </c>
      <c r="I394" s="1000"/>
      <c r="J394" s="1000"/>
      <c r="K394" s="1001"/>
      <c r="L394" s="887">
        <f ca="1">IFERROR(__xludf.DUMMYFUNCTION("IMPORTRANGE(""https://docs.google.com/spreadsheets/d/1MeEWN-I1oV_STSDYn1IFDPWt_1FKiwhDph83XaGc0o0/edit?usp=sharing"",""งบพรบ!FG88"")"),0)</f>
        <v>0</v>
      </c>
      <c r="M394" s="887">
        <f ca="1">IFERROR(__xludf.DUMMYFUNCTION("IMPORTRANGE(""https://docs.google.com/spreadsheets/d/1MeEWN-I1oV_STSDYn1IFDPWt_1FKiwhDph83XaGc0o0/edit?usp=sharing"",""งบพรบ!FL88"")"),0)</f>
        <v>0</v>
      </c>
      <c r="N394" s="887">
        <f ca="1">IFERROR(__xludf.DUMMYFUNCTION("IMPORTRANGE(""https://docs.google.com/spreadsheets/d/1MeEWN-I1oV_STSDYn1IFDPWt_1FKiwhDph83XaGc0o0/edit?usp=sharing"",""งบพรบ!FN88"")"),0)</f>
        <v>0</v>
      </c>
      <c r="O394" s="887">
        <f t="shared" ca="1" si="167"/>
        <v>0</v>
      </c>
      <c r="P394" s="887">
        <f t="shared" ca="1" si="168"/>
        <v>0</v>
      </c>
      <c r="Q394" s="875"/>
      <c r="R394" s="875"/>
      <c r="S394" s="875"/>
      <c r="T394" s="875"/>
      <c r="U394" s="875"/>
      <c r="V394" s="875"/>
      <c r="W394" s="875"/>
      <c r="X394" s="875"/>
      <c r="Y394" s="875"/>
      <c r="Z394" s="875"/>
    </row>
    <row r="395" spans="1:26" ht="18.75" hidden="1">
      <c r="A395" s="995"/>
      <c r="B395" s="877"/>
      <c r="C395" s="996"/>
      <c r="D395" s="878" t="s">
        <v>21</v>
      </c>
      <c r="E395" s="877"/>
      <c r="F395" s="877"/>
      <c r="G395" s="879"/>
      <c r="H395" s="168" t="s">
        <v>12</v>
      </c>
      <c r="I395" s="997"/>
      <c r="J395" s="997"/>
      <c r="K395" s="998"/>
      <c r="L395" s="881">
        <f t="shared" ref="L395:N395" ca="1" si="171">L396+L397</f>
        <v>0</v>
      </c>
      <c r="M395" s="881">
        <f t="shared" ca="1" si="171"/>
        <v>0</v>
      </c>
      <c r="N395" s="881">
        <f t="shared" ca="1" si="171"/>
        <v>0</v>
      </c>
      <c r="O395" s="881">
        <f t="shared" ca="1" si="167"/>
        <v>0</v>
      </c>
      <c r="P395" s="881">
        <f t="shared" ca="1" si="168"/>
        <v>0</v>
      </c>
      <c r="Q395" s="868"/>
      <c r="R395" s="868"/>
      <c r="S395" s="868"/>
      <c r="T395" s="868"/>
      <c r="U395" s="868"/>
      <c r="V395" s="868"/>
      <c r="W395" s="868"/>
      <c r="X395" s="868"/>
      <c r="Y395" s="868"/>
      <c r="Z395" s="868"/>
    </row>
    <row r="396" spans="1:26" ht="19.5" hidden="1">
      <c r="A396" s="993"/>
      <c r="B396" s="883"/>
      <c r="C396" s="999"/>
      <c r="D396" s="883"/>
      <c r="E396" s="884" t="s">
        <v>18</v>
      </c>
      <c r="F396" s="883"/>
      <c r="G396" s="994"/>
      <c r="H396" s="165" t="s">
        <v>12</v>
      </c>
      <c r="I396" s="1000"/>
      <c r="J396" s="1000"/>
      <c r="K396" s="1001"/>
      <c r="L396" s="887">
        <v>0</v>
      </c>
      <c r="M396" s="887">
        <v>0</v>
      </c>
      <c r="N396" s="887">
        <v>0</v>
      </c>
      <c r="O396" s="887">
        <f t="shared" si="167"/>
        <v>0</v>
      </c>
      <c r="P396" s="887">
        <f t="shared" si="168"/>
        <v>0</v>
      </c>
      <c r="Q396" s="875"/>
      <c r="R396" s="875"/>
      <c r="S396" s="875"/>
      <c r="T396" s="875"/>
      <c r="U396" s="875"/>
      <c r="V396" s="875"/>
      <c r="W396" s="875"/>
      <c r="X396" s="875"/>
      <c r="Y396" s="875"/>
      <c r="Z396" s="875"/>
    </row>
    <row r="397" spans="1:26" ht="19.5" hidden="1">
      <c r="A397" s="993"/>
      <c r="B397" s="883"/>
      <c r="C397" s="999"/>
      <c r="D397" s="883"/>
      <c r="E397" s="884" t="s">
        <v>19</v>
      </c>
      <c r="F397" s="883"/>
      <c r="G397" s="994"/>
      <c r="H397" s="169" t="s">
        <v>12</v>
      </c>
      <c r="I397" s="1000"/>
      <c r="J397" s="1000"/>
      <c r="K397" s="1001"/>
      <c r="L397" s="887">
        <f ca="1">IFERROR(__xludf.DUMMYFUNCTION("IMPORTRANGE(""https://docs.google.com/spreadsheets/d/1MeEWN-I1oV_STSDYn1IFDPWt_1FKiwhDph83XaGc0o0/edit?usp=sharing"",""งบพรบ!FJ88"")"),0)</f>
        <v>0</v>
      </c>
      <c r="M397" s="887">
        <f ca="1">IFERROR(__xludf.DUMMYFUNCTION("IMPORTRANGE(""https://docs.google.com/spreadsheets/d/1MeEWN-I1oV_STSDYn1IFDPWt_1FKiwhDph83XaGc0o0/edit?usp=sharing"",""งบพรบ!FM88"")"),0)</f>
        <v>0</v>
      </c>
      <c r="N397" s="887">
        <f ca="1">IFERROR(__xludf.DUMMYFUNCTION("IMPORTRANGE(""https://docs.google.com/spreadsheets/d/1MeEWN-I1oV_STSDYn1IFDPWt_1FKiwhDph83XaGc0o0/edit?usp=sharing"",""งบพรบ!FO88"")"),0)</f>
        <v>0</v>
      </c>
      <c r="O397" s="887">
        <f t="shared" ca="1" si="167"/>
        <v>0</v>
      </c>
      <c r="P397" s="887">
        <f t="shared" ca="1" si="168"/>
        <v>0</v>
      </c>
      <c r="Q397" s="875"/>
      <c r="R397" s="875"/>
      <c r="S397" s="875"/>
      <c r="T397" s="875"/>
      <c r="U397" s="875"/>
      <c r="V397" s="875"/>
      <c r="W397" s="875"/>
      <c r="X397" s="875"/>
      <c r="Y397" s="875"/>
      <c r="Z397" s="875"/>
    </row>
    <row r="398" spans="1:26" ht="19.5" hidden="1">
      <c r="A398" s="1002"/>
      <c r="B398" s="1003"/>
      <c r="C398" s="999" t="s">
        <v>16</v>
      </c>
      <c r="D398" s="1004" t="s">
        <v>38</v>
      </c>
      <c r="E398" s="1005"/>
      <c r="F398" s="1005"/>
      <c r="G398" s="1006"/>
      <c r="H398" s="1007"/>
      <c r="I398" s="997"/>
      <c r="J398" s="880"/>
      <c r="K398" s="881"/>
      <c r="L398" s="881"/>
      <c r="M398" s="881"/>
      <c r="N398" s="881"/>
      <c r="O398" s="998"/>
      <c r="P398" s="998"/>
    </row>
    <row r="399" spans="1:26" ht="18.75" hidden="1">
      <c r="A399" s="1261"/>
      <c r="B399" s="986"/>
      <c r="C399" s="1262"/>
      <c r="D399" s="1021" t="s">
        <v>175</v>
      </c>
      <c r="E399" s="1166"/>
      <c r="F399" s="986"/>
      <c r="G399" s="989"/>
      <c r="H399" s="532" t="s">
        <v>9</v>
      </c>
      <c r="I399" s="880">
        <v>0</v>
      </c>
      <c r="J399" s="1012">
        <v>0</v>
      </c>
      <c r="K399" s="881">
        <f t="shared" ref="K399:K401" si="172">IF(I399&gt;0,J399*100/I399,0)</f>
        <v>0</v>
      </c>
      <c r="L399" s="1263"/>
      <c r="M399" s="1263"/>
      <c r="N399" s="1263"/>
      <c r="O399" s="1263"/>
      <c r="P399" s="1263"/>
      <c r="Q399" s="868"/>
      <c r="R399" s="868"/>
      <c r="S399" s="868"/>
      <c r="T399" s="868"/>
      <c r="U399" s="868"/>
      <c r="V399" s="868"/>
      <c r="W399" s="868"/>
      <c r="X399" s="868"/>
      <c r="Y399" s="868"/>
      <c r="Z399" s="868"/>
    </row>
    <row r="400" spans="1:26" ht="18.75" hidden="1">
      <c r="A400" s="1086"/>
      <c r="B400" s="877"/>
      <c r="C400" s="1084"/>
      <c r="D400" s="1009" t="s">
        <v>176</v>
      </c>
      <c r="E400" s="1003"/>
      <c r="F400" s="877"/>
      <c r="G400" s="879"/>
      <c r="H400" s="277" t="s">
        <v>66</v>
      </c>
      <c r="I400" s="880">
        <v>0</v>
      </c>
      <c r="J400" s="1012">
        <v>0</v>
      </c>
      <c r="K400" s="881">
        <f t="shared" si="172"/>
        <v>0</v>
      </c>
      <c r="L400" s="881"/>
      <c r="M400" s="881"/>
      <c r="N400" s="881"/>
      <c r="O400" s="881"/>
      <c r="P400" s="881"/>
    </row>
    <row r="401" spans="1:26" ht="19.5" hidden="1">
      <c r="A401" s="1253"/>
      <c r="B401" s="1254" t="s">
        <v>177</v>
      </c>
      <c r="C401" s="1255"/>
      <c r="D401" s="1256"/>
      <c r="E401" s="1256"/>
      <c r="F401" s="1256"/>
      <c r="G401" s="1257"/>
      <c r="H401" s="525" t="s">
        <v>66</v>
      </c>
      <c r="I401" s="1258">
        <f t="shared" ref="I401:J401" si="173">I412</f>
        <v>0</v>
      </c>
      <c r="J401" s="1258">
        <f t="shared" si="173"/>
        <v>0</v>
      </c>
      <c r="K401" s="1259">
        <f t="shared" si="172"/>
        <v>0</v>
      </c>
      <c r="L401" s="1260"/>
      <c r="M401" s="1260"/>
      <c r="N401" s="1260"/>
      <c r="O401" s="1260"/>
      <c r="P401" s="1260"/>
    </row>
    <row r="402" spans="1:26" ht="19.5" hidden="1">
      <c r="A402" s="985"/>
      <c r="B402" s="986"/>
      <c r="C402" s="987" t="s">
        <v>16</v>
      </c>
      <c r="D402" s="988" t="s">
        <v>17</v>
      </c>
      <c r="E402" s="986"/>
      <c r="F402" s="986"/>
      <c r="G402" s="989"/>
      <c r="H402" s="152" t="s">
        <v>12</v>
      </c>
      <c r="I402" s="990"/>
      <c r="J402" s="990"/>
      <c r="K402" s="991"/>
      <c r="L402" s="992">
        <f t="shared" ref="L402:N402" ca="1" si="174">L403+L404</f>
        <v>0</v>
      </c>
      <c r="M402" s="992">
        <f t="shared" ca="1" si="174"/>
        <v>0</v>
      </c>
      <c r="N402" s="992">
        <f t="shared" ca="1" si="174"/>
        <v>0</v>
      </c>
      <c r="O402" s="992">
        <f t="shared" ref="O402:O410" ca="1" si="175">IF(L402&gt;0,N402*100/L402,0)</f>
        <v>0</v>
      </c>
      <c r="P402" s="992">
        <f t="shared" ref="P402:P410" ca="1" si="176">IF(M402&gt;0,N402*100/M402,0)</f>
        <v>0</v>
      </c>
      <c r="Q402" s="868"/>
      <c r="R402" s="868"/>
      <c r="S402" s="868"/>
      <c r="T402" s="868"/>
      <c r="U402" s="868"/>
      <c r="V402" s="868"/>
      <c r="W402" s="868"/>
      <c r="X402" s="868"/>
      <c r="Y402" s="868"/>
      <c r="Z402" s="868"/>
    </row>
    <row r="403" spans="1:26" ht="18.75" hidden="1">
      <c r="A403" s="993"/>
      <c r="B403" s="883"/>
      <c r="C403" s="883"/>
      <c r="D403" s="883"/>
      <c r="E403" s="884" t="s">
        <v>18</v>
      </c>
      <c r="F403" s="883"/>
      <c r="G403" s="994"/>
      <c r="H403" s="158" t="s">
        <v>12</v>
      </c>
      <c r="I403" s="886"/>
      <c r="J403" s="886"/>
      <c r="K403" s="887"/>
      <c r="L403" s="887">
        <f t="shared" ref="L403:N404" si="177">L406+L409</f>
        <v>0</v>
      </c>
      <c r="M403" s="887">
        <f t="shared" si="177"/>
        <v>0</v>
      </c>
      <c r="N403" s="887">
        <f t="shared" si="177"/>
        <v>0</v>
      </c>
      <c r="O403" s="887">
        <f t="shared" si="175"/>
        <v>0</v>
      </c>
      <c r="P403" s="887">
        <f t="shared" si="176"/>
        <v>0</v>
      </c>
      <c r="Q403" s="875"/>
      <c r="R403" s="875"/>
      <c r="S403" s="875"/>
      <c r="T403" s="875"/>
      <c r="U403" s="875"/>
      <c r="V403" s="875"/>
      <c r="W403" s="875"/>
      <c r="X403" s="875"/>
      <c r="Y403" s="875"/>
      <c r="Z403" s="875"/>
    </row>
    <row r="404" spans="1:26" ht="18.75" hidden="1">
      <c r="A404" s="993"/>
      <c r="B404" s="883"/>
      <c r="C404" s="883"/>
      <c r="D404" s="883"/>
      <c r="E404" s="884" t="s">
        <v>19</v>
      </c>
      <c r="F404" s="883"/>
      <c r="G404" s="994"/>
      <c r="H404" s="158" t="s">
        <v>12</v>
      </c>
      <c r="I404" s="886"/>
      <c r="J404" s="886"/>
      <c r="K404" s="887"/>
      <c r="L404" s="887">
        <f t="shared" ca="1" si="177"/>
        <v>0</v>
      </c>
      <c r="M404" s="887">
        <f t="shared" ca="1" si="177"/>
        <v>0</v>
      </c>
      <c r="N404" s="887">
        <f t="shared" ca="1" si="177"/>
        <v>0</v>
      </c>
      <c r="O404" s="887">
        <f t="shared" ca="1" si="175"/>
        <v>0</v>
      </c>
      <c r="P404" s="887">
        <f t="shared" ca="1" si="176"/>
        <v>0</v>
      </c>
      <c r="Q404" s="875"/>
      <c r="R404" s="875"/>
      <c r="S404" s="875"/>
      <c r="T404" s="875"/>
      <c r="U404" s="875"/>
      <c r="V404" s="875"/>
      <c r="W404" s="875"/>
      <c r="X404" s="875"/>
      <c r="Y404" s="875"/>
      <c r="Z404" s="875"/>
    </row>
    <row r="405" spans="1:26" ht="18.75" hidden="1">
      <c r="A405" s="995"/>
      <c r="B405" s="877"/>
      <c r="C405" s="996"/>
      <c r="D405" s="878" t="s">
        <v>20</v>
      </c>
      <c r="E405" s="877"/>
      <c r="F405" s="877"/>
      <c r="G405" s="879"/>
      <c r="H405" s="161" t="s">
        <v>12</v>
      </c>
      <c r="I405" s="997"/>
      <c r="J405" s="997"/>
      <c r="K405" s="998"/>
      <c r="L405" s="881">
        <f t="shared" ref="L405:N405" ca="1" si="178">L406+L407</f>
        <v>0</v>
      </c>
      <c r="M405" s="881">
        <f t="shared" ca="1" si="178"/>
        <v>0</v>
      </c>
      <c r="N405" s="881">
        <f t="shared" ca="1" si="178"/>
        <v>0</v>
      </c>
      <c r="O405" s="881">
        <f t="shared" ca="1" si="175"/>
        <v>0</v>
      </c>
      <c r="P405" s="881">
        <f t="shared" ca="1" si="176"/>
        <v>0</v>
      </c>
      <c r="Q405" s="868"/>
      <c r="R405" s="868"/>
      <c r="S405" s="868"/>
      <c r="T405" s="868"/>
      <c r="U405" s="868"/>
      <c r="V405" s="868"/>
      <c r="W405" s="868"/>
      <c r="X405" s="868"/>
      <c r="Y405" s="868"/>
      <c r="Z405" s="868"/>
    </row>
    <row r="406" spans="1:26" ht="19.5" hidden="1">
      <c r="A406" s="993"/>
      <c r="B406" s="883"/>
      <c r="C406" s="999"/>
      <c r="D406" s="883"/>
      <c r="E406" s="884" t="s">
        <v>36</v>
      </c>
      <c r="F406" s="883"/>
      <c r="G406" s="994"/>
      <c r="H406" s="165" t="s">
        <v>12</v>
      </c>
      <c r="I406" s="1000"/>
      <c r="J406" s="1000"/>
      <c r="K406" s="1001"/>
      <c r="L406" s="887">
        <v>0</v>
      </c>
      <c r="M406" s="887">
        <v>0</v>
      </c>
      <c r="N406" s="887">
        <v>0</v>
      </c>
      <c r="O406" s="887">
        <f t="shared" si="175"/>
        <v>0</v>
      </c>
      <c r="P406" s="887">
        <f t="shared" si="176"/>
        <v>0</v>
      </c>
      <c r="Q406" s="875"/>
      <c r="R406" s="875"/>
      <c r="S406" s="875"/>
      <c r="T406" s="875"/>
      <c r="U406" s="875"/>
      <c r="V406" s="875"/>
      <c r="W406" s="875"/>
      <c r="X406" s="875"/>
      <c r="Y406" s="875"/>
      <c r="Z406" s="875"/>
    </row>
    <row r="407" spans="1:26" ht="19.5" hidden="1">
      <c r="A407" s="993"/>
      <c r="B407" s="883"/>
      <c r="C407" s="999"/>
      <c r="D407" s="883"/>
      <c r="E407" s="884" t="s">
        <v>37</v>
      </c>
      <c r="F407" s="883"/>
      <c r="G407" s="994"/>
      <c r="H407" s="165" t="s">
        <v>12</v>
      </c>
      <c r="I407" s="1000"/>
      <c r="J407" s="1000"/>
      <c r="K407" s="1001"/>
      <c r="L407" s="887">
        <f ca="1">IFERROR(__xludf.DUMMYFUNCTION("IMPORTRANGE(""https://docs.google.com/spreadsheets/d/1MeEWN-I1oV_STSDYn1IFDPWt_1FKiwhDph83XaGc0o0/edit?usp=sharing"",""งบพรบ!FQ88"")"),0)</f>
        <v>0</v>
      </c>
      <c r="M407" s="887">
        <f ca="1">IFERROR(__xludf.DUMMYFUNCTION("IMPORTRANGE(""https://docs.google.com/spreadsheets/d/1MeEWN-I1oV_STSDYn1IFDPWt_1FKiwhDph83XaGc0o0/edit?usp=sharing"",""งบพรบ!FV88"")"),0)</f>
        <v>0</v>
      </c>
      <c r="N407" s="887">
        <f ca="1">IFERROR(__xludf.DUMMYFUNCTION("IMPORTRANGE(""https://docs.google.com/spreadsheets/d/1MeEWN-I1oV_STSDYn1IFDPWt_1FKiwhDph83XaGc0o0/edit?usp=sharing"",""งบพรบ!FX88"")"),0)</f>
        <v>0</v>
      </c>
      <c r="O407" s="887">
        <f t="shared" ca="1" si="175"/>
        <v>0</v>
      </c>
      <c r="P407" s="887">
        <f t="shared" ca="1" si="176"/>
        <v>0</v>
      </c>
      <c r="Q407" s="875"/>
      <c r="R407" s="875"/>
      <c r="S407" s="875"/>
      <c r="T407" s="875"/>
      <c r="U407" s="875"/>
      <c r="V407" s="875"/>
      <c r="W407" s="875"/>
      <c r="X407" s="875"/>
      <c r="Y407" s="875"/>
      <c r="Z407" s="875"/>
    </row>
    <row r="408" spans="1:26" ht="18.75" hidden="1">
      <c r="A408" s="995"/>
      <c r="B408" s="877"/>
      <c r="C408" s="996"/>
      <c r="D408" s="878" t="s">
        <v>21</v>
      </c>
      <c r="E408" s="877"/>
      <c r="F408" s="877"/>
      <c r="G408" s="879"/>
      <c r="H408" s="168" t="s">
        <v>12</v>
      </c>
      <c r="I408" s="997"/>
      <c r="J408" s="997"/>
      <c r="K408" s="998"/>
      <c r="L408" s="881">
        <f t="shared" ref="L408:N408" ca="1" si="179">L409+L410</f>
        <v>0</v>
      </c>
      <c r="M408" s="881">
        <f t="shared" ca="1" si="179"/>
        <v>0</v>
      </c>
      <c r="N408" s="881">
        <f t="shared" ca="1" si="179"/>
        <v>0</v>
      </c>
      <c r="O408" s="881">
        <f t="shared" ca="1" si="175"/>
        <v>0</v>
      </c>
      <c r="P408" s="881">
        <f t="shared" ca="1" si="176"/>
        <v>0</v>
      </c>
      <c r="Q408" s="868"/>
      <c r="R408" s="868"/>
      <c r="S408" s="868"/>
      <c r="T408" s="868"/>
      <c r="U408" s="868"/>
      <c r="V408" s="868"/>
      <c r="W408" s="868"/>
      <c r="X408" s="868"/>
      <c r="Y408" s="868"/>
      <c r="Z408" s="868"/>
    </row>
    <row r="409" spans="1:26" ht="19.5" hidden="1">
      <c r="A409" s="993"/>
      <c r="B409" s="883"/>
      <c r="C409" s="999"/>
      <c r="D409" s="883"/>
      <c r="E409" s="884" t="s">
        <v>18</v>
      </c>
      <c r="F409" s="883"/>
      <c r="G409" s="994"/>
      <c r="H409" s="165" t="s">
        <v>12</v>
      </c>
      <c r="I409" s="1000"/>
      <c r="J409" s="1000"/>
      <c r="K409" s="1001"/>
      <c r="L409" s="887">
        <v>0</v>
      </c>
      <c r="M409" s="887">
        <v>0</v>
      </c>
      <c r="N409" s="887">
        <v>0</v>
      </c>
      <c r="O409" s="887">
        <f t="shared" si="175"/>
        <v>0</v>
      </c>
      <c r="P409" s="887">
        <f t="shared" si="176"/>
        <v>0</v>
      </c>
      <c r="Q409" s="875"/>
      <c r="R409" s="875"/>
      <c r="S409" s="875"/>
      <c r="T409" s="875"/>
      <c r="U409" s="875"/>
      <c r="V409" s="875"/>
      <c r="W409" s="875"/>
      <c r="X409" s="875"/>
      <c r="Y409" s="875"/>
      <c r="Z409" s="875"/>
    </row>
    <row r="410" spans="1:26" ht="19.5" hidden="1">
      <c r="A410" s="993"/>
      <c r="B410" s="883"/>
      <c r="C410" s="999"/>
      <c r="D410" s="883"/>
      <c r="E410" s="884" t="s">
        <v>19</v>
      </c>
      <c r="F410" s="883"/>
      <c r="G410" s="994"/>
      <c r="H410" s="169" t="s">
        <v>12</v>
      </c>
      <c r="I410" s="1000"/>
      <c r="J410" s="1000"/>
      <c r="K410" s="1001"/>
      <c r="L410" s="887">
        <f ca="1">IFERROR(__xludf.DUMMYFUNCTION("IMPORTRANGE(""https://docs.google.com/spreadsheets/d/1MeEWN-I1oV_STSDYn1IFDPWt_1FKiwhDph83XaGc0o0/edit?usp=sharing"",""งบพรบ!FT88"")"),0)</f>
        <v>0</v>
      </c>
      <c r="M410" s="887">
        <f ca="1">IFERROR(__xludf.DUMMYFUNCTION("IMPORTRANGE(""https://docs.google.com/spreadsheets/d/1MeEWN-I1oV_STSDYn1IFDPWt_1FKiwhDph83XaGc0o0/edit?usp=sharing"",""งบพรบ!FW88"")"),0)</f>
        <v>0</v>
      </c>
      <c r="N410" s="887">
        <f ca="1">IFERROR(__xludf.DUMMYFUNCTION("IMPORTRANGE(""https://docs.google.com/spreadsheets/d/1MeEWN-I1oV_STSDYn1IFDPWt_1FKiwhDph83XaGc0o0/edit?usp=sharing"",""งบพรบ!FY88"")"),0)</f>
        <v>0</v>
      </c>
      <c r="O410" s="887">
        <f t="shared" ca="1" si="175"/>
        <v>0</v>
      </c>
      <c r="P410" s="887">
        <f t="shared" ca="1" si="176"/>
        <v>0</v>
      </c>
      <c r="Q410" s="875"/>
      <c r="R410" s="875"/>
      <c r="S410" s="875"/>
      <c r="T410" s="875"/>
      <c r="U410" s="875"/>
      <c r="V410" s="875"/>
      <c r="W410" s="875"/>
      <c r="X410" s="875"/>
      <c r="Y410" s="875"/>
      <c r="Z410" s="875"/>
    </row>
    <row r="411" spans="1:26" ht="19.5" hidden="1">
      <c r="A411" s="1002"/>
      <c r="B411" s="1003"/>
      <c r="C411" s="999" t="s">
        <v>16</v>
      </c>
      <c r="D411" s="1264" t="s">
        <v>38</v>
      </c>
      <c r="E411" s="1265"/>
      <c r="F411" s="1265"/>
      <c r="G411" s="1266"/>
      <c r="H411" s="1007"/>
      <c r="I411" s="880"/>
      <c r="J411" s="880"/>
      <c r="K411" s="881"/>
      <c r="L411" s="998"/>
      <c r="M411" s="998"/>
      <c r="N411" s="998"/>
      <c r="O411" s="998"/>
      <c r="P411" s="998"/>
    </row>
    <row r="412" spans="1:26" ht="18.75" hidden="1">
      <c r="A412" s="1002"/>
      <c r="B412" s="1010"/>
      <c r="C412" s="1010"/>
      <c r="D412" s="1009" t="s">
        <v>178</v>
      </c>
      <c r="E412" s="1010"/>
      <c r="F412" s="1010"/>
      <c r="G412" s="1011"/>
      <c r="H412" s="537" t="s">
        <v>66</v>
      </c>
      <c r="I412" s="880">
        <v>0</v>
      </c>
      <c r="J412" s="1012">
        <v>0</v>
      </c>
      <c r="K412" s="881">
        <f t="shared" ref="K412:K413" si="180">IF(I412&gt;0,J412*100/I412,0)</f>
        <v>0</v>
      </c>
      <c r="L412" s="998"/>
      <c r="M412" s="998"/>
      <c r="N412" s="998"/>
      <c r="O412" s="998"/>
      <c r="P412" s="998"/>
    </row>
    <row r="413" spans="1:26" ht="19.5" hidden="1" thickBot="1">
      <c r="A413" s="1267"/>
      <c r="B413" s="1268"/>
      <c r="C413" s="1268"/>
      <c r="D413" s="1269" t="s">
        <v>179</v>
      </c>
      <c r="E413" s="1268"/>
      <c r="F413" s="1268"/>
      <c r="G413" s="1270"/>
      <c r="H413" s="542" t="s">
        <v>180</v>
      </c>
      <c r="I413" s="1271">
        <v>0</v>
      </c>
      <c r="J413" s="1272">
        <v>0</v>
      </c>
      <c r="K413" s="1273">
        <f t="shared" si="180"/>
        <v>0</v>
      </c>
      <c r="L413" s="1274"/>
      <c r="M413" s="1274"/>
      <c r="N413" s="1274"/>
      <c r="O413" s="1274"/>
      <c r="P413" s="1274"/>
    </row>
    <row r="414" spans="1:26" ht="19.5">
      <c r="A414" s="1275" t="s">
        <v>181</v>
      </c>
      <c r="B414" s="1276"/>
      <c r="C414" s="1276"/>
      <c r="D414" s="1276"/>
      <c r="E414" s="1276"/>
      <c r="F414" s="1276"/>
      <c r="G414" s="1277"/>
      <c r="H414" s="1278"/>
      <c r="I414" s="1279"/>
      <c r="J414" s="1279"/>
      <c r="K414" s="1280"/>
      <c r="L414" s="1281">
        <f t="shared" ref="L414:N414" ca="1" si="181">L419+L444+L467+L502+L523+L544+L629+L655+L685+L737+L754+L770+L786+L805</f>
        <v>2095088</v>
      </c>
      <c r="M414" s="1281">
        <f t="shared" ca="1" si="181"/>
        <v>2095088</v>
      </c>
      <c r="N414" s="1281">
        <f t="shared" si="181"/>
        <v>1132694.3999999999</v>
      </c>
      <c r="O414" s="1281">
        <f ca="1">IF(L414&gt;0,N414*100/L414,0)</f>
        <v>54.064287514414659</v>
      </c>
      <c r="P414" s="1281">
        <f ca="1">IF(M414&gt;0,N414*100/M414,0)</f>
        <v>54.064287514414659</v>
      </c>
    </row>
    <row r="415" spans="1:26" ht="19.5">
      <c r="A415" s="1282" t="s">
        <v>182</v>
      </c>
      <c r="B415" s="1283"/>
      <c r="C415" s="1283"/>
      <c r="D415" s="1283"/>
      <c r="E415" s="1283"/>
      <c r="F415" s="1283"/>
      <c r="G415" s="1283"/>
      <c r="H415" s="1284"/>
      <c r="I415" s="1285"/>
      <c r="J415" s="1285"/>
      <c r="K415" s="1286"/>
      <c r="L415" s="1287"/>
      <c r="M415" s="1287"/>
      <c r="N415" s="1287"/>
      <c r="O415" s="1287"/>
      <c r="P415" s="1287"/>
    </row>
    <row r="416" spans="1:26" ht="19.5">
      <c r="A416" s="1282" t="s">
        <v>183</v>
      </c>
      <c r="B416" s="1283"/>
      <c r="C416" s="1283"/>
      <c r="D416" s="1283"/>
      <c r="E416" s="1283"/>
      <c r="F416" s="1283"/>
      <c r="G416" s="1288"/>
      <c r="H416" s="1289"/>
      <c r="I416" s="1290"/>
      <c r="J416" s="1290"/>
      <c r="K416" s="1287"/>
      <c r="L416" s="1287"/>
      <c r="M416" s="1287"/>
      <c r="N416" s="1287"/>
      <c r="O416" s="1287"/>
      <c r="P416" s="1287"/>
    </row>
    <row r="417" spans="1:26" ht="39">
      <c r="A417" s="563">
        <v>1</v>
      </c>
      <c r="B417" s="1291" t="s">
        <v>184</v>
      </c>
      <c r="C417" s="1291"/>
      <c r="D417" s="1292"/>
      <c r="E417" s="1292"/>
      <c r="F417" s="1292"/>
      <c r="G417" s="1293"/>
      <c r="H417" s="568" t="s">
        <v>35</v>
      </c>
      <c r="I417" s="1294">
        <f t="shared" ref="I417:J418" ca="1" si="182">I433</f>
        <v>45</v>
      </c>
      <c r="J417" s="1294">
        <f t="shared" ca="1" si="182"/>
        <v>45</v>
      </c>
      <c r="K417" s="1295">
        <f t="shared" ref="K417:K418" ca="1" si="183">IF(I417&gt;0,J417*100/I417,0)</f>
        <v>100</v>
      </c>
      <c r="L417" s="1296"/>
      <c r="M417" s="1296"/>
      <c r="N417" s="1296"/>
      <c r="O417" s="1296"/>
      <c r="P417" s="1296"/>
    </row>
    <row r="418" spans="1:26" ht="19.5">
      <c r="A418" s="1297"/>
      <c r="B418" s="563"/>
      <c r="C418" s="1291"/>
      <c r="D418" s="1292"/>
      <c r="E418" s="1292"/>
      <c r="F418" s="1292"/>
      <c r="G418" s="1293"/>
      <c r="H418" s="568" t="s">
        <v>49</v>
      </c>
      <c r="I418" s="1294">
        <f t="shared" ca="1" si="182"/>
        <v>2</v>
      </c>
      <c r="J418" s="1294">
        <f t="shared" si="182"/>
        <v>2</v>
      </c>
      <c r="K418" s="1295">
        <f t="shared" ca="1" si="183"/>
        <v>100</v>
      </c>
      <c r="L418" s="1296"/>
      <c r="M418" s="1296"/>
      <c r="N418" s="1296"/>
      <c r="O418" s="1296"/>
      <c r="P418" s="1296"/>
    </row>
    <row r="419" spans="1:26" ht="19.5">
      <c r="A419" s="985"/>
      <c r="B419" s="986"/>
      <c r="C419" s="986" t="s">
        <v>16</v>
      </c>
      <c r="D419" s="1298" t="s">
        <v>17</v>
      </c>
      <c r="E419" s="846"/>
      <c r="F419" s="846"/>
      <c r="G419" s="989"/>
      <c r="H419" s="275" t="s">
        <v>12</v>
      </c>
      <c r="I419" s="990"/>
      <c r="J419" s="990"/>
      <c r="K419" s="991"/>
      <c r="L419" s="992">
        <f t="shared" ref="L419:N419" ca="1" si="184">L420+L421</f>
        <v>149040</v>
      </c>
      <c r="M419" s="992">
        <f t="shared" ca="1" si="184"/>
        <v>149040</v>
      </c>
      <c r="N419" s="992">
        <f t="shared" si="184"/>
        <v>120340</v>
      </c>
      <c r="O419" s="992">
        <f t="shared" ref="O419:O424" ca="1" si="185">IF(L419&gt;0,N419*100/L419,0)</f>
        <v>80.743424584004288</v>
      </c>
      <c r="P419" s="992">
        <f t="shared" ref="P419:P424" ca="1" si="186">IF(M419&gt;0,N419*100/M419,0)</f>
        <v>80.743424584004288</v>
      </c>
      <c r="Q419" s="868"/>
      <c r="R419" s="868"/>
      <c r="S419" s="868"/>
      <c r="T419" s="868"/>
      <c r="U419" s="868"/>
      <c r="V419" s="868"/>
      <c r="W419" s="868"/>
      <c r="X419" s="868"/>
      <c r="Y419" s="868"/>
      <c r="Z419" s="868"/>
    </row>
    <row r="420" spans="1:26" ht="18.75" hidden="1">
      <c r="A420" s="993"/>
      <c r="B420" s="883"/>
      <c r="C420" s="883"/>
      <c r="D420" s="1114"/>
      <c r="E420" s="884" t="s">
        <v>185</v>
      </c>
      <c r="F420" s="883"/>
      <c r="G420" s="994"/>
      <c r="H420" s="165" t="s">
        <v>12</v>
      </c>
      <c r="I420" s="886"/>
      <c r="J420" s="886"/>
      <c r="K420" s="887"/>
      <c r="L420" s="887">
        <f t="shared" ref="L420:N421" si="187">L423+L430</f>
        <v>0</v>
      </c>
      <c r="M420" s="887">
        <f t="shared" si="187"/>
        <v>0</v>
      </c>
      <c r="N420" s="887">
        <f t="shared" si="187"/>
        <v>0</v>
      </c>
      <c r="O420" s="887">
        <f t="shared" si="185"/>
        <v>0</v>
      </c>
      <c r="P420" s="887">
        <f t="shared" si="186"/>
        <v>0</v>
      </c>
      <c r="Q420" s="875"/>
      <c r="R420" s="875"/>
      <c r="S420" s="875"/>
      <c r="T420" s="875"/>
      <c r="U420" s="875"/>
      <c r="V420" s="875"/>
      <c r="W420" s="875"/>
      <c r="X420" s="875"/>
      <c r="Y420" s="875"/>
      <c r="Z420" s="875"/>
    </row>
    <row r="421" spans="1:26" ht="18.75" hidden="1">
      <c r="A421" s="993"/>
      <c r="B421" s="883"/>
      <c r="C421" s="883"/>
      <c r="D421" s="1114"/>
      <c r="E421" s="884" t="s">
        <v>186</v>
      </c>
      <c r="F421" s="883"/>
      <c r="G421" s="994"/>
      <c r="H421" s="165" t="s">
        <v>12</v>
      </c>
      <c r="I421" s="886"/>
      <c r="J421" s="886"/>
      <c r="K421" s="887"/>
      <c r="L421" s="887">
        <f t="shared" ca="1" si="187"/>
        <v>149040</v>
      </c>
      <c r="M421" s="887">
        <f t="shared" ca="1" si="187"/>
        <v>149040</v>
      </c>
      <c r="N421" s="887">
        <f t="shared" si="187"/>
        <v>120340</v>
      </c>
      <c r="O421" s="887">
        <f t="shared" ca="1" si="185"/>
        <v>80.743424584004288</v>
      </c>
      <c r="P421" s="887">
        <f t="shared" ca="1" si="186"/>
        <v>80.743424584004288</v>
      </c>
      <c r="Q421" s="875"/>
      <c r="R421" s="875"/>
      <c r="S421" s="875"/>
      <c r="T421" s="875"/>
      <c r="U421" s="875"/>
      <c r="V421" s="875"/>
      <c r="W421" s="875"/>
      <c r="X421" s="875"/>
      <c r="Y421" s="875"/>
      <c r="Z421" s="875"/>
    </row>
    <row r="422" spans="1:26" ht="18.75">
      <c r="A422" s="995"/>
      <c r="B422" s="1084"/>
      <c r="C422" s="877"/>
      <c r="D422" s="878" t="s">
        <v>20</v>
      </c>
      <c r="E422" s="877"/>
      <c r="F422" s="877"/>
      <c r="G422" s="879"/>
      <c r="H422" s="161" t="s">
        <v>12</v>
      </c>
      <c r="I422" s="997"/>
      <c r="J422" s="997"/>
      <c r="K422" s="998"/>
      <c r="L422" s="881">
        <f t="shared" ref="L422:N422" ca="1" si="188">L423+L424</f>
        <v>149040</v>
      </c>
      <c r="M422" s="881">
        <f t="shared" ca="1" si="188"/>
        <v>149040</v>
      </c>
      <c r="N422" s="881">
        <f t="shared" si="188"/>
        <v>120340</v>
      </c>
      <c r="O422" s="881">
        <f t="shared" ca="1" si="185"/>
        <v>80.743424584004288</v>
      </c>
      <c r="P422" s="881">
        <f t="shared" ca="1" si="186"/>
        <v>80.743424584004288</v>
      </c>
      <c r="Q422" s="868"/>
      <c r="R422" s="868"/>
      <c r="S422" s="868"/>
      <c r="T422" s="868"/>
      <c r="U422" s="868"/>
      <c r="V422" s="868"/>
      <c r="W422" s="868"/>
      <c r="X422" s="868"/>
      <c r="Y422" s="868"/>
      <c r="Z422" s="868"/>
    </row>
    <row r="423" spans="1:26" ht="18.75" hidden="1">
      <c r="A423" s="993"/>
      <c r="B423" s="883"/>
      <c r="C423" s="883"/>
      <c r="D423" s="1114"/>
      <c r="E423" s="884" t="s">
        <v>185</v>
      </c>
      <c r="F423" s="883"/>
      <c r="G423" s="994"/>
      <c r="H423" s="165" t="s">
        <v>12</v>
      </c>
      <c r="I423" s="886"/>
      <c r="J423" s="886"/>
      <c r="K423" s="887"/>
      <c r="L423" s="887">
        <v>0</v>
      </c>
      <c r="M423" s="887">
        <v>0</v>
      </c>
      <c r="N423" s="887">
        <v>0</v>
      </c>
      <c r="O423" s="887">
        <f t="shared" si="185"/>
        <v>0</v>
      </c>
      <c r="P423" s="887">
        <f t="shared" si="186"/>
        <v>0</v>
      </c>
      <c r="Q423" s="875"/>
      <c r="R423" s="875"/>
      <c r="S423" s="875"/>
      <c r="T423" s="875"/>
      <c r="U423" s="875"/>
      <c r="V423" s="875"/>
      <c r="W423" s="875"/>
      <c r="X423" s="875"/>
      <c r="Y423" s="875"/>
      <c r="Z423" s="875"/>
    </row>
    <row r="424" spans="1:26" ht="18.75" hidden="1">
      <c r="A424" s="993"/>
      <c r="B424" s="883"/>
      <c r="C424" s="883"/>
      <c r="D424" s="1114"/>
      <c r="E424" s="884" t="s">
        <v>186</v>
      </c>
      <c r="F424" s="883"/>
      <c r="G424" s="994"/>
      <c r="H424" s="165" t="s">
        <v>12</v>
      </c>
      <c r="I424" s="886"/>
      <c r="J424" s="886"/>
      <c r="K424" s="887"/>
      <c r="L424" s="887">
        <f ca="1">IFERROR(__xludf.DUMMYFUNCTION("IMPORTRANGE(""https://docs.google.com/spreadsheets/d/1QqKyyYR6Q21VydFLVH3TRQUabQu_ym0Zz7PgGX0-kHA/edit?usp=sharing"",""แผน!EY88"")"),149040)</f>
        <v>149040</v>
      </c>
      <c r="M424" s="887">
        <f ca="1">L424</f>
        <v>149040</v>
      </c>
      <c r="N424" s="887">
        <f>N425+N426+N427+N428</f>
        <v>120340</v>
      </c>
      <c r="O424" s="887">
        <f t="shared" ca="1" si="185"/>
        <v>80.743424584004288</v>
      </c>
      <c r="P424" s="887">
        <f t="shared" ca="1" si="186"/>
        <v>80.743424584004288</v>
      </c>
      <c r="Q424" s="875"/>
      <c r="R424" s="875"/>
      <c r="S424" s="875"/>
      <c r="T424" s="875"/>
      <c r="U424" s="875"/>
      <c r="V424" s="875"/>
      <c r="W424" s="875"/>
      <c r="X424" s="875"/>
      <c r="Y424" s="875"/>
      <c r="Z424" s="875"/>
    </row>
    <row r="425" spans="1:26" ht="18.75">
      <c r="A425" s="1299"/>
      <c r="B425" s="1300"/>
      <c r="C425" s="1301"/>
      <c r="D425" s="1301"/>
      <c r="E425" s="1301"/>
      <c r="F425" s="1301" t="s">
        <v>187</v>
      </c>
      <c r="G425" s="1016"/>
      <c r="H425" s="161" t="s">
        <v>12</v>
      </c>
      <c r="I425" s="880"/>
      <c r="J425" s="880"/>
      <c r="K425" s="881"/>
      <c r="L425" s="881"/>
      <c r="M425" s="881"/>
      <c r="N425" s="1085">
        <f>77780+24000+17000</f>
        <v>118780</v>
      </c>
      <c r="O425" s="881"/>
      <c r="P425" s="881"/>
      <c r="Q425" s="1302"/>
      <c r="R425" s="1302"/>
      <c r="S425" s="1302"/>
      <c r="T425" s="1302"/>
      <c r="U425" s="1302"/>
      <c r="V425" s="1302"/>
      <c r="W425" s="1302"/>
      <c r="X425" s="1302"/>
      <c r="Y425" s="1302"/>
      <c r="Z425" s="1302"/>
    </row>
    <row r="426" spans="1:26" ht="18.75">
      <c r="A426" s="1299"/>
      <c r="B426" s="1300"/>
      <c r="C426" s="1301"/>
      <c r="D426" s="1301"/>
      <c r="E426" s="1301"/>
      <c r="F426" s="1301" t="s">
        <v>188</v>
      </c>
      <c r="G426" s="1016"/>
      <c r="H426" s="161" t="s">
        <v>12</v>
      </c>
      <c r="I426" s="880"/>
      <c r="J426" s="880"/>
      <c r="K426" s="881"/>
      <c r="L426" s="881"/>
      <c r="M426" s="881"/>
      <c r="N426" s="1085">
        <v>0</v>
      </c>
      <c r="O426" s="881"/>
      <c r="P426" s="881"/>
      <c r="Q426" s="1302"/>
      <c r="R426" s="1302"/>
      <c r="S426" s="1302"/>
      <c r="T426" s="1302"/>
      <c r="U426" s="1302"/>
      <c r="V426" s="1302"/>
      <c r="W426" s="1302"/>
      <c r="X426" s="1302"/>
      <c r="Y426" s="1302"/>
      <c r="Z426" s="1302"/>
    </row>
    <row r="427" spans="1:26" ht="18.75">
      <c r="A427" s="1299"/>
      <c r="B427" s="1300"/>
      <c r="C427" s="1301"/>
      <c r="D427" s="1301"/>
      <c r="E427" s="1301"/>
      <c r="F427" s="1301" t="s">
        <v>189</v>
      </c>
      <c r="G427" s="1016"/>
      <c r="H427" s="161" t="s">
        <v>12</v>
      </c>
      <c r="I427" s="880"/>
      <c r="J427" s="880"/>
      <c r="K427" s="881"/>
      <c r="L427" s="881"/>
      <c r="M427" s="881"/>
      <c r="N427" s="1085">
        <v>0</v>
      </c>
      <c r="O427" s="881"/>
      <c r="P427" s="881"/>
      <c r="Q427" s="1302"/>
      <c r="R427" s="1302"/>
      <c r="S427" s="1302"/>
      <c r="T427" s="1302"/>
      <c r="U427" s="1302"/>
      <c r="V427" s="1302"/>
      <c r="W427" s="1302"/>
      <c r="X427" s="1302"/>
      <c r="Y427" s="1302"/>
      <c r="Z427" s="1302"/>
    </row>
    <row r="428" spans="1:26" ht="18.75">
      <c r="A428" s="1086"/>
      <c r="B428" s="1084"/>
      <c r="C428" s="877"/>
      <c r="D428" s="877"/>
      <c r="E428" s="877"/>
      <c r="F428" s="996" t="s">
        <v>190</v>
      </c>
      <c r="G428" s="1030"/>
      <c r="H428" s="161" t="s">
        <v>12</v>
      </c>
      <c r="I428" s="880"/>
      <c r="J428" s="880"/>
      <c r="K428" s="881"/>
      <c r="L428" s="881"/>
      <c r="M428" s="881"/>
      <c r="N428" s="1085">
        <f>1080+480</f>
        <v>1560</v>
      </c>
      <c r="O428" s="881"/>
      <c r="P428" s="881"/>
      <c r="Q428" s="868"/>
      <c r="R428" s="868"/>
      <c r="S428" s="868"/>
      <c r="T428" s="868"/>
      <c r="U428" s="868"/>
      <c r="V428" s="868"/>
      <c r="W428" s="868"/>
      <c r="X428" s="868"/>
      <c r="Y428" s="868"/>
      <c r="Z428" s="868"/>
    </row>
    <row r="429" spans="1:26" ht="18.75">
      <c r="A429" s="995"/>
      <c r="B429" s="1084"/>
      <c r="C429" s="877"/>
      <c r="D429" s="878" t="s">
        <v>21</v>
      </c>
      <c r="E429" s="877"/>
      <c r="F429" s="877"/>
      <c r="G429" s="879"/>
      <c r="H429" s="168" t="s">
        <v>12</v>
      </c>
      <c r="I429" s="997"/>
      <c r="J429" s="997"/>
      <c r="K429" s="998"/>
      <c r="L429" s="881">
        <f t="shared" ref="L429:N429" ca="1" si="189">L430+L431</f>
        <v>0</v>
      </c>
      <c r="M429" s="881">
        <f t="shared" si="189"/>
        <v>0</v>
      </c>
      <c r="N429" s="881">
        <f t="shared" si="189"/>
        <v>0</v>
      </c>
      <c r="O429" s="881">
        <f t="shared" ref="O429:O431" ca="1" si="190">IF(L429&gt;0,N429*100/L429,0)</f>
        <v>0</v>
      </c>
      <c r="P429" s="881">
        <f t="shared" ref="P429:P431" si="191">IF(M429&gt;0,N429*100/M429,0)</f>
        <v>0</v>
      </c>
      <c r="Q429" s="868"/>
      <c r="R429" s="868"/>
      <c r="S429" s="868"/>
      <c r="T429" s="868"/>
      <c r="U429" s="868"/>
      <c r="V429" s="868"/>
      <c r="W429" s="868"/>
      <c r="X429" s="868"/>
      <c r="Y429" s="868"/>
      <c r="Z429" s="868"/>
    </row>
    <row r="430" spans="1:26" ht="18.75" hidden="1">
      <c r="A430" s="993"/>
      <c r="B430" s="1105"/>
      <c r="C430" s="883"/>
      <c r="D430" s="883"/>
      <c r="E430" s="884" t="s">
        <v>18</v>
      </c>
      <c r="F430" s="883"/>
      <c r="G430" s="885"/>
      <c r="H430" s="165" t="s">
        <v>12</v>
      </c>
      <c r="I430" s="1000"/>
      <c r="J430" s="1000"/>
      <c r="K430" s="1001"/>
      <c r="L430" s="887">
        <v>0</v>
      </c>
      <c r="M430" s="887">
        <v>0</v>
      </c>
      <c r="N430" s="887">
        <v>0</v>
      </c>
      <c r="O430" s="887">
        <f t="shared" si="190"/>
        <v>0</v>
      </c>
      <c r="P430" s="887">
        <f t="shared" si="191"/>
        <v>0</v>
      </c>
      <c r="Q430" s="875"/>
      <c r="R430" s="875"/>
      <c r="S430" s="875"/>
      <c r="T430" s="875"/>
      <c r="U430" s="875"/>
      <c r="V430" s="875"/>
      <c r="W430" s="875"/>
      <c r="X430" s="875"/>
      <c r="Y430" s="875"/>
      <c r="Z430" s="875"/>
    </row>
    <row r="431" spans="1:26" ht="18.75" hidden="1">
      <c r="A431" s="993"/>
      <c r="B431" s="1105"/>
      <c r="C431" s="883"/>
      <c r="D431" s="883"/>
      <c r="E431" s="884" t="s">
        <v>19</v>
      </c>
      <c r="F431" s="883"/>
      <c r="G431" s="885"/>
      <c r="H431" s="169" t="s">
        <v>12</v>
      </c>
      <c r="I431" s="1000"/>
      <c r="J431" s="1000"/>
      <c r="K431" s="1001"/>
      <c r="L431" s="887">
        <f ca="1">IFERROR(__xludf.DUMMYFUNCTION("IMPORTRANGE(""https://docs.google.com/spreadsheets/d/1QqKyyYR6Q21VydFLVH3TRQUabQu_ym0Zz7PgGX0-kHA/edit?usp=sharing"",""แผน!FB88"")"),0)</f>
        <v>0</v>
      </c>
      <c r="M431" s="887">
        <v>0</v>
      </c>
      <c r="N431" s="887">
        <v>0</v>
      </c>
      <c r="O431" s="887">
        <f t="shared" ca="1" si="190"/>
        <v>0</v>
      </c>
      <c r="P431" s="887">
        <f t="shared" si="191"/>
        <v>0</v>
      </c>
      <c r="Q431" s="875"/>
      <c r="R431" s="875"/>
      <c r="S431" s="875"/>
      <c r="T431" s="875"/>
      <c r="U431" s="875"/>
      <c r="V431" s="875"/>
      <c r="W431" s="875"/>
      <c r="X431" s="875"/>
      <c r="Y431" s="875"/>
      <c r="Z431" s="875"/>
    </row>
    <row r="432" spans="1:26" ht="19.5">
      <c r="A432" s="1165"/>
      <c r="B432" s="1166"/>
      <c r="C432" s="986" t="s">
        <v>16</v>
      </c>
      <c r="D432" s="1303" t="s">
        <v>38</v>
      </c>
      <c r="E432" s="1304"/>
      <c r="F432" s="1304"/>
      <c r="G432" s="1305"/>
      <c r="H432" s="1306"/>
      <c r="I432" s="990"/>
      <c r="J432" s="990"/>
      <c r="K432" s="991"/>
      <c r="L432" s="991"/>
      <c r="M432" s="991"/>
      <c r="N432" s="991"/>
      <c r="O432" s="991"/>
      <c r="P432" s="991"/>
      <c r="Q432" s="868"/>
      <c r="R432" s="868"/>
      <c r="S432" s="868"/>
      <c r="T432" s="868"/>
      <c r="U432" s="868"/>
      <c r="V432" s="868"/>
      <c r="W432" s="868"/>
      <c r="X432" s="868"/>
      <c r="Y432" s="868"/>
      <c r="Z432" s="868"/>
    </row>
    <row r="433" spans="1:26" ht="19.5">
      <c r="A433" s="1002"/>
      <c r="B433" s="1003"/>
      <c r="C433" s="1003"/>
      <c r="D433" s="1013" t="s">
        <v>191</v>
      </c>
      <c r="E433" s="1010"/>
      <c r="F433" s="1010"/>
      <c r="G433" s="1011"/>
      <c r="H433" s="196" t="s">
        <v>35</v>
      </c>
      <c r="I433" s="1019">
        <f ca="1">I435</f>
        <v>45</v>
      </c>
      <c r="J433" s="1019">
        <f ca="1">IF(AND(J435=I435,J437=I437,J439=I439),I437+I439,IF(AND(J435=I437,J437=I437),I437,IF(AND(J435=I439,J439=I439),I439,0)))</f>
        <v>45</v>
      </c>
      <c r="K433" s="1020">
        <f t="shared" ref="K433:K435" ca="1" si="192">IF(I433&gt;0,J433*100/I433,0)</f>
        <v>100</v>
      </c>
      <c r="L433" s="881"/>
      <c r="M433" s="881"/>
      <c r="N433" s="881"/>
      <c r="O433" s="881"/>
      <c r="P433" s="881"/>
      <c r="Q433" s="868"/>
      <c r="R433" s="868"/>
      <c r="S433" s="868"/>
      <c r="T433" s="868"/>
      <c r="U433" s="868"/>
      <c r="V433" s="868"/>
      <c r="W433" s="868"/>
      <c r="X433" s="868"/>
      <c r="Y433" s="868"/>
      <c r="Z433" s="868"/>
    </row>
    <row r="434" spans="1:26" ht="19.5">
      <c r="A434" s="1002"/>
      <c r="B434" s="1003"/>
      <c r="C434" s="1003"/>
      <c r="D434" s="1013" t="s">
        <v>192</v>
      </c>
      <c r="E434" s="1010"/>
      <c r="F434" s="1010"/>
      <c r="G434" s="1011"/>
      <c r="H434" s="196" t="s">
        <v>49</v>
      </c>
      <c r="I434" s="1019">
        <f t="shared" ref="I434:J434" ca="1" si="193">I438+I440</f>
        <v>2</v>
      </c>
      <c r="J434" s="1019">
        <f t="shared" si="193"/>
        <v>2</v>
      </c>
      <c r="K434" s="1020">
        <f t="shared" ca="1" si="192"/>
        <v>100</v>
      </c>
      <c r="L434" s="881"/>
      <c r="M434" s="881"/>
      <c r="N434" s="881"/>
      <c r="O434" s="881"/>
      <c r="P434" s="881"/>
      <c r="Q434" s="868"/>
      <c r="R434" s="868"/>
      <c r="S434" s="868"/>
      <c r="T434" s="868"/>
      <c r="U434" s="868"/>
      <c r="V434" s="868"/>
      <c r="W434" s="868"/>
      <c r="X434" s="868"/>
      <c r="Y434" s="868"/>
      <c r="Z434" s="868"/>
    </row>
    <row r="435" spans="1:26" ht="18.75">
      <c r="A435" s="1002"/>
      <c r="B435" s="1003"/>
      <c r="C435" s="1003"/>
      <c r="D435" s="1009" t="s">
        <v>193</v>
      </c>
      <c r="E435" s="1010"/>
      <c r="F435" s="1010"/>
      <c r="G435" s="1011"/>
      <c r="H435" s="622" t="s">
        <v>35</v>
      </c>
      <c r="I435" s="582">
        <f ca="1">IFERROR(__xludf.DUMMYFUNCTION("IMPORTRANGE(""https://docs.google.com/spreadsheets/d/1QqKyyYR6Q21VydFLVH3TRQUabQu_ym0Zz7PgGX0-kHA/edit?usp=sharing"",""แผน!FC88"")"),45)</f>
        <v>45</v>
      </c>
      <c r="J435" s="583">
        <v>45</v>
      </c>
      <c r="K435" s="881">
        <f t="shared" ca="1" si="192"/>
        <v>100</v>
      </c>
      <c r="L435" s="881"/>
      <c r="M435" s="881"/>
      <c r="N435" s="881"/>
      <c r="O435" s="881"/>
      <c r="P435" s="881"/>
      <c r="Q435" s="868"/>
      <c r="R435" s="868"/>
      <c r="S435" s="868"/>
      <c r="T435" s="868"/>
      <c r="U435" s="868"/>
      <c r="V435" s="868"/>
      <c r="W435" s="868"/>
      <c r="X435" s="868"/>
      <c r="Y435" s="868"/>
      <c r="Z435" s="868"/>
    </row>
    <row r="436" spans="1:26" ht="18.75">
      <c r="A436" s="1002"/>
      <c r="B436" s="1003"/>
      <c r="C436" s="1003"/>
      <c r="D436" s="1009" t="s">
        <v>194</v>
      </c>
      <c r="E436" s="1010"/>
      <c r="F436" s="1010"/>
      <c r="G436" s="1011"/>
      <c r="H436" s="622"/>
      <c r="I436" s="880"/>
      <c r="J436" s="880"/>
      <c r="K436" s="881"/>
      <c r="L436" s="881"/>
      <c r="M436" s="881"/>
      <c r="N436" s="881"/>
      <c r="O436" s="881"/>
      <c r="P436" s="881"/>
      <c r="Q436" s="868"/>
      <c r="R436" s="868"/>
      <c r="S436" s="868"/>
      <c r="T436" s="868"/>
      <c r="U436" s="868"/>
      <c r="V436" s="868"/>
      <c r="W436" s="868"/>
      <c r="X436" s="868"/>
      <c r="Y436" s="868"/>
      <c r="Z436" s="868"/>
    </row>
    <row r="437" spans="1:26" ht="18.75">
      <c r="A437" s="1002"/>
      <c r="B437" s="1003"/>
      <c r="C437" s="1003"/>
      <c r="D437" s="1009" t="s">
        <v>195</v>
      </c>
      <c r="E437" s="1010"/>
      <c r="F437" s="1010"/>
      <c r="G437" s="1011"/>
      <c r="H437" s="622" t="s">
        <v>35</v>
      </c>
      <c r="I437" s="582">
        <f ca="1">IFERROR(__xludf.DUMMYFUNCTION("IMPORTRANGE(""https://docs.google.com/spreadsheets/d/1QqKyyYR6Q21VydFLVH3TRQUabQu_ym0Zz7PgGX0-kHA/edit?usp=sharing"",""แผน!FD88"")"),30)</f>
        <v>30</v>
      </c>
      <c r="J437" s="583">
        <v>30</v>
      </c>
      <c r="K437" s="881">
        <f t="shared" ref="K437:K443" ca="1" si="194">IF(I437&gt;0,J437*100/I437,0)</f>
        <v>100</v>
      </c>
      <c r="L437" s="881"/>
      <c r="M437" s="881"/>
      <c r="N437" s="881"/>
      <c r="O437" s="881"/>
      <c r="P437" s="881"/>
      <c r="Q437" s="868"/>
      <c r="R437" s="868"/>
      <c r="S437" s="868"/>
      <c r="T437" s="868"/>
      <c r="U437" s="868"/>
      <c r="V437" s="868"/>
      <c r="W437" s="868"/>
      <c r="X437" s="868"/>
      <c r="Y437" s="868"/>
      <c r="Z437" s="868"/>
    </row>
    <row r="438" spans="1:26" ht="18.75">
      <c r="A438" s="1002"/>
      <c r="B438" s="1003"/>
      <c r="C438" s="1003"/>
      <c r="D438" s="1009" t="s">
        <v>196</v>
      </c>
      <c r="E438" s="1010"/>
      <c r="F438" s="1010"/>
      <c r="G438" s="1011"/>
      <c r="H438" s="622" t="s">
        <v>49</v>
      </c>
      <c r="I438" s="880">
        <f ca="1">IFERROR(__xludf.DUMMYFUNCTION("IMPORTRANGE(""https://docs.google.com/spreadsheets/d/1QqKyyYR6Q21VydFLVH3TRQUabQu_ym0Zz7PgGX0-kHA/edit?usp=sharing"",""แผน!FE88"")"),1)</f>
        <v>1</v>
      </c>
      <c r="J438" s="1012">
        <v>1</v>
      </c>
      <c r="K438" s="881">
        <f t="shared" ca="1" si="194"/>
        <v>100</v>
      </c>
      <c r="L438" s="881"/>
      <c r="M438" s="881"/>
      <c r="N438" s="881"/>
      <c r="O438" s="881"/>
      <c r="P438" s="881"/>
      <c r="Q438" s="868"/>
      <c r="R438" s="868"/>
      <c r="S438" s="868"/>
      <c r="T438" s="868"/>
      <c r="U438" s="868"/>
      <c r="V438" s="868"/>
      <c r="W438" s="868"/>
      <c r="X438" s="868"/>
      <c r="Y438" s="868"/>
      <c r="Z438" s="868"/>
    </row>
    <row r="439" spans="1:26" ht="18.75">
      <c r="A439" s="1002"/>
      <c r="B439" s="1003"/>
      <c r="C439" s="1003"/>
      <c r="D439" s="1009" t="s">
        <v>197</v>
      </c>
      <c r="E439" s="1010"/>
      <c r="F439" s="1010"/>
      <c r="G439" s="1011"/>
      <c r="H439" s="622" t="s">
        <v>35</v>
      </c>
      <c r="I439" s="582">
        <f ca="1">IFERROR(__xludf.DUMMYFUNCTION("IMPORTRANGE(""https://docs.google.com/spreadsheets/d/1QqKyyYR6Q21VydFLVH3TRQUabQu_ym0Zz7PgGX0-kHA/edit?usp=sharing"",""แผน!FF88"")"),15)</f>
        <v>15</v>
      </c>
      <c r="J439" s="583">
        <v>15</v>
      </c>
      <c r="K439" s="881">
        <f t="shared" ca="1" si="194"/>
        <v>100</v>
      </c>
      <c r="L439" s="881"/>
      <c r="M439" s="881"/>
      <c r="N439" s="881"/>
      <c r="O439" s="881"/>
      <c r="P439" s="881"/>
      <c r="Q439" s="868"/>
      <c r="R439" s="868"/>
      <c r="S439" s="868"/>
      <c r="T439" s="868"/>
      <c r="U439" s="868"/>
      <c r="V439" s="868"/>
      <c r="W439" s="868"/>
      <c r="X439" s="868"/>
      <c r="Y439" s="868"/>
      <c r="Z439" s="868"/>
    </row>
    <row r="440" spans="1:26" ht="18.75">
      <c r="A440" s="1002"/>
      <c r="B440" s="1003"/>
      <c r="C440" s="1003"/>
      <c r="D440" s="1009" t="s">
        <v>198</v>
      </c>
      <c r="E440" s="1010"/>
      <c r="F440" s="1010"/>
      <c r="G440" s="1011"/>
      <c r="H440" s="622" t="s">
        <v>49</v>
      </c>
      <c r="I440" s="880">
        <f ca="1">IFERROR(__xludf.DUMMYFUNCTION("IMPORTRANGE(""https://docs.google.com/spreadsheets/d/1QqKyyYR6Q21VydFLVH3TRQUabQu_ym0Zz7PgGX0-kHA/edit?usp=sharing"",""แผน!FG88"")"),1)</f>
        <v>1</v>
      </c>
      <c r="J440" s="1012">
        <v>1</v>
      </c>
      <c r="K440" s="881">
        <f t="shared" ca="1" si="194"/>
        <v>100</v>
      </c>
      <c r="L440" s="881"/>
      <c r="M440" s="881"/>
      <c r="N440" s="881"/>
      <c r="O440" s="881"/>
      <c r="P440" s="881"/>
      <c r="Q440" s="868"/>
      <c r="R440" s="868"/>
      <c r="S440" s="868"/>
      <c r="T440" s="868"/>
      <c r="U440" s="868"/>
      <c r="V440" s="868"/>
      <c r="W440" s="868"/>
      <c r="X440" s="868"/>
      <c r="Y440" s="868"/>
      <c r="Z440" s="868"/>
    </row>
    <row r="441" spans="1:26" ht="18.75">
      <c r="A441" s="1002"/>
      <c r="B441" s="1003"/>
      <c r="C441" s="1003"/>
      <c r="D441" s="1009" t="s">
        <v>199</v>
      </c>
      <c r="E441" s="1010"/>
      <c r="F441" s="1010"/>
      <c r="G441" s="1011"/>
      <c r="H441" s="622" t="s">
        <v>35</v>
      </c>
      <c r="I441" s="880">
        <f ca="1">IFERROR(__xludf.DUMMYFUNCTION("IMPORTRANGE(""https://docs.google.com/spreadsheets/d/1QqKyyYR6Q21VydFLVH3TRQUabQu_ym0Zz7PgGX0-kHA/edit?usp=sharing"",""แผน!FH88"")"),0)</f>
        <v>0</v>
      </c>
      <c r="J441" s="880">
        <v>0</v>
      </c>
      <c r="K441" s="881">
        <f t="shared" ca="1" si="194"/>
        <v>0</v>
      </c>
      <c r="L441" s="881"/>
      <c r="M441" s="881"/>
      <c r="N441" s="881"/>
      <c r="O441" s="881"/>
      <c r="P441" s="881"/>
      <c r="Q441" s="868"/>
      <c r="R441" s="868"/>
      <c r="S441" s="868"/>
      <c r="T441" s="868"/>
      <c r="U441" s="868"/>
      <c r="V441" s="868"/>
      <c r="W441" s="868"/>
      <c r="X441" s="868"/>
      <c r="Y441" s="868"/>
      <c r="Z441" s="868"/>
    </row>
    <row r="442" spans="1:26" ht="19.5">
      <c r="A442" s="584">
        <v>2</v>
      </c>
      <c r="B442" s="1307" t="s">
        <v>200</v>
      </c>
      <c r="C442" s="1308"/>
      <c r="D442" s="1308"/>
      <c r="E442" s="1308"/>
      <c r="F442" s="1308"/>
      <c r="G442" s="1309"/>
      <c r="H442" s="588" t="s">
        <v>35</v>
      </c>
      <c r="I442" s="1310">
        <f t="shared" ref="I442:J442" ca="1" si="195">I460</f>
        <v>40</v>
      </c>
      <c r="J442" s="1310">
        <f t="shared" si="195"/>
        <v>40</v>
      </c>
      <c r="K442" s="1311">
        <f t="shared" ca="1" si="194"/>
        <v>100</v>
      </c>
      <c r="L442" s="1312"/>
      <c r="M442" s="1312"/>
      <c r="N442" s="1312"/>
      <c r="O442" s="1312"/>
      <c r="P442" s="1312"/>
      <c r="Q442" s="1302"/>
      <c r="R442" s="1302"/>
      <c r="S442" s="1302"/>
      <c r="T442" s="1302"/>
      <c r="U442" s="1302"/>
      <c r="V442" s="1302"/>
      <c r="W442" s="1302"/>
      <c r="X442" s="1302"/>
      <c r="Y442" s="1302"/>
      <c r="Z442" s="1302"/>
    </row>
    <row r="443" spans="1:26" ht="19.5">
      <c r="A443" s="1313"/>
      <c r="B443" s="1314"/>
      <c r="C443" s="1315"/>
      <c r="D443" s="1315"/>
      <c r="E443" s="1315"/>
      <c r="F443" s="1315"/>
      <c r="G443" s="1316"/>
      <c r="H443" s="568" t="s">
        <v>46</v>
      </c>
      <c r="I443" s="1294">
        <f t="shared" ref="I443:J443" ca="1" si="196">I462</f>
        <v>80</v>
      </c>
      <c r="J443" s="1294">
        <f t="shared" si="196"/>
        <v>80</v>
      </c>
      <c r="K443" s="1295">
        <f t="shared" ca="1" si="194"/>
        <v>100</v>
      </c>
      <c r="L443" s="1296"/>
      <c r="M443" s="1296"/>
      <c r="N443" s="1296"/>
      <c r="O443" s="1296"/>
      <c r="P443" s="1296"/>
      <c r="Q443" s="1302"/>
      <c r="R443" s="1302"/>
      <c r="S443" s="1302"/>
      <c r="T443" s="1302"/>
      <c r="U443" s="1302"/>
      <c r="V443" s="1302"/>
      <c r="W443" s="1302"/>
      <c r="X443" s="1302"/>
      <c r="Y443" s="1302"/>
      <c r="Z443" s="1302"/>
    </row>
    <row r="444" spans="1:26" ht="19.5">
      <c r="A444" s="1317"/>
      <c r="B444" s="1301"/>
      <c r="C444" s="1301" t="s">
        <v>16</v>
      </c>
      <c r="D444" s="1318" t="s">
        <v>17</v>
      </c>
      <c r="E444" s="841"/>
      <c r="F444" s="841"/>
      <c r="G444" s="1016"/>
      <c r="H444" s="597" t="s">
        <v>12</v>
      </c>
      <c r="I444" s="880"/>
      <c r="J444" s="880"/>
      <c r="K444" s="881"/>
      <c r="L444" s="1020">
        <f t="shared" ref="L444:N444" ca="1" si="197">L445+L446</f>
        <v>317680</v>
      </c>
      <c r="M444" s="1020">
        <f t="shared" ca="1" si="197"/>
        <v>317680</v>
      </c>
      <c r="N444" s="1020">
        <f t="shared" si="197"/>
        <v>203490.02</v>
      </c>
      <c r="O444" s="1020">
        <f t="shared" ref="O444:O449" ca="1" si="198">IF(L444&gt;0,N444*100/L444,0)</f>
        <v>64.055030219088394</v>
      </c>
      <c r="P444" s="1020">
        <f t="shared" ref="P444:P449" ca="1" si="199">IF(M444&gt;0,N444*100/M444,0)</f>
        <v>64.055030219088394</v>
      </c>
      <c r="Q444" s="1302"/>
      <c r="R444" s="1302"/>
      <c r="S444" s="1302"/>
      <c r="T444" s="1302"/>
      <c r="U444" s="1302"/>
      <c r="V444" s="1302"/>
      <c r="W444" s="1302"/>
      <c r="X444" s="1302"/>
      <c r="Y444" s="1302"/>
      <c r="Z444" s="1302"/>
    </row>
    <row r="445" spans="1:26" ht="18.75" hidden="1">
      <c r="A445" s="1319"/>
      <c r="B445" s="1320"/>
      <c r="C445" s="1320"/>
      <c r="D445" s="1321"/>
      <c r="E445" s="1320" t="s">
        <v>185</v>
      </c>
      <c r="F445" s="1320"/>
      <c r="G445" s="1322"/>
      <c r="H445" s="165" t="s">
        <v>12</v>
      </c>
      <c r="I445" s="886"/>
      <c r="J445" s="886"/>
      <c r="K445" s="887"/>
      <c r="L445" s="887">
        <f t="shared" ref="L445:N446" si="200">L448+L455</f>
        <v>0</v>
      </c>
      <c r="M445" s="887">
        <f t="shared" si="200"/>
        <v>0</v>
      </c>
      <c r="N445" s="887">
        <f t="shared" si="200"/>
        <v>0</v>
      </c>
      <c r="O445" s="887">
        <f t="shared" si="198"/>
        <v>0</v>
      </c>
      <c r="P445" s="887">
        <f t="shared" si="199"/>
        <v>0</v>
      </c>
      <c r="Q445" s="1323"/>
      <c r="R445" s="1323"/>
      <c r="S445" s="1323"/>
      <c r="T445" s="1323"/>
      <c r="U445" s="1323"/>
      <c r="V445" s="1323"/>
      <c r="W445" s="1323"/>
      <c r="X445" s="1323"/>
      <c r="Y445" s="1323"/>
      <c r="Z445" s="1323"/>
    </row>
    <row r="446" spans="1:26" ht="18.75" hidden="1">
      <c r="A446" s="1319"/>
      <c r="B446" s="1324"/>
      <c r="C446" s="1320"/>
      <c r="D446" s="1321"/>
      <c r="E446" s="1320" t="s">
        <v>186</v>
      </c>
      <c r="F446" s="1320"/>
      <c r="G446" s="1322"/>
      <c r="H446" s="165" t="s">
        <v>12</v>
      </c>
      <c r="I446" s="886"/>
      <c r="J446" s="886"/>
      <c r="K446" s="887"/>
      <c r="L446" s="887">
        <f t="shared" ca="1" si="200"/>
        <v>317680</v>
      </c>
      <c r="M446" s="887">
        <f t="shared" ca="1" si="200"/>
        <v>317680</v>
      </c>
      <c r="N446" s="887">
        <f t="shared" si="200"/>
        <v>203490.02</v>
      </c>
      <c r="O446" s="887">
        <f t="shared" ca="1" si="198"/>
        <v>64.055030219088394</v>
      </c>
      <c r="P446" s="887">
        <f t="shared" ca="1" si="199"/>
        <v>64.055030219088394</v>
      </c>
      <c r="Q446" s="1323"/>
      <c r="R446" s="1323"/>
      <c r="S446" s="1323"/>
      <c r="T446" s="1323"/>
      <c r="U446" s="1323"/>
      <c r="V446" s="1323"/>
      <c r="W446" s="1323"/>
      <c r="X446" s="1323"/>
      <c r="Y446" s="1323"/>
      <c r="Z446" s="1323"/>
    </row>
    <row r="447" spans="1:26" ht="18.75">
      <c r="A447" s="1317"/>
      <c r="B447" s="1300"/>
      <c r="C447" s="1301"/>
      <c r="D447" s="1325" t="s">
        <v>20</v>
      </c>
      <c r="E447" s="1301"/>
      <c r="F447" s="1301"/>
      <c r="G447" s="1016"/>
      <c r="H447" s="161" t="s">
        <v>12</v>
      </c>
      <c r="I447" s="997"/>
      <c r="J447" s="997"/>
      <c r="K447" s="998"/>
      <c r="L447" s="881">
        <f t="shared" ref="L447:N447" ca="1" si="201">L448+L449</f>
        <v>317680</v>
      </c>
      <c r="M447" s="881">
        <f t="shared" ca="1" si="201"/>
        <v>317680</v>
      </c>
      <c r="N447" s="881">
        <f t="shared" si="201"/>
        <v>203490.02</v>
      </c>
      <c r="O447" s="881">
        <f t="shared" ca="1" si="198"/>
        <v>64.055030219088394</v>
      </c>
      <c r="P447" s="881">
        <f t="shared" ca="1" si="199"/>
        <v>64.055030219088394</v>
      </c>
      <c r="Q447" s="1302"/>
      <c r="R447" s="1302"/>
      <c r="S447" s="1302"/>
      <c r="T447" s="1302"/>
      <c r="U447" s="1302"/>
      <c r="V447" s="1302"/>
      <c r="W447" s="1302"/>
      <c r="X447" s="1302"/>
      <c r="Y447" s="1302"/>
      <c r="Z447" s="1302"/>
    </row>
    <row r="448" spans="1:26" ht="18.75" hidden="1">
      <c r="A448" s="1319"/>
      <c r="B448" s="1324"/>
      <c r="C448" s="1320"/>
      <c r="D448" s="1321"/>
      <c r="E448" s="1320" t="s">
        <v>185</v>
      </c>
      <c r="F448" s="1320"/>
      <c r="G448" s="1322"/>
      <c r="H448" s="165" t="s">
        <v>12</v>
      </c>
      <c r="I448" s="886"/>
      <c r="J448" s="886"/>
      <c r="K448" s="887"/>
      <c r="L448" s="887">
        <v>0</v>
      </c>
      <c r="M448" s="887">
        <v>0</v>
      </c>
      <c r="N448" s="887">
        <v>0</v>
      </c>
      <c r="O448" s="887">
        <f t="shared" si="198"/>
        <v>0</v>
      </c>
      <c r="P448" s="887">
        <f t="shared" si="199"/>
        <v>0</v>
      </c>
      <c r="Q448" s="1323"/>
      <c r="R448" s="1323"/>
      <c r="S448" s="1323"/>
      <c r="T448" s="1323"/>
      <c r="U448" s="1323"/>
      <c r="V448" s="1323"/>
      <c r="W448" s="1323"/>
      <c r="X448" s="1323"/>
      <c r="Y448" s="1323"/>
      <c r="Z448" s="1323"/>
    </row>
    <row r="449" spans="1:26" ht="18.75" hidden="1">
      <c r="A449" s="1319"/>
      <c r="B449" s="1324"/>
      <c r="C449" s="1320"/>
      <c r="D449" s="1321"/>
      <c r="E449" s="1320" t="s">
        <v>186</v>
      </c>
      <c r="F449" s="1320"/>
      <c r="G449" s="1322"/>
      <c r="H449" s="165" t="s">
        <v>12</v>
      </c>
      <c r="I449" s="886"/>
      <c r="J449" s="886"/>
      <c r="K449" s="887"/>
      <c r="L449" s="887">
        <f ca="1">IFERROR(__xludf.DUMMYFUNCTION("IMPORTRANGE(""https://docs.google.com/spreadsheets/d/1QqKyyYR6Q21VydFLVH3TRQUabQu_ym0Zz7PgGX0-kHA/edit?usp=sharing"",""แผน!FJ88"")"),317680)</f>
        <v>317680</v>
      </c>
      <c r="M449" s="887">
        <f ca="1">L449</f>
        <v>317680</v>
      </c>
      <c r="N449" s="887">
        <f>N450+N451+N452+N453</f>
        <v>203490.02</v>
      </c>
      <c r="O449" s="887">
        <f t="shared" ca="1" si="198"/>
        <v>64.055030219088394</v>
      </c>
      <c r="P449" s="887">
        <f t="shared" ca="1" si="199"/>
        <v>64.055030219088394</v>
      </c>
      <c r="Q449" s="1323"/>
      <c r="R449" s="1323"/>
      <c r="S449" s="1323"/>
      <c r="T449" s="1323"/>
      <c r="U449" s="1323"/>
      <c r="V449" s="1323"/>
      <c r="W449" s="1323"/>
      <c r="X449" s="1323"/>
      <c r="Y449" s="1323"/>
      <c r="Z449" s="1323"/>
    </row>
    <row r="450" spans="1:26" ht="18.75">
      <c r="A450" s="1299"/>
      <c r="B450" s="1300"/>
      <c r="C450" s="1301"/>
      <c r="D450" s="1301"/>
      <c r="E450" s="1301"/>
      <c r="F450" s="1301" t="s">
        <v>187</v>
      </c>
      <c r="G450" s="1016"/>
      <c r="H450" s="161" t="s">
        <v>12</v>
      </c>
      <c r="I450" s="880"/>
      <c r="J450" s="880"/>
      <c r="K450" s="881"/>
      <c r="L450" s="881"/>
      <c r="M450" s="881"/>
      <c r="N450" s="1085">
        <f>33511+20889</f>
        <v>54400</v>
      </c>
      <c r="O450" s="881"/>
      <c r="P450" s="881"/>
      <c r="Q450" s="1302"/>
      <c r="R450" s="1302"/>
      <c r="S450" s="1302"/>
      <c r="T450" s="1302"/>
      <c r="U450" s="1302"/>
      <c r="V450" s="1302"/>
      <c r="W450" s="1302"/>
      <c r="X450" s="1302"/>
      <c r="Y450" s="1302"/>
      <c r="Z450" s="1302"/>
    </row>
    <row r="451" spans="1:26" ht="18.75">
      <c r="A451" s="1299"/>
      <c r="B451" s="1300"/>
      <c r="C451" s="1301"/>
      <c r="D451" s="1301"/>
      <c r="E451" s="1301"/>
      <c r="F451" s="1301" t="s">
        <v>188</v>
      </c>
      <c r="G451" s="1016"/>
      <c r="H451" s="161" t="s">
        <v>12</v>
      </c>
      <c r="I451" s="880"/>
      <c r="J451" s="880"/>
      <c r="K451" s="881"/>
      <c r="L451" s="881"/>
      <c r="M451" s="881"/>
      <c r="N451" s="1085">
        <v>79000</v>
      </c>
      <c r="O451" s="881"/>
      <c r="P451" s="881"/>
      <c r="Q451" s="1302"/>
      <c r="R451" s="1302"/>
      <c r="S451" s="1302"/>
      <c r="T451" s="1302"/>
      <c r="U451" s="1302"/>
      <c r="V451" s="1302"/>
      <c r="W451" s="1302"/>
      <c r="X451" s="1302"/>
      <c r="Y451" s="1302"/>
      <c r="Z451" s="1302"/>
    </row>
    <row r="452" spans="1:26" ht="18.75">
      <c r="A452" s="1299"/>
      <c r="B452" s="1300"/>
      <c r="C452" s="1300"/>
      <c r="D452" s="1300"/>
      <c r="E452" s="1300"/>
      <c r="F452" s="1301" t="s">
        <v>189</v>
      </c>
      <c r="G452" s="1016"/>
      <c r="H452" s="161" t="s">
        <v>12</v>
      </c>
      <c r="I452" s="880"/>
      <c r="J452" s="880"/>
      <c r="K452" s="881"/>
      <c r="L452" s="881"/>
      <c r="M452" s="881"/>
      <c r="N452" s="1085">
        <f>23833.35+13000+13000+12566.67</f>
        <v>62400.02</v>
      </c>
      <c r="O452" s="881"/>
      <c r="P452" s="881"/>
      <c r="Q452" s="1302"/>
      <c r="R452" s="1302"/>
      <c r="S452" s="1302"/>
      <c r="T452" s="1302"/>
      <c r="U452" s="1302"/>
      <c r="V452" s="1302"/>
      <c r="W452" s="1302"/>
      <c r="X452" s="1302"/>
      <c r="Y452" s="1302"/>
      <c r="Z452" s="1302"/>
    </row>
    <row r="453" spans="1:26" ht="18.75">
      <c r="A453" s="1299"/>
      <c r="B453" s="1300"/>
      <c r="C453" s="1300"/>
      <c r="D453" s="1300"/>
      <c r="E453" s="1300"/>
      <c r="F453" s="1301" t="s">
        <v>190</v>
      </c>
      <c r="G453" s="1016"/>
      <c r="H453" s="161" t="s">
        <v>12</v>
      </c>
      <c r="I453" s="880"/>
      <c r="J453" s="880"/>
      <c r="K453" s="881"/>
      <c r="L453" s="881"/>
      <c r="M453" s="881"/>
      <c r="N453" s="1085">
        <f>360+3730+3600</f>
        <v>7690</v>
      </c>
      <c r="O453" s="881"/>
      <c r="P453" s="881"/>
      <c r="Q453" s="1302"/>
      <c r="R453" s="1302"/>
      <c r="S453" s="1302"/>
      <c r="T453" s="1302"/>
      <c r="U453" s="1302"/>
      <c r="V453" s="1302"/>
      <c r="W453" s="1302"/>
      <c r="X453" s="1302"/>
      <c r="Y453" s="1302"/>
      <c r="Z453" s="1302"/>
    </row>
    <row r="454" spans="1:26" ht="18.75">
      <c r="A454" s="1317"/>
      <c r="B454" s="1300"/>
      <c r="C454" s="1300"/>
      <c r="D454" s="1325" t="s">
        <v>21</v>
      </c>
      <c r="E454" s="1300"/>
      <c r="F454" s="1301"/>
      <c r="G454" s="1016"/>
      <c r="H454" s="168" t="s">
        <v>12</v>
      </c>
      <c r="I454" s="997"/>
      <c r="J454" s="997"/>
      <c r="K454" s="998"/>
      <c r="L454" s="881">
        <f t="shared" ref="L454:N454" ca="1" si="202">L455+L456</f>
        <v>0</v>
      </c>
      <c r="M454" s="881">
        <f t="shared" si="202"/>
        <v>0</v>
      </c>
      <c r="N454" s="881">
        <f t="shared" si="202"/>
        <v>0</v>
      </c>
      <c r="O454" s="881">
        <f t="shared" ref="O454:O456" ca="1" si="203">IF(L454&gt;0,N454*100/L454,0)</f>
        <v>0</v>
      </c>
      <c r="P454" s="881">
        <f t="shared" ref="P454:P456" si="204">IF(M454&gt;0,N454*100/M454,0)</f>
        <v>0</v>
      </c>
      <c r="Q454" s="1302"/>
      <c r="R454" s="1302"/>
      <c r="S454" s="1302"/>
      <c r="T454" s="1302"/>
      <c r="U454" s="1302"/>
      <c r="V454" s="1302"/>
      <c r="W454" s="1302"/>
      <c r="X454" s="1302"/>
      <c r="Y454" s="1302"/>
      <c r="Z454" s="1302"/>
    </row>
    <row r="455" spans="1:26" ht="18.75" hidden="1">
      <c r="A455" s="1319"/>
      <c r="B455" s="1324"/>
      <c r="C455" s="1324"/>
      <c r="D455" s="1324"/>
      <c r="E455" s="1324" t="s">
        <v>18</v>
      </c>
      <c r="F455" s="1320"/>
      <c r="G455" s="1322"/>
      <c r="H455" s="165" t="s">
        <v>12</v>
      </c>
      <c r="I455" s="1000"/>
      <c r="J455" s="1000"/>
      <c r="K455" s="1001"/>
      <c r="L455" s="887">
        <v>0</v>
      </c>
      <c r="M455" s="887">
        <v>0</v>
      </c>
      <c r="N455" s="887">
        <v>0</v>
      </c>
      <c r="O455" s="887">
        <f t="shared" si="203"/>
        <v>0</v>
      </c>
      <c r="P455" s="887">
        <f t="shared" si="204"/>
        <v>0</v>
      </c>
      <c r="Q455" s="1323"/>
      <c r="R455" s="1323"/>
      <c r="S455" s="1323"/>
      <c r="T455" s="1323"/>
      <c r="U455" s="1323"/>
      <c r="V455" s="1323"/>
      <c r="W455" s="1323"/>
      <c r="X455" s="1323"/>
      <c r="Y455" s="1323"/>
      <c r="Z455" s="1323"/>
    </row>
    <row r="456" spans="1:26" ht="18.75" hidden="1">
      <c r="A456" s="1319"/>
      <c r="B456" s="1324"/>
      <c r="C456" s="1324"/>
      <c r="D456" s="1324"/>
      <c r="E456" s="1324" t="s">
        <v>19</v>
      </c>
      <c r="F456" s="1320"/>
      <c r="G456" s="1322"/>
      <c r="H456" s="169" t="s">
        <v>12</v>
      </c>
      <c r="I456" s="1000"/>
      <c r="J456" s="1000"/>
      <c r="K456" s="1001"/>
      <c r="L456" s="887">
        <f ca="1">IFERROR(__xludf.DUMMYFUNCTION("IMPORTRANGE(""https://docs.google.com/spreadsheets/d/1QqKyyYR6Q21VydFLVH3TRQUabQu_ym0Zz7PgGX0-kHA/edit?usp=sharing"",""แผน!FM88"")"),0)</f>
        <v>0</v>
      </c>
      <c r="M456" s="887">
        <v>0</v>
      </c>
      <c r="N456" s="887">
        <v>0</v>
      </c>
      <c r="O456" s="887">
        <f t="shared" ca="1" si="203"/>
        <v>0</v>
      </c>
      <c r="P456" s="887">
        <f t="shared" si="204"/>
        <v>0</v>
      </c>
      <c r="Q456" s="1323"/>
      <c r="R456" s="1323"/>
      <c r="S456" s="1323"/>
      <c r="T456" s="1323"/>
      <c r="U456" s="1323"/>
      <c r="V456" s="1323"/>
      <c r="W456" s="1323"/>
      <c r="X456" s="1323"/>
      <c r="Y456" s="1323"/>
      <c r="Z456" s="1323"/>
    </row>
    <row r="457" spans="1:26" ht="19.5">
      <c r="A457" s="1326"/>
      <c r="B457" s="1327"/>
      <c r="C457" s="1300" t="s">
        <v>16</v>
      </c>
      <c r="D457" s="1328" t="s">
        <v>38</v>
      </c>
      <c r="E457" s="1329"/>
      <c r="F457" s="1330"/>
      <c r="G457" s="1331"/>
      <c r="H457" s="1007"/>
      <c r="I457" s="880"/>
      <c r="J457" s="880"/>
      <c r="K457" s="881"/>
      <c r="L457" s="881"/>
      <c r="M457" s="881"/>
      <c r="N457" s="881"/>
      <c r="O457" s="881"/>
      <c r="P457" s="881"/>
      <c r="Q457" s="1302"/>
      <c r="R457" s="1302"/>
      <c r="S457" s="1302"/>
      <c r="T457" s="1302"/>
      <c r="U457" s="1302"/>
      <c r="V457" s="1302"/>
      <c r="W457" s="1302"/>
      <c r="X457" s="1302"/>
      <c r="Y457" s="1302"/>
      <c r="Z457" s="1302"/>
    </row>
    <row r="458" spans="1:26" ht="18.75" hidden="1">
      <c r="A458" s="1332"/>
      <c r="B458" s="1333"/>
      <c r="C458" s="1333"/>
      <c r="D458" s="1333" t="s">
        <v>201</v>
      </c>
      <c r="E458" s="1333"/>
      <c r="F458" s="1321"/>
      <c r="G458" s="1113"/>
      <c r="H458" s="370" t="s">
        <v>35</v>
      </c>
      <c r="I458" s="886">
        <v>0</v>
      </c>
      <c r="J458" s="886">
        <v>0</v>
      </c>
      <c r="K458" s="887">
        <f>IF(I458&gt;0,J458*100/I458,0)</f>
        <v>0</v>
      </c>
      <c r="L458" s="887"/>
      <c r="M458" s="887"/>
      <c r="N458" s="887"/>
      <c r="O458" s="887"/>
      <c r="P458" s="887"/>
      <c r="Q458" s="1323"/>
      <c r="R458" s="1323"/>
      <c r="S458" s="1323"/>
      <c r="T458" s="1323"/>
      <c r="U458" s="1323"/>
      <c r="V458" s="1323"/>
      <c r="W458" s="1323"/>
      <c r="X458" s="1323"/>
      <c r="Y458" s="1323"/>
      <c r="Z458" s="1323"/>
    </row>
    <row r="459" spans="1:26" ht="18.75" hidden="1">
      <c r="A459" s="1332"/>
      <c r="B459" s="1333"/>
      <c r="C459" s="1333"/>
      <c r="D459" s="1333" t="s">
        <v>202</v>
      </c>
      <c r="E459" s="1333"/>
      <c r="F459" s="1321"/>
      <c r="G459" s="1113"/>
      <c r="H459" s="370"/>
      <c r="I459" s="886"/>
      <c r="J459" s="886"/>
      <c r="K459" s="887"/>
      <c r="L459" s="887"/>
      <c r="M459" s="887"/>
      <c r="N459" s="887"/>
      <c r="O459" s="887"/>
      <c r="P459" s="887"/>
      <c r="Q459" s="1323"/>
      <c r="R459" s="1323"/>
      <c r="S459" s="1323"/>
      <c r="T459" s="1323"/>
      <c r="U459" s="1323"/>
      <c r="V459" s="1323"/>
      <c r="W459" s="1323"/>
      <c r="X459" s="1323"/>
      <c r="Y459" s="1323"/>
      <c r="Z459" s="1323"/>
    </row>
    <row r="460" spans="1:26" ht="18.75">
      <c r="A460" s="1326"/>
      <c r="B460" s="1327"/>
      <c r="C460" s="1327"/>
      <c r="D460" s="1327" t="s">
        <v>203</v>
      </c>
      <c r="E460" s="1327"/>
      <c r="F460" s="1014"/>
      <c r="G460" s="1007"/>
      <c r="H460" s="762" t="s">
        <v>35</v>
      </c>
      <c r="I460" s="880">
        <f ca="1">IFERROR(__xludf.DUMMYFUNCTION("IMPORTRANGE(""https://docs.google.com/spreadsheets/d/1QqKyyYR6Q21VydFLVH3TRQUabQu_ym0Zz7PgGX0-kHA/edit?usp=sharing"",""แผน!FN88"")"),40)</f>
        <v>40</v>
      </c>
      <c r="J460" s="1012">
        <v>40</v>
      </c>
      <c r="K460" s="881">
        <f ca="1">IF(I460&gt;0,J460*100/I460,0)</f>
        <v>100</v>
      </c>
      <c r="L460" s="881"/>
      <c r="M460" s="881"/>
      <c r="N460" s="881"/>
      <c r="O460" s="881"/>
      <c r="P460" s="881"/>
      <c r="Q460" s="1302"/>
      <c r="R460" s="1302"/>
      <c r="S460" s="1302"/>
      <c r="T460" s="1302"/>
      <c r="U460" s="1302"/>
      <c r="V460" s="1302"/>
      <c r="W460" s="1302"/>
      <c r="X460" s="1302"/>
      <c r="Y460" s="1302"/>
      <c r="Z460" s="1302"/>
    </row>
    <row r="461" spans="1:26" ht="18.75">
      <c r="A461" s="1326"/>
      <c r="B461" s="1327"/>
      <c r="C461" s="1327"/>
      <c r="D461" s="1327" t="s">
        <v>204</v>
      </c>
      <c r="E461" s="1014"/>
      <c r="F461" s="1014"/>
      <c r="G461" s="1007"/>
      <c r="H461" s="762"/>
      <c r="I461" s="880"/>
      <c r="J461" s="880"/>
      <c r="K461" s="881"/>
      <c r="L461" s="881"/>
      <c r="M461" s="881"/>
      <c r="N461" s="881"/>
      <c r="O461" s="881"/>
      <c r="P461" s="881"/>
      <c r="Q461" s="1302"/>
      <c r="R461" s="1302"/>
      <c r="S461" s="1302"/>
      <c r="T461" s="1302"/>
      <c r="U461" s="1302"/>
      <c r="V461" s="1302"/>
      <c r="W461" s="1302"/>
      <c r="X461" s="1302"/>
      <c r="Y461" s="1302"/>
      <c r="Z461" s="1302"/>
    </row>
    <row r="462" spans="1:26" ht="18.75">
      <c r="A462" s="1326"/>
      <c r="B462" s="1327"/>
      <c r="C462" s="1327"/>
      <c r="D462" s="1327" t="s">
        <v>205</v>
      </c>
      <c r="E462" s="1014"/>
      <c r="F462" s="1014"/>
      <c r="G462" s="1007"/>
      <c r="H462" s="762" t="s">
        <v>46</v>
      </c>
      <c r="I462" s="880">
        <f ca="1">IFERROR(__xludf.DUMMYFUNCTION("IMPORTRANGE(""https://docs.google.com/spreadsheets/d/1QqKyyYR6Q21VydFLVH3TRQUabQu_ym0Zz7PgGX0-kHA/edit?usp=sharing"",""แผน!FO88"")"),80)</f>
        <v>80</v>
      </c>
      <c r="J462" s="1012">
        <v>80</v>
      </c>
      <c r="K462" s="881">
        <f ca="1">IF(I462&gt;0,J462*100/I462,0)</f>
        <v>100</v>
      </c>
      <c r="L462" s="881"/>
      <c r="M462" s="881"/>
      <c r="N462" s="881"/>
      <c r="O462" s="881"/>
      <c r="P462" s="881"/>
      <c r="Q462" s="1302"/>
      <c r="R462" s="1302"/>
      <c r="S462" s="1302"/>
      <c r="T462" s="1302"/>
      <c r="U462" s="1302"/>
      <c r="V462" s="1302"/>
      <c r="W462" s="1302"/>
      <c r="X462" s="1302"/>
      <c r="Y462" s="1302"/>
      <c r="Z462" s="1302"/>
    </row>
    <row r="463" spans="1:26" ht="18.75">
      <c r="A463" s="1326"/>
      <c r="B463" s="1327"/>
      <c r="C463" s="1327"/>
      <c r="D463" s="1327" t="s">
        <v>59</v>
      </c>
      <c r="E463" s="1014"/>
      <c r="F463" s="1301"/>
      <c r="G463" s="1016"/>
      <c r="H463" s="762" t="s">
        <v>46</v>
      </c>
      <c r="I463" s="880">
        <f ca="1">IFERROR(__xludf.DUMMYFUNCTION("IMPORTRANGE(""https://docs.google.com/spreadsheets/d/1QqKyyYR6Q21VydFLVH3TRQUabQu_ym0Zz7PgGX0-kHA/edit?usp=sharing"",""แผน!FO88"")"),80)</f>
        <v>80</v>
      </c>
      <c r="J463" s="1012">
        <v>0</v>
      </c>
      <c r="K463" s="881"/>
      <c r="L463" s="881"/>
      <c r="M463" s="881"/>
      <c r="N463" s="881"/>
      <c r="O463" s="881"/>
      <c r="P463" s="881"/>
      <c r="Q463" s="1302"/>
      <c r="R463" s="1302"/>
      <c r="S463" s="1302"/>
      <c r="T463" s="1302"/>
      <c r="U463" s="1302"/>
      <c r="V463" s="1302"/>
      <c r="W463" s="1302"/>
      <c r="X463" s="1302"/>
      <c r="Y463" s="1302"/>
      <c r="Z463" s="1302"/>
    </row>
    <row r="464" spans="1:26" ht="19.5">
      <c r="A464" s="1326"/>
      <c r="B464" s="1327"/>
      <c r="C464" s="1327"/>
      <c r="D464" s="1327"/>
      <c r="E464" s="1014"/>
      <c r="F464" s="1014"/>
      <c r="G464" s="1334"/>
      <c r="H464" s="762" t="s">
        <v>35</v>
      </c>
      <c r="I464" s="880">
        <f ca="1">IFERROR(__xludf.DUMMYFUNCTION("IMPORTRANGE(""https://docs.google.com/spreadsheets/d/1QqKyyYR6Q21VydFLVH3TRQUabQu_ym0Zz7PgGX0-kHA/edit?usp=sharing"",""แผน!FN88"")"),40)</f>
        <v>40</v>
      </c>
      <c r="J464" s="1012">
        <v>0</v>
      </c>
      <c r="K464" s="881"/>
      <c r="L464" s="881"/>
      <c r="M464" s="881"/>
      <c r="N464" s="881"/>
      <c r="O464" s="881"/>
      <c r="P464" s="881"/>
      <c r="Q464" s="1302"/>
      <c r="R464" s="1302"/>
      <c r="S464" s="1302"/>
      <c r="T464" s="1302"/>
      <c r="U464" s="1302"/>
      <c r="V464" s="1302"/>
      <c r="W464" s="1302"/>
      <c r="X464" s="1302"/>
      <c r="Y464" s="1302"/>
      <c r="Z464" s="1302"/>
    </row>
    <row r="465" spans="1:26" ht="19.5">
      <c r="A465" s="584">
        <v>3</v>
      </c>
      <c r="B465" s="1307" t="s">
        <v>206</v>
      </c>
      <c r="C465" s="1308"/>
      <c r="D465" s="1308"/>
      <c r="E465" s="1308"/>
      <c r="F465" s="1308"/>
      <c r="G465" s="1309"/>
      <c r="H465" s="588" t="s">
        <v>35</v>
      </c>
      <c r="I465" s="1310">
        <f ca="1">IFERROR(__xludf.DUMMYFUNCTION("IMPORTRANGE(""https://docs.google.com/spreadsheets/d/1QqKyyYR6Q21VydFLVH3TRQUabQu_ym0Zz7PgGX0-kHA/edit?usp=sharing"",""แผน!FX88"")"),71)</f>
        <v>71</v>
      </c>
      <c r="J465" s="1310">
        <f>J485+J489+J492</f>
        <v>71</v>
      </c>
      <c r="K465" s="1311">
        <f t="shared" ref="K465:K466" ca="1" si="205">IF(I465&gt;0,J465*100/I465,0)</f>
        <v>100</v>
      </c>
      <c r="L465" s="1312"/>
      <c r="M465" s="1312"/>
      <c r="N465" s="1312"/>
      <c r="O465" s="1312"/>
      <c r="P465" s="1312"/>
      <c r="Q465" s="1302"/>
      <c r="R465" s="1302"/>
      <c r="S465" s="1302"/>
      <c r="T465" s="1302"/>
      <c r="U465" s="1302"/>
      <c r="V465" s="1302"/>
      <c r="W465" s="1302"/>
      <c r="X465" s="1302"/>
      <c r="Y465" s="1302"/>
      <c r="Z465" s="1302"/>
    </row>
    <row r="466" spans="1:26" ht="19.5">
      <c r="A466" s="1313"/>
      <c r="B466" s="1314"/>
      <c r="C466" s="1315"/>
      <c r="D466" s="1315"/>
      <c r="E466" s="1315"/>
      <c r="F466" s="1315"/>
      <c r="G466" s="1316"/>
      <c r="H466" s="568" t="s">
        <v>46</v>
      </c>
      <c r="I466" s="1294">
        <f ca="1">IFERROR(__xludf.DUMMYFUNCTION("IMPORTRANGE(""https://docs.google.com/spreadsheets/d/1QqKyyYR6Q21VydFLVH3TRQUabQu_ym0Zz7PgGX0-kHA/edit?usp=sharing"",""แผน!FW88"")"),700)</f>
        <v>700</v>
      </c>
      <c r="J466" s="1294">
        <f>J495+J498</f>
        <v>0</v>
      </c>
      <c r="K466" s="1295">
        <f t="shared" ca="1" si="205"/>
        <v>0</v>
      </c>
      <c r="L466" s="1296"/>
      <c r="M466" s="1296"/>
      <c r="N466" s="1296"/>
      <c r="O466" s="1296"/>
      <c r="P466" s="1296"/>
      <c r="Q466" s="1302"/>
      <c r="R466" s="1302"/>
      <c r="S466" s="1302"/>
      <c r="T466" s="1302"/>
      <c r="U466" s="1302"/>
      <c r="V466" s="1302"/>
      <c r="W466" s="1302"/>
      <c r="X466" s="1302"/>
      <c r="Y466" s="1302"/>
      <c r="Z466" s="1302"/>
    </row>
    <row r="467" spans="1:26" ht="19.5">
      <c r="A467" s="1317"/>
      <c r="B467" s="1301"/>
      <c r="C467" s="1301" t="s">
        <v>16</v>
      </c>
      <c r="D467" s="1318" t="s">
        <v>17</v>
      </c>
      <c r="E467" s="841"/>
      <c r="F467" s="841"/>
      <c r="G467" s="1016"/>
      <c r="H467" s="597" t="s">
        <v>12</v>
      </c>
      <c r="I467" s="880"/>
      <c r="J467" s="880"/>
      <c r="K467" s="881"/>
      <c r="L467" s="1020">
        <f t="shared" ref="L467:N467" ca="1" si="206">L468+L469</f>
        <v>570443</v>
      </c>
      <c r="M467" s="1020">
        <f t="shared" ca="1" si="206"/>
        <v>570443</v>
      </c>
      <c r="N467" s="1020">
        <f t="shared" si="206"/>
        <v>116533</v>
      </c>
      <c r="O467" s="1020">
        <f t="shared" ref="O467:O472" ca="1" si="207">IF(L467&gt;0,N467*100/L467,0)</f>
        <v>20.428509071020244</v>
      </c>
      <c r="P467" s="1020">
        <f t="shared" ref="P467:P472" ca="1" si="208">IF(M467&gt;0,N467*100/M467,0)</f>
        <v>20.428509071020244</v>
      </c>
      <c r="Q467" s="1302"/>
      <c r="R467" s="1302"/>
      <c r="S467" s="1302"/>
      <c r="T467" s="1302"/>
      <c r="U467" s="1302"/>
      <c r="V467" s="1302"/>
      <c r="W467" s="1302"/>
      <c r="X467" s="1302"/>
      <c r="Y467" s="1302"/>
      <c r="Z467" s="1302"/>
    </row>
    <row r="468" spans="1:26" ht="18.75" hidden="1">
      <c r="A468" s="1319"/>
      <c r="B468" s="1320"/>
      <c r="C468" s="1320"/>
      <c r="D468" s="1321"/>
      <c r="E468" s="1320" t="s">
        <v>185</v>
      </c>
      <c r="F468" s="1320"/>
      <c r="G468" s="1322"/>
      <c r="H468" s="165" t="s">
        <v>12</v>
      </c>
      <c r="I468" s="886"/>
      <c r="J468" s="886"/>
      <c r="K468" s="887"/>
      <c r="L468" s="887">
        <f t="shared" ref="L468:N469" si="209">L471+L478</f>
        <v>0</v>
      </c>
      <c r="M468" s="887">
        <f t="shared" si="209"/>
        <v>0</v>
      </c>
      <c r="N468" s="887">
        <f t="shared" si="209"/>
        <v>0</v>
      </c>
      <c r="O468" s="887">
        <f t="shared" si="207"/>
        <v>0</v>
      </c>
      <c r="P468" s="887">
        <f t="shared" si="208"/>
        <v>0</v>
      </c>
      <c r="Q468" s="1323"/>
      <c r="R468" s="1323"/>
      <c r="S468" s="1323"/>
      <c r="T468" s="1323"/>
      <c r="U468" s="1323"/>
      <c r="V468" s="1323"/>
      <c r="W468" s="1323"/>
      <c r="X468" s="1323"/>
      <c r="Y468" s="1323"/>
      <c r="Z468" s="1323"/>
    </row>
    <row r="469" spans="1:26" ht="18.75" hidden="1">
      <c r="A469" s="1319"/>
      <c r="B469" s="1324"/>
      <c r="C469" s="1320"/>
      <c r="D469" s="1321"/>
      <c r="E469" s="1320" t="s">
        <v>186</v>
      </c>
      <c r="F469" s="1320"/>
      <c r="G469" s="1322"/>
      <c r="H469" s="165" t="s">
        <v>12</v>
      </c>
      <c r="I469" s="886"/>
      <c r="J469" s="886"/>
      <c r="K469" s="887"/>
      <c r="L469" s="887">
        <f t="shared" ca="1" si="209"/>
        <v>570443</v>
      </c>
      <c r="M469" s="887">
        <f t="shared" ca="1" si="209"/>
        <v>570443</v>
      </c>
      <c r="N469" s="887">
        <f t="shared" si="209"/>
        <v>116533</v>
      </c>
      <c r="O469" s="887">
        <f t="shared" ca="1" si="207"/>
        <v>20.428509071020244</v>
      </c>
      <c r="P469" s="887">
        <f t="shared" ca="1" si="208"/>
        <v>20.428509071020244</v>
      </c>
      <c r="Q469" s="1323"/>
      <c r="R469" s="1323"/>
      <c r="S469" s="1323"/>
      <c r="T469" s="1323"/>
      <c r="U469" s="1323"/>
      <c r="V469" s="1323"/>
      <c r="W469" s="1323"/>
      <c r="X469" s="1323"/>
      <c r="Y469" s="1323"/>
      <c r="Z469" s="1323"/>
    </row>
    <row r="470" spans="1:26" ht="18.75">
      <c r="A470" s="1317"/>
      <c r="B470" s="1300"/>
      <c r="C470" s="1301"/>
      <c r="D470" s="1325" t="s">
        <v>20</v>
      </c>
      <c r="E470" s="1301"/>
      <c r="F470" s="1301"/>
      <c r="G470" s="1016"/>
      <c r="H470" s="161" t="s">
        <v>12</v>
      </c>
      <c r="I470" s="997"/>
      <c r="J470" s="997"/>
      <c r="K470" s="998"/>
      <c r="L470" s="881">
        <f t="shared" ref="L470:N470" ca="1" si="210">L471+L472</f>
        <v>570443</v>
      </c>
      <c r="M470" s="881">
        <f t="shared" ca="1" si="210"/>
        <v>570443</v>
      </c>
      <c r="N470" s="881">
        <f t="shared" si="210"/>
        <v>116533</v>
      </c>
      <c r="O470" s="881">
        <f t="shared" ca="1" si="207"/>
        <v>20.428509071020244</v>
      </c>
      <c r="P470" s="881">
        <f t="shared" ca="1" si="208"/>
        <v>20.428509071020244</v>
      </c>
      <c r="Q470" s="1302"/>
      <c r="R470" s="1302"/>
      <c r="S470" s="1302"/>
      <c r="T470" s="1302"/>
      <c r="U470" s="1302"/>
      <c r="V470" s="1302"/>
      <c r="W470" s="1302"/>
      <c r="X470" s="1302"/>
      <c r="Y470" s="1302"/>
      <c r="Z470" s="1302"/>
    </row>
    <row r="471" spans="1:26" ht="18.75" hidden="1">
      <c r="A471" s="1319"/>
      <c r="B471" s="1324"/>
      <c r="C471" s="1320"/>
      <c r="D471" s="1321"/>
      <c r="E471" s="1320" t="s">
        <v>185</v>
      </c>
      <c r="F471" s="1320"/>
      <c r="G471" s="1322"/>
      <c r="H471" s="165" t="s">
        <v>12</v>
      </c>
      <c r="I471" s="886"/>
      <c r="J471" s="886"/>
      <c r="K471" s="887"/>
      <c r="L471" s="887">
        <v>0</v>
      </c>
      <c r="M471" s="887">
        <v>0</v>
      </c>
      <c r="N471" s="887">
        <v>0</v>
      </c>
      <c r="O471" s="887">
        <f t="shared" si="207"/>
        <v>0</v>
      </c>
      <c r="P471" s="887">
        <f t="shared" si="208"/>
        <v>0</v>
      </c>
      <c r="Q471" s="1323"/>
      <c r="R471" s="1323"/>
      <c r="S471" s="1323"/>
      <c r="T471" s="1323"/>
      <c r="U471" s="1323"/>
      <c r="V471" s="1323"/>
      <c r="W471" s="1323"/>
      <c r="X471" s="1323"/>
      <c r="Y471" s="1323"/>
      <c r="Z471" s="1323"/>
    </row>
    <row r="472" spans="1:26" ht="18.75" hidden="1">
      <c r="A472" s="1319"/>
      <c r="B472" s="1324"/>
      <c r="C472" s="1320"/>
      <c r="D472" s="1321"/>
      <c r="E472" s="1320" t="s">
        <v>186</v>
      </c>
      <c r="F472" s="1320"/>
      <c r="G472" s="1322"/>
      <c r="H472" s="165" t="s">
        <v>12</v>
      </c>
      <c r="I472" s="886"/>
      <c r="J472" s="886"/>
      <c r="K472" s="887"/>
      <c r="L472" s="887">
        <f ca="1">IFERROR(__xludf.DUMMYFUNCTION("IMPORTRANGE(""https://docs.google.com/spreadsheets/d/1QqKyyYR6Q21VydFLVH3TRQUabQu_ym0Zz7PgGX0-kHA/edit?usp=sharing"",""แผน!FS88"")"),570443)</f>
        <v>570443</v>
      </c>
      <c r="M472" s="887">
        <f ca="1">L472</f>
        <v>570443</v>
      </c>
      <c r="N472" s="887">
        <f>N473+N474+N475+N476</f>
        <v>116533</v>
      </c>
      <c r="O472" s="887">
        <f t="shared" ca="1" si="207"/>
        <v>20.428509071020244</v>
      </c>
      <c r="P472" s="887">
        <f t="shared" ca="1" si="208"/>
        <v>20.428509071020244</v>
      </c>
      <c r="Q472" s="1323"/>
      <c r="R472" s="1323"/>
      <c r="S472" s="1323"/>
      <c r="T472" s="1323"/>
      <c r="U472" s="1323"/>
      <c r="V472" s="1323"/>
      <c r="W472" s="1323"/>
      <c r="X472" s="1323"/>
      <c r="Y472" s="1323"/>
      <c r="Z472" s="1323"/>
    </row>
    <row r="473" spans="1:26" ht="18.75">
      <c r="A473" s="1299"/>
      <c r="B473" s="1300"/>
      <c r="C473" s="1301"/>
      <c r="D473" s="1301"/>
      <c r="E473" s="1301"/>
      <c r="F473" s="1301" t="s">
        <v>187</v>
      </c>
      <c r="G473" s="1016"/>
      <c r="H473" s="161" t="s">
        <v>12</v>
      </c>
      <c r="I473" s="880"/>
      <c r="J473" s="880"/>
      <c r="K473" s="881"/>
      <c r="L473" s="881"/>
      <c r="M473" s="881"/>
      <c r="N473" s="1085">
        <v>84153</v>
      </c>
      <c r="O473" s="881"/>
      <c r="P473" s="881"/>
      <c r="Q473" s="1302"/>
      <c r="R473" s="1302"/>
      <c r="S473" s="1302"/>
      <c r="T473" s="1302"/>
      <c r="U473" s="1302"/>
      <c r="V473" s="1302"/>
      <c r="W473" s="1302"/>
      <c r="X473" s="1302"/>
      <c r="Y473" s="1302"/>
      <c r="Z473" s="1302"/>
    </row>
    <row r="474" spans="1:26" ht="18.75">
      <c r="A474" s="1299"/>
      <c r="B474" s="1300"/>
      <c r="C474" s="1301"/>
      <c r="D474" s="1301"/>
      <c r="E474" s="1301"/>
      <c r="F474" s="1301" t="s">
        <v>188</v>
      </c>
      <c r="G474" s="1016"/>
      <c r="H474" s="161" t="s">
        <v>12</v>
      </c>
      <c r="I474" s="880"/>
      <c r="J474" s="880"/>
      <c r="K474" s="881"/>
      <c r="L474" s="881"/>
      <c r="M474" s="881"/>
      <c r="N474" s="1085">
        <v>0</v>
      </c>
      <c r="O474" s="881"/>
      <c r="P474" s="881"/>
      <c r="Q474" s="1302"/>
      <c r="R474" s="1302"/>
      <c r="S474" s="1302"/>
      <c r="T474" s="1302"/>
      <c r="U474" s="1302"/>
      <c r="V474" s="1302"/>
      <c r="W474" s="1302"/>
      <c r="X474" s="1302"/>
      <c r="Y474" s="1302"/>
      <c r="Z474" s="1302"/>
    </row>
    <row r="475" spans="1:26" ht="18.75">
      <c r="A475" s="1299"/>
      <c r="B475" s="1300"/>
      <c r="C475" s="1300"/>
      <c r="D475" s="1300"/>
      <c r="E475" s="1300"/>
      <c r="F475" s="1301" t="s">
        <v>189</v>
      </c>
      <c r="G475" s="1016"/>
      <c r="H475" s="161" t="s">
        <v>12</v>
      </c>
      <c r="I475" s="880"/>
      <c r="J475" s="880"/>
      <c r="K475" s="881"/>
      <c r="L475" s="881"/>
      <c r="M475" s="881"/>
      <c r="N475" s="1085">
        <v>0</v>
      </c>
      <c r="O475" s="881"/>
      <c r="P475" s="881"/>
      <c r="Q475" s="1302"/>
      <c r="R475" s="1302"/>
      <c r="S475" s="1302"/>
      <c r="T475" s="1302"/>
      <c r="U475" s="1302"/>
      <c r="V475" s="1302"/>
      <c r="W475" s="1302"/>
      <c r="X475" s="1302"/>
      <c r="Y475" s="1302"/>
      <c r="Z475" s="1302"/>
    </row>
    <row r="476" spans="1:26" ht="18.75">
      <c r="A476" s="1299"/>
      <c r="B476" s="1300"/>
      <c r="C476" s="1300"/>
      <c r="D476" s="1300"/>
      <c r="E476" s="1300"/>
      <c r="F476" s="1301" t="s">
        <v>190</v>
      </c>
      <c r="G476" s="1016"/>
      <c r="H476" s="161" t="s">
        <v>12</v>
      </c>
      <c r="I476" s="880"/>
      <c r="J476" s="880"/>
      <c r="K476" s="881"/>
      <c r="L476" s="881"/>
      <c r="M476" s="881"/>
      <c r="N476" s="1085">
        <f>23780+4720+480+3400</f>
        <v>32380</v>
      </c>
      <c r="O476" s="881"/>
      <c r="P476" s="881"/>
      <c r="Q476" s="1302"/>
      <c r="R476" s="1302"/>
      <c r="S476" s="1302"/>
      <c r="T476" s="1302"/>
      <c r="U476" s="1302"/>
      <c r="V476" s="1302"/>
      <c r="W476" s="1302"/>
      <c r="X476" s="1302"/>
      <c r="Y476" s="1302"/>
      <c r="Z476" s="1302"/>
    </row>
    <row r="477" spans="1:26" ht="18.75">
      <c r="A477" s="1317"/>
      <c r="B477" s="1300"/>
      <c r="C477" s="1300"/>
      <c r="D477" s="1325" t="s">
        <v>21</v>
      </c>
      <c r="E477" s="1300"/>
      <c r="F477" s="1300"/>
      <c r="G477" s="1016"/>
      <c r="H477" s="168" t="s">
        <v>12</v>
      </c>
      <c r="I477" s="997"/>
      <c r="J477" s="997"/>
      <c r="K477" s="998"/>
      <c r="L477" s="881">
        <f t="shared" ref="L477:N477" ca="1" si="211">L478+L479</f>
        <v>0</v>
      </c>
      <c r="M477" s="881">
        <f t="shared" si="211"/>
        <v>0</v>
      </c>
      <c r="N477" s="881">
        <f t="shared" si="211"/>
        <v>0</v>
      </c>
      <c r="O477" s="881">
        <f t="shared" ref="O477:O479" ca="1" si="212">IF(L477&gt;0,N477*100/L477,0)</f>
        <v>0</v>
      </c>
      <c r="P477" s="881">
        <f t="shared" ref="P477:P479" si="213">IF(M477&gt;0,N477*100/M477,0)</f>
        <v>0</v>
      </c>
      <c r="Q477" s="1302"/>
      <c r="R477" s="1302"/>
      <c r="S477" s="1302"/>
      <c r="T477" s="1302"/>
      <c r="U477" s="1302"/>
      <c r="V477" s="1302"/>
      <c r="W477" s="1302"/>
      <c r="X477" s="1302"/>
      <c r="Y477" s="1302"/>
      <c r="Z477" s="1302"/>
    </row>
    <row r="478" spans="1:26" ht="18.75" hidden="1">
      <c r="A478" s="1319"/>
      <c r="B478" s="1324"/>
      <c r="C478" s="1324"/>
      <c r="D478" s="1324"/>
      <c r="E478" s="1324" t="s">
        <v>18</v>
      </c>
      <c r="F478" s="1324"/>
      <c r="G478" s="1322"/>
      <c r="H478" s="165" t="s">
        <v>12</v>
      </c>
      <c r="I478" s="1000"/>
      <c r="J478" s="1000"/>
      <c r="K478" s="1001"/>
      <c r="L478" s="887">
        <v>0</v>
      </c>
      <c r="M478" s="887">
        <v>0</v>
      </c>
      <c r="N478" s="887">
        <v>0</v>
      </c>
      <c r="O478" s="887">
        <f t="shared" si="212"/>
        <v>0</v>
      </c>
      <c r="P478" s="887">
        <f t="shared" si="213"/>
        <v>0</v>
      </c>
      <c r="Q478" s="1323"/>
      <c r="R478" s="1323"/>
      <c r="S478" s="1323"/>
      <c r="T478" s="1323"/>
      <c r="U478" s="1323"/>
      <c r="V478" s="1323"/>
      <c r="W478" s="1323"/>
      <c r="X478" s="1323"/>
      <c r="Y478" s="1323"/>
      <c r="Z478" s="1323"/>
    </row>
    <row r="479" spans="1:26" ht="18.75" hidden="1">
      <c r="A479" s="1319"/>
      <c r="B479" s="1324"/>
      <c r="C479" s="1324"/>
      <c r="D479" s="1324"/>
      <c r="E479" s="1324" t="s">
        <v>19</v>
      </c>
      <c r="F479" s="1324"/>
      <c r="G479" s="1322"/>
      <c r="H479" s="169" t="s">
        <v>12</v>
      </c>
      <c r="I479" s="1000"/>
      <c r="J479" s="1000"/>
      <c r="K479" s="1001"/>
      <c r="L479" s="887">
        <f ca="1">IFERROR(__xludf.DUMMYFUNCTION("IMPORTRANGE(""https://docs.google.com/spreadsheets/d/1QqKyyYR6Q21VydFLVH3TRQUabQu_ym0Zz7PgGX0-kHA/edit?usp=sharing"",""แผน!FV88"")"),0)</f>
        <v>0</v>
      </c>
      <c r="M479" s="887">
        <v>0</v>
      </c>
      <c r="N479" s="887">
        <v>0</v>
      </c>
      <c r="O479" s="887">
        <f t="shared" ca="1" si="212"/>
        <v>0</v>
      </c>
      <c r="P479" s="887">
        <f t="shared" si="213"/>
        <v>0</v>
      </c>
      <c r="Q479" s="1323"/>
      <c r="R479" s="1323"/>
      <c r="S479" s="1323"/>
      <c r="T479" s="1323"/>
      <c r="U479" s="1323"/>
      <c r="V479" s="1323"/>
      <c r="W479" s="1323"/>
      <c r="X479" s="1323"/>
      <c r="Y479" s="1323"/>
      <c r="Z479" s="1323"/>
    </row>
    <row r="480" spans="1:26" ht="19.5">
      <c r="A480" s="1326"/>
      <c r="B480" s="1327"/>
      <c r="C480" s="1300" t="s">
        <v>16</v>
      </c>
      <c r="D480" s="1335" t="s">
        <v>38</v>
      </c>
      <c r="E480" s="1329"/>
      <c r="F480" s="1330"/>
      <c r="G480" s="1331"/>
      <c r="H480" s="1007"/>
      <c r="I480" s="880"/>
      <c r="J480" s="880"/>
      <c r="K480" s="881"/>
      <c r="L480" s="881"/>
      <c r="M480" s="881"/>
      <c r="N480" s="881"/>
      <c r="O480" s="881"/>
      <c r="P480" s="881"/>
      <c r="Q480" s="1302"/>
      <c r="R480" s="1302"/>
      <c r="S480" s="1302"/>
      <c r="T480" s="1302"/>
      <c r="U480" s="1302"/>
      <c r="V480" s="1302"/>
      <c r="W480" s="1302"/>
      <c r="X480" s="1302"/>
      <c r="Y480" s="1302"/>
      <c r="Z480" s="1302"/>
    </row>
    <row r="481" spans="1:26" ht="19.5">
      <c r="A481" s="1326"/>
      <c r="B481" s="1327"/>
      <c r="C481" s="1327"/>
      <c r="D481" s="1336" t="s">
        <v>207</v>
      </c>
      <c r="E481" s="1327"/>
      <c r="F481" s="1327"/>
      <c r="G481" s="1007"/>
      <c r="H481" s="1016"/>
      <c r="I481" s="880"/>
      <c r="J481" s="880"/>
      <c r="K481" s="881"/>
      <c r="L481" s="881"/>
      <c r="M481" s="881"/>
      <c r="N481" s="881"/>
      <c r="O481" s="881"/>
      <c r="P481" s="881"/>
      <c r="Q481" s="1302"/>
      <c r="R481" s="1302"/>
      <c r="S481" s="1302"/>
      <c r="T481" s="1302"/>
      <c r="U481" s="1302"/>
      <c r="V481" s="1302"/>
      <c r="W481" s="1302"/>
      <c r="X481" s="1302"/>
      <c r="Y481" s="1302"/>
      <c r="Z481" s="1302"/>
    </row>
    <row r="482" spans="1:26" ht="18.75">
      <c r="A482" s="1326"/>
      <c r="B482" s="1327"/>
      <c r="C482" s="1327"/>
      <c r="D482" s="1327"/>
      <c r="E482" s="1327" t="s">
        <v>208</v>
      </c>
      <c r="F482" s="1327"/>
      <c r="G482" s="1007"/>
      <c r="H482" s="1016"/>
      <c r="I482" s="880"/>
      <c r="J482" s="880"/>
      <c r="K482" s="881"/>
      <c r="L482" s="881"/>
      <c r="M482" s="881"/>
      <c r="N482" s="881"/>
      <c r="O482" s="881"/>
      <c r="P482" s="881"/>
      <c r="Q482" s="1302"/>
      <c r="R482" s="1302"/>
      <c r="S482" s="1302"/>
      <c r="T482" s="1302"/>
      <c r="U482" s="1302"/>
      <c r="V482" s="1302"/>
      <c r="W482" s="1302"/>
      <c r="X482" s="1302"/>
      <c r="Y482" s="1302"/>
      <c r="Z482" s="1302"/>
    </row>
    <row r="483" spans="1:26" ht="18.75">
      <c r="A483" s="1326"/>
      <c r="B483" s="1327"/>
      <c r="C483" s="1327"/>
      <c r="D483" s="1327"/>
      <c r="E483" s="1327"/>
      <c r="F483" s="1327" t="s">
        <v>209</v>
      </c>
      <c r="G483" s="1007"/>
      <c r="H483" s="622" t="s">
        <v>46</v>
      </c>
      <c r="I483" s="880">
        <f ca="1">IFERROR(__xludf.DUMMYFUNCTION("IMPORTRANGE(""https://docs.google.com/spreadsheets/d/1QqKyyYR6Q21VydFLVH3TRQUabQu_ym0Zz7PgGX0-kHA/edit?usp=sharing"",""แผน!FY88"")"),630)</f>
        <v>630</v>
      </c>
      <c r="J483" s="1012">
        <v>630</v>
      </c>
      <c r="K483" s="881">
        <f ca="1">IF(I483&gt;0,J483*100/I483,0)</f>
        <v>100</v>
      </c>
      <c r="L483" s="881"/>
      <c r="M483" s="881"/>
      <c r="N483" s="881"/>
      <c r="O483" s="881"/>
      <c r="P483" s="881"/>
      <c r="Q483" s="1302"/>
      <c r="R483" s="1302"/>
      <c r="S483" s="1302"/>
      <c r="T483" s="1302"/>
      <c r="U483" s="1302"/>
      <c r="V483" s="1302"/>
      <c r="W483" s="1302"/>
      <c r="X483" s="1302"/>
      <c r="Y483" s="1302"/>
      <c r="Z483" s="1302"/>
    </row>
    <row r="484" spans="1:26" ht="18.75">
      <c r="A484" s="1326"/>
      <c r="B484" s="1327"/>
      <c r="C484" s="1327"/>
      <c r="D484" s="1327"/>
      <c r="E484" s="1327"/>
      <c r="F484" s="1327" t="s">
        <v>210</v>
      </c>
      <c r="G484" s="1007"/>
      <c r="H484" s="622" t="s">
        <v>35</v>
      </c>
      <c r="I484" s="880"/>
      <c r="J484" s="1012">
        <v>63</v>
      </c>
      <c r="K484" s="881"/>
      <c r="L484" s="881"/>
      <c r="M484" s="881"/>
      <c r="N484" s="881"/>
      <c r="O484" s="881"/>
      <c r="P484" s="881"/>
      <c r="Q484" s="1302"/>
      <c r="R484" s="1302"/>
      <c r="S484" s="1302"/>
      <c r="T484" s="1302"/>
      <c r="U484" s="1302"/>
      <c r="V484" s="1302"/>
      <c r="W484" s="1302"/>
      <c r="X484" s="1302"/>
      <c r="Y484" s="1302"/>
      <c r="Z484" s="1302"/>
    </row>
    <row r="485" spans="1:26" ht="18.75">
      <c r="A485" s="1326"/>
      <c r="B485" s="1327"/>
      <c r="C485" s="1327"/>
      <c r="D485" s="1327"/>
      <c r="E485" s="1327"/>
      <c r="F485" s="1327" t="s">
        <v>211</v>
      </c>
      <c r="G485" s="1007"/>
      <c r="H485" s="622" t="s">
        <v>35</v>
      </c>
      <c r="I485" s="880">
        <f ca="1">IFERROR(__xludf.DUMMYFUNCTION("IMPORTRANGE(""https://docs.google.com/spreadsheets/d/1QqKyyYR6Q21VydFLVH3TRQUabQu_ym0Zz7PgGX0-kHA/edit?usp=sharing"",""แผน!FZ88"")"),63)</f>
        <v>63</v>
      </c>
      <c r="J485" s="1012">
        <v>63</v>
      </c>
      <c r="K485" s="881">
        <f ca="1">IF(I485&gt;0,J485*100/I485,0)</f>
        <v>100</v>
      </c>
      <c r="L485" s="881"/>
      <c r="M485" s="881"/>
      <c r="N485" s="881"/>
      <c r="O485" s="881"/>
      <c r="P485" s="881"/>
      <c r="Q485" s="1302"/>
      <c r="R485" s="1302"/>
      <c r="S485" s="1302"/>
      <c r="T485" s="1302"/>
      <c r="U485" s="1302"/>
      <c r="V485" s="1302"/>
      <c r="W485" s="1302"/>
      <c r="X485" s="1302"/>
      <c r="Y485" s="1302"/>
      <c r="Z485" s="1302"/>
    </row>
    <row r="486" spans="1:26" ht="18.75">
      <c r="A486" s="1326"/>
      <c r="B486" s="1327"/>
      <c r="C486" s="1327"/>
      <c r="D486" s="1327"/>
      <c r="E486" s="1327" t="s">
        <v>62</v>
      </c>
      <c r="F486" s="1327"/>
      <c r="G486" s="1007"/>
      <c r="H486" s="622"/>
      <c r="I486" s="880"/>
      <c r="J486" s="880"/>
      <c r="K486" s="881"/>
      <c r="L486" s="881"/>
      <c r="M486" s="881"/>
      <c r="N486" s="881"/>
      <c r="O486" s="881"/>
      <c r="P486" s="881"/>
      <c r="Q486" s="1302"/>
      <c r="R486" s="1302"/>
      <c r="S486" s="1302"/>
      <c r="T486" s="1302"/>
      <c r="U486" s="1302"/>
      <c r="V486" s="1302"/>
      <c r="W486" s="1302"/>
      <c r="X486" s="1302"/>
      <c r="Y486" s="1302"/>
      <c r="Z486" s="1302"/>
    </row>
    <row r="487" spans="1:26" ht="18.75">
      <c r="A487" s="1326"/>
      <c r="B487" s="1327"/>
      <c r="C487" s="1327"/>
      <c r="D487" s="1327"/>
      <c r="E487" s="1327"/>
      <c r="F487" s="1327" t="s">
        <v>209</v>
      </c>
      <c r="G487" s="1007"/>
      <c r="H487" s="622" t="s">
        <v>46</v>
      </c>
      <c r="I487" s="880">
        <f ca="1">IFERROR(__xludf.DUMMYFUNCTION("IMPORTRANGE(""https://docs.google.com/spreadsheets/d/1QqKyyYR6Q21VydFLVH3TRQUabQu_ym0Zz7PgGX0-kHA/edit?usp=sharing"",""แผน!GA88"")"),70)</f>
        <v>70</v>
      </c>
      <c r="J487" s="1012">
        <v>70</v>
      </c>
      <c r="K487" s="881">
        <f ca="1">IF(I487&gt;0,J487*100/I487,0)</f>
        <v>100</v>
      </c>
      <c r="L487" s="881"/>
      <c r="M487" s="881"/>
      <c r="N487" s="881"/>
      <c r="O487" s="881"/>
      <c r="P487" s="881"/>
      <c r="Q487" s="1302"/>
      <c r="R487" s="1302"/>
      <c r="S487" s="1302"/>
      <c r="T487" s="1302"/>
      <c r="U487" s="1302"/>
      <c r="V487" s="1302"/>
      <c r="W487" s="1302"/>
      <c r="X487" s="1302"/>
      <c r="Y487" s="1302"/>
      <c r="Z487" s="1302"/>
    </row>
    <row r="488" spans="1:26" ht="18.75">
      <c r="A488" s="1326"/>
      <c r="B488" s="1327"/>
      <c r="C488" s="1327"/>
      <c r="D488" s="1327"/>
      <c r="E488" s="1327"/>
      <c r="F488" s="1327" t="s">
        <v>212</v>
      </c>
      <c r="G488" s="1007"/>
      <c r="H488" s="622" t="s">
        <v>35</v>
      </c>
      <c r="I488" s="880"/>
      <c r="J488" s="1012">
        <v>7</v>
      </c>
      <c r="K488" s="881"/>
      <c r="L488" s="881"/>
      <c r="M488" s="881"/>
      <c r="N488" s="881"/>
      <c r="O488" s="881"/>
      <c r="P488" s="881"/>
      <c r="Q488" s="1302"/>
      <c r="R488" s="1302"/>
      <c r="S488" s="1302"/>
      <c r="T488" s="1302"/>
      <c r="U488" s="1302"/>
      <c r="V488" s="1302"/>
      <c r="W488" s="1302"/>
      <c r="X488" s="1302"/>
      <c r="Y488" s="1302"/>
      <c r="Z488" s="1302"/>
    </row>
    <row r="489" spans="1:26" ht="18.75">
      <c r="A489" s="1326"/>
      <c r="B489" s="1327"/>
      <c r="C489" s="1327"/>
      <c r="D489" s="1327"/>
      <c r="E489" s="1327"/>
      <c r="F489" s="1327" t="s">
        <v>213</v>
      </c>
      <c r="G489" s="1007"/>
      <c r="H489" s="622" t="s">
        <v>35</v>
      </c>
      <c r="I489" s="880">
        <f ca="1">IFERROR(__xludf.DUMMYFUNCTION("IMPORTRANGE(""https://docs.google.com/spreadsheets/d/1QqKyyYR6Q21VydFLVH3TRQUabQu_ym0Zz7PgGX0-kHA/edit?usp=sharing"",""แผน!GB88"")"),7)</f>
        <v>7</v>
      </c>
      <c r="J489" s="1012">
        <v>7</v>
      </c>
      <c r="K489" s="881">
        <f ca="1">IF(I489&gt;0,J489*100/I489,0)</f>
        <v>100</v>
      </c>
      <c r="L489" s="881"/>
      <c r="M489" s="881"/>
      <c r="N489" s="881"/>
      <c r="O489" s="881"/>
      <c r="P489" s="881"/>
      <c r="Q489" s="1302"/>
      <c r="R489" s="1302"/>
      <c r="S489" s="1302"/>
      <c r="T489" s="1302"/>
      <c r="U489" s="1302"/>
      <c r="V489" s="1302"/>
      <c r="W489" s="1302"/>
      <c r="X489" s="1302"/>
      <c r="Y489" s="1302"/>
      <c r="Z489" s="1302"/>
    </row>
    <row r="490" spans="1:26" ht="18.75">
      <c r="A490" s="1326"/>
      <c r="B490" s="1327"/>
      <c r="C490" s="1327"/>
      <c r="D490" s="1327"/>
      <c r="E490" s="1327" t="s">
        <v>63</v>
      </c>
      <c r="F490" s="1014"/>
      <c r="G490" s="1007"/>
      <c r="H490" s="622"/>
      <c r="I490" s="880"/>
      <c r="J490" s="880"/>
      <c r="K490" s="881"/>
      <c r="L490" s="881"/>
      <c r="M490" s="881"/>
      <c r="N490" s="881"/>
      <c r="O490" s="881"/>
      <c r="P490" s="881"/>
      <c r="Q490" s="1302"/>
      <c r="R490" s="1302"/>
      <c r="S490" s="1302"/>
      <c r="T490" s="1302"/>
      <c r="U490" s="1302"/>
      <c r="V490" s="1302"/>
      <c r="W490" s="1302"/>
      <c r="X490" s="1302"/>
      <c r="Y490" s="1302"/>
      <c r="Z490" s="1302"/>
    </row>
    <row r="491" spans="1:26" ht="18.75">
      <c r="A491" s="1326"/>
      <c r="B491" s="1327"/>
      <c r="C491" s="1327"/>
      <c r="D491" s="1327"/>
      <c r="E491" s="1327"/>
      <c r="F491" s="1327" t="s">
        <v>214</v>
      </c>
      <c r="G491" s="1007"/>
      <c r="H491" s="622" t="s">
        <v>35</v>
      </c>
      <c r="I491" s="880"/>
      <c r="J491" s="1012">
        <v>1</v>
      </c>
      <c r="K491" s="881"/>
      <c r="L491" s="881"/>
      <c r="M491" s="881"/>
      <c r="N491" s="881"/>
      <c r="O491" s="881"/>
      <c r="P491" s="881"/>
      <c r="Q491" s="1302"/>
      <c r="R491" s="1302"/>
      <c r="S491" s="1302"/>
      <c r="T491" s="1302"/>
      <c r="U491" s="1302"/>
      <c r="V491" s="1302"/>
      <c r="W491" s="1302"/>
      <c r="X491" s="1302"/>
      <c r="Y491" s="1302"/>
      <c r="Z491" s="1302"/>
    </row>
    <row r="492" spans="1:26" ht="18.75">
      <c r="A492" s="1326"/>
      <c r="B492" s="1327"/>
      <c r="C492" s="1327"/>
      <c r="D492" s="1327"/>
      <c r="E492" s="1327"/>
      <c r="F492" s="1327" t="s">
        <v>215</v>
      </c>
      <c r="G492" s="1007"/>
      <c r="H492" s="622" t="s">
        <v>35</v>
      </c>
      <c r="I492" s="880">
        <f ca="1">IFERROR(__xludf.DUMMYFUNCTION("IMPORTRANGE(""https://docs.google.com/spreadsheets/d/1QqKyyYR6Q21VydFLVH3TRQUabQu_ym0Zz7PgGX0-kHA/edit?usp=sharing"",""แผน!GC88"")"),1)</f>
        <v>1</v>
      </c>
      <c r="J492" s="1012">
        <v>1</v>
      </c>
      <c r="K492" s="881">
        <f ca="1">IF(I492&gt;0,J492*100/I492,0)</f>
        <v>100</v>
      </c>
      <c r="L492" s="881"/>
      <c r="M492" s="881"/>
      <c r="N492" s="881"/>
      <c r="O492" s="881"/>
      <c r="P492" s="881"/>
      <c r="Q492" s="1302"/>
      <c r="R492" s="1302"/>
      <c r="S492" s="1302"/>
      <c r="T492" s="1302"/>
      <c r="U492" s="1302"/>
      <c r="V492" s="1302"/>
      <c r="W492" s="1302"/>
      <c r="X492" s="1302"/>
      <c r="Y492" s="1302"/>
      <c r="Z492" s="1302"/>
    </row>
    <row r="493" spans="1:26" ht="19.5">
      <c r="A493" s="1326"/>
      <c r="B493" s="1327"/>
      <c r="C493" s="1327"/>
      <c r="D493" s="1336" t="s">
        <v>59</v>
      </c>
      <c r="E493" s="1327"/>
      <c r="F493" s="1014"/>
      <c r="G493" s="1007"/>
      <c r="H493" s="1016"/>
      <c r="I493" s="880"/>
      <c r="J493" s="880"/>
      <c r="K493" s="881"/>
      <c r="L493" s="881"/>
      <c r="M493" s="881"/>
      <c r="N493" s="881"/>
      <c r="O493" s="881"/>
      <c r="P493" s="881"/>
      <c r="Q493" s="1302"/>
      <c r="R493" s="1302"/>
      <c r="S493" s="1302"/>
      <c r="T493" s="1302"/>
      <c r="U493" s="1302"/>
      <c r="V493" s="1302"/>
      <c r="W493" s="1302"/>
      <c r="X493" s="1302"/>
      <c r="Y493" s="1302"/>
      <c r="Z493" s="1302"/>
    </row>
    <row r="494" spans="1:26" ht="18.75">
      <c r="A494" s="1326"/>
      <c r="B494" s="1327"/>
      <c r="C494" s="1327"/>
      <c r="D494" s="1327"/>
      <c r="E494" s="1327" t="s">
        <v>208</v>
      </c>
      <c r="F494" s="1014"/>
      <c r="G494" s="1007"/>
      <c r="H494" s="1016"/>
      <c r="I494" s="880"/>
      <c r="J494" s="880"/>
      <c r="K494" s="881"/>
      <c r="L494" s="881"/>
      <c r="M494" s="881"/>
      <c r="N494" s="881"/>
      <c r="O494" s="881"/>
      <c r="P494" s="881"/>
      <c r="Q494" s="1302"/>
      <c r="R494" s="1302"/>
      <c r="S494" s="1302"/>
      <c r="T494" s="1302"/>
      <c r="U494" s="1302"/>
      <c r="V494" s="1302"/>
      <c r="W494" s="1302"/>
      <c r="X494" s="1302"/>
      <c r="Y494" s="1302"/>
      <c r="Z494" s="1302"/>
    </row>
    <row r="495" spans="1:26" ht="18.75">
      <c r="A495" s="1326"/>
      <c r="B495" s="1327"/>
      <c r="C495" s="1327"/>
      <c r="D495" s="1327"/>
      <c r="E495" s="1327"/>
      <c r="F495" s="1014" t="s">
        <v>216</v>
      </c>
      <c r="G495" s="1007"/>
      <c r="H495" s="622" t="s">
        <v>46</v>
      </c>
      <c r="I495" s="880">
        <f ca="1">IFERROR(__xludf.DUMMYFUNCTION("IMPORTRANGE(""https://docs.google.com/spreadsheets/d/1QqKyyYR6Q21VydFLVH3TRQUabQu_ym0Zz7PgGX0-kHA/edit?usp=sharing"",""แผน!FY88"")"),630)</f>
        <v>630</v>
      </c>
      <c r="J495" s="1012">
        <v>0</v>
      </c>
      <c r="K495" s="881">
        <f ca="1">IF(I495&gt;0,J495*100/I495,0)</f>
        <v>0</v>
      </c>
      <c r="L495" s="881"/>
      <c r="M495" s="881"/>
      <c r="N495" s="881"/>
      <c r="O495" s="881"/>
      <c r="P495" s="881"/>
      <c r="Q495" s="1302"/>
      <c r="R495" s="1302"/>
      <c r="S495" s="1302"/>
      <c r="T495" s="1302"/>
      <c r="U495" s="1302"/>
      <c r="V495" s="1302"/>
      <c r="W495" s="1302"/>
      <c r="X495" s="1302"/>
      <c r="Y495" s="1302"/>
      <c r="Z495" s="1302"/>
    </row>
    <row r="496" spans="1:26" ht="18.75">
      <c r="A496" s="1326"/>
      <c r="B496" s="1327"/>
      <c r="C496" s="1327"/>
      <c r="D496" s="1327"/>
      <c r="E496" s="1327"/>
      <c r="F496" s="1014" t="s">
        <v>217</v>
      </c>
      <c r="G496" s="1007"/>
      <c r="H496" s="622" t="s">
        <v>46</v>
      </c>
      <c r="I496" s="880"/>
      <c r="J496" s="1012">
        <v>0</v>
      </c>
      <c r="K496" s="881"/>
      <c r="L496" s="881"/>
      <c r="M496" s="881"/>
      <c r="N496" s="881"/>
      <c r="O496" s="881"/>
      <c r="P496" s="881"/>
      <c r="Q496" s="1302"/>
      <c r="R496" s="1302"/>
      <c r="S496" s="1302"/>
      <c r="T496" s="1302"/>
      <c r="U496" s="1302"/>
      <c r="V496" s="1302"/>
      <c r="W496" s="1302"/>
      <c r="X496" s="1302"/>
      <c r="Y496" s="1302"/>
      <c r="Z496" s="1302"/>
    </row>
    <row r="497" spans="1:26" ht="18.75">
      <c r="A497" s="1326"/>
      <c r="B497" s="1327"/>
      <c r="C497" s="1327"/>
      <c r="D497" s="1327"/>
      <c r="E497" s="1327" t="s">
        <v>62</v>
      </c>
      <c r="F497" s="1014"/>
      <c r="G497" s="1007"/>
      <c r="H497" s="1016"/>
      <c r="I497" s="880"/>
      <c r="J497" s="880"/>
      <c r="K497" s="881"/>
      <c r="L497" s="881"/>
      <c r="M497" s="881"/>
      <c r="N497" s="881"/>
      <c r="O497" s="881"/>
      <c r="P497" s="881"/>
      <c r="Q497" s="1302"/>
      <c r="R497" s="1302"/>
      <c r="S497" s="1302"/>
      <c r="T497" s="1302"/>
      <c r="U497" s="1302"/>
      <c r="V497" s="1302"/>
      <c r="W497" s="1302"/>
      <c r="X497" s="1302"/>
      <c r="Y497" s="1302"/>
      <c r="Z497" s="1302"/>
    </row>
    <row r="498" spans="1:26" ht="18.75">
      <c r="A498" s="1326"/>
      <c r="B498" s="1327"/>
      <c r="C498" s="1327"/>
      <c r="D498" s="1327"/>
      <c r="E498" s="1014"/>
      <c r="F498" s="1014" t="s">
        <v>218</v>
      </c>
      <c r="G498" s="1007"/>
      <c r="H498" s="622" t="s">
        <v>46</v>
      </c>
      <c r="I498" s="880">
        <f ca="1">IFERROR(__xludf.DUMMYFUNCTION("IMPORTRANGE(""https://docs.google.com/spreadsheets/d/1QqKyyYR6Q21VydFLVH3TRQUabQu_ym0Zz7PgGX0-kHA/edit?usp=sharing"",""แผน!GA88"")"),70)</f>
        <v>70</v>
      </c>
      <c r="J498" s="1012">
        <v>0</v>
      </c>
      <c r="K498" s="881">
        <f ca="1">IF(I498&gt;0,J498*100/I498,0)</f>
        <v>0</v>
      </c>
      <c r="L498" s="881"/>
      <c r="M498" s="881"/>
      <c r="N498" s="881"/>
      <c r="O498" s="881"/>
      <c r="P498" s="881"/>
      <c r="Q498" s="1302"/>
      <c r="R498" s="1302"/>
      <c r="S498" s="1302"/>
      <c r="T498" s="1302"/>
      <c r="U498" s="1302"/>
      <c r="V498" s="1302"/>
      <c r="W498" s="1302"/>
      <c r="X498" s="1302"/>
      <c r="Y498" s="1302"/>
      <c r="Z498" s="1302"/>
    </row>
    <row r="499" spans="1:26" ht="18.75">
      <c r="A499" s="1326"/>
      <c r="B499" s="1327"/>
      <c r="C499" s="1327"/>
      <c r="D499" s="1327"/>
      <c r="E499" s="1014"/>
      <c r="F499" s="1014" t="s">
        <v>219</v>
      </c>
      <c r="G499" s="1007"/>
      <c r="H499" s="622" t="s">
        <v>46</v>
      </c>
      <c r="I499" s="880"/>
      <c r="J499" s="1012">
        <v>0</v>
      </c>
      <c r="K499" s="881"/>
      <c r="L499" s="881"/>
      <c r="M499" s="881"/>
      <c r="N499" s="881"/>
      <c r="O499" s="881"/>
      <c r="P499" s="881"/>
      <c r="Q499" s="1302"/>
      <c r="R499" s="1302"/>
      <c r="S499" s="1302"/>
      <c r="T499" s="1302"/>
      <c r="U499" s="1302"/>
      <c r="V499" s="1302"/>
      <c r="W499" s="1302"/>
      <c r="X499" s="1302"/>
      <c r="Y499" s="1302"/>
      <c r="Z499" s="1302"/>
    </row>
    <row r="500" spans="1:26" ht="19.5" hidden="1">
      <c r="A500" s="626">
        <v>4</v>
      </c>
      <c r="B500" s="1337" t="s">
        <v>220</v>
      </c>
      <c r="C500" s="1338"/>
      <c r="D500" s="1339"/>
      <c r="E500" s="1339"/>
      <c r="F500" s="1339"/>
      <c r="G500" s="1340"/>
      <c r="H500" s="631" t="s">
        <v>109</v>
      </c>
      <c r="I500" s="1341"/>
      <c r="J500" s="1341">
        <f t="shared" ref="J500:J501" si="214">J516</f>
        <v>0</v>
      </c>
      <c r="K500" s="1342">
        <f t="shared" ref="K500:K501" si="215">IF(I500&gt;0,J500*100/I500,0)</f>
        <v>0</v>
      </c>
      <c r="L500" s="1343"/>
      <c r="M500" s="1343"/>
      <c r="N500" s="1343"/>
      <c r="O500" s="1343"/>
      <c r="P500" s="1343"/>
      <c r="Q500" s="1323"/>
      <c r="R500" s="1323"/>
      <c r="S500" s="1323"/>
      <c r="T500" s="1323"/>
      <c r="U500" s="1323"/>
      <c r="V500" s="1323"/>
      <c r="W500" s="1323"/>
      <c r="X500" s="1323"/>
      <c r="Y500" s="1323"/>
      <c r="Z500" s="1323"/>
    </row>
    <row r="501" spans="1:26" ht="19.5" hidden="1">
      <c r="A501" s="1344"/>
      <c r="B501" s="1345" t="s">
        <v>221</v>
      </c>
      <c r="C501" s="1345"/>
      <c r="D501" s="1346"/>
      <c r="E501" s="1346"/>
      <c r="F501" s="1346"/>
      <c r="G501" s="1347"/>
      <c r="H501" s="640" t="s">
        <v>35</v>
      </c>
      <c r="I501" s="1348"/>
      <c r="J501" s="1348">
        <f t="shared" si="214"/>
        <v>0</v>
      </c>
      <c r="K501" s="1349">
        <f t="shared" si="215"/>
        <v>0</v>
      </c>
      <c r="L501" s="1350"/>
      <c r="M501" s="1350"/>
      <c r="N501" s="1350"/>
      <c r="O501" s="1350"/>
      <c r="P501" s="1350"/>
      <c r="Q501" s="1323"/>
      <c r="R501" s="1323"/>
      <c r="S501" s="1323"/>
      <c r="T501" s="1323"/>
      <c r="U501" s="1323"/>
      <c r="V501" s="1323"/>
      <c r="W501" s="1323"/>
      <c r="X501" s="1323"/>
      <c r="Y501" s="1323"/>
      <c r="Z501" s="1323"/>
    </row>
    <row r="502" spans="1:26" ht="19.5" hidden="1">
      <c r="A502" s="1319"/>
      <c r="B502" s="1320"/>
      <c r="C502" s="1320" t="s">
        <v>16</v>
      </c>
      <c r="D502" s="1351" t="s">
        <v>17</v>
      </c>
      <c r="E502" s="841"/>
      <c r="F502" s="841"/>
      <c r="G502" s="1322"/>
      <c r="H502" s="644" t="s">
        <v>12</v>
      </c>
      <c r="I502" s="886"/>
      <c r="J502" s="886"/>
      <c r="K502" s="887"/>
      <c r="L502" s="1352">
        <f t="shared" ref="L502:N502" si="216">L503+L504</f>
        <v>0</v>
      </c>
      <c r="M502" s="1352">
        <f t="shared" si="216"/>
        <v>0</v>
      </c>
      <c r="N502" s="1352">
        <f t="shared" si="216"/>
        <v>0</v>
      </c>
      <c r="O502" s="1352">
        <f t="shared" ref="O502:O507" si="217">IF(L502&gt;0,N502*100/L502,0)</f>
        <v>0</v>
      </c>
      <c r="P502" s="1352">
        <f t="shared" ref="P502:P507" si="218">IF(M502&gt;0,N502*100/M502,0)</f>
        <v>0</v>
      </c>
      <c r="Q502" s="1323"/>
      <c r="R502" s="1323"/>
      <c r="S502" s="1323"/>
      <c r="T502" s="1323"/>
      <c r="U502" s="1323"/>
      <c r="V502" s="1323"/>
      <c r="W502" s="1323"/>
      <c r="X502" s="1323"/>
      <c r="Y502" s="1323"/>
      <c r="Z502" s="1323"/>
    </row>
    <row r="503" spans="1:26" ht="18.75" hidden="1">
      <c r="A503" s="1319"/>
      <c r="B503" s="1320"/>
      <c r="C503" s="1320"/>
      <c r="D503" s="1321"/>
      <c r="E503" s="1320" t="s">
        <v>185</v>
      </c>
      <c r="F503" s="1320"/>
      <c r="G503" s="1322"/>
      <c r="H503" s="165" t="s">
        <v>12</v>
      </c>
      <c r="I503" s="886"/>
      <c r="J503" s="886"/>
      <c r="K503" s="887"/>
      <c r="L503" s="887">
        <f t="shared" ref="L503:N504" si="219">L506+L513</f>
        <v>0</v>
      </c>
      <c r="M503" s="887">
        <f t="shared" si="219"/>
        <v>0</v>
      </c>
      <c r="N503" s="887">
        <f t="shared" si="219"/>
        <v>0</v>
      </c>
      <c r="O503" s="887">
        <f t="shared" si="217"/>
        <v>0</v>
      </c>
      <c r="P503" s="887">
        <f t="shared" si="218"/>
        <v>0</v>
      </c>
      <c r="Q503" s="1323"/>
      <c r="R503" s="1323"/>
      <c r="S503" s="1323"/>
      <c r="T503" s="1323"/>
      <c r="U503" s="1323"/>
      <c r="V503" s="1323"/>
      <c r="W503" s="1323"/>
      <c r="X503" s="1323"/>
      <c r="Y503" s="1323"/>
      <c r="Z503" s="1323"/>
    </row>
    <row r="504" spans="1:26" ht="18.75" hidden="1">
      <c r="A504" s="1319"/>
      <c r="B504" s="1324"/>
      <c r="C504" s="1320"/>
      <c r="D504" s="1321"/>
      <c r="E504" s="1320" t="s">
        <v>186</v>
      </c>
      <c r="F504" s="1320"/>
      <c r="G504" s="1322"/>
      <c r="H504" s="165" t="s">
        <v>12</v>
      </c>
      <c r="I504" s="886"/>
      <c r="J504" s="886"/>
      <c r="K504" s="887"/>
      <c r="L504" s="887">
        <f t="shared" si="219"/>
        <v>0</v>
      </c>
      <c r="M504" s="887">
        <f t="shared" si="219"/>
        <v>0</v>
      </c>
      <c r="N504" s="887">
        <f t="shared" si="219"/>
        <v>0</v>
      </c>
      <c r="O504" s="887">
        <f t="shared" si="217"/>
        <v>0</v>
      </c>
      <c r="P504" s="887">
        <f t="shared" si="218"/>
        <v>0</v>
      </c>
      <c r="Q504" s="1323"/>
      <c r="R504" s="1323"/>
      <c r="S504" s="1323"/>
      <c r="T504" s="1323"/>
      <c r="U504" s="1323"/>
      <c r="V504" s="1323"/>
      <c r="W504" s="1323"/>
      <c r="X504" s="1323"/>
      <c r="Y504" s="1323"/>
      <c r="Z504" s="1323"/>
    </row>
    <row r="505" spans="1:26" ht="18.75" hidden="1">
      <c r="A505" s="1319"/>
      <c r="B505" s="1324"/>
      <c r="C505" s="1320"/>
      <c r="D505" s="1353" t="s">
        <v>20</v>
      </c>
      <c r="E505" s="1320"/>
      <c r="F505" s="1320"/>
      <c r="G505" s="1322"/>
      <c r="H505" s="165" t="s">
        <v>12</v>
      </c>
      <c r="I505" s="1000"/>
      <c r="J505" s="1000"/>
      <c r="K505" s="1001"/>
      <c r="L505" s="887">
        <f t="shared" ref="L505:N505" si="220">L506+L507</f>
        <v>0</v>
      </c>
      <c r="M505" s="887">
        <f t="shared" si="220"/>
        <v>0</v>
      </c>
      <c r="N505" s="887">
        <f t="shared" si="220"/>
        <v>0</v>
      </c>
      <c r="O505" s="887">
        <f t="shared" si="217"/>
        <v>0</v>
      </c>
      <c r="P505" s="887">
        <f t="shared" si="218"/>
        <v>0</v>
      </c>
      <c r="Q505" s="1323"/>
      <c r="R505" s="1323"/>
      <c r="S505" s="1323"/>
      <c r="T505" s="1323"/>
      <c r="U505" s="1323"/>
      <c r="V505" s="1323"/>
      <c r="W505" s="1323"/>
      <c r="X505" s="1323"/>
      <c r="Y505" s="1323"/>
      <c r="Z505" s="1323"/>
    </row>
    <row r="506" spans="1:26" ht="18.75" hidden="1">
      <c r="A506" s="1319"/>
      <c r="B506" s="1324"/>
      <c r="C506" s="1320"/>
      <c r="D506" s="1321"/>
      <c r="E506" s="1320" t="s">
        <v>185</v>
      </c>
      <c r="F506" s="1320"/>
      <c r="G506" s="1322"/>
      <c r="H506" s="165" t="s">
        <v>12</v>
      </c>
      <c r="I506" s="886"/>
      <c r="J506" s="886"/>
      <c r="K506" s="887"/>
      <c r="L506" s="887">
        <v>0</v>
      </c>
      <c r="M506" s="887">
        <v>0</v>
      </c>
      <c r="N506" s="887">
        <v>0</v>
      </c>
      <c r="O506" s="887">
        <f t="shared" si="217"/>
        <v>0</v>
      </c>
      <c r="P506" s="887">
        <f t="shared" si="218"/>
        <v>0</v>
      </c>
      <c r="Q506" s="1323"/>
      <c r="R506" s="1323"/>
      <c r="S506" s="1323"/>
      <c r="T506" s="1323"/>
      <c r="U506" s="1323"/>
      <c r="V506" s="1323"/>
      <c r="W506" s="1323"/>
      <c r="X506" s="1323"/>
      <c r="Y506" s="1323"/>
      <c r="Z506" s="1323"/>
    </row>
    <row r="507" spans="1:26" ht="18.75" hidden="1">
      <c r="A507" s="1319"/>
      <c r="B507" s="1324"/>
      <c r="C507" s="1320"/>
      <c r="D507" s="1321"/>
      <c r="E507" s="1320" t="s">
        <v>186</v>
      </c>
      <c r="F507" s="1320"/>
      <c r="G507" s="1322"/>
      <c r="H507" s="165" t="s">
        <v>12</v>
      </c>
      <c r="I507" s="886"/>
      <c r="J507" s="886"/>
      <c r="K507" s="887"/>
      <c r="L507" s="887">
        <v>0</v>
      </c>
      <c r="M507" s="887">
        <v>0</v>
      </c>
      <c r="N507" s="887">
        <f>N508+N509+N510+N511</f>
        <v>0</v>
      </c>
      <c r="O507" s="887">
        <f t="shared" si="217"/>
        <v>0</v>
      </c>
      <c r="P507" s="887">
        <f t="shared" si="218"/>
        <v>0</v>
      </c>
      <c r="Q507" s="1323"/>
      <c r="R507" s="1323"/>
      <c r="S507" s="1323"/>
      <c r="T507" s="1323"/>
      <c r="U507" s="1323"/>
      <c r="V507" s="1323"/>
      <c r="W507" s="1323"/>
      <c r="X507" s="1323"/>
      <c r="Y507" s="1323"/>
      <c r="Z507" s="1323"/>
    </row>
    <row r="508" spans="1:26" ht="18.75" hidden="1">
      <c r="A508" s="1354"/>
      <c r="B508" s="1324"/>
      <c r="C508" s="1320"/>
      <c r="D508" s="1320"/>
      <c r="E508" s="1320"/>
      <c r="F508" s="1320" t="s">
        <v>187</v>
      </c>
      <c r="G508" s="1322"/>
      <c r="H508" s="165" t="s">
        <v>12</v>
      </c>
      <c r="I508" s="886"/>
      <c r="J508" s="886"/>
      <c r="K508" s="887"/>
      <c r="L508" s="887"/>
      <c r="M508" s="887"/>
      <c r="N508" s="887">
        <v>0</v>
      </c>
      <c r="O508" s="887"/>
      <c r="P508" s="887"/>
      <c r="Q508" s="1323"/>
      <c r="R508" s="1323"/>
      <c r="S508" s="1323"/>
      <c r="T508" s="1323"/>
      <c r="U508" s="1323"/>
      <c r="V508" s="1323"/>
      <c r="W508" s="1323"/>
      <c r="X508" s="1323"/>
      <c r="Y508" s="1323"/>
      <c r="Z508" s="1323"/>
    </row>
    <row r="509" spans="1:26" ht="18.75" hidden="1">
      <c r="A509" s="1354"/>
      <c r="B509" s="1324"/>
      <c r="C509" s="1320"/>
      <c r="D509" s="1320"/>
      <c r="E509" s="1320"/>
      <c r="F509" s="1320" t="s">
        <v>188</v>
      </c>
      <c r="G509" s="1322"/>
      <c r="H509" s="165" t="s">
        <v>12</v>
      </c>
      <c r="I509" s="886"/>
      <c r="J509" s="886"/>
      <c r="K509" s="887"/>
      <c r="L509" s="887"/>
      <c r="M509" s="887"/>
      <c r="N509" s="887">
        <v>0</v>
      </c>
      <c r="O509" s="887"/>
      <c r="P509" s="887"/>
      <c r="Q509" s="1323"/>
      <c r="R509" s="1323"/>
      <c r="S509" s="1323"/>
      <c r="T509" s="1323"/>
      <c r="U509" s="1323"/>
      <c r="V509" s="1323"/>
      <c r="W509" s="1323"/>
      <c r="X509" s="1323"/>
      <c r="Y509" s="1323"/>
      <c r="Z509" s="1323"/>
    </row>
    <row r="510" spans="1:26" ht="18.75" hidden="1">
      <c r="A510" s="1354"/>
      <c r="B510" s="1324"/>
      <c r="C510" s="1324"/>
      <c r="D510" s="1324"/>
      <c r="E510" s="1320"/>
      <c r="F510" s="1320" t="s">
        <v>189</v>
      </c>
      <c r="G510" s="1322"/>
      <c r="H510" s="165" t="s">
        <v>12</v>
      </c>
      <c r="I510" s="886"/>
      <c r="J510" s="886"/>
      <c r="K510" s="887"/>
      <c r="L510" s="887"/>
      <c r="M510" s="887"/>
      <c r="N510" s="887">
        <v>0</v>
      </c>
      <c r="O510" s="887"/>
      <c r="P510" s="887"/>
      <c r="Q510" s="1323"/>
      <c r="R510" s="1323"/>
      <c r="S510" s="1323"/>
      <c r="T510" s="1323"/>
      <c r="U510" s="1323"/>
      <c r="V510" s="1323"/>
      <c r="W510" s="1323"/>
      <c r="X510" s="1323"/>
      <c r="Y510" s="1323"/>
      <c r="Z510" s="1323"/>
    </row>
    <row r="511" spans="1:26" ht="18.75" hidden="1">
      <c r="A511" s="1354"/>
      <c r="B511" s="1324"/>
      <c r="C511" s="1324"/>
      <c r="D511" s="1324"/>
      <c r="E511" s="1320"/>
      <c r="F511" s="1320" t="s">
        <v>190</v>
      </c>
      <c r="G511" s="1322"/>
      <c r="H511" s="165" t="s">
        <v>12</v>
      </c>
      <c r="I511" s="886"/>
      <c r="J511" s="886"/>
      <c r="K511" s="887"/>
      <c r="L511" s="887"/>
      <c r="M511" s="887"/>
      <c r="N511" s="887">
        <v>0</v>
      </c>
      <c r="O511" s="887"/>
      <c r="P511" s="887"/>
      <c r="Q511" s="1323"/>
      <c r="R511" s="1323"/>
      <c r="S511" s="1323"/>
      <c r="T511" s="1323"/>
      <c r="U511" s="1323"/>
      <c r="V511" s="1323"/>
      <c r="W511" s="1323"/>
      <c r="X511" s="1323"/>
      <c r="Y511" s="1323"/>
      <c r="Z511" s="1323"/>
    </row>
    <row r="512" spans="1:26" ht="18.75" hidden="1">
      <c r="A512" s="1319"/>
      <c r="B512" s="1324"/>
      <c r="C512" s="1324"/>
      <c r="D512" s="1353" t="s">
        <v>21</v>
      </c>
      <c r="E512" s="1324"/>
      <c r="F512" s="1320"/>
      <c r="G512" s="1322"/>
      <c r="H512" s="169" t="s">
        <v>12</v>
      </c>
      <c r="I512" s="1000"/>
      <c r="J512" s="1000"/>
      <c r="K512" s="1001"/>
      <c r="L512" s="887">
        <f t="shared" ref="L512:N512" si="221">L513+L514</f>
        <v>0</v>
      </c>
      <c r="M512" s="887">
        <f t="shared" si="221"/>
        <v>0</v>
      </c>
      <c r="N512" s="887">
        <f t="shared" si="221"/>
        <v>0</v>
      </c>
      <c r="O512" s="887">
        <f t="shared" ref="O512:O514" si="222">IF(L512&gt;0,N512*100/L512,0)</f>
        <v>0</v>
      </c>
      <c r="P512" s="887">
        <f t="shared" ref="P512:P514" si="223">IF(M512&gt;0,N512*100/M512,0)</f>
        <v>0</v>
      </c>
      <c r="Q512" s="1323"/>
      <c r="R512" s="1323"/>
      <c r="S512" s="1323"/>
      <c r="T512" s="1323"/>
      <c r="U512" s="1323"/>
      <c r="V512" s="1323"/>
      <c r="W512" s="1323"/>
      <c r="X512" s="1323"/>
      <c r="Y512" s="1323"/>
      <c r="Z512" s="1323"/>
    </row>
    <row r="513" spans="1:26" ht="18.75" hidden="1">
      <c r="A513" s="1319"/>
      <c r="B513" s="1324"/>
      <c r="C513" s="1324"/>
      <c r="D513" s="1324"/>
      <c r="E513" s="1324" t="s">
        <v>18</v>
      </c>
      <c r="F513" s="1320"/>
      <c r="G513" s="1322"/>
      <c r="H513" s="165" t="s">
        <v>12</v>
      </c>
      <c r="I513" s="1000"/>
      <c r="J513" s="1000"/>
      <c r="K513" s="1001"/>
      <c r="L513" s="887">
        <v>0</v>
      </c>
      <c r="M513" s="887">
        <v>0</v>
      </c>
      <c r="N513" s="887">
        <v>0</v>
      </c>
      <c r="O513" s="887">
        <f t="shared" si="222"/>
        <v>0</v>
      </c>
      <c r="P513" s="887">
        <f t="shared" si="223"/>
        <v>0</v>
      </c>
      <c r="Q513" s="1323"/>
      <c r="R513" s="1323"/>
      <c r="S513" s="1323"/>
      <c r="T513" s="1323"/>
      <c r="U513" s="1323"/>
      <c r="V513" s="1323"/>
      <c r="W513" s="1323"/>
      <c r="X513" s="1323"/>
      <c r="Y513" s="1323"/>
      <c r="Z513" s="1323"/>
    </row>
    <row r="514" spans="1:26" ht="18.75" hidden="1">
      <c r="A514" s="1319"/>
      <c r="B514" s="1324"/>
      <c r="C514" s="1324"/>
      <c r="D514" s="1320"/>
      <c r="E514" s="1324" t="s">
        <v>19</v>
      </c>
      <c r="F514" s="1320"/>
      <c r="G514" s="1322"/>
      <c r="H514" s="169" t="s">
        <v>12</v>
      </c>
      <c r="I514" s="1000"/>
      <c r="J514" s="1000"/>
      <c r="K514" s="1001"/>
      <c r="L514" s="887">
        <v>0</v>
      </c>
      <c r="M514" s="887">
        <v>0</v>
      </c>
      <c r="N514" s="887">
        <v>0</v>
      </c>
      <c r="O514" s="887">
        <f t="shared" si="222"/>
        <v>0</v>
      </c>
      <c r="P514" s="887">
        <f t="shared" si="223"/>
        <v>0</v>
      </c>
      <c r="Q514" s="1323"/>
      <c r="R514" s="1323"/>
      <c r="S514" s="1323"/>
      <c r="T514" s="1323"/>
      <c r="U514" s="1323"/>
      <c r="V514" s="1323"/>
      <c r="W514" s="1323"/>
      <c r="X514" s="1323"/>
      <c r="Y514" s="1323"/>
      <c r="Z514" s="1323"/>
    </row>
    <row r="515" spans="1:26" ht="19.5" hidden="1">
      <c r="A515" s="1332"/>
      <c r="B515" s="1333"/>
      <c r="C515" s="1324" t="s">
        <v>16</v>
      </c>
      <c r="D515" s="1355" t="s">
        <v>38</v>
      </c>
      <c r="E515" s="1356"/>
      <c r="F515" s="1356"/>
      <c r="G515" s="1357"/>
      <c r="H515" s="1113"/>
      <c r="I515" s="1000"/>
      <c r="J515" s="1000"/>
      <c r="K515" s="1001"/>
      <c r="L515" s="1001"/>
      <c r="M515" s="1001"/>
      <c r="N515" s="1001"/>
      <c r="O515" s="1001"/>
      <c r="P515" s="1001"/>
      <c r="Q515" s="1323"/>
      <c r="R515" s="1323"/>
      <c r="S515" s="1323"/>
      <c r="T515" s="1323"/>
      <c r="U515" s="1323"/>
      <c r="V515" s="1323"/>
      <c r="W515" s="1323"/>
      <c r="X515" s="1323"/>
      <c r="Y515" s="1323"/>
      <c r="Z515" s="1323"/>
    </row>
    <row r="516" spans="1:26" ht="18.75" hidden="1">
      <c r="A516" s="1332"/>
      <c r="B516" s="1333"/>
      <c r="C516" s="1333"/>
      <c r="D516" s="1333" t="s">
        <v>222</v>
      </c>
      <c r="E516" s="1321"/>
      <c r="F516" s="1321"/>
      <c r="G516" s="1113"/>
      <c r="H516" s="651" t="s">
        <v>109</v>
      </c>
      <c r="I516" s="886"/>
      <c r="J516" s="886">
        <v>0</v>
      </c>
      <c r="K516" s="1001">
        <f t="shared" ref="K516:K517" si="224">IF(I516&gt;0,J516*100/I516,0)</f>
        <v>0</v>
      </c>
      <c r="L516" s="1001"/>
      <c r="M516" s="1001"/>
      <c r="N516" s="1001"/>
      <c r="O516" s="1001"/>
      <c r="P516" s="1001"/>
      <c r="Q516" s="1323"/>
      <c r="R516" s="1323"/>
      <c r="S516" s="1323"/>
      <c r="T516" s="1323"/>
      <c r="U516" s="1323"/>
      <c r="V516" s="1323"/>
      <c r="W516" s="1323"/>
      <c r="X516" s="1323"/>
      <c r="Y516" s="1323"/>
      <c r="Z516" s="1323"/>
    </row>
    <row r="517" spans="1:26" ht="19.5" hidden="1">
      <c r="A517" s="1332"/>
      <c r="B517" s="1333"/>
      <c r="C517" s="1333"/>
      <c r="D517" s="1333" t="s">
        <v>223</v>
      </c>
      <c r="E517" s="1321"/>
      <c r="F517" s="1321"/>
      <c r="G517" s="1113"/>
      <c r="H517" s="652" t="s">
        <v>35</v>
      </c>
      <c r="I517" s="1358"/>
      <c r="J517" s="1358">
        <f>J518+J519</f>
        <v>0</v>
      </c>
      <c r="K517" s="1359">
        <f t="shared" si="224"/>
        <v>0</v>
      </c>
      <c r="L517" s="1001"/>
      <c r="M517" s="1001"/>
      <c r="N517" s="1001"/>
      <c r="O517" s="1001"/>
      <c r="P517" s="1001"/>
      <c r="Q517" s="1323"/>
      <c r="R517" s="1323"/>
      <c r="S517" s="1323"/>
      <c r="T517" s="1323"/>
      <c r="U517" s="1323"/>
      <c r="V517" s="1323"/>
      <c r="W517" s="1323"/>
      <c r="X517" s="1323"/>
      <c r="Y517" s="1323"/>
      <c r="Z517" s="1323"/>
    </row>
    <row r="518" spans="1:26" ht="18.75" hidden="1">
      <c r="A518" s="1332"/>
      <c r="B518" s="1333"/>
      <c r="C518" s="1333"/>
      <c r="D518" s="1333"/>
      <c r="E518" s="1333" t="s">
        <v>224</v>
      </c>
      <c r="F518" s="1321"/>
      <c r="G518" s="1113"/>
      <c r="H518" s="370" t="s">
        <v>35</v>
      </c>
      <c r="I518" s="886"/>
      <c r="J518" s="886"/>
      <c r="K518" s="1001"/>
      <c r="L518" s="1001"/>
      <c r="M518" s="1001"/>
      <c r="N518" s="1001"/>
      <c r="O518" s="1001"/>
      <c r="P518" s="1001"/>
      <c r="Q518" s="1323"/>
      <c r="R518" s="1323"/>
      <c r="S518" s="1323"/>
      <c r="T518" s="1323"/>
      <c r="U518" s="1323"/>
      <c r="V518" s="1323"/>
      <c r="W518" s="1323"/>
      <c r="X518" s="1323"/>
      <c r="Y518" s="1323"/>
      <c r="Z518" s="1323"/>
    </row>
    <row r="519" spans="1:26" ht="18.75" hidden="1">
      <c r="A519" s="1332"/>
      <c r="B519" s="1333"/>
      <c r="C519" s="1333"/>
      <c r="D519" s="1333"/>
      <c r="E519" s="1333" t="s">
        <v>225</v>
      </c>
      <c r="F519" s="1321"/>
      <c r="G519" s="1113"/>
      <c r="H519" s="651" t="s">
        <v>35</v>
      </c>
      <c r="I519" s="886"/>
      <c r="J519" s="886"/>
      <c r="K519" s="1001"/>
      <c r="L519" s="1001"/>
      <c r="M519" s="1001"/>
      <c r="N519" s="1001"/>
      <c r="O519" s="1001"/>
      <c r="P519" s="1001"/>
      <c r="Q519" s="1323"/>
      <c r="R519" s="1323"/>
      <c r="S519" s="1323"/>
      <c r="T519" s="1323"/>
      <c r="U519" s="1323"/>
      <c r="V519" s="1323"/>
      <c r="W519" s="1323"/>
      <c r="X519" s="1323"/>
      <c r="Y519" s="1323"/>
      <c r="Z519" s="1323"/>
    </row>
    <row r="520" spans="1:26" ht="19.5">
      <c r="A520" s="1360" t="s">
        <v>137</v>
      </c>
      <c r="B520" s="1361"/>
      <c r="C520" s="1361"/>
      <c r="D520" s="1362"/>
      <c r="E520" s="1362"/>
      <c r="F520" s="1362"/>
      <c r="G520" s="1363"/>
      <c r="H520" s="1364"/>
      <c r="I520" s="1365"/>
      <c r="J520" s="1365"/>
      <c r="K520" s="1366"/>
      <c r="L520" s="1366"/>
      <c r="M520" s="1366"/>
      <c r="N520" s="1366"/>
      <c r="O520" s="1366"/>
      <c r="P520" s="1366"/>
    </row>
    <row r="521" spans="1:26" ht="19.5">
      <c r="A521" s="662">
        <v>5</v>
      </c>
      <c r="B521" s="1367" t="s">
        <v>226</v>
      </c>
      <c r="C521" s="1368"/>
      <c r="D521" s="1369"/>
      <c r="E521" s="1369"/>
      <c r="F521" s="1369"/>
      <c r="G521" s="1369"/>
      <c r="H521" s="1370"/>
      <c r="I521" s="1371"/>
      <c r="J521" s="1371"/>
      <c r="K521" s="1372"/>
      <c r="L521" s="1372"/>
      <c r="M521" s="1372"/>
      <c r="N521" s="1372"/>
      <c r="O521" s="1372"/>
      <c r="P521" s="1372"/>
      <c r="Q521" s="1302"/>
      <c r="R521" s="1302"/>
      <c r="S521" s="1302"/>
      <c r="T521" s="1302"/>
      <c r="U521" s="1302"/>
      <c r="V521" s="1302"/>
      <c r="W521" s="1302"/>
      <c r="X521" s="1302"/>
      <c r="Y521" s="1302"/>
      <c r="Z521" s="1302"/>
    </row>
    <row r="522" spans="1:26" ht="19.5">
      <c r="A522" s="1373"/>
      <c r="B522" s="1374" t="s">
        <v>227</v>
      </c>
      <c r="C522" s="1375"/>
      <c r="D522" s="1375"/>
      <c r="E522" s="1375"/>
      <c r="F522" s="1375"/>
      <c r="G522" s="1376"/>
      <c r="H522" s="673" t="s">
        <v>35</v>
      </c>
      <c r="I522" s="1377">
        <f t="shared" ref="I522:J522" ca="1" si="225">I537</f>
        <v>30</v>
      </c>
      <c r="J522" s="1377">
        <f t="shared" ca="1" si="225"/>
        <v>30</v>
      </c>
      <c r="K522" s="1378">
        <f ca="1">IF(I522&gt;0,J522*100/I522,0)</f>
        <v>100</v>
      </c>
      <c r="L522" s="1379"/>
      <c r="M522" s="1379"/>
      <c r="N522" s="1379"/>
      <c r="O522" s="1379"/>
      <c r="P522" s="1379"/>
      <c r="Q522" s="1302"/>
      <c r="R522" s="1302"/>
      <c r="S522" s="1302"/>
      <c r="T522" s="1302"/>
      <c r="U522" s="1302"/>
      <c r="V522" s="1302"/>
      <c r="W522" s="1302"/>
      <c r="X522" s="1302"/>
      <c r="Y522" s="1302"/>
      <c r="Z522" s="1302"/>
    </row>
    <row r="523" spans="1:26" ht="19.5">
      <c r="A523" s="1317"/>
      <c r="B523" s="1301"/>
      <c r="C523" s="1301" t="s">
        <v>16</v>
      </c>
      <c r="D523" s="1318" t="s">
        <v>17</v>
      </c>
      <c r="E523" s="841"/>
      <c r="F523" s="841"/>
      <c r="G523" s="1016"/>
      <c r="H523" s="597" t="s">
        <v>12</v>
      </c>
      <c r="I523" s="880"/>
      <c r="J523" s="880"/>
      <c r="K523" s="881"/>
      <c r="L523" s="1020">
        <f t="shared" ref="L523:N523" ca="1" si="226">L524+L525</f>
        <v>277260</v>
      </c>
      <c r="M523" s="1020">
        <f t="shared" ca="1" si="226"/>
        <v>277260</v>
      </c>
      <c r="N523" s="1020">
        <f t="shared" si="226"/>
        <v>259100</v>
      </c>
      <c r="O523" s="1020">
        <f t="shared" ref="O523:O528" ca="1" si="227">IF(L523&gt;0,N523*100/L523,0)</f>
        <v>93.45019115631537</v>
      </c>
      <c r="P523" s="1020">
        <f t="shared" ref="P523:P528" ca="1" si="228">IF(M523&gt;0,N523*100/M523,0)</f>
        <v>93.45019115631537</v>
      </c>
      <c r="Q523" s="1302"/>
      <c r="R523" s="1302"/>
      <c r="S523" s="1302"/>
      <c r="T523" s="1302"/>
      <c r="U523" s="1302"/>
      <c r="V523" s="1302"/>
      <c r="W523" s="1302"/>
      <c r="X523" s="1302"/>
      <c r="Y523" s="1302"/>
      <c r="Z523" s="1302"/>
    </row>
    <row r="524" spans="1:26" ht="18.75" hidden="1">
      <c r="A524" s="1319"/>
      <c r="B524" s="1320"/>
      <c r="C524" s="1320"/>
      <c r="D524" s="1321"/>
      <c r="E524" s="1320" t="s">
        <v>185</v>
      </c>
      <c r="F524" s="1320"/>
      <c r="G524" s="1322"/>
      <c r="H524" s="165" t="s">
        <v>12</v>
      </c>
      <c r="I524" s="886"/>
      <c r="J524" s="886"/>
      <c r="K524" s="887"/>
      <c r="L524" s="887">
        <f t="shared" ref="L524:N525" si="229">L527+L534</f>
        <v>0</v>
      </c>
      <c r="M524" s="887">
        <f t="shared" si="229"/>
        <v>0</v>
      </c>
      <c r="N524" s="887">
        <f t="shared" si="229"/>
        <v>0</v>
      </c>
      <c r="O524" s="887">
        <f t="shared" si="227"/>
        <v>0</v>
      </c>
      <c r="P524" s="887">
        <f t="shared" si="228"/>
        <v>0</v>
      </c>
      <c r="Q524" s="1323"/>
      <c r="R524" s="1323"/>
      <c r="S524" s="1323"/>
      <c r="T524" s="1323"/>
      <c r="U524" s="1323"/>
      <c r="V524" s="1323"/>
      <c r="W524" s="1323"/>
      <c r="X524" s="1323"/>
      <c r="Y524" s="1323"/>
      <c r="Z524" s="1323"/>
    </row>
    <row r="525" spans="1:26" ht="18.75" hidden="1">
      <c r="A525" s="1319"/>
      <c r="B525" s="1324"/>
      <c r="C525" s="1320"/>
      <c r="D525" s="1321"/>
      <c r="E525" s="1320" t="s">
        <v>186</v>
      </c>
      <c r="F525" s="1320"/>
      <c r="G525" s="1322"/>
      <c r="H525" s="165" t="s">
        <v>12</v>
      </c>
      <c r="I525" s="886"/>
      <c r="J525" s="886"/>
      <c r="K525" s="887"/>
      <c r="L525" s="887">
        <f t="shared" ca="1" si="229"/>
        <v>277260</v>
      </c>
      <c r="M525" s="887">
        <f t="shared" ca="1" si="229"/>
        <v>277260</v>
      </c>
      <c r="N525" s="887">
        <f t="shared" si="229"/>
        <v>259100</v>
      </c>
      <c r="O525" s="887">
        <f t="shared" ca="1" si="227"/>
        <v>93.45019115631537</v>
      </c>
      <c r="P525" s="887">
        <f t="shared" ca="1" si="228"/>
        <v>93.45019115631537</v>
      </c>
      <c r="Q525" s="1323"/>
      <c r="R525" s="1323"/>
      <c r="S525" s="1323"/>
      <c r="T525" s="1323"/>
      <c r="U525" s="1323"/>
      <c r="V525" s="1323"/>
      <c r="W525" s="1323"/>
      <c r="X525" s="1323"/>
      <c r="Y525" s="1323"/>
      <c r="Z525" s="1323"/>
    </row>
    <row r="526" spans="1:26" ht="18.75">
      <c r="A526" s="1317"/>
      <c r="B526" s="1300"/>
      <c r="C526" s="1301"/>
      <c r="D526" s="1325" t="s">
        <v>20</v>
      </c>
      <c r="E526" s="1301"/>
      <c r="F526" s="1301"/>
      <c r="G526" s="1016"/>
      <c r="H526" s="161" t="s">
        <v>12</v>
      </c>
      <c r="I526" s="997"/>
      <c r="J526" s="997"/>
      <c r="K526" s="998"/>
      <c r="L526" s="881">
        <f t="shared" ref="L526:N526" ca="1" si="230">L527+L528</f>
        <v>277260</v>
      </c>
      <c r="M526" s="881">
        <f t="shared" ca="1" si="230"/>
        <v>277260</v>
      </c>
      <c r="N526" s="881">
        <f t="shared" si="230"/>
        <v>259100</v>
      </c>
      <c r="O526" s="881">
        <f t="shared" ca="1" si="227"/>
        <v>93.45019115631537</v>
      </c>
      <c r="P526" s="881">
        <f t="shared" ca="1" si="228"/>
        <v>93.45019115631537</v>
      </c>
      <c r="Q526" s="1302"/>
      <c r="R526" s="1302"/>
      <c r="S526" s="1302"/>
      <c r="T526" s="1302"/>
      <c r="U526" s="1302"/>
      <c r="V526" s="1302"/>
      <c r="W526" s="1302"/>
      <c r="X526" s="1302"/>
      <c r="Y526" s="1302"/>
      <c r="Z526" s="1302"/>
    </row>
    <row r="527" spans="1:26" ht="18.75" hidden="1">
      <c r="A527" s="1319"/>
      <c r="B527" s="1324"/>
      <c r="C527" s="1320"/>
      <c r="D527" s="1321"/>
      <c r="E527" s="1320" t="s">
        <v>185</v>
      </c>
      <c r="F527" s="1320"/>
      <c r="G527" s="1322"/>
      <c r="H527" s="165" t="s">
        <v>12</v>
      </c>
      <c r="I527" s="886"/>
      <c r="J527" s="886"/>
      <c r="K527" s="887"/>
      <c r="L527" s="887">
        <v>0</v>
      </c>
      <c r="M527" s="887">
        <v>0</v>
      </c>
      <c r="N527" s="887">
        <v>0</v>
      </c>
      <c r="O527" s="887">
        <f t="shared" si="227"/>
        <v>0</v>
      </c>
      <c r="P527" s="887">
        <f t="shared" si="228"/>
        <v>0</v>
      </c>
      <c r="Q527" s="1323"/>
      <c r="R527" s="1323"/>
      <c r="S527" s="1323"/>
      <c r="T527" s="1323"/>
      <c r="U527" s="1323"/>
      <c r="V527" s="1323"/>
      <c r="W527" s="1323"/>
      <c r="X527" s="1323"/>
      <c r="Y527" s="1323"/>
      <c r="Z527" s="1323"/>
    </row>
    <row r="528" spans="1:26" ht="18.75" hidden="1">
      <c r="A528" s="1319"/>
      <c r="B528" s="1324"/>
      <c r="C528" s="1320"/>
      <c r="D528" s="1321"/>
      <c r="E528" s="1320" t="s">
        <v>186</v>
      </c>
      <c r="F528" s="1320"/>
      <c r="G528" s="1322"/>
      <c r="H528" s="165" t="s">
        <v>12</v>
      </c>
      <c r="I528" s="886"/>
      <c r="J528" s="886"/>
      <c r="K528" s="887"/>
      <c r="L528" s="887">
        <f ca="1">IFERROR(__xludf.DUMMYFUNCTION("IMPORTRANGE(""https://docs.google.com/spreadsheets/d/1QqKyyYR6Q21VydFLVH3TRQUabQu_ym0Zz7PgGX0-kHA/edit?usp=sharing"",""แผน!GQ88"")"),277260)</f>
        <v>277260</v>
      </c>
      <c r="M528" s="887">
        <f ca="1">L528</f>
        <v>277260</v>
      </c>
      <c r="N528" s="887">
        <f>N529+N530+N531+N532</f>
        <v>259100</v>
      </c>
      <c r="O528" s="887">
        <f t="shared" ca="1" si="227"/>
        <v>93.45019115631537</v>
      </c>
      <c r="P528" s="887">
        <f t="shared" ca="1" si="228"/>
        <v>93.45019115631537</v>
      </c>
      <c r="Q528" s="1323"/>
      <c r="R528" s="1323"/>
      <c r="S528" s="1323"/>
      <c r="T528" s="1323"/>
      <c r="U528" s="1323"/>
      <c r="V528" s="1323"/>
      <c r="W528" s="1323"/>
      <c r="X528" s="1323"/>
      <c r="Y528" s="1323"/>
      <c r="Z528" s="1323"/>
    </row>
    <row r="529" spans="1:26" ht="18.75">
      <c r="A529" s="1299"/>
      <c r="B529" s="1300"/>
      <c r="C529" s="1301"/>
      <c r="D529" s="1301"/>
      <c r="E529" s="1301"/>
      <c r="F529" s="1301" t="s">
        <v>187</v>
      </c>
      <c r="G529" s="1016"/>
      <c r="H529" s="161" t="s">
        <v>12</v>
      </c>
      <c r="I529" s="880"/>
      <c r="J529" s="880"/>
      <c r="K529" s="881"/>
      <c r="L529" s="881"/>
      <c r="M529" s="881"/>
      <c r="N529" s="1085">
        <f>10200+3404+58096</f>
        <v>71700</v>
      </c>
      <c r="O529" s="881"/>
      <c r="P529" s="881"/>
      <c r="Q529" s="1302"/>
      <c r="R529" s="1302"/>
      <c r="S529" s="1302"/>
      <c r="T529" s="1302"/>
      <c r="U529" s="1302"/>
      <c r="V529" s="1302"/>
      <c r="W529" s="1302"/>
      <c r="X529" s="1302"/>
      <c r="Y529" s="1302"/>
      <c r="Z529" s="1302"/>
    </row>
    <row r="530" spans="1:26" ht="18.75">
      <c r="A530" s="1299"/>
      <c r="B530" s="1300"/>
      <c r="C530" s="1301"/>
      <c r="D530" s="1301"/>
      <c r="E530" s="1301"/>
      <c r="F530" s="1301" t="s">
        <v>188</v>
      </c>
      <c r="G530" s="1016"/>
      <c r="H530" s="161" t="s">
        <v>12</v>
      </c>
      <c r="I530" s="880"/>
      <c r="J530" s="880"/>
      <c r="K530" s="881"/>
      <c r="L530" s="881"/>
      <c r="M530" s="881"/>
      <c r="N530" s="1085">
        <f>126800+18100+5100</f>
        <v>150000</v>
      </c>
      <c r="O530" s="881"/>
      <c r="P530" s="881"/>
      <c r="Q530" s="1302"/>
      <c r="R530" s="1302"/>
      <c r="S530" s="1302"/>
      <c r="T530" s="1302"/>
      <c r="U530" s="1302"/>
      <c r="V530" s="1302"/>
      <c r="W530" s="1302"/>
      <c r="X530" s="1302"/>
      <c r="Y530" s="1302"/>
      <c r="Z530" s="1302"/>
    </row>
    <row r="531" spans="1:26" ht="18.75">
      <c r="A531" s="1299"/>
      <c r="B531" s="1300"/>
      <c r="C531" s="1301"/>
      <c r="D531" s="1301"/>
      <c r="E531" s="1301"/>
      <c r="F531" s="1301" t="s">
        <v>189</v>
      </c>
      <c r="G531" s="1016"/>
      <c r="H531" s="161" t="s">
        <v>12</v>
      </c>
      <c r="I531" s="880"/>
      <c r="J531" s="880"/>
      <c r="K531" s="881"/>
      <c r="L531" s="881"/>
      <c r="M531" s="881"/>
      <c r="N531" s="1085">
        <v>0</v>
      </c>
      <c r="O531" s="881"/>
      <c r="P531" s="881"/>
      <c r="Q531" s="1302"/>
      <c r="R531" s="1302"/>
      <c r="S531" s="1302"/>
      <c r="T531" s="1302"/>
      <c r="U531" s="1302"/>
      <c r="V531" s="1302"/>
      <c r="W531" s="1302"/>
      <c r="X531" s="1302"/>
      <c r="Y531" s="1302"/>
      <c r="Z531" s="1302"/>
    </row>
    <row r="532" spans="1:26" ht="18.75">
      <c r="A532" s="1299"/>
      <c r="B532" s="1300"/>
      <c r="C532" s="1301"/>
      <c r="D532" s="1301"/>
      <c r="E532" s="1301"/>
      <c r="F532" s="1301" t="s">
        <v>190</v>
      </c>
      <c r="G532" s="1016"/>
      <c r="H532" s="161" t="s">
        <v>12</v>
      </c>
      <c r="I532" s="880"/>
      <c r="J532" s="880"/>
      <c r="K532" s="881"/>
      <c r="L532" s="881"/>
      <c r="M532" s="881"/>
      <c r="N532" s="1085">
        <f>3700+7980+240+22800+2080+600</f>
        <v>37400</v>
      </c>
      <c r="O532" s="881"/>
      <c r="P532" s="881"/>
      <c r="Q532" s="1302"/>
      <c r="R532" s="1302"/>
      <c r="S532" s="1302"/>
      <c r="T532" s="1302"/>
      <c r="U532" s="1302"/>
      <c r="V532" s="1302"/>
      <c r="W532" s="1302"/>
      <c r="X532" s="1302"/>
      <c r="Y532" s="1302"/>
      <c r="Z532" s="1302"/>
    </row>
    <row r="533" spans="1:26" ht="18.75">
      <c r="A533" s="1317"/>
      <c r="B533" s="1300"/>
      <c r="C533" s="1301"/>
      <c r="D533" s="1325" t="s">
        <v>21</v>
      </c>
      <c r="E533" s="1301"/>
      <c r="F533" s="1301"/>
      <c r="G533" s="1016"/>
      <c r="H533" s="168" t="s">
        <v>12</v>
      </c>
      <c r="I533" s="997"/>
      <c r="J533" s="997"/>
      <c r="K533" s="998"/>
      <c r="L533" s="881">
        <f t="shared" ref="L533:N533" ca="1" si="231">L534+L535</f>
        <v>0</v>
      </c>
      <c r="M533" s="881">
        <f t="shared" si="231"/>
        <v>0</v>
      </c>
      <c r="N533" s="881">
        <f t="shared" si="231"/>
        <v>0</v>
      </c>
      <c r="O533" s="881">
        <f t="shared" ref="O533:O535" ca="1" si="232">IF(L533&gt;0,N533*100/L533,0)</f>
        <v>0</v>
      </c>
      <c r="P533" s="881">
        <f t="shared" ref="P533:P535" si="233">IF(M533&gt;0,N533*100/M533,0)</f>
        <v>0</v>
      </c>
      <c r="Q533" s="1302"/>
      <c r="R533" s="1302"/>
      <c r="S533" s="1302"/>
      <c r="T533" s="1302"/>
      <c r="U533" s="1302"/>
      <c r="V533" s="1302"/>
      <c r="W533" s="1302"/>
      <c r="X533" s="1302"/>
      <c r="Y533" s="1302"/>
      <c r="Z533" s="1302"/>
    </row>
    <row r="534" spans="1:26" ht="18.75" hidden="1">
      <c r="A534" s="1319"/>
      <c r="B534" s="1324"/>
      <c r="C534" s="1320"/>
      <c r="D534" s="1320"/>
      <c r="E534" s="1320" t="s">
        <v>18</v>
      </c>
      <c r="F534" s="1320"/>
      <c r="G534" s="1322"/>
      <c r="H534" s="165" t="s">
        <v>12</v>
      </c>
      <c r="I534" s="1000"/>
      <c r="J534" s="1000"/>
      <c r="K534" s="1001"/>
      <c r="L534" s="887">
        <v>0</v>
      </c>
      <c r="M534" s="887">
        <v>0</v>
      </c>
      <c r="N534" s="887">
        <v>0</v>
      </c>
      <c r="O534" s="887">
        <f t="shared" si="232"/>
        <v>0</v>
      </c>
      <c r="P534" s="887">
        <f t="shared" si="233"/>
        <v>0</v>
      </c>
      <c r="Q534" s="1323"/>
      <c r="R534" s="1323"/>
      <c r="S534" s="1323"/>
      <c r="T534" s="1323"/>
      <c r="U534" s="1323"/>
      <c r="V534" s="1323"/>
      <c r="W534" s="1323"/>
      <c r="X534" s="1323"/>
      <c r="Y534" s="1323"/>
      <c r="Z534" s="1323"/>
    </row>
    <row r="535" spans="1:26" ht="18.75" hidden="1">
      <c r="A535" s="1319"/>
      <c r="B535" s="1324"/>
      <c r="C535" s="1320"/>
      <c r="D535" s="1320"/>
      <c r="E535" s="1320" t="s">
        <v>19</v>
      </c>
      <c r="F535" s="1320"/>
      <c r="G535" s="1322"/>
      <c r="H535" s="169" t="s">
        <v>12</v>
      </c>
      <c r="I535" s="1000"/>
      <c r="J535" s="1000"/>
      <c r="K535" s="1001"/>
      <c r="L535" s="887">
        <f ca="1">IFERROR(__xludf.DUMMYFUNCTION("IMPORTRANGE(""https://docs.google.com/spreadsheets/d/1QqKyyYR6Q21VydFLVH3TRQUabQu_ym0Zz7PgGX0-kHA/edit?usp=sharing"",""แผน!GT88"")"),0)</f>
        <v>0</v>
      </c>
      <c r="M535" s="887">
        <v>0</v>
      </c>
      <c r="N535" s="887">
        <v>0</v>
      </c>
      <c r="O535" s="887">
        <f t="shared" ca="1" si="232"/>
        <v>0</v>
      </c>
      <c r="P535" s="887">
        <f t="shared" si="233"/>
        <v>0</v>
      </c>
      <c r="Q535" s="1323"/>
      <c r="R535" s="1323"/>
      <c r="S535" s="1323"/>
      <c r="T535" s="1323"/>
      <c r="U535" s="1323"/>
      <c r="V535" s="1323"/>
      <c r="W535" s="1323"/>
      <c r="X535" s="1323"/>
      <c r="Y535" s="1323"/>
      <c r="Z535" s="1323"/>
    </row>
    <row r="536" spans="1:26" ht="19.5">
      <c r="A536" s="1326"/>
      <c r="B536" s="1327"/>
      <c r="C536" s="1301" t="s">
        <v>16</v>
      </c>
      <c r="D536" s="1380" t="s">
        <v>38</v>
      </c>
      <c r="E536" s="1330"/>
      <c r="F536" s="1330"/>
      <c r="G536" s="1331"/>
      <c r="H536" s="1007"/>
      <c r="I536" s="997"/>
      <c r="J536" s="997"/>
      <c r="K536" s="998"/>
      <c r="L536" s="998"/>
      <c r="M536" s="998"/>
      <c r="N536" s="998"/>
      <c r="O536" s="998"/>
      <c r="P536" s="998"/>
      <c r="Q536" s="1302"/>
      <c r="R536" s="1302"/>
      <c r="S536" s="1302"/>
      <c r="T536" s="1302"/>
      <c r="U536" s="1302"/>
      <c r="V536" s="1302"/>
      <c r="W536" s="1302"/>
      <c r="X536" s="1302"/>
      <c r="Y536" s="1302"/>
      <c r="Z536" s="1302"/>
    </row>
    <row r="537" spans="1:26" ht="19.5">
      <c r="A537" s="1299"/>
      <c r="B537" s="1300"/>
      <c r="C537" s="1301"/>
      <c r="D537" s="1301" t="s">
        <v>228</v>
      </c>
      <c r="E537" s="1301"/>
      <c r="F537" s="1301"/>
      <c r="G537" s="1016"/>
      <c r="H537" s="622" t="s">
        <v>35</v>
      </c>
      <c r="I537" s="1019">
        <f ca="1">IFERROR(__xludf.DUMMYFUNCTION("IMPORTRANGE(""https://docs.google.com/spreadsheets/d/1QqKyyYR6Q21VydFLVH3TRQUabQu_ym0Zz7PgGX0-kHA/edit?usp=sharing"",""แผน!GU88"")"),30)</f>
        <v>30</v>
      </c>
      <c r="J537" s="1019">
        <f ca="1">IF(AND(J538=I538,J539=I539,J540=I540,J541=I541),I537,0)</f>
        <v>30</v>
      </c>
      <c r="K537" s="881">
        <f t="shared" ref="K537:K543" ca="1" si="234">IF(I537&gt;0,J537*100/I537,0)</f>
        <v>100</v>
      </c>
      <c r="L537" s="881"/>
      <c r="M537" s="881"/>
      <c r="N537" s="881"/>
      <c r="O537" s="881"/>
      <c r="P537" s="881"/>
      <c r="Q537" s="1381"/>
      <c r="R537" s="1381"/>
      <c r="S537" s="1381"/>
      <c r="T537" s="1381"/>
      <c r="U537" s="1381"/>
      <c r="V537" s="1381"/>
      <c r="W537" s="1381"/>
      <c r="X537" s="1381"/>
      <c r="Y537" s="1381"/>
      <c r="Z537" s="1381"/>
    </row>
    <row r="538" spans="1:26" ht="18.75">
      <c r="A538" s="1299"/>
      <c r="B538" s="1300"/>
      <c r="C538" s="1301"/>
      <c r="D538" s="1301"/>
      <c r="E538" s="1301" t="s">
        <v>229</v>
      </c>
      <c r="F538" s="1301"/>
      <c r="G538" s="1016"/>
      <c r="H538" s="622" t="s">
        <v>35</v>
      </c>
      <c r="I538" s="880">
        <f ca="1">IFERROR(__xludf.DUMMYFUNCTION("IMPORTRANGE(""https://docs.google.com/spreadsheets/d/1QqKyyYR6Q21VydFLVH3TRQUabQu_ym0Zz7PgGX0-kHA/edit?usp=sharing"",""แผน!GV88"")"),30)</f>
        <v>30</v>
      </c>
      <c r="J538" s="1012">
        <v>30</v>
      </c>
      <c r="K538" s="881">
        <f t="shared" ca="1" si="234"/>
        <v>100</v>
      </c>
      <c r="L538" s="881"/>
      <c r="M538" s="881"/>
      <c r="N538" s="881"/>
      <c r="O538" s="881"/>
      <c r="P538" s="881"/>
      <c r="Q538" s="1381"/>
      <c r="R538" s="1381"/>
      <c r="S538" s="1381"/>
      <c r="T538" s="1381"/>
      <c r="U538" s="1381"/>
      <c r="V538" s="1381"/>
      <c r="W538" s="1381"/>
      <c r="X538" s="1381"/>
      <c r="Y538" s="1381"/>
      <c r="Z538" s="1381"/>
    </row>
    <row r="539" spans="1:26" ht="18.75">
      <c r="A539" s="1299"/>
      <c r="B539" s="1300"/>
      <c r="C539" s="1301"/>
      <c r="D539" s="1301"/>
      <c r="E539" s="1301" t="s">
        <v>230</v>
      </c>
      <c r="F539" s="1301"/>
      <c r="G539" s="1016"/>
      <c r="H539" s="622" t="s">
        <v>35</v>
      </c>
      <c r="I539" s="880">
        <f ca="1">IFERROR(__xludf.DUMMYFUNCTION("IMPORTRANGE(""https://docs.google.com/spreadsheets/d/1QqKyyYR6Q21VydFLVH3TRQUabQu_ym0Zz7PgGX0-kHA/edit?usp=sharing"",""แผน!GW88"")"),0)</f>
        <v>0</v>
      </c>
      <c r="J539" s="1012">
        <v>0</v>
      </c>
      <c r="K539" s="881">
        <f t="shared" ca="1" si="234"/>
        <v>0</v>
      </c>
      <c r="L539" s="881"/>
      <c r="M539" s="881"/>
      <c r="N539" s="881"/>
      <c r="O539" s="881"/>
      <c r="P539" s="881"/>
      <c r="Q539" s="1381"/>
      <c r="R539" s="1381"/>
      <c r="S539" s="1381"/>
      <c r="T539" s="1381"/>
      <c r="U539" s="1381"/>
      <c r="V539" s="1381"/>
      <c r="W539" s="1381"/>
      <c r="X539" s="1381"/>
      <c r="Y539" s="1381"/>
      <c r="Z539" s="1381"/>
    </row>
    <row r="540" spans="1:26" ht="18.75">
      <c r="A540" s="1299"/>
      <c r="B540" s="1300"/>
      <c r="C540" s="1301"/>
      <c r="D540" s="1301"/>
      <c r="E540" s="1301" t="s">
        <v>231</v>
      </c>
      <c r="F540" s="1301"/>
      <c r="G540" s="1016"/>
      <c r="H540" s="622" t="s">
        <v>35</v>
      </c>
      <c r="I540" s="880">
        <f ca="1">IFERROR(__xludf.DUMMYFUNCTION("IMPORTRANGE(""https://docs.google.com/spreadsheets/d/1QqKyyYR6Q21VydFLVH3TRQUabQu_ym0Zz7PgGX0-kHA/edit?usp=sharing"",""แผน!GX88"")"),0)</f>
        <v>0</v>
      </c>
      <c r="J540" s="1012">
        <v>0</v>
      </c>
      <c r="K540" s="881">
        <f t="shared" ca="1" si="234"/>
        <v>0</v>
      </c>
      <c r="L540" s="881"/>
      <c r="M540" s="881"/>
      <c r="N540" s="881"/>
      <c r="O540" s="881"/>
      <c r="P540" s="881"/>
      <c r="Q540" s="1381"/>
      <c r="R540" s="1381"/>
      <c r="S540" s="1381"/>
      <c r="T540" s="1381"/>
      <c r="U540" s="1381"/>
      <c r="V540" s="1381"/>
      <c r="W540" s="1381"/>
      <c r="X540" s="1381"/>
      <c r="Y540" s="1381"/>
      <c r="Z540" s="1381"/>
    </row>
    <row r="541" spans="1:26" ht="18.75">
      <c r="A541" s="1299"/>
      <c r="B541" s="1300"/>
      <c r="C541" s="1301"/>
      <c r="D541" s="1301"/>
      <c r="E541" s="1382" t="s">
        <v>232</v>
      </c>
      <c r="F541" s="1301"/>
      <c r="G541" s="1016"/>
      <c r="H541" s="622" t="s">
        <v>35</v>
      </c>
      <c r="I541" s="880">
        <f ca="1">IFERROR(__xludf.DUMMYFUNCTION("IMPORTRANGE(""https://docs.google.com/spreadsheets/d/1QqKyyYR6Q21VydFLVH3TRQUabQu_ym0Zz7PgGX0-kHA/edit?usp=sharing"",""แผน!GY88"")"),30)</f>
        <v>30</v>
      </c>
      <c r="J541" s="1012">
        <v>30</v>
      </c>
      <c r="K541" s="881">
        <f t="shared" ca="1" si="234"/>
        <v>100</v>
      </c>
      <c r="L541" s="881"/>
      <c r="M541" s="881"/>
      <c r="N541" s="881"/>
      <c r="O541" s="881"/>
      <c r="P541" s="881"/>
      <c r="Q541" s="1381"/>
      <c r="R541" s="1381"/>
      <c r="S541" s="1381"/>
      <c r="T541" s="1381"/>
      <c r="U541" s="1381"/>
      <c r="V541" s="1381"/>
      <c r="W541" s="1381"/>
      <c r="X541" s="1381"/>
      <c r="Y541" s="1381"/>
      <c r="Z541" s="1381"/>
    </row>
    <row r="542" spans="1:26" ht="18.75">
      <c r="A542" s="1299"/>
      <c r="B542" s="1300"/>
      <c r="C542" s="1301"/>
      <c r="D542" s="1301" t="s">
        <v>59</v>
      </c>
      <c r="E542" s="1301"/>
      <c r="F542" s="1301"/>
      <c r="G542" s="1016"/>
      <c r="H542" s="622" t="s">
        <v>35</v>
      </c>
      <c r="I542" s="880">
        <f ca="1">IFERROR(__xludf.DUMMYFUNCTION("IMPORTRANGE(""https://docs.google.com/spreadsheets/d/1QqKyyYR6Q21VydFLVH3TRQUabQu_ym0Zz7PgGX0-kHA/edit?usp=sharing"",""แผน!GZ88"")"),30)</f>
        <v>30</v>
      </c>
      <c r="J542" s="1012">
        <v>30</v>
      </c>
      <c r="K542" s="881">
        <f t="shared" ca="1" si="234"/>
        <v>100</v>
      </c>
      <c r="L542" s="881"/>
      <c r="M542" s="881"/>
      <c r="N542" s="881"/>
      <c r="O542" s="881"/>
      <c r="P542" s="881"/>
      <c r="Q542" s="1381"/>
      <c r="R542" s="1381"/>
      <c r="S542" s="1381"/>
      <c r="T542" s="1381"/>
      <c r="U542" s="1381"/>
      <c r="V542" s="1381"/>
      <c r="W542" s="1381"/>
      <c r="X542" s="1381"/>
      <c r="Y542" s="1381"/>
      <c r="Z542" s="1381"/>
    </row>
    <row r="543" spans="1:26" ht="19.5">
      <c r="A543" s="662">
        <v>6</v>
      </c>
      <c r="B543" s="1383" t="s">
        <v>233</v>
      </c>
      <c r="C543" s="1369"/>
      <c r="D543" s="1369"/>
      <c r="E543" s="1369"/>
      <c r="F543" s="1369"/>
      <c r="G543" s="1370"/>
      <c r="H543" s="684" t="s">
        <v>46</v>
      </c>
      <c r="I543" s="1384">
        <f t="shared" ref="I543:J543" ca="1" si="235">I559</f>
        <v>89214</v>
      </c>
      <c r="J543" s="1384">
        <f t="shared" si="235"/>
        <v>89216</v>
      </c>
      <c r="K543" s="1385">
        <f t="shared" ca="1" si="234"/>
        <v>100.00224180061426</v>
      </c>
      <c r="L543" s="1372"/>
      <c r="M543" s="1372"/>
      <c r="N543" s="1372"/>
      <c r="O543" s="1372"/>
      <c r="P543" s="1372"/>
      <c r="Q543" s="1302"/>
      <c r="R543" s="1302"/>
      <c r="S543" s="1302"/>
      <c r="T543" s="1302"/>
      <c r="U543" s="1302"/>
      <c r="V543" s="1302"/>
      <c r="W543" s="1302"/>
      <c r="X543" s="1302"/>
      <c r="Y543" s="1302"/>
      <c r="Z543" s="1302"/>
    </row>
    <row r="544" spans="1:26" ht="19.5">
      <c r="A544" s="1386"/>
      <c r="B544" s="1387"/>
      <c r="C544" s="1387" t="s">
        <v>16</v>
      </c>
      <c r="D544" s="1388" t="s">
        <v>17</v>
      </c>
      <c r="E544" s="846"/>
      <c r="F544" s="846"/>
      <c r="G544" s="1389"/>
      <c r="H544" s="275" t="s">
        <v>12</v>
      </c>
      <c r="I544" s="990"/>
      <c r="J544" s="990"/>
      <c r="K544" s="991"/>
      <c r="L544" s="992">
        <f t="shared" ref="L544:N544" ca="1" si="236">L545+L546</f>
        <v>780665</v>
      </c>
      <c r="M544" s="992">
        <f t="shared" ca="1" si="236"/>
        <v>780665</v>
      </c>
      <c r="N544" s="992">
        <f t="shared" si="236"/>
        <v>433231.38</v>
      </c>
      <c r="O544" s="992">
        <f t="shared" ref="O544:O549" ca="1" si="237">IF(L544&gt;0,N544*100/L544,0)</f>
        <v>55.49517142436256</v>
      </c>
      <c r="P544" s="992">
        <f t="shared" ref="P544:P549" ca="1" si="238">IF(M544&gt;0,N544*100/M544,0)</f>
        <v>55.49517142436256</v>
      </c>
      <c r="Q544" s="1302"/>
      <c r="R544" s="1302"/>
      <c r="S544" s="1302"/>
      <c r="T544" s="1302"/>
      <c r="U544" s="1302"/>
      <c r="V544" s="1302"/>
      <c r="W544" s="1302"/>
      <c r="X544" s="1302"/>
      <c r="Y544" s="1302"/>
      <c r="Z544" s="1302"/>
    </row>
    <row r="545" spans="1:26" ht="18.75" hidden="1">
      <c r="A545" s="1319"/>
      <c r="B545" s="1320"/>
      <c r="C545" s="1320"/>
      <c r="D545" s="1320"/>
      <c r="E545" s="1320" t="s">
        <v>185</v>
      </c>
      <c r="F545" s="1320"/>
      <c r="G545" s="1322"/>
      <c r="H545" s="165" t="s">
        <v>12</v>
      </c>
      <c r="I545" s="886"/>
      <c r="J545" s="886"/>
      <c r="K545" s="887"/>
      <c r="L545" s="887">
        <f t="shared" ref="L545:L546" si="239">L548+L556</f>
        <v>0</v>
      </c>
      <c r="M545" s="887">
        <f t="shared" ref="M545:N546" si="240">M548+M555</f>
        <v>0</v>
      </c>
      <c r="N545" s="887">
        <f t="shared" si="240"/>
        <v>0</v>
      </c>
      <c r="O545" s="887">
        <f t="shared" si="237"/>
        <v>0</v>
      </c>
      <c r="P545" s="887">
        <f t="shared" si="238"/>
        <v>0</v>
      </c>
      <c r="Q545" s="1323"/>
      <c r="R545" s="1323"/>
      <c r="S545" s="1323"/>
      <c r="T545" s="1323"/>
      <c r="U545" s="1323"/>
      <c r="V545" s="1323"/>
      <c r="W545" s="1323"/>
      <c r="X545" s="1323"/>
      <c r="Y545" s="1323"/>
      <c r="Z545" s="1323"/>
    </row>
    <row r="546" spans="1:26" ht="18.75" hidden="1">
      <c r="A546" s="1319"/>
      <c r="B546" s="1324"/>
      <c r="C546" s="1320"/>
      <c r="D546" s="1320"/>
      <c r="E546" s="1320" t="s">
        <v>186</v>
      </c>
      <c r="F546" s="1320"/>
      <c r="G546" s="1322"/>
      <c r="H546" s="165" t="s">
        <v>12</v>
      </c>
      <c r="I546" s="886"/>
      <c r="J546" s="886"/>
      <c r="K546" s="887"/>
      <c r="L546" s="887">
        <f t="shared" ca="1" si="239"/>
        <v>780665</v>
      </c>
      <c r="M546" s="887">
        <f t="shared" ca="1" si="240"/>
        <v>780665</v>
      </c>
      <c r="N546" s="887">
        <f t="shared" si="240"/>
        <v>433231.38</v>
      </c>
      <c r="O546" s="887">
        <f t="shared" ca="1" si="237"/>
        <v>55.49517142436256</v>
      </c>
      <c r="P546" s="887">
        <f t="shared" ca="1" si="238"/>
        <v>55.49517142436256</v>
      </c>
      <c r="Q546" s="1323"/>
      <c r="R546" s="1323"/>
      <c r="S546" s="1323"/>
      <c r="T546" s="1323"/>
      <c r="U546" s="1323"/>
      <c r="V546" s="1323"/>
      <c r="W546" s="1323"/>
      <c r="X546" s="1323"/>
      <c r="Y546" s="1323"/>
      <c r="Z546" s="1323"/>
    </row>
    <row r="547" spans="1:26" ht="18.75">
      <c r="A547" s="1317"/>
      <c r="B547" s="1300"/>
      <c r="C547" s="1301"/>
      <c r="D547" s="1325" t="s">
        <v>20</v>
      </c>
      <c r="E547" s="1301"/>
      <c r="F547" s="1301"/>
      <c r="G547" s="1016"/>
      <c r="H547" s="161" t="s">
        <v>12</v>
      </c>
      <c r="I547" s="997"/>
      <c r="J547" s="997"/>
      <c r="K547" s="998"/>
      <c r="L547" s="881">
        <f t="shared" ref="L547:N547" ca="1" si="241">L548+L549</f>
        <v>780665</v>
      </c>
      <c r="M547" s="881">
        <f t="shared" ca="1" si="241"/>
        <v>780665</v>
      </c>
      <c r="N547" s="881">
        <f t="shared" si="241"/>
        <v>433231.38</v>
      </c>
      <c r="O547" s="881">
        <f t="shared" ca="1" si="237"/>
        <v>55.49517142436256</v>
      </c>
      <c r="P547" s="881">
        <f t="shared" ca="1" si="238"/>
        <v>55.49517142436256</v>
      </c>
      <c r="Q547" s="1302"/>
      <c r="R547" s="1302"/>
      <c r="S547" s="1302"/>
      <c r="T547" s="1302"/>
      <c r="U547" s="1302"/>
      <c r="V547" s="1302"/>
      <c r="W547" s="1302"/>
      <c r="X547" s="1302"/>
      <c r="Y547" s="1302"/>
      <c r="Z547" s="1302"/>
    </row>
    <row r="548" spans="1:26" ht="18.75" hidden="1">
      <c r="A548" s="1319"/>
      <c r="B548" s="1324"/>
      <c r="C548" s="1320"/>
      <c r="D548" s="1321"/>
      <c r="E548" s="1320" t="s">
        <v>185</v>
      </c>
      <c r="F548" s="1320"/>
      <c r="G548" s="1322"/>
      <c r="H548" s="165" t="s">
        <v>12</v>
      </c>
      <c r="I548" s="886"/>
      <c r="J548" s="886"/>
      <c r="K548" s="887"/>
      <c r="L548" s="887">
        <v>0</v>
      </c>
      <c r="M548" s="887">
        <v>0</v>
      </c>
      <c r="N548" s="887">
        <v>0</v>
      </c>
      <c r="O548" s="887">
        <f t="shared" si="237"/>
        <v>0</v>
      </c>
      <c r="P548" s="887">
        <f t="shared" si="238"/>
        <v>0</v>
      </c>
      <c r="Q548" s="1323"/>
      <c r="R548" s="1323"/>
      <c r="S548" s="1323"/>
      <c r="T548" s="1323"/>
      <c r="U548" s="1323"/>
      <c r="V548" s="1323"/>
      <c r="W548" s="1323"/>
      <c r="X548" s="1323"/>
      <c r="Y548" s="1323"/>
      <c r="Z548" s="1323"/>
    </row>
    <row r="549" spans="1:26" ht="18.75" hidden="1">
      <c r="A549" s="1319"/>
      <c r="B549" s="1324"/>
      <c r="C549" s="1320"/>
      <c r="D549" s="1321"/>
      <c r="E549" s="1320" t="s">
        <v>186</v>
      </c>
      <c r="F549" s="1320"/>
      <c r="G549" s="1322"/>
      <c r="H549" s="165" t="s">
        <v>12</v>
      </c>
      <c r="I549" s="886"/>
      <c r="J549" s="886"/>
      <c r="K549" s="887"/>
      <c r="L549" s="887">
        <f ca="1">IFERROR(__xludf.DUMMYFUNCTION("IMPORTRANGE(""https://docs.google.com/spreadsheets/d/1QqKyyYR6Q21VydFLVH3TRQUabQu_ym0Zz7PgGX0-kHA/edit?usp=sharing"",""แผน!HB88"")"),780665)</f>
        <v>780665</v>
      </c>
      <c r="M549" s="887">
        <f ca="1">L549</f>
        <v>780665</v>
      </c>
      <c r="N549" s="887">
        <f>N550+N551+N552+N553+N554</f>
        <v>433231.38</v>
      </c>
      <c r="O549" s="887">
        <f t="shared" ca="1" si="237"/>
        <v>55.49517142436256</v>
      </c>
      <c r="P549" s="887">
        <f t="shared" ca="1" si="238"/>
        <v>55.49517142436256</v>
      </c>
      <c r="Q549" s="1323"/>
      <c r="R549" s="1323"/>
      <c r="S549" s="1323"/>
      <c r="T549" s="1323"/>
      <c r="U549" s="1323"/>
      <c r="V549" s="1323"/>
      <c r="W549" s="1323"/>
      <c r="X549" s="1323"/>
      <c r="Y549" s="1323"/>
      <c r="Z549" s="1323"/>
    </row>
    <row r="550" spans="1:26" ht="18.75">
      <c r="A550" s="1299"/>
      <c r="B550" s="1300"/>
      <c r="C550" s="1301"/>
      <c r="D550" s="1301"/>
      <c r="E550" s="1301"/>
      <c r="F550" s="1301" t="s">
        <v>187</v>
      </c>
      <c r="G550" s="1016"/>
      <c r="H550" s="161" t="s">
        <v>12</v>
      </c>
      <c r="I550" s="880"/>
      <c r="J550" s="880"/>
      <c r="K550" s="881"/>
      <c r="L550" s="881"/>
      <c r="M550" s="881"/>
      <c r="N550" s="1085">
        <v>0</v>
      </c>
      <c r="O550" s="881"/>
      <c r="P550" s="881"/>
      <c r="Q550" s="1302"/>
      <c r="R550" s="1302"/>
      <c r="S550" s="1302"/>
      <c r="T550" s="1302"/>
      <c r="U550" s="1302"/>
      <c r="V550" s="1302"/>
      <c r="W550" s="1302"/>
      <c r="X550" s="1302"/>
      <c r="Y550" s="1302"/>
      <c r="Z550" s="1302"/>
    </row>
    <row r="551" spans="1:26" ht="18.75">
      <c r="A551" s="1299"/>
      <c r="B551" s="1300"/>
      <c r="C551" s="1300"/>
      <c r="D551" s="1300"/>
      <c r="E551" s="1301"/>
      <c r="F551" s="1301" t="s">
        <v>188</v>
      </c>
      <c r="G551" s="1016"/>
      <c r="H551" s="161" t="s">
        <v>12</v>
      </c>
      <c r="I551" s="880"/>
      <c r="J551" s="880"/>
      <c r="K551" s="881"/>
      <c r="L551" s="881"/>
      <c r="M551" s="881"/>
      <c r="N551" s="1085">
        <v>0</v>
      </c>
      <c r="O551" s="881"/>
      <c r="P551" s="881"/>
      <c r="Q551" s="1302"/>
      <c r="R551" s="1302"/>
      <c r="S551" s="1302"/>
      <c r="T551" s="1302"/>
      <c r="U551" s="1302"/>
      <c r="V551" s="1302"/>
      <c r="W551" s="1302"/>
      <c r="X551" s="1302"/>
      <c r="Y551" s="1302"/>
      <c r="Z551" s="1302"/>
    </row>
    <row r="552" spans="1:26" ht="18.75">
      <c r="A552" s="1299"/>
      <c r="B552" s="1300"/>
      <c r="C552" s="1301"/>
      <c r="D552" s="1301"/>
      <c r="E552" s="1301"/>
      <c r="F552" s="1301" t="s">
        <v>189</v>
      </c>
      <c r="G552" s="1016"/>
      <c r="H552" s="161" t="s">
        <v>12</v>
      </c>
      <c r="I552" s="880"/>
      <c r="J552" s="880"/>
      <c r="K552" s="881"/>
      <c r="L552" s="881"/>
      <c r="M552" s="881"/>
      <c r="N552" s="1085">
        <f>24266.68+13000+13000+13000</f>
        <v>63266.68</v>
      </c>
      <c r="O552" s="881"/>
      <c r="P552" s="881"/>
      <c r="Q552" s="1302"/>
      <c r="R552" s="1302"/>
      <c r="S552" s="1302"/>
      <c r="T552" s="1302"/>
      <c r="U552" s="1302"/>
      <c r="V552" s="1302"/>
      <c r="W552" s="1302"/>
      <c r="X552" s="1302"/>
      <c r="Y552" s="1302"/>
      <c r="Z552" s="1302"/>
    </row>
    <row r="553" spans="1:26" ht="18.75">
      <c r="A553" s="1299"/>
      <c r="B553" s="1300"/>
      <c r="C553" s="1300"/>
      <c r="D553" s="1300"/>
      <c r="E553" s="1301"/>
      <c r="F553" s="1301" t="s">
        <v>190</v>
      </c>
      <c r="G553" s="1016"/>
      <c r="H553" s="161" t="s">
        <v>12</v>
      </c>
      <c r="I553" s="880"/>
      <c r="J553" s="880"/>
      <c r="K553" s="881"/>
      <c r="L553" s="881"/>
      <c r="M553" s="881"/>
      <c r="N553" s="1085">
        <f>32853.25+65260+2498.45+7850+86672+7970+316+1365+14430+240+15375+3950+1780+26020+53390+14635+35360</f>
        <v>369964.7</v>
      </c>
      <c r="O553" s="881"/>
      <c r="P553" s="881"/>
      <c r="Q553" s="1302"/>
      <c r="R553" s="1302"/>
      <c r="S553" s="1302"/>
      <c r="T553" s="1302"/>
      <c r="U553" s="1302"/>
      <c r="V553" s="1302"/>
      <c r="W553" s="1302"/>
      <c r="X553" s="1302"/>
      <c r="Y553" s="1302"/>
      <c r="Z553" s="1302"/>
    </row>
    <row r="554" spans="1:26" ht="18.75">
      <c r="A554" s="1299"/>
      <c r="B554" s="1300"/>
      <c r="C554" s="1300"/>
      <c r="D554" s="1300"/>
      <c r="E554" s="1301"/>
      <c r="F554" s="1301" t="s">
        <v>234</v>
      </c>
      <c r="G554" s="1016"/>
      <c r="H554" s="161" t="s">
        <v>12</v>
      </c>
      <c r="I554" s="880"/>
      <c r="J554" s="880"/>
      <c r="K554" s="881"/>
      <c r="L554" s="881"/>
      <c r="M554" s="881"/>
      <c r="N554" s="1085">
        <v>0</v>
      </c>
      <c r="O554" s="881"/>
      <c r="P554" s="881"/>
      <c r="Q554" s="1302"/>
      <c r="R554" s="1302"/>
      <c r="S554" s="1302"/>
      <c r="T554" s="1302"/>
      <c r="U554" s="1302"/>
      <c r="V554" s="1302"/>
      <c r="W554" s="1302"/>
      <c r="X554" s="1302"/>
      <c r="Y554" s="1302"/>
      <c r="Z554" s="1302"/>
    </row>
    <row r="555" spans="1:26" ht="18.75">
      <c r="A555" s="1317"/>
      <c r="B555" s="1300"/>
      <c r="C555" s="1300"/>
      <c r="D555" s="1325" t="s">
        <v>21</v>
      </c>
      <c r="E555" s="1301"/>
      <c r="F555" s="1301"/>
      <c r="G555" s="1016"/>
      <c r="H555" s="168" t="s">
        <v>12</v>
      </c>
      <c r="I555" s="997"/>
      <c r="J555" s="997"/>
      <c r="K555" s="998"/>
      <c r="L555" s="881">
        <f t="shared" ref="L555:N555" ca="1" si="242">L556+L557</f>
        <v>0</v>
      </c>
      <c r="M555" s="881">
        <f t="shared" si="242"/>
        <v>0</v>
      </c>
      <c r="N555" s="881">
        <f t="shared" si="242"/>
        <v>0</v>
      </c>
      <c r="O555" s="881">
        <f t="shared" ref="O555:O557" ca="1" si="243">IF(L555&gt;0,N555*100/L555,0)</f>
        <v>0</v>
      </c>
      <c r="P555" s="881">
        <f t="shared" ref="P555:P557" si="244">IF(M555&gt;0,N555*100/M555,0)</f>
        <v>0</v>
      </c>
      <c r="Q555" s="1302"/>
      <c r="R555" s="1302"/>
      <c r="S555" s="1302"/>
      <c r="T555" s="1302"/>
      <c r="U555" s="1302"/>
      <c r="V555" s="1302"/>
      <c r="W555" s="1302"/>
      <c r="X555" s="1302"/>
      <c r="Y555" s="1302"/>
      <c r="Z555" s="1302"/>
    </row>
    <row r="556" spans="1:26" ht="18.75" hidden="1">
      <c r="A556" s="1319"/>
      <c r="B556" s="1324"/>
      <c r="C556" s="1324"/>
      <c r="D556" s="1320"/>
      <c r="E556" s="1320" t="s">
        <v>18</v>
      </c>
      <c r="F556" s="1320"/>
      <c r="G556" s="1322"/>
      <c r="H556" s="165" t="s">
        <v>12</v>
      </c>
      <c r="I556" s="1000"/>
      <c r="J556" s="1000"/>
      <c r="K556" s="1001"/>
      <c r="L556" s="887">
        <v>0</v>
      </c>
      <c r="M556" s="887">
        <v>0</v>
      </c>
      <c r="N556" s="887">
        <v>0</v>
      </c>
      <c r="O556" s="887">
        <f t="shared" si="243"/>
        <v>0</v>
      </c>
      <c r="P556" s="887">
        <f t="shared" si="244"/>
        <v>0</v>
      </c>
      <c r="Q556" s="1323"/>
      <c r="R556" s="1323"/>
      <c r="S556" s="1323"/>
      <c r="T556" s="1323"/>
      <c r="U556" s="1323"/>
      <c r="V556" s="1323"/>
      <c r="W556" s="1323"/>
      <c r="X556" s="1323"/>
      <c r="Y556" s="1323"/>
      <c r="Z556" s="1323"/>
    </row>
    <row r="557" spans="1:26" ht="18.75" hidden="1">
      <c r="A557" s="1319"/>
      <c r="B557" s="1324"/>
      <c r="C557" s="1324"/>
      <c r="D557" s="1320"/>
      <c r="E557" s="1320" t="s">
        <v>19</v>
      </c>
      <c r="F557" s="1320"/>
      <c r="G557" s="1322"/>
      <c r="H557" s="169" t="s">
        <v>12</v>
      </c>
      <c r="I557" s="1000"/>
      <c r="J557" s="1000"/>
      <c r="K557" s="1001"/>
      <c r="L557" s="887">
        <f ca="1">IFERROR(__xludf.DUMMYFUNCTION("IMPORTRANGE(""https://docs.google.com/spreadsheets/d/1QqKyyYR6Q21VydFLVH3TRQUabQu_ym0Zz7PgGX0-kHA/edit?usp=sharing"",""แผน!HF88"")"),0)</f>
        <v>0</v>
      </c>
      <c r="M557" s="887">
        <v>0</v>
      </c>
      <c r="N557" s="887">
        <v>0</v>
      </c>
      <c r="O557" s="887">
        <f t="shared" ca="1" si="243"/>
        <v>0</v>
      </c>
      <c r="P557" s="887">
        <f t="shared" si="244"/>
        <v>0</v>
      </c>
      <c r="Q557" s="1323"/>
      <c r="R557" s="1323"/>
      <c r="S557" s="1323"/>
      <c r="T557" s="1323"/>
      <c r="U557" s="1323"/>
      <c r="V557" s="1323"/>
      <c r="W557" s="1323"/>
      <c r="X557" s="1323"/>
      <c r="Y557" s="1323"/>
      <c r="Z557" s="1323"/>
    </row>
    <row r="558" spans="1:26" ht="19.5">
      <c r="A558" s="1326"/>
      <c r="B558" s="1327"/>
      <c r="C558" s="1300" t="s">
        <v>16</v>
      </c>
      <c r="D558" s="1380" t="s">
        <v>38</v>
      </c>
      <c r="E558" s="1330"/>
      <c r="F558" s="1330"/>
      <c r="G558" s="1331"/>
      <c r="H558" s="1007"/>
      <c r="I558" s="997"/>
      <c r="J558" s="997"/>
      <c r="K558" s="998"/>
      <c r="L558" s="998"/>
      <c r="M558" s="998"/>
      <c r="N558" s="998"/>
      <c r="O558" s="998"/>
      <c r="P558" s="998"/>
      <c r="Q558" s="1302"/>
      <c r="R558" s="1302"/>
      <c r="S558" s="1302"/>
      <c r="T558" s="1302"/>
      <c r="U558" s="1302"/>
      <c r="V558" s="1302"/>
      <c r="W558" s="1302"/>
      <c r="X558" s="1302"/>
      <c r="Y558" s="1302"/>
      <c r="Z558" s="1302"/>
    </row>
    <row r="559" spans="1:26" ht="19.5">
      <c r="A559" s="1390"/>
      <c r="B559" s="1391" t="s">
        <v>235</v>
      </c>
      <c r="C559" s="1392"/>
      <c r="D559" s="1392"/>
      <c r="E559" s="1375"/>
      <c r="F559" s="1375"/>
      <c r="G559" s="1376"/>
      <c r="H559" s="693" t="s">
        <v>46</v>
      </c>
      <c r="I559" s="1377">
        <f t="shared" ref="I559:J559" ca="1" si="245">I576</f>
        <v>89214</v>
      </c>
      <c r="J559" s="1377">
        <f t="shared" si="245"/>
        <v>89216</v>
      </c>
      <c r="K559" s="1378">
        <f t="shared" ref="K559:K561" ca="1" si="246">IF(I559&gt;0,J559*100/I559,0)</f>
        <v>100.00224180061426</v>
      </c>
      <c r="L559" s="1379"/>
      <c r="M559" s="1379"/>
      <c r="N559" s="1379"/>
      <c r="O559" s="1379"/>
      <c r="P559" s="1379"/>
      <c r="Q559" s="1302"/>
      <c r="R559" s="1302"/>
      <c r="S559" s="1302"/>
      <c r="T559" s="1302"/>
      <c r="U559" s="1302"/>
      <c r="V559" s="1302"/>
      <c r="W559" s="1302"/>
      <c r="X559" s="1302"/>
      <c r="Y559" s="1302"/>
      <c r="Z559" s="1302"/>
    </row>
    <row r="560" spans="1:26" ht="19.5">
      <c r="A560" s="1326"/>
      <c r="B560" s="1327"/>
      <c r="C560" s="1336" t="s">
        <v>236</v>
      </c>
      <c r="D560" s="1327"/>
      <c r="E560" s="1014"/>
      <c r="F560" s="1014"/>
      <c r="G560" s="1007"/>
      <c r="H560" s="765" t="s">
        <v>46</v>
      </c>
      <c r="I560" s="1018">
        <f ca="1">IFERROR(__xludf.DUMMYFUNCTION("IMPORTRANGE(""https://docs.google.com/spreadsheets/d/1QqKyyYR6Q21VydFLVH3TRQUabQu_ym0Zz7PgGX0-kHA/edit?usp=sharing"",""แผน!HH88"")"),89214)</f>
        <v>89214</v>
      </c>
      <c r="J560" s="1018">
        <f t="shared" ref="J560:J561" si="247">J562+J564+J566</f>
        <v>89216</v>
      </c>
      <c r="K560" s="1162">
        <f t="shared" ca="1" si="246"/>
        <v>100.00224180061426</v>
      </c>
      <c r="L560" s="998"/>
      <c r="M560" s="998"/>
      <c r="N560" s="998"/>
      <c r="O560" s="998"/>
      <c r="P560" s="998"/>
      <c r="Q560" s="1302"/>
      <c r="R560" s="1302"/>
      <c r="S560" s="1302"/>
      <c r="T560" s="1302"/>
      <c r="U560" s="1302"/>
      <c r="V560" s="1302"/>
      <c r="W560" s="1302"/>
      <c r="X560" s="1302"/>
      <c r="Y560" s="1302"/>
      <c r="Z560" s="1302"/>
    </row>
    <row r="561" spans="1:26" ht="19.5">
      <c r="A561" s="1326"/>
      <c r="B561" s="1327"/>
      <c r="C561" s="1327"/>
      <c r="D561" s="1014"/>
      <c r="E561" s="1014"/>
      <c r="F561" s="1014"/>
      <c r="G561" s="1007"/>
      <c r="H561" s="765" t="s">
        <v>34</v>
      </c>
      <c r="I561" s="1018">
        <f ca="1">IFERROR(__xludf.DUMMYFUNCTION("IMPORTRANGE(""https://docs.google.com/spreadsheets/d/1QqKyyYR6Q21VydFLVH3TRQUabQu_ym0Zz7PgGX0-kHA/edit?usp=sharing"",""แผน!HG88"")"),7593)</f>
        <v>7593</v>
      </c>
      <c r="J561" s="1018">
        <f t="shared" si="247"/>
        <v>7593</v>
      </c>
      <c r="K561" s="1162">
        <f t="shared" ca="1" si="246"/>
        <v>100</v>
      </c>
      <c r="L561" s="998"/>
      <c r="M561" s="998"/>
      <c r="N561" s="998"/>
      <c r="O561" s="998"/>
      <c r="P561" s="998"/>
      <c r="Q561" s="1302"/>
      <c r="R561" s="1302"/>
      <c r="S561" s="1302"/>
      <c r="T561" s="1302"/>
      <c r="U561" s="1302"/>
      <c r="V561" s="1302"/>
      <c r="W561" s="1302"/>
      <c r="X561" s="1302"/>
      <c r="Y561" s="1302"/>
      <c r="Z561" s="1302"/>
    </row>
    <row r="562" spans="1:26" ht="18.75">
      <c r="A562" s="1326"/>
      <c r="B562" s="1327"/>
      <c r="C562" s="1327"/>
      <c r="D562" s="1014" t="s">
        <v>237</v>
      </c>
      <c r="E562" s="1014"/>
      <c r="F562" s="1014"/>
      <c r="G562" s="1007"/>
      <c r="H562" s="762" t="s">
        <v>46</v>
      </c>
      <c r="I562" s="997"/>
      <c r="J562" s="1012">
        <v>79903</v>
      </c>
      <c r="K562" s="998"/>
      <c r="L562" s="998"/>
      <c r="M562" s="998"/>
      <c r="N562" s="998"/>
      <c r="O562" s="998"/>
      <c r="P562" s="998"/>
      <c r="Q562" s="1302"/>
      <c r="R562" s="1302"/>
      <c r="S562" s="1302"/>
      <c r="T562" s="1302"/>
      <c r="U562" s="1302"/>
      <c r="V562" s="1302"/>
      <c r="W562" s="1302"/>
      <c r="X562" s="1302"/>
      <c r="Y562" s="1302"/>
      <c r="Z562" s="1302"/>
    </row>
    <row r="563" spans="1:26" ht="18.75">
      <c r="A563" s="1326"/>
      <c r="B563" s="1327"/>
      <c r="C563" s="1327"/>
      <c r="D563" s="1327"/>
      <c r="E563" s="1014"/>
      <c r="F563" s="1014"/>
      <c r="G563" s="1007"/>
      <c r="H563" s="762" t="s">
        <v>34</v>
      </c>
      <c r="I563" s="997"/>
      <c r="J563" s="1012">
        <v>6728</v>
      </c>
      <c r="K563" s="998"/>
      <c r="L563" s="998"/>
      <c r="M563" s="998"/>
      <c r="N563" s="998"/>
      <c r="O563" s="998"/>
      <c r="P563" s="998"/>
      <c r="Q563" s="1302"/>
      <c r="R563" s="1302"/>
      <c r="S563" s="1302"/>
      <c r="T563" s="1302"/>
      <c r="U563" s="1302"/>
      <c r="V563" s="1302"/>
      <c r="W563" s="1302"/>
      <c r="X563" s="1302"/>
      <c r="Y563" s="1302"/>
      <c r="Z563" s="1302"/>
    </row>
    <row r="564" spans="1:26" ht="18.75">
      <c r="A564" s="1326"/>
      <c r="B564" s="1327"/>
      <c r="C564" s="1327"/>
      <c r="D564" s="1014" t="s">
        <v>238</v>
      </c>
      <c r="E564" s="1014"/>
      <c r="F564" s="1014"/>
      <c r="G564" s="1007"/>
      <c r="H564" s="762" t="s">
        <v>46</v>
      </c>
      <c r="I564" s="997"/>
      <c r="J564" s="1012">
        <v>8439</v>
      </c>
      <c r="K564" s="998"/>
      <c r="L564" s="998"/>
      <c r="M564" s="998"/>
      <c r="N564" s="998"/>
      <c r="O564" s="998"/>
      <c r="P564" s="998"/>
      <c r="Q564" s="1302"/>
      <c r="R564" s="1302"/>
      <c r="S564" s="1302"/>
      <c r="T564" s="1302"/>
      <c r="U564" s="1302"/>
      <c r="V564" s="1302"/>
      <c r="W564" s="1302"/>
      <c r="X564" s="1302"/>
      <c r="Y564" s="1302"/>
      <c r="Z564" s="1302"/>
    </row>
    <row r="565" spans="1:26" ht="18.75">
      <c r="A565" s="1326"/>
      <c r="B565" s="1327"/>
      <c r="C565" s="1327"/>
      <c r="D565" s="1014"/>
      <c r="E565" s="1014"/>
      <c r="F565" s="1014"/>
      <c r="G565" s="1007"/>
      <c r="H565" s="762" t="s">
        <v>34</v>
      </c>
      <c r="I565" s="997"/>
      <c r="J565" s="1012">
        <v>781</v>
      </c>
      <c r="K565" s="998"/>
      <c r="L565" s="998"/>
      <c r="M565" s="998"/>
      <c r="N565" s="998"/>
      <c r="O565" s="998"/>
      <c r="P565" s="998"/>
      <c r="Q565" s="1302"/>
      <c r="R565" s="1302"/>
      <c r="S565" s="1302"/>
      <c r="T565" s="1302"/>
      <c r="U565" s="1302"/>
      <c r="V565" s="1302"/>
      <c r="W565" s="1302"/>
      <c r="X565" s="1302"/>
      <c r="Y565" s="1302"/>
      <c r="Z565" s="1302"/>
    </row>
    <row r="566" spans="1:26" ht="18.75">
      <c r="A566" s="1326"/>
      <c r="B566" s="1327"/>
      <c r="C566" s="1327"/>
      <c r="D566" s="1014" t="s">
        <v>239</v>
      </c>
      <c r="E566" s="1014"/>
      <c r="F566" s="1014"/>
      <c r="G566" s="1007"/>
      <c r="H566" s="762" t="s">
        <v>46</v>
      </c>
      <c r="I566" s="997"/>
      <c r="J566" s="1012">
        <v>874</v>
      </c>
      <c r="K566" s="998"/>
      <c r="L566" s="998"/>
      <c r="M566" s="998"/>
      <c r="N566" s="998"/>
      <c r="O566" s="998"/>
      <c r="P566" s="998"/>
      <c r="Q566" s="1302"/>
      <c r="R566" s="1302"/>
      <c r="S566" s="1302"/>
      <c r="T566" s="1302"/>
      <c r="U566" s="1302"/>
      <c r="V566" s="1302"/>
      <c r="W566" s="1302"/>
      <c r="X566" s="1302"/>
      <c r="Y566" s="1302"/>
      <c r="Z566" s="1302"/>
    </row>
    <row r="567" spans="1:26" ht="18.75">
      <c r="A567" s="1326"/>
      <c r="B567" s="1327"/>
      <c r="C567" s="1327"/>
      <c r="D567" s="1014"/>
      <c r="E567" s="1014"/>
      <c r="F567" s="1014"/>
      <c r="G567" s="1007"/>
      <c r="H567" s="762" t="s">
        <v>34</v>
      </c>
      <c r="I567" s="997"/>
      <c r="J567" s="1012">
        <v>84</v>
      </c>
      <c r="K567" s="998"/>
      <c r="L567" s="998"/>
      <c r="M567" s="998"/>
      <c r="N567" s="998"/>
      <c r="O567" s="998"/>
      <c r="P567" s="998"/>
      <c r="Q567" s="1302"/>
      <c r="R567" s="1302"/>
      <c r="S567" s="1302"/>
      <c r="T567" s="1302"/>
      <c r="U567" s="1302"/>
      <c r="V567" s="1302"/>
      <c r="W567" s="1302"/>
      <c r="X567" s="1302"/>
      <c r="Y567" s="1302"/>
      <c r="Z567" s="1302"/>
    </row>
    <row r="568" spans="1:26" ht="19.5">
      <c r="A568" s="1326"/>
      <c r="B568" s="1327"/>
      <c r="C568" s="1336" t="s">
        <v>240</v>
      </c>
      <c r="D568" s="1014"/>
      <c r="E568" s="1014"/>
      <c r="F568" s="1014"/>
      <c r="G568" s="1007"/>
      <c r="H568" s="765" t="s">
        <v>46</v>
      </c>
      <c r="I568" s="1018">
        <f ca="1">IFERROR(__xludf.DUMMYFUNCTION("IMPORTRANGE(""https://docs.google.com/spreadsheets/d/1QqKyyYR6Q21VydFLVH3TRQUabQu_ym0Zz7PgGX0-kHA/edit?usp=sharing"",""แผน!HH88"")"),89214)</f>
        <v>89214</v>
      </c>
      <c r="J568" s="1019">
        <f t="shared" ref="J568:J569" si="248">J570+J572+J574</f>
        <v>89214</v>
      </c>
      <c r="K568" s="1162">
        <f t="shared" ref="K568:K569" ca="1" si="249">IF(I568&gt;0,J568*100/I568,0)</f>
        <v>100</v>
      </c>
      <c r="L568" s="998"/>
      <c r="M568" s="998"/>
      <c r="N568" s="998"/>
      <c r="O568" s="998"/>
      <c r="P568" s="998"/>
      <c r="Q568" s="1302"/>
      <c r="R568" s="1302"/>
      <c r="S568" s="1302"/>
      <c r="T568" s="1302"/>
      <c r="U568" s="1302"/>
      <c r="V568" s="1302"/>
      <c r="W568" s="1302"/>
      <c r="X568" s="1302"/>
      <c r="Y568" s="1302"/>
      <c r="Z568" s="1302"/>
    </row>
    <row r="569" spans="1:26" ht="19.5">
      <c r="A569" s="1326"/>
      <c r="B569" s="1327"/>
      <c r="C569" s="1327"/>
      <c r="D569" s="1327"/>
      <c r="E569" s="1014"/>
      <c r="F569" s="1014"/>
      <c r="G569" s="1007"/>
      <c r="H569" s="765" t="s">
        <v>34</v>
      </c>
      <c r="I569" s="1018">
        <f ca="1">IFERROR(__xludf.DUMMYFUNCTION("IMPORTRANGE(""https://docs.google.com/spreadsheets/d/1QqKyyYR6Q21VydFLVH3TRQUabQu_ym0Zz7PgGX0-kHA/edit?usp=sharing"",""แผน!HG88"")"),7593)</f>
        <v>7593</v>
      </c>
      <c r="J569" s="1019">
        <f t="shared" si="248"/>
        <v>7593</v>
      </c>
      <c r="K569" s="1162">
        <f t="shared" ca="1" si="249"/>
        <v>100</v>
      </c>
      <c r="L569" s="998"/>
      <c r="M569" s="998"/>
      <c r="N569" s="998"/>
      <c r="O569" s="998"/>
      <c r="P569" s="998"/>
      <c r="Q569" s="1302"/>
      <c r="R569" s="1302"/>
      <c r="S569" s="1302"/>
      <c r="T569" s="1302"/>
      <c r="U569" s="1302"/>
      <c r="V569" s="1302"/>
      <c r="W569" s="1302"/>
      <c r="X569" s="1302"/>
      <c r="Y569" s="1302"/>
      <c r="Z569" s="1302"/>
    </row>
    <row r="570" spans="1:26" ht="18.75">
      <c r="A570" s="1326"/>
      <c r="B570" s="1327"/>
      <c r="C570" s="1327"/>
      <c r="D570" s="1014" t="s">
        <v>241</v>
      </c>
      <c r="E570" s="1327"/>
      <c r="F570" s="1014"/>
      <c r="G570" s="1007"/>
      <c r="H570" s="762" t="s">
        <v>46</v>
      </c>
      <c r="I570" s="997"/>
      <c r="J570" s="1012">
        <v>87382</v>
      </c>
      <c r="K570" s="998"/>
      <c r="L570" s="998"/>
      <c r="M570" s="998"/>
      <c r="N570" s="998"/>
      <c r="O570" s="998"/>
      <c r="P570" s="998"/>
      <c r="Q570" s="1302"/>
      <c r="R570" s="1302"/>
      <c r="S570" s="1302"/>
      <c r="T570" s="1302"/>
      <c r="U570" s="1302"/>
      <c r="V570" s="1302"/>
      <c r="W570" s="1302"/>
      <c r="X570" s="1302"/>
      <c r="Y570" s="1302"/>
      <c r="Z570" s="1302"/>
    </row>
    <row r="571" spans="1:26" ht="18.75">
      <c r="A571" s="1326"/>
      <c r="B571" s="1327"/>
      <c r="C571" s="1327"/>
      <c r="D571" s="1327"/>
      <c r="E571" s="1014"/>
      <c r="F571" s="1014"/>
      <c r="G571" s="1007"/>
      <c r="H571" s="762" t="s">
        <v>34</v>
      </c>
      <c r="I571" s="997"/>
      <c r="J571" s="1012">
        <v>7379</v>
      </c>
      <c r="K571" s="998"/>
      <c r="L571" s="998"/>
      <c r="M571" s="998"/>
      <c r="N571" s="998"/>
      <c r="O571" s="998"/>
      <c r="P571" s="998"/>
      <c r="Q571" s="1302"/>
      <c r="R571" s="1302"/>
      <c r="S571" s="1302"/>
      <c r="T571" s="1302"/>
      <c r="U571" s="1302"/>
      <c r="V571" s="1302"/>
      <c r="W571" s="1302"/>
      <c r="X571" s="1302"/>
      <c r="Y571" s="1302"/>
      <c r="Z571" s="1302"/>
    </row>
    <row r="572" spans="1:26" ht="18.75">
      <c r="A572" s="1326"/>
      <c r="B572" s="1327"/>
      <c r="C572" s="1327"/>
      <c r="D572" s="1014" t="s">
        <v>242</v>
      </c>
      <c r="E572" s="1014"/>
      <c r="F572" s="1014"/>
      <c r="G572" s="1007"/>
      <c r="H572" s="762" t="s">
        <v>46</v>
      </c>
      <c r="I572" s="997"/>
      <c r="J572" s="1012">
        <v>838</v>
      </c>
      <c r="K572" s="998"/>
      <c r="L572" s="998"/>
      <c r="M572" s="998"/>
      <c r="N572" s="998"/>
      <c r="O572" s="998"/>
      <c r="P572" s="998"/>
      <c r="Q572" s="1302"/>
      <c r="R572" s="1302"/>
      <c r="S572" s="1302"/>
      <c r="T572" s="1302"/>
      <c r="U572" s="1302"/>
      <c r="V572" s="1302"/>
      <c r="W572" s="1302"/>
      <c r="X572" s="1302"/>
      <c r="Y572" s="1302"/>
      <c r="Z572" s="1302"/>
    </row>
    <row r="573" spans="1:26" ht="18.75">
      <c r="A573" s="1326"/>
      <c r="B573" s="1327"/>
      <c r="C573" s="1327"/>
      <c r="D573" s="1014"/>
      <c r="E573" s="1014"/>
      <c r="F573" s="1014"/>
      <c r="G573" s="1007"/>
      <c r="H573" s="762" t="s">
        <v>34</v>
      </c>
      <c r="I573" s="997"/>
      <c r="J573" s="1012">
        <v>116</v>
      </c>
      <c r="K573" s="998"/>
      <c r="L573" s="998"/>
      <c r="M573" s="998"/>
      <c r="N573" s="998"/>
      <c r="O573" s="998"/>
      <c r="P573" s="998"/>
      <c r="Q573" s="1302"/>
      <c r="R573" s="1302"/>
      <c r="S573" s="1302"/>
      <c r="T573" s="1302"/>
      <c r="U573" s="1302"/>
      <c r="V573" s="1302"/>
      <c r="W573" s="1302"/>
      <c r="X573" s="1302"/>
      <c r="Y573" s="1302"/>
      <c r="Z573" s="1302"/>
    </row>
    <row r="574" spans="1:26" ht="18.75">
      <c r="A574" s="1326"/>
      <c r="B574" s="1327"/>
      <c r="C574" s="1327"/>
      <c r="D574" s="1014" t="s">
        <v>243</v>
      </c>
      <c r="E574" s="1014"/>
      <c r="F574" s="1014"/>
      <c r="G574" s="1007"/>
      <c r="H574" s="762" t="s">
        <v>46</v>
      </c>
      <c r="I574" s="997"/>
      <c r="J574" s="1012">
        <v>994</v>
      </c>
      <c r="K574" s="998"/>
      <c r="L574" s="998"/>
      <c r="M574" s="998"/>
      <c r="N574" s="998"/>
      <c r="O574" s="998"/>
      <c r="P574" s="998"/>
      <c r="Q574" s="1302"/>
      <c r="R574" s="1302"/>
      <c r="S574" s="1302"/>
      <c r="T574" s="1302"/>
      <c r="U574" s="1302"/>
      <c r="V574" s="1302"/>
      <c r="W574" s="1302"/>
      <c r="X574" s="1302"/>
      <c r="Y574" s="1302"/>
      <c r="Z574" s="1302"/>
    </row>
    <row r="575" spans="1:26" ht="18.75">
      <c r="A575" s="1326"/>
      <c r="B575" s="1327"/>
      <c r="C575" s="1327"/>
      <c r="D575" s="1327"/>
      <c r="E575" s="1014"/>
      <c r="F575" s="1014"/>
      <c r="G575" s="1007"/>
      <c r="H575" s="762" t="s">
        <v>34</v>
      </c>
      <c r="I575" s="997"/>
      <c r="J575" s="1012">
        <v>98</v>
      </c>
      <c r="K575" s="998"/>
      <c r="L575" s="998"/>
      <c r="M575" s="998"/>
      <c r="N575" s="998"/>
      <c r="O575" s="998"/>
      <c r="P575" s="998"/>
      <c r="Q575" s="1302"/>
      <c r="R575" s="1302"/>
      <c r="S575" s="1302"/>
      <c r="T575" s="1302"/>
      <c r="U575" s="1302"/>
      <c r="V575" s="1302"/>
      <c r="W575" s="1302"/>
      <c r="X575" s="1302"/>
      <c r="Y575" s="1302"/>
      <c r="Z575" s="1302"/>
    </row>
    <row r="576" spans="1:26" ht="19.5">
      <c r="A576" s="1326"/>
      <c r="B576" s="1327"/>
      <c r="C576" s="1336" t="s">
        <v>244</v>
      </c>
      <c r="D576" s="1327"/>
      <c r="E576" s="1327"/>
      <c r="F576" s="1014"/>
      <c r="G576" s="1007"/>
      <c r="H576" s="765" t="s">
        <v>46</v>
      </c>
      <c r="I576" s="1018">
        <f ca="1">IFERROR(__xludf.DUMMYFUNCTION("IMPORTRANGE(""https://docs.google.com/spreadsheets/d/1QqKyyYR6Q21VydFLVH3TRQUabQu_ym0Zz7PgGX0-kHA/edit?usp=sharing"",""แผน!HH88"")"),89214)</f>
        <v>89214</v>
      </c>
      <c r="J576" s="1019">
        <f t="shared" ref="J576:J577" si="250">J578+J580+J582+J588+J590</f>
        <v>89216</v>
      </c>
      <c r="K576" s="1162">
        <f t="shared" ref="K576:K577" ca="1" si="251">IF(I576&gt;0,J576*100/I576,0)</f>
        <v>100.00224180061426</v>
      </c>
      <c r="L576" s="998"/>
      <c r="M576" s="998"/>
      <c r="N576" s="998"/>
      <c r="O576" s="998"/>
      <c r="P576" s="998"/>
      <c r="Q576" s="1302"/>
      <c r="R576" s="1302"/>
      <c r="S576" s="1302"/>
      <c r="T576" s="1302"/>
      <c r="U576" s="1302"/>
      <c r="V576" s="1302"/>
      <c r="W576" s="1302"/>
      <c r="X576" s="1302"/>
      <c r="Y576" s="1302"/>
      <c r="Z576" s="1302"/>
    </row>
    <row r="577" spans="1:26" ht="19.5">
      <c r="A577" s="1326"/>
      <c r="B577" s="1327"/>
      <c r="C577" s="1327"/>
      <c r="D577" s="1327"/>
      <c r="E577" s="1014"/>
      <c r="F577" s="1014"/>
      <c r="G577" s="1007"/>
      <c r="H577" s="765" t="s">
        <v>34</v>
      </c>
      <c r="I577" s="1018">
        <f ca="1">IFERROR(__xludf.DUMMYFUNCTION("IMPORTRANGE(""https://docs.google.com/spreadsheets/d/1QqKyyYR6Q21VydFLVH3TRQUabQu_ym0Zz7PgGX0-kHA/edit?usp=sharing"",""แผน!HG88"")"),7593)</f>
        <v>7593</v>
      </c>
      <c r="J577" s="1019">
        <f t="shared" si="250"/>
        <v>7593</v>
      </c>
      <c r="K577" s="1162">
        <f t="shared" ca="1" si="251"/>
        <v>100</v>
      </c>
      <c r="L577" s="998"/>
      <c r="M577" s="998"/>
      <c r="N577" s="998"/>
      <c r="O577" s="998"/>
      <c r="P577" s="998"/>
      <c r="Q577" s="1302"/>
      <c r="R577" s="1302"/>
      <c r="S577" s="1302"/>
      <c r="T577" s="1302"/>
      <c r="U577" s="1302"/>
      <c r="V577" s="1302"/>
      <c r="W577" s="1302"/>
      <c r="X577" s="1302"/>
      <c r="Y577" s="1302"/>
      <c r="Z577" s="1302"/>
    </row>
    <row r="578" spans="1:26" ht="18.75">
      <c r="A578" s="1326"/>
      <c r="B578" s="1327"/>
      <c r="C578" s="1327"/>
      <c r="D578" s="1014" t="s">
        <v>245</v>
      </c>
      <c r="E578" s="1014"/>
      <c r="F578" s="1014"/>
      <c r="G578" s="1007"/>
      <c r="H578" s="762" t="s">
        <v>46</v>
      </c>
      <c r="I578" s="997"/>
      <c r="J578" s="1012">
        <v>80108</v>
      </c>
      <c r="K578" s="998"/>
      <c r="L578" s="998"/>
      <c r="M578" s="998"/>
      <c r="N578" s="998"/>
      <c r="O578" s="998"/>
      <c r="P578" s="998"/>
      <c r="Q578" s="1302"/>
      <c r="R578" s="1302"/>
      <c r="S578" s="1302"/>
      <c r="T578" s="1302"/>
      <c r="U578" s="1302"/>
      <c r="V578" s="1302"/>
      <c r="W578" s="1302"/>
      <c r="X578" s="1302"/>
      <c r="Y578" s="1302"/>
      <c r="Z578" s="1302"/>
    </row>
    <row r="579" spans="1:26" ht="18.75">
      <c r="A579" s="1326"/>
      <c r="B579" s="1327"/>
      <c r="C579" s="1327"/>
      <c r="D579" s="1327"/>
      <c r="E579" s="1014"/>
      <c r="F579" s="1014"/>
      <c r="G579" s="1007"/>
      <c r="H579" s="762" t="s">
        <v>34</v>
      </c>
      <c r="I579" s="997"/>
      <c r="J579" s="1012">
        <v>6750</v>
      </c>
      <c r="K579" s="998"/>
      <c r="L579" s="998"/>
      <c r="M579" s="998"/>
      <c r="N579" s="998"/>
      <c r="O579" s="998"/>
      <c r="P579" s="998"/>
      <c r="Q579" s="1302"/>
      <c r="R579" s="1302"/>
      <c r="S579" s="1302"/>
      <c r="T579" s="1302"/>
      <c r="U579" s="1302"/>
      <c r="V579" s="1302"/>
      <c r="W579" s="1302"/>
      <c r="X579" s="1302"/>
      <c r="Y579" s="1302"/>
      <c r="Z579" s="1302"/>
    </row>
    <row r="580" spans="1:26" ht="18.75">
      <c r="A580" s="1326"/>
      <c r="B580" s="1327"/>
      <c r="C580" s="1327"/>
      <c r="D580" s="1014" t="s">
        <v>246</v>
      </c>
      <c r="E580" s="1014"/>
      <c r="F580" s="1014"/>
      <c r="G580" s="1007"/>
      <c r="H580" s="762" t="s">
        <v>46</v>
      </c>
      <c r="I580" s="997"/>
      <c r="J580" s="1012">
        <v>8114</v>
      </c>
      <c r="K580" s="998"/>
      <c r="L580" s="998"/>
      <c r="M580" s="998"/>
      <c r="N580" s="998"/>
      <c r="O580" s="998"/>
      <c r="P580" s="998"/>
      <c r="Q580" s="1302"/>
      <c r="R580" s="1302"/>
      <c r="S580" s="1302"/>
      <c r="T580" s="1302"/>
      <c r="U580" s="1302"/>
      <c r="V580" s="1302"/>
      <c r="W580" s="1302"/>
      <c r="X580" s="1302"/>
      <c r="Y580" s="1302"/>
      <c r="Z580" s="1302"/>
    </row>
    <row r="581" spans="1:26" ht="18.75">
      <c r="A581" s="1326"/>
      <c r="B581" s="1327"/>
      <c r="C581" s="1327"/>
      <c r="D581" s="1327"/>
      <c r="E581" s="1014"/>
      <c r="F581" s="1014"/>
      <c r="G581" s="1007"/>
      <c r="H581" s="762" t="s">
        <v>34</v>
      </c>
      <c r="I581" s="997"/>
      <c r="J581" s="1012">
        <v>745</v>
      </c>
      <c r="K581" s="998"/>
      <c r="L581" s="998"/>
      <c r="M581" s="998"/>
      <c r="N581" s="998"/>
      <c r="O581" s="998"/>
      <c r="P581" s="998"/>
      <c r="Q581" s="1302"/>
      <c r="R581" s="1302"/>
      <c r="S581" s="1302"/>
      <c r="T581" s="1302"/>
      <c r="U581" s="1302"/>
      <c r="V581" s="1302"/>
      <c r="W581" s="1302"/>
      <c r="X581" s="1302"/>
      <c r="Y581" s="1302"/>
      <c r="Z581" s="1302"/>
    </row>
    <row r="582" spans="1:26" ht="19.5">
      <c r="A582" s="1326"/>
      <c r="B582" s="1327"/>
      <c r="C582" s="1327"/>
      <c r="D582" s="1014" t="s">
        <v>247</v>
      </c>
      <c r="E582" s="1014"/>
      <c r="F582" s="1014"/>
      <c r="G582" s="1007"/>
      <c r="H582" s="762" t="s">
        <v>46</v>
      </c>
      <c r="I582" s="997"/>
      <c r="J582" s="1019">
        <f t="shared" ref="J582:J583" si="252">J584+J586</f>
        <v>994</v>
      </c>
      <c r="K582" s="1162"/>
      <c r="L582" s="998"/>
      <c r="M582" s="998"/>
      <c r="N582" s="998"/>
      <c r="O582" s="998"/>
      <c r="P582" s="998"/>
      <c r="Q582" s="1302"/>
      <c r="R582" s="1302"/>
      <c r="S582" s="1302"/>
      <c r="T582" s="1302"/>
      <c r="U582" s="1302"/>
      <c r="V582" s="1302"/>
      <c r="W582" s="1302"/>
      <c r="X582" s="1302"/>
      <c r="Y582" s="1302"/>
      <c r="Z582" s="1302"/>
    </row>
    <row r="583" spans="1:26" ht="19.5">
      <c r="A583" s="1326"/>
      <c r="B583" s="1327"/>
      <c r="C583" s="1327"/>
      <c r="D583" s="1327"/>
      <c r="E583" s="1014"/>
      <c r="F583" s="1014"/>
      <c r="G583" s="1007"/>
      <c r="H583" s="762" t="s">
        <v>34</v>
      </c>
      <c r="I583" s="997"/>
      <c r="J583" s="1019">
        <f t="shared" si="252"/>
        <v>98</v>
      </c>
      <c r="K583" s="1162"/>
      <c r="L583" s="998"/>
      <c r="M583" s="998"/>
      <c r="N583" s="998"/>
      <c r="O583" s="998"/>
      <c r="P583" s="998"/>
      <c r="Q583" s="1302"/>
      <c r="R583" s="1302"/>
      <c r="S583" s="1302"/>
      <c r="T583" s="1302"/>
      <c r="U583" s="1302"/>
      <c r="V583" s="1302"/>
      <c r="W583" s="1302"/>
      <c r="X583" s="1302"/>
      <c r="Y583" s="1302"/>
      <c r="Z583" s="1302"/>
    </row>
    <row r="584" spans="1:26" ht="18.75">
      <c r="A584" s="1326"/>
      <c r="B584" s="1327"/>
      <c r="C584" s="1327"/>
      <c r="D584" s="1327"/>
      <c r="E584" s="1014" t="s">
        <v>248</v>
      </c>
      <c r="F584" s="1014"/>
      <c r="G584" s="1007"/>
      <c r="H584" s="762" t="s">
        <v>46</v>
      </c>
      <c r="I584" s="997"/>
      <c r="J584" s="1012">
        <v>994</v>
      </c>
      <c r="K584" s="998"/>
      <c r="L584" s="998"/>
      <c r="M584" s="998"/>
      <c r="N584" s="998"/>
      <c r="O584" s="998"/>
      <c r="P584" s="998"/>
      <c r="Q584" s="1302"/>
      <c r="R584" s="1302"/>
      <c r="S584" s="1302"/>
      <c r="T584" s="1302"/>
      <c r="U584" s="1302"/>
      <c r="V584" s="1302"/>
      <c r="W584" s="1302"/>
      <c r="X584" s="1302"/>
      <c r="Y584" s="1302"/>
      <c r="Z584" s="1302"/>
    </row>
    <row r="585" spans="1:26" ht="18.75">
      <c r="A585" s="1326"/>
      <c r="B585" s="1327"/>
      <c r="C585" s="1327"/>
      <c r="D585" s="1327"/>
      <c r="E585" s="1014"/>
      <c r="F585" s="1014"/>
      <c r="G585" s="1007"/>
      <c r="H585" s="762" t="s">
        <v>34</v>
      </c>
      <c r="I585" s="997"/>
      <c r="J585" s="1012">
        <v>98</v>
      </c>
      <c r="K585" s="998"/>
      <c r="L585" s="998"/>
      <c r="M585" s="998"/>
      <c r="N585" s="998"/>
      <c r="O585" s="998"/>
      <c r="P585" s="998"/>
      <c r="Q585" s="1302"/>
      <c r="R585" s="1302"/>
      <c r="S585" s="1302"/>
      <c r="T585" s="1302"/>
      <c r="U585" s="1302"/>
      <c r="V585" s="1302"/>
      <c r="W585" s="1302"/>
      <c r="X585" s="1302"/>
      <c r="Y585" s="1302"/>
      <c r="Z585" s="1302"/>
    </row>
    <row r="586" spans="1:26" ht="18.75">
      <c r="A586" s="1326"/>
      <c r="B586" s="1327"/>
      <c r="C586" s="1327"/>
      <c r="D586" s="1327"/>
      <c r="E586" s="1014" t="s">
        <v>249</v>
      </c>
      <c r="F586" s="1014"/>
      <c r="G586" s="1007"/>
      <c r="H586" s="762" t="s">
        <v>46</v>
      </c>
      <c r="I586" s="997"/>
      <c r="J586" s="1012">
        <v>0</v>
      </c>
      <c r="K586" s="998"/>
      <c r="L586" s="998"/>
      <c r="M586" s="998"/>
      <c r="N586" s="998"/>
      <c r="O586" s="998"/>
      <c r="P586" s="998"/>
      <c r="Q586" s="1302"/>
      <c r="R586" s="1302"/>
      <c r="S586" s="1302"/>
      <c r="T586" s="1302"/>
      <c r="U586" s="1302"/>
      <c r="V586" s="1302"/>
      <c r="W586" s="1302"/>
      <c r="X586" s="1302"/>
      <c r="Y586" s="1302"/>
      <c r="Z586" s="1302"/>
    </row>
    <row r="587" spans="1:26" ht="18.75">
      <c r="A587" s="1326"/>
      <c r="B587" s="1327"/>
      <c r="C587" s="1327"/>
      <c r="D587" s="1327"/>
      <c r="E587" s="1327"/>
      <c r="F587" s="1014"/>
      <c r="G587" s="1007"/>
      <c r="H587" s="762" t="s">
        <v>34</v>
      </c>
      <c r="I587" s="997"/>
      <c r="J587" s="1012">
        <v>0</v>
      </c>
      <c r="K587" s="998"/>
      <c r="L587" s="998"/>
      <c r="M587" s="998"/>
      <c r="N587" s="998"/>
      <c r="O587" s="998"/>
      <c r="P587" s="998"/>
      <c r="Q587" s="1302"/>
      <c r="R587" s="1302"/>
      <c r="S587" s="1302"/>
      <c r="T587" s="1302"/>
      <c r="U587" s="1302"/>
      <c r="V587" s="1302"/>
      <c r="W587" s="1302"/>
      <c r="X587" s="1302"/>
      <c r="Y587" s="1302"/>
      <c r="Z587" s="1302"/>
    </row>
    <row r="588" spans="1:26" ht="18.75">
      <c r="A588" s="1326"/>
      <c r="B588" s="1327"/>
      <c r="C588" s="1327"/>
      <c r="D588" s="1014" t="s">
        <v>250</v>
      </c>
      <c r="E588" s="1014"/>
      <c r="F588" s="1014"/>
      <c r="G588" s="1007"/>
      <c r="H588" s="762" t="s">
        <v>46</v>
      </c>
      <c r="I588" s="997"/>
      <c r="J588" s="1012">
        <v>0</v>
      </c>
      <c r="K588" s="998"/>
      <c r="L588" s="998"/>
      <c r="M588" s="998"/>
      <c r="N588" s="998"/>
      <c r="O588" s="998"/>
      <c r="P588" s="998"/>
      <c r="Q588" s="1302"/>
      <c r="R588" s="1302"/>
      <c r="S588" s="1302"/>
      <c r="T588" s="1302"/>
      <c r="U588" s="1302"/>
      <c r="V588" s="1302"/>
      <c r="W588" s="1302"/>
      <c r="X588" s="1302"/>
      <c r="Y588" s="1302"/>
      <c r="Z588" s="1302"/>
    </row>
    <row r="589" spans="1:26" ht="18.75">
      <c r="A589" s="1326"/>
      <c r="B589" s="1327"/>
      <c r="C589" s="1327"/>
      <c r="D589" s="1327"/>
      <c r="E589" s="1327"/>
      <c r="F589" s="1014"/>
      <c r="G589" s="1007"/>
      <c r="H589" s="762" t="s">
        <v>34</v>
      </c>
      <c r="I589" s="997"/>
      <c r="J589" s="1012">
        <v>0</v>
      </c>
      <c r="K589" s="998"/>
      <c r="L589" s="998"/>
      <c r="M589" s="998"/>
      <c r="N589" s="998"/>
      <c r="O589" s="998"/>
      <c r="P589" s="998"/>
      <c r="Q589" s="1302"/>
      <c r="R589" s="1302"/>
      <c r="S589" s="1302"/>
      <c r="T589" s="1302"/>
      <c r="U589" s="1302"/>
      <c r="V589" s="1302"/>
      <c r="W589" s="1302"/>
      <c r="X589" s="1302"/>
      <c r="Y589" s="1302"/>
      <c r="Z589" s="1302"/>
    </row>
    <row r="590" spans="1:26" ht="18.75">
      <c r="A590" s="1326"/>
      <c r="B590" s="1327"/>
      <c r="C590" s="1327"/>
      <c r="D590" s="1014" t="s">
        <v>251</v>
      </c>
      <c r="E590" s="1014"/>
      <c r="F590" s="1014"/>
      <c r="G590" s="1007"/>
      <c r="H590" s="762" t="s">
        <v>46</v>
      </c>
      <c r="I590" s="997"/>
      <c r="J590" s="1012">
        <v>0</v>
      </c>
      <c r="K590" s="998"/>
      <c r="L590" s="998"/>
      <c r="M590" s="998"/>
      <c r="N590" s="998"/>
      <c r="O590" s="998"/>
      <c r="P590" s="998"/>
      <c r="Q590" s="1302"/>
      <c r="R590" s="1302"/>
      <c r="S590" s="1302"/>
      <c r="T590" s="1302"/>
      <c r="U590" s="1302"/>
      <c r="V590" s="1302"/>
      <c r="W590" s="1302"/>
      <c r="X590" s="1302"/>
      <c r="Y590" s="1302"/>
      <c r="Z590" s="1302"/>
    </row>
    <row r="591" spans="1:26" ht="18.75">
      <c r="A591" s="1393"/>
      <c r="B591" s="1394"/>
      <c r="C591" s="1394"/>
      <c r="D591" s="1394"/>
      <c r="E591" s="1302"/>
      <c r="F591" s="1302"/>
      <c r="G591" s="1395"/>
      <c r="H591" s="697" t="s">
        <v>34</v>
      </c>
      <c r="I591" s="1396"/>
      <c r="J591" s="1397">
        <v>0</v>
      </c>
      <c r="K591" s="1398"/>
      <c r="L591" s="1398"/>
      <c r="M591" s="1398"/>
      <c r="N591" s="1398"/>
      <c r="O591" s="1398"/>
      <c r="P591" s="1398"/>
      <c r="Q591" s="1302"/>
      <c r="R591" s="1302"/>
      <c r="S591" s="1302"/>
      <c r="T591" s="1302"/>
      <c r="U591" s="1302"/>
      <c r="V591" s="1302"/>
      <c r="W591" s="1302"/>
      <c r="X591" s="1302"/>
      <c r="Y591" s="1302"/>
      <c r="Z591" s="1302"/>
    </row>
    <row r="592" spans="1:26" ht="19.5">
      <c r="A592" s="1390"/>
      <c r="B592" s="1391" t="s">
        <v>252</v>
      </c>
      <c r="C592" s="1392"/>
      <c r="D592" s="1392"/>
      <c r="E592" s="1375"/>
      <c r="F592" s="1375"/>
      <c r="G592" s="1376"/>
      <c r="H592" s="693" t="s">
        <v>46</v>
      </c>
      <c r="I592" s="1399">
        <f t="shared" ref="I592:J592" ca="1" si="253">I593</f>
        <v>15712.62</v>
      </c>
      <c r="J592" s="1377">
        <f t="shared" si="253"/>
        <v>0</v>
      </c>
      <c r="K592" s="1378">
        <f t="shared" ref="K592:K594" ca="1" si="254">IF(I592&gt;0,J592*100/I592,0)</f>
        <v>0</v>
      </c>
      <c r="L592" s="1379"/>
      <c r="M592" s="1379"/>
      <c r="N592" s="1379"/>
      <c r="O592" s="1379"/>
      <c r="P592" s="1379"/>
      <c r="Q592" s="1302"/>
      <c r="R592" s="1302"/>
      <c r="S592" s="1302"/>
      <c r="T592" s="1302"/>
      <c r="U592" s="1302"/>
      <c r="V592" s="1302"/>
      <c r="W592" s="1302"/>
      <c r="X592" s="1302"/>
      <c r="Y592" s="1302"/>
      <c r="Z592" s="1302"/>
    </row>
    <row r="593" spans="1:26" ht="19.5">
      <c r="A593" s="1326"/>
      <c r="B593" s="1327"/>
      <c r="C593" s="1336" t="s">
        <v>253</v>
      </c>
      <c r="D593" s="1327"/>
      <c r="E593" s="1327"/>
      <c r="F593" s="1014"/>
      <c r="G593" s="1007"/>
      <c r="H593" s="765" t="s">
        <v>46</v>
      </c>
      <c r="I593" s="1400">
        <f ca="1">IFERROR(__xludf.DUMMYFUNCTION("IMPORTRANGE(""https://docs.google.com/spreadsheets/d/1QqKyyYR6Q21VydFLVH3TRQUabQu_ym0Zz7PgGX0-kHA/edit?usp=sharing"",""แผน!HJ88"")"),15712.62)</f>
        <v>15712.62</v>
      </c>
      <c r="J593" s="1018">
        <f t="shared" ref="J593:J594" si="255">J595+J603+J609</f>
        <v>0</v>
      </c>
      <c r="K593" s="1162">
        <f t="shared" ca="1" si="254"/>
        <v>0</v>
      </c>
      <c r="L593" s="998"/>
      <c r="M593" s="998"/>
      <c r="N593" s="998"/>
      <c r="O593" s="998"/>
      <c r="P593" s="998"/>
      <c r="Q593" s="1302"/>
      <c r="R593" s="1302"/>
      <c r="S593" s="1302"/>
      <c r="T593" s="1302"/>
      <c r="U593" s="1302"/>
      <c r="V593" s="1302"/>
      <c r="W593" s="1302"/>
      <c r="X593" s="1302"/>
      <c r="Y593" s="1302"/>
      <c r="Z593" s="1302"/>
    </row>
    <row r="594" spans="1:26" ht="19.5">
      <c r="A594" s="1326"/>
      <c r="B594" s="1327"/>
      <c r="C594" s="1327"/>
      <c r="D594" s="1327"/>
      <c r="E594" s="1014"/>
      <c r="F594" s="1014"/>
      <c r="G594" s="1007"/>
      <c r="H594" s="765" t="s">
        <v>34</v>
      </c>
      <c r="I594" s="1018">
        <f ca="1">IFERROR(__xludf.DUMMYFUNCTION("IMPORTRANGE(""https://docs.google.com/spreadsheets/d/1QqKyyYR6Q21VydFLVH3TRQUabQu_ym0Zz7PgGX0-kHA/edit?usp=sharing"",""แผน!HI88"")"),1172)</f>
        <v>1172</v>
      </c>
      <c r="J594" s="1018">
        <f t="shared" si="255"/>
        <v>0</v>
      </c>
      <c r="K594" s="1162">
        <f t="shared" ca="1" si="254"/>
        <v>0</v>
      </c>
      <c r="L594" s="998"/>
      <c r="M594" s="998"/>
      <c r="N594" s="998"/>
      <c r="O594" s="998"/>
      <c r="P594" s="998"/>
      <c r="Q594" s="1302"/>
      <c r="R594" s="1302"/>
      <c r="S594" s="1302"/>
      <c r="T594" s="1302"/>
      <c r="U594" s="1302"/>
      <c r="V594" s="1302"/>
      <c r="W594" s="1302"/>
      <c r="X594" s="1302"/>
      <c r="Y594" s="1302"/>
      <c r="Z594" s="1302"/>
    </row>
    <row r="595" spans="1:26" ht="18.75">
      <c r="A595" s="1326"/>
      <c r="B595" s="1327"/>
      <c r="C595" s="1327" t="s">
        <v>254</v>
      </c>
      <c r="D595" s="1327"/>
      <c r="E595" s="1327"/>
      <c r="F595" s="1014"/>
      <c r="G595" s="1007"/>
      <c r="H595" s="762" t="s">
        <v>46</v>
      </c>
      <c r="I595" s="997"/>
      <c r="J595" s="997">
        <f t="shared" ref="J595:J596" si="256">J597+J599</f>
        <v>0</v>
      </c>
      <c r="K595" s="998"/>
      <c r="L595" s="998"/>
      <c r="M595" s="998"/>
      <c r="N595" s="998"/>
      <c r="O595" s="998"/>
      <c r="P595" s="998"/>
      <c r="Q595" s="1302"/>
      <c r="R595" s="1302"/>
      <c r="S595" s="1302"/>
      <c r="T595" s="1302"/>
      <c r="U595" s="1302"/>
      <c r="V595" s="1302"/>
      <c r="W595" s="1302"/>
      <c r="X595" s="1302"/>
      <c r="Y595" s="1302"/>
      <c r="Z595" s="1302"/>
    </row>
    <row r="596" spans="1:26" ht="18.75">
      <c r="A596" s="1326"/>
      <c r="B596" s="1327"/>
      <c r="C596" s="1327"/>
      <c r="D596" s="1327"/>
      <c r="E596" s="1014"/>
      <c r="F596" s="1014"/>
      <c r="G596" s="1007"/>
      <c r="H596" s="762" t="s">
        <v>34</v>
      </c>
      <c r="I596" s="997"/>
      <c r="J596" s="997">
        <f t="shared" si="256"/>
        <v>0</v>
      </c>
      <c r="K596" s="998"/>
      <c r="L596" s="998"/>
      <c r="M596" s="998"/>
      <c r="N596" s="998"/>
      <c r="O596" s="998"/>
      <c r="P596" s="998"/>
      <c r="Q596" s="1302"/>
      <c r="R596" s="1302"/>
      <c r="S596" s="1302"/>
      <c r="T596" s="1302"/>
      <c r="U596" s="1302"/>
      <c r="V596" s="1302"/>
      <c r="W596" s="1302"/>
      <c r="X596" s="1302"/>
      <c r="Y596" s="1302"/>
      <c r="Z596" s="1302"/>
    </row>
    <row r="597" spans="1:26" ht="18.75">
      <c r="A597" s="1326"/>
      <c r="B597" s="1327"/>
      <c r="C597" s="1327"/>
      <c r="D597" s="1069" t="s">
        <v>255</v>
      </c>
      <c r="E597" s="1014"/>
      <c r="F597" s="1014"/>
      <c r="G597" s="1007"/>
      <c r="H597" s="762" t="s">
        <v>46</v>
      </c>
      <c r="I597" s="997"/>
      <c r="J597" s="1012">
        <v>0</v>
      </c>
      <c r="K597" s="998"/>
      <c r="L597" s="998"/>
      <c r="M597" s="998"/>
      <c r="N597" s="998"/>
      <c r="O597" s="998"/>
      <c r="P597" s="998"/>
      <c r="Q597" s="1302"/>
      <c r="R597" s="1302"/>
      <c r="S597" s="1302"/>
      <c r="T597" s="1302"/>
      <c r="U597" s="1302"/>
      <c r="V597" s="1302"/>
      <c r="W597" s="1302"/>
      <c r="X597" s="1302"/>
      <c r="Y597" s="1302"/>
      <c r="Z597" s="1302"/>
    </row>
    <row r="598" spans="1:26" ht="18.75">
      <c r="A598" s="1326"/>
      <c r="B598" s="1327"/>
      <c r="C598" s="1327"/>
      <c r="D598" s="1327"/>
      <c r="E598" s="1014"/>
      <c r="F598" s="1014"/>
      <c r="G598" s="1007"/>
      <c r="H598" s="762" t="s">
        <v>34</v>
      </c>
      <c r="I598" s="880"/>
      <c r="J598" s="1012">
        <v>0</v>
      </c>
      <c r="K598" s="998"/>
      <c r="L598" s="998"/>
      <c r="M598" s="998"/>
      <c r="N598" s="998"/>
      <c r="O598" s="998"/>
      <c r="P598" s="998"/>
      <c r="Q598" s="1302"/>
      <c r="R598" s="1302"/>
      <c r="S598" s="1302"/>
      <c r="T598" s="1302"/>
      <c r="U598" s="1302"/>
      <c r="V598" s="1302"/>
      <c r="W598" s="1302"/>
      <c r="X598" s="1302"/>
      <c r="Y598" s="1302"/>
      <c r="Z598" s="1302"/>
    </row>
    <row r="599" spans="1:26" ht="18.75">
      <c r="A599" s="1326"/>
      <c r="B599" s="1327"/>
      <c r="C599" s="1327"/>
      <c r="D599" s="1069" t="s">
        <v>256</v>
      </c>
      <c r="E599" s="1014"/>
      <c r="F599" s="1014"/>
      <c r="G599" s="1007"/>
      <c r="H599" s="762" t="s">
        <v>46</v>
      </c>
      <c r="I599" s="880"/>
      <c r="J599" s="1012">
        <v>0</v>
      </c>
      <c r="K599" s="998"/>
      <c r="L599" s="998"/>
      <c r="M599" s="998"/>
      <c r="N599" s="998"/>
      <c r="O599" s="998"/>
      <c r="P599" s="998"/>
      <c r="Q599" s="1302"/>
      <c r="R599" s="1302"/>
      <c r="S599" s="1302"/>
      <c r="T599" s="1302"/>
      <c r="U599" s="1302"/>
      <c r="V599" s="1302"/>
      <c r="W599" s="1302"/>
      <c r="X599" s="1302"/>
      <c r="Y599" s="1302"/>
      <c r="Z599" s="1302"/>
    </row>
    <row r="600" spans="1:26" ht="18.75">
      <c r="A600" s="1326"/>
      <c r="B600" s="1327"/>
      <c r="C600" s="1327"/>
      <c r="D600" s="1327"/>
      <c r="E600" s="1014"/>
      <c r="F600" s="1014"/>
      <c r="G600" s="1007"/>
      <c r="H600" s="762" t="s">
        <v>34</v>
      </c>
      <c r="I600" s="880"/>
      <c r="J600" s="1012">
        <v>0</v>
      </c>
      <c r="K600" s="998"/>
      <c r="L600" s="998"/>
      <c r="M600" s="998"/>
      <c r="N600" s="998"/>
      <c r="O600" s="998"/>
      <c r="P600" s="998"/>
      <c r="Q600" s="1302"/>
      <c r="R600" s="1302"/>
      <c r="S600" s="1302"/>
      <c r="T600" s="1302"/>
      <c r="U600" s="1302"/>
      <c r="V600" s="1302"/>
      <c r="W600" s="1302"/>
      <c r="X600" s="1302"/>
      <c r="Y600" s="1302"/>
      <c r="Z600" s="1302"/>
    </row>
    <row r="601" spans="1:26" ht="18.75">
      <c r="A601" s="1326"/>
      <c r="B601" s="1327"/>
      <c r="C601" s="1327"/>
      <c r="D601" s="1069" t="s">
        <v>257</v>
      </c>
      <c r="E601" s="1014"/>
      <c r="F601" s="1014"/>
      <c r="G601" s="1007"/>
      <c r="H601" s="762" t="s">
        <v>46</v>
      </c>
      <c r="I601" s="880"/>
      <c r="J601" s="1012">
        <v>0</v>
      </c>
      <c r="K601" s="998"/>
      <c r="L601" s="998"/>
      <c r="M601" s="998"/>
      <c r="N601" s="998"/>
      <c r="O601" s="998"/>
      <c r="P601" s="998"/>
      <c r="Q601" s="1302"/>
      <c r="R601" s="1302"/>
      <c r="S601" s="1302"/>
      <c r="T601" s="1302"/>
      <c r="U601" s="1302"/>
      <c r="V601" s="1302"/>
      <c r="W601" s="1302"/>
      <c r="X601" s="1302"/>
      <c r="Y601" s="1302"/>
      <c r="Z601" s="1302"/>
    </row>
    <row r="602" spans="1:26" ht="18.75">
      <c r="A602" s="1326"/>
      <c r="B602" s="1327"/>
      <c r="C602" s="1327"/>
      <c r="D602" s="1327"/>
      <c r="E602" s="1014"/>
      <c r="F602" s="1014"/>
      <c r="G602" s="1007"/>
      <c r="H602" s="762" t="s">
        <v>34</v>
      </c>
      <c r="I602" s="880"/>
      <c r="J602" s="1012">
        <v>0</v>
      </c>
      <c r="K602" s="998"/>
      <c r="L602" s="998"/>
      <c r="M602" s="998"/>
      <c r="N602" s="998"/>
      <c r="O602" s="998"/>
      <c r="P602" s="998"/>
      <c r="Q602" s="1302"/>
      <c r="R602" s="1302"/>
      <c r="S602" s="1302"/>
      <c r="T602" s="1302"/>
      <c r="U602" s="1302"/>
      <c r="V602" s="1302"/>
      <c r="W602" s="1302"/>
      <c r="X602" s="1302"/>
      <c r="Y602" s="1302"/>
      <c r="Z602" s="1302"/>
    </row>
    <row r="603" spans="1:26" ht="18.75">
      <c r="A603" s="1326"/>
      <c r="B603" s="1327"/>
      <c r="C603" s="1401" t="s">
        <v>258</v>
      </c>
      <c r="D603" s="1327"/>
      <c r="E603" s="1327"/>
      <c r="F603" s="1014"/>
      <c r="G603" s="1007"/>
      <c r="H603" s="762" t="s">
        <v>46</v>
      </c>
      <c r="I603" s="880"/>
      <c r="J603" s="880">
        <f t="shared" ref="J603:J604" si="257">J605+J607</f>
        <v>0</v>
      </c>
      <c r="K603" s="998"/>
      <c r="L603" s="998"/>
      <c r="M603" s="998"/>
      <c r="N603" s="998"/>
      <c r="O603" s="998"/>
      <c r="P603" s="998"/>
      <c r="Q603" s="1302"/>
      <c r="R603" s="1302"/>
      <c r="S603" s="1302"/>
      <c r="T603" s="1302"/>
      <c r="U603" s="1302"/>
      <c r="V603" s="1302"/>
      <c r="W603" s="1302"/>
      <c r="X603" s="1302"/>
      <c r="Y603" s="1302"/>
      <c r="Z603" s="1302"/>
    </row>
    <row r="604" spans="1:26" ht="18.75">
      <c r="A604" s="1326"/>
      <c r="B604" s="1327"/>
      <c r="C604" s="1327"/>
      <c r="D604" s="1327"/>
      <c r="E604" s="1014"/>
      <c r="F604" s="1014"/>
      <c r="G604" s="1007"/>
      <c r="H604" s="762" t="s">
        <v>34</v>
      </c>
      <c r="I604" s="880"/>
      <c r="J604" s="880">
        <f t="shared" si="257"/>
        <v>0</v>
      </c>
      <c r="K604" s="998"/>
      <c r="L604" s="998"/>
      <c r="M604" s="998"/>
      <c r="N604" s="998"/>
      <c r="O604" s="998"/>
      <c r="P604" s="998"/>
      <c r="Q604" s="1302"/>
      <c r="R604" s="1302"/>
      <c r="S604" s="1302"/>
      <c r="T604" s="1302"/>
      <c r="U604" s="1302"/>
      <c r="V604" s="1302"/>
      <c r="W604" s="1302"/>
      <c r="X604" s="1302"/>
      <c r="Y604" s="1302"/>
      <c r="Z604" s="1302"/>
    </row>
    <row r="605" spans="1:26" ht="18.75">
      <c r="A605" s="1326"/>
      <c r="B605" s="1327"/>
      <c r="C605" s="1327"/>
      <c r="D605" s="1401" t="s">
        <v>259</v>
      </c>
      <c r="E605" s="1014"/>
      <c r="F605" s="1014"/>
      <c r="G605" s="1007"/>
      <c r="H605" s="762" t="s">
        <v>46</v>
      </c>
      <c r="I605" s="880"/>
      <c r="J605" s="1012">
        <v>0</v>
      </c>
      <c r="K605" s="998"/>
      <c r="L605" s="998"/>
      <c r="M605" s="998"/>
      <c r="N605" s="998"/>
      <c r="O605" s="998"/>
      <c r="P605" s="998"/>
      <c r="Q605" s="1302"/>
      <c r="R605" s="1302"/>
      <c r="S605" s="1302"/>
      <c r="T605" s="1302"/>
      <c r="U605" s="1302"/>
      <c r="V605" s="1302"/>
      <c r="W605" s="1302"/>
      <c r="X605" s="1302"/>
      <c r="Y605" s="1302"/>
      <c r="Z605" s="1302"/>
    </row>
    <row r="606" spans="1:26" ht="18.75">
      <c r="A606" s="1326"/>
      <c r="B606" s="1327"/>
      <c r="C606" s="1327"/>
      <c r="D606" s="1327"/>
      <c r="E606" s="1327"/>
      <c r="F606" s="1014"/>
      <c r="G606" s="1007"/>
      <c r="H606" s="762" t="s">
        <v>34</v>
      </c>
      <c r="I606" s="880"/>
      <c r="J606" s="1012">
        <v>0</v>
      </c>
      <c r="K606" s="998"/>
      <c r="L606" s="998"/>
      <c r="M606" s="998"/>
      <c r="N606" s="998"/>
      <c r="O606" s="998"/>
      <c r="P606" s="998"/>
      <c r="Q606" s="1302"/>
      <c r="R606" s="1302"/>
      <c r="S606" s="1302"/>
      <c r="T606" s="1302"/>
      <c r="U606" s="1302"/>
      <c r="V606" s="1302"/>
      <c r="W606" s="1302"/>
      <c r="X606" s="1302"/>
      <c r="Y606" s="1302"/>
      <c r="Z606" s="1302"/>
    </row>
    <row r="607" spans="1:26" ht="18.75">
      <c r="A607" s="1326"/>
      <c r="B607" s="1327"/>
      <c r="C607" s="1327"/>
      <c r="D607" s="1401" t="s">
        <v>260</v>
      </c>
      <c r="E607" s="1327"/>
      <c r="F607" s="1014"/>
      <c r="G607" s="1007"/>
      <c r="H607" s="762" t="s">
        <v>46</v>
      </c>
      <c r="I607" s="880"/>
      <c r="J607" s="1012">
        <v>0</v>
      </c>
      <c r="K607" s="998"/>
      <c r="L607" s="998"/>
      <c r="M607" s="998"/>
      <c r="N607" s="998"/>
      <c r="O607" s="998"/>
      <c r="P607" s="998"/>
      <c r="Q607" s="1302"/>
      <c r="R607" s="1302"/>
      <c r="S607" s="1302"/>
      <c r="T607" s="1302"/>
      <c r="U607" s="1302"/>
      <c r="V607" s="1302"/>
      <c r="W607" s="1302"/>
      <c r="X607" s="1302"/>
      <c r="Y607" s="1302"/>
      <c r="Z607" s="1302"/>
    </row>
    <row r="608" spans="1:26" ht="18.75">
      <c r="A608" s="1326"/>
      <c r="B608" s="1327"/>
      <c r="C608" s="1327"/>
      <c r="D608" s="1327"/>
      <c r="E608" s="1014"/>
      <c r="F608" s="1014"/>
      <c r="G608" s="1007"/>
      <c r="H608" s="762" t="s">
        <v>34</v>
      </c>
      <c r="I608" s="880"/>
      <c r="J608" s="1012">
        <v>0</v>
      </c>
      <c r="K608" s="998"/>
      <c r="L608" s="998"/>
      <c r="M608" s="998"/>
      <c r="N608" s="998"/>
      <c r="O608" s="998"/>
      <c r="P608" s="998"/>
      <c r="Q608" s="1302"/>
      <c r="R608" s="1302"/>
      <c r="S608" s="1302"/>
      <c r="T608" s="1302"/>
      <c r="U608" s="1302"/>
      <c r="V608" s="1302"/>
      <c r="W608" s="1302"/>
      <c r="X608" s="1302"/>
      <c r="Y608" s="1302"/>
      <c r="Z608" s="1302"/>
    </row>
    <row r="609" spans="1:26" ht="18.75">
      <c r="A609" s="1326"/>
      <c r="B609" s="1327"/>
      <c r="C609" s="1327" t="s">
        <v>261</v>
      </c>
      <c r="D609" s="1327"/>
      <c r="E609" s="1327"/>
      <c r="F609" s="1014"/>
      <c r="G609" s="1007"/>
      <c r="H609" s="762" t="s">
        <v>46</v>
      </c>
      <c r="I609" s="880"/>
      <c r="J609" s="1012">
        <v>0</v>
      </c>
      <c r="K609" s="998"/>
      <c r="L609" s="998"/>
      <c r="M609" s="998"/>
      <c r="N609" s="998"/>
      <c r="O609" s="998"/>
      <c r="P609" s="998"/>
      <c r="Q609" s="1302"/>
      <c r="R609" s="1302"/>
      <c r="S609" s="1302"/>
      <c r="T609" s="1302"/>
      <c r="U609" s="1302"/>
      <c r="V609" s="1302"/>
      <c r="W609" s="1302"/>
      <c r="X609" s="1302"/>
      <c r="Y609" s="1302"/>
      <c r="Z609" s="1302"/>
    </row>
    <row r="610" spans="1:26" ht="18.75">
      <c r="A610" s="1326"/>
      <c r="B610" s="1327"/>
      <c r="C610" s="1327"/>
      <c r="D610" s="1327"/>
      <c r="E610" s="1014"/>
      <c r="F610" s="1014"/>
      <c r="G610" s="1007"/>
      <c r="H610" s="762" t="s">
        <v>34</v>
      </c>
      <c r="I610" s="880"/>
      <c r="J610" s="1012">
        <v>0</v>
      </c>
      <c r="K610" s="998"/>
      <c r="L610" s="998"/>
      <c r="M610" s="998"/>
      <c r="N610" s="998"/>
      <c r="O610" s="998"/>
      <c r="P610" s="998"/>
      <c r="Q610" s="1302"/>
      <c r="R610" s="1302"/>
      <c r="S610" s="1302"/>
      <c r="T610" s="1302"/>
      <c r="U610" s="1302"/>
      <c r="V610" s="1302"/>
      <c r="W610" s="1302"/>
      <c r="X610" s="1302"/>
      <c r="Y610" s="1302"/>
      <c r="Z610" s="1302"/>
    </row>
    <row r="611" spans="1:26" ht="19.5" hidden="1">
      <c r="A611" s="1390"/>
      <c r="B611" s="1402" t="s">
        <v>262</v>
      </c>
      <c r="C611" s="1392"/>
      <c r="D611" s="1392"/>
      <c r="E611" s="1375"/>
      <c r="F611" s="1375"/>
      <c r="G611" s="1376"/>
      <c r="H611" s="705" t="s">
        <v>46</v>
      </c>
      <c r="I611" s="1377">
        <v>0</v>
      </c>
      <c r="J611" s="1377">
        <f>J614+J616</f>
        <v>0</v>
      </c>
      <c r="K611" s="1378">
        <f t="shared" ref="K611:K613" si="258">IF(I611&gt;0,J611*100/I611,0)</f>
        <v>0</v>
      </c>
      <c r="L611" s="1379"/>
      <c r="M611" s="1379"/>
      <c r="N611" s="1379"/>
      <c r="O611" s="1379"/>
      <c r="P611" s="1379"/>
      <c r="Q611" s="1302"/>
      <c r="R611" s="1302"/>
      <c r="S611" s="1302"/>
      <c r="T611" s="1302"/>
      <c r="U611" s="1302"/>
      <c r="V611" s="1302"/>
      <c r="W611" s="1302"/>
      <c r="X611" s="1302"/>
      <c r="Y611" s="1302"/>
      <c r="Z611" s="1302"/>
    </row>
    <row r="612" spans="1:26" ht="19.5" hidden="1">
      <c r="A612" s="1403"/>
      <c r="B612" s="1404"/>
      <c r="C612" s="1405" t="s">
        <v>263</v>
      </c>
      <c r="D612" s="1404"/>
      <c r="E612" s="1404"/>
      <c r="F612" s="1406"/>
      <c r="G612" s="1407"/>
      <c r="H612" s="712" t="s">
        <v>46</v>
      </c>
      <c r="I612" s="1408">
        <v>0</v>
      </c>
      <c r="J612" s="1408">
        <f t="shared" ref="J612:J613" si="259">J614+J616</f>
        <v>0</v>
      </c>
      <c r="K612" s="1409">
        <f t="shared" si="258"/>
        <v>0</v>
      </c>
      <c r="L612" s="1410"/>
      <c r="M612" s="1410"/>
      <c r="N612" s="1410"/>
      <c r="O612" s="1410"/>
      <c r="P612" s="1410"/>
      <c r="Q612" s="1323"/>
      <c r="R612" s="1323"/>
      <c r="S612" s="1323"/>
      <c r="T612" s="1323"/>
      <c r="U612" s="1323"/>
      <c r="V612" s="1323"/>
      <c r="W612" s="1323"/>
      <c r="X612" s="1323"/>
      <c r="Y612" s="1323"/>
      <c r="Z612" s="1323"/>
    </row>
    <row r="613" spans="1:26" ht="19.5" hidden="1">
      <c r="A613" s="1403"/>
      <c r="B613" s="1404"/>
      <c r="C613" s="1404" t="s">
        <v>264</v>
      </c>
      <c r="D613" s="1404"/>
      <c r="E613" s="1404"/>
      <c r="F613" s="1406"/>
      <c r="G613" s="1407"/>
      <c r="H613" s="712" t="s">
        <v>34</v>
      </c>
      <c r="I613" s="1408">
        <v>0</v>
      </c>
      <c r="J613" s="1408">
        <f t="shared" si="259"/>
        <v>0</v>
      </c>
      <c r="K613" s="1409">
        <f t="shared" si="258"/>
        <v>0</v>
      </c>
      <c r="L613" s="1410"/>
      <c r="M613" s="1410"/>
      <c r="N613" s="1410"/>
      <c r="O613" s="1410"/>
      <c r="P613" s="1410"/>
      <c r="Q613" s="1323"/>
      <c r="R613" s="1323"/>
      <c r="S613" s="1323"/>
      <c r="T613" s="1323"/>
      <c r="U613" s="1323"/>
      <c r="V613" s="1323"/>
      <c r="W613" s="1323"/>
      <c r="X613" s="1323"/>
      <c r="Y613" s="1323"/>
      <c r="Z613" s="1323"/>
    </row>
    <row r="614" spans="1:26" ht="18.75" hidden="1">
      <c r="A614" s="1332"/>
      <c r="B614" s="1333"/>
      <c r="C614" s="1333"/>
      <c r="D614" s="1321" t="s">
        <v>265</v>
      </c>
      <c r="E614" s="1333"/>
      <c r="F614" s="1321"/>
      <c r="G614" s="1113"/>
      <c r="H614" s="370" t="s">
        <v>46</v>
      </c>
      <c r="I614" s="886"/>
      <c r="J614" s="886">
        <v>0</v>
      </c>
      <c r="K614" s="1001"/>
      <c r="L614" s="1001"/>
      <c r="M614" s="1001"/>
      <c r="N614" s="1001"/>
      <c r="O614" s="1001"/>
      <c r="P614" s="1001"/>
      <c r="Q614" s="1323"/>
      <c r="R614" s="1323"/>
      <c r="S614" s="1323"/>
      <c r="T614" s="1323"/>
      <c r="U614" s="1323"/>
      <c r="V614" s="1323"/>
      <c r="W614" s="1323"/>
      <c r="X614" s="1323"/>
      <c r="Y614" s="1323"/>
      <c r="Z614" s="1323"/>
    </row>
    <row r="615" spans="1:26" ht="18.75" hidden="1">
      <c r="A615" s="1332"/>
      <c r="B615" s="1333"/>
      <c r="C615" s="1333"/>
      <c r="D615" s="1333"/>
      <c r="E615" s="1333"/>
      <c r="F615" s="1321"/>
      <c r="G615" s="1113"/>
      <c r="H615" s="370" t="s">
        <v>34</v>
      </c>
      <c r="I615" s="886"/>
      <c r="J615" s="886">
        <v>0</v>
      </c>
      <c r="K615" s="1001"/>
      <c r="L615" s="1001"/>
      <c r="M615" s="1001"/>
      <c r="N615" s="1001"/>
      <c r="O615" s="1001"/>
      <c r="P615" s="1001"/>
      <c r="Q615" s="1323"/>
      <c r="R615" s="1323"/>
      <c r="S615" s="1323"/>
      <c r="T615" s="1323"/>
      <c r="U615" s="1323"/>
      <c r="V615" s="1323"/>
      <c r="W615" s="1323"/>
      <c r="X615" s="1323"/>
      <c r="Y615" s="1323"/>
      <c r="Z615" s="1323"/>
    </row>
    <row r="616" spans="1:26" ht="18.75" hidden="1">
      <c r="A616" s="1332"/>
      <c r="B616" s="1333"/>
      <c r="C616" s="1333"/>
      <c r="D616" s="1411" t="s">
        <v>265</v>
      </c>
      <c r="E616" s="1321"/>
      <c r="F616" s="1321"/>
      <c r="G616" s="1113"/>
      <c r="H616" s="370" t="s">
        <v>46</v>
      </c>
      <c r="I616" s="886"/>
      <c r="J616" s="886">
        <v>0</v>
      </c>
      <c r="K616" s="1001"/>
      <c r="L616" s="1001"/>
      <c r="M616" s="1001"/>
      <c r="N616" s="1001"/>
      <c r="O616" s="1001"/>
      <c r="P616" s="1001"/>
      <c r="Q616" s="1323"/>
      <c r="R616" s="1323"/>
      <c r="S616" s="1323"/>
      <c r="T616" s="1323"/>
      <c r="U616" s="1323"/>
      <c r="V616" s="1323"/>
      <c r="W616" s="1323"/>
      <c r="X616" s="1323"/>
      <c r="Y616" s="1323"/>
      <c r="Z616" s="1323"/>
    </row>
    <row r="617" spans="1:26" ht="18.75" hidden="1">
      <c r="A617" s="1332"/>
      <c r="B617" s="1333"/>
      <c r="C617" s="1333"/>
      <c r="D617" s="1333"/>
      <c r="E617" s="1321"/>
      <c r="F617" s="1321"/>
      <c r="G617" s="1113"/>
      <c r="H617" s="370" t="s">
        <v>34</v>
      </c>
      <c r="I617" s="886"/>
      <c r="J617" s="886">
        <v>0</v>
      </c>
      <c r="K617" s="1001"/>
      <c r="L617" s="1001"/>
      <c r="M617" s="1001"/>
      <c r="N617" s="1001"/>
      <c r="O617" s="1001"/>
      <c r="P617" s="1001"/>
      <c r="Q617" s="1323"/>
      <c r="R617" s="1323"/>
      <c r="S617" s="1323"/>
      <c r="T617" s="1323"/>
      <c r="U617" s="1323"/>
      <c r="V617" s="1323"/>
      <c r="W617" s="1323"/>
      <c r="X617" s="1323"/>
      <c r="Y617" s="1323"/>
      <c r="Z617" s="1323"/>
    </row>
    <row r="618" spans="1:26" ht="18.75" hidden="1">
      <c r="A618" s="1332"/>
      <c r="B618" s="1333"/>
      <c r="C618" s="1333"/>
      <c r="D618" s="1411" t="s">
        <v>266</v>
      </c>
      <c r="E618" s="1321"/>
      <c r="F618" s="1321"/>
      <c r="G618" s="1113"/>
      <c r="H618" s="370" t="s">
        <v>46</v>
      </c>
      <c r="I618" s="886"/>
      <c r="J618" s="886">
        <v>0</v>
      </c>
      <c r="K618" s="1001"/>
      <c r="L618" s="1001"/>
      <c r="M618" s="1001"/>
      <c r="N618" s="1001"/>
      <c r="O618" s="1001"/>
      <c r="P618" s="1001"/>
      <c r="Q618" s="1323"/>
      <c r="R618" s="1323"/>
      <c r="S618" s="1323"/>
      <c r="T618" s="1323"/>
      <c r="U618" s="1323"/>
      <c r="V618" s="1323"/>
      <c r="W618" s="1323"/>
      <c r="X618" s="1323"/>
      <c r="Y618" s="1323"/>
      <c r="Z618" s="1323"/>
    </row>
    <row r="619" spans="1:26" ht="18.75" hidden="1">
      <c r="A619" s="1332"/>
      <c r="B619" s="1333"/>
      <c r="C619" s="1333"/>
      <c r="D619" s="1333"/>
      <c r="E619" s="1321"/>
      <c r="F619" s="1321"/>
      <c r="G619" s="1113"/>
      <c r="H619" s="370" t="s">
        <v>34</v>
      </c>
      <c r="I619" s="886"/>
      <c r="J619" s="886">
        <v>0</v>
      </c>
      <c r="K619" s="1001"/>
      <c r="L619" s="1001"/>
      <c r="M619" s="1001"/>
      <c r="N619" s="1001"/>
      <c r="O619" s="1001"/>
      <c r="P619" s="1001"/>
      <c r="Q619" s="1323"/>
      <c r="R619" s="1323"/>
      <c r="S619" s="1323"/>
      <c r="T619" s="1323"/>
      <c r="U619" s="1323"/>
      <c r="V619" s="1323"/>
      <c r="W619" s="1323"/>
      <c r="X619" s="1323"/>
      <c r="Y619" s="1323"/>
      <c r="Z619" s="1323"/>
    </row>
    <row r="620" spans="1:26" ht="19.5" hidden="1">
      <c r="A620" s="1412"/>
      <c r="B620" s="1413"/>
      <c r="C620" s="1414" t="s">
        <v>267</v>
      </c>
      <c r="D620" s="1413"/>
      <c r="E620" s="1413"/>
      <c r="F620" s="1415"/>
      <c r="G620" s="1416"/>
      <c r="H620" s="725" t="s">
        <v>46</v>
      </c>
      <c r="I620" s="1417">
        <f ca="1">IFERROR(__xludf.DUMMYFUNCTION("IMPORTRANGE(""https://docs.google.com/spreadsheets/d/1QqKyyYR6Q21VydFLVH3TRQUabQu_ym0Zz7PgGX0-kHA/edit?usp=sharing"",""แผน!HL88"")"),0)</f>
        <v>0</v>
      </c>
      <c r="J620" s="1417">
        <f t="shared" ref="J620:J621" si="260">J622+J624+J626</f>
        <v>0</v>
      </c>
      <c r="K620" s="1418">
        <f t="shared" ref="K620:K621" ca="1" si="261">IF(I620&gt;0,J620*100/I620,0)</f>
        <v>0</v>
      </c>
      <c r="L620" s="1419"/>
      <c r="M620" s="1419"/>
      <c r="N620" s="1419"/>
      <c r="O620" s="1419"/>
      <c r="P620" s="1419"/>
      <c r="Q620" s="1302"/>
      <c r="R620" s="1302"/>
      <c r="S620" s="1302"/>
      <c r="T620" s="1302"/>
      <c r="U620" s="1302"/>
      <c r="V620" s="1302"/>
      <c r="W620" s="1302"/>
      <c r="X620" s="1302"/>
      <c r="Y620" s="1302"/>
      <c r="Z620" s="1302"/>
    </row>
    <row r="621" spans="1:26" ht="19.5" hidden="1">
      <c r="A621" s="1412"/>
      <c r="B621" s="1413"/>
      <c r="C621" s="1413" t="s">
        <v>268</v>
      </c>
      <c r="D621" s="1413"/>
      <c r="E621" s="1413"/>
      <c r="F621" s="1415"/>
      <c r="G621" s="1416"/>
      <c r="H621" s="725" t="s">
        <v>34</v>
      </c>
      <c r="I621" s="1417">
        <f ca="1">IFERROR(__xludf.DUMMYFUNCTION("IMPORTRANGE(""https://docs.google.com/spreadsheets/d/1QqKyyYR6Q21VydFLVH3TRQUabQu_ym0Zz7PgGX0-kHA/edit?usp=sharing"",""แผน!HK88"")"),0)</f>
        <v>0</v>
      </c>
      <c r="J621" s="1417">
        <f t="shared" si="260"/>
        <v>0</v>
      </c>
      <c r="K621" s="1418">
        <f t="shared" ca="1" si="261"/>
        <v>0</v>
      </c>
      <c r="L621" s="1419"/>
      <c r="M621" s="1419"/>
      <c r="N621" s="1419"/>
      <c r="O621" s="1419"/>
      <c r="P621" s="1419"/>
      <c r="Q621" s="1302"/>
      <c r="R621" s="1302"/>
      <c r="S621" s="1302"/>
      <c r="T621" s="1302"/>
      <c r="U621" s="1302"/>
      <c r="V621" s="1302"/>
      <c r="W621" s="1302"/>
      <c r="X621" s="1302"/>
      <c r="Y621" s="1302"/>
      <c r="Z621" s="1302"/>
    </row>
    <row r="622" spans="1:26" ht="18.75" hidden="1">
      <c r="A622" s="1326"/>
      <c r="B622" s="1327"/>
      <c r="C622" s="1327"/>
      <c r="D622" s="1069" t="s">
        <v>269</v>
      </c>
      <c r="E622" s="1014"/>
      <c r="F622" s="1014"/>
      <c r="G622" s="1007"/>
      <c r="H622" s="762" t="s">
        <v>46</v>
      </c>
      <c r="I622" s="880"/>
      <c r="J622" s="1012">
        <v>0</v>
      </c>
      <c r="K622" s="998"/>
      <c r="L622" s="998"/>
      <c r="M622" s="998"/>
      <c r="N622" s="998"/>
      <c r="O622" s="998"/>
      <c r="P622" s="998"/>
      <c r="Q622" s="1302"/>
      <c r="R622" s="1302"/>
      <c r="S622" s="1302"/>
      <c r="T622" s="1302"/>
      <c r="U622" s="1302"/>
      <c r="V622" s="1302"/>
      <c r="W622" s="1302"/>
      <c r="X622" s="1302"/>
      <c r="Y622" s="1302"/>
      <c r="Z622" s="1302"/>
    </row>
    <row r="623" spans="1:26" ht="18.75" hidden="1">
      <c r="A623" s="1326"/>
      <c r="B623" s="1327"/>
      <c r="C623" s="1327"/>
      <c r="D623" s="1327"/>
      <c r="E623" s="1014"/>
      <c r="F623" s="1014"/>
      <c r="G623" s="1007"/>
      <c r="H623" s="762" t="s">
        <v>34</v>
      </c>
      <c r="I623" s="880"/>
      <c r="J623" s="1012">
        <v>0</v>
      </c>
      <c r="K623" s="998"/>
      <c r="L623" s="998"/>
      <c r="M623" s="998"/>
      <c r="N623" s="998"/>
      <c r="O623" s="998"/>
      <c r="P623" s="998"/>
      <c r="Q623" s="1302"/>
      <c r="R623" s="1302"/>
      <c r="S623" s="1302"/>
      <c r="T623" s="1302"/>
      <c r="U623" s="1302"/>
      <c r="V623" s="1302"/>
      <c r="W623" s="1302"/>
      <c r="X623" s="1302"/>
      <c r="Y623" s="1302"/>
      <c r="Z623" s="1302"/>
    </row>
    <row r="624" spans="1:26" ht="18.75" hidden="1">
      <c r="A624" s="1326"/>
      <c r="B624" s="1327"/>
      <c r="C624" s="1327"/>
      <c r="D624" s="1069" t="s">
        <v>265</v>
      </c>
      <c r="E624" s="1014"/>
      <c r="F624" s="1014"/>
      <c r="G624" s="1007"/>
      <c r="H624" s="762" t="s">
        <v>46</v>
      </c>
      <c r="I624" s="880"/>
      <c r="J624" s="1012">
        <v>0</v>
      </c>
      <c r="K624" s="998"/>
      <c r="L624" s="998"/>
      <c r="M624" s="998"/>
      <c r="N624" s="998"/>
      <c r="O624" s="998"/>
      <c r="P624" s="998"/>
      <c r="Q624" s="1302"/>
      <c r="R624" s="1302"/>
      <c r="S624" s="1302"/>
      <c r="T624" s="1302"/>
      <c r="U624" s="1302"/>
      <c r="V624" s="1302"/>
      <c r="W624" s="1302"/>
      <c r="X624" s="1302"/>
      <c r="Y624" s="1302"/>
      <c r="Z624" s="1302"/>
    </row>
    <row r="625" spans="1:26" ht="18.75" hidden="1">
      <c r="A625" s="1326"/>
      <c r="B625" s="1327"/>
      <c r="C625" s="1327"/>
      <c r="D625" s="1327"/>
      <c r="E625" s="1014"/>
      <c r="F625" s="1014"/>
      <c r="G625" s="1007"/>
      <c r="H625" s="762" t="s">
        <v>34</v>
      </c>
      <c r="I625" s="880"/>
      <c r="J625" s="1012">
        <v>0</v>
      </c>
      <c r="K625" s="998"/>
      <c r="L625" s="998"/>
      <c r="M625" s="998"/>
      <c r="N625" s="998"/>
      <c r="O625" s="998"/>
      <c r="P625" s="998"/>
      <c r="Q625" s="1302"/>
      <c r="R625" s="1302"/>
      <c r="S625" s="1302"/>
      <c r="T625" s="1302"/>
      <c r="U625" s="1302"/>
      <c r="V625" s="1302"/>
      <c r="W625" s="1302"/>
      <c r="X625" s="1302"/>
      <c r="Y625" s="1302"/>
      <c r="Z625" s="1302"/>
    </row>
    <row r="626" spans="1:26" ht="18.75" hidden="1">
      <c r="A626" s="1326"/>
      <c r="B626" s="1327"/>
      <c r="C626" s="1327"/>
      <c r="D626" s="1069" t="s">
        <v>270</v>
      </c>
      <c r="E626" s="1014"/>
      <c r="F626" s="1014"/>
      <c r="G626" s="1007"/>
      <c r="H626" s="762" t="s">
        <v>46</v>
      </c>
      <c r="I626" s="880"/>
      <c r="J626" s="1012">
        <v>0</v>
      </c>
      <c r="K626" s="998"/>
      <c r="L626" s="998"/>
      <c r="M626" s="998"/>
      <c r="N626" s="998"/>
      <c r="O626" s="998"/>
      <c r="P626" s="998"/>
      <c r="Q626" s="1302"/>
      <c r="R626" s="1302"/>
      <c r="S626" s="1302"/>
      <c r="T626" s="1302"/>
      <c r="U626" s="1302"/>
      <c r="V626" s="1302"/>
      <c r="W626" s="1302"/>
      <c r="X626" s="1302"/>
      <c r="Y626" s="1302"/>
      <c r="Z626" s="1302"/>
    </row>
    <row r="627" spans="1:26" ht="18.75" hidden="1">
      <c r="A627" s="1420"/>
      <c r="B627" s="1421"/>
      <c r="C627" s="1421"/>
      <c r="D627" s="1421"/>
      <c r="E627" s="1169"/>
      <c r="F627" s="1169"/>
      <c r="G627" s="1422"/>
      <c r="H627" s="423" t="s">
        <v>34</v>
      </c>
      <c r="I627" s="1138"/>
      <c r="J627" s="1171">
        <v>0</v>
      </c>
      <c r="K627" s="1139"/>
      <c r="L627" s="1139"/>
      <c r="M627" s="1139"/>
      <c r="N627" s="1139"/>
      <c r="O627" s="1139"/>
      <c r="P627" s="1139"/>
      <c r="Q627" s="1302"/>
      <c r="R627" s="1302"/>
      <c r="S627" s="1302"/>
      <c r="T627" s="1302"/>
      <c r="U627" s="1302"/>
      <c r="V627" s="1302"/>
      <c r="W627" s="1302"/>
      <c r="X627" s="1302"/>
      <c r="Y627" s="1302"/>
      <c r="Z627" s="1302"/>
    </row>
    <row r="628" spans="1:26" ht="19.5" hidden="1">
      <c r="A628" s="734">
        <v>7</v>
      </c>
      <c r="B628" s="1423" t="s">
        <v>271</v>
      </c>
      <c r="C628" s="1424"/>
      <c r="D628" s="1424"/>
      <c r="E628" s="1424"/>
      <c r="F628" s="1424"/>
      <c r="G628" s="1425"/>
      <c r="H628" s="738" t="s">
        <v>35</v>
      </c>
      <c r="I628" s="1426">
        <f t="shared" ref="I628:J628" ca="1" si="262">I651</f>
        <v>0</v>
      </c>
      <c r="J628" s="1426">
        <f t="shared" ca="1" si="262"/>
        <v>0</v>
      </c>
      <c r="K628" s="1427">
        <f ca="1">IF(I628&gt;0,J628*100/I628,0)</f>
        <v>0</v>
      </c>
      <c r="L628" s="1428"/>
      <c r="M628" s="1428"/>
      <c r="N628" s="1428"/>
      <c r="O628" s="1428"/>
      <c r="P628" s="1428"/>
      <c r="Q628" s="1302"/>
      <c r="R628" s="1302"/>
      <c r="S628" s="1302"/>
      <c r="T628" s="1302"/>
      <c r="U628" s="1302"/>
      <c r="V628" s="1302"/>
      <c r="W628" s="1302"/>
      <c r="X628" s="1302"/>
      <c r="Y628" s="1302"/>
      <c r="Z628" s="1302"/>
    </row>
    <row r="629" spans="1:26" ht="19.5" hidden="1">
      <c r="A629" s="1317"/>
      <c r="B629" s="1301"/>
      <c r="C629" s="1301" t="s">
        <v>16</v>
      </c>
      <c r="D629" s="1318" t="s">
        <v>17</v>
      </c>
      <c r="E629" s="841"/>
      <c r="F629" s="841"/>
      <c r="G629" s="1016"/>
      <c r="H629" s="597" t="s">
        <v>12</v>
      </c>
      <c r="I629" s="880"/>
      <c r="J629" s="880"/>
      <c r="K629" s="881"/>
      <c r="L629" s="1020">
        <f t="shared" ref="L629:N629" ca="1" si="263">L630+L631</f>
        <v>0</v>
      </c>
      <c r="M629" s="1020">
        <f t="shared" si="263"/>
        <v>0</v>
      </c>
      <c r="N629" s="1020">
        <f t="shared" si="263"/>
        <v>0</v>
      </c>
      <c r="O629" s="1020">
        <f t="shared" ref="O629:O634" ca="1" si="264">IF(L629&gt;0,N629*100/L629,0)</f>
        <v>0</v>
      </c>
      <c r="P629" s="1020">
        <f t="shared" ref="P629:P634" si="265">IF(M629&gt;0,N629*100/M629,0)</f>
        <v>0</v>
      </c>
      <c r="Q629" s="1302"/>
      <c r="R629" s="1302"/>
      <c r="S629" s="1302"/>
      <c r="T629" s="1302"/>
      <c r="U629" s="1302"/>
      <c r="V629" s="1302"/>
      <c r="W629" s="1302"/>
      <c r="X629" s="1302"/>
      <c r="Y629" s="1302"/>
      <c r="Z629" s="1302"/>
    </row>
    <row r="630" spans="1:26" ht="18.75" hidden="1">
      <c r="A630" s="1319"/>
      <c r="B630" s="1320"/>
      <c r="C630" s="1320"/>
      <c r="D630" s="1321"/>
      <c r="E630" s="1320" t="s">
        <v>185</v>
      </c>
      <c r="F630" s="1320"/>
      <c r="G630" s="1322"/>
      <c r="H630" s="165" t="s">
        <v>12</v>
      </c>
      <c r="I630" s="886"/>
      <c r="J630" s="886"/>
      <c r="K630" s="887"/>
      <c r="L630" s="887">
        <f t="shared" ref="L630:N631" si="266">L633+L640</f>
        <v>0</v>
      </c>
      <c r="M630" s="887">
        <f t="shared" si="266"/>
        <v>0</v>
      </c>
      <c r="N630" s="887">
        <f t="shared" si="266"/>
        <v>0</v>
      </c>
      <c r="O630" s="887">
        <f t="shared" si="264"/>
        <v>0</v>
      </c>
      <c r="P630" s="887">
        <f t="shared" si="265"/>
        <v>0</v>
      </c>
      <c r="Q630" s="1323"/>
      <c r="R630" s="1323"/>
      <c r="S630" s="1323"/>
      <c r="T630" s="1323"/>
      <c r="U630" s="1323"/>
      <c r="V630" s="1323"/>
      <c r="W630" s="1323"/>
      <c r="X630" s="1323"/>
      <c r="Y630" s="1323"/>
      <c r="Z630" s="1323"/>
    </row>
    <row r="631" spans="1:26" ht="18.75" hidden="1">
      <c r="A631" s="1319"/>
      <c r="B631" s="1324"/>
      <c r="C631" s="1320"/>
      <c r="D631" s="1321"/>
      <c r="E631" s="1320" t="s">
        <v>186</v>
      </c>
      <c r="F631" s="1320"/>
      <c r="G631" s="1322"/>
      <c r="H631" s="165" t="s">
        <v>12</v>
      </c>
      <c r="I631" s="886"/>
      <c r="J631" s="886"/>
      <c r="K631" s="887"/>
      <c r="L631" s="887">
        <f t="shared" ca="1" si="266"/>
        <v>0</v>
      </c>
      <c r="M631" s="887">
        <f t="shared" si="266"/>
        <v>0</v>
      </c>
      <c r="N631" s="887">
        <f t="shared" si="266"/>
        <v>0</v>
      </c>
      <c r="O631" s="887">
        <f t="shared" ca="1" si="264"/>
        <v>0</v>
      </c>
      <c r="P631" s="887">
        <f t="shared" si="265"/>
        <v>0</v>
      </c>
      <c r="Q631" s="1323"/>
      <c r="R631" s="1323"/>
      <c r="S631" s="1323"/>
      <c r="T631" s="1323"/>
      <c r="U631" s="1323"/>
      <c r="V631" s="1323"/>
      <c r="W631" s="1323"/>
      <c r="X631" s="1323"/>
      <c r="Y631" s="1323"/>
      <c r="Z631" s="1323"/>
    </row>
    <row r="632" spans="1:26" ht="18.75" hidden="1">
      <c r="A632" s="1317"/>
      <c r="B632" s="1300"/>
      <c r="C632" s="1301"/>
      <c r="D632" s="1325" t="s">
        <v>20</v>
      </c>
      <c r="E632" s="1301"/>
      <c r="F632" s="1301"/>
      <c r="G632" s="1016"/>
      <c r="H632" s="161" t="s">
        <v>12</v>
      </c>
      <c r="I632" s="997"/>
      <c r="J632" s="997"/>
      <c r="K632" s="998"/>
      <c r="L632" s="881">
        <f t="shared" ref="L632:N632" ca="1" si="267">L633+L634</f>
        <v>0</v>
      </c>
      <c r="M632" s="881">
        <f t="shared" si="267"/>
        <v>0</v>
      </c>
      <c r="N632" s="881">
        <f t="shared" si="267"/>
        <v>0</v>
      </c>
      <c r="O632" s="881">
        <f t="shared" ca="1" si="264"/>
        <v>0</v>
      </c>
      <c r="P632" s="881">
        <f t="shared" si="265"/>
        <v>0</v>
      </c>
      <c r="Q632" s="1302"/>
      <c r="R632" s="1302"/>
      <c r="S632" s="1302"/>
      <c r="T632" s="1302"/>
      <c r="U632" s="1302"/>
      <c r="V632" s="1302"/>
      <c r="W632" s="1302"/>
      <c r="X632" s="1302"/>
      <c r="Y632" s="1302"/>
      <c r="Z632" s="1302"/>
    </row>
    <row r="633" spans="1:26" ht="18.75" hidden="1">
      <c r="A633" s="1319"/>
      <c r="B633" s="1324"/>
      <c r="C633" s="1320"/>
      <c r="D633" s="1321"/>
      <c r="E633" s="1320" t="s">
        <v>185</v>
      </c>
      <c r="F633" s="1320"/>
      <c r="G633" s="1322"/>
      <c r="H633" s="165" t="s">
        <v>12</v>
      </c>
      <c r="I633" s="886"/>
      <c r="J633" s="886"/>
      <c r="K633" s="887"/>
      <c r="L633" s="887">
        <v>0</v>
      </c>
      <c r="M633" s="887">
        <v>0</v>
      </c>
      <c r="N633" s="887">
        <v>0</v>
      </c>
      <c r="O633" s="887">
        <f t="shared" si="264"/>
        <v>0</v>
      </c>
      <c r="P633" s="887">
        <f t="shared" si="265"/>
        <v>0</v>
      </c>
      <c r="Q633" s="1323"/>
      <c r="R633" s="1323"/>
      <c r="S633" s="1323"/>
      <c r="T633" s="1323"/>
      <c r="U633" s="1323"/>
      <c r="V633" s="1323"/>
      <c r="W633" s="1323"/>
      <c r="X633" s="1323"/>
      <c r="Y633" s="1323"/>
      <c r="Z633" s="1323"/>
    </row>
    <row r="634" spans="1:26" ht="18.75" hidden="1">
      <c r="A634" s="1319"/>
      <c r="B634" s="1324"/>
      <c r="C634" s="1320"/>
      <c r="D634" s="1321"/>
      <c r="E634" s="1320" t="s">
        <v>186</v>
      </c>
      <c r="F634" s="1320"/>
      <c r="G634" s="1322"/>
      <c r="H634" s="165" t="s">
        <v>12</v>
      </c>
      <c r="I634" s="886"/>
      <c r="J634" s="886"/>
      <c r="K634" s="887"/>
      <c r="L634" s="887">
        <f ca="1">IFERROR(__xludf.DUMMYFUNCTION("IMPORTRANGE(""https://docs.google.com/spreadsheets/d/1QqKyyYR6Q21VydFLVH3TRQUabQu_ym0Zz7PgGX0-kHA/edit?usp=sharing"",""แผน!HN88"")"),0)</f>
        <v>0</v>
      </c>
      <c r="M634" s="887">
        <v>0</v>
      </c>
      <c r="N634" s="887">
        <f>N635+N636+N637+N638</f>
        <v>0</v>
      </c>
      <c r="O634" s="887">
        <f t="shared" ca="1" si="264"/>
        <v>0</v>
      </c>
      <c r="P634" s="887">
        <f t="shared" si="265"/>
        <v>0</v>
      </c>
      <c r="Q634" s="1323"/>
      <c r="R634" s="1323"/>
      <c r="S634" s="1323"/>
      <c r="T634" s="1323"/>
      <c r="U634" s="1323"/>
      <c r="V634" s="1323"/>
      <c r="W634" s="1323"/>
      <c r="X634" s="1323"/>
      <c r="Y634" s="1323"/>
      <c r="Z634" s="1323"/>
    </row>
    <row r="635" spans="1:26" ht="18.75" hidden="1">
      <c r="A635" s="1299"/>
      <c r="B635" s="1300"/>
      <c r="C635" s="1301"/>
      <c r="D635" s="1301"/>
      <c r="E635" s="1301"/>
      <c r="F635" s="1301" t="s">
        <v>187</v>
      </c>
      <c r="G635" s="1016"/>
      <c r="H635" s="161" t="s">
        <v>12</v>
      </c>
      <c r="I635" s="880"/>
      <c r="J635" s="880"/>
      <c r="K635" s="881"/>
      <c r="L635" s="881"/>
      <c r="M635" s="881"/>
      <c r="N635" s="1085">
        <v>0</v>
      </c>
      <c r="O635" s="881"/>
      <c r="P635" s="881"/>
      <c r="Q635" s="1302"/>
      <c r="R635" s="1302"/>
      <c r="S635" s="1302"/>
      <c r="T635" s="1302"/>
      <c r="U635" s="1302"/>
      <c r="V635" s="1302"/>
      <c r="W635" s="1302"/>
      <c r="X635" s="1302"/>
      <c r="Y635" s="1302"/>
      <c r="Z635" s="1302"/>
    </row>
    <row r="636" spans="1:26" ht="18.75" hidden="1">
      <c r="A636" s="1299"/>
      <c r="B636" s="1300"/>
      <c r="C636" s="1301"/>
      <c r="D636" s="1301"/>
      <c r="E636" s="1301"/>
      <c r="F636" s="1301" t="s">
        <v>188</v>
      </c>
      <c r="G636" s="1016"/>
      <c r="H636" s="161" t="s">
        <v>12</v>
      </c>
      <c r="I636" s="880"/>
      <c r="J636" s="880"/>
      <c r="K636" s="881"/>
      <c r="L636" s="881"/>
      <c r="M636" s="881"/>
      <c r="N636" s="1085">
        <v>0</v>
      </c>
      <c r="O636" s="881"/>
      <c r="P636" s="881"/>
      <c r="Q636" s="1302"/>
      <c r="R636" s="1302"/>
      <c r="S636" s="1302"/>
      <c r="T636" s="1302"/>
      <c r="U636" s="1302"/>
      <c r="V636" s="1302"/>
      <c r="W636" s="1302"/>
      <c r="X636" s="1302"/>
      <c r="Y636" s="1302"/>
      <c r="Z636" s="1302"/>
    </row>
    <row r="637" spans="1:26" ht="18.75" hidden="1">
      <c r="A637" s="1299"/>
      <c r="B637" s="1300"/>
      <c r="C637" s="1301"/>
      <c r="D637" s="1301"/>
      <c r="E637" s="1301"/>
      <c r="F637" s="1301" t="s">
        <v>189</v>
      </c>
      <c r="G637" s="1016"/>
      <c r="H637" s="161" t="s">
        <v>12</v>
      </c>
      <c r="I637" s="880"/>
      <c r="J637" s="880"/>
      <c r="K637" s="881"/>
      <c r="L637" s="881"/>
      <c r="M637" s="881"/>
      <c r="N637" s="1085">
        <v>0</v>
      </c>
      <c r="O637" s="881"/>
      <c r="P637" s="881"/>
      <c r="Q637" s="1302"/>
      <c r="R637" s="1302"/>
      <c r="S637" s="1302"/>
      <c r="T637" s="1302"/>
      <c r="U637" s="1302"/>
      <c r="V637" s="1302"/>
      <c r="W637" s="1302"/>
      <c r="X637" s="1302"/>
      <c r="Y637" s="1302"/>
      <c r="Z637" s="1302"/>
    </row>
    <row r="638" spans="1:26" ht="18.75" hidden="1">
      <c r="A638" s="1299"/>
      <c r="B638" s="1300"/>
      <c r="C638" s="1301"/>
      <c r="D638" s="1301"/>
      <c r="E638" s="1301"/>
      <c r="F638" s="1301" t="s">
        <v>190</v>
      </c>
      <c r="G638" s="1016"/>
      <c r="H638" s="161" t="s">
        <v>12</v>
      </c>
      <c r="I638" s="880"/>
      <c r="J638" s="880"/>
      <c r="K638" s="881"/>
      <c r="L638" s="881"/>
      <c r="M638" s="881"/>
      <c r="N638" s="1085">
        <v>0</v>
      </c>
      <c r="O638" s="881"/>
      <c r="P638" s="881"/>
      <c r="Q638" s="1302"/>
      <c r="R638" s="1302"/>
      <c r="S638" s="1302"/>
      <c r="T638" s="1302"/>
      <c r="U638" s="1302"/>
      <c r="V638" s="1302"/>
      <c r="W638" s="1302"/>
      <c r="X638" s="1302"/>
      <c r="Y638" s="1302"/>
      <c r="Z638" s="1302"/>
    </row>
    <row r="639" spans="1:26" ht="18.75" hidden="1">
      <c r="A639" s="1317"/>
      <c r="B639" s="1300"/>
      <c r="C639" s="1301"/>
      <c r="D639" s="1325" t="s">
        <v>21</v>
      </c>
      <c r="E639" s="1301"/>
      <c r="F639" s="1301"/>
      <c r="G639" s="1016"/>
      <c r="H639" s="168" t="s">
        <v>12</v>
      </c>
      <c r="I639" s="997"/>
      <c r="J639" s="997"/>
      <c r="K639" s="998"/>
      <c r="L639" s="881">
        <f t="shared" ref="L639:N639" ca="1" si="268">L640+L641</f>
        <v>0</v>
      </c>
      <c r="M639" s="881">
        <f t="shared" si="268"/>
        <v>0</v>
      </c>
      <c r="N639" s="881">
        <f t="shared" si="268"/>
        <v>0</v>
      </c>
      <c r="O639" s="881">
        <f t="shared" ref="O639:O641" ca="1" si="269">IF(L639&gt;0,N639*100/L639,0)</f>
        <v>0</v>
      </c>
      <c r="P639" s="881">
        <f t="shared" ref="P639:P641" si="270">IF(M639&gt;0,N639*100/M639,0)</f>
        <v>0</v>
      </c>
      <c r="Q639" s="1302"/>
      <c r="R639" s="1302"/>
      <c r="S639" s="1302"/>
      <c r="T639" s="1302"/>
      <c r="U639" s="1302"/>
      <c r="V639" s="1302"/>
      <c r="W639" s="1302"/>
      <c r="X639" s="1302"/>
      <c r="Y639" s="1302"/>
      <c r="Z639" s="1302"/>
    </row>
    <row r="640" spans="1:26" ht="18.75" hidden="1">
      <c r="A640" s="1319"/>
      <c r="B640" s="1324"/>
      <c r="C640" s="1320"/>
      <c r="D640" s="1320"/>
      <c r="E640" s="1320" t="s">
        <v>18</v>
      </c>
      <c r="F640" s="1320"/>
      <c r="G640" s="1322"/>
      <c r="H640" s="165" t="s">
        <v>12</v>
      </c>
      <c r="I640" s="1000"/>
      <c r="J640" s="1000"/>
      <c r="K640" s="1001"/>
      <c r="L640" s="887">
        <v>0</v>
      </c>
      <c r="M640" s="887">
        <v>0</v>
      </c>
      <c r="N640" s="887">
        <v>0</v>
      </c>
      <c r="O640" s="887">
        <f t="shared" si="269"/>
        <v>0</v>
      </c>
      <c r="P640" s="887">
        <f t="shared" si="270"/>
        <v>0</v>
      </c>
      <c r="Q640" s="1323"/>
      <c r="R640" s="1323"/>
      <c r="S640" s="1323"/>
      <c r="T640" s="1323"/>
      <c r="U640" s="1323"/>
      <c r="V640" s="1323"/>
      <c r="W640" s="1323"/>
      <c r="X640" s="1323"/>
      <c r="Y640" s="1323"/>
      <c r="Z640" s="1323"/>
    </row>
    <row r="641" spans="1:26" ht="18.75" hidden="1">
      <c r="A641" s="1319"/>
      <c r="B641" s="1324"/>
      <c r="C641" s="1320"/>
      <c r="D641" s="1320"/>
      <c r="E641" s="1320" t="s">
        <v>19</v>
      </c>
      <c r="F641" s="1320"/>
      <c r="G641" s="1322"/>
      <c r="H641" s="169" t="s">
        <v>12</v>
      </c>
      <c r="I641" s="1000"/>
      <c r="J641" s="1000"/>
      <c r="K641" s="1001"/>
      <c r="L641" s="887">
        <f ca="1">IFERROR(__xludf.DUMMYFUNCTION("IMPORTRANGE(""https://docs.google.com/spreadsheets/d/1QqKyyYR6Q21VydFLVH3TRQUabQu_ym0Zz7PgGX0-kHA/edit?usp=sharing"",""แผน!HQ88"")"),0)</f>
        <v>0</v>
      </c>
      <c r="M641" s="887">
        <v>0</v>
      </c>
      <c r="N641" s="887">
        <v>0</v>
      </c>
      <c r="O641" s="887">
        <f t="shared" ca="1" si="269"/>
        <v>0</v>
      </c>
      <c r="P641" s="887">
        <f t="shared" si="270"/>
        <v>0</v>
      </c>
      <c r="Q641" s="1323"/>
      <c r="R641" s="1323"/>
      <c r="S641" s="1323"/>
      <c r="T641" s="1323"/>
      <c r="U641" s="1323"/>
      <c r="V641" s="1323"/>
      <c r="W641" s="1323"/>
      <c r="X641" s="1323"/>
      <c r="Y641" s="1323"/>
      <c r="Z641" s="1323"/>
    </row>
    <row r="642" spans="1:26" ht="19.5" hidden="1">
      <c r="A642" s="1326"/>
      <c r="B642" s="1327"/>
      <c r="C642" s="1301" t="s">
        <v>16</v>
      </c>
      <c r="D642" s="1380" t="s">
        <v>38</v>
      </c>
      <c r="E642" s="1330"/>
      <c r="F642" s="1330"/>
      <c r="G642" s="1331"/>
      <c r="H642" s="1007"/>
      <c r="I642" s="997"/>
      <c r="J642" s="997"/>
      <c r="K642" s="998"/>
      <c r="L642" s="998"/>
      <c r="M642" s="998"/>
      <c r="N642" s="998"/>
      <c r="O642" s="998"/>
      <c r="P642" s="998"/>
      <c r="Q642" s="1302"/>
      <c r="R642" s="1302"/>
      <c r="S642" s="1302"/>
      <c r="T642" s="1302"/>
      <c r="U642" s="1302"/>
      <c r="V642" s="1302"/>
      <c r="W642" s="1302"/>
      <c r="X642" s="1302"/>
      <c r="Y642" s="1302"/>
      <c r="Z642" s="1302"/>
    </row>
    <row r="643" spans="1:26" ht="18.75" hidden="1">
      <c r="A643" s="1429"/>
      <c r="B643" s="1300"/>
      <c r="C643" s="1301"/>
      <c r="D643" s="1014"/>
      <c r="E643" s="1069" t="s">
        <v>272</v>
      </c>
      <c r="F643" s="1014"/>
      <c r="G643" s="1007"/>
      <c r="H643" s="762" t="s">
        <v>273</v>
      </c>
      <c r="I643" s="880">
        <f ca="1">IFERROR(__xludf.DUMMYFUNCTION("IMPORTRANGE(""https://docs.google.com/spreadsheets/d/1QqKyyYR6Q21VydFLVH3TRQUabQu_ym0Zz7PgGX0-kHA/edit?usp=sharing"",""แผน!HR88"")"),0)</f>
        <v>0</v>
      </c>
      <c r="J643" s="1012">
        <v>0</v>
      </c>
      <c r="K643" s="998">
        <f t="shared" ref="K643:K652" ca="1" si="271">IF(I643&gt;0,J643*100/I643,0)</f>
        <v>0</v>
      </c>
      <c r="L643" s="998"/>
      <c r="M643" s="998"/>
      <c r="N643" s="881"/>
      <c r="O643" s="998"/>
      <c r="P643" s="998"/>
      <c r="Q643" s="1302"/>
      <c r="R643" s="1302"/>
      <c r="S643" s="1302"/>
      <c r="T643" s="1302"/>
      <c r="U643" s="1302"/>
      <c r="V643" s="1302"/>
      <c r="W643" s="1302"/>
      <c r="X643" s="1302"/>
      <c r="Y643" s="1302"/>
      <c r="Z643" s="1302"/>
    </row>
    <row r="644" spans="1:26" ht="18.75" hidden="1">
      <c r="A644" s="1429"/>
      <c r="B644" s="1300"/>
      <c r="C644" s="1301"/>
      <c r="D644" s="1014"/>
      <c r="E644" s="1069" t="s">
        <v>274</v>
      </c>
      <c r="F644" s="1014"/>
      <c r="G644" s="1007"/>
      <c r="H644" s="762" t="s">
        <v>275</v>
      </c>
      <c r="I644" s="880">
        <f ca="1">IFERROR(__xludf.DUMMYFUNCTION("IMPORTRANGE(""https://docs.google.com/spreadsheets/d/1QqKyyYR6Q21VydFLVH3TRQUabQu_ym0Zz7PgGX0-kHA/edit?usp=sharing"",""แผน!HR88"")"),0)</f>
        <v>0</v>
      </c>
      <c r="J644" s="1012">
        <v>0</v>
      </c>
      <c r="K644" s="998">
        <f t="shared" ca="1" si="271"/>
        <v>0</v>
      </c>
      <c r="L644" s="998"/>
      <c r="M644" s="998"/>
      <c r="N644" s="881"/>
      <c r="O644" s="998"/>
      <c r="P644" s="998"/>
      <c r="Q644" s="1302"/>
      <c r="R644" s="1302"/>
      <c r="S644" s="1302"/>
      <c r="T644" s="1302"/>
      <c r="U644" s="1302"/>
      <c r="V644" s="1302"/>
      <c r="W644" s="1302"/>
      <c r="X644" s="1302"/>
      <c r="Y644" s="1302"/>
      <c r="Z644" s="1302"/>
    </row>
    <row r="645" spans="1:26" ht="18.75" hidden="1">
      <c r="A645" s="1429"/>
      <c r="B645" s="1300"/>
      <c r="C645" s="1301"/>
      <c r="D645" s="1014"/>
      <c r="E645" s="1069" t="s">
        <v>276</v>
      </c>
      <c r="F645" s="1014"/>
      <c r="G645" s="1007"/>
      <c r="H645" s="762" t="s">
        <v>34</v>
      </c>
      <c r="I645" s="880">
        <v>0</v>
      </c>
      <c r="J645" s="880">
        <f ca="1">IFERROR(__xludf.DUMMYFUNCTION("IMPORTRANGE(""https://docs.google.com/spreadsheets/d/1XWAQStnk-4SwqDmLtmXYiTMKHgktTP8We1SCoS47DrQ/edit?usp=sharing"",""จัดที่ดิน!AS88"")"),0)</f>
        <v>0</v>
      </c>
      <c r="K645" s="998">
        <f t="shared" si="271"/>
        <v>0</v>
      </c>
      <c r="L645" s="998"/>
      <c r="M645" s="998"/>
      <c r="N645" s="881"/>
      <c r="O645" s="998"/>
      <c r="P645" s="998"/>
      <c r="Q645" s="1302"/>
      <c r="R645" s="1302"/>
      <c r="S645" s="1302"/>
      <c r="T645" s="1302"/>
      <c r="U645" s="1302"/>
      <c r="V645" s="1302"/>
      <c r="W645" s="1302"/>
      <c r="X645" s="1302"/>
      <c r="Y645" s="1302"/>
      <c r="Z645" s="1302"/>
    </row>
    <row r="646" spans="1:26" ht="18.75" hidden="1">
      <c r="A646" s="1429"/>
      <c r="B646" s="1300"/>
      <c r="C646" s="1301"/>
      <c r="D646" s="1014"/>
      <c r="E646" s="1014"/>
      <c r="F646" s="1014"/>
      <c r="G646" s="1007"/>
      <c r="H646" s="762" t="s">
        <v>46</v>
      </c>
      <c r="I646" s="880">
        <v>0</v>
      </c>
      <c r="J646" s="880">
        <f ca="1">IFERROR(__xludf.DUMMYFUNCTION("IMPORTRANGE(""https://docs.google.com/spreadsheets/d/1XWAQStnk-4SwqDmLtmXYiTMKHgktTP8We1SCoS47DrQ/edit?usp=sharing"",""จัดที่ดิน!AT88"")"),0)</f>
        <v>0</v>
      </c>
      <c r="K646" s="881">
        <f t="shared" si="271"/>
        <v>0</v>
      </c>
      <c r="L646" s="998"/>
      <c r="M646" s="998"/>
      <c r="N646" s="881"/>
      <c r="O646" s="998"/>
      <c r="P646" s="998"/>
      <c r="Q646" s="1302"/>
      <c r="R646" s="1302"/>
      <c r="S646" s="1302"/>
      <c r="T646" s="1302"/>
      <c r="U646" s="1302"/>
      <c r="V646" s="1302"/>
      <c r="W646" s="1302"/>
      <c r="X646" s="1302"/>
      <c r="Y646" s="1302"/>
      <c r="Z646" s="1302"/>
    </row>
    <row r="647" spans="1:26" ht="18.75" hidden="1">
      <c r="A647" s="1429"/>
      <c r="B647" s="1300"/>
      <c r="C647" s="1301"/>
      <c r="D647" s="1014"/>
      <c r="E647" s="1069" t="s">
        <v>162</v>
      </c>
      <c r="F647" s="1014"/>
      <c r="G647" s="1007"/>
      <c r="H647" s="762" t="s">
        <v>35</v>
      </c>
      <c r="I647" s="880">
        <f ca="1">IFERROR(__xludf.DUMMYFUNCTION("IMPORTRANGE(""https://docs.google.com/spreadsheets/d/1QqKyyYR6Q21VydFLVH3TRQUabQu_ym0Zz7PgGX0-kHA/edit?usp=sharing"",""แผน!HS88"")"),0)</f>
        <v>0</v>
      </c>
      <c r="J647" s="880">
        <f ca="1">IFERROR(__xludf.DUMMYFUNCTION("IMPORTRANGE(""https://docs.google.com/spreadsheets/d/1XWAQStnk-4SwqDmLtmXYiTMKHgktTP8We1SCoS47DrQ/edit?usp=sharing"",""จัดที่ดิน!AU88"")"),0)</f>
        <v>0</v>
      </c>
      <c r="K647" s="998">
        <f t="shared" ca="1" si="271"/>
        <v>0</v>
      </c>
      <c r="L647" s="998"/>
      <c r="M647" s="998"/>
      <c r="N647" s="998"/>
      <c r="O647" s="998"/>
      <c r="P647" s="998"/>
      <c r="Q647" s="1302"/>
      <c r="R647" s="1302"/>
      <c r="S647" s="1302"/>
      <c r="T647" s="1302"/>
      <c r="U647" s="1302"/>
      <c r="V647" s="1302"/>
      <c r="W647" s="1302"/>
      <c r="X647" s="1302"/>
      <c r="Y647" s="1302"/>
      <c r="Z647" s="1302"/>
    </row>
    <row r="648" spans="1:26" ht="18.75" hidden="1">
      <c r="A648" s="1429"/>
      <c r="B648" s="1300"/>
      <c r="C648" s="1301"/>
      <c r="D648" s="1014"/>
      <c r="E648" s="1014"/>
      <c r="F648" s="1014"/>
      <c r="G648" s="1007"/>
      <c r="H648" s="762" t="s">
        <v>46</v>
      </c>
      <c r="I648" s="880">
        <v>0</v>
      </c>
      <c r="J648" s="880">
        <f ca="1">IFERROR(__xludf.DUMMYFUNCTION("IMPORTRANGE(""https://docs.google.com/spreadsheets/d/1XWAQStnk-4SwqDmLtmXYiTMKHgktTP8We1SCoS47DrQ/edit?usp=sharing"",""จัดที่ดิน!AV88"")"),0)</f>
        <v>0</v>
      </c>
      <c r="K648" s="881">
        <f t="shared" si="271"/>
        <v>0</v>
      </c>
      <c r="L648" s="998"/>
      <c r="M648" s="998"/>
      <c r="N648" s="998"/>
      <c r="O648" s="998"/>
      <c r="P648" s="998"/>
      <c r="Q648" s="1302"/>
      <c r="R648" s="1302"/>
      <c r="S648" s="1302"/>
      <c r="T648" s="1302"/>
      <c r="U648" s="1302"/>
      <c r="V648" s="1302"/>
      <c r="W648" s="1302"/>
      <c r="X648" s="1302"/>
      <c r="Y648" s="1302"/>
      <c r="Z648" s="1302"/>
    </row>
    <row r="649" spans="1:26" ht="18.75" hidden="1">
      <c r="A649" s="1429"/>
      <c r="B649" s="1300"/>
      <c r="C649" s="1301"/>
      <c r="D649" s="1014"/>
      <c r="E649" s="1069" t="s">
        <v>277</v>
      </c>
      <c r="F649" s="1014"/>
      <c r="G649" s="1007"/>
      <c r="H649" s="762" t="s">
        <v>35</v>
      </c>
      <c r="I649" s="880">
        <f ca="1">IFERROR(__xludf.DUMMYFUNCTION("IMPORTRANGE(""https://docs.google.com/spreadsheets/d/1QqKyyYR6Q21VydFLVH3TRQUabQu_ym0Zz7PgGX0-kHA/edit?usp=sharing"",""แผน!HS88"")"),0)</f>
        <v>0</v>
      </c>
      <c r="J649" s="880">
        <f ca="1">IFERROR(__xludf.DUMMYFUNCTION("IMPORTRANGE(""https://docs.google.com/spreadsheets/d/1XWAQStnk-4SwqDmLtmXYiTMKHgktTP8We1SCoS47DrQ/edit?usp=sharing"",""จัดที่ดิน!AW88"")"),0)</f>
        <v>0</v>
      </c>
      <c r="K649" s="998">
        <f t="shared" ca="1" si="271"/>
        <v>0</v>
      </c>
      <c r="L649" s="998"/>
      <c r="M649" s="998"/>
      <c r="N649" s="998"/>
      <c r="O649" s="998"/>
      <c r="P649" s="998"/>
      <c r="Q649" s="1302"/>
      <c r="R649" s="1302"/>
      <c r="S649" s="1302"/>
      <c r="T649" s="1302"/>
      <c r="U649" s="1302"/>
      <c r="V649" s="1302"/>
      <c r="W649" s="1302"/>
      <c r="X649" s="1302"/>
      <c r="Y649" s="1302"/>
      <c r="Z649" s="1302"/>
    </row>
    <row r="650" spans="1:26" ht="18.75" hidden="1">
      <c r="A650" s="1429"/>
      <c r="B650" s="1300"/>
      <c r="C650" s="1301"/>
      <c r="D650" s="1014"/>
      <c r="E650" s="1014"/>
      <c r="F650" s="1014"/>
      <c r="G650" s="1007"/>
      <c r="H650" s="762" t="s">
        <v>46</v>
      </c>
      <c r="I650" s="880">
        <v>0</v>
      </c>
      <c r="J650" s="880">
        <f ca="1">IFERROR(__xludf.DUMMYFUNCTION("IMPORTRANGE(""https://docs.google.com/spreadsheets/d/1XWAQStnk-4SwqDmLtmXYiTMKHgktTP8We1SCoS47DrQ/edit?usp=sharing"",""จัดที่ดิน!AX88"")"),0)</f>
        <v>0</v>
      </c>
      <c r="K650" s="881">
        <f t="shared" si="271"/>
        <v>0</v>
      </c>
      <c r="L650" s="998"/>
      <c r="M650" s="998"/>
      <c r="N650" s="998"/>
      <c r="O650" s="998"/>
      <c r="P650" s="998"/>
      <c r="Q650" s="1302"/>
      <c r="R650" s="1302"/>
      <c r="S650" s="1302"/>
      <c r="T650" s="1302"/>
      <c r="U650" s="1302"/>
      <c r="V650" s="1302"/>
      <c r="W650" s="1302"/>
      <c r="X650" s="1302"/>
      <c r="Y650" s="1302"/>
      <c r="Z650" s="1302"/>
    </row>
    <row r="651" spans="1:26" ht="18.75" hidden="1">
      <c r="A651" s="1429"/>
      <c r="B651" s="1300"/>
      <c r="C651" s="1301"/>
      <c r="D651" s="1014"/>
      <c r="E651" s="1069" t="s">
        <v>278</v>
      </c>
      <c r="F651" s="1014"/>
      <c r="G651" s="1007"/>
      <c r="H651" s="762" t="s">
        <v>35</v>
      </c>
      <c r="I651" s="880">
        <f ca="1">IFERROR(__xludf.DUMMYFUNCTION("IMPORTRANGE(""https://docs.google.com/spreadsheets/d/1QqKyyYR6Q21VydFLVH3TRQUabQu_ym0Zz7PgGX0-kHA/edit?usp=sharing"",""แผน!HS88"")"),0)</f>
        <v>0</v>
      </c>
      <c r="J651" s="880">
        <f ca="1">IFERROR(__xludf.DUMMYFUNCTION("IMPORTRANGE(""https://docs.google.com/spreadsheets/d/1XWAQStnk-4SwqDmLtmXYiTMKHgktTP8We1SCoS47DrQ/edit?usp=sharing"",""จัดที่ดิน!AY88"")"),0)</f>
        <v>0</v>
      </c>
      <c r="K651" s="998">
        <f t="shared" ca="1" si="271"/>
        <v>0</v>
      </c>
      <c r="L651" s="998"/>
      <c r="M651" s="998"/>
      <c r="N651" s="998"/>
      <c r="O651" s="998"/>
      <c r="P651" s="998"/>
      <c r="Q651" s="1302"/>
      <c r="R651" s="1302"/>
      <c r="S651" s="1302"/>
      <c r="T651" s="1302"/>
      <c r="U651" s="1302"/>
      <c r="V651" s="1302"/>
      <c r="W651" s="1302"/>
      <c r="X651" s="1302"/>
      <c r="Y651" s="1302"/>
      <c r="Z651" s="1302"/>
    </row>
    <row r="652" spans="1:26" ht="18.75" hidden="1">
      <c r="A652" s="1430"/>
      <c r="B652" s="1431"/>
      <c r="C652" s="1432"/>
      <c r="D652" s="1169"/>
      <c r="E652" s="1169"/>
      <c r="F652" s="1169"/>
      <c r="G652" s="1422"/>
      <c r="H652" s="504" t="s">
        <v>46</v>
      </c>
      <c r="I652" s="1138">
        <v>0</v>
      </c>
      <c r="J652" s="1138">
        <f ca="1">IFERROR(__xludf.DUMMYFUNCTION("IMPORTRANGE(""https://docs.google.com/spreadsheets/d/1XWAQStnk-4SwqDmLtmXYiTMKHgktTP8We1SCoS47DrQ/edit?usp=sharing"",""จัดที่ดิน!AZ88"")"),0)</f>
        <v>0</v>
      </c>
      <c r="K652" s="1239">
        <f t="shared" si="271"/>
        <v>0</v>
      </c>
      <c r="L652" s="1139"/>
      <c r="M652" s="1139"/>
      <c r="N652" s="1139"/>
      <c r="O652" s="1139"/>
      <c r="P652" s="1139"/>
      <c r="Q652" s="1302"/>
      <c r="R652" s="1302"/>
      <c r="S652" s="1302"/>
      <c r="T652" s="1302"/>
      <c r="U652" s="1302"/>
      <c r="V652" s="1302"/>
      <c r="W652" s="1302"/>
      <c r="X652" s="1302"/>
      <c r="Y652" s="1302"/>
      <c r="Z652" s="1302"/>
    </row>
    <row r="653" spans="1:26" ht="19.5" hidden="1">
      <c r="A653" s="748">
        <v>8</v>
      </c>
      <c r="B653" s="1423" t="s">
        <v>279</v>
      </c>
      <c r="C653" s="1424"/>
      <c r="D653" s="1424"/>
      <c r="E653" s="1424"/>
      <c r="F653" s="1424"/>
      <c r="G653" s="1425"/>
      <c r="H653" s="1425"/>
      <c r="I653" s="1433"/>
      <c r="J653" s="1433"/>
      <c r="K653" s="1428"/>
      <c r="L653" s="1428"/>
      <c r="M653" s="1428"/>
      <c r="N653" s="1428"/>
      <c r="O653" s="1428"/>
      <c r="P653" s="1428"/>
      <c r="Q653" s="1302"/>
      <c r="R653" s="1302"/>
      <c r="S653" s="1302"/>
      <c r="T653" s="1302"/>
      <c r="U653" s="1302"/>
      <c r="V653" s="1302"/>
      <c r="W653" s="1302"/>
      <c r="X653" s="1302"/>
      <c r="Y653" s="1302"/>
      <c r="Z653" s="1302"/>
    </row>
    <row r="654" spans="1:26" ht="19.5" hidden="1">
      <c r="A654" s="1375"/>
      <c r="B654" s="1374" t="s">
        <v>280</v>
      </c>
      <c r="C654" s="1375"/>
      <c r="D654" s="1375"/>
      <c r="E654" s="1375"/>
      <c r="F654" s="1375"/>
      <c r="G654" s="1376"/>
      <c r="H654" s="705" t="s">
        <v>46</v>
      </c>
      <c r="I654" s="1377">
        <f t="shared" ref="I654:J654" ca="1" si="272">I669</f>
        <v>0</v>
      </c>
      <c r="J654" s="1377">
        <f t="shared" si="272"/>
        <v>0</v>
      </c>
      <c r="K654" s="1378">
        <f ca="1">IF(I654&gt;0,J654*100/I654,0)</f>
        <v>0</v>
      </c>
      <c r="L654" s="1379"/>
      <c r="M654" s="1379"/>
      <c r="N654" s="1379"/>
      <c r="O654" s="1379"/>
      <c r="P654" s="1379"/>
      <c r="Q654" s="1302"/>
      <c r="R654" s="1302"/>
      <c r="S654" s="1302"/>
      <c r="T654" s="1302"/>
      <c r="U654" s="1302"/>
      <c r="V654" s="1302"/>
      <c r="W654" s="1302"/>
      <c r="X654" s="1302"/>
      <c r="Y654" s="1302"/>
      <c r="Z654" s="1302"/>
    </row>
    <row r="655" spans="1:26" ht="19.5" hidden="1">
      <c r="A655" s="1317"/>
      <c r="B655" s="1301"/>
      <c r="C655" s="1301" t="s">
        <v>16</v>
      </c>
      <c r="D655" s="1318" t="s">
        <v>17</v>
      </c>
      <c r="E655" s="841"/>
      <c r="F655" s="841"/>
      <c r="G655" s="1016"/>
      <c r="H655" s="597" t="s">
        <v>12</v>
      </c>
      <c r="I655" s="880"/>
      <c r="J655" s="880"/>
      <c r="K655" s="881"/>
      <c r="L655" s="1020">
        <f t="shared" ref="L655:N655" ca="1" si="273">L656+L657</f>
        <v>0</v>
      </c>
      <c r="M655" s="1020">
        <f t="shared" si="273"/>
        <v>0</v>
      </c>
      <c r="N655" s="1020">
        <f t="shared" si="273"/>
        <v>0</v>
      </c>
      <c r="O655" s="1020">
        <f t="shared" ref="O655:O660" ca="1" si="274">IF(L655&gt;0,N655*100/L655,0)</f>
        <v>0</v>
      </c>
      <c r="P655" s="1020">
        <f t="shared" ref="P655:P660" si="275">IF(M655&gt;0,N655*100/M655,0)</f>
        <v>0</v>
      </c>
      <c r="Q655" s="1302"/>
      <c r="R655" s="1302"/>
      <c r="S655" s="1302"/>
      <c r="T655" s="1302"/>
      <c r="U655" s="1302"/>
      <c r="V655" s="1302"/>
      <c r="W655" s="1302"/>
      <c r="X655" s="1302"/>
      <c r="Y655" s="1302"/>
      <c r="Z655" s="1302"/>
    </row>
    <row r="656" spans="1:26" ht="18.75" hidden="1">
      <c r="A656" s="1319"/>
      <c r="B656" s="1320"/>
      <c r="C656" s="1320"/>
      <c r="D656" s="1321"/>
      <c r="E656" s="1320" t="s">
        <v>185</v>
      </c>
      <c r="F656" s="1320"/>
      <c r="G656" s="1322"/>
      <c r="H656" s="165" t="s">
        <v>12</v>
      </c>
      <c r="I656" s="886"/>
      <c r="J656" s="886"/>
      <c r="K656" s="887"/>
      <c r="L656" s="887">
        <f t="shared" ref="L656:N657" si="276">L659+L666</f>
        <v>0</v>
      </c>
      <c r="M656" s="887">
        <f t="shared" si="276"/>
        <v>0</v>
      </c>
      <c r="N656" s="887">
        <f t="shared" si="276"/>
        <v>0</v>
      </c>
      <c r="O656" s="887">
        <f t="shared" si="274"/>
        <v>0</v>
      </c>
      <c r="P656" s="887">
        <f t="shared" si="275"/>
        <v>0</v>
      </c>
      <c r="Q656" s="1323"/>
      <c r="R656" s="1323"/>
      <c r="S656" s="1323"/>
      <c r="T656" s="1323"/>
      <c r="U656" s="1323"/>
      <c r="V656" s="1323"/>
      <c r="W656" s="1323"/>
      <c r="X656" s="1323"/>
      <c r="Y656" s="1323"/>
      <c r="Z656" s="1323"/>
    </row>
    <row r="657" spans="1:26" ht="18.75" hidden="1">
      <c r="A657" s="1319"/>
      <c r="B657" s="1324"/>
      <c r="C657" s="1320"/>
      <c r="D657" s="1321"/>
      <c r="E657" s="1320" t="s">
        <v>186</v>
      </c>
      <c r="F657" s="1320"/>
      <c r="G657" s="1322"/>
      <c r="H657" s="165" t="s">
        <v>12</v>
      </c>
      <c r="I657" s="886"/>
      <c r="J657" s="886"/>
      <c r="K657" s="887"/>
      <c r="L657" s="887">
        <f t="shared" ca="1" si="276"/>
        <v>0</v>
      </c>
      <c r="M657" s="887">
        <f t="shared" si="276"/>
        <v>0</v>
      </c>
      <c r="N657" s="887">
        <f t="shared" si="276"/>
        <v>0</v>
      </c>
      <c r="O657" s="887">
        <f t="shared" ca="1" si="274"/>
        <v>0</v>
      </c>
      <c r="P657" s="887">
        <f t="shared" si="275"/>
        <v>0</v>
      </c>
      <c r="Q657" s="1323"/>
      <c r="R657" s="1323"/>
      <c r="S657" s="1323"/>
      <c r="T657" s="1323"/>
      <c r="U657" s="1323"/>
      <c r="V657" s="1323"/>
      <c r="W657" s="1323"/>
      <c r="X657" s="1323"/>
      <c r="Y657" s="1323"/>
      <c r="Z657" s="1323"/>
    </row>
    <row r="658" spans="1:26" ht="18.75" hidden="1">
      <c r="A658" s="1317"/>
      <c r="B658" s="1300"/>
      <c r="C658" s="1301"/>
      <c r="D658" s="1325" t="s">
        <v>20</v>
      </c>
      <c r="E658" s="1301"/>
      <c r="F658" s="1301"/>
      <c r="G658" s="1016"/>
      <c r="H658" s="161" t="s">
        <v>12</v>
      </c>
      <c r="I658" s="997"/>
      <c r="J658" s="997"/>
      <c r="K658" s="998"/>
      <c r="L658" s="881">
        <f t="shared" ref="L658:N658" ca="1" si="277">L659+L660</f>
        <v>0</v>
      </c>
      <c r="M658" s="881">
        <f t="shared" si="277"/>
        <v>0</v>
      </c>
      <c r="N658" s="881">
        <f t="shared" si="277"/>
        <v>0</v>
      </c>
      <c r="O658" s="881">
        <f t="shared" ca="1" si="274"/>
        <v>0</v>
      </c>
      <c r="P658" s="881">
        <f t="shared" si="275"/>
        <v>0</v>
      </c>
      <c r="Q658" s="1302"/>
      <c r="R658" s="1302"/>
      <c r="S658" s="1302"/>
      <c r="T658" s="1302"/>
      <c r="U658" s="1302"/>
      <c r="V658" s="1302"/>
      <c r="W658" s="1302"/>
      <c r="X658" s="1302"/>
      <c r="Y658" s="1302"/>
      <c r="Z658" s="1302"/>
    </row>
    <row r="659" spans="1:26" ht="18.75" hidden="1">
      <c r="A659" s="1319"/>
      <c r="B659" s="1324"/>
      <c r="C659" s="1320"/>
      <c r="D659" s="1321"/>
      <c r="E659" s="1320" t="s">
        <v>185</v>
      </c>
      <c r="F659" s="1320"/>
      <c r="G659" s="1322"/>
      <c r="H659" s="165" t="s">
        <v>12</v>
      </c>
      <c r="I659" s="886"/>
      <c r="J659" s="886"/>
      <c r="K659" s="887"/>
      <c r="L659" s="887">
        <v>0</v>
      </c>
      <c r="M659" s="887">
        <v>0</v>
      </c>
      <c r="N659" s="887">
        <v>0</v>
      </c>
      <c r="O659" s="887">
        <f t="shared" si="274"/>
        <v>0</v>
      </c>
      <c r="P659" s="887">
        <f t="shared" si="275"/>
        <v>0</v>
      </c>
      <c r="Q659" s="1323"/>
      <c r="R659" s="1323"/>
      <c r="S659" s="1323"/>
      <c r="T659" s="1323"/>
      <c r="U659" s="1323"/>
      <c r="V659" s="1323"/>
      <c r="W659" s="1323"/>
      <c r="X659" s="1323"/>
      <c r="Y659" s="1323"/>
      <c r="Z659" s="1323"/>
    </row>
    <row r="660" spans="1:26" ht="18.75" hidden="1">
      <c r="A660" s="1319"/>
      <c r="B660" s="1324"/>
      <c r="C660" s="1320"/>
      <c r="D660" s="1321"/>
      <c r="E660" s="1320" t="s">
        <v>186</v>
      </c>
      <c r="F660" s="1320"/>
      <c r="G660" s="1322"/>
      <c r="H660" s="165" t="s">
        <v>12</v>
      </c>
      <c r="I660" s="886"/>
      <c r="J660" s="886"/>
      <c r="K660" s="887"/>
      <c r="L660" s="887">
        <f ca="1">IFERROR(__xludf.DUMMYFUNCTION("IMPORTRANGE(""https://docs.google.com/spreadsheets/d/1QqKyyYR6Q21VydFLVH3TRQUabQu_ym0Zz7PgGX0-kHA/edit?usp=sharing"",""แผน!HV88"")"),0)</f>
        <v>0</v>
      </c>
      <c r="M660" s="887">
        <v>0</v>
      </c>
      <c r="N660" s="887">
        <f>N661+N662+N663+N664</f>
        <v>0</v>
      </c>
      <c r="O660" s="887">
        <f t="shared" ca="1" si="274"/>
        <v>0</v>
      </c>
      <c r="P660" s="887">
        <f t="shared" si="275"/>
        <v>0</v>
      </c>
      <c r="Q660" s="1323"/>
      <c r="R660" s="1323"/>
      <c r="S660" s="1323"/>
      <c r="T660" s="1323"/>
      <c r="U660" s="1323"/>
      <c r="V660" s="1323"/>
      <c r="W660" s="1323"/>
      <c r="X660" s="1323"/>
      <c r="Y660" s="1323"/>
      <c r="Z660" s="1323"/>
    </row>
    <row r="661" spans="1:26" ht="18.75" hidden="1">
      <c r="A661" s="1299"/>
      <c r="B661" s="1300"/>
      <c r="C661" s="1301"/>
      <c r="D661" s="1301"/>
      <c r="E661" s="1301"/>
      <c r="F661" s="1301" t="s">
        <v>187</v>
      </c>
      <c r="G661" s="1016"/>
      <c r="H661" s="161" t="s">
        <v>12</v>
      </c>
      <c r="I661" s="880"/>
      <c r="J661" s="880"/>
      <c r="K661" s="881"/>
      <c r="L661" s="881"/>
      <c r="M661" s="881"/>
      <c r="N661" s="1085">
        <v>0</v>
      </c>
      <c r="O661" s="881"/>
      <c r="P661" s="881"/>
      <c r="Q661" s="1302"/>
      <c r="R661" s="1302"/>
      <c r="S661" s="1302"/>
      <c r="T661" s="1302"/>
      <c r="U661" s="1302"/>
      <c r="V661" s="1302"/>
      <c r="W661" s="1302"/>
      <c r="X661" s="1302"/>
      <c r="Y661" s="1302"/>
      <c r="Z661" s="1302"/>
    </row>
    <row r="662" spans="1:26" ht="18.75" hidden="1">
      <c r="A662" s="1299"/>
      <c r="B662" s="1300"/>
      <c r="C662" s="1301"/>
      <c r="D662" s="1301"/>
      <c r="E662" s="1301"/>
      <c r="F662" s="1301" t="s">
        <v>188</v>
      </c>
      <c r="G662" s="1016"/>
      <c r="H662" s="161" t="s">
        <v>12</v>
      </c>
      <c r="I662" s="880"/>
      <c r="J662" s="880"/>
      <c r="K662" s="881"/>
      <c r="L662" s="881"/>
      <c r="M662" s="881"/>
      <c r="N662" s="1085">
        <v>0</v>
      </c>
      <c r="O662" s="881"/>
      <c r="P662" s="881"/>
      <c r="Q662" s="1302"/>
      <c r="R662" s="1302"/>
      <c r="S662" s="1302"/>
      <c r="T662" s="1302"/>
      <c r="U662" s="1302"/>
      <c r="V662" s="1302"/>
      <c r="W662" s="1302"/>
      <c r="X662" s="1302"/>
      <c r="Y662" s="1302"/>
      <c r="Z662" s="1302"/>
    </row>
    <row r="663" spans="1:26" ht="18.75" hidden="1">
      <c r="A663" s="1299"/>
      <c r="B663" s="1300"/>
      <c r="C663" s="1300"/>
      <c r="D663" s="1301"/>
      <c r="E663" s="1301"/>
      <c r="F663" s="1301" t="s">
        <v>189</v>
      </c>
      <c r="G663" s="1016"/>
      <c r="H663" s="161" t="s">
        <v>12</v>
      </c>
      <c r="I663" s="880"/>
      <c r="J663" s="880"/>
      <c r="K663" s="881"/>
      <c r="L663" s="881"/>
      <c r="M663" s="881"/>
      <c r="N663" s="1085">
        <v>0</v>
      </c>
      <c r="O663" s="881"/>
      <c r="P663" s="881"/>
      <c r="Q663" s="1302"/>
      <c r="R663" s="1302"/>
      <c r="S663" s="1302"/>
      <c r="T663" s="1302"/>
      <c r="U663" s="1302"/>
      <c r="V663" s="1302"/>
      <c r="W663" s="1302"/>
      <c r="X663" s="1302"/>
      <c r="Y663" s="1302"/>
      <c r="Z663" s="1302"/>
    </row>
    <row r="664" spans="1:26" ht="18.75" hidden="1">
      <c r="A664" s="1299"/>
      <c r="B664" s="1300"/>
      <c r="C664" s="1300"/>
      <c r="D664" s="1300"/>
      <c r="E664" s="1301"/>
      <c r="F664" s="1301" t="s">
        <v>190</v>
      </c>
      <c r="G664" s="1016"/>
      <c r="H664" s="161" t="s">
        <v>12</v>
      </c>
      <c r="I664" s="880"/>
      <c r="J664" s="880"/>
      <c r="K664" s="881"/>
      <c r="L664" s="881"/>
      <c r="M664" s="881"/>
      <c r="N664" s="1085">
        <v>0</v>
      </c>
      <c r="O664" s="881"/>
      <c r="P664" s="881"/>
      <c r="Q664" s="1302"/>
      <c r="R664" s="1302"/>
      <c r="S664" s="1302"/>
      <c r="T664" s="1302"/>
      <c r="U664" s="1302"/>
      <c r="V664" s="1302"/>
      <c r="W664" s="1302"/>
      <c r="X664" s="1302"/>
      <c r="Y664" s="1302"/>
      <c r="Z664" s="1302"/>
    </row>
    <row r="665" spans="1:26" ht="18.75" hidden="1">
      <c r="A665" s="1317"/>
      <c r="B665" s="1300"/>
      <c r="C665" s="1300"/>
      <c r="D665" s="1325" t="s">
        <v>21</v>
      </c>
      <c r="E665" s="1301"/>
      <c r="F665" s="1301"/>
      <c r="G665" s="1016"/>
      <c r="H665" s="168" t="s">
        <v>12</v>
      </c>
      <c r="I665" s="997"/>
      <c r="J665" s="997"/>
      <c r="K665" s="998"/>
      <c r="L665" s="881">
        <f t="shared" ref="L665:N665" si="278">L666+L667</f>
        <v>0</v>
      </c>
      <c r="M665" s="881">
        <f t="shared" si="278"/>
        <v>0</v>
      </c>
      <c r="N665" s="881">
        <f t="shared" si="278"/>
        <v>0</v>
      </c>
      <c r="O665" s="881">
        <f t="shared" ref="O665:O667" si="279">IF(L665&gt;0,N665*100/L665,0)</f>
        <v>0</v>
      </c>
      <c r="P665" s="881">
        <f t="shared" ref="P665:P667" si="280">IF(M665&gt;0,N665*100/M665,0)</f>
        <v>0</v>
      </c>
      <c r="Q665" s="1302"/>
      <c r="R665" s="1302"/>
      <c r="S665" s="1302"/>
      <c r="T665" s="1302"/>
      <c r="U665" s="1302"/>
      <c r="V665" s="1302"/>
      <c r="W665" s="1302"/>
      <c r="X665" s="1302"/>
      <c r="Y665" s="1302"/>
      <c r="Z665" s="1302"/>
    </row>
    <row r="666" spans="1:26" ht="18.75" hidden="1">
      <c r="A666" s="1319"/>
      <c r="B666" s="1324"/>
      <c r="C666" s="1324"/>
      <c r="D666" s="1324"/>
      <c r="E666" s="1320" t="s">
        <v>18</v>
      </c>
      <c r="F666" s="1320"/>
      <c r="G666" s="1322"/>
      <c r="H666" s="165" t="s">
        <v>12</v>
      </c>
      <c r="I666" s="1000"/>
      <c r="J666" s="1000"/>
      <c r="K666" s="1001"/>
      <c r="L666" s="887">
        <v>0</v>
      </c>
      <c r="M666" s="887">
        <v>0</v>
      </c>
      <c r="N666" s="887">
        <v>0</v>
      </c>
      <c r="O666" s="887">
        <f t="shared" si="279"/>
        <v>0</v>
      </c>
      <c r="P666" s="887">
        <f t="shared" si="280"/>
        <v>0</v>
      </c>
      <c r="Q666" s="1323"/>
      <c r="R666" s="1323"/>
      <c r="S666" s="1323"/>
      <c r="T666" s="1323"/>
      <c r="U666" s="1323"/>
      <c r="V666" s="1323"/>
      <c r="W666" s="1323"/>
      <c r="X666" s="1323"/>
      <c r="Y666" s="1323"/>
      <c r="Z666" s="1323"/>
    </row>
    <row r="667" spans="1:26" ht="18.75" hidden="1">
      <c r="A667" s="1319"/>
      <c r="B667" s="1324"/>
      <c r="C667" s="1324"/>
      <c r="D667" s="1324"/>
      <c r="E667" s="1320" t="s">
        <v>19</v>
      </c>
      <c r="F667" s="1320"/>
      <c r="G667" s="1322"/>
      <c r="H667" s="169" t="s">
        <v>12</v>
      </c>
      <c r="I667" s="1000"/>
      <c r="J667" s="1000"/>
      <c r="K667" s="1001"/>
      <c r="L667" s="887">
        <v>0</v>
      </c>
      <c r="M667" s="887">
        <v>0</v>
      </c>
      <c r="N667" s="887">
        <v>0</v>
      </c>
      <c r="O667" s="887">
        <f t="shared" si="279"/>
        <v>0</v>
      </c>
      <c r="P667" s="887">
        <f t="shared" si="280"/>
        <v>0</v>
      </c>
      <c r="Q667" s="1323"/>
      <c r="R667" s="1323"/>
      <c r="S667" s="1323"/>
      <c r="T667" s="1323"/>
      <c r="U667" s="1323"/>
      <c r="V667" s="1323"/>
      <c r="W667" s="1323"/>
      <c r="X667" s="1323"/>
      <c r="Y667" s="1323"/>
      <c r="Z667" s="1323"/>
    </row>
    <row r="668" spans="1:26" ht="19.5" hidden="1">
      <c r="A668" s="1326"/>
      <c r="B668" s="1327"/>
      <c r="C668" s="1300" t="s">
        <v>16</v>
      </c>
      <c r="D668" s="1328" t="s">
        <v>38</v>
      </c>
      <c r="E668" s="1330"/>
      <c r="F668" s="1330"/>
      <c r="G668" s="1331"/>
      <c r="H668" s="1007"/>
      <c r="I668" s="997"/>
      <c r="J668" s="997"/>
      <c r="K668" s="998"/>
      <c r="L668" s="998"/>
      <c r="M668" s="998"/>
      <c r="N668" s="998"/>
      <c r="O668" s="998"/>
      <c r="P668" s="998"/>
      <c r="Q668" s="1302"/>
      <c r="R668" s="1302"/>
      <c r="S668" s="1302"/>
      <c r="T668" s="1302"/>
      <c r="U668" s="1302"/>
      <c r="V668" s="1302"/>
      <c r="W668" s="1302"/>
      <c r="X668" s="1302"/>
      <c r="Y668" s="1302"/>
      <c r="Z668" s="1302"/>
    </row>
    <row r="669" spans="1:26" ht="19.5" hidden="1">
      <c r="A669" s="1326"/>
      <c r="B669" s="1327"/>
      <c r="C669" s="1327"/>
      <c r="D669" s="1327" t="s">
        <v>281</v>
      </c>
      <c r="E669" s="1014"/>
      <c r="F669" s="1014"/>
      <c r="G669" s="1007"/>
      <c r="H669" s="765" t="s">
        <v>46</v>
      </c>
      <c r="I669" s="1019">
        <f ca="1">IFERROR(__xludf.DUMMYFUNCTION("IMPORTRANGE(""https://docs.google.com/spreadsheets/d/1QqKyyYR6Q21VydFLVH3TRQUabQu_ym0Zz7PgGX0-kHA/edit?usp=sharing"",""แผน!IA88"")"),0)</f>
        <v>0</v>
      </c>
      <c r="J669" s="1019">
        <f>J675</f>
        <v>0</v>
      </c>
      <c r="K669" s="1020">
        <f ca="1">IF(I669&gt;0,J669*100/I669,0)</f>
        <v>0</v>
      </c>
      <c r="L669" s="998"/>
      <c r="M669" s="998"/>
      <c r="N669" s="998"/>
      <c r="O669" s="998"/>
      <c r="P669" s="998"/>
      <c r="Q669" s="1302"/>
      <c r="R669" s="1302"/>
      <c r="S669" s="1302"/>
      <c r="T669" s="1302"/>
      <c r="U669" s="1302"/>
      <c r="V669" s="1302"/>
      <c r="W669" s="1302"/>
      <c r="X669" s="1302"/>
      <c r="Y669" s="1302"/>
      <c r="Z669" s="1302"/>
    </row>
    <row r="670" spans="1:26" ht="18.75" hidden="1">
      <c r="A670" s="1326"/>
      <c r="B670" s="1327"/>
      <c r="C670" s="1327"/>
      <c r="D670" s="1327"/>
      <c r="E670" s="1014" t="s">
        <v>282</v>
      </c>
      <c r="F670" s="1014"/>
      <c r="G670" s="1007"/>
      <c r="H670" s="762" t="s">
        <v>66</v>
      </c>
      <c r="I670" s="880">
        <f ca="1">IFERROR(__xludf.DUMMYFUNCTION("IMPORTRANGE(""https://docs.google.com/spreadsheets/d/1QqKyyYR6Q21VydFLVH3TRQUabQu_ym0Zz7PgGX0-kHA/edit?usp=sharing"",""แผน!HZ88"")"),0)</f>
        <v>0</v>
      </c>
      <c r="J670" s="1012">
        <v>0</v>
      </c>
      <c r="K670" s="881">
        <f ca="1">IF(I670&gt;0,(J670*100)/I670,0)</f>
        <v>0</v>
      </c>
      <c r="L670" s="998"/>
      <c r="M670" s="998"/>
      <c r="N670" s="998"/>
      <c r="O670" s="998"/>
      <c r="P670" s="998"/>
      <c r="Q670" s="1302"/>
      <c r="R670" s="1302"/>
      <c r="S670" s="1302"/>
      <c r="T670" s="1302"/>
      <c r="U670" s="1302"/>
      <c r="V670" s="1302"/>
      <c r="W670" s="1302"/>
      <c r="X670" s="1302"/>
      <c r="Y670" s="1302"/>
      <c r="Z670" s="1302"/>
    </row>
    <row r="671" spans="1:26" ht="18.75" hidden="1">
      <c r="A671" s="1326"/>
      <c r="B671" s="1327"/>
      <c r="C671" s="1327"/>
      <c r="D671" s="1327"/>
      <c r="E671" s="1014" t="s">
        <v>283</v>
      </c>
      <c r="F671" s="1014"/>
      <c r="G671" s="1007"/>
      <c r="H671" s="762" t="s">
        <v>66</v>
      </c>
      <c r="I671" s="880">
        <f ca="1">IFERROR(__xludf.DUMMYFUNCTION("IMPORTRANGE(""https://docs.google.com/spreadsheets/d/1QqKyyYR6Q21VydFLVH3TRQUabQu_ym0Zz7PgGX0-kHA/edit?usp=sharing"",""แผน!HZ88"")"),0)</f>
        <v>0</v>
      </c>
      <c r="J671" s="1012">
        <v>0</v>
      </c>
      <c r="K671" s="881">
        <f ca="1">IF(I$671&gt;0,J671*100/I$671,0)</f>
        <v>0</v>
      </c>
      <c r="L671" s="998"/>
      <c r="M671" s="998"/>
      <c r="N671" s="998"/>
      <c r="O671" s="998"/>
      <c r="P671" s="998"/>
      <c r="Q671" s="1302"/>
      <c r="R671" s="1302"/>
      <c r="S671" s="1302"/>
      <c r="T671" s="1302"/>
      <c r="U671" s="1302"/>
      <c r="V671" s="1302"/>
      <c r="W671" s="1302"/>
      <c r="X671" s="1302"/>
      <c r="Y671" s="1302"/>
      <c r="Z671" s="1302"/>
    </row>
    <row r="672" spans="1:26" ht="18.75" hidden="1">
      <c r="A672" s="1326"/>
      <c r="B672" s="1327"/>
      <c r="C672" s="1327"/>
      <c r="D672" s="1327"/>
      <c r="E672" s="1014" t="s">
        <v>284</v>
      </c>
      <c r="F672" s="1014"/>
      <c r="G672" s="1007"/>
      <c r="H672" s="762" t="s">
        <v>46</v>
      </c>
      <c r="I672" s="880"/>
      <c r="J672" s="1012">
        <v>0</v>
      </c>
      <c r="K672" s="881">
        <f t="shared" ref="K672:K675" ca="1" si="281">IF(I$669&gt;0,J672*100/I$669,0)</f>
        <v>0</v>
      </c>
      <c r="L672" s="998"/>
      <c r="M672" s="998"/>
      <c r="N672" s="998"/>
      <c r="O672" s="998"/>
      <c r="P672" s="998"/>
      <c r="Q672" s="1302"/>
      <c r="R672" s="1302"/>
      <c r="S672" s="1302"/>
      <c r="T672" s="1302"/>
      <c r="U672" s="1302"/>
      <c r="V672" s="1302"/>
      <c r="W672" s="1302"/>
      <c r="X672" s="1302"/>
      <c r="Y672" s="1302"/>
      <c r="Z672" s="1302"/>
    </row>
    <row r="673" spans="1:26" ht="18.75" hidden="1">
      <c r="A673" s="1326"/>
      <c r="B673" s="1327"/>
      <c r="C673" s="1327"/>
      <c r="D673" s="1327"/>
      <c r="E673" s="1014" t="s">
        <v>285</v>
      </c>
      <c r="F673" s="1014"/>
      <c r="G673" s="1007"/>
      <c r="H673" s="762" t="s">
        <v>46</v>
      </c>
      <c r="I673" s="880"/>
      <c r="J673" s="1012">
        <v>0</v>
      </c>
      <c r="K673" s="881">
        <f t="shared" ca="1" si="281"/>
        <v>0</v>
      </c>
      <c r="L673" s="998"/>
      <c r="M673" s="998"/>
      <c r="N673" s="998"/>
      <c r="O673" s="998"/>
      <c r="P673" s="998"/>
      <c r="Q673" s="1302"/>
      <c r="R673" s="1302"/>
      <c r="S673" s="1302"/>
      <c r="T673" s="1302"/>
      <c r="U673" s="1302"/>
      <c r="V673" s="1302"/>
      <c r="W673" s="1302"/>
      <c r="X673" s="1302"/>
      <c r="Y673" s="1302"/>
      <c r="Z673" s="1302"/>
    </row>
    <row r="674" spans="1:26" ht="18.75" hidden="1">
      <c r="A674" s="1326"/>
      <c r="B674" s="1327"/>
      <c r="C674" s="1327"/>
      <c r="D674" s="1327"/>
      <c r="E674" s="1014" t="s">
        <v>286</v>
      </c>
      <c r="F674" s="1014"/>
      <c r="G674" s="1007"/>
      <c r="H674" s="762" t="s">
        <v>46</v>
      </c>
      <c r="I674" s="880"/>
      <c r="J674" s="1012">
        <v>0</v>
      </c>
      <c r="K674" s="881">
        <f t="shared" ca="1" si="281"/>
        <v>0</v>
      </c>
      <c r="L674" s="998"/>
      <c r="M674" s="998"/>
      <c r="N674" s="998"/>
      <c r="O674" s="998"/>
      <c r="P674" s="998"/>
      <c r="Q674" s="1302"/>
      <c r="R674" s="1302"/>
      <c r="S674" s="1302"/>
      <c r="T674" s="1302"/>
      <c r="U674" s="1302"/>
      <c r="V674" s="1302"/>
      <c r="W674" s="1302"/>
      <c r="X674" s="1302"/>
      <c r="Y674" s="1302"/>
      <c r="Z674" s="1302"/>
    </row>
    <row r="675" spans="1:26" ht="19.5" hidden="1">
      <c r="A675" s="1326"/>
      <c r="B675" s="1327"/>
      <c r="C675" s="1327"/>
      <c r="D675" s="1327"/>
      <c r="E675" s="1014" t="s">
        <v>287</v>
      </c>
      <c r="F675" s="1014"/>
      <c r="G675" s="1007"/>
      <c r="H675" s="762" t="s">
        <v>46</v>
      </c>
      <c r="I675" s="880"/>
      <c r="J675" s="1019">
        <f>J676+J677</f>
        <v>0</v>
      </c>
      <c r="K675" s="1020">
        <f t="shared" ca="1" si="281"/>
        <v>0</v>
      </c>
      <c r="L675" s="998"/>
      <c r="M675" s="998"/>
      <c r="N675" s="998"/>
      <c r="O675" s="998"/>
      <c r="P675" s="998"/>
      <c r="Q675" s="1302"/>
      <c r="R675" s="1302"/>
      <c r="S675" s="1302"/>
      <c r="T675" s="1302"/>
      <c r="U675" s="1302"/>
      <c r="V675" s="1302"/>
      <c r="W675" s="1302"/>
      <c r="X675" s="1302"/>
      <c r="Y675" s="1302"/>
      <c r="Z675" s="1302"/>
    </row>
    <row r="676" spans="1:26" ht="18.75" hidden="1">
      <c r="A676" s="1326"/>
      <c r="B676" s="1327"/>
      <c r="C676" s="1327"/>
      <c r="D676" s="1327"/>
      <c r="E676" s="1014"/>
      <c r="F676" s="1014" t="s">
        <v>288</v>
      </c>
      <c r="G676" s="1007"/>
      <c r="H676" s="762" t="s">
        <v>46</v>
      </c>
      <c r="I676" s="880"/>
      <c r="J676" s="1012">
        <v>0</v>
      </c>
      <c r="K676" s="881"/>
      <c r="L676" s="998"/>
      <c r="M676" s="998"/>
      <c r="N676" s="998"/>
      <c r="O676" s="998"/>
      <c r="P676" s="998"/>
      <c r="Q676" s="1302"/>
      <c r="R676" s="1302"/>
      <c r="S676" s="1302"/>
      <c r="T676" s="1302"/>
      <c r="U676" s="1302"/>
      <c r="V676" s="1302"/>
      <c r="W676" s="1302"/>
      <c r="X676" s="1302"/>
      <c r="Y676" s="1302"/>
      <c r="Z676" s="1302"/>
    </row>
    <row r="677" spans="1:26" ht="18.75" hidden="1">
      <c r="A677" s="1326"/>
      <c r="B677" s="1327"/>
      <c r="C677" s="1327"/>
      <c r="D677" s="1327"/>
      <c r="E677" s="1014"/>
      <c r="F677" s="1014" t="s">
        <v>289</v>
      </c>
      <c r="G677" s="1007"/>
      <c r="H677" s="762" t="s">
        <v>46</v>
      </c>
      <c r="I677" s="880"/>
      <c r="J677" s="1012">
        <v>0</v>
      </c>
      <c r="K677" s="881"/>
      <c r="L677" s="998"/>
      <c r="M677" s="998"/>
      <c r="N677" s="998"/>
      <c r="O677" s="998"/>
      <c r="P677" s="998"/>
      <c r="Q677" s="1302"/>
      <c r="R677" s="1302"/>
      <c r="S677" s="1302"/>
      <c r="T677" s="1302"/>
      <c r="U677" s="1302"/>
      <c r="V677" s="1302"/>
      <c r="W677" s="1302"/>
      <c r="X677" s="1302"/>
      <c r="Y677" s="1302"/>
      <c r="Z677" s="1302"/>
    </row>
    <row r="678" spans="1:26" ht="19.5" hidden="1">
      <c r="A678" s="1326"/>
      <c r="B678" s="1327"/>
      <c r="C678" s="1327"/>
      <c r="D678" s="1327" t="s">
        <v>290</v>
      </c>
      <c r="E678" s="1014"/>
      <c r="F678" s="1014"/>
      <c r="G678" s="1007"/>
      <c r="H678" s="762" t="s">
        <v>46</v>
      </c>
      <c r="I678" s="1019">
        <f ca="1">IFERROR(__xludf.DUMMYFUNCTION("IMPORTRANGE(""https://docs.google.com/spreadsheets/d/1QqKyyYR6Q21VydFLVH3TRQUabQu_ym0Zz7PgGX0-kHA/edit?usp=sharing"",""แผน!IB88"")"),0)</f>
        <v>0</v>
      </c>
      <c r="J678" s="1019">
        <f>J679</f>
        <v>0</v>
      </c>
      <c r="K678" s="1020">
        <f ca="1">IF(I678&gt;0,J678*100/I678,0)</f>
        <v>0</v>
      </c>
      <c r="L678" s="998"/>
      <c r="M678" s="998"/>
      <c r="N678" s="998"/>
      <c r="O678" s="998"/>
      <c r="P678" s="998"/>
      <c r="Q678" s="1302"/>
      <c r="R678" s="1302"/>
      <c r="S678" s="1302"/>
      <c r="T678" s="1302"/>
      <c r="U678" s="1302"/>
      <c r="V678" s="1302"/>
      <c r="W678" s="1302"/>
      <c r="X678" s="1302"/>
      <c r="Y678" s="1302"/>
      <c r="Z678" s="1302"/>
    </row>
    <row r="679" spans="1:26" ht="18.75" hidden="1">
      <c r="A679" s="1326"/>
      <c r="B679" s="1327"/>
      <c r="C679" s="1327"/>
      <c r="D679" s="1327"/>
      <c r="E679" s="1014" t="s">
        <v>291</v>
      </c>
      <c r="F679" s="1014"/>
      <c r="G679" s="1007"/>
      <c r="H679" s="762" t="s">
        <v>46</v>
      </c>
      <c r="I679" s="880"/>
      <c r="J679" s="880">
        <f>J680+J681</f>
        <v>0</v>
      </c>
      <c r="K679" s="881"/>
      <c r="L679" s="998"/>
      <c r="M679" s="998"/>
      <c r="N679" s="998"/>
      <c r="O679" s="998"/>
      <c r="P679" s="998"/>
      <c r="Q679" s="1302"/>
      <c r="R679" s="1302"/>
      <c r="S679" s="1302"/>
      <c r="T679" s="1302"/>
      <c r="U679" s="1302"/>
      <c r="V679" s="1302"/>
      <c r="W679" s="1302"/>
      <c r="X679" s="1302"/>
      <c r="Y679" s="1302"/>
      <c r="Z679" s="1302"/>
    </row>
    <row r="680" spans="1:26" ht="18.75" hidden="1">
      <c r="A680" s="1326"/>
      <c r="B680" s="1327"/>
      <c r="C680" s="1327"/>
      <c r="D680" s="1327"/>
      <c r="E680" s="1014"/>
      <c r="F680" s="1014" t="s">
        <v>288</v>
      </c>
      <c r="G680" s="1007"/>
      <c r="H680" s="762" t="s">
        <v>46</v>
      </c>
      <c r="I680" s="880"/>
      <c r="J680" s="1012">
        <v>0</v>
      </c>
      <c r="K680" s="881"/>
      <c r="L680" s="998"/>
      <c r="M680" s="998"/>
      <c r="N680" s="998"/>
      <c r="O680" s="998"/>
      <c r="P680" s="998"/>
      <c r="Q680" s="1302"/>
      <c r="R680" s="1302"/>
      <c r="S680" s="1302"/>
      <c r="T680" s="1302"/>
      <c r="U680" s="1302"/>
      <c r="V680" s="1302"/>
      <c r="W680" s="1302"/>
      <c r="X680" s="1302"/>
      <c r="Y680" s="1302"/>
      <c r="Z680" s="1302"/>
    </row>
    <row r="681" spans="1:26" ht="18.75" hidden="1">
      <c r="A681" s="1326"/>
      <c r="B681" s="1327"/>
      <c r="C681" s="1327"/>
      <c r="D681" s="1327"/>
      <c r="E681" s="1014"/>
      <c r="F681" s="1014" t="s">
        <v>289</v>
      </c>
      <c r="G681" s="1007"/>
      <c r="H681" s="762" t="s">
        <v>46</v>
      </c>
      <c r="I681" s="880"/>
      <c r="J681" s="1012">
        <v>0</v>
      </c>
      <c r="K681" s="881"/>
      <c r="L681" s="998"/>
      <c r="M681" s="998"/>
      <c r="N681" s="998"/>
      <c r="O681" s="998"/>
      <c r="P681" s="998"/>
      <c r="Q681" s="1302"/>
      <c r="R681" s="1302"/>
      <c r="S681" s="1302"/>
      <c r="T681" s="1302"/>
      <c r="U681" s="1302"/>
      <c r="V681" s="1302"/>
      <c r="W681" s="1302"/>
      <c r="X681" s="1302"/>
      <c r="Y681" s="1302"/>
      <c r="Z681" s="1302"/>
    </row>
    <row r="682" spans="1:26" ht="18.75" hidden="1">
      <c r="A682" s="1326"/>
      <c r="B682" s="1327"/>
      <c r="C682" s="1327"/>
      <c r="D682" s="1327"/>
      <c r="E682" s="1014" t="s">
        <v>292</v>
      </c>
      <c r="F682" s="1014"/>
      <c r="G682" s="1007"/>
      <c r="H682" s="762" t="s">
        <v>46</v>
      </c>
      <c r="I682" s="880"/>
      <c r="J682" s="1012">
        <v>0</v>
      </c>
      <c r="K682" s="881"/>
      <c r="L682" s="998"/>
      <c r="M682" s="998"/>
      <c r="N682" s="998"/>
      <c r="O682" s="998"/>
      <c r="P682" s="998"/>
      <c r="Q682" s="1302"/>
      <c r="R682" s="1302"/>
      <c r="S682" s="1302"/>
      <c r="T682" s="1302"/>
      <c r="U682" s="1302"/>
      <c r="V682" s="1302"/>
      <c r="W682" s="1302"/>
      <c r="X682" s="1302"/>
      <c r="Y682" s="1302"/>
      <c r="Z682" s="1302"/>
    </row>
    <row r="683" spans="1:26" ht="18.75" hidden="1">
      <c r="A683" s="1326"/>
      <c r="B683" s="1327"/>
      <c r="C683" s="1327"/>
      <c r="D683" s="1327"/>
      <c r="E683" s="1014"/>
      <c r="F683" s="1014" t="s">
        <v>293</v>
      </c>
      <c r="G683" s="1007"/>
      <c r="H683" s="762" t="s">
        <v>46</v>
      </c>
      <c r="I683" s="880"/>
      <c r="J683" s="1012">
        <v>0</v>
      </c>
      <c r="K683" s="881"/>
      <c r="L683" s="998"/>
      <c r="M683" s="998"/>
      <c r="N683" s="998"/>
      <c r="O683" s="998"/>
      <c r="P683" s="998"/>
      <c r="Q683" s="1302"/>
      <c r="R683" s="1302"/>
      <c r="S683" s="1302"/>
      <c r="T683" s="1302"/>
      <c r="U683" s="1302"/>
      <c r="V683" s="1302"/>
      <c r="W683" s="1302"/>
      <c r="X683" s="1302"/>
      <c r="Y683" s="1302"/>
      <c r="Z683" s="1302"/>
    </row>
    <row r="684" spans="1:26" ht="19.5" hidden="1">
      <c r="A684" s="1434"/>
      <c r="B684" s="1435" t="s">
        <v>294</v>
      </c>
      <c r="C684" s="1434"/>
      <c r="D684" s="1434"/>
      <c r="E684" s="1434"/>
      <c r="F684" s="1434"/>
      <c r="G684" s="1436"/>
      <c r="H684" s="1436"/>
      <c r="I684" s="1437"/>
      <c r="J684" s="1437"/>
      <c r="K684" s="1438"/>
      <c r="L684" s="1438"/>
      <c r="M684" s="1438"/>
      <c r="N684" s="1438"/>
      <c r="O684" s="1438"/>
      <c r="P684" s="1438"/>
      <c r="Q684" s="1302"/>
      <c r="R684" s="1302"/>
      <c r="S684" s="1302"/>
      <c r="T684" s="1302"/>
      <c r="U684" s="1302"/>
      <c r="V684" s="1302"/>
      <c r="W684" s="1302"/>
      <c r="X684" s="1302"/>
      <c r="Y684" s="1302"/>
      <c r="Z684" s="1302"/>
    </row>
    <row r="685" spans="1:26" ht="19.5" hidden="1">
      <c r="A685" s="1317"/>
      <c r="B685" s="1301"/>
      <c r="C685" s="1301" t="s">
        <v>16</v>
      </c>
      <c r="D685" s="1318" t="s">
        <v>17</v>
      </c>
      <c r="E685" s="841"/>
      <c r="F685" s="841"/>
      <c r="G685" s="1016"/>
      <c r="H685" s="597" t="s">
        <v>12</v>
      </c>
      <c r="I685" s="880"/>
      <c r="J685" s="880"/>
      <c r="K685" s="881"/>
      <c r="L685" s="1020">
        <f t="shared" ref="L685:N685" ca="1" si="282">L686+L687</f>
        <v>0</v>
      </c>
      <c r="M685" s="1020">
        <f t="shared" si="282"/>
        <v>0</v>
      </c>
      <c r="N685" s="1020">
        <f t="shared" si="282"/>
        <v>0</v>
      </c>
      <c r="O685" s="1020">
        <f t="shared" ref="O685:O688" ca="1" si="283">IF(L685&gt;0,N685*100/L685,0)</f>
        <v>0</v>
      </c>
      <c r="P685" s="1020">
        <f t="shared" ref="P685:P688" si="284">IF(M685&gt;0,N685*100/M685,0)</f>
        <v>0</v>
      </c>
      <c r="Q685" s="1302"/>
      <c r="R685" s="1302"/>
      <c r="S685" s="1302"/>
      <c r="T685" s="1302"/>
      <c r="U685" s="1302"/>
      <c r="V685" s="1302"/>
      <c r="W685" s="1302"/>
      <c r="X685" s="1302"/>
      <c r="Y685" s="1302"/>
      <c r="Z685" s="1302"/>
    </row>
    <row r="686" spans="1:26" ht="18.75" hidden="1">
      <c r="A686" s="1319"/>
      <c r="B686" s="1320"/>
      <c r="C686" s="1320"/>
      <c r="D686" s="1321"/>
      <c r="E686" s="1320" t="s">
        <v>185</v>
      </c>
      <c r="F686" s="1320"/>
      <c r="G686" s="1322"/>
      <c r="H686" s="165" t="s">
        <v>12</v>
      </c>
      <c r="I686" s="886"/>
      <c r="J686" s="886"/>
      <c r="K686" s="887"/>
      <c r="L686" s="887">
        <f t="shared" ref="L686:N687" si="285">L689+L696</f>
        <v>0</v>
      </c>
      <c r="M686" s="887">
        <f t="shared" si="285"/>
        <v>0</v>
      </c>
      <c r="N686" s="887">
        <f t="shared" si="285"/>
        <v>0</v>
      </c>
      <c r="O686" s="887">
        <f t="shared" si="283"/>
        <v>0</v>
      </c>
      <c r="P686" s="887">
        <f t="shared" si="284"/>
        <v>0</v>
      </c>
      <c r="Q686" s="1323"/>
      <c r="R686" s="1323"/>
      <c r="S686" s="1323"/>
      <c r="T686" s="1323"/>
      <c r="U686" s="1323"/>
      <c r="V686" s="1323"/>
      <c r="W686" s="1323"/>
      <c r="X686" s="1323"/>
      <c r="Y686" s="1323"/>
      <c r="Z686" s="1323"/>
    </row>
    <row r="687" spans="1:26" ht="18.75" hidden="1">
      <c r="A687" s="1319"/>
      <c r="B687" s="1324"/>
      <c r="C687" s="1320"/>
      <c r="D687" s="1321"/>
      <c r="E687" s="1320" t="s">
        <v>186</v>
      </c>
      <c r="F687" s="1320"/>
      <c r="G687" s="1322"/>
      <c r="H687" s="165" t="s">
        <v>12</v>
      </c>
      <c r="I687" s="886"/>
      <c r="J687" s="886"/>
      <c r="K687" s="887"/>
      <c r="L687" s="887">
        <f t="shared" ca="1" si="285"/>
        <v>0</v>
      </c>
      <c r="M687" s="887">
        <f t="shared" si="285"/>
        <v>0</v>
      </c>
      <c r="N687" s="887">
        <f t="shared" si="285"/>
        <v>0</v>
      </c>
      <c r="O687" s="887">
        <f t="shared" ca="1" si="283"/>
        <v>0</v>
      </c>
      <c r="P687" s="887">
        <f t="shared" si="284"/>
        <v>0</v>
      </c>
      <c r="Q687" s="1323"/>
      <c r="R687" s="1323"/>
      <c r="S687" s="1323"/>
      <c r="T687" s="1323"/>
      <c r="U687" s="1323"/>
      <c r="V687" s="1323"/>
      <c r="W687" s="1323"/>
      <c r="X687" s="1323"/>
      <c r="Y687" s="1323"/>
      <c r="Z687" s="1323"/>
    </row>
    <row r="688" spans="1:26" ht="18.75" hidden="1">
      <c r="A688" s="1317"/>
      <c r="B688" s="1300"/>
      <c r="C688" s="1301"/>
      <c r="D688" s="1325" t="s">
        <v>20</v>
      </c>
      <c r="E688" s="1301"/>
      <c r="F688" s="1301"/>
      <c r="G688" s="1016"/>
      <c r="H688" s="161" t="s">
        <v>12</v>
      </c>
      <c r="I688" s="997"/>
      <c r="J688" s="997"/>
      <c r="K688" s="998"/>
      <c r="L688" s="881">
        <f t="shared" ref="L688:N688" ca="1" si="286">L689+L690</f>
        <v>0</v>
      </c>
      <c r="M688" s="881">
        <f t="shared" si="286"/>
        <v>0</v>
      </c>
      <c r="N688" s="881">
        <f t="shared" si="286"/>
        <v>0</v>
      </c>
      <c r="O688" s="881">
        <f t="shared" ca="1" si="283"/>
        <v>0</v>
      </c>
      <c r="P688" s="881">
        <f t="shared" si="284"/>
        <v>0</v>
      </c>
      <c r="Q688" s="1302"/>
      <c r="R688" s="1302"/>
      <c r="S688" s="1302"/>
      <c r="T688" s="1302"/>
      <c r="U688" s="1302"/>
      <c r="V688" s="1302"/>
      <c r="W688" s="1302"/>
      <c r="X688" s="1302"/>
      <c r="Y688" s="1302"/>
      <c r="Z688" s="1302"/>
    </row>
    <row r="689" spans="1:26" ht="18.75" hidden="1">
      <c r="A689" s="1319"/>
      <c r="B689" s="1324"/>
      <c r="C689" s="1320"/>
      <c r="D689" s="1321"/>
      <c r="E689" s="1320" t="s">
        <v>185</v>
      </c>
      <c r="F689" s="1320"/>
      <c r="G689" s="1322"/>
      <c r="H689" s="165" t="s">
        <v>12</v>
      </c>
      <c r="I689" s="886"/>
      <c r="J689" s="886"/>
      <c r="K689" s="887"/>
      <c r="L689" s="887">
        <v>0</v>
      </c>
      <c r="M689" s="887">
        <v>0</v>
      </c>
      <c r="N689" s="887">
        <v>0</v>
      </c>
      <c r="O689" s="887"/>
      <c r="P689" s="887"/>
      <c r="Q689" s="1323"/>
      <c r="R689" s="1323"/>
      <c r="S689" s="1323"/>
      <c r="T689" s="1323"/>
      <c r="U689" s="1323"/>
      <c r="V689" s="1323"/>
      <c r="W689" s="1323"/>
      <c r="X689" s="1323"/>
      <c r="Y689" s="1323"/>
      <c r="Z689" s="1323"/>
    </row>
    <row r="690" spans="1:26" ht="18.75" hidden="1">
      <c r="A690" s="1319"/>
      <c r="B690" s="1324"/>
      <c r="C690" s="1320"/>
      <c r="D690" s="1321"/>
      <c r="E690" s="1320" t="s">
        <v>186</v>
      </c>
      <c r="F690" s="1320"/>
      <c r="G690" s="1322"/>
      <c r="H690" s="165" t="s">
        <v>12</v>
      </c>
      <c r="I690" s="886"/>
      <c r="J690" s="886"/>
      <c r="K690" s="887"/>
      <c r="L690" s="887">
        <f ca="1">IFERROR(__xludf.DUMMYFUNCTION("IMPORTRANGE(""https://docs.google.com/spreadsheets/d/1QqKyyYR6Q21VydFLVH3TRQUabQu_ym0Zz7PgGX0-kHA/edit?usp=sharing"",""แผน!HW88"")"),0)</f>
        <v>0</v>
      </c>
      <c r="M690" s="887">
        <v>0</v>
      </c>
      <c r="N690" s="887">
        <f>N691+N692+N693+N694</f>
        <v>0</v>
      </c>
      <c r="O690" s="887">
        <f ca="1">IF(L690&gt;0,N690*100/L690,0)</f>
        <v>0</v>
      </c>
      <c r="P690" s="887">
        <f>IF(M690&gt;0,N690*100/M690,0)</f>
        <v>0</v>
      </c>
      <c r="Q690" s="1323"/>
      <c r="R690" s="1323"/>
      <c r="S690" s="1323"/>
      <c r="T690" s="1323"/>
      <c r="U690" s="1323"/>
      <c r="V690" s="1323"/>
      <c r="W690" s="1323"/>
      <c r="X690" s="1323"/>
      <c r="Y690" s="1323"/>
      <c r="Z690" s="1323"/>
    </row>
    <row r="691" spans="1:26" ht="18.75" hidden="1">
      <c r="A691" s="1299"/>
      <c r="B691" s="1300"/>
      <c r="C691" s="1301"/>
      <c r="D691" s="1301"/>
      <c r="E691" s="1301"/>
      <c r="F691" s="1301" t="s">
        <v>187</v>
      </c>
      <c r="G691" s="1016"/>
      <c r="H691" s="161" t="s">
        <v>12</v>
      </c>
      <c r="I691" s="880"/>
      <c r="J691" s="880"/>
      <c r="K691" s="881"/>
      <c r="L691" s="881"/>
      <c r="M691" s="881"/>
      <c r="N691" s="1085">
        <v>0</v>
      </c>
      <c r="O691" s="881"/>
      <c r="P691" s="881"/>
      <c r="Q691" s="1302"/>
      <c r="R691" s="1302"/>
      <c r="S691" s="1302"/>
      <c r="T691" s="1302"/>
      <c r="U691" s="1302"/>
      <c r="V691" s="1302"/>
      <c r="W691" s="1302"/>
      <c r="X691" s="1302"/>
      <c r="Y691" s="1302"/>
      <c r="Z691" s="1302"/>
    </row>
    <row r="692" spans="1:26" ht="18.75" hidden="1">
      <c r="A692" s="1299"/>
      <c r="B692" s="1300"/>
      <c r="C692" s="1301"/>
      <c r="D692" s="1301"/>
      <c r="E692" s="1301"/>
      <c r="F692" s="1301" t="s">
        <v>188</v>
      </c>
      <c r="G692" s="1016"/>
      <c r="H692" s="161" t="s">
        <v>12</v>
      </c>
      <c r="I692" s="880"/>
      <c r="J692" s="880"/>
      <c r="K692" s="881"/>
      <c r="L692" s="881"/>
      <c r="M692" s="881"/>
      <c r="N692" s="1085">
        <v>0</v>
      </c>
      <c r="O692" s="881"/>
      <c r="P692" s="881"/>
      <c r="Q692" s="1302"/>
      <c r="R692" s="1302"/>
      <c r="S692" s="1302"/>
      <c r="T692" s="1302"/>
      <c r="U692" s="1302"/>
      <c r="V692" s="1302"/>
      <c r="W692" s="1302"/>
      <c r="X692" s="1302"/>
      <c r="Y692" s="1302"/>
      <c r="Z692" s="1302"/>
    </row>
    <row r="693" spans="1:26" ht="18.75" hidden="1">
      <c r="A693" s="1299"/>
      <c r="B693" s="1300"/>
      <c r="C693" s="1301"/>
      <c r="D693" s="1301"/>
      <c r="E693" s="1301"/>
      <c r="F693" s="1301" t="s">
        <v>189</v>
      </c>
      <c r="G693" s="1016"/>
      <c r="H693" s="161" t="s">
        <v>12</v>
      </c>
      <c r="I693" s="880"/>
      <c r="J693" s="880"/>
      <c r="K693" s="881"/>
      <c r="L693" s="881"/>
      <c r="M693" s="881"/>
      <c r="N693" s="1085">
        <v>0</v>
      </c>
      <c r="O693" s="881"/>
      <c r="P693" s="881"/>
      <c r="Q693" s="1302"/>
      <c r="R693" s="1302"/>
      <c r="S693" s="1302"/>
      <c r="T693" s="1302"/>
      <c r="U693" s="1302"/>
      <c r="V693" s="1302"/>
      <c r="W693" s="1302"/>
      <c r="X693" s="1302"/>
      <c r="Y693" s="1302"/>
      <c r="Z693" s="1302"/>
    </row>
    <row r="694" spans="1:26" ht="18.75" hidden="1">
      <c r="A694" s="1299"/>
      <c r="B694" s="1300"/>
      <c r="C694" s="1301"/>
      <c r="D694" s="1301"/>
      <c r="E694" s="1301"/>
      <c r="F694" s="1301" t="s">
        <v>190</v>
      </c>
      <c r="G694" s="1016"/>
      <c r="H694" s="161" t="s">
        <v>12</v>
      </c>
      <c r="I694" s="880"/>
      <c r="J694" s="880"/>
      <c r="K694" s="881"/>
      <c r="L694" s="881"/>
      <c r="M694" s="881"/>
      <c r="N694" s="1085">
        <v>0</v>
      </c>
      <c r="O694" s="881"/>
      <c r="P694" s="881"/>
      <c r="Q694" s="1302"/>
      <c r="R694" s="1302"/>
      <c r="S694" s="1302"/>
      <c r="T694" s="1302"/>
      <c r="U694" s="1302"/>
      <c r="V694" s="1302"/>
      <c r="W694" s="1302"/>
      <c r="X694" s="1302"/>
      <c r="Y694" s="1302"/>
      <c r="Z694" s="1302"/>
    </row>
    <row r="695" spans="1:26" ht="18.75" hidden="1">
      <c r="A695" s="1317"/>
      <c r="B695" s="1300"/>
      <c r="C695" s="1301"/>
      <c r="D695" s="1325" t="s">
        <v>21</v>
      </c>
      <c r="E695" s="1301"/>
      <c r="F695" s="1301"/>
      <c r="G695" s="1016"/>
      <c r="H695" s="168" t="s">
        <v>12</v>
      </c>
      <c r="I695" s="997"/>
      <c r="J695" s="997"/>
      <c r="K695" s="998"/>
      <c r="L695" s="881">
        <f t="shared" ref="L695:N695" si="287">L696+L697</f>
        <v>0</v>
      </c>
      <c r="M695" s="881">
        <f t="shared" si="287"/>
        <v>0</v>
      </c>
      <c r="N695" s="881">
        <f t="shared" si="287"/>
        <v>0</v>
      </c>
      <c r="O695" s="881">
        <f t="shared" ref="O695:O697" si="288">IF(L695&gt;0,N695*100/L695,0)</f>
        <v>0</v>
      </c>
      <c r="P695" s="881">
        <f t="shared" ref="P695:P697" si="289">IF(M695&gt;0,N695*100/M695,0)</f>
        <v>0</v>
      </c>
      <c r="Q695" s="1302"/>
      <c r="R695" s="1302"/>
      <c r="S695" s="1302"/>
      <c r="T695" s="1302"/>
      <c r="U695" s="1302"/>
      <c r="V695" s="1302"/>
      <c r="W695" s="1302"/>
      <c r="X695" s="1302"/>
      <c r="Y695" s="1302"/>
      <c r="Z695" s="1302"/>
    </row>
    <row r="696" spans="1:26" ht="18.75" hidden="1">
      <c r="A696" s="1319"/>
      <c r="B696" s="1324"/>
      <c r="C696" s="1320"/>
      <c r="D696" s="1320"/>
      <c r="E696" s="1320" t="s">
        <v>18</v>
      </c>
      <c r="F696" s="1320"/>
      <c r="G696" s="1322"/>
      <c r="H696" s="165" t="s">
        <v>12</v>
      </c>
      <c r="I696" s="1000"/>
      <c r="J696" s="1000"/>
      <c r="K696" s="1001"/>
      <c r="L696" s="887">
        <v>0</v>
      </c>
      <c r="M696" s="887">
        <v>0</v>
      </c>
      <c r="N696" s="887">
        <v>0</v>
      </c>
      <c r="O696" s="887">
        <f t="shared" si="288"/>
        <v>0</v>
      </c>
      <c r="P696" s="887">
        <f t="shared" si="289"/>
        <v>0</v>
      </c>
      <c r="Q696" s="1323"/>
      <c r="R696" s="1323"/>
      <c r="S696" s="1323"/>
      <c r="T696" s="1323"/>
      <c r="U696" s="1323"/>
      <c r="V696" s="1323"/>
      <c r="W696" s="1323"/>
      <c r="X696" s="1323"/>
      <c r="Y696" s="1323"/>
      <c r="Z696" s="1323"/>
    </row>
    <row r="697" spans="1:26" ht="18.75" hidden="1">
      <c r="A697" s="1319"/>
      <c r="B697" s="1324"/>
      <c r="C697" s="1320"/>
      <c r="D697" s="1320"/>
      <c r="E697" s="1320" t="s">
        <v>19</v>
      </c>
      <c r="F697" s="1320"/>
      <c r="G697" s="1322"/>
      <c r="H697" s="169" t="s">
        <v>12</v>
      </c>
      <c r="I697" s="1000"/>
      <c r="J697" s="1000"/>
      <c r="K697" s="1001"/>
      <c r="L697" s="887">
        <v>0</v>
      </c>
      <c r="M697" s="887">
        <v>0</v>
      </c>
      <c r="N697" s="887">
        <v>0</v>
      </c>
      <c r="O697" s="887">
        <f t="shared" si="288"/>
        <v>0</v>
      </c>
      <c r="P697" s="887">
        <f t="shared" si="289"/>
        <v>0</v>
      </c>
      <c r="Q697" s="1323"/>
      <c r="R697" s="1323"/>
      <c r="S697" s="1323"/>
      <c r="T697" s="1323"/>
      <c r="U697" s="1323"/>
      <c r="V697" s="1323"/>
      <c r="W697" s="1323"/>
      <c r="X697" s="1323"/>
      <c r="Y697" s="1323"/>
      <c r="Z697" s="1323"/>
    </row>
    <row r="698" spans="1:26" ht="19.5" hidden="1">
      <c r="A698" s="1326"/>
      <c r="B698" s="1327"/>
      <c r="C698" s="1301" t="s">
        <v>16</v>
      </c>
      <c r="D698" s="1439" t="s">
        <v>38</v>
      </c>
      <c r="E698" s="1330"/>
      <c r="F698" s="1330"/>
      <c r="G698" s="1331"/>
      <c r="H698" s="1007"/>
      <c r="I698" s="997"/>
      <c r="J698" s="997"/>
      <c r="K698" s="998"/>
      <c r="L698" s="998"/>
      <c r="M698" s="998"/>
      <c r="N698" s="998"/>
      <c r="O698" s="998"/>
      <c r="P698" s="998"/>
      <c r="Q698" s="1302"/>
      <c r="R698" s="1302"/>
      <c r="S698" s="1302"/>
      <c r="T698" s="1302"/>
      <c r="U698" s="1302"/>
      <c r="V698" s="1302"/>
      <c r="W698" s="1302"/>
      <c r="X698" s="1302"/>
      <c r="Y698" s="1302"/>
      <c r="Z698" s="1302"/>
    </row>
    <row r="699" spans="1:26" ht="18.75" hidden="1">
      <c r="A699" s="1429"/>
      <c r="B699" s="1301"/>
      <c r="C699" s="1301"/>
      <c r="D699" s="1301" t="s">
        <v>295</v>
      </c>
      <c r="E699" s="1301"/>
      <c r="F699" s="1301"/>
      <c r="G699" s="1016"/>
      <c r="H699" s="762" t="s">
        <v>46</v>
      </c>
      <c r="I699" s="1440">
        <f ca="1">IFERROR(__xludf.DUMMYFUNCTION("IMPORTRANGE(""https://docs.google.com/spreadsheets/d/1QqKyyYR6Q21VydFLVH3TRQUabQu_ym0Zz7PgGX0-kHA/edit?usp=sharing"",""แผน!IC88"")"),0)</f>
        <v>0</v>
      </c>
      <c r="J699" s="880">
        <f ca="1">IFERROR(__xludf.DUMMYFUNCTION("IMPORTRANGE(""https://docs.google.com/spreadsheets/d/1XWAQStnk-4SwqDmLtmXYiTMKHgktTP8We1SCoS47DrQ/edit?usp=sharing"",""จัดที่ดิน!BB88"")"),0)</f>
        <v>0</v>
      </c>
      <c r="K699" s="881">
        <f t="shared" ref="K699:K701" ca="1" si="290">IF(I699&gt;0,J699*100/I699,0)</f>
        <v>0</v>
      </c>
      <c r="L699" s="881"/>
      <c r="M699" s="1016"/>
      <c r="N699" s="1441"/>
      <c r="O699" s="881"/>
      <c r="P699" s="881"/>
      <c r="Q699" s="1302"/>
      <c r="R699" s="1302"/>
      <c r="S699" s="1302"/>
      <c r="T699" s="1302"/>
      <c r="U699" s="1302"/>
      <c r="V699" s="1302"/>
      <c r="W699" s="1302"/>
      <c r="X699" s="1302"/>
      <c r="Y699" s="1302"/>
      <c r="Z699" s="1302"/>
    </row>
    <row r="700" spans="1:26" ht="18.75" hidden="1">
      <c r="A700" s="1429"/>
      <c r="B700" s="1301"/>
      <c r="C700" s="1301"/>
      <c r="D700" s="1301" t="s">
        <v>296</v>
      </c>
      <c r="E700" s="1301"/>
      <c r="F700" s="1301"/>
      <c r="G700" s="1016"/>
      <c r="H700" s="762" t="s">
        <v>35</v>
      </c>
      <c r="I700" s="1440">
        <f ca="1">IFERROR(__xludf.DUMMYFUNCTION("IMPORTRANGE(""https://docs.google.com/spreadsheets/d/1QqKyyYR6Q21VydFLVH3TRQUabQu_ym0Zz7PgGX0-kHA/edit?usp=sharing"",""แผน!ID88"")"),0)</f>
        <v>0</v>
      </c>
      <c r="J700" s="880">
        <f ca="1">IFERROR(__xludf.DUMMYFUNCTION("IMPORTRANGE(""https://docs.google.com/spreadsheets/d/1XWAQStnk-4SwqDmLtmXYiTMKHgktTP8We1SCoS47DrQ/edit?usp=sharing"",""จัดที่ดิน!BD88"")"),0)</f>
        <v>0</v>
      </c>
      <c r="K700" s="881">
        <f t="shared" ca="1" si="290"/>
        <v>0</v>
      </c>
      <c r="L700" s="881"/>
      <c r="M700" s="1016"/>
      <c r="N700" s="1441"/>
      <c r="O700" s="881"/>
      <c r="P700" s="881"/>
      <c r="Q700" s="1302"/>
      <c r="R700" s="1302"/>
      <c r="S700" s="1302"/>
      <c r="T700" s="1302"/>
      <c r="U700" s="1302"/>
      <c r="V700" s="1302"/>
      <c r="W700" s="1302"/>
      <c r="X700" s="1302"/>
      <c r="Y700" s="1302"/>
      <c r="Z700" s="1302"/>
    </row>
    <row r="701" spans="1:26" ht="19.5" hidden="1">
      <c r="A701" s="1429"/>
      <c r="B701" s="1301"/>
      <c r="C701" s="1301"/>
      <c r="D701" s="1301" t="s">
        <v>297</v>
      </c>
      <c r="E701" s="1301"/>
      <c r="F701" s="1301"/>
      <c r="G701" s="1016"/>
      <c r="H701" s="765" t="s">
        <v>46</v>
      </c>
      <c r="I701" s="1442">
        <f ca="1">IFERROR(__xludf.DUMMYFUNCTION("IMPORTRANGE(""https://docs.google.com/spreadsheets/d/1QqKyyYR6Q21VydFLVH3TRQUabQu_ym0Zz7PgGX0-kHA/edit?usp=sharing"",""แผน!IE88"")"),0)</f>
        <v>0</v>
      </c>
      <c r="J701" s="1019">
        <f>J704+J707</f>
        <v>0</v>
      </c>
      <c r="K701" s="1020">
        <f t="shared" ca="1" si="290"/>
        <v>0</v>
      </c>
      <c r="L701" s="881"/>
      <c r="M701" s="1016"/>
      <c r="N701" s="1441"/>
      <c r="O701" s="881"/>
      <c r="P701" s="881"/>
      <c r="Q701" s="1302"/>
      <c r="R701" s="1302"/>
      <c r="S701" s="1302"/>
      <c r="T701" s="1302"/>
      <c r="U701" s="1302"/>
      <c r="V701" s="1302"/>
      <c r="W701" s="1302"/>
      <c r="X701" s="1302"/>
      <c r="Y701" s="1302"/>
      <c r="Z701" s="1302"/>
    </row>
    <row r="702" spans="1:26" ht="18.75" hidden="1">
      <c r="A702" s="1429"/>
      <c r="B702" s="1301"/>
      <c r="C702" s="1301"/>
      <c r="D702" s="1301"/>
      <c r="E702" s="1301" t="s">
        <v>298</v>
      </c>
      <c r="F702" s="1301"/>
      <c r="G702" s="1016"/>
      <c r="H702" s="762" t="s">
        <v>35</v>
      </c>
      <c r="I702" s="1440"/>
      <c r="J702" s="1012">
        <v>0</v>
      </c>
      <c r="K702" s="881"/>
      <c r="L702" s="881"/>
      <c r="M702" s="1016"/>
      <c r="N702" s="1441"/>
      <c r="O702" s="881"/>
      <c r="P702" s="881"/>
      <c r="Q702" s="1302"/>
      <c r="R702" s="1302"/>
      <c r="S702" s="1302"/>
      <c r="T702" s="1302"/>
      <c r="U702" s="1302"/>
      <c r="V702" s="1302"/>
      <c r="W702" s="1302"/>
      <c r="X702" s="1302"/>
      <c r="Y702" s="1302"/>
      <c r="Z702" s="1302"/>
    </row>
    <row r="703" spans="1:26" ht="18.75" hidden="1">
      <c r="A703" s="1429"/>
      <c r="B703" s="1301"/>
      <c r="C703" s="1301"/>
      <c r="D703" s="1301"/>
      <c r="E703" s="1301"/>
      <c r="F703" s="1301"/>
      <c r="G703" s="1016"/>
      <c r="H703" s="762" t="s">
        <v>34</v>
      </c>
      <c r="I703" s="1440"/>
      <c r="J703" s="1012">
        <v>0</v>
      </c>
      <c r="K703" s="881"/>
      <c r="L703" s="881"/>
      <c r="M703" s="1016"/>
      <c r="N703" s="1441"/>
      <c r="O703" s="881"/>
      <c r="P703" s="881"/>
      <c r="Q703" s="1302"/>
      <c r="R703" s="1302"/>
      <c r="S703" s="1302"/>
      <c r="T703" s="1302"/>
      <c r="U703" s="1302"/>
      <c r="V703" s="1302"/>
      <c r="W703" s="1302"/>
      <c r="X703" s="1302"/>
      <c r="Y703" s="1302"/>
      <c r="Z703" s="1302"/>
    </row>
    <row r="704" spans="1:26" ht="18.75" hidden="1">
      <c r="A704" s="1429"/>
      <c r="B704" s="1301"/>
      <c r="C704" s="1301"/>
      <c r="D704" s="1301"/>
      <c r="E704" s="1301"/>
      <c r="F704" s="1301"/>
      <c r="G704" s="1016"/>
      <c r="H704" s="762" t="s">
        <v>46</v>
      </c>
      <c r="I704" s="1440">
        <f ca="1">IFERROR(__xludf.DUMMYFUNCTION("IMPORTRANGE(""https://docs.google.com/spreadsheets/d/1QqKyyYR6Q21VydFLVH3TRQUabQu_ym0Zz7PgGX0-kHA/edit?usp=sharing"",""แผน!IF88"")"),0)</f>
        <v>0</v>
      </c>
      <c r="J704" s="1012">
        <v>0</v>
      </c>
      <c r="K704" s="881"/>
      <c r="L704" s="881"/>
      <c r="M704" s="1016"/>
      <c r="N704" s="1441"/>
      <c r="O704" s="881"/>
      <c r="P704" s="881"/>
      <c r="Q704" s="1302"/>
      <c r="R704" s="1302"/>
      <c r="S704" s="1302"/>
      <c r="T704" s="1302"/>
      <c r="U704" s="1302"/>
      <c r="V704" s="1302"/>
      <c r="W704" s="1302"/>
      <c r="X704" s="1302"/>
      <c r="Y704" s="1302"/>
      <c r="Z704" s="1302"/>
    </row>
    <row r="705" spans="1:26" ht="18.75" hidden="1">
      <c r="A705" s="1429"/>
      <c r="B705" s="1301"/>
      <c r="C705" s="1301"/>
      <c r="D705" s="1301"/>
      <c r="E705" s="1301" t="s">
        <v>299</v>
      </c>
      <c r="F705" s="1301"/>
      <c r="G705" s="1016"/>
      <c r="H705" s="762" t="s">
        <v>35</v>
      </c>
      <c r="I705" s="1440"/>
      <c r="J705" s="1012">
        <v>0</v>
      </c>
      <c r="K705" s="881"/>
      <c r="L705" s="881"/>
      <c r="M705" s="1016"/>
      <c r="N705" s="1441"/>
      <c r="O705" s="881"/>
      <c r="P705" s="881"/>
      <c r="Q705" s="1302"/>
      <c r="R705" s="1302"/>
      <c r="S705" s="1302"/>
      <c r="T705" s="1302"/>
      <c r="U705" s="1302"/>
      <c r="V705" s="1302"/>
      <c r="W705" s="1302"/>
      <c r="X705" s="1302"/>
      <c r="Y705" s="1302"/>
      <c r="Z705" s="1302"/>
    </row>
    <row r="706" spans="1:26" ht="18.75" hidden="1">
      <c r="A706" s="1429"/>
      <c r="B706" s="1301"/>
      <c r="C706" s="1301"/>
      <c r="D706" s="1301"/>
      <c r="E706" s="1301"/>
      <c r="F706" s="1301"/>
      <c r="G706" s="1016"/>
      <c r="H706" s="762" t="s">
        <v>34</v>
      </c>
      <c r="I706" s="1440"/>
      <c r="J706" s="1012">
        <v>0</v>
      </c>
      <c r="K706" s="881"/>
      <c r="L706" s="881"/>
      <c r="M706" s="1016"/>
      <c r="N706" s="1441"/>
      <c r="O706" s="881"/>
      <c r="P706" s="881"/>
      <c r="Q706" s="1302"/>
      <c r="R706" s="1302"/>
      <c r="S706" s="1302"/>
      <c r="T706" s="1302"/>
      <c r="U706" s="1302"/>
      <c r="V706" s="1302"/>
      <c r="W706" s="1302"/>
      <c r="X706" s="1302"/>
      <c r="Y706" s="1302"/>
      <c r="Z706" s="1302"/>
    </row>
    <row r="707" spans="1:26" ht="18.75" hidden="1">
      <c r="A707" s="1429"/>
      <c r="B707" s="1301"/>
      <c r="C707" s="1301"/>
      <c r="D707" s="1301"/>
      <c r="E707" s="1301"/>
      <c r="F707" s="1301"/>
      <c r="G707" s="1016"/>
      <c r="H707" s="762" t="s">
        <v>46</v>
      </c>
      <c r="I707" s="1440">
        <f ca="1">IFERROR(__xludf.DUMMYFUNCTION("IMPORTRANGE(""https://docs.google.com/spreadsheets/d/1QqKyyYR6Q21VydFLVH3TRQUabQu_ym0Zz7PgGX0-kHA/edit?usp=sharing"",""แผน!IG88"")"),0)</f>
        <v>0</v>
      </c>
      <c r="J707" s="1012">
        <v>0</v>
      </c>
      <c r="K707" s="881"/>
      <c r="L707" s="881"/>
      <c r="M707" s="1016"/>
      <c r="N707" s="1441"/>
      <c r="O707" s="881"/>
      <c r="P707" s="881"/>
      <c r="Q707" s="1302"/>
      <c r="R707" s="1302"/>
      <c r="S707" s="1302"/>
      <c r="T707" s="1302"/>
      <c r="U707" s="1302"/>
      <c r="V707" s="1302"/>
      <c r="W707" s="1302"/>
      <c r="X707" s="1302"/>
      <c r="Y707" s="1302"/>
      <c r="Z707" s="1302"/>
    </row>
    <row r="708" spans="1:26" ht="19.5" hidden="1">
      <c r="A708" s="1429"/>
      <c r="B708" s="1301"/>
      <c r="C708" s="1301"/>
      <c r="D708" s="1382" t="s">
        <v>300</v>
      </c>
      <c r="E708" s="1301"/>
      <c r="F708" s="1301"/>
      <c r="G708" s="1016"/>
      <c r="H708" s="765" t="s">
        <v>46</v>
      </c>
      <c r="I708" s="1442">
        <f ca="1">IFERROR(__xludf.DUMMYFUNCTION("IMPORTRANGE(""https://docs.google.com/spreadsheets/d/1QqKyyYR6Q21VydFLVH3TRQUabQu_ym0Zz7PgGX0-kHA/edit?usp=sharing"",""แผน!IH88"")"),0)</f>
        <v>0</v>
      </c>
      <c r="J708" s="1019">
        <f>J714+J717</f>
        <v>0</v>
      </c>
      <c r="K708" s="1020">
        <f ca="1">IF(I708&gt;0,J708*100/I708,0)</f>
        <v>0</v>
      </c>
      <c r="L708" s="881"/>
      <c r="M708" s="1016"/>
      <c r="N708" s="1441"/>
      <c r="O708" s="881"/>
      <c r="P708" s="881"/>
      <c r="Q708" s="1302"/>
      <c r="R708" s="1302"/>
      <c r="S708" s="1302"/>
      <c r="T708" s="1302"/>
      <c r="U708" s="1302"/>
      <c r="V708" s="1302"/>
      <c r="W708" s="1302"/>
      <c r="X708" s="1302"/>
      <c r="Y708" s="1302"/>
      <c r="Z708" s="1302"/>
    </row>
    <row r="709" spans="1:26" ht="18.75" hidden="1">
      <c r="A709" s="1429"/>
      <c r="B709" s="1301"/>
      <c r="C709" s="1301"/>
      <c r="D709" s="1301"/>
      <c r="E709" s="1301" t="s">
        <v>301</v>
      </c>
      <c r="F709" s="1301"/>
      <c r="G709" s="1016"/>
      <c r="H709" s="762" t="s">
        <v>34</v>
      </c>
      <c r="I709" s="1440"/>
      <c r="J709" s="1012">
        <v>0</v>
      </c>
      <c r="K709" s="881"/>
      <c r="L709" s="1441"/>
      <c r="M709" s="1016"/>
      <c r="N709" s="1441"/>
      <c r="O709" s="881"/>
      <c r="P709" s="881"/>
      <c r="Q709" s="1302"/>
      <c r="R709" s="1302"/>
      <c r="S709" s="1302"/>
      <c r="T709" s="1302"/>
      <c r="U709" s="1302"/>
      <c r="V709" s="1302"/>
      <c r="W709" s="1302"/>
      <c r="X709" s="1302"/>
      <c r="Y709" s="1302"/>
      <c r="Z709" s="1302"/>
    </row>
    <row r="710" spans="1:26" ht="18.75" hidden="1">
      <c r="A710" s="1429"/>
      <c r="B710" s="1301"/>
      <c r="C710" s="1301"/>
      <c r="D710" s="1301"/>
      <c r="E710" s="1301"/>
      <c r="F710" s="1301"/>
      <c r="G710" s="1016"/>
      <c r="H710" s="762" t="s">
        <v>46</v>
      </c>
      <c r="I710" s="1440"/>
      <c r="J710" s="1012">
        <v>0</v>
      </c>
      <c r="K710" s="881"/>
      <c r="L710" s="1441"/>
      <c r="M710" s="1016"/>
      <c r="N710" s="1441"/>
      <c r="O710" s="881"/>
      <c r="P710" s="881"/>
      <c r="Q710" s="1302"/>
      <c r="R710" s="1302"/>
      <c r="S710" s="1302"/>
      <c r="T710" s="1302"/>
      <c r="U710" s="1302"/>
      <c r="V710" s="1302"/>
      <c r="W710" s="1302"/>
      <c r="X710" s="1302"/>
      <c r="Y710" s="1302"/>
      <c r="Z710" s="1302"/>
    </row>
    <row r="711" spans="1:26" ht="18.75" hidden="1">
      <c r="A711" s="1429"/>
      <c r="B711" s="1301"/>
      <c r="C711" s="1301"/>
      <c r="D711" s="1301"/>
      <c r="E711" s="1301" t="s">
        <v>302</v>
      </c>
      <c r="F711" s="1301"/>
      <c r="G711" s="1016"/>
      <c r="H711" s="1007"/>
      <c r="I711" s="1440"/>
      <c r="J711" s="880"/>
      <c r="K711" s="881"/>
      <c r="L711" s="1441"/>
      <c r="M711" s="1016"/>
      <c r="N711" s="1441"/>
      <c r="O711" s="881"/>
      <c r="P711" s="881"/>
      <c r="Q711" s="1302"/>
      <c r="R711" s="1302"/>
      <c r="S711" s="1302"/>
      <c r="T711" s="1302"/>
      <c r="U711" s="1302"/>
      <c r="V711" s="1302"/>
      <c r="W711" s="1302"/>
      <c r="X711" s="1302"/>
      <c r="Y711" s="1302"/>
      <c r="Z711" s="1302"/>
    </row>
    <row r="712" spans="1:26" ht="18.75" hidden="1">
      <c r="A712" s="1429"/>
      <c r="B712" s="1301"/>
      <c r="C712" s="1301"/>
      <c r="D712" s="1301"/>
      <c r="E712" s="1301"/>
      <c r="F712" s="1301" t="s">
        <v>303</v>
      </c>
      <c r="G712" s="1016"/>
      <c r="H712" s="762" t="s">
        <v>35</v>
      </c>
      <c r="I712" s="1440"/>
      <c r="J712" s="1012">
        <v>0</v>
      </c>
      <c r="K712" s="881"/>
      <c r="L712" s="1441"/>
      <c r="M712" s="1016"/>
      <c r="N712" s="1441"/>
      <c r="O712" s="881"/>
      <c r="P712" s="881"/>
      <c r="Q712" s="1302"/>
      <c r="R712" s="1302"/>
      <c r="S712" s="1302"/>
      <c r="T712" s="1302"/>
      <c r="U712" s="1302"/>
      <c r="V712" s="1302"/>
      <c r="W712" s="1302"/>
      <c r="X712" s="1302"/>
      <c r="Y712" s="1302"/>
      <c r="Z712" s="1302"/>
    </row>
    <row r="713" spans="1:26" ht="18.75" hidden="1">
      <c r="A713" s="1429"/>
      <c r="B713" s="1301"/>
      <c r="C713" s="1301"/>
      <c r="D713" s="1301"/>
      <c r="E713" s="1301"/>
      <c r="F713" s="1301"/>
      <c r="G713" s="1016"/>
      <c r="H713" s="762" t="s">
        <v>34</v>
      </c>
      <c r="I713" s="1440"/>
      <c r="J713" s="1012">
        <v>0</v>
      </c>
      <c r="K713" s="881"/>
      <c r="L713" s="1441"/>
      <c r="M713" s="1016"/>
      <c r="N713" s="1441"/>
      <c r="O713" s="881"/>
      <c r="P713" s="881"/>
      <c r="Q713" s="1302"/>
      <c r="R713" s="1302"/>
      <c r="S713" s="1302"/>
      <c r="T713" s="1302"/>
      <c r="U713" s="1302"/>
      <c r="V713" s="1302"/>
      <c r="W713" s="1302"/>
      <c r="X713" s="1302"/>
      <c r="Y713" s="1302"/>
      <c r="Z713" s="1302"/>
    </row>
    <row r="714" spans="1:26" ht="18.75" hidden="1">
      <c r="A714" s="1429"/>
      <c r="B714" s="1301"/>
      <c r="C714" s="1301"/>
      <c r="D714" s="1301"/>
      <c r="E714" s="1301"/>
      <c r="F714" s="1301"/>
      <c r="G714" s="1016"/>
      <c r="H714" s="762" t="s">
        <v>46</v>
      </c>
      <c r="I714" s="1440"/>
      <c r="J714" s="1012">
        <v>0</v>
      </c>
      <c r="K714" s="881"/>
      <c r="L714" s="1441"/>
      <c r="M714" s="1016"/>
      <c r="N714" s="1441"/>
      <c r="O714" s="881"/>
      <c r="P714" s="881"/>
      <c r="Q714" s="1302"/>
      <c r="R714" s="1302"/>
      <c r="S714" s="1302"/>
      <c r="T714" s="1302"/>
      <c r="U714" s="1302"/>
      <c r="V714" s="1302"/>
      <c r="W714" s="1302"/>
      <c r="X714" s="1302"/>
      <c r="Y714" s="1302"/>
      <c r="Z714" s="1302"/>
    </row>
    <row r="715" spans="1:26" ht="18.75" hidden="1">
      <c r="A715" s="1429"/>
      <c r="B715" s="1301"/>
      <c r="C715" s="1301"/>
      <c r="D715" s="1301"/>
      <c r="E715" s="1301"/>
      <c r="F715" s="1301" t="s">
        <v>304</v>
      </c>
      <c r="G715" s="1016"/>
      <c r="H715" s="762" t="s">
        <v>35</v>
      </c>
      <c r="I715" s="1440"/>
      <c r="J715" s="1012">
        <v>0</v>
      </c>
      <c r="K715" s="881"/>
      <c r="L715" s="1441"/>
      <c r="M715" s="1016"/>
      <c r="N715" s="1441"/>
      <c r="O715" s="881"/>
      <c r="P715" s="881"/>
      <c r="Q715" s="1302"/>
      <c r="R715" s="1302"/>
      <c r="S715" s="1302"/>
      <c r="T715" s="1302"/>
      <c r="U715" s="1302"/>
      <c r="V715" s="1302"/>
      <c r="W715" s="1302"/>
      <c r="X715" s="1302"/>
      <c r="Y715" s="1302"/>
      <c r="Z715" s="1302"/>
    </row>
    <row r="716" spans="1:26" ht="18.75" hidden="1">
      <c r="A716" s="1429"/>
      <c r="B716" s="1301"/>
      <c r="C716" s="1301"/>
      <c r="D716" s="1301"/>
      <c r="E716" s="1301"/>
      <c r="F716" s="1301"/>
      <c r="G716" s="1016"/>
      <c r="H716" s="762" t="s">
        <v>34</v>
      </c>
      <c r="I716" s="1440"/>
      <c r="J716" s="1012">
        <v>0</v>
      </c>
      <c r="K716" s="881"/>
      <c r="L716" s="1441"/>
      <c r="M716" s="1016"/>
      <c r="N716" s="1441"/>
      <c r="O716" s="881"/>
      <c r="P716" s="881"/>
      <c r="Q716" s="1302"/>
      <c r="R716" s="1302"/>
      <c r="S716" s="1302"/>
      <c r="T716" s="1302"/>
      <c r="U716" s="1302"/>
      <c r="V716" s="1302"/>
      <c r="W716" s="1302"/>
      <c r="X716" s="1302"/>
      <c r="Y716" s="1302"/>
      <c r="Z716" s="1302"/>
    </row>
    <row r="717" spans="1:26" ht="18.75" hidden="1">
      <c r="A717" s="1429"/>
      <c r="B717" s="1301"/>
      <c r="C717" s="1301"/>
      <c r="D717" s="1301"/>
      <c r="E717" s="1301"/>
      <c r="F717" s="1301"/>
      <c r="G717" s="1016"/>
      <c r="H717" s="762" t="s">
        <v>46</v>
      </c>
      <c r="I717" s="1440"/>
      <c r="J717" s="1012">
        <v>0</v>
      </c>
      <c r="K717" s="881"/>
      <c r="L717" s="1441"/>
      <c r="M717" s="1016"/>
      <c r="N717" s="1441"/>
      <c r="O717" s="881"/>
      <c r="P717" s="881"/>
      <c r="Q717" s="1302"/>
      <c r="R717" s="1302"/>
      <c r="S717" s="1302"/>
      <c r="T717" s="1302"/>
      <c r="U717" s="1302"/>
      <c r="V717" s="1302"/>
      <c r="W717" s="1302"/>
      <c r="X717" s="1302"/>
      <c r="Y717" s="1302"/>
      <c r="Z717" s="1302"/>
    </row>
    <row r="718" spans="1:26" ht="18.75" hidden="1">
      <c r="A718" s="1429"/>
      <c r="B718" s="1301"/>
      <c r="C718" s="1301"/>
      <c r="D718" s="1301" t="s">
        <v>305</v>
      </c>
      <c r="E718" s="1301"/>
      <c r="F718" s="1301"/>
      <c r="G718" s="1016"/>
      <c r="H718" s="762" t="s">
        <v>35</v>
      </c>
      <c r="I718" s="1440"/>
      <c r="J718" s="880">
        <f ca="1">IFERROR(__xludf.DUMMYFUNCTION("IMPORTRANGE(""https://docs.google.com/spreadsheets/d/1XWAQStnk-4SwqDmLtmXYiTMKHgktTP8We1SCoS47DrQ/edit?usp=sharing"",""จัดที่ดิน!BF88"")"),0)</f>
        <v>0</v>
      </c>
      <c r="K718" s="881"/>
      <c r="L718" s="881"/>
      <c r="M718" s="1016"/>
      <c r="N718" s="1441"/>
      <c r="O718" s="881"/>
      <c r="P718" s="881"/>
      <c r="Q718" s="1302"/>
      <c r="R718" s="1302"/>
      <c r="S718" s="1302"/>
      <c r="T718" s="1302"/>
      <c r="U718" s="1302"/>
      <c r="V718" s="1302"/>
      <c r="W718" s="1302"/>
      <c r="X718" s="1302"/>
      <c r="Y718" s="1302"/>
      <c r="Z718" s="1302"/>
    </row>
    <row r="719" spans="1:26" ht="18.75" hidden="1">
      <c r="A719" s="1429"/>
      <c r="B719" s="1301"/>
      <c r="C719" s="1301"/>
      <c r="D719" s="1301"/>
      <c r="E719" s="1301"/>
      <c r="F719" s="1301"/>
      <c r="G719" s="1016"/>
      <c r="H719" s="762" t="s">
        <v>34</v>
      </c>
      <c r="I719" s="1440"/>
      <c r="J719" s="880">
        <f ca="1">IFERROR(__xludf.DUMMYFUNCTION("IMPORTRANGE(""https://docs.google.com/spreadsheets/d/1XWAQStnk-4SwqDmLtmXYiTMKHgktTP8We1SCoS47DrQ/edit?usp=sharing"",""จัดที่ดิน!BG88"")"),0)</f>
        <v>0</v>
      </c>
      <c r="K719" s="881"/>
      <c r="L719" s="1441"/>
      <c r="M719" s="1016"/>
      <c r="N719" s="1441"/>
      <c r="O719" s="881"/>
      <c r="P719" s="881"/>
      <c r="Q719" s="1302"/>
      <c r="R719" s="1302"/>
      <c r="S719" s="1302"/>
      <c r="T719" s="1302"/>
      <c r="U719" s="1302"/>
      <c r="V719" s="1302"/>
      <c r="W719" s="1302"/>
      <c r="X719" s="1302"/>
      <c r="Y719" s="1302"/>
      <c r="Z719" s="1302"/>
    </row>
    <row r="720" spans="1:26" ht="18.75" hidden="1">
      <c r="A720" s="1429"/>
      <c r="B720" s="1301"/>
      <c r="C720" s="1301"/>
      <c r="D720" s="1301"/>
      <c r="E720" s="1301"/>
      <c r="F720" s="1301"/>
      <c r="G720" s="1016"/>
      <c r="H720" s="762" t="s">
        <v>46</v>
      </c>
      <c r="I720" s="1440">
        <f ca="1">IFERROR(__xludf.DUMMYFUNCTION("IMPORTRANGE(""https://docs.google.com/spreadsheets/d/1QqKyyYR6Q21VydFLVH3TRQUabQu_ym0Zz7PgGX0-kHA/edit?usp=sharing"",""แผน!II88"")"),0)</f>
        <v>0</v>
      </c>
      <c r="J720" s="880">
        <f ca="1">IFERROR(__xludf.DUMMYFUNCTION("IMPORTRANGE(""https://docs.google.com/spreadsheets/d/1XWAQStnk-4SwqDmLtmXYiTMKHgktTP8We1SCoS47DrQ/edit?usp=sharing"",""จัดที่ดิน!BH88"")"),0)</f>
        <v>0</v>
      </c>
      <c r="K720" s="881">
        <f t="shared" ref="K720:K723" ca="1" si="291">IF(I720&gt;0,J720*100/I720,0)</f>
        <v>0</v>
      </c>
      <c r="L720" s="1441"/>
      <c r="M720" s="1016"/>
      <c r="N720" s="1441"/>
      <c r="O720" s="881"/>
      <c r="P720" s="881"/>
      <c r="Q720" s="1302"/>
      <c r="R720" s="1302"/>
      <c r="S720" s="1302"/>
      <c r="T720" s="1302"/>
      <c r="U720" s="1302"/>
      <c r="V720" s="1302"/>
      <c r="W720" s="1302"/>
      <c r="X720" s="1302"/>
      <c r="Y720" s="1302"/>
      <c r="Z720" s="1302"/>
    </row>
    <row r="721" spans="1:26" ht="19.5" hidden="1">
      <c r="A721" s="1429"/>
      <c r="B721" s="1301"/>
      <c r="C721" s="1301"/>
      <c r="D721" s="1301" t="s">
        <v>306</v>
      </c>
      <c r="E721" s="1301"/>
      <c r="F721" s="1301"/>
      <c r="G721" s="1016"/>
      <c r="H721" s="765" t="s">
        <v>35</v>
      </c>
      <c r="I721" s="1442">
        <f ca="1">IFERROR(__xludf.DUMMYFUNCTION("IMPORTRANGE(""https://docs.google.com/spreadsheets/d/1QqKyyYR6Q21VydFLVH3TRQUabQu_ym0Zz7PgGX0-kHA/edit?usp=sharing"",""แผน!IJ88"")"),0)</f>
        <v>0</v>
      </c>
      <c r="J721" s="1019">
        <f ca="1">J723+J726</f>
        <v>0</v>
      </c>
      <c r="K721" s="1020">
        <f t="shared" ca="1" si="291"/>
        <v>0</v>
      </c>
      <c r="L721" s="1441"/>
      <c r="M721" s="1016"/>
      <c r="N721" s="1441"/>
      <c r="O721" s="881"/>
      <c r="P721" s="881"/>
      <c r="Q721" s="1302"/>
      <c r="R721" s="1302"/>
      <c r="S721" s="1302"/>
      <c r="T721" s="1302"/>
      <c r="U721" s="1302"/>
      <c r="V721" s="1302"/>
      <c r="W721" s="1302"/>
      <c r="X721" s="1302"/>
      <c r="Y721" s="1302"/>
      <c r="Z721" s="1302"/>
    </row>
    <row r="722" spans="1:26" ht="19.5" hidden="1">
      <c r="A722" s="1429"/>
      <c r="B722" s="1301"/>
      <c r="C722" s="1301"/>
      <c r="D722" s="1301"/>
      <c r="E722" s="1301"/>
      <c r="F722" s="1301"/>
      <c r="G722" s="1016"/>
      <c r="H722" s="765" t="s">
        <v>46</v>
      </c>
      <c r="I722" s="1442">
        <f ca="1">IFERROR(__xludf.DUMMYFUNCTION("IMPORTRANGE(""https://docs.google.com/spreadsheets/d/1QqKyyYR6Q21VydFLVH3TRQUabQu_ym0Zz7PgGX0-kHA/edit?usp=sharing"",""แผน!IK88"")"),0)</f>
        <v>0</v>
      </c>
      <c r="J722" s="1019">
        <f ca="1">J725+J728</f>
        <v>0</v>
      </c>
      <c r="K722" s="1020">
        <f t="shared" ca="1" si="291"/>
        <v>0</v>
      </c>
      <c r="L722" s="881"/>
      <c r="M722" s="1016"/>
      <c r="N722" s="1441"/>
      <c r="O722" s="881"/>
      <c r="P722" s="881"/>
      <c r="Q722" s="1302"/>
      <c r="R722" s="1302"/>
      <c r="S722" s="1302"/>
      <c r="T722" s="1302"/>
      <c r="U722" s="1302"/>
      <c r="V722" s="1302"/>
      <c r="W722" s="1302"/>
      <c r="X722" s="1302"/>
      <c r="Y722" s="1302"/>
      <c r="Z722" s="1302"/>
    </row>
    <row r="723" spans="1:26" ht="18.75" hidden="1">
      <c r="A723" s="1429"/>
      <c r="B723" s="1301"/>
      <c r="C723" s="1301"/>
      <c r="D723" s="1301"/>
      <c r="E723" s="1301" t="s">
        <v>307</v>
      </c>
      <c r="F723" s="1301"/>
      <c r="G723" s="1016"/>
      <c r="H723" s="762" t="s">
        <v>35</v>
      </c>
      <c r="I723" s="1440">
        <f ca="1">IFERROR(__xludf.DUMMYFUNCTION("IMPORTRANGE(""https://docs.google.com/spreadsheets/d/1QqKyyYR6Q21VydFLVH3TRQUabQu_ym0Zz7PgGX0-kHA/edit?usp=sharing"",""แผน!IL88"")"),0)</f>
        <v>0</v>
      </c>
      <c r="J723" s="880">
        <f ca="1">IFERROR(__xludf.DUMMYFUNCTION("IMPORTRANGE(""https://docs.google.com/spreadsheets/d/1XWAQStnk-4SwqDmLtmXYiTMKHgktTP8We1SCoS47DrQ/edit?usp=sharing"",""จัดที่ดิน!BM88"")"),0)</f>
        <v>0</v>
      </c>
      <c r="K723" s="881">
        <f t="shared" ca="1" si="291"/>
        <v>0</v>
      </c>
      <c r="L723" s="881"/>
      <c r="M723" s="1016"/>
      <c r="N723" s="1441"/>
      <c r="O723" s="881"/>
      <c r="P723" s="881"/>
      <c r="Q723" s="1302"/>
      <c r="R723" s="1302"/>
      <c r="S723" s="1302"/>
      <c r="T723" s="1302"/>
      <c r="U723" s="1302"/>
      <c r="V723" s="1302"/>
      <c r="W723" s="1302"/>
      <c r="X723" s="1302"/>
      <c r="Y723" s="1302"/>
      <c r="Z723" s="1302"/>
    </row>
    <row r="724" spans="1:26" ht="18.75" hidden="1">
      <c r="A724" s="1429"/>
      <c r="B724" s="1301"/>
      <c r="C724" s="1301"/>
      <c r="D724" s="1301"/>
      <c r="E724" s="1301"/>
      <c r="F724" s="1301"/>
      <c r="G724" s="1016"/>
      <c r="H724" s="762" t="s">
        <v>34</v>
      </c>
      <c r="I724" s="1440"/>
      <c r="J724" s="880">
        <f ca="1">IFERROR(__xludf.DUMMYFUNCTION("IMPORTRANGE(""https://docs.google.com/spreadsheets/d/1XWAQStnk-4SwqDmLtmXYiTMKHgktTP8We1SCoS47DrQ/edit?usp=sharing"",""จัดที่ดิน!BN88"")"),0)</f>
        <v>0</v>
      </c>
      <c r="K724" s="881"/>
      <c r="L724" s="1441"/>
      <c r="M724" s="1016"/>
      <c r="N724" s="1441"/>
      <c r="O724" s="881"/>
      <c r="P724" s="881"/>
      <c r="Q724" s="1302"/>
      <c r="R724" s="1302"/>
      <c r="S724" s="1302"/>
      <c r="T724" s="1302"/>
      <c r="U724" s="1302"/>
      <c r="V724" s="1302"/>
      <c r="W724" s="1302"/>
      <c r="X724" s="1302"/>
      <c r="Y724" s="1302"/>
      <c r="Z724" s="1302"/>
    </row>
    <row r="725" spans="1:26" ht="18.75" hidden="1">
      <c r="A725" s="1429"/>
      <c r="B725" s="1301"/>
      <c r="C725" s="1301"/>
      <c r="D725" s="1301"/>
      <c r="E725" s="1301"/>
      <c r="F725" s="1301"/>
      <c r="G725" s="1016"/>
      <c r="H725" s="762" t="s">
        <v>46</v>
      </c>
      <c r="I725" s="1440">
        <f ca="1">IFERROR(__xludf.DUMMYFUNCTION("IMPORTRANGE(""https://docs.google.com/spreadsheets/d/1QqKyyYR6Q21VydFLVH3TRQUabQu_ym0Zz7PgGX0-kHA/edit?usp=sharing"",""แผน!IM88"")"),0)</f>
        <v>0</v>
      </c>
      <c r="J725" s="880">
        <f ca="1">IFERROR(__xludf.DUMMYFUNCTION("IMPORTRANGE(""https://docs.google.com/spreadsheets/d/1XWAQStnk-4SwqDmLtmXYiTMKHgktTP8We1SCoS47DrQ/edit?usp=sharing"",""จัดที่ดิน!BO88"")"),0)</f>
        <v>0</v>
      </c>
      <c r="K725" s="881">
        <f t="shared" ref="K725:K726" ca="1" si="292">IF(I725&gt;0,J725*100/I725,0)</f>
        <v>0</v>
      </c>
      <c r="L725" s="1441"/>
      <c r="M725" s="1016"/>
      <c r="N725" s="1441"/>
      <c r="O725" s="881"/>
      <c r="P725" s="881"/>
      <c r="Q725" s="1302"/>
      <c r="R725" s="1302"/>
      <c r="S725" s="1302"/>
      <c r="T725" s="1302"/>
      <c r="U725" s="1302"/>
      <c r="V725" s="1302"/>
      <c r="W725" s="1302"/>
      <c r="X725" s="1302"/>
      <c r="Y725" s="1302"/>
      <c r="Z725" s="1302"/>
    </row>
    <row r="726" spans="1:26" ht="18.75" hidden="1">
      <c r="A726" s="1429"/>
      <c r="B726" s="1301"/>
      <c r="C726" s="1301"/>
      <c r="D726" s="1301"/>
      <c r="E726" s="1301" t="s">
        <v>308</v>
      </c>
      <c r="F726" s="1301"/>
      <c r="G726" s="1016"/>
      <c r="H726" s="762" t="s">
        <v>35</v>
      </c>
      <c r="I726" s="1440">
        <f ca="1">IFERROR(__xludf.DUMMYFUNCTION("IMPORTRANGE(""https://docs.google.com/spreadsheets/d/1QqKyyYR6Q21VydFLVH3TRQUabQu_ym0Zz7PgGX0-kHA/edit?usp=sharing"",""แผน!IN88"")"),0)</f>
        <v>0</v>
      </c>
      <c r="J726" s="880">
        <f ca="1">IFERROR(__xludf.DUMMYFUNCTION("IMPORTRANGE(""https://docs.google.com/spreadsheets/d/1XWAQStnk-4SwqDmLtmXYiTMKHgktTP8We1SCoS47DrQ/edit?usp=sharing"",""จัดที่ดิน!BR88"")"),0)</f>
        <v>0</v>
      </c>
      <c r="K726" s="881">
        <f t="shared" ca="1" si="292"/>
        <v>0</v>
      </c>
      <c r="L726" s="881"/>
      <c r="M726" s="1016"/>
      <c r="N726" s="1441"/>
      <c r="O726" s="881"/>
      <c r="P726" s="881"/>
      <c r="Q726" s="1302"/>
      <c r="R726" s="1302"/>
      <c r="S726" s="1302"/>
      <c r="T726" s="1302"/>
      <c r="U726" s="1302"/>
      <c r="V726" s="1302"/>
      <c r="W726" s="1302"/>
      <c r="X726" s="1302"/>
      <c r="Y726" s="1302"/>
      <c r="Z726" s="1302"/>
    </row>
    <row r="727" spans="1:26" ht="18.75" hidden="1">
      <c r="A727" s="1429"/>
      <c r="B727" s="1301"/>
      <c r="C727" s="1301"/>
      <c r="D727" s="1301"/>
      <c r="E727" s="1301"/>
      <c r="F727" s="1301"/>
      <c r="G727" s="1016"/>
      <c r="H727" s="762" t="s">
        <v>34</v>
      </c>
      <c r="I727" s="1440"/>
      <c r="J727" s="880">
        <f ca="1">IFERROR(__xludf.DUMMYFUNCTION("IMPORTRANGE(""https://docs.google.com/spreadsheets/d/1XWAQStnk-4SwqDmLtmXYiTMKHgktTP8We1SCoS47DrQ/edit?usp=sharing"",""จัดที่ดิน!BS88"")"),0)</f>
        <v>0</v>
      </c>
      <c r="K727" s="881"/>
      <c r="L727" s="1441"/>
      <c r="M727" s="1016"/>
      <c r="N727" s="1441"/>
      <c r="O727" s="881"/>
      <c r="P727" s="881"/>
      <c r="Q727" s="1302"/>
      <c r="R727" s="1302"/>
      <c r="S727" s="1302"/>
      <c r="T727" s="1302"/>
      <c r="U727" s="1302"/>
      <c r="V727" s="1302"/>
      <c r="W727" s="1302"/>
      <c r="X727" s="1302"/>
      <c r="Y727" s="1302"/>
      <c r="Z727" s="1302"/>
    </row>
    <row r="728" spans="1:26" ht="18.75" hidden="1">
      <c r="A728" s="1429"/>
      <c r="B728" s="1301"/>
      <c r="C728" s="1301"/>
      <c r="D728" s="1301"/>
      <c r="E728" s="1301"/>
      <c r="F728" s="1301"/>
      <c r="G728" s="1016"/>
      <c r="H728" s="762" t="s">
        <v>46</v>
      </c>
      <c r="I728" s="1440">
        <f ca="1">IFERROR(__xludf.DUMMYFUNCTION("IMPORTRANGE(""https://docs.google.com/spreadsheets/d/1QqKyyYR6Q21VydFLVH3TRQUabQu_ym0Zz7PgGX0-kHA/edit?usp=sharing"",""แผน!IO88"")"),0)</f>
        <v>0</v>
      </c>
      <c r="J728" s="880">
        <f ca="1">IFERROR(__xludf.DUMMYFUNCTION("IMPORTRANGE(""https://docs.google.com/spreadsheets/d/1XWAQStnk-4SwqDmLtmXYiTMKHgktTP8We1SCoS47DrQ/edit?usp=sharing"",""จัดที่ดิน!BT88"")"),0)</f>
        <v>0</v>
      </c>
      <c r="K728" s="881">
        <f t="shared" ref="K728:K729" ca="1" si="293">IF(I728&gt;0,J728*100/I728,0)</f>
        <v>0</v>
      </c>
      <c r="L728" s="1441"/>
      <c r="M728" s="1016"/>
      <c r="N728" s="1441"/>
      <c r="O728" s="881"/>
      <c r="P728" s="881"/>
      <c r="Q728" s="1302"/>
      <c r="R728" s="1302"/>
      <c r="S728" s="1302"/>
      <c r="T728" s="1302"/>
      <c r="U728" s="1302"/>
      <c r="V728" s="1302"/>
      <c r="W728" s="1302"/>
      <c r="X728" s="1302"/>
      <c r="Y728" s="1302"/>
      <c r="Z728" s="1302"/>
    </row>
    <row r="729" spans="1:26" ht="19.5" hidden="1">
      <c r="A729" s="1429"/>
      <c r="B729" s="1301"/>
      <c r="C729" s="1301"/>
      <c r="D729" s="1301" t="s">
        <v>309</v>
      </c>
      <c r="E729" s="1301"/>
      <c r="F729" s="1301"/>
      <c r="G729" s="1016"/>
      <c r="H729" s="765" t="s">
        <v>46</v>
      </c>
      <c r="I729" s="1442">
        <f ca="1">IFERROR(__xludf.DUMMYFUNCTION("IMPORTRANGE(""https://docs.google.com/spreadsheets/d/1QqKyyYR6Q21VydFLVH3TRQUabQu_ym0Zz7PgGX0-kHA/edit?usp=sharing"",""แผน!IP88"")"),0)</f>
        <v>0</v>
      </c>
      <c r="J729" s="1019">
        <f>J732+J735</f>
        <v>0</v>
      </c>
      <c r="K729" s="1020">
        <f t="shared" ca="1" si="293"/>
        <v>0</v>
      </c>
      <c r="L729" s="881"/>
      <c r="M729" s="1016"/>
      <c r="N729" s="1441"/>
      <c r="O729" s="881"/>
      <c r="P729" s="881"/>
      <c r="Q729" s="1302"/>
      <c r="R729" s="1302"/>
      <c r="S729" s="1302"/>
      <c r="T729" s="1302"/>
      <c r="U729" s="1302"/>
      <c r="V729" s="1302"/>
      <c r="W729" s="1302"/>
      <c r="X729" s="1302"/>
      <c r="Y729" s="1302"/>
      <c r="Z729" s="1302"/>
    </row>
    <row r="730" spans="1:26" ht="18.75" hidden="1">
      <c r="A730" s="1429"/>
      <c r="B730" s="1301"/>
      <c r="C730" s="1301"/>
      <c r="D730" s="1301"/>
      <c r="E730" s="1301" t="s">
        <v>310</v>
      </c>
      <c r="F730" s="1301"/>
      <c r="G730" s="1016"/>
      <c r="H730" s="762" t="s">
        <v>35</v>
      </c>
      <c r="I730" s="1440"/>
      <c r="J730" s="1012">
        <v>0</v>
      </c>
      <c r="K730" s="881"/>
      <c r="L730" s="1441"/>
      <c r="M730" s="881"/>
      <c r="N730" s="1441"/>
      <c r="O730" s="881"/>
      <c r="P730" s="881"/>
      <c r="Q730" s="1302"/>
      <c r="R730" s="1302"/>
      <c r="S730" s="1302"/>
      <c r="T730" s="1302"/>
      <c r="U730" s="1302"/>
      <c r="V730" s="1302"/>
      <c r="W730" s="1302"/>
      <c r="X730" s="1302"/>
      <c r="Y730" s="1302"/>
      <c r="Z730" s="1302"/>
    </row>
    <row r="731" spans="1:26" ht="18.75" hidden="1">
      <c r="A731" s="1429"/>
      <c r="B731" s="1301"/>
      <c r="C731" s="1301"/>
      <c r="D731" s="1301"/>
      <c r="E731" s="1301"/>
      <c r="F731" s="1301"/>
      <c r="G731" s="1016"/>
      <c r="H731" s="762" t="s">
        <v>34</v>
      </c>
      <c r="I731" s="1440"/>
      <c r="J731" s="1012">
        <v>0</v>
      </c>
      <c r="K731" s="881"/>
      <c r="L731" s="1441"/>
      <c r="M731" s="881"/>
      <c r="N731" s="1441"/>
      <c r="O731" s="881"/>
      <c r="P731" s="881"/>
      <c r="Q731" s="1302"/>
      <c r="R731" s="1302"/>
      <c r="S731" s="1302"/>
      <c r="T731" s="1302"/>
      <c r="U731" s="1302"/>
      <c r="V731" s="1302"/>
      <c r="W731" s="1302"/>
      <c r="X731" s="1302"/>
      <c r="Y731" s="1302"/>
      <c r="Z731" s="1302"/>
    </row>
    <row r="732" spans="1:26" ht="18.75" hidden="1">
      <c r="A732" s="1429"/>
      <c r="B732" s="1301"/>
      <c r="C732" s="1301"/>
      <c r="D732" s="1301"/>
      <c r="E732" s="1301"/>
      <c r="F732" s="1301"/>
      <c r="G732" s="1016"/>
      <c r="H732" s="762" t="s">
        <v>46</v>
      </c>
      <c r="I732" s="1440"/>
      <c r="J732" s="1012">
        <v>0</v>
      </c>
      <c r="K732" s="881"/>
      <c r="L732" s="1441"/>
      <c r="M732" s="881"/>
      <c r="N732" s="1441"/>
      <c r="O732" s="881"/>
      <c r="P732" s="881"/>
      <c r="Q732" s="1302"/>
      <c r="R732" s="1302"/>
      <c r="S732" s="1302"/>
      <c r="T732" s="1302"/>
      <c r="U732" s="1302"/>
      <c r="V732" s="1302"/>
      <c r="W732" s="1302"/>
      <c r="X732" s="1302"/>
      <c r="Y732" s="1302"/>
      <c r="Z732" s="1302"/>
    </row>
    <row r="733" spans="1:26" ht="18.75" hidden="1">
      <c r="A733" s="1429"/>
      <c r="B733" s="1301"/>
      <c r="C733" s="1301"/>
      <c r="D733" s="1301"/>
      <c r="E733" s="1301" t="s">
        <v>311</v>
      </c>
      <c r="F733" s="1301"/>
      <c r="G733" s="1016"/>
      <c r="H733" s="762" t="s">
        <v>35</v>
      </c>
      <c r="I733" s="1440"/>
      <c r="J733" s="1012">
        <v>0</v>
      </c>
      <c r="K733" s="881"/>
      <c r="L733" s="1441"/>
      <c r="M733" s="881"/>
      <c r="N733" s="1441"/>
      <c r="O733" s="881"/>
      <c r="P733" s="881"/>
      <c r="Q733" s="1302"/>
      <c r="R733" s="1302"/>
      <c r="S733" s="1302"/>
      <c r="T733" s="1302"/>
      <c r="U733" s="1302"/>
      <c r="V733" s="1302"/>
      <c r="W733" s="1302"/>
      <c r="X733" s="1302"/>
      <c r="Y733" s="1302"/>
      <c r="Z733" s="1302"/>
    </row>
    <row r="734" spans="1:26" ht="18.75" hidden="1">
      <c r="A734" s="1429"/>
      <c r="B734" s="1301"/>
      <c r="C734" s="1301"/>
      <c r="D734" s="1301"/>
      <c r="E734" s="1301"/>
      <c r="F734" s="1301"/>
      <c r="G734" s="1016"/>
      <c r="H734" s="762" t="s">
        <v>34</v>
      </c>
      <c r="I734" s="1440"/>
      <c r="J734" s="1012">
        <v>0</v>
      </c>
      <c r="K734" s="881"/>
      <c r="L734" s="1441"/>
      <c r="M734" s="881"/>
      <c r="N734" s="1441"/>
      <c r="O734" s="881"/>
      <c r="P734" s="881"/>
      <c r="Q734" s="1302"/>
      <c r="R734" s="1302"/>
      <c r="S734" s="1302"/>
      <c r="T734" s="1302"/>
      <c r="U734" s="1302"/>
      <c r="V734" s="1302"/>
      <c r="W734" s="1302"/>
      <c r="X734" s="1302"/>
      <c r="Y734" s="1302"/>
      <c r="Z734" s="1302"/>
    </row>
    <row r="735" spans="1:26" ht="19.5" hidden="1">
      <c r="A735" s="1443"/>
      <c r="B735" s="1444" t="s">
        <v>312</v>
      </c>
      <c r="C735" s="1169"/>
      <c r="D735" s="1169"/>
      <c r="E735" s="1169"/>
      <c r="F735" s="1169"/>
      <c r="G735" s="1422"/>
      <c r="H735" s="423" t="s">
        <v>46</v>
      </c>
      <c r="I735" s="1445"/>
      <c r="J735" s="1171">
        <v>0</v>
      </c>
      <c r="K735" s="1239"/>
      <c r="L735" s="1446"/>
      <c r="M735" s="1239"/>
      <c r="N735" s="1446"/>
      <c r="O735" s="1239"/>
      <c r="P735" s="1239"/>
      <c r="Q735" s="1302"/>
      <c r="R735" s="1302"/>
      <c r="S735" s="1302"/>
      <c r="T735" s="1302"/>
      <c r="U735" s="1302"/>
      <c r="V735" s="1302"/>
      <c r="W735" s="1302"/>
      <c r="X735" s="1302"/>
      <c r="Y735" s="1302"/>
      <c r="Z735" s="1302"/>
    </row>
    <row r="736" spans="1:26" ht="19.5" hidden="1">
      <c r="A736" s="772">
        <v>9</v>
      </c>
      <c r="B736" s="1447" t="s">
        <v>313</v>
      </c>
      <c r="C736" s="1448"/>
      <c r="D736" s="1448"/>
      <c r="E736" s="1448"/>
      <c r="F736" s="1448"/>
      <c r="G736" s="1449"/>
      <c r="H736" s="776" t="s">
        <v>46</v>
      </c>
      <c r="I736" s="1450"/>
      <c r="J736" s="1450">
        <f>J751</f>
        <v>0</v>
      </c>
      <c r="K736" s="1451">
        <f>IF(I736&gt;0,J736*100/I736,0)</f>
        <v>0</v>
      </c>
      <c r="L736" s="1452"/>
      <c r="M736" s="1452"/>
      <c r="N736" s="1452"/>
      <c r="O736" s="1452"/>
      <c r="P736" s="1452"/>
      <c r="Q736" s="1323"/>
      <c r="R736" s="1323"/>
      <c r="S736" s="1323"/>
      <c r="T736" s="1323"/>
      <c r="U736" s="1323"/>
      <c r="V736" s="1323"/>
      <c r="W736" s="1323"/>
      <c r="X736" s="1323"/>
      <c r="Y736" s="1323"/>
      <c r="Z736" s="1323"/>
    </row>
    <row r="737" spans="1:26" ht="19.5" hidden="1">
      <c r="A737" s="1319"/>
      <c r="B737" s="1320"/>
      <c r="C737" s="1320" t="s">
        <v>16</v>
      </c>
      <c r="D737" s="1351" t="s">
        <v>17</v>
      </c>
      <c r="E737" s="841"/>
      <c r="F737" s="841"/>
      <c r="G737" s="1322"/>
      <c r="H737" s="644" t="s">
        <v>12</v>
      </c>
      <c r="I737" s="886"/>
      <c r="J737" s="886"/>
      <c r="K737" s="887"/>
      <c r="L737" s="1352">
        <f t="shared" ref="L737:N737" si="294">L738+L739</f>
        <v>0</v>
      </c>
      <c r="M737" s="1352">
        <f t="shared" si="294"/>
        <v>0</v>
      </c>
      <c r="N737" s="1352">
        <f t="shared" si="294"/>
        <v>0</v>
      </c>
      <c r="O737" s="1352">
        <f t="shared" ref="O737:O742" si="295">IF(L737&gt;0,N737*100/L737,0)</f>
        <v>0</v>
      </c>
      <c r="P737" s="1352">
        <f t="shared" ref="P737:P742" si="296">IF(M737&gt;0,N737*100/M737,0)</f>
        <v>0</v>
      </c>
      <c r="Q737" s="1323"/>
      <c r="R737" s="1323"/>
      <c r="S737" s="1323"/>
      <c r="T737" s="1323"/>
      <c r="U737" s="1323"/>
      <c r="V737" s="1323"/>
      <c r="W737" s="1323"/>
      <c r="X737" s="1323"/>
      <c r="Y737" s="1323"/>
      <c r="Z737" s="1323"/>
    </row>
    <row r="738" spans="1:26" ht="18.75" hidden="1">
      <c r="A738" s="1319"/>
      <c r="B738" s="1320"/>
      <c r="C738" s="1320"/>
      <c r="D738" s="1321"/>
      <c r="E738" s="1320" t="s">
        <v>185</v>
      </c>
      <c r="F738" s="1320"/>
      <c r="G738" s="1322"/>
      <c r="H738" s="165" t="s">
        <v>12</v>
      </c>
      <c r="I738" s="886"/>
      <c r="J738" s="886"/>
      <c r="K738" s="887"/>
      <c r="L738" s="887">
        <f t="shared" ref="L738:N739" si="297">L741+L748</f>
        <v>0</v>
      </c>
      <c r="M738" s="887">
        <f t="shared" si="297"/>
        <v>0</v>
      </c>
      <c r="N738" s="887">
        <f t="shared" si="297"/>
        <v>0</v>
      </c>
      <c r="O738" s="887">
        <f t="shared" si="295"/>
        <v>0</v>
      </c>
      <c r="P738" s="887">
        <f t="shared" si="296"/>
        <v>0</v>
      </c>
      <c r="Q738" s="1323"/>
      <c r="R738" s="1323"/>
      <c r="S738" s="1323"/>
      <c r="T738" s="1323"/>
      <c r="U738" s="1323"/>
      <c r="V738" s="1323"/>
      <c r="W738" s="1323"/>
      <c r="X738" s="1323"/>
      <c r="Y738" s="1323"/>
      <c r="Z738" s="1323"/>
    </row>
    <row r="739" spans="1:26" ht="18.75" hidden="1">
      <c r="A739" s="1319"/>
      <c r="B739" s="1324"/>
      <c r="C739" s="1320"/>
      <c r="D739" s="1321"/>
      <c r="E739" s="1320" t="s">
        <v>186</v>
      </c>
      <c r="F739" s="1320"/>
      <c r="G739" s="1322"/>
      <c r="H739" s="165" t="s">
        <v>12</v>
      </c>
      <c r="I739" s="886"/>
      <c r="J739" s="886"/>
      <c r="K739" s="887"/>
      <c r="L739" s="887">
        <f t="shared" si="297"/>
        <v>0</v>
      </c>
      <c r="M739" s="887">
        <f t="shared" si="297"/>
        <v>0</v>
      </c>
      <c r="N739" s="887">
        <f t="shared" si="297"/>
        <v>0</v>
      </c>
      <c r="O739" s="887">
        <f t="shared" si="295"/>
        <v>0</v>
      </c>
      <c r="P739" s="887">
        <f t="shared" si="296"/>
        <v>0</v>
      </c>
      <c r="Q739" s="1323"/>
      <c r="R739" s="1323"/>
      <c r="S739" s="1323"/>
      <c r="T739" s="1323"/>
      <c r="U739" s="1323"/>
      <c r="V739" s="1323"/>
      <c r="W739" s="1323"/>
      <c r="X739" s="1323"/>
      <c r="Y739" s="1323"/>
      <c r="Z739" s="1323"/>
    </row>
    <row r="740" spans="1:26" ht="19.5" hidden="1">
      <c r="A740" s="1319"/>
      <c r="B740" s="1324"/>
      <c r="C740" s="1320"/>
      <c r="D740" s="1453" t="s">
        <v>20</v>
      </c>
      <c r="E740" s="1320"/>
      <c r="F740" s="1320"/>
      <c r="G740" s="1322"/>
      <c r="H740" s="644" t="s">
        <v>12</v>
      </c>
      <c r="I740" s="1000"/>
      <c r="J740" s="1000"/>
      <c r="K740" s="1001"/>
      <c r="L740" s="1352">
        <f t="shared" ref="L740:N740" si="298">L741+L742</f>
        <v>0</v>
      </c>
      <c r="M740" s="1352">
        <f t="shared" si="298"/>
        <v>0</v>
      </c>
      <c r="N740" s="1352">
        <f t="shared" si="298"/>
        <v>0</v>
      </c>
      <c r="O740" s="1352">
        <f t="shared" si="295"/>
        <v>0</v>
      </c>
      <c r="P740" s="1352">
        <f t="shared" si="296"/>
        <v>0</v>
      </c>
      <c r="Q740" s="1323"/>
      <c r="R740" s="1323"/>
      <c r="S740" s="1323"/>
      <c r="T740" s="1323"/>
      <c r="U740" s="1323"/>
      <c r="V740" s="1323"/>
      <c r="W740" s="1323"/>
      <c r="X740" s="1323"/>
      <c r="Y740" s="1323"/>
      <c r="Z740" s="1323"/>
    </row>
    <row r="741" spans="1:26" ht="18.75" hidden="1">
      <c r="A741" s="1319"/>
      <c r="B741" s="1324"/>
      <c r="C741" s="1320"/>
      <c r="D741" s="1321"/>
      <c r="E741" s="1320" t="s">
        <v>185</v>
      </c>
      <c r="F741" s="1320"/>
      <c r="G741" s="1322"/>
      <c r="H741" s="165" t="s">
        <v>12</v>
      </c>
      <c r="I741" s="886"/>
      <c r="J741" s="886"/>
      <c r="K741" s="887"/>
      <c r="L741" s="887">
        <v>0</v>
      </c>
      <c r="M741" s="887">
        <v>0</v>
      </c>
      <c r="N741" s="887">
        <v>0</v>
      </c>
      <c r="O741" s="887">
        <f t="shared" si="295"/>
        <v>0</v>
      </c>
      <c r="P741" s="887">
        <f t="shared" si="296"/>
        <v>0</v>
      </c>
      <c r="Q741" s="1323"/>
      <c r="R741" s="1323"/>
      <c r="S741" s="1323"/>
      <c r="T741" s="1323"/>
      <c r="U741" s="1323"/>
      <c r="V741" s="1323"/>
      <c r="W741" s="1323"/>
      <c r="X741" s="1323"/>
      <c r="Y741" s="1323"/>
      <c r="Z741" s="1323"/>
    </row>
    <row r="742" spans="1:26" ht="18.75" hidden="1">
      <c r="A742" s="1319"/>
      <c r="B742" s="1324"/>
      <c r="C742" s="1320"/>
      <c r="D742" s="1321"/>
      <c r="E742" s="1320" t="s">
        <v>186</v>
      </c>
      <c r="F742" s="1320"/>
      <c r="G742" s="1322"/>
      <c r="H742" s="165" t="s">
        <v>12</v>
      </c>
      <c r="I742" s="886"/>
      <c r="J742" s="886"/>
      <c r="K742" s="887"/>
      <c r="L742" s="887">
        <v>0</v>
      </c>
      <c r="M742" s="887">
        <v>0</v>
      </c>
      <c r="N742" s="887">
        <f>N743+N744+N745+N746</f>
        <v>0</v>
      </c>
      <c r="O742" s="887">
        <f t="shared" si="295"/>
        <v>0</v>
      </c>
      <c r="P742" s="887">
        <f t="shared" si="296"/>
        <v>0</v>
      </c>
      <c r="Q742" s="1323"/>
      <c r="R742" s="1323"/>
      <c r="S742" s="1323"/>
      <c r="T742" s="1323"/>
      <c r="U742" s="1323"/>
      <c r="V742" s="1323"/>
      <c r="W742" s="1323"/>
      <c r="X742" s="1323"/>
      <c r="Y742" s="1323"/>
      <c r="Z742" s="1323"/>
    </row>
    <row r="743" spans="1:26" ht="18.75" hidden="1">
      <c r="A743" s="1354"/>
      <c r="B743" s="1324"/>
      <c r="C743" s="1320"/>
      <c r="D743" s="1320"/>
      <c r="E743" s="1320"/>
      <c r="F743" s="1320" t="s">
        <v>187</v>
      </c>
      <c r="G743" s="1322"/>
      <c r="H743" s="165" t="s">
        <v>12</v>
      </c>
      <c r="I743" s="886"/>
      <c r="J743" s="886"/>
      <c r="K743" s="887"/>
      <c r="L743" s="887"/>
      <c r="M743" s="887"/>
      <c r="N743" s="887"/>
      <c r="O743" s="887"/>
      <c r="P743" s="887"/>
      <c r="Q743" s="1323"/>
      <c r="R743" s="1323"/>
      <c r="S743" s="1323"/>
      <c r="T743" s="1323"/>
      <c r="U743" s="1323"/>
      <c r="V743" s="1323"/>
      <c r="W743" s="1323"/>
      <c r="X743" s="1323"/>
      <c r="Y743" s="1323"/>
      <c r="Z743" s="1323"/>
    </row>
    <row r="744" spans="1:26" ht="18.75" hidden="1">
      <c r="A744" s="1354"/>
      <c r="B744" s="1324"/>
      <c r="C744" s="1320"/>
      <c r="D744" s="1320"/>
      <c r="E744" s="1320"/>
      <c r="F744" s="1320" t="s">
        <v>188</v>
      </c>
      <c r="G744" s="1322"/>
      <c r="H744" s="165" t="s">
        <v>12</v>
      </c>
      <c r="I744" s="886"/>
      <c r="J744" s="886"/>
      <c r="K744" s="887"/>
      <c r="L744" s="887"/>
      <c r="M744" s="887"/>
      <c r="N744" s="887"/>
      <c r="O744" s="887"/>
      <c r="P744" s="887"/>
      <c r="Q744" s="1323"/>
      <c r="R744" s="1323"/>
      <c r="S744" s="1323"/>
      <c r="T744" s="1323"/>
      <c r="U744" s="1323"/>
      <c r="V744" s="1323"/>
      <c r="W744" s="1323"/>
      <c r="X744" s="1323"/>
      <c r="Y744" s="1323"/>
      <c r="Z744" s="1323"/>
    </row>
    <row r="745" spans="1:26" ht="18.75" hidden="1">
      <c r="A745" s="1354"/>
      <c r="B745" s="1324"/>
      <c r="C745" s="1320"/>
      <c r="D745" s="1320"/>
      <c r="E745" s="1320"/>
      <c r="F745" s="1320" t="s">
        <v>189</v>
      </c>
      <c r="G745" s="1322"/>
      <c r="H745" s="165" t="s">
        <v>12</v>
      </c>
      <c r="I745" s="886"/>
      <c r="J745" s="886"/>
      <c r="K745" s="887"/>
      <c r="L745" s="887"/>
      <c r="M745" s="887"/>
      <c r="N745" s="887"/>
      <c r="O745" s="887"/>
      <c r="P745" s="887"/>
      <c r="Q745" s="1323"/>
      <c r="R745" s="1323"/>
      <c r="S745" s="1323"/>
      <c r="T745" s="1323"/>
      <c r="U745" s="1323"/>
      <c r="V745" s="1323"/>
      <c r="W745" s="1323"/>
      <c r="X745" s="1323"/>
      <c r="Y745" s="1323"/>
      <c r="Z745" s="1323"/>
    </row>
    <row r="746" spans="1:26" ht="18.75" hidden="1">
      <c r="A746" s="1354"/>
      <c r="B746" s="1324"/>
      <c r="C746" s="1320"/>
      <c r="D746" s="1320"/>
      <c r="E746" s="1320"/>
      <c r="F746" s="1320" t="s">
        <v>190</v>
      </c>
      <c r="G746" s="1322"/>
      <c r="H746" s="165" t="s">
        <v>12</v>
      </c>
      <c r="I746" s="886"/>
      <c r="J746" s="886"/>
      <c r="K746" s="887"/>
      <c r="L746" s="887"/>
      <c r="M746" s="887"/>
      <c r="N746" s="887"/>
      <c r="O746" s="887"/>
      <c r="P746" s="887"/>
      <c r="Q746" s="1323"/>
      <c r="R746" s="1323"/>
      <c r="S746" s="1323"/>
      <c r="T746" s="1323"/>
      <c r="U746" s="1323"/>
      <c r="V746" s="1323"/>
      <c r="W746" s="1323"/>
      <c r="X746" s="1323"/>
      <c r="Y746" s="1323"/>
      <c r="Z746" s="1323"/>
    </row>
    <row r="747" spans="1:26" ht="19.5" hidden="1">
      <c r="A747" s="1319"/>
      <c r="B747" s="1324"/>
      <c r="C747" s="1320"/>
      <c r="D747" s="1453" t="s">
        <v>21</v>
      </c>
      <c r="E747" s="1320"/>
      <c r="F747" s="1320"/>
      <c r="G747" s="1322"/>
      <c r="H747" s="781" t="s">
        <v>12</v>
      </c>
      <c r="I747" s="1000"/>
      <c r="J747" s="1000"/>
      <c r="K747" s="1001"/>
      <c r="L747" s="1352">
        <f t="shared" ref="L747:N747" si="299">L748+L749</f>
        <v>0</v>
      </c>
      <c r="M747" s="1352">
        <f t="shared" si="299"/>
        <v>0</v>
      </c>
      <c r="N747" s="1352">
        <f t="shared" si="299"/>
        <v>0</v>
      </c>
      <c r="O747" s="1352">
        <f t="shared" ref="O747:O749" si="300">IF(L747&gt;0,N747*100/L747,0)</f>
        <v>0</v>
      </c>
      <c r="P747" s="1352">
        <f t="shared" ref="P747:P749" si="301">IF(M747&gt;0,N747*100/M747,0)</f>
        <v>0</v>
      </c>
      <c r="Q747" s="1323"/>
      <c r="R747" s="1323"/>
      <c r="S747" s="1323"/>
      <c r="T747" s="1323"/>
      <c r="U747" s="1323"/>
      <c r="V747" s="1323"/>
      <c r="W747" s="1323"/>
      <c r="X747" s="1323"/>
      <c r="Y747" s="1323"/>
      <c r="Z747" s="1323"/>
    </row>
    <row r="748" spans="1:26" ht="18.75" hidden="1">
      <c r="A748" s="1319"/>
      <c r="B748" s="1324"/>
      <c r="C748" s="1320"/>
      <c r="D748" s="1320"/>
      <c r="E748" s="1320" t="s">
        <v>18</v>
      </c>
      <c r="F748" s="1320"/>
      <c r="G748" s="1322"/>
      <c r="H748" s="165" t="s">
        <v>12</v>
      </c>
      <c r="I748" s="1000"/>
      <c r="J748" s="1000"/>
      <c r="K748" s="1001"/>
      <c r="L748" s="887">
        <v>0</v>
      </c>
      <c r="M748" s="887">
        <v>0</v>
      </c>
      <c r="N748" s="887">
        <v>0</v>
      </c>
      <c r="O748" s="887">
        <f t="shared" si="300"/>
        <v>0</v>
      </c>
      <c r="P748" s="887">
        <f t="shared" si="301"/>
        <v>0</v>
      </c>
      <c r="Q748" s="1323"/>
      <c r="R748" s="1323"/>
      <c r="S748" s="1323"/>
      <c r="T748" s="1323"/>
      <c r="U748" s="1323"/>
      <c r="V748" s="1323"/>
      <c r="W748" s="1323"/>
      <c r="X748" s="1323"/>
      <c r="Y748" s="1323"/>
      <c r="Z748" s="1323"/>
    </row>
    <row r="749" spans="1:26" ht="18.75" hidden="1">
      <c r="A749" s="1319"/>
      <c r="B749" s="1324"/>
      <c r="C749" s="1320"/>
      <c r="D749" s="1320"/>
      <c r="E749" s="1320" t="s">
        <v>19</v>
      </c>
      <c r="F749" s="1320"/>
      <c r="G749" s="1322"/>
      <c r="H749" s="169" t="s">
        <v>12</v>
      </c>
      <c r="I749" s="1000"/>
      <c r="J749" s="1000"/>
      <c r="K749" s="1001"/>
      <c r="L749" s="887">
        <v>0</v>
      </c>
      <c r="M749" s="887">
        <v>0</v>
      </c>
      <c r="N749" s="887">
        <v>0</v>
      </c>
      <c r="O749" s="887">
        <f t="shared" si="300"/>
        <v>0</v>
      </c>
      <c r="P749" s="887">
        <f t="shared" si="301"/>
        <v>0</v>
      </c>
      <c r="Q749" s="1323"/>
      <c r="R749" s="1323"/>
      <c r="S749" s="1323"/>
      <c r="T749" s="1323"/>
      <c r="U749" s="1323"/>
      <c r="V749" s="1323"/>
      <c r="W749" s="1323"/>
      <c r="X749" s="1323"/>
      <c r="Y749" s="1323"/>
      <c r="Z749" s="1323"/>
    </row>
    <row r="750" spans="1:26" ht="19.5" hidden="1">
      <c r="A750" s="1332"/>
      <c r="B750" s="1333"/>
      <c r="C750" s="1320" t="s">
        <v>16</v>
      </c>
      <c r="D750" s="1454" t="s">
        <v>38</v>
      </c>
      <c r="E750" s="1356"/>
      <c r="F750" s="1356"/>
      <c r="G750" s="1357"/>
      <c r="H750" s="1113"/>
      <c r="I750" s="1000"/>
      <c r="J750" s="1000"/>
      <c r="K750" s="1001"/>
      <c r="L750" s="1001"/>
      <c r="M750" s="1001"/>
      <c r="N750" s="1001"/>
      <c r="O750" s="1001"/>
      <c r="P750" s="1001"/>
      <c r="Q750" s="1323"/>
      <c r="R750" s="1323"/>
      <c r="S750" s="1323"/>
      <c r="T750" s="1323"/>
      <c r="U750" s="1323"/>
      <c r="V750" s="1323"/>
      <c r="W750" s="1323"/>
      <c r="X750" s="1323"/>
      <c r="Y750" s="1323"/>
      <c r="Z750" s="1323"/>
    </row>
    <row r="751" spans="1:26" ht="18.75" hidden="1">
      <c r="A751" s="1354"/>
      <c r="B751" s="1324"/>
      <c r="C751" s="1320"/>
      <c r="D751" s="1320"/>
      <c r="E751" s="1320" t="s">
        <v>314</v>
      </c>
      <c r="F751" s="1320"/>
      <c r="G751" s="1322"/>
      <c r="H751" s="165" t="s">
        <v>46</v>
      </c>
      <c r="I751" s="886"/>
      <c r="J751" s="886"/>
      <c r="K751" s="887"/>
      <c r="L751" s="887"/>
      <c r="M751" s="887"/>
      <c r="N751" s="887"/>
      <c r="O751" s="887"/>
      <c r="P751" s="887"/>
      <c r="Q751" s="1323"/>
      <c r="R751" s="1323"/>
      <c r="S751" s="1323"/>
      <c r="T751" s="1323"/>
      <c r="U751" s="1323"/>
      <c r="V751" s="1323"/>
      <c r="W751" s="1323"/>
      <c r="X751" s="1323"/>
      <c r="Y751" s="1323"/>
      <c r="Z751" s="1323"/>
    </row>
    <row r="752" spans="1:26" ht="18.75" hidden="1">
      <c r="A752" s="1354"/>
      <c r="B752" s="1324"/>
      <c r="C752" s="1320"/>
      <c r="D752" s="1320"/>
      <c r="E752" s="1320"/>
      <c r="F752" s="1320"/>
      <c r="G752" s="1322"/>
      <c r="H752" s="165" t="s">
        <v>315</v>
      </c>
      <c r="I752" s="886"/>
      <c r="J752" s="886"/>
      <c r="K752" s="887"/>
      <c r="L752" s="887"/>
      <c r="M752" s="887"/>
      <c r="N752" s="887"/>
      <c r="O752" s="887"/>
      <c r="P752" s="887"/>
      <c r="Q752" s="1323"/>
      <c r="R752" s="1323"/>
      <c r="S752" s="1323"/>
      <c r="T752" s="1323"/>
      <c r="U752" s="1323"/>
      <c r="V752" s="1323"/>
      <c r="W752" s="1323"/>
      <c r="X752" s="1323"/>
      <c r="Y752" s="1323"/>
      <c r="Z752" s="1323"/>
    </row>
    <row r="753" spans="1:26" ht="19.5" hidden="1">
      <c r="A753" s="783">
        <v>10</v>
      </c>
      <c r="B753" s="1455" t="s">
        <v>316</v>
      </c>
      <c r="C753" s="1456"/>
      <c r="D753" s="1456"/>
      <c r="E753" s="1456"/>
      <c r="F753" s="1456"/>
      <c r="G753" s="1457"/>
      <c r="H753" s="787" t="s">
        <v>46</v>
      </c>
      <c r="I753" s="1458"/>
      <c r="J753" s="1458">
        <f>J768</f>
        <v>0</v>
      </c>
      <c r="K753" s="1459">
        <f>IF(I753&gt;0,J753*100/I753,0)</f>
        <v>0</v>
      </c>
      <c r="L753" s="1460"/>
      <c r="M753" s="1460"/>
      <c r="N753" s="1460"/>
      <c r="O753" s="1460"/>
      <c r="P753" s="1460"/>
      <c r="Q753" s="1323"/>
      <c r="R753" s="1323"/>
      <c r="S753" s="1323"/>
      <c r="T753" s="1323"/>
      <c r="U753" s="1323"/>
      <c r="V753" s="1323"/>
      <c r="W753" s="1323"/>
      <c r="X753" s="1323"/>
      <c r="Y753" s="1323"/>
      <c r="Z753" s="1323"/>
    </row>
    <row r="754" spans="1:26" ht="19.5" hidden="1">
      <c r="A754" s="1319"/>
      <c r="B754" s="1320"/>
      <c r="C754" s="1320" t="s">
        <v>16</v>
      </c>
      <c r="D754" s="1351" t="s">
        <v>17</v>
      </c>
      <c r="E754" s="841"/>
      <c r="F754" s="841"/>
      <c r="G754" s="1322"/>
      <c r="H754" s="644" t="s">
        <v>12</v>
      </c>
      <c r="I754" s="886"/>
      <c r="J754" s="886"/>
      <c r="K754" s="887"/>
      <c r="L754" s="1352">
        <f t="shared" ref="L754:N754" si="302">L755+L756</f>
        <v>0</v>
      </c>
      <c r="M754" s="1352">
        <f t="shared" si="302"/>
        <v>0</v>
      </c>
      <c r="N754" s="1352">
        <f t="shared" si="302"/>
        <v>0</v>
      </c>
      <c r="O754" s="1352">
        <f t="shared" ref="O754:O759" si="303">IF(L754&gt;0,N754*100/L754,0)</f>
        <v>0</v>
      </c>
      <c r="P754" s="1352">
        <f t="shared" ref="P754:P759" si="304">IF(M754&gt;0,N754*100/M754,0)</f>
        <v>0</v>
      </c>
      <c r="Q754" s="1323"/>
      <c r="R754" s="1323"/>
      <c r="S754" s="1323"/>
      <c r="T754" s="1323"/>
      <c r="U754" s="1323"/>
      <c r="V754" s="1323"/>
      <c r="W754" s="1323"/>
      <c r="X754" s="1323"/>
      <c r="Y754" s="1323"/>
      <c r="Z754" s="1323"/>
    </row>
    <row r="755" spans="1:26" ht="18.75" hidden="1">
      <c r="A755" s="1319"/>
      <c r="B755" s="1320"/>
      <c r="C755" s="1320"/>
      <c r="D755" s="1321"/>
      <c r="E755" s="1320" t="s">
        <v>185</v>
      </c>
      <c r="F755" s="1320"/>
      <c r="G755" s="1322"/>
      <c r="H755" s="165" t="s">
        <v>12</v>
      </c>
      <c r="I755" s="886"/>
      <c r="J755" s="886"/>
      <c r="K755" s="887"/>
      <c r="L755" s="887">
        <f t="shared" ref="L755:N756" si="305">L758+L765</f>
        <v>0</v>
      </c>
      <c r="M755" s="887">
        <f t="shared" si="305"/>
        <v>0</v>
      </c>
      <c r="N755" s="887">
        <f t="shared" si="305"/>
        <v>0</v>
      </c>
      <c r="O755" s="887">
        <f t="shared" si="303"/>
        <v>0</v>
      </c>
      <c r="P755" s="887">
        <f t="shared" si="304"/>
        <v>0</v>
      </c>
      <c r="Q755" s="1323"/>
      <c r="R755" s="1323"/>
      <c r="S755" s="1323"/>
      <c r="T755" s="1323"/>
      <c r="U755" s="1323"/>
      <c r="V755" s="1323"/>
      <c r="W755" s="1323"/>
      <c r="X755" s="1323"/>
      <c r="Y755" s="1323"/>
      <c r="Z755" s="1323"/>
    </row>
    <row r="756" spans="1:26" ht="18.75" hidden="1">
      <c r="A756" s="1319"/>
      <c r="B756" s="1324"/>
      <c r="C756" s="1320"/>
      <c r="D756" s="1321"/>
      <c r="E756" s="1320" t="s">
        <v>186</v>
      </c>
      <c r="F756" s="1320"/>
      <c r="G756" s="1322"/>
      <c r="H756" s="165" t="s">
        <v>12</v>
      </c>
      <c r="I756" s="886"/>
      <c r="J756" s="886"/>
      <c r="K756" s="887"/>
      <c r="L756" s="887">
        <f t="shared" si="305"/>
        <v>0</v>
      </c>
      <c r="M756" s="887">
        <f t="shared" si="305"/>
        <v>0</v>
      </c>
      <c r="N756" s="887">
        <f t="shared" si="305"/>
        <v>0</v>
      </c>
      <c r="O756" s="887">
        <f t="shared" si="303"/>
        <v>0</v>
      </c>
      <c r="P756" s="887">
        <f t="shared" si="304"/>
        <v>0</v>
      </c>
      <c r="Q756" s="1323"/>
      <c r="R756" s="1323"/>
      <c r="S756" s="1323"/>
      <c r="T756" s="1323"/>
      <c r="U756" s="1323"/>
      <c r="V756" s="1323"/>
      <c r="W756" s="1323"/>
      <c r="X756" s="1323"/>
      <c r="Y756" s="1323"/>
      <c r="Z756" s="1323"/>
    </row>
    <row r="757" spans="1:26" ht="19.5" hidden="1">
      <c r="A757" s="1319"/>
      <c r="B757" s="1324"/>
      <c r="C757" s="1320"/>
      <c r="D757" s="1453" t="s">
        <v>20</v>
      </c>
      <c r="E757" s="1320"/>
      <c r="F757" s="1320"/>
      <c r="G757" s="1322"/>
      <c r="H757" s="644" t="s">
        <v>12</v>
      </c>
      <c r="I757" s="1000"/>
      <c r="J757" s="1000"/>
      <c r="K757" s="1001"/>
      <c r="L757" s="1352">
        <f t="shared" ref="L757:N757" si="306">L758+L759</f>
        <v>0</v>
      </c>
      <c r="M757" s="1352">
        <f t="shared" si="306"/>
        <v>0</v>
      </c>
      <c r="N757" s="1352">
        <f t="shared" si="306"/>
        <v>0</v>
      </c>
      <c r="O757" s="1352">
        <f t="shared" si="303"/>
        <v>0</v>
      </c>
      <c r="P757" s="1352">
        <f t="shared" si="304"/>
        <v>0</v>
      </c>
      <c r="Q757" s="1323"/>
      <c r="R757" s="1323"/>
      <c r="S757" s="1323"/>
      <c r="T757" s="1323"/>
      <c r="U757" s="1323"/>
      <c r="V757" s="1323"/>
      <c r="W757" s="1323"/>
      <c r="X757" s="1323"/>
      <c r="Y757" s="1323"/>
      <c r="Z757" s="1323"/>
    </row>
    <row r="758" spans="1:26" ht="18.75" hidden="1">
      <c r="A758" s="1319"/>
      <c r="B758" s="1324"/>
      <c r="C758" s="1320"/>
      <c r="D758" s="1321"/>
      <c r="E758" s="1320" t="s">
        <v>185</v>
      </c>
      <c r="F758" s="1320"/>
      <c r="G758" s="1322"/>
      <c r="H758" s="165" t="s">
        <v>12</v>
      </c>
      <c r="I758" s="886"/>
      <c r="J758" s="886"/>
      <c r="K758" s="887"/>
      <c r="L758" s="887">
        <v>0</v>
      </c>
      <c r="M758" s="887">
        <v>0</v>
      </c>
      <c r="N758" s="887">
        <v>0</v>
      </c>
      <c r="O758" s="887">
        <f t="shared" si="303"/>
        <v>0</v>
      </c>
      <c r="P758" s="887">
        <f t="shared" si="304"/>
        <v>0</v>
      </c>
      <c r="Q758" s="1323"/>
      <c r="R758" s="1323"/>
      <c r="S758" s="1323"/>
      <c r="T758" s="1323"/>
      <c r="U758" s="1323"/>
      <c r="V758" s="1323"/>
      <c r="W758" s="1323"/>
      <c r="X758" s="1323"/>
      <c r="Y758" s="1323"/>
      <c r="Z758" s="1323"/>
    </row>
    <row r="759" spans="1:26" ht="18.75" hidden="1">
      <c r="A759" s="1319"/>
      <c r="B759" s="1324"/>
      <c r="C759" s="1320"/>
      <c r="D759" s="1321"/>
      <c r="E759" s="1320" t="s">
        <v>186</v>
      </c>
      <c r="F759" s="1320"/>
      <c r="G759" s="1322"/>
      <c r="H759" s="165" t="s">
        <v>12</v>
      </c>
      <c r="I759" s="886"/>
      <c r="J759" s="886"/>
      <c r="K759" s="887"/>
      <c r="L759" s="887">
        <v>0</v>
      </c>
      <c r="M759" s="887">
        <v>0</v>
      </c>
      <c r="N759" s="887">
        <f>N760+N761+N762+N763</f>
        <v>0</v>
      </c>
      <c r="O759" s="887">
        <f t="shared" si="303"/>
        <v>0</v>
      </c>
      <c r="P759" s="887">
        <f t="shared" si="304"/>
        <v>0</v>
      </c>
      <c r="Q759" s="1323"/>
      <c r="R759" s="1323"/>
      <c r="S759" s="1323"/>
      <c r="T759" s="1323"/>
      <c r="U759" s="1323"/>
      <c r="V759" s="1323"/>
      <c r="W759" s="1323"/>
      <c r="X759" s="1323"/>
      <c r="Y759" s="1323"/>
      <c r="Z759" s="1323"/>
    </row>
    <row r="760" spans="1:26" ht="18.75" hidden="1">
      <c r="A760" s="1354"/>
      <c r="B760" s="1324"/>
      <c r="C760" s="1320"/>
      <c r="D760" s="1320"/>
      <c r="E760" s="1320"/>
      <c r="F760" s="1320" t="s">
        <v>187</v>
      </c>
      <c r="G760" s="1322"/>
      <c r="H760" s="165" t="s">
        <v>12</v>
      </c>
      <c r="I760" s="886"/>
      <c r="J760" s="886"/>
      <c r="K760" s="887"/>
      <c r="L760" s="887"/>
      <c r="M760" s="887"/>
      <c r="N760" s="887"/>
      <c r="O760" s="887"/>
      <c r="P760" s="887"/>
      <c r="Q760" s="1323"/>
      <c r="R760" s="1323"/>
      <c r="S760" s="1323"/>
      <c r="T760" s="1323"/>
      <c r="U760" s="1323"/>
      <c r="V760" s="1323"/>
      <c r="W760" s="1323"/>
      <c r="X760" s="1323"/>
      <c r="Y760" s="1323"/>
      <c r="Z760" s="1323"/>
    </row>
    <row r="761" spans="1:26" ht="18.75" hidden="1">
      <c r="A761" s="1354"/>
      <c r="B761" s="1324"/>
      <c r="C761" s="1320"/>
      <c r="D761" s="1320"/>
      <c r="E761" s="1320"/>
      <c r="F761" s="1320" t="s">
        <v>188</v>
      </c>
      <c r="G761" s="1322"/>
      <c r="H761" s="165" t="s">
        <v>12</v>
      </c>
      <c r="I761" s="886"/>
      <c r="J761" s="886"/>
      <c r="K761" s="887"/>
      <c r="L761" s="887"/>
      <c r="M761" s="887"/>
      <c r="N761" s="887"/>
      <c r="O761" s="887"/>
      <c r="P761" s="887"/>
      <c r="Q761" s="1323"/>
      <c r="R761" s="1323"/>
      <c r="S761" s="1323"/>
      <c r="T761" s="1323"/>
      <c r="U761" s="1323"/>
      <c r="V761" s="1323"/>
      <c r="W761" s="1323"/>
      <c r="X761" s="1323"/>
      <c r="Y761" s="1323"/>
      <c r="Z761" s="1323"/>
    </row>
    <row r="762" spans="1:26" ht="18.75" hidden="1">
      <c r="A762" s="1354"/>
      <c r="B762" s="1324"/>
      <c r="C762" s="1320"/>
      <c r="D762" s="1320"/>
      <c r="E762" s="1320"/>
      <c r="F762" s="1320" t="s">
        <v>189</v>
      </c>
      <c r="G762" s="1322"/>
      <c r="H762" s="165" t="s">
        <v>12</v>
      </c>
      <c r="I762" s="886"/>
      <c r="J762" s="886"/>
      <c r="K762" s="887"/>
      <c r="L762" s="887"/>
      <c r="M762" s="887"/>
      <c r="N762" s="887"/>
      <c r="O762" s="887"/>
      <c r="P762" s="887"/>
      <c r="Q762" s="1323"/>
      <c r="R762" s="1323"/>
      <c r="S762" s="1323"/>
      <c r="T762" s="1323"/>
      <c r="U762" s="1323"/>
      <c r="V762" s="1323"/>
      <c r="W762" s="1323"/>
      <c r="X762" s="1323"/>
      <c r="Y762" s="1323"/>
      <c r="Z762" s="1323"/>
    </row>
    <row r="763" spans="1:26" ht="18.75" hidden="1">
      <c r="A763" s="1354"/>
      <c r="B763" s="1324"/>
      <c r="C763" s="1320"/>
      <c r="D763" s="1320"/>
      <c r="E763" s="1320"/>
      <c r="F763" s="1320" t="s">
        <v>190</v>
      </c>
      <c r="G763" s="1322"/>
      <c r="H763" s="165" t="s">
        <v>12</v>
      </c>
      <c r="I763" s="886"/>
      <c r="J763" s="886"/>
      <c r="K763" s="887"/>
      <c r="L763" s="887"/>
      <c r="M763" s="887"/>
      <c r="N763" s="887"/>
      <c r="O763" s="887"/>
      <c r="P763" s="887"/>
      <c r="Q763" s="1323"/>
      <c r="R763" s="1323"/>
      <c r="S763" s="1323"/>
      <c r="T763" s="1323"/>
      <c r="U763" s="1323"/>
      <c r="V763" s="1323"/>
      <c r="W763" s="1323"/>
      <c r="X763" s="1323"/>
      <c r="Y763" s="1323"/>
      <c r="Z763" s="1323"/>
    </row>
    <row r="764" spans="1:26" ht="19.5" hidden="1">
      <c r="A764" s="1319"/>
      <c r="B764" s="1324"/>
      <c r="C764" s="1320"/>
      <c r="D764" s="1453" t="s">
        <v>21</v>
      </c>
      <c r="E764" s="1320"/>
      <c r="F764" s="1320"/>
      <c r="G764" s="1322"/>
      <c r="H764" s="781" t="s">
        <v>12</v>
      </c>
      <c r="I764" s="1000"/>
      <c r="J764" s="1000"/>
      <c r="K764" s="1001"/>
      <c r="L764" s="1352">
        <f t="shared" ref="L764:N764" si="307">L765+L766</f>
        <v>0</v>
      </c>
      <c r="M764" s="1352">
        <f t="shared" si="307"/>
        <v>0</v>
      </c>
      <c r="N764" s="1352">
        <f t="shared" si="307"/>
        <v>0</v>
      </c>
      <c r="O764" s="1352">
        <f t="shared" ref="O764:O766" si="308">IF(L764&gt;0,N764*100/L764,0)</f>
        <v>0</v>
      </c>
      <c r="P764" s="1352">
        <f t="shared" ref="P764:P766" si="309">IF(M764&gt;0,N764*100/M764,0)</f>
        <v>0</v>
      </c>
      <c r="Q764" s="1323"/>
      <c r="R764" s="1323"/>
      <c r="S764" s="1323"/>
      <c r="T764" s="1323"/>
      <c r="U764" s="1323"/>
      <c r="V764" s="1323"/>
      <c r="W764" s="1323"/>
      <c r="X764" s="1323"/>
      <c r="Y764" s="1323"/>
      <c r="Z764" s="1323"/>
    </row>
    <row r="765" spans="1:26" ht="18.75" hidden="1">
      <c r="A765" s="1319"/>
      <c r="B765" s="1324"/>
      <c r="C765" s="1320"/>
      <c r="D765" s="1320"/>
      <c r="E765" s="1320" t="s">
        <v>18</v>
      </c>
      <c r="F765" s="1320"/>
      <c r="G765" s="1322"/>
      <c r="H765" s="165" t="s">
        <v>12</v>
      </c>
      <c r="I765" s="1000"/>
      <c r="J765" s="1000"/>
      <c r="K765" s="1001"/>
      <c r="L765" s="887">
        <v>0</v>
      </c>
      <c r="M765" s="887">
        <v>0</v>
      </c>
      <c r="N765" s="887">
        <v>0</v>
      </c>
      <c r="O765" s="887">
        <f t="shared" si="308"/>
        <v>0</v>
      </c>
      <c r="P765" s="887">
        <f t="shared" si="309"/>
        <v>0</v>
      </c>
      <c r="Q765" s="1323"/>
      <c r="R765" s="1323"/>
      <c r="S765" s="1323"/>
      <c r="T765" s="1323"/>
      <c r="U765" s="1323"/>
      <c r="V765" s="1323"/>
      <c r="W765" s="1323"/>
      <c r="X765" s="1323"/>
      <c r="Y765" s="1323"/>
      <c r="Z765" s="1323"/>
    </row>
    <row r="766" spans="1:26" ht="18.75" hidden="1">
      <c r="A766" s="1319"/>
      <c r="B766" s="1324"/>
      <c r="C766" s="1320"/>
      <c r="D766" s="1320"/>
      <c r="E766" s="1320" t="s">
        <v>19</v>
      </c>
      <c r="F766" s="1320"/>
      <c r="G766" s="1322"/>
      <c r="H766" s="169" t="s">
        <v>12</v>
      </c>
      <c r="I766" s="1000"/>
      <c r="J766" s="1000"/>
      <c r="K766" s="1001"/>
      <c r="L766" s="887">
        <v>0</v>
      </c>
      <c r="M766" s="887">
        <v>0</v>
      </c>
      <c r="N766" s="887">
        <v>0</v>
      </c>
      <c r="O766" s="887">
        <f t="shared" si="308"/>
        <v>0</v>
      </c>
      <c r="P766" s="887">
        <f t="shared" si="309"/>
        <v>0</v>
      </c>
      <c r="Q766" s="1323"/>
      <c r="R766" s="1323"/>
      <c r="S766" s="1323"/>
      <c r="T766" s="1323"/>
      <c r="U766" s="1323"/>
      <c r="V766" s="1323"/>
      <c r="W766" s="1323"/>
      <c r="X766" s="1323"/>
      <c r="Y766" s="1323"/>
      <c r="Z766" s="1323"/>
    </row>
    <row r="767" spans="1:26" ht="19.5" hidden="1">
      <c r="A767" s="1332"/>
      <c r="B767" s="1333"/>
      <c r="C767" s="1320" t="s">
        <v>16</v>
      </c>
      <c r="D767" s="1454" t="s">
        <v>38</v>
      </c>
      <c r="E767" s="1356"/>
      <c r="F767" s="1356"/>
      <c r="G767" s="1357"/>
      <c r="H767" s="1113"/>
      <c r="I767" s="1000"/>
      <c r="J767" s="1000"/>
      <c r="K767" s="1001"/>
      <c r="L767" s="1001"/>
      <c r="M767" s="1001"/>
      <c r="N767" s="1001"/>
      <c r="O767" s="1001"/>
      <c r="P767" s="1001"/>
      <c r="Q767" s="1323"/>
      <c r="R767" s="1323"/>
      <c r="S767" s="1323"/>
      <c r="T767" s="1323"/>
      <c r="U767" s="1323"/>
      <c r="V767" s="1323"/>
      <c r="W767" s="1323"/>
      <c r="X767" s="1323"/>
      <c r="Y767" s="1323"/>
      <c r="Z767" s="1323"/>
    </row>
    <row r="768" spans="1:26" ht="18.75" hidden="1">
      <c r="A768" s="1354"/>
      <c r="B768" s="1324"/>
      <c r="C768" s="1320"/>
      <c r="D768" s="1320"/>
      <c r="E768" s="1320" t="s">
        <v>317</v>
      </c>
      <c r="F768" s="1320"/>
      <c r="G768" s="1322"/>
      <c r="H768" s="165" t="s">
        <v>46</v>
      </c>
      <c r="I768" s="886"/>
      <c r="J768" s="886"/>
      <c r="K768" s="887"/>
      <c r="L768" s="887"/>
      <c r="M768" s="887"/>
      <c r="N768" s="887"/>
      <c r="O768" s="887"/>
      <c r="P768" s="887"/>
      <c r="Q768" s="1323"/>
      <c r="R768" s="1323"/>
      <c r="S768" s="1323"/>
      <c r="T768" s="1323"/>
      <c r="U768" s="1323"/>
      <c r="V768" s="1323"/>
      <c r="W768" s="1323"/>
      <c r="X768" s="1323"/>
      <c r="Y768" s="1323"/>
      <c r="Z768" s="1323"/>
    </row>
    <row r="769" spans="1:26" ht="19.5" hidden="1">
      <c r="A769" s="791">
        <v>11</v>
      </c>
      <c r="B769" s="1461" t="s">
        <v>318</v>
      </c>
      <c r="C769" s="1462"/>
      <c r="D769" s="1462"/>
      <c r="E769" s="1462"/>
      <c r="F769" s="1462"/>
      <c r="G769" s="1463"/>
      <c r="H769" s="795" t="s">
        <v>46</v>
      </c>
      <c r="I769" s="1464"/>
      <c r="J769" s="1464">
        <f>J784</f>
        <v>0</v>
      </c>
      <c r="K769" s="1465">
        <f>IF(I769&gt;0,J769*100/I769,0)</f>
        <v>0</v>
      </c>
      <c r="L769" s="1466"/>
      <c r="M769" s="1466"/>
      <c r="N769" s="1466"/>
      <c r="O769" s="1466"/>
      <c r="P769" s="1466"/>
      <c r="Q769" s="1323"/>
      <c r="R769" s="1323"/>
      <c r="S769" s="1323"/>
      <c r="T769" s="1323"/>
      <c r="U769" s="1323"/>
      <c r="V769" s="1323"/>
      <c r="W769" s="1323"/>
      <c r="X769" s="1323"/>
      <c r="Y769" s="1323"/>
      <c r="Z769" s="1323"/>
    </row>
    <row r="770" spans="1:26" ht="19.5" hidden="1">
      <c r="A770" s="1319"/>
      <c r="B770" s="1320"/>
      <c r="C770" s="1320" t="s">
        <v>16</v>
      </c>
      <c r="D770" s="1351" t="s">
        <v>17</v>
      </c>
      <c r="E770" s="841"/>
      <c r="F770" s="841"/>
      <c r="G770" s="1322"/>
      <c r="H770" s="644" t="s">
        <v>12</v>
      </c>
      <c r="I770" s="886"/>
      <c r="J770" s="886"/>
      <c r="K770" s="887"/>
      <c r="L770" s="1352">
        <f t="shared" ref="L770:N770" si="310">L771+L772</f>
        <v>0</v>
      </c>
      <c r="M770" s="1352">
        <f t="shared" si="310"/>
        <v>0</v>
      </c>
      <c r="N770" s="1352">
        <f t="shared" si="310"/>
        <v>0</v>
      </c>
      <c r="O770" s="1352">
        <f t="shared" ref="O770:O775" si="311">IF(L770&gt;0,N770*100/L770,0)</f>
        <v>0</v>
      </c>
      <c r="P770" s="1352">
        <f t="shared" ref="P770:P775" si="312">IF(M770&gt;0,N770*100/M770,0)</f>
        <v>0</v>
      </c>
      <c r="Q770" s="1323"/>
      <c r="R770" s="1323"/>
      <c r="S770" s="1323"/>
      <c r="T770" s="1323"/>
      <c r="U770" s="1323"/>
      <c r="V770" s="1323"/>
      <c r="W770" s="1323"/>
      <c r="X770" s="1323"/>
      <c r="Y770" s="1323"/>
      <c r="Z770" s="1323"/>
    </row>
    <row r="771" spans="1:26" ht="18.75" hidden="1">
      <c r="A771" s="1319"/>
      <c r="B771" s="1320"/>
      <c r="C771" s="1320"/>
      <c r="D771" s="1321"/>
      <c r="E771" s="1320" t="s">
        <v>185</v>
      </c>
      <c r="F771" s="1320"/>
      <c r="G771" s="1322"/>
      <c r="H771" s="165" t="s">
        <v>12</v>
      </c>
      <c r="I771" s="886"/>
      <c r="J771" s="886"/>
      <c r="K771" s="887"/>
      <c r="L771" s="887">
        <f t="shared" ref="L771:N772" si="313">L774+L781</f>
        <v>0</v>
      </c>
      <c r="M771" s="887">
        <f t="shared" si="313"/>
        <v>0</v>
      </c>
      <c r="N771" s="887">
        <f t="shared" si="313"/>
        <v>0</v>
      </c>
      <c r="O771" s="887">
        <f t="shared" si="311"/>
        <v>0</v>
      </c>
      <c r="P771" s="887">
        <f t="shared" si="312"/>
        <v>0</v>
      </c>
      <c r="Q771" s="1323"/>
      <c r="R771" s="1323"/>
      <c r="S771" s="1323"/>
      <c r="T771" s="1323"/>
      <c r="U771" s="1323"/>
      <c r="V771" s="1323"/>
      <c r="W771" s="1323"/>
      <c r="X771" s="1323"/>
      <c r="Y771" s="1323"/>
      <c r="Z771" s="1323"/>
    </row>
    <row r="772" spans="1:26" ht="18.75" hidden="1">
      <c r="A772" s="1319"/>
      <c r="B772" s="1324"/>
      <c r="C772" s="1320"/>
      <c r="D772" s="1321"/>
      <c r="E772" s="1320" t="s">
        <v>186</v>
      </c>
      <c r="F772" s="1320"/>
      <c r="G772" s="1322"/>
      <c r="H772" s="165" t="s">
        <v>12</v>
      </c>
      <c r="I772" s="886"/>
      <c r="J772" s="886"/>
      <c r="K772" s="887"/>
      <c r="L772" s="887">
        <f t="shared" si="313"/>
        <v>0</v>
      </c>
      <c r="M772" s="887">
        <f t="shared" si="313"/>
        <v>0</v>
      </c>
      <c r="N772" s="887">
        <f t="shared" si="313"/>
        <v>0</v>
      </c>
      <c r="O772" s="887">
        <f t="shared" si="311"/>
        <v>0</v>
      </c>
      <c r="P772" s="887">
        <f t="shared" si="312"/>
        <v>0</v>
      </c>
      <c r="Q772" s="1323"/>
      <c r="R772" s="1323"/>
      <c r="S772" s="1323"/>
      <c r="T772" s="1323"/>
      <c r="U772" s="1323"/>
      <c r="V772" s="1323"/>
      <c r="W772" s="1323"/>
      <c r="X772" s="1323"/>
      <c r="Y772" s="1323"/>
      <c r="Z772" s="1323"/>
    </row>
    <row r="773" spans="1:26" ht="19.5" hidden="1">
      <c r="A773" s="1319"/>
      <c r="B773" s="1324"/>
      <c r="C773" s="1320"/>
      <c r="D773" s="1453" t="s">
        <v>20</v>
      </c>
      <c r="E773" s="1320"/>
      <c r="F773" s="1320"/>
      <c r="G773" s="1322"/>
      <c r="H773" s="644" t="s">
        <v>12</v>
      </c>
      <c r="I773" s="1000"/>
      <c r="J773" s="1000"/>
      <c r="K773" s="1001"/>
      <c r="L773" s="1352">
        <f t="shared" ref="L773:N773" si="314">L774+L775</f>
        <v>0</v>
      </c>
      <c r="M773" s="1352">
        <f t="shared" si="314"/>
        <v>0</v>
      </c>
      <c r="N773" s="1352">
        <f t="shared" si="314"/>
        <v>0</v>
      </c>
      <c r="O773" s="1352">
        <f t="shared" si="311"/>
        <v>0</v>
      </c>
      <c r="P773" s="1352">
        <f t="shared" si="312"/>
        <v>0</v>
      </c>
      <c r="Q773" s="1323"/>
      <c r="R773" s="1323"/>
      <c r="S773" s="1323"/>
      <c r="T773" s="1323"/>
      <c r="U773" s="1323"/>
      <c r="V773" s="1323"/>
      <c r="W773" s="1323"/>
      <c r="X773" s="1323"/>
      <c r="Y773" s="1323"/>
      <c r="Z773" s="1323"/>
    </row>
    <row r="774" spans="1:26" ht="18.75" hidden="1">
      <c r="A774" s="1319"/>
      <c r="B774" s="1324"/>
      <c r="C774" s="1320"/>
      <c r="D774" s="1321"/>
      <c r="E774" s="1320" t="s">
        <v>185</v>
      </c>
      <c r="F774" s="1320"/>
      <c r="G774" s="1322"/>
      <c r="H774" s="165" t="s">
        <v>12</v>
      </c>
      <c r="I774" s="886"/>
      <c r="J774" s="886"/>
      <c r="K774" s="887"/>
      <c r="L774" s="887">
        <v>0</v>
      </c>
      <c r="M774" s="887">
        <v>0</v>
      </c>
      <c r="N774" s="887">
        <v>0</v>
      </c>
      <c r="O774" s="887">
        <f t="shared" si="311"/>
        <v>0</v>
      </c>
      <c r="P774" s="887">
        <f t="shared" si="312"/>
        <v>0</v>
      </c>
      <c r="Q774" s="1323"/>
      <c r="R774" s="1323"/>
      <c r="S774" s="1323"/>
      <c r="T774" s="1323"/>
      <c r="U774" s="1323"/>
      <c r="V774" s="1323"/>
      <c r="W774" s="1323"/>
      <c r="X774" s="1323"/>
      <c r="Y774" s="1323"/>
      <c r="Z774" s="1323"/>
    </row>
    <row r="775" spans="1:26" ht="18.75" hidden="1">
      <c r="A775" s="1319"/>
      <c r="B775" s="1324"/>
      <c r="C775" s="1320"/>
      <c r="D775" s="1321"/>
      <c r="E775" s="1320" t="s">
        <v>186</v>
      </c>
      <c r="F775" s="1320"/>
      <c r="G775" s="1322"/>
      <c r="H775" s="165" t="s">
        <v>12</v>
      </c>
      <c r="I775" s="886"/>
      <c r="J775" s="886"/>
      <c r="K775" s="887"/>
      <c r="L775" s="887">
        <v>0</v>
      </c>
      <c r="M775" s="887">
        <v>0</v>
      </c>
      <c r="N775" s="887">
        <f>N776+N777+N778+N779</f>
        <v>0</v>
      </c>
      <c r="O775" s="887">
        <f t="shared" si="311"/>
        <v>0</v>
      </c>
      <c r="P775" s="887">
        <f t="shared" si="312"/>
        <v>0</v>
      </c>
      <c r="Q775" s="1323"/>
      <c r="R775" s="1323"/>
      <c r="S775" s="1323"/>
      <c r="T775" s="1323"/>
      <c r="U775" s="1323"/>
      <c r="V775" s="1323"/>
      <c r="W775" s="1323"/>
      <c r="X775" s="1323"/>
      <c r="Y775" s="1323"/>
      <c r="Z775" s="1323"/>
    </row>
    <row r="776" spans="1:26" ht="18.75" hidden="1">
      <c r="A776" s="1354"/>
      <c r="B776" s="1324"/>
      <c r="C776" s="1320"/>
      <c r="D776" s="1320"/>
      <c r="E776" s="1320"/>
      <c r="F776" s="1320" t="s">
        <v>187</v>
      </c>
      <c r="G776" s="1322"/>
      <c r="H776" s="165" t="s">
        <v>12</v>
      </c>
      <c r="I776" s="886"/>
      <c r="J776" s="886"/>
      <c r="K776" s="887"/>
      <c r="L776" s="887"/>
      <c r="M776" s="887"/>
      <c r="N776" s="887"/>
      <c r="O776" s="887"/>
      <c r="P776" s="887"/>
      <c r="Q776" s="1323"/>
      <c r="R776" s="1323"/>
      <c r="S776" s="1323"/>
      <c r="T776" s="1323"/>
      <c r="U776" s="1323"/>
      <c r="V776" s="1323"/>
      <c r="W776" s="1323"/>
      <c r="X776" s="1323"/>
      <c r="Y776" s="1323"/>
      <c r="Z776" s="1323"/>
    </row>
    <row r="777" spans="1:26" ht="18.75" hidden="1">
      <c r="A777" s="1354"/>
      <c r="B777" s="1324"/>
      <c r="C777" s="1320"/>
      <c r="D777" s="1320"/>
      <c r="E777" s="1320"/>
      <c r="F777" s="1320" t="s">
        <v>188</v>
      </c>
      <c r="G777" s="1322"/>
      <c r="H777" s="165" t="s">
        <v>12</v>
      </c>
      <c r="I777" s="886"/>
      <c r="J777" s="886"/>
      <c r="K777" s="887"/>
      <c r="L777" s="887"/>
      <c r="M777" s="887"/>
      <c r="N777" s="887"/>
      <c r="O777" s="887"/>
      <c r="P777" s="887"/>
      <c r="Q777" s="1323"/>
      <c r="R777" s="1323"/>
      <c r="S777" s="1323"/>
      <c r="T777" s="1323"/>
      <c r="U777" s="1323"/>
      <c r="V777" s="1323"/>
      <c r="W777" s="1323"/>
      <c r="X777" s="1323"/>
      <c r="Y777" s="1323"/>
      <c r="Z777" s="1323"/>
    </row>
    <row r="778" spans="1:26" ht="18.75" hidden="1">
      <c r="A778" s="1354"/>
      <c r="B778" s="1324"/>
      <c r="C778" s="1320"/>
      <c r="D778" s="1320"/>
      <c r="E778" s="1320"/>
      <c r="F778" s="1320" t="s">
        <v>189</v>
      </c>
      <c r="G778" s="1322"/>
      <c r="H778" s="165" t="s">
        <v>12</v>
      </c>
      <c r="I778" s="886"/>
      <c r="J778" s="886"/>
      <c r="K778" s="887"/>
      <c r="L778" s="887"/>
      <c r="M778" s="887"/>
      <c r="N778" s="887"/>
      <c r="O778" s="887"/>
      <c r="P778" s="887"/>
      <c r="Q778" s="1323"/>
      <c r="R778" s="1323"/>
      <c r="S778" s="1323"/>
      <c r="T778" s="1323"/>
      <c r="U778" s="1323"/>
      <c r="V778" s="1323"/>
      <c r="W778" s="1323"/>
      <c r="X778" s="1323"/>
      <c r="Y778" s="1323"/>
      <c r="Z778" s="1323"/>
    </row>
    <row r="779" spans="1:26" ht="18.75" hidden="1">
      <c r="A779" s="1354"/>
      <c r="B779" s="1324"/>
      <c r="C779" s="1320"/>
      <c r="D779" s="1320"/>
      <c r="E779" s="1320"/>
      <c r="F779" s="1320" t="s">
        <v>190</v>
      </c>
      <c r="G779" s="1322"/>
      <c r="H779" s="165" t="s">
        <v>12</v>
      </c>
      <c r="I779" s="886"/>
      <c r="J779" s="886"/>
      <c r="K779" s="887"/>
      <c r="L779" s="887"/>
      <c r="M779" s="887"/>
      <c r="N779" s="887"/>
      <c r="O779" s="887"/>
      <c r="P779" s="887"/>
      <c r="Q779" s="1323"/>
      <c r="R779" s="1323"/>
      <c r="S779" s="1323"/>
      <c r="T779" s="1323"/>
      <c r="U779" s="1323"/>
      <c r="V779" s="1323"/>
      <c r="W779" s="1323"/>
      <c r="X779" s="1323"/>
      <c r="Y779" s="1323"/>
      <c r="Z779" s="1323"/>
    </row>
    <row r="780" spans="1:26" ht="19.5" hidden="1">
      <c r="A780" s="1319"/>
      <c r="B780" s="1324"/>
      <c r="C780" s="1320"/>
      <c r="D780" s="1453" t="s">
        <v>21</v>
      </c>
      <c r="E780" s="1320"/>
      <c r="F780" s="1320"/>
      <c r="G780" s="1322"/>
      <c r="H780" s="781" t="s">
        <v>12</v>
      </c>
      <c r="I780" s="1000"/>
      <c r="J780" s="1000"/>
      <c r="K780" s="1001"/>
      <c r="L780" s="1352">
        <f t="shared" ref="L780:N780" si="315">L781+L782</f>
        <v>0</v>
      </c>
      <c r="M780" s="1352">
        <f t="shared" si="315"/>
        <v>0</v>
      </c>
      <c r="N780" s="1352">
        <f t="shared" si="315"/>
        <v>0</v>
      </c>
      <c r="O780" s="1352">
        <f t="shared" ref="O780:O782" si="316">IF(L780&gt;0,N780*100/L780,0)</f>
        <v>0</v>
      </c>
      <c r="P780" s="1352">
        <f t="shared" ref="P780:P782" si="317">IF(M780&gt;0,N780*100/M780,0)</f>
        <v>0</v>
      </c>
      <c r="Q780" s="1323"/>
      <c r="R780" s="1323"/>
      <c r="S780" s="1323"/>
      <c r="T780" s="1323"/>
      <c r="U780" s="1323"/>
      <c r="V780" s="1323"/>
      <c r="W780" s="1323"/>
      <c r="X780" s="1323"/>
      <c r="Y780" s="1323"/>
      <c r="Z780" s="1323"/>
    </row>
    <row r="781" spans="1:26" ht="18.75" hidden="1">
      <c r="A781" s="1319"/>
      <c r="B781" s="1324"/>
      <c r="C781" s="1320"/>
      <c r="D781" s="1320"/>
      <c r="E781" s="1320" t="s">
        <v>18</v>
      </c>
      <c r="F781" s="1320"/>
      <c r="G781" s="1322"/>
      <c r="H781" s="165" t="s">
        <v>12</v>
      </c>
      <c r="I781" s="1000"/>
      <c r="J781" s="1000"/>
      <c r="K781" s="1001"/>
      <c r="L781" s="887">
        <v>0</v>
      </c>
      <c r="M781" s="887">
        <v>0</v>
      </c>
      <c r="N781" s="887">
        <v>0</v>
      </c>
      <c r="O781" s="887">
        <f t="shared" si="316"/>
        <v>0</v>
      </c>
      <c r="P781" s="887">
        <f t="shared" si="317"/>
        <v>0</v>
      </c>
      <c r="Q781" s="1323"/>
      <c r="R781" s="1323"/>
      <c r="S781" s="1323"/>
      <c r="T781" s="1323"/>
      <c r="U781" s="1323"/>
      <c r="V781" s="1323"/>
      <c r="W781" s="1323"/>
      <c r="X781" s="1323"/>
      <c r="Y781" s="1323"/>
      <c r="Z781" s="1323"/>
    </row>
    <row r="782" spans="1:26" ht="18.75" hidden="1">
      <c r="A782" s="1319"/>
      <c r="B782" s="1324"/>
      <c r="C782" s="1320"/>
      <c r="D782" s="1320"/>
      <c r="E782" s="1320" t="s">
        <v>19</v>
      </c>
      <c r="F782" s="1320"/>
      <c r="G782" s="1322"/>
      <c r="H782" s="169" t="s">
        <v>12</v>
      </c>
      <c r="I782" s="1000"/>
      <c r="J782" s="1000"/>
      <c r="K782" s="1001"/>
      <c r="L782" s="887">
        <v>0</v>
      </c>
      <c r="M782" s="887">
        <v>0</v>
      </c>
      <c r="N782" s="887">
        <v>0</v>
      </c>
      <c r="O782" s="887">
        <f t="shared" si="316"/>
        <v>0</v>
      </c>
      <c r="P782" s="887">
        <f t="shared" si="317"/>
        <v>0</v>
      </c>
      <c r="Q782" s="1323"/>
      <c r="R782" s="1323"/>
      <c r="S782" s="1323"/>
      <c r="T782" s="1323"/>
      <c r="U782" s="1323"/>
      <c r="V782" s="1323"/>
      <c r="W782" s="1323"/>
      <c r="X782" s="1323"/>
      <c r="Y782" s="1323"/>
      <c r="Z782" s="1323"/>
    </row>
    <row r="783" spans="1:26" ht="19.5" hidden="1">
      <c r="A783" s="1332"/>
      <c r="B783" s="1333"/>
      <c r="C783" s="1320" t="s">
        <v>16</v>
      </c>
      <c r="D783" s="1454" t="s">
        <v>38</v>
      </c>
      <c r="E783" s="1356"/>
      <c r="F783" s="1356"/>
      <c r="G783" s="1357"/>
      <c r="H783" s="1467"/>
      <c r="I783" s="1000"/>
      <c r="J783" s="1000"/>
      <c r="K783" s="1001"/>
      <c r="L783" s="1001"/>
      <c r="M783" s="1001"/>
      <c r="N783" s="1001"/>
      <c r="O783" s="1001"/>
      <c r="P783" s="1001"/>
      <c r="Q783" s="1323"/>
      <c r="R783" s="1323"/>
      <c r="S783" s="1323"/>
      <c r="T783" s="1323"/>
      <c r="U783" s="1323"/>
      <c r="V783" s="1323"/>
      <c r="W783" s="1323"/>
      <c r="X783" s="1323"/>
      <c r="Y783" s="1323"/>
      <c r="Z783" s="1323"/>
    </row>
    <row r="784" spans="1:26" ht="18.75" hidden="1">
      <c r="A784" s="1354"/>
      <c r="B784" s="1324"/>
      <c r="C784" s="1320"/>
      <c r="D784" s="1320"/>
      <c r="E784" s="1320" t="s">
        <v>319</v>
      </c>
      <c r="F784" s="1320"/>
      <c r="G784" s="1322"/>
      <c r="H784" s="165" t="s">
        <v>46</v>
      </c>
      <c r="I784" s="886"/>
      <c r="J784" s="886"/>
      <c r="K784" s="887"/>
      <c r="L784" s="887"/>
      <c r="M784" s="887"/>
      <c r="N784" s="887"/>
      <c r="O784" s="887"/>
      <c r="P784" s="887"/>
      <c r="Q784" s="1323"/>
      <c r="R784" s="1323"/>
      <c r="S784" s="1323"/>
      <c r="T784" s="1323"/>
      <c r="U784" s="1323"/>
      <c r="V784" s="1323"/>
      <c r="W784" s="1323"/>
      <c r="X784" s="1323"/>
      <c r="Y784" s="1323"/>
      <c r="Z784" s="1323"/>
    </row>
    <row r="785" spans="1:26" ht="19.5" hidden="1">
      <c r="A785" s="800">
        <v>12</v>
      </c>
      <c r="B785" s="1468" t="s">
        <v>320</v>
      </c>
      <c r="C785" s="1469"/>
      <c r="D785" s="1469"/>
      <c r="E785" s="1469"/>
      <c r="F785" s="1469"/>
      <c r="G785" s="1470"/>
      <c r="H785" s="804" t="s">
        <v>46</v>
      </c>
      <c r="I785" s="1471">
        <f t="shared" ref="I785:J785" ca="1" si="318">I800</f>
        <v>0</v>
      </c>
      <c r="J785" s="1472">
        <f t="shared" ca="1" si="318"/>
        <v>0</v>
      </c>
      <c r="K785" s="1473">
        <f ca="1">IF(I785&gt;0,J785*100/I785,0)</f>
        <v>0</v>
      </c>
      <c r="L785" s="1474"/>
      <c r="M785" s="1474"/>
      <c r="N785" s="1474"/>
      <c r="O785" s="1474"/>
      <c r="P785" s="1474"/>
      <c r="Q785" s="1302"/>
      <c r="R785" s="1302"/>
      <c r="S785" s="1302"/>
      <c r="T785" s="1302"/>
      <c r="U785" s="1302"/>
      <c r="V785" s="1302"/>
      <c r="W785" s="1302"/>
      <c r="X785" s="1302"/>
      <c r="Y785" s="1302"/>
      <c r="Z785" s="1302"/>
    </row>
    <row r="786" spans="1:26" ht="19.5" hidden="1">
      <c r="A786" s="1317"/>
      <c r="B786" s="1300"/>
      <c r="C786" s="1301" t="s">
        <v>16</v>
      </c>
      <c r="D786" s="1318" t="s">
        <v>17</v>
      </c>
      <c r="E786" s="841"/>
      <c r="F786" s="841"/>
      <c r="G786" s="1016"/>
      <c r="H786" s="597" t="s">
        <v>12</v>
      </c>
      <c r="I786" s="880"/>
      <c r="J786" s="880"/>
      <c r="K786" s="881"/>
      <c r="L786" s="1020">
        <f t="shared" ref="L786:N786" ca="1" si="319">L787+L788</f>
        <v>0</v>
      </c>
      <c r="M786" s="1020">
        <f t="shared" si="319"/>
        <v>0</v>
      </c>
      <c r="N786" s="1020">
        <f t="shared" si="319"/>
        <v>0</v>
      </c>
      <c r="O786" s="1020">
        <f t="shared" ref="O786:O791" ca="1" si="320">IF(L786&gt;0,N786*100/L786,0)</f>
        <v>0</v>
      </c>
      <c r="P786" s="1020">
        <f t="shared" ref="P786:P791" si="321">IF(M786&gt;0,N786*100/M786,0)</f>
        <v>0</v>
      </c>
      <c r="Q786" s="1302"/>
      <c r="R786" s="1302"/>
      <c r="S786" s="1302"/>
      <c r="T786" s="1302"/>
      <c r="U786" s="1302"/>
      <c r="V786" s="1302"/>
      <c r="W786" s="1302"/>
      <c r="X786" s="1302"/>
      <c r="Y786" s="1302"/>
      <c r="Z786" s="1302"/>
    </row>
    <row r="787" spans="1:26" ht="18.75" hidden="1">
      <c r="A787" s="1319"/>
      <c r="B787" s="1324"/>
      <c r="C787" s="1320"/>
      <c r="D787" s="1321"/>
      <c r="E787" s="1320" t="s">
        <v>185</v>
      </c>
      <c r="F787" s="1320"/>
      <c r="G787" s="1322"/>
      <c r="H787" s="165" t="s">
        <v>12</v>
      </c>
      <c r="I787" s="886"/>
      <c r="J787" s="886"/>
      <c r="K787" s="887"/>
      <c r="L787" s="887">
        <f t="shared" ref="L787:N788" si="322">L790+L797</f>
        <v>0</v>
      </c>
      <c r="M787" s="887">
        <f t="shared" si="322"/>
        <v>0</v>
      </c>
      <c r="N787" s="887">
        <f t="shared" si="322"/>
        <v>0</v>
      </c>
      <c r="O787" s="887">
        <f t="shared" si="320"/>
        <v>0</v>
      </c>
      <c r="P787" s="887">
        <f t="shared" si="321"/>
        <v>0</v>
      </c>
      <c r="Q787" s="1323"/>
      <c r="R787" s="1323"/>
      <c r="S787" s="1323"/>
      <c r="T787" s="1323"/>
      <c r="U787" s="1323"/>
      <c r="V787" s="1323"/>
      <c r="W787" s="1323"/>
      <c r="X787" s="1323"/>
      <c r="Y787" s="1323"/>
      <c r="Z787" s="1323"/>
    </row>
    <row r="788" spans="1:26" ht="18.75" hidden="1">
      <c r="A788" s="1319"/>
      <c r="B788" s="1324"/>
      <c r="C788" s="1324"/>
      <c r="D788" s="1333"/>
      <c r="E788" s="1320" t="s">
        <v>186</v>
      </c>
      <c r="F788" s="1320"/>
      <c r="G788" s="1322"/>
      <c r="H788" s="165" t="s">
        <v>12</v>
      </c>
      <c r="I788" s="886"/>
      <c r="J788" s="886"/>
      <c r="K788" s="887"/>
      <c r="L788" s="887">
        <f t="shared" ca="1" si="322"/>
        <v>0</v>
      </c>
      <c r="M788" s="887">
        <f t="shared" si="322"/>
        <v>0</v>
      </c>
      <c r="N788" s="887">
        <f t="shared" si="322"/>
        <v>0</v>
      </c>
      <c r="O788" s="887">
        <f t="shared" ca="1" si="320"/>
        <v>0</v>
      </c>
      <c r="P788" s="887">
        <f t="shared" si="321"/>
        <v>0</v>
      </c>
      <c r="Q788" s="1323"/>
      <c r="R788" s="1323"/>
      <c r="S788" s="1323"/>
      <c r="T788" s="1323"/>
      <c r="U788" s="1323"/>
      <c r="V788" s="1323"/>
      <c r="W788" s="1323"/>
      <c r="X788" s="1323"/>
      <c r="Y788" s="1323"/>
      <c r="Z788" s="1323"/>
    </row>
    <row r="789" spans="1:26" ht="18.75" hidden="1">
      <c r="A789" s="1317"/>
      <c r="B789" s="1300"/>
      <c r="C789" s="1300"/>
      <c r="D789" s="1325" t="s">
        <v>20</v>
      </c>
      <c r="E789" s="1301"/>
      <c r="F789" s="1301"/>
      <c r="G789" s="1016"/>
      <c r="H789" s="161" t="s">
        <v>12</v>
      </c>
      <c r="I789" s="997"/>
      <c r="J789" s="997"/>
      <c r="K789" s="998"/>
      <c r="L789" s="881">
        <f t="shared" ref="L789:N789" ca="1" si="323">L790+L791</f>
        <v>0</v>
      </c>
      <c r="M789" s="881">
        <f t="shared" si="323"/>
        <v>0</v>
      </c>
      <c r="N789" s="881">
        <f t="shared" si="323"/>
        <v>0</v>
      </c>
      <c r="O789" s="881">
        <f t="shared" ca="1" si="320"/>
        <v>0</v>
      </c>
      <c r="P789" s="881">
        <f t="shared" si="321"/>
        <v>0</v>
      </c>
      <c r="Q789" s="1302"/>
      <c r="R789" s="1302"/>
      <c r="S789" s="1302"/>
      <c r="T789" s="1302"/>
      <c r="U789" s="1302"/>
      <c r="V789" s="1302"/>
      <c r="W789" s="1302"/>
      <c r="X789" s="1302"/>
      <c r="Y789" s="1302"/>
      <c r="Z789" s="1302"/>
    </row>
    <row r="790" spans="1:26" ht="18.75" hidden="1">
      <c r="A790" s="1319"/>
      <c r="B790" s="1324"/>
      <c r="C790" s="1324"/>
      <c r="D790" s="1333"/>
      <c r="E790" s="1320" t="s">
        <v>185</v>
      </c>
      <c r="F790" s="1320"/>
      <c r="G790" s="1322"/>
      <c r="H790" s="165" t="s">
        <v>12</v>
      </c>
      <c r="I790" s="886"/>
      <c r="J790" s="886"/>
      <c r="K790" s="887"/>
      <c r="L790" s="887">
        <v>0</v>
      </c>
      <c r="M790" s="887">
        <v>0</v>
      </c>
      <c r="N790" s="887">
        <v>0</v>
      </c>
      <c r="O790" s="887">
        <f t="shared" si="320"/>
        <v>0</v>
      </c>
      <c r="P790" s="887">
        <f t="shared" si="321"/>
        <v>0</v>
      </c>
      <c r="Q790" s="1323"/>
      <c r="R790" s="1323"/>
      <c r="S790" s="1323"/>
      <c r="T790" s="1323"/>
      <c r="U790" s="1323"/>
      <c r="V790" s="1323"/>
      <c r="W790" s="1323"/>
      <c r="X790" s="1323"/>
      <c r="Y790" s="1323"/>
      <c r="Z790" s="1323"/>
    </row>
    <row r="791" spans="1:26" ht="18.75" hidden="1">
      <c r="A791" s="1319"/>
      <c r="B791" s="1324"/>
      <c r="C791" s="1324"/>
      <c r="D791" s="1333"/>
      <c r="E791" s="1320" t="s">
        <v>186</v>
      </c>
      <c r="F791" s="1320"/>
      <c r="G791" s="1322"/>
      <c r="H791" s="165" t="s">
        <v>12</v>
      </c>
      <c r="I791" s="886"/>
      <c r="J791" s="886"/>
      <c r="K791" s="887"/>
      <c r="L791" s="887">
        <f ca="1">IFERROR(__xludf.DUMMYFUNCTION("IMPORTRANGE(""https://docs.google.com/spreadsheets/d/1QqKyyYR6Q21VydFLVH3TRQUabQu_ym0Zz7PgGX0-kHA/edit?usp=sharing"",""แผน!JJ88"")"),0)</f>
        <v>0</v>
      </c>
      <c r="M791" s="887">
        <v>0</v>
      </c>
      <c r="N791" s="887">
        <f>N792+N793+N794+N795</f>
        <v>0</v>
      </c>
      <c r="O791" s="887">
        <f t="shared" ca="1" si="320"/>
        <v>0</v>
      </c>
      <c r="P791" s="887">
        <f t="shared" si="321"/>
        <v>0</v>
      </c>
      <c r="Q791" s="1323"/>
      <c r="R791" s="1323"/>
      <c r="S791" s="1323"/>
      <c r="T791" s="1323"/>
      <c r="U791" s="1323"/>
      <c r="V791" s="1323"/>
      <c r="W791" s="1323"/>
      <c r="X791" s="1323"/>
      <c r="Y791" s="1323"/>
      <c r="Z791" s="1323"/>
    </row>
    <row r="792" spans="1:26" ht="18.75" hidden="1">
      <c r="A792" s="1299"/>
      <c r="B792" s="1300"/>
      <c r="C792" s="1301"/>
      <c r="D792" s="1301"/>
      <c r="E792" s="1301"/>
      <c r="F792" s="1301" t="s">
        <v>187</v>
      </c>
      <c r="G792" s="1016"/>
      <c r="H792" s="161" t="s">
        <v>12</v>
      </c>
      <c r="I792" s="880"/>
      <c r="J792" s="880"/>
      <c r="K792" s="881"/>
      <c r="L792" s="881"/>
      <c r="M792" s="881"/>
      <c r="N792" s="1085">
        <v>0</v>
      </c>
      <c r="O792" s="881"/>
      <c r="P792" s="881"/>
      <c r="Q792" s="1302"/>
      <c r="R792" s="1302"/>
      <c r="S792" s="1302"/>
      <c r="T792" s="1302"/>
      <c r="U792" s="1302"/>
      <c r="V792" s="1302"/>
      <c r="W792" s="1302"/>
      <c r="X792" s="1302"/>
      <c r="Y792" s="1302"/>
      <c r="Z792" s="1302"/>
    </row>
    <row r="793" spans="1:26" ht="18.75" hidden="1">
      <c r="A793" s="1299"/>
      <c r="B793" s="1300"/>
      <c r="C793" s="1301"/>
      <c r="D793" s="1301"/>
      <c r="E793" s="1301"/>
      <c r="F793" s="1301" t="s">
        <v>188</v>
      </c>
      <c r="G793" s="1016"/>
      <c r="H793" s="161" t="s">
        <v>12</v>
      </c>
      <c r="I793" s="880"/>
      <c r="J793" s="880"/>
      <c r="K793" s="881"/>
      <c r="L793" s="881"/>
      <c r="M793" s="881"/>
      <c r="N793" s="1085">
        <v>0</v>
      </c>
      <c r="O793" s="881"/>
      <c r="P793" s="881"/>
      <c r="Q793" s="1302"/>
      <c r="R793" s="1302"/>
      <c r="S793" s="1302"/>
      <c r="T793" s="1302"/>
      <c r="U793" s="1302"/>
      <c r="V793" s="1302"/>
      <c r="W793" s="1302"/>
      <c r="X793" s="1302"/>
      <c r="Y793" s="1302"/>
      <c r="Z793" s="1302"/>
    </row>
    <row r="794" spans="1:26" ht="18.75" hidden="1">
      <c r="A794" s="1299"/>
      <c r="B794" s="1300"/>
      <c r="C794" s="1301"/>
      <c r="D794" s="1301"/>
      <c r="E794" s="1301"/>
      <c r="F794" s="1301" t="s">
        <v>189</v>
      </c>
      <c r="G794" s="1016"/>
      <c r="H794" s="161" t="s">
        <v>12</v>
      </c>
      <c r="I794" s="880"/>
      <c r="J794" s="880"/>
      <c r="K794" s="881"/>
      <c r="L794" s="881"/>
      <c r="M794" s="881"/>
      <c r="N794" s="1085">
        <v>0</v>
      </c>
      <c r="O794" s="881"/>
      <c r="P794" s="881"/>
      <c r="Q794" s="1302"/>
      <c r="R794" s="1302"/>
      <c r="S794" s="1302"/>
      <c r="T794" s="1302"/>
      <c r="U794" s="1302"/>
      <c r="V794" s="1302"/>
      <c r="W794" s="1302"/>
      <c r="X794" s="1302"/>
      <c r="Y794" s="1302"/>
      <c r="Z794" s="1302"/>
    </row>
    <row r="795" spans="1:26" ht="18.75" hidden="1">
      <c r="A795" s="1299"/>
      <c r="B795" s="1300"/>
      <c r="C795" s="1301"/>
      <c r="D795" s="1301"/>
      <c r="E795" s="1301"/>
      <c r="F795" s="1301" t="s">
        <v>190</v>
      </c>
      <c r="G795" s="1016"/>
      <c r="H795" s="161" t="s">
        <v>12</v>
      </c>
      <c r="I795" s="880"/>
      <c r="J795" s="880"/>
      <c r="K795" s="881"/>
      <c r="L795" s="881"/>
      <c r="M795" s="881"/>
      <c r="N795" s="1085">
        <v>0</v>
      </c>
      <c r="O795" s="881"/>
      <c r="P795" s="881"/>
      <c r="Q795" s="1302"/>
      <c r="R795" s="1302"/>
      <c r="S795" s="1302"/>
      <c r="T795" s="1302"/>
      <c r="U795" s="1302"/>
      <c r="V795" s="1302"/>
      <c r="W795" s="1302"/>
      <c r="X795" s="1302"/>
      <c r="Y795" s="1302"/>
      <c r="Z795" s="1302"/>
    </row>
    <row r="796" spans="1:26" ht="18.75" hidden="1">
      <c r="A796" s="1317"/>
      <c r="B796" s="1300"/>
      <c r="C796" s="1301"/>
      <c r="D796" s="1325" t="s">
        <v>21</v>
      </c>
      <c r="E796" s="1301"/>
      <c r="F796" s="1301"/>
      <c r="G796" s="1016"/>
      <c r="H796" s="168" t="s">
        <v>12</v>
      </c>
      <c r="I796" s="997"/>
      <c r="J796" s="997"/>
      <c r="K796" s="998"/>
      <c r="L796" s="881">
        <f t="shared" ref="L796:N796" si="324">L797+L798</f>
        <v>0</v>
      </c>
      <c r="M796" s="881">
        <f t="shared" si="324"/>
        <v>0</v>
      </c>
      <c r="N796" s="881">
        <f t="shared" si="324"/>
        <v>0</v>
      </c>
      <c r="O796" s="881">
        <f t="shared" ref="O796:O798" si="325">IF(L796&gt;0,N796*100/L796,0)</f>
        <v>0</v>
      </c>
      <c r="P796" s="881">
        <f t="shared" ref="P796:P798" si="326">IF(M796&gt;0,N796*100/M796,0)</f>
        <v>0</v>
      </c>
      <c r="Q796" s="1302"/>
      <c r="R796" s="1302"/>
      <c r="S796" s="1302"/>
      <c r="T796" s="1302"/>
      <c r="U796" s="1302"/>
      <c r="V796" s="1302"/>
      <c r="W796" s="1302"/>
      <c r="X796" s="1302"/>
      <c r="Y796" s="1302"/>
      <c r="Z796" s="1302"/>
    </row>
    <row r="797" spans="1:26" ht="18.75" hidden="1">
      <c r="A797" s="1319"/>
      <c r="B797" s="1324"/>
      <c r="C797" s="1320"/>
      <c r="D797" s="1320"/>
      <c r="E797" s="1320" t="s">
        <v>18</v>
      </c>
      <c r="F797" s="1320"/>
      <c r="G797" s="1322"/>
      <c r="H797" s="165" t="s">
        <v>12</v>
      </c>
      <c r="I797" s="1000"/>
      <c r="J797" s="1000"/>
      <c r="K797" s="1001"/>
      <c r="L797" s="887">
        <v>0</v>
      </c>
      <c r="M797" s="887">
        <v>0</v>
      </c>
      <c r="N797" s="887">
        <v>0</v>
      </c>
      <c r="O797" s="887">
        <f t="shared" si="325"/>
        <v>0</v>
      </c>
      <c r="P797" s="887">
        <f t="shared" si="326"/>
        <v>0</v>
      </c>
      <c r="Q797" s="1323"/>
      <c r="R797" s="1323"/>
      <c r="S797" s="1323"/>
      <c r="T797" s="1323"/>
      <c r="U797" s="1323"/>
      <c r="V797" s="1323"/>
      <c r="W797" s="1323"/>
      <c r="X797" s="1323"/>
      <c r="Y797" s="1323"/>
      <c r="Z797" s="1323"/>
    </row>
    <row r="798" spans="1:26" ht="18.75" hidden="1">
      <c r="A798" s="1319"/>
      <c r="B798" s="1324"/>
      <c r="C798" s="1320"/>
      <c r="D798" s="1320"/>
      <c r="E798" s="1320" t="s">
        <v>19</v>
      </c>
      <c r="F798" s="1320"/>
      <c r="G798" s="1322"/>
      <c r="H798" s="169" t="s">
        <v>12</v>
      </c>
      <c r="I798" s="1000"/>
      <c r="J798" s="1000"/>
      <c r="K798" s="1001"/>
      <c r="L798" s="887">
        <v>0</v>
      </c>
      <c r="M798" s="887">
        <v>0</v>
      </c>
      <c r="N798" s="887">
        <v>0</v>
      </c>
      <c r="O798" s="887">
        <f t="shared" si="325"/>
        <v>0</v>
      </c>
      <c r="P798" s="887">
        <f t="shared" si="326"/>
        <v>0</v>
      </c>
      <c r="Q798" s="1323"/>
      <c r="R798" s="1323"/>
      <c r="S798" s="1323"/>
      <c r="T798" s="1323"/>
      <c r="U798" s="1323"/>
      <c r="V798" s="1323"/>
      <c r="W798" s="1323"/>
      <c r="X798" s="1323"/>
      <c r="Y798" s="1323"/>
      <c r="Z798" s="1323"/>
    </row>
    <row r="799" spans="1:26" ht="19.5" hidden="1">
      <c r="A799" s="1326"/>
      <c r="B799" s="1327"/>
      <c r="C799" s="1301" t="s">
        <v>16</v>
      </c>
      <c r="D799" s="1439" t="s">
        <v>38</v>
      </c>
      <c r="E799" s="1330"/>
      <c r="F799" s="1330"/>
      <c r="G799" s="1331"/>
      <c r="H799" s="1475"/>
      <c r="I799" s="997"/>
      <c r="J799" s="997"/>
      <c r="K799" s="998"/>
      <c r="L799" s="998"/>
      <c r="M799" s="998"/>
      <c r="N799" s="998"/>
      <c r="O799" s="998"/>
      <c r="P799" s="998"/>
      <c r="Q799" s="1302"/>
      <c r="R799" s="1302"/>
      <c r="S799" s="1302"/>
      <c r="T799" s="1302"/>
      <c r="U799" s="1302"/>
      <c r="V799" s="1302"/>
      <c r="W799" s="1302"/>
      <c r="X799" s="1302"/>
      <c r="Y799" s="1302"/>
      <c r="Z799" s="1302"/>
    </row>
    <row r="800" spans="1:26" ht="18.75" hidden="1">
      <c r="A800" s="1326"/>
      <c r="B800" s="1327"/>
      <c r="C800" s="1327"/>
      <c r="D800" s="1327"/>
      <c r="E800" s="1014"/>
      <c r="F800" s="1014" t="s">
        <v>321</v>
      </c>
      <c r="G800" s="1007"/>
      <c r="H800" s="185" t="s">
        <v>46</v>
      </c>
      <c r="I800" s="997">
        <f ca="1">IFERROR(__xludf.DUMMYFUNCTION("IMPORTRANGE(""https://docs.google.com/spreadsheets/d/1QqKyyYR6Q21VydFLVH3TRQUabQu_ym0Zz7PgGX0-kHA/edit?usp=sharing"",""แผน!JN88"")"),0)</f>
        <v>0</v>
      </c>
      <c r="J800" s="997">
        <f ca="1">IFERROR(__xludf.DUMMYFUNCTION("IMPORTRANGE(""https://docs.google.com/spreadsheets/d/1MaWodYyGHDf7siQLGxnXhG4mBNTNIuy296niS2xXulU/edit?usp=sharing"",""RTK!H88"")"),0)</f>
        <v>0</v>
      </c>
      <c r="K800" s="881">
        <f ca="1">IF(I800&gt;0,J800*100/I800,0)</f>
        <v>0</v>
      </c>
      <c r="L800" s="881"/>
      <c r="M800" s="881"/>
      <c r="N800" s="881"/>
      <c r="O800" s="998"/>
      <c r="P800" s="998"/>
      <c r="Q800" s="1302"/>
      <c r="R800" s="1302"/>
      <c r="S800" s="1302"/>
      <c r="T800" s="1302"/>
      <c r="U800" s="1302"/>
      <c r="V800" s="1302"/>
      <c r="W800" s="1302"/>
      <c r="X800" s="1302"/>
      <c r="Y800" s="1302"/>
      <c r="Z800" s="1302"/>
    </row>
    <row r="801" spans="1:26" ht="18.75" hidden="1">
      <c r="A801" s="1326"/>
      <c r="B801" s="1327"/>
      <c r="C801" s="1327"/>
      <c r="D801" s="1327"/>
      <c r="E801" s="1014"/>
      <c r="F801" s="1014"/>
      <c r="G801" s="1007"/>
      <c r="H801" s="161" t="s">
        <v>34</v>
      </c>
      <c r="I801" s="997"/>
      <c r="J801" s="880">
        <f ca="1">IFERROR(__xludf.DUMMYFUNCTION("IMPORTRANGE(""https://docs.google.com/spreadsheets/d/1MaWodYyGHDf7siQLGxnXhG4mBNTNIuy296niS2xXulU/edit?usp=sharing"",""RTK!I88"")"),0)</f>
        <v>0</v>
      </c>
      <c r="K801" s="881"/>
      <c r="L801" s="881"/>
      <c r="M801" s="881"/>
      <c r="N801" s="881"/>
      <c r="O801" s="998"/>
      <c r="P801" s="998"/>
      <c r="Q801" s="1302"/>
      <c r="R801" s="1302"/>
      <c r="S801" s="1302"/>
      <c r="T801" s="1302"/>
      <c r="U801" s="1302"/>
      <c r="V801" s="1302"/>
      <c r="W801" s="1302"/>
      <c r="X801" s="1302"/>
      <c r="Y801" s="1302"/>
      <c r="Z801" s="1302"/>
    </row>
    <row r="802" spans="1:26" ht="18.75" hidden="1">
      <c r="A802" s="1332"/>
      <c r="B802" s="1333"/>
      <c r="C802" s="1333"/>
      <c r="D802" s="1333"/>
      <c r="E802" s="1321"/>
      <c r="F802" s="1321" t="s">
        <v>322</v>
      </c>
      <c r="G802" s="1113"/>
      <c r="H802" s="651" t="s">
        <v>46</v>
      </c>
      <c r="I802" s="1000"/>
      <c r="J802" s="886"/>
      <c r="K802" s="1001">
        <f>IF(I802&gt;0,J802*100/I802,0)</f>
        <v>0</v>
      </c>
      <c r="L802" s="1001"/>
      <c r="M802" s="1001"/>
      <c r="N802" s="1001"/>
      <c r="O802" s="1001"/>
      <c r="P802" s="1001"/>
      <c r="Q802" s="1323"/>
      <c r="R802" s="1323"/>
      <c r="S802" s="1323"/>
      <c r="T802" s="1323"/>
      <c r="U802" s="1323"/>
      <c r="V802" s="1323"/>
      <c r="W802" s="1323"/>
      <c r="X802" s="1323"/>
      <c r="Y802" s="1323"/>
      <c r="Z802" s="1323"/>
    </row>
    <row r="803" spans="1:26" ht="18.75" hidden="1">
      <c r="A803" s="1332"/>
      <c r="B803" s="1333"/>
      <c r="C803" s="1333"/>
      <c r="D803" s="1333"/>
      <c r="E803" s="1321"/>
      <c r="F803" s="1321"/>
      <c r="G803" s="1113"/>
      <c r="H803" s="651" t="s">
        <v>34</v>
      </c>
      <c r="I803" s="1000"/>
      <c r="J803" s="886"/>
      <c r="K803" s="1001"/>
      <c r="L803" s="1001"/>
      <c r="M803" s="1001"/>
      <c r="N803" s="1001"/>
      <c r="O803" s="1001"/>
      <c r="P803" s="1001"/>
      <c r="Q803" s="1323"/>
      <c r="R803" s="1323"/>
      <c r="S803" s="1323"/>
      <c r="T803" s="1323"/>
      <c r="U803" s="1323"/>
      <c r="V803" s="1323"/>
      <c r="W803" s="1323"/>
      <c r="X803" s="1323"/>
      <c r="Y803" s="1323"/>
      <c r="Z803" s="1323"/>
    </row>
    <row r="804" spans="1:26" ht="19.5" hidden="1">
      <c r="A804" s="791">
        <v>13</v>
      </c>
      <c r="B804" s="1461" t="s">
        <v>323</v>
      </c>
      <c r="C804" s="1462"/>
      <c r="D804" s="1476"/>
      <c r="E804" s="1462"/>
      <c r="F804" s="1462"/>
      <c r="G804" s="1463"/>
      <c r="H804" s="795" t="s">
        <v>46</v>
      </c>
      <c r="I804" s="1464"/>
      <c r="J804" s="1464">
        <f>J819</f>
        <v>0</v>
      </c>
      <c r="K804" s="1465">
        <f>IF(I804&gt;0,J804*100/I804,0)</f>
        <v>0</v>
      </c>
      <c r="L804" s="1466"/>
      <c r="M804" s="1466"/>
      <c r="N804" s="1466"/>
      <c r="O804" s="1466"/>
      <c r="P804" s="1466"/>
      <c r="Q804" s="1323"/>
      <c r="R804" s="1323"/>
      <c r="S804" s="1323"/>
      <c r="T804" s="1323"/>
      <c r="U804" s="1323"/>
      <c r="V804" s="1323"/>
      <c r="W804" s="1323"/>
      <c r="X804" s="1323"/>
      <c r="Y804" s="1323"/>
      <c r="Z804" s="1323"/>
    </row>
    <row r="805" spans="1:26" ht="19.5" hidden="1">
      <c r="A805" s="1319"/>
      <c r="B805" s="1320"/>
      <c r="C805" s="1320" t="s">
        <v>16</v>
      </c>
      <c r="D805" s="1351" t="s">
        <v>17</v>
      </c>
      <c r="E805" s="841"/>
      <c r="F805" s="841"/>
      <c r="G805" s="1322"/>
      <c r="H805" s="644" t="s">
        <v>12</v>
      </c>
      <c r="I805" s="886"/>
      <c r="J805" s="886"/>
      <c r="K805" s="887"/>
      <c r="L805" s="1352">
        <f t="shared" ref="L805:N805" si="327">L806+L807</f>
        <v>0</v>
      </c>
      <c r="M805" s="1352">
        <f t="shared" si="327"/>
        <v>0</v>
      </c>
      <c r="N805" s="1352">
        <f t="shared" si="327"/>
        <v>0</v>
      </c>
      <c r="O805" s="1352">
        <f t="shared" ref="O805:O810" si="328">IF(L805&gt;0,N805*100/L805,0)</f>
        <v>0</v>
      </c>
      <c r="P805" s="1352">
        <f t="shared" ref="P805:P810" si="329">IF(M805&gt;0,N805*100/M805,0)</f>
        <v>0</v>
      </c>
      <c r="Q805" s="1323"/>
      <c r="R805" s="1323"/>
      <c r="S805" s="1323"/>
      <c r="T805" s="1323"/>
      <c r="U805" s="1323"/>
      <c r="V805" s="1323"/>
      <c r="W805" s="1323"/>
      <c r="X805" s="1323"/>
      <c r="Y805" s="1323"/>
      <c r="Z805" s="1323"/>
    </row>
    <row r="806" spans="1:26" ht="18.75" hidden="1">
      <c r="A806" s="1319"/>
      <c r="B806" s="1320"/>
      <c r="C806" s="1320"/>
      <c r="D806" s="1333"/>
      <c r="E806" s="1320" t="s">
        <v>185</v>
      </c>
      <c r="F806" s="1320"/>
      <c r="G806" s="1322"/>
      <c r="H806" s="165" t="s">
        <v>12</v>
      </c>
      <c r="I806" s="886"/>
      <c r="J806" s="886"/>
      <c r="K806" s="887"/>
      <c r="L806" s="887">
        <f t="shared" ref="L806:N807" si="330">L809+L816</f>
        <v>0</v>
      </c>
      <c r="M806" s="887">
        <f t="shared" si="330"/>
        <v>0</v>
      </c>
      <c r="N806" s="887">
        <f t="shared" si="330"/>
        <v>0</v>
      </c>
      <c r="O806" s="887">
        <f t="shared" si="328"/>
        <v>0</v>
      </c>
      <c r="P806" s="887">
        <f t="shared" si="329"/>
        <v>0</v>
      </c>
      <c r="Q806" s="1323"/>
      <c r="R806" s="1323"/>
      <c r="S806" s="1323"/>
      <c r="T806" s="1323"/>
      <c r="U806" s="1323"/>
      <c r="V806" s="1323"/>
      <c r="W806" s="1323"/>
      <c r="X806" s="1323"/>
      <c r="Y806" s="1323"/>
      <c r="Z806" s="1323"/>
    </row>
    <row r="807" spans="1:26" ht="18.75" hidden="1">
      <c r="A807" s="1319"/>
      <c r="B807" s="1320"/>
      <c r="C807" s="1320"/>
      <c r="D807" s="1333"/>
      <c r="E807" s="1320" t="s">
        <v>186</v>
      </c>
      <c r="F807" s="1320"/>
      <c r="G807" s="1322"/>
      <c r="H807" s="165" t="s">
        <v>12</v>
      </c>
      <c r="I807" s="886"/>
      <c r="J807" s="886"/>
      <c r="K807" s="887"/>
      <c r="L807" s="887">
        <f t="shared" si="330"/>
        <v>0</v>
      </c>
      <c r="M807" s="887">
        <f t="shared" si="330"/>
        <v>0</v>
      </c>
      <c r="N807" s="887">
        <f t="shared" si="330"/>
        <v>0</v>
      </c>
      <c r="O807" s="887">
        <f t="shared" si="328"/>
        <v>0</v>
      </c>
      <c r="P807" s="887">
        <f t="shared" si="329"/>
        <v>0</v>
      </c>
      <c r="Q807" s="1323"/>
      <c r="R807" s="1323"/>
      <c r="S807" s="1323"/>
      <c r="T807" s="1323"/>
      <c r="U807" s="1323"/>
      <c r="V807" s="1323"/>
      <c r="W807" s="1323"/>
      <c r="X807" s="1323"/>
      <c r="Y807" s="1323"/>
      <c r="Z807" s="1323"/>
    </row>
    <row r="808" spans="1:26" ht="19.5" hidden="1">
      <c r="A808" s="1319"/>
      <c r="B808" s="1324"/>
      <c r="C808" s="1320"/>
      <c r="D808" s="1477" t="s">
        <v>20</v>
      </c>
      <c r="E808" s="841"/>
      <c r="F808" s="841"/>
      <c r="G808" s="1322"/>
      <c r="H808" s="644" t="s">
        <v>12</v>
      </c>
      <c r="I808" s="1000"/>
      <c r="J808" s="1000"/>
      <c r="K808" s="1001"/>
      <c r="L808" s="1352">
        <f t="shared" ref="L808:N808" si="331">L809+L810</f>
        <v>0</v>
      </c>
      <c r="M808" s="1352">
        <f t="shared" si="331"/>
        <v>0</v>
      </c>
      <c r="N808" s="1352">
        <f t="shared" si="331"/>
        <v>0</v>
      </c>
      <c r="O808" s="1352">
        <f t="shared" si="328"/>
        <v>0</v>
      </c>
      <c r="P808" s="1352">
        <f t="shared" si="329"/>
        <v>0</v>
      </c>
      <c r="Q808" s="1323"/>
      <c r="R808" s="1323"/>
      <c r="S808" s="1323"/>
      <c r="T808" s="1323"/>
      <c r="U808" s="1323"/>
      <c r="V808" s="1323"/>
      <c r="W808" s="1323"/>
      <c r="X808" s="1323"/>
      <c r="Y808" s="1323"/>
      <c r="Z808" s="1323"/>
    </row>
    <row r="809" spans="1:26" ht="18.75" hidden="1">
      <c r="A809" s="1319"/>
      <c r="B809" s="1320"/>
      <c r="C809" s="1320"/>
      <c r="D809" s="1333"/>
      <c r="E809" s="1320" t="s">
        <v>185</v>
      </c>
      <c r="F809" s="1320"/>
      <c r="G809" s="1322"/>
      <c r="H809" s="165" t="s">
        <v>12</v>
      </c>
      <c r="I809" s="886"/>
      <c r="J809" s="886"/>
      <c r="K809" s="887"/>
      <c r="L809" s="887">
        <v>0</v>
      </c>
      <c r="M809" s="887">
        <v>0</v>
      </c>
      <c r="N809" s="887">
        <v>0</v>
      </c>
      <c r="O809" s="887">
        <f t="shared" si="328"/>
        <v>0</v>
      </c>
      <c r="P809" s="887">
        <f t="shared" si="329"/>
        <v>0</v>
      </c>
      <c r="Q809" s="1323"/>
      <c r="R809" s="1323"/>
      <c r="S809" s="1323"/>
      <c r="T809" s="1323"/>
      <c r="U809" s="1323"/>
      <c r="V809" s="1323"/>
      <c r="W809" s="1323"/>
      <c r="X809" s="1323"/>
      <c r="Y809" s="1323"/>
      <c r="Z809" s="1323"/>
    </row>
    <row r="810" spans="1:26" ht="18.75" hidden="1">
      <c r="A810" s="1319"/>
      <c r="B810" s="1320"/>
      <c r="C810" s="1320"/>
      <c r="D810" s="1333"/>
      <c r="E810" s="1320" t="s">
        <v>186</v>
      </c>
      <c r="F810" s="1320"/>
      <c r="G810" s="1322"/>
      <c r="H810" s="165" t="s">
        <v>12</v>
      </c>
      <c r="I810" s="886"/>
      <c r="J810" s="886"/>
      <c r="K810" s="887"/>
      <c r="L810" s="887">
        <v>0</v>
      </c>
      <c r="M810" s="887">
        <v>0</v>
      </c>
      <c r="N810" s="887">
        <f>N811+N812+N813+N814</f>
        <v>0</v>
      </c>
      <c r="O810" s="887">
        <f t="shared" si="328"/>
        <v>0</v>
      </c>
      <c r="P810" s="887">
        <f t="shared" si="329"/>
        <v>0</v>
      </c>
      <c r="Q810" s="1323"/>
      <c r="R810" s="1323"/>
      <c r="S810" s="1323"/>
      <c r="T810" s="1323"/>
      <c r="U810" s="1323"/>
      <c r="V810" s="1323"/>
      <c r="W810" s="1323"/>
      <c r="X810" s="1323"/>
      <c r="Y810" s="1323"/>
      <c r="Z810" s="1323"/>
    </row>
    <row r="811" spans="1:26" ht="18.75" hidden="1">
      <c r="A811" s="1354"/>
      <c r="B811" s="1324"/>
      <c r="C811" s="1320"/>
      <c r="D811" s="1324"/>
      <c r="E811" s="1320"/>
      <c r="F811" s="1320" t="s">
        <v>187</v>
      </c>
      <c r="G811" s="1322"/>
      <c r="H811" s="165" t="s">
        <v>12</v>
      </c>
      <c r="I811" s="886"/>
      <c r="J811" s="886"/>
      <c r="K811" s="887"/>
      <c r="L811" s="887"/>
      <c r="M811" s="887"/>
      <c r="N811" s="887"/>
      <c r="O811" s="887"/>
      <c r="P811" s="887"/>
      <c r="Q811" s="1323"/>
      <c r="R811" s="1323"/>
      <c r="S811" s="1323"/>
      <c r="T811" s="1323"/>
      <c r="U811" s="1323"/>
      <c r="V811" s="1323"/>
      <c r="W811" s="1323"/>
      <c r="X811" s="1323"/>
      <c r="Y811" s="1323"/>
      <c r="Z811" s="1323"/>
    </row>
    <row r="812" spans="1:26" ht="18.75" hidden="1">
      <c r="A812" s="1354"/>
      <c r="B812" s="1324"/>
      <c r="C812" s="1320"/>
      <c r="D812" s="1324"/>
      <c r="E812" s="1320"/>
      <c r="F812" s="1320" t="s">
        <v>188</v>
      </c>
      <c r="G812" s="1322"/>
      <c r="H812" s="165" t="s">
        <v>12</v>
      </c>
      <c r="I812" s="886"/>
      <c r="J812" s="886"/>
      <c r="K812" s="887"/>
      <c r="L812" s="887"/>
      <c r="M812" s="887"/>
      <c r="N812" s="887"/>
      <c r="O812" s="887"/>
      <c r="P812" s="887"/>
      <c r="Q812" s="1323"/>
      <c r="R812" s="1323"/>
      <c r="S812" s="1323"/>
      <c r="T812" s="1323"/>
      <c r="U812" s="1323"/>
      <c r="V812" s="1323"/>
      <c r="W812" s="1323"/>
      <c r="X812" s="1323"/>
      <c r="Y812" s="1323"/>
      <c r="Z812" s="1323"/>
    </row>
    <row r="813" spans="1:26" ht="18.75" hidden="1">
      <c r="A813" s="1354"/>
      <c r="B813" s="1324"/>
      <c r="C813" s="1320"/>
      <c r="D813" s="1324"/>
      <c r="E813" s="1320"/>
      <c r="F813" s="1320" t="s">
        <v>189</v>
      </c>
      <c r="G813" s="1322"/>
      <c r="H813" s="165" t="s">
        <v>12</v>
      </c>
      <c r="I813" s="886"/>
      <c r="J813" s="886"/>
      <c r="K813" s="887"/>
      <c r="L813" s="887"/>
      <c r="M813" s="887"/>
      <c r="N813" s="887"/>
      <c r="O813" s="887"/>
      <c r="P813" s="887"/>
      <c r="Q813" s="1323"/>
      <c r="R813" s="1323"/>
      <c r="S813" s="1323"/>
      <c r="T813" s="1323"/>
      <c r="U813" s="1323"/>
      <c r="V813" s="1323"/>
      <c r="W813" s="1323"/>
      <c r="X813" s="1323"/>
      <c r="Y813" s="1323"/>
      <c r="Z813" s="1323"/>
    </row>
    <row r="814" spans="1:26" ht="18.75" hidden="1">
      <c r="A814" s="1354"/>
      <c r="B814" s="1324"/>
      <c r="C814" s="1320"/>
      <c r="D814" s="1324"/>
      <c r="E814" s="1320"/>
      <c r="F814" s="1320" t="s">
        <v>190</v>
      </c>
      <c r="G814" s="1322"/>
      <c r="H814" s="165" t="s">
        <v>12</v>
      </c>
      <c r="I814" s="886"/>
      <c r="J814" s="886"/>
      <c r="K814" s="887"/>
      <c r="L814" s="887"/>
      <c r="M814" s="887"/>
      <c r="N814" s="887"/>
      <c r="O814" s="887"/>
      <c r="P814" s="887"/>
      <c r="Q814" s="1323"/>
      <c r="R814" s="1323"/>
      <c r="S814" s="1323"/>
      <c r="T814" s="1323"/>
      <c r="U814" s="1323"/>
      <c r="V814" s="1323"/>
      <c r="W814" s="1323"/>
      <c r="X814" s="1323"/>
      <c r="Y814" s="1323"/>
      <c r="Z814" s="1323"/>
    </row>
    <row r="815" spans="1:26" ht="19.5" hidden="1">
      <c r="A815" s="1319"/>
      <c r="B815" s="1324"/>
      <c r="C815" s="1320"/>
      <c r="D815" s="1477" t="s">
        <v>21</v>
      </c>
      <c r="E815" s="841"/>
      <c r="F815" s="841"/>
      <c r="G815" s="1322"/>
      <c r="H815" s="781" t="s">
        <v>12</v>
      </c>
      <c r="I815" s="1000"/>
      <c r="J815" s="1000"/>
      <c r="K815" s="1001"/>
      <c r="L815" s="1352">
        <f t="shared" ref="L815:N815" si="332">L816+L817</f>
        <v>0</v>
      </c>
      <c r="M815" s="1352">
        <f t="shared" si="332"/>
        <v>0</v>
      </c>
      <c r="N815" s="1352">
        <f t="shared" si="332"/>
        <v>0</v>
      </c>
      <c r="O815" s="1352">
        <f t="shared" ref="O815:O817" si="333">IF(L815&gt;0,N815*100/L815,0)</f>
        <v>0</v>
      </c>
      <c r="P815" s="1352">
        <f t="shared" ref="P815:P817" si="334">IF(M815&gt;0,N815*100/M815,0)</f>
        <v>0</v>
      </c>
      <c r="Q815" s="1323"/>
      <c r="R815" s="1323"/>
      <c r="S815" s="1323"/>
      <c r="T815" s="1323"/>
      <c r="U815" s="1323"/>
      <c r="V815" s="1323"/>
      <c r="W815" s="1323"/>
      <c r="X815" s="1323"/>
      <c r="Y815" s="1323"/>
      <c r="Z815" s="1323"/>
    </row>
    <row r="816" spans="1:26" ht="18.75" hidden="1">
      <c r="A816" s="1319"/>
      <c r="B816" s="1324"/>
      <c r="C816" s="1320"/>
      <c r="D816" s="1324"/>
      <c r="E816" s="1320" t="s">
        <v>18</v>
      </c>
      <c r="F816" s="1320"/>
      <c r="G816" s="1322"/>
      <c r="H816" s="165" t="s">
        <v>12</v>
      </c>
      <c r="I816" s="1000"/>
      <c r="J816" s="1000"/>
      <c r="K816" s="1001"/>
      <c r="L816" s="887">
        <v>0</v>
      </c>
      <c r="M816" s="887">
        <v>0</v>
      </c>
      <c r="N816" s="887">
        <v>0</v>
      </c>
      <c r="O816" s="887">
        <f t="shared" si="333"/>
        <v>0</v>
      </c>
      <c r="P816" s="887">
        <f t="shared" si="334"/>
        <v>0</v>
      </c>
      <c r="Q816" s="1323"/>
      <c r="R816" s="1323"/>
      <c r="S816" s="1323"/>
      <c r="T816" s="1323"/>
      <c r="U816" s="1323"/>
      <c r="V816" s="1323"/>
      <c r="W816" s="1323"/>
      <c r="X816" s="1323"/>
      <c r="Y816" s="1323"/>
      <c r="Z816" s="1323"/>
    </row>
    <row r="817" spans="1:26" ht="18.75" hidden="1">
      <c r="A817" s="1319"/>
      <c r="B817" s="1324"/>
      <c r="C817" s="1320"/>
      <c r="D817" s="1324"/>
      <c r="E817" s="1320" t="s">
        <v>19</v>
      </c>
      <c r="F817" s="1320"/>
      <c r="G817" s="1322"/>
      <c r="H817" s="169" t="s">
        <v>12</v>
      </c>
      <c r="I817" s="1000"/>
      <c r="J817" s="1000"/>
      <c r="K817" s="1001"/>
      <c r="L817" s="887">
        <v>0</v>
      </c>
      <c r="M817" s="887">
        <v>0</v>
      </c>
      <c r="N817" s="887">
        <v>0</v>
      </c>
      <c r="O817" s="887">
        <f t="shared" si="333"/>
        <v>0</v>
      </c>
      <c r="P817" s="887">
        <f t="shared" si="334"/>
        <v>0</v>
      </c>
      <c r="Q817" s="1323"/>
      <c r="R817" s="1323"/>
      <c r="S817" s="1323"/>
      <c r="T817" s="1323"/>
      <c r="U817" s="1323"/>
      <c r="V817" s="1323"/>
      <c r="W817" s="1323"/>
      <c r="X817" s="1323"/>
      <c r="Y817" s="1323"/>
      <c r="Z817" s="1323"/>
    </row>
    <row r="818" spans="1:26" ht="19.5" hidden="1">
      <c r="A818" s="1332"/>
      <c r="B818" s="1333"/>
      <c r="C818" s="1320" t="s">
        <v>16</v>
      </c>
      <c r="D818" s="1478" t="s">
        <v>38</v>
      </c>
      <c r="E818" s="1356"/>
      <c r="F818" s="1356"/>
      <c r="G818" s="1357"/>
      <c r="H818" s="1113"/>
      <c r="I818" s="1000"/>
      <c r="J818" s="1000"/>
      <c r="K818" s="1001"/>
      <c r="L818" s="1001"/>
      <c r="M818" s="1001"/>
      <c r="N818" s="1001"/>
      <c r="O818" s="1001"/>
      <c r="P818" s="1001"/>
      <c r="Q818" s="1323"/>
      <c r="R818" s="1323"/>
      <c r="S818" s="1323"/>
      <c r="T818" s="1323"/>
      <c r="U818" s="1323"/>
      <c r="V818" s="1323"/>
      <c r="W818" s="1323"/>
      <c r="X818" s="1323"/>
      <c r="Y818" s="1323"/>
      <c r="Z818" s="1323"/>
    </row>
    <row r="819" spans="1:26" ht="19.5" hidden="1" thickBot="1">
      <c r="A819" s="1479"/>
      <c r="B819" s="1480"/>
      <c r="C819" s="1481"/>
      <c r="D819" s="1480"/>
      <c r="E819" s="1481" t="s">
        <v>324</v>
      </c>
      <c r="F819" s="1481"/>
      <c r="G819" s="1482"/>
      <c r="H819" s="817" t="s">
        <v>46</v>
      </c>
      <c r="I819" s="1483"/>
      <c r="J819" s="1483"/>
      <c r="K819" s="1484"/>
      <c r="L819" s="1484"/>
      <c r="M819" s="1484"/>
      <c r="N819" s="1484"/>
      <c r="O819" s="1484"/>
      <c r="P819" s="1484"/>
      <c r="Q819" s="1323"/>
      <c r="R819" s="1323"/>
      <c r="S819" s="1323"/>
      <c r="T819" s="1323"/>
      <c r="U819" s="1323"/>
      <c r="V819" s="1323"/>
      <c r="W819" s="1323"/>
      <c r="X819" s="1323"/>
      <c r="Y819" s="1323"/>
      <c r="Z819" s="1323"/>
    </row>
    <row r="820" spans="1:26" ht="19.5">
      <c r="A820" s="1485" t="s">
        <v>342</v>
      </c>
      <c r="B820" s="1486"/>
      <c r="C820" s="1486"/>
      <c r="D820" s="1487"/>
      <c r="E820" s="1486"/>
      <c r="F820" s="1486"/>
      <c r="G820" s="1488"/>
      <c r="H820" s="1489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0"/>
      <c r="J820" s="1490"/>
      <c r="K820" s="1491"/>
      <c r="L820" s="1491"/>
      <c r="M820" s="1491"/>
      <c r="N820" s="1491"/>
      <c r="O820" s="1491"/>
      <c r="P820" s="1491"/>
      <c r="Q820" s="1302"/>
      <c r="R820" s="1302"/>
      <c r="S820" s="1302"/>
      <c r="T820" s="1302"/>
      <c r="U820" s="1302"/>
      <c r="V820" s="1302"/>
      <c r="W820" s="1302"/>
      <c r="X820" s="1302"/>
      <c r="Y820" s="1302"/>
      <c r="Z820" s="1302"/>
    </row>
    <row r="821" spans="1:26" ht="18.75">
      <c r="A821" s="1429"/>
      <c r="B821" s="1301" t="s">
        <v>326</v>
      </c>
      <c r="C821" s="1301"/>
      <c r="D821" s="1300"/>
      <c r="E821" s="1301"/>
      <c r="F821" s="1301"/>
      <c r="G821" s="1016"/>
      <c r="H821" s="622" t="s">
        <v>12</v>
      </c>
      <c r="I821" s="880">
        <f ca="1">IFERROR(__xludf.DUMMYFUNCTION("IMPORTRANGE(""https://docs.google.com/spreadsheets/d/19vJNZY_5yjcGF2XGBMNZRCAIB0Kwfpjp8YEOfu-bneM/edit?usp=sharing"",""งานกองทุน!D88"")"),4380983.93)</f>
        <v>4380983.93</v>
      </c>
      <c r="J821" s="880">
        <f ca="1">IFERROR(__xludf.DUMMYFUNCTION("IMPORTRANGE(""https://docs.google.com/spreadsheets/d/19vJNZY_5yjcGF2XGBMNZRCAIB0Kwfpjp8YEOfu-bneM/edit?usp=sharing"",""งานกองทุน!F88"")"),730835.67)</f>
        <v>730835.67</v>
      </c>
      <c r="K821" s="881">
        <f t="shared" ref="K821:K828" ca="1" si="335">IF(I821&gt;0,J821*100/I821,0)</f>
        <v>16.681998420386812</v>
      </c>
      <c r="L821" s="881"/>
      <c r="M821" s="881"/>
      <c r="N821" s="881"/>
      <c r="O821" s="881"/>
      <c r="P821" s="881"/>
      <c r="Q821" s="1302"/>
      <c r="R821" s="1302"/>
      <c r="S821" s="1302"/>
      <c r="T821" s="1302"/>
      <c r="U821" s="1302"/>
      <c r="V821" s="1302"/>
      <c r="W821" s="1302"/>
      <c r="X821" s="1302"/>
      <c r="Y821" s="1302"/>
      <c r="Z821" s="1302"/>
    </row>
    <row r="822" spans="1:26" ht="18.75">
      <c r="A822" s="1429"/>
      <c r="B822" s="1301"/>
      <c r="C822" s="1301"/>
      <c r="D822" s="1300"/>
      <c r="E822" s="1301"/>
      <c r="F822" s="1301"/>
      <c r="G822" s="1016"/>
      <c r="H822" s="622" t="s">
        <v>35</v>
      </c>
      <c r="I822" s="880">
        <f ca="1">IFERROR(__xludf.DUMMYFUNCTION("IMPORTRANGE(""https://docs.google.com/spreadsheets/d/19vJNZY_5yjcGF2XGBMNZRCAIB0Kwfpjp8YEOfu-bneM/edit?usp=sharing"",""งานกองทุน!C88"")"),276)</f>
        <v>276</v>
      </c>
      <c r="J822" s="880">
        <f ca="1">IFERROR(__xludf.DUMMYFUNCTION("IMPORTRANGE(""https://docs.google.com/spreadsheets/d/19vJNZY_5yjcGF2XGBMNZRCAIB0Kwfpjp8YEOfu-bneM/edit?usp=sharing"",""งานกองทุน!E88"")"),48)</f>
        <v>48</v>
      </c>
      <c r="K822" s="881">
        <f t="shared" ca="1" si="335"/>
        <v>17.391304347826086</v>
      </c>
      <c r="L822" s="881"/>
      <c r="M822" s="881"/>
      <c r="N822" s="881"/>
      <c r="O822" s="881"/>
      <c r="P822" s="881"/>
      <c r="Q822" s="1302"/>
      <c r="R822" s="1302"/>
      <c r="S822" s="1302"/>
      <c r="T822" s="1302"/>
      <c r="U822" s="1302"/>
      <c r="V822" s="1302"/>
      <c r="W822" s="1302"/>
      <c r="X822" s="1302"/>
      <c r="Y822" s="1302"/>
      <c r="Z822" s="1302"/>
    </row>
    <row r="823" spans="1:26" ht="18.75">
      <c r="A823" s="1429"/>
      <c r="B823" s="1301" t="s">
        <v>327</v>
      </c>
      <c r="C823" s="1301"/>
      <c r="D823" s="1300"/>
      <c r="E823" s="1301"/>
      <c r="F823" s="1301"/>
      <c r="G823" s="1016"/>
      <c r="H823" s="622" t="s">
        <v>12</v>
      </c>
      <c r="I823" s="880">
        <f ca="1">IFERROR(__xludf.DUMMYFUNCTION("IMPORTRANGE(""https://docs.google.com/spreadsheets/d/19vJNZY_5yjcGF2XGBMNZRCAIB0Kwfpjp8YEOfu-bneM/edit?usp=sharing"",""งานกองทุน!I88"")"),1786752.43)</f>
        <v>1786752.43</v>
      </c>
      <c r="J823" s="880">
        <f ca="1">IFERROR(__xludf.DUMMYFUNCTION("IMPORTRANGE(""https://docs.google.com/spreadsheets/d/19vJNZY_5yjcGF2XGBMNZRCAIB0Kwfpjp8YEOfu-bneM/edit?usp=sharing"",""งานกองทุน!K88"")"),324132.9)</f>
        <v>324132.90000000002</v>
      </c>
      <c r="K823" s="881">
        <f t="shared" ca="1" si="335"/>
        <v>18.140895994192103</v>
      </c>
      <c r="L823" s="881"/>
      <c r="M823" s="881"/>
      <c r="N823" s="881"/>
      <c r="O823" s="881"/>
      <c r="P823" s="881"/>
      <c r="Q823" s="1302"/>
      <c r="R823" s="1302"/>
      <c r="S823" s="1302"/>
      <c r="T823" s="1302"/>
      <c r="U823" s="1302"/>
      <c r="V823" s="1302"/>
      <c r="W823" s="1302"/>
      <c r="X823" s="1302"/>
      <c r="Y823" s="1302"/>
      <c r="Z823" s="1302"/>
    </row>
    <row r="824" spans="1:26" ht="18.75">
      <c r="A824" s="1429"/>
      <c r="B824" s="1301"/>
      <c r="C824" s="1301"/>
      <c r="D824" s="1300"/>
      <c r="E824" s="1301"/>
      <c r="F824" s="1301"/>
      <c r="G824" s="1016"/>
      <c r="H824" s="622" t="s">
        <v>35</v>
      </c>
      <c r="I824" s="880">
        <f ca="1">IFERROR(__xludf.DUMMYFUNCTION("IMPORTRANGE(""https://docs.google.com/spreadsheets/d/19vJNZY_5yjcGF2XGBMNZRCAIB0Kwfpjp8YEOfu-bneM/edit?usp=sharing"",""งานกองทุน!H88"")"),60)</f>
        <v>60</v>
      </c>
      <c r="J824" s="880">
        <f ca="1">IFERROR(__xludf.DUMMYFUNCTION("IMPORTRANGE(""https://docs.google.com/spreadsheets/d/19vJNZY_5yjcGF2XGBMNZRCAIB0Kwfpjp8YEOfu-bneM/edit?usp=sharing"",""งานกองทุน!J88"")"),47)</f>
        <v>47</v>
      </c>
      <c r="K824" s="881">
        <f t="shared" ca="1" si="335"/>
        <v>78.333333333333329</v>
      </c>
      <c r="L824" s="881"/>
      <c r="M824" s="881"/>
      <c r="N824" s="881"/>
      <c r="O824" s="881"/>
      <c r="P824" s="881"/>
      <c r="Q824" s="1302"/>
      <c r="R824" s="1302"/>
      <c r="S824" s="1302"/>
      <c r="T824" s="1302"/>
      <c r="U824" s="1302"/>
      <c r="V824" s="1302"/>
      <c r="W824" s="1302"/>
      <c r="X824" s="1302"/>
      <c r="Y824" s="1302"/>
      <c r="Z824" s="1302"/>
    </row>
    <row r="825" spans="1:26" ht="18.75">
      <c r="A825" s="1429"/>
      <c r="B825" s="1301" t="s">
        <v>328</v>
      </c>
      <c r="C825" s="1301"/>
      <c r="D825" s="1300"/>
      <c r="E825" s="1301"/>
      <c r="F825" s="1301"/>
      <c r="G825" s="1016"/>
      <c r="H825" s="622" t="s">
        <v>12</v>
      </c>
      <c r="I825" s="880">
        <f ca="1">IFERROR(__xludf.DUMMYFUNCTION("IMPORTRANGE(""https://docs.google.com/spreadsheets/d/19vJNZY_5yjcGF2XGBMNZRCAIB0Kwfpjp8YEOfu-bneM/edit?usp=sharing"",""งานกองทุน!N88"")"),6822)</f>
        <v>6822</v>
      </c>
      <c r="J825" s="880">
        <f ca="1">IFERROR(__xludf.DUMMYFUNCTION("IMPORTRANGE(""https://docs.google.com/spreadsheets/d/19vJNZY_5yjcGF2XGBMNZRCAIB0Kwfpjp8YEOfu-bneM/edit?usp=sharing"",""งานกองทุน!P88"")"),235202)</f>
        <v>235202</v>
      </c>
      <c r="K825" s="881">
        <f t="shared" ca="1" si="335"/>
        <v>3447.6986221049547</v>
      </c>
      <c r="L825" s="881"/>
      <c r="M825" s="881"/>
      <c r="N825" s="881"/>
      <c r="O825" s="881"/>
      <c r="P825" s="881"/>
      <c r="Q825" s="1302"/>
      <c r="R825" s="1302"/>
      <c r="S825" s="1302"/>
      <c r="T825" s="1302"/>
      <c r="U825" s="1302"/>
      <c r="V825" s="1302"/>
      <c r="W825" s="1302"/>
      <c r="X825" s="1302"/>
      <c r="Y825" s="1302"/>
      <c r="Z825" s="1302"/>
    </row>
    <row r="826" spans="1:26" ht="18.75">
      <c r="A826" s="1429"/>
      <c r="B826" s="1301"/>
      <c r="C826" s="1301"/>
      <c r="D826" s="1300"/>
      <c r="E826" s="1301"/>
      <c r="F826" s="1301"/>
      <c r="G826" s="1016"/>
      <c r="H826" s="622" t="s">
        <v>35</v>
      </c>
      <c r="I826" s="880">
        <f ca="1">IFERROR(__xludf.DUMMYFUNCTION("IMPORTRANGE(""https://docs.google.com/spreadsheets/d/19vJNZY_5yjcGF2XGBMNZRCAIB0Kwfpjp8YEOfu-bneM/edit?usp=sharing"",""งานกองทุน!M88"")"),10)</f>
        <v>10</v>
      </c>
      <c r="J826" s="880">
        <f ca="1">IFERROR(__xludf.DUMMYFUNCTION("IMPORTRANGE(""https://docs.google.com/spreadsheets/d/19vJNZY_5yjcGF2XGBMNZRCAIB0Kwfpjp8YEOfu-bneM/edit?usp=sharing"",""งานกองทุน!O88"")"),64)</f>
        <v>64</v>
      </c>
      <c r="K826" s="881">
        <f t="shared" ca="1" si="335"/>
        <v>640</v>
      </c>
      <c r="L826" s="881"/>
      <c r="M826" s="881"/>
      <c r="N826" s="881"/>
      <c r="O826" s="881"/>
      <c r="P826" s="881"/>
      <c r="Q826" s="1302"/>
      <c r="R826" s="1302"/>
      <c r="S826" s="1302"/>
      <c r="T826" s="1302"/>
      <c r="U826" s="1302"/>
      <c r="V826" s="1302"/>
      <c r="W826" s="1302"/>
      <c r="X826" s="1302"/>
      <c r="Y826" s="1302"/>
      <c r="Z826" s="1302"/>
    </row>
    <row r="827" spans="1:26" ht="18.75">
      <c r="A827" s="1429"/>
      <c r="B827" s="1301" t="s">
        <v>329</v>
      </c>
      <c r="C827" s="1301"/>
      <c r="D827" s="1300"/>
      <c r="E827" s="1301"/>
      <c r="F827" s="1301"/>
      <c r="G827" s="1016"/>
      <c r="H827" s="622" t="s">
        <v>12</v>
      </c>
      <c r="I827" s="880">
        <f ca="1">IFERROR(__xludf.DUMMYFUNCTION("IMPORTRANGE(""https://docs.google.com/spreadsheets/d/19vJNZY_5yjcGF2XGBMNZRCAIB0Kwfpjp8YEOfu-bneM/edit?usp=sharing"",""งานกองทุน!S88"")"),2150000)</f>
        <v>2150000</v>
      </c>
      <c r="J827" s="880">
        <f ca="1">IFERROR(__xludf.DUMMYFUNCTION("IMPORTRANGE(""https://docs.google.com/spreadsheets/d/19vJNZY_5yjcGF2XGBMNZRCAIB0Kwfpjp8YEOfu-bneM/edit?usp=sharing"",""งานกองทุน!U88"")"),950000)</f>
        <v>950000</v>
      </c>
      <c r="K827" s="881">
        <f t="shared" ca="1" si="335"/>
        <v>44.186046511627907</v>
      </c>
      <c r="L827" s="881"/>
      <c r="M827" s="881"/>
      <c r="N827" s="881"/>
      <c r="O827" s="881"/>
      <c r="P827" s="881"/>
      <c r="Q827" s="1302"/>
      <c r="R827" s="1302"/>
      <c r="S827" s="1302"/>
      <c r="T827" s="1302"/>
      <c r="U827" s="1302"/>
      <c r="V827" s="1302"/>
      <c r="W827" s="1302"/>
      <c r="X827" s="1302"/>
      <c r="Y827" s="1302"/>
      <c r="Z827" s="1302"/>
    </row>
    <row r="828" spans="1:26" ht="18.75">
      <c r="A828" s="1430"/>
      <c r="B828" s="1432"/>
      <c r="C828" s="1432"/>
      <c r="D828" s="1431"/>
      <c r="E828" s="1432"/>
      <c r="F828" s="1432"/>
      <c r="G828" s="1492"/>
      <c r="H828" s="827" t="s">
        <v>35</v>
      </c>
      <c r="I828" s="1138">
        <f ca="1">IFERROR(__xludf.DUMMYFUNCTION("IMPORTRANGE(""https://docs.google.com/spreadsheets/d/19vJNZY_5yjcGF2XGBMNZRCAIB0Kwfpjp8YEOfu-bneM/edit?usp=sharing"",""งานกองทุน!R88"")"),86)</f>
        <v>86</v>
      </c>
      <c r="J828" s="1138">
        <f ca="1">IFERROR(__xludf.DUMMYFUNCTION("IMPORTRANGE(""https://docs.google.com/spreadsheets/d/19vJNZY_5yjcGF2XGBMNZRCAIB0Kwfpjp8YEOfu-bneM/edit?usp=sharing"",""งานกองทุน!T88"")"),19)</f>
        <v>19</v>
      </c>
      <c r="K828" s="1239">
        <f t="shared" ca="1" si="335"/>
        <v>22.093023255813954</v>
      </c>
      <c r="L828" s="1239"/>
      <c r="M828" s="1239"/>
      <c r="N828" s="1239"/>
      <c r="O828" s="1239"/>
      <c r="P828" s="1239"/>
      <c r="Q828" s="1302"/>
      <c r="R828" s="1302"/>
      <c r="S828" s="1302"/>
      <c r="T828" s="1302"/>
      <c r="U828" s="1302"/>
      <c r="V828" s="1302"/>
      <c r="W828" s="1302"/>
      <c r="X828" s="1302"/>
      <c r="Y828" s="1302"/>
      <c r="Z828" s="130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09E72-5C51-4E1E-B0D3-CB7791F44ED2}">
  <sheetPr>
    <outlinePr summaryBelow="0" summaryRight="0"/>
    <pageSetUpPr fitToPage="1"/>
  </sheetPr>
  <dimension ref="A1:Z828"/>
  <sheetViews>
    <sheetView zoomScale="85" zoomScaleNormal="85" workbookViewId="0">
      <pane ySplit="2" topLeftCell="A3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52" customWidth="1"/>
    <col min="4" max="6" width="5.85546875" style="852" customWidth="1"/>
    <col min="7" max="7" width="56.42578125" style="852" customWidth="1"/>
    <col min="8" max="8" width="9.42578125" style="852" customWidth="1"/>
    <col min="9" max="9" width="14.5703125" style="852" bestFit="1" customWidth="1"/>
    <col min="10" max="10" width="13.7109375" style="852" bestFit="1" customWidth="1"/>
    <col min="11" max="11" width="13.28515625" style="852" bestFit="1" customWidth="1"/>
    <col min="12" max="14" width="22" style="852" bestFit="1" customWidth="1"/>
    <col min="15" max="15" width="20.28515625" style="852" bestFit="1" customWidth="1"/>
    <col min="16" max="16" width="22.140625" style="852" bestFit="1" customWidth="1"/>
    <col min="17" max="16384" width="12.5703125" style="852"/>
  </cols>
  <sheetData>
    <row r="1" spans="1:26" ht="19.5">
      <c r="A1" s="828" t="s">
        <v>0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51"/>
    </row>
    <row r="2" spans="1:26" ht="19.5">
      <c r="A2" s="828" t="s">
        <v>331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</row>
    <row r="3" spans="1:26" ht="19.5">
      <c r="A3" s="828" t="s">
        <v>330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</row>
    <row r="4" spans="1:26" ht="12.75">
      <c r="A4" s="853"/>
      <c r="B4" s="853"/>
      <c r="C4" s="853"/>
      <c r="D4" s="853"/>
      <c r="E4" s="853"/>
      <c r="F4" s="853"/>
      <c r="G4" s="853"/>
      <c r="H4" s="853"/>
      <c r="I4" s="853"/>
      <c r="J4" s="854"/>
      <c r="K4" s="855"/>
      <c r="L4" s="854"/>
      <c r="M4" s="854"/>
      <c r="N4" s="854"/>
      <c r="O4" s="853"/>
      <c r="P4" s="853"/>
    </row>
    <row r="5" spans="1:26" ht="19.5">
      <c r="A5" s="836" t="s">
        <v>2</v>
      </c>
      <c r="B5" s="851"/>
      <c r="C5" s="851"/>
      <c r="D5" s="851"/>
      <c r="E5" s="851"/>
      <c r="F5" s="851"/>
      <c r="G5" s="837"/>
      <c r="H5" s="830" t="s">
        <v>3</v>
      </c>
      <c r="I5" s="832" t="s">
        <v>4</v>
      </c>
      <c r="J5" s="833"/>
      <c r="K5" s="831"/>
      <c r="L5" s="834" t="s">
        <v>5</v>
      </c>
      <c r="M5" s="831"/>
      <c r="N5" s="835" t="s">
        <v>6</v>
      </c>
      <c r="O5" s="833"/>
      <c r="P5" s="831"/>
    </row>
    <row r="6" spans="1:26" ht="19.5">
      <c r="A6" s="838"/>
      <c r="B6" s="833"/>
      <c r="C6" s="833"/>
      <c r="D6" s="833"/>
      <c r="E6" s="833"/>
      <c r="F6" s="833"/>
      <c r="G6" s="831"/>
      <c r="H6" s="83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6" t="s">
        <v>15</v>
      </c>
      <c r="B7" s="833"/>
      <c r="C7" s="833"/>
      <c r="D7" s="833"/>
      <c r="E7" s="833"/>
      <c r="F7" s="833"/>
      <c r="G7" s="831"/>
      <c r="H7" s="857"/>
      <c r="I7" s="858"/>
      <c r="J7" s="858"/>
      <c r="K7" s="859"/>
      <c r="L7" s="859"/>
      <c r="M7" s="859"/>
      <c r="N7" s="859"/>
      <c r="O7" s="859"/>
      <c r="P7" s="859"/>
    </row>
    <row r="8" spans="1:26" ht="19.5">
      <c r="A8" s="860"/>
      <c r="B8" s="861"/>
      <c r="C8" s="862" t="s">
        <v>16</v>
      </c>
      <c r="D8" s="863" t="s">
        <v>17</v>
      </c>
      <c r="E8" s="861"/>
      <c r="F8" s="861"/>
      <c r="G8" s="864"/>
      <c r="H8" s="19" t="s">
        <v>12</v>
      </c>
      <c r="I8" s="865"/>
      <c r="J8" s="865"/>
      <c r="K8" s="866"/>
      <c r="L8" s="867">
        <f t="shared" ref="L8:N8" ca="1" si="0">L9+L10</f>
        <v>68558997</v>
      </c>
      <c r="M8" s="867">
        <f t="shared" ca="1" si="0"/>
        <v>68057697</v>
      </c>
      <c r="N8" s="867">
        <f t="shared" ca="1" si="0"/>
        <v>20093057.109999999</v>
      </c>
      <c r="O8" s="867">
        <f t="shared" ref="O8:O16" ca="1" si="1">IF(L8&gt;0,N8*100/L8,0)</f>
        <v>29.307688252790513</v>
      </c>
      <c r="P8" s="867">
        <f t="shared" ref="P8:P16" ca="1" si="2">IF(M8&gt;0,N8*100/M8,0)</f>
        <v>29.523563087948745</v>
      </c>
      <c r="Q8" s="868"/>
      <c r="R8" s="868"/>
      <c r="S8" s="868"/>
      <c r="T8" s="868"/>
      <c r="U8" s="868"/>
      <c r="V8" s="868"/>
      <c r="W8" s="868"/>
      <c r="X8" s="868"/>
      <c r="Y8" s="868"/>
      <c r="Z8" s="868"/>
    </row>
    <row r="9" spans="1:26" ht="18.75" hidden="1">
      <c r="A9" s="869"/>
      <c r="B9" s="870"/>
      <c r="C9" s="870"/>
      <c r="D9" s="870"/>
      <c r="E9" s="871" t="s">
        <v>18</v>
      </c>
      <c r="F9" s="870"/>
      <c r="G9" s="872"/>
      <c r="H9" s="28" t="s">
        <v>12</v>
      </c>
      <c r="I9" s="873"/>
      <c r="J9" s="873"/>
      <c r="K9" s="874"/>
      <c r="L9" s="874">
        <f t="shared" ref="L9:N10" si="3">L12+L15</f>
        <v>0</v>
      </c>
      <c r="M9" s="874">
        <f t="shared" si="3"/>
        <v>0</v>
      </c>
      <c r="N9" s="874">
        <f t="shared" si="3"/>
        <v>0</v>
      </c>
      <c r="O9" s="874">
        <f t="shared" si="1"/>
        <v>0</v>
      </c>
      <c r="P9" s="874">
        <f t="shared" si="2"/>
        <v>0</v>
      </c>
      <c r="Q9" s="875"/>
      <c r="R9" s="875"/>
      <c r="S9" s="875"/>
      <c r="T9" s="875"/>
      <c r="U9" s="875"/>
      <c r="V9" s="875"/>
      <c r="W9" s="875"/>
      <c r="X9" s="875"/>
      <c r="Y9" s="875"/>
      <c r="Z9" s="875"/>
    </row>
    <row r="10" spans="1:26" ht="18.75" hidden="1">
      <c r="A10" s="869"/>
      <c r="B10" s="870"/>
      <c r="C10" s="870"/>
      <c r="D10" s="870"/>
      <c r="E10" s="871" t="s">
        <v>19</v>
      </c>
      <c r="F10" s="870"/>
      <c r="G10" s="872"/>
      <c r="H10" s="28" t="s">
        <v>12</v>
      </c>
      <c r="I10" s="873"/>
      <c r="J10" s="873"/>
      <c r="K10" s="874"/>
      <c r="L10" s="874">
        <f t="shared" ca="1" si="3"/>
        <v>68558997</v>
      </c>
      <c r="M10" s="874">
        <f t="shared" ca="1" si="3"/>
        <v>68057697</v>
      </c>
      <c r="N10" s="874">
        <f t="shared" ca="1" si="3"/>
        <v>20093057.109999999</v>
      </c>
      <c r="O10" s="874">
        <f t="shared" ca="1" si="1"/>
        <v>29.307688252790513</v>
      </c>
      <c r="P10" s="874">
        <f t="shared" ca="1" si="2"/>
        <v>29.523563087948745</v>
      </c>
      <c r="Q10" s="875"/>
      <c r="R10" s="875"/>
      <c r="S10" s="875"/>
      <c r="T10" s="875"/>
      <c r="U10" s="875"/>
      <c r="V10" s="875"/>
      <c r="W10" s="875"/>
      <c r="X10" s="875"/>
      <c r="Y10" s="875"/>
      <c r="Z10" s="875"/>
    </row>
    <row r="11" spans="1:26" ht="18.75">
      <c r="A11" s="876"/>
      <c r="B11" s="877"/>
      <c r="C11" s="877"/>
      <c r="D11" s="878" t="s">
        <v>20</v>
      </c>
      <c r="E11" s="877"/>
      <c r="F11" s="877"/>
      <c r="G11" s="879"/>
      <c r="H11" s="622" t="s">
        <v>12</v>
      </c>
      <c r="I11" s="880"/>
      <c r="J11" s="880"/>
      <c r="K11" s="881"/>
      <c r="L11" s="881">
        <f t="shared" ref="L11:N11" ca="1" si="4">L12+L13</f>
        <v>4861197</v>
      </c>
      <c r="M11" s="881">
        <f t="shared" ca="1" si="4"/>
        <v>4364687</v>
      </c>
      <c r="N11" s="881">
        <f t="shared" ca="1" si="4"/>
        <v>2091466.7900000003</v>
      </c>
      <c r="O11" s="881">
        <f t="shared" ca="1" si="1"/>
        <v>43.023699512692048</v>
      </c>
      <c r="P11" s="881">
        <f t="shared" ca="1" si="2"/>
        <v>47.917910035702455</v>
      </c>
      <c r="Q11" s="868"/>
      <c r="R11" s="868"/>
      <c r="S11" s="868"/>
      <c r="T11" s="868"/>
      <c r="U11" s="868"/>
      <c r="V11" s="868"/>
      <c r="W11" s="868"/>
      <c r="X11" s="868"/>
      <c r="Y11" s="868"/>
      <c r="Z11" s="868"/>
    </row>
    <row r="12" spans="1:26" ht="18.75" hidden="1">
      <c r="A12" s="882"/>
      <c r="B12" s="883"/>
      <c r="C12" s="883"/>
      <c r="D12" s="883"/>
      <c r="E12" s="884" t="s">
        <v>18</v>
      </c>
      <c r="F12" s="883"/>
      <c r="G12" s="885"/>
      <c r="H12" s="43" t="s">
        <v>12</v>
      </c>
      <c r="I12" s="886"/>
      <c r="J12" s="886"/>
      <c r="K12" s="887"/>
      <c r="L12" s="887">
        <f t="shared" ref="L12:N13" si="5">L22+L32</f>
        <v>0</v>
      </c>
      <c r="M12" s="887">
        <f t="shared" si="5"/>
        <v>0</v>
      </c>
      <c r="N12" s="887">
        <f t="shared" si="5"/>
        <v>0</v>
      </c>
      <c r="O12" s="887">
        <f t="shared" si="1"/>
        <v>0</v>
      </c>
      <c r="P12" s="887">
        <f t="shared" si="2"/>
        <v>0</v>
      </c>
      <c r="Q12" s="875"/>
      <c r="R12" s="875"/>
      <c r="S12" s="875"/>
      <c r="T12" s="875"/>
      <c r="U12" s="875"/>
      <c r="V12" s="875"/>
      <c r="W12" s="875"/>
      <c r="X12" s="875"/>
      <c r="Y12" s="875"/>
      <c r="Z12" s="875"/>
    </row>
    <row r="13" spans="1:26" ht="18.75" hidden="1">
      <c r="A13" s="882"/>
      <c r="B13" s="883"/>
      <c r="C13" s="883"/>
      <c r="D13" s="883"/>
      <c r="E13" s="884" t="s">
        <v>19</v>
      </c>
      <c r="F13" s="883"/>
      <c r="G13" s="885"/>
      <c r="H13" s="43" t="s">
        <v>12</v>
      </c>
      <c r="I13" s="886"/>
      <c r="J13" s="886"/>
      <c r="K13" s="887"/>
      <c r="L13" s="887">
        <f t="shared" ca="1" si="5"/>
        <v>4861197</v>
      </c>
      <c r="M13" s="887">
        <f t="shared" ca="1" si="5"/>
        <v>4364687</v>
      </c>
      <c r="N13" s="887">
        <f t="shared" ca="1" si="5"/>
        <v>2091466.7900000003</v>
      </c>
      <c r="O13" s="887">
        <f t="shared" ca="1" si="1"/>
        <v>43.023699512692048</v>
      </c>
      <c r="P13" s="887">
        <f t="shared" ca="1" si="2"/>
        <v>47.917910035702455</v>
      </c>
      <c r="Q13" s="875"/>
      <c r="R13" s="875"/>
      <c r="S13" s="875"/>
      <c r="T13" s="875"/>
      <c r="U13" s="875"/>
      <c r="V13" s="875"/>
      <c r="W13" s="875"/>
      <c r="X13" s="875"/>
      <c r="Y13" s="875"/>
      <c r="Z13" s="875"/>
    </row>
    <row r="14" spans="1:26" ht="18.75">
      <c r="A14" s="876"/>
      <c r="B14" s="877"/>
      <c r="C14" s="877"/>
      <c r="D14" s="878" t="s">
        <v>21</v>
      </c>
      <c r="E14" s="877"/>
      <c r="F14" s="877"/>
      <c r="G14" s="879"/>
      <c r="H14" s="622" t="s">
        <v>12</v>
      </c>
      <c r="I14" s="880"/>
      <c r="J14" s="880"/>
      <c r="K14" s="881"/>
      <c r="L14" s="881">
        <f t="shared" ref="L14:N14" ca="1" si="6">L15+L16</f>
        <v>63697800</v>
      </c>
      <c r="M14" s="881">
        <f t="shared" ca="1" si="6"/>
        <v>63693010</v>
      </c>
      <c r="N14" s="881">
        <f t="shared" ca="1" si="6"/>
        <v>18001590.32</v>
      </c>
      <c r="O14" s="881">
        <f t="shared" ca="1" si="1"/>
        <v>28.260929451252633</v>
      </c>
      <c r="P14" s="881">
        <f t="shared" ca="1" si="2"/>
        <v>28.263054799890913</v>
      </c>
      <c r="Q14" s="868"/>
      <c r="R14" s="868"/>
      <c r="S14" s="868"/>
      <c r="T14" s="868"/>
      <c r="U14" s="868"/>
      <c r="V14" s="868"/>
      <c r="W14" s="868"/>
      <c r="X14" s="868"/>
      <c r="Y14" s="868"/>
      <c r="Z14" s="868"/>
    </row>
    <row r="15" spans="1:26" ht="18.75" hidden="1">
      <c r="A15" s="882"/>
      <c r="B15" s="883"/>
      <c r="C15" s="883"/>
      <c r="D15" s="883"/>
      <c r="E15" s="884" t="s">
        <v>18</v>
      </c>
      <c r="F15" s="883"/>
      <c r="G15" s="885"/>
      <c r="H15" s="43" t="s">
        <v>12</v>
      </c>
      <c r="I15" s="886"/>
      <c r="J15" s="886"/>
      <c r="K15" s="887"/>
      <c r="L15" s="887">
        <f t="shared" ref="L15:N16" si="7">L25+L35</f>
        <v>0</v>
      </c>
      <c r="M15" s="887">
        <f t="shared" si="7"/>
        <v>0</v>
      </c>
      <c r="N15" s="887">
        <f t="shared" si="7"/>
        <v>0</v>
      </c>
      <c r="O15" s="887">
        <f t="shared" si="1"/>
        <v>0</v>
      </c>
      <c r="P15" s="887">
        <f t="shared" si="2"/>
        <v>0</v>
      </c>
      <c r="Q15" s="875"/>
      <c r="R15" s="875"/>
      <c r="S15" s="875"/>
      <c r="T15" s="875"/>
      <c r="U15" s="875"/>
      <c r="V15" s="875"/>
      <c r="W15" s="875"/>
      <c r="X15" s="875"/>
      <c r="Y15" s="875"/>
      <c r="Z15" s="875"/>
    </row>
    <row r="16" spans="1:26" ht="18.75" hidden="1">
      <c r="A16" s="888"/>
      <c r="B16" s="889"/>
      <c r="C16" s="889"/>
      <c r="D16" s="889"/>
      <c r="E16" s="890" t="s">
        <v>19</v>
      </c>
      <c r="F16" s="889"/>
      <c r="G16" s="891"/>
      <c r="H16" s="50" t="s">
        <v>12</v>
      </c>
      <c r="I16" s="892"/>
      <c r="J16" s="892"/>
      <c r="K16" s="893"/>
      <c r="L16" s="893">
        <f t="shared" ca="1" si="7"/>
        <v>63697800</v>
      </c>
      <c r="M16" s="893">
        <f t="shared" ca="1" si="7"/>
        <v>63693010</v>
      </c>
      <c r="N16" s="893">
        <f t="shared" ca="1" si="7"/>
        <v>18001590.32</v>
      </c>
      <c r="O16" s="893">
        <f t="shared" ca="1" si="1"/>
        <v>28.260929451252633</v>
      </c>
      <c r="P16" s="893">
        <f t="shared" ca="1" si="2"/>
        <v>28.263054799890913</v>
      </c>
      <c r="Q16" s="875"/>
      <c r="R16" s="875"/>
      <c r="S16" s="875"/>
      <c r="T16" s="875"/>
      <c r="U16" s="875"/>
      <c r="V16" s="875"/>
      <c r="W16" s="875"/>
      <c r="X16" s="875"/>
      <c r="Y16" s="875"/>
      <c r="Z16" s="875"/>
    </row>
    <row r="17" spans="1:26" ht="19.5">
      <c r="A17" s="856" t="s">
        <v>22</v>
      </c>
      <c r="B17" s="833"/>
      <c r="C17" s="833"/>
      <c r="D17" s="833"/>
      <c r="E17" s="833"/>
      <c r="F17" s="833"/>
      <c r="G17" s="831"/>
      <c r="H17" s="857"/>
      <c r="I17" s="858"/>
      <c r="J17" s="858"/>
      <c r="K17" s="859"/>
      <c r="L17" s="859"/>
      <c r="M17" s="859"/>
      <c r="N17" s="859"/>
      <c r="O17" s="859"/>
      <c r="P17" s="859"/>
    </row>
    <row r="18" spans="1:26" ht="19.5">
      <c r="A18" s="860"/>
      <c r="B18" s="861"/>
      <c r="C18" s="862" t="s">
        <v>16</v>
      </c>
      <c r="D18" s="863" t="s">
        <v>17</v>
      </c>
      <c r="E18" s="861"/>
      <c r="F18" s="861"/>
      <c r="G18" s="864"/>
      <c r="H18" s="19" t="s">
        <v>12</v>
      </c>
      <c r="I18" s="865"/>
      <c r="J18" s="865"/>
      <c r="K18" s="866"/>
      <c r="L18" s="867">
        <f t="shared" ref="L18:N18" ca="1" si="8">L19+L20</f>
        <v>66825420</v>
      </c>
      <c r="M18" s="867">
        <f t="shared" ca="1" si="8"/>
        <v>66324120</v>
      </c>
      <c r="N18" s="867">
        <f t="shared" ca="1" si="8"/>
        <v>19580506.77</v>
      </c>
      <c r="O18" s="867">
        <f t="shared" ref="O18:O26" ca="1" si="9">IF(L18&gt;0,N18*100/L18,0)</f>
        <v>29.300985717710414</v>
      </c>
      <c r="P18" s="867">
        <f t="shared" ref="P18:P26" ca="1" si="10">IF(M18&gt;0,N18*100/M18,0)</f>
        <v>29.522452420024571</v>
      </c>
      <c r="Q18" s="868"/>
      <c r="R18" s="868"/>
      <c r="S18" s="868"/>
      <c r="T18" s="868"/>
      <c r="U18" s="868"/>
      <c r="V18" s="868"/>
      <c r="W18" s="868"/>
      <c r="X18" s="868"/>
      <c r="Y18" s="868"/>
      <c r="Z18" s="868"/>
    </row>
    <row r="19" spans="1:26" ht="18.75" hidden="1">
      <c r="A19" s="869"/>
      <c r="B19" s="870"/>
      <c r="C19" s="870"/>
      <c r="D19" s="870"/>
      <c r="E19" s="871" t="s">
        <v>18</v>
      </c>
      <c r="F19" s="870"/>
      <c r="G19" s="872"/>
      <c r="H19" s="28" t="s">
        <v>12</v>
      </c>
      <c r="I19" s="873"/>
      <c r="J19" s="873"/>
      <c r="K19" s="874"/>
      <c r="L19" s="874">
        <f t="shared" ref="L19:N20" si="11">L22+L25</f>
        <v>0</v>
      </c>
      <c r="M19" s="874">
        <f t="shared" si="11"/>
        <v>0</v>
      </c>
      <c r="N19" s="874">
        <f t="shared" si="11"/>
        <v>0</v>
      </c>
      <c r="O19" s="874">
        <f t="shared" si="9"/>
        <v>0</v>
      </c>
      <c r="P19" s="874">
        <f t="shared" si="10"/>
        <v>0</v>
      </c>
      <c r="Q19" s="875"/>
      <c r="R19" s="875"/>
      <c r="S19" s="875"/>
      <c r="T19" s="875"/>
      <c r="U19" s="875"/>
      <c r="V19" s="875"/>
      <c r="W19" s="875"/>
      <c r="X19" s="875"/>
      <c r="Y19" s="875"/>
      <c r="Z19" s="875"/>
    </row>
    <row r="20" spans="1:26" ht="18.75" hidden="1">
      <c r="A20" s="869"/>
      <c r="B20" s="870"/>
      <c r="C20" s="870"/>
      <c r="D20" s="870"/>
      <c r="E20" s="871" t="s">
        <v>19</v>
      </c>
      <c r="F20" s="870"/>
      <c r="G20" s="872"/>
      <c r="H20" s="28" t="s">
        <v>12</v>
      </c>
      <c r="I20" s="873"/>
      <c r="J20" s="873"/>
      <c r="K20" s="874"/>
      <c r="L20" s="874">
        <f t="shared" ca="1" si="11"/>
        <v>66825420</v>
      </c>
      <c r="M20" s="874">
        <f t="shared" ca="1" si="11"/>
        <v>66324120</v>
      </c>
      <c r="N20" s="874">
        <f t="shared" ca="1" si="11"/>
        <v>19580506.77</v>
      </c>
      <c r="O20" s="874">
        <f t="shared" ca="1" si="9"/>
        <v>29.300985717710414</v>
      </c>
      <c r="P20" s="874">
        <f t="shared" ca="1" si="10"/>
        <v>29.522452420024571</v>
      </c>
      <c r="Q20" s="875"/>
      <c r="R20" s="875"/>
      <c r="S20" s="875"/>
      <c r="T20" s="875"/>
      <c r="U20" s="875"/>
      <c r="V20" s="875"/>
      <c r="W20" s="875"/>
      <c r="X20" s="875"/>
      <c r="Y20" s="875"/>
      <c r="Z20" s="875"/>
    </row>
    <row r="21" spans="1:26" ht="18.75">
      <c r="A21" s="876"/>
      <c r="B21" s="877"/>
      <c r="C21" s="877"/>
      <c r="D21" s="878" t="s">
        <v>20</v>
      </c>
      <c r="E21" s="877"/>
      <c r="F21" s="877"/>
      <c r="G21" s="879"/>
      <c r="H21" s="622" t="s">
        <v>12</v>
      </c>
      <c r="I21" s="880"/>
      <c r="J21" s="880"/>
      <c r="K21" s="881"/>
      <c r="L21" s="881">
        <f t="shared" ref="L21:N21" ca="1" si="12">L22+L23</f>
        <v>3127620</v>
      </c>
      <c r="M21" s="881">
        <f t="shared" ca="1" si="12"/>
        <v>2631110</v>
      </c>
      <c r="N21" s="881">
        <f t="shared" ca="1" si="12"/>
        <v>1578916.4500000002</v>
      </c>
      <c r="O21" s="881">
        <f t="shared" ca="1" si="9"/>
        <v>50.483001451583</v>
      </c>
      <c r="P21" s="881">
        <f t="shared" ca="1" si="10"/>
        <v>60.009518796249502</v>
      </c>
      <c r="Q21" s="868"/>
      <c r="R21" s="868"/>
      <c r="S21" s="868"/>
      <c r="T21" s="868"/>
      <c r="U21" s="868"/>
      <c r="V21" s="868"/>
      <c r="W21" s="868"/>
      <c r="X21" s="868"/>
      <c r="Y21" s="868"/>
      <c r="Z21" s="868"/>
    </row>
    <row r="22" spans="1:26" ht="18.75" hidden="1">
      <c r="A22" s="882"/>
      <c r="B22" s="883"/>
      <c r="C22" s="883"/>
      <c r="D22" s="883"/>
      <c r="E22" s="884" t="s">
        <v>18</v>
      </c>
      <c r="F22" s="883"/>
      <c r="G22" s="885"/>
      <c r="H22" s="43" t="s">
        <v>12</v>
      </c>
      <c r="I22" s="886"/>
      <c r="J22" s="886"/>
      <c r="K22" s="887"/>
      <c r="L22" s="887">
        <f t="shared" ref="L22:N23" si="13">L45+L57+L70+L92+L123+L136+L153+L185+L169+L265+L281+L302+L319+L332+L349+L393+L406</f>
        <v>0</v>
      </c>
      <c r="M22" s="887">
        <f t="shared" si="13"/>
        <v>0</v>
      </c>
      <c r="N22" s="887">
        <f t="shared" si="13"/>
        <v>0</v>
      </c>
      <c r="O22" s="887">
        <f t="shared" si="9"/>
        <v>0</v>
      </c>
      <c r="P22" s="887">
        <f t="shared" si="10"/>
        <v>0</v>
      </c>
      <c r="Q22" s="875"/>
      <c r="R22" s="875"/>
      <c r="S22" s="875"/>
      <c r="T22" s="875"/>
      <c r="U22" s="875"/>
      <c r="V22" s="875"/>
      <c r="W22" s="875"/>
      <c r="X22" s="875"/>
      <c r="Y22" s="875"/>
      <c r="Z22" s="875"/>
    </row>
    <row r="23" spans="1:26" ht="18.75" hidden="1">
      <c r="A23" s="882"/>
      <c r="B23" s="883"/>
      <c r="C23" s="883"/>
      <c r="D23" s="883"/>
      <c r="E23" s="884" t="s">
        <v>19</v>
      </c>
      <c r="F23" s="883"/>
      <c r="G23" s="885"/>
      <c r="H23" s="43" t="s">
        <v>12</v>
      </c>
      <c r="I23" s="886"/>
      <c r="J23" s="886"/>
      <c r="K23" s="887"/>
      <c r="L23" s="887">
        <f t="shared" ca="1" si="13"/>
        <v>3127620</v>
      </c>
      <c r="M23" s="887">
        <f t="shared" ca="1" si="13"/>
        <v>2631110</v>
      </c>
      <c r="N23" s="887">
        <f t="shared" ca="1" si="13"/>
        <v>1578916.4500000002</v>
      </c>
      <c r="O23" s="887">
        <f t="shared" ca="1" si="9"/>
        <v>50.483001451583</v>
      </c>
      <c r="P23" s="887">
        <f t="shared" ca="1" si="10"/>
        <v>60.009518796249502</v>
      </c>
      <c r="Q23" s="875"/>
      <c r="R23" s="875"/>
      <c r="S23" s="875"/>
      <c r="T23" s="875"/>
      <c r="U23" s="875"/>
      <c r="V23" s="875"/>
      <c r="W23" s="875"/>
      <c r="X23" s="875"/>
      <c r="Y23" s="875"/>
      <c r="Z23" s="875"/>
    </row>
    <row r="24" spans="1:26" ht="18.75">
      <c r="A24" s="876"/>
      <c r="B24" s="877"/>
      <c r="C24" s="877"/>
      <c r="D24" s="878" t="s">
        <v>21</v>
      </c>
      <c r="E24" s="877"/>
      <c r="F24" s="877"/>
      <c r="G24" s="879"/>
      <c r="H24" s="622" t="s">
        <v>12</v>
      </c>
      <c r="I24" s="880"/>
      <c r="J24" s="880"/>
      <c r="K24" s="881"/>
      <c r="L24" s="881">
        <f t="shared" ref="L24:N24" ca="1" si="14">L25+L26</f>
        <v>63697800</v>
      </c>
      <c r="M24" s="881">
        <f t="shared" ca="1" si="14"/>
        <v>63693010</v>
      </c>
      <c r="N24" s="881">
        <f t="shared" ca="1" si="14"/>
        <v>18001590.32</v>
      </c>
      <c r="O24" s="881">
        <f t="shared" ca="1" si="9"/>
        <v>28.260929451252633</v>
      </c>
      <c r="P24" s="881">
        <f t="shared" ca="1" si="10"/>
        <v>28.263054799890913</v>
      </c>
      <c r="Q24" s="868"/>
      <c r="R24" s="868"/>
      <c r="S24" s="868"/>
      <c r="T24" s="868"/>
      <c r="U24" s="868"/>
      <c r="V24" s="868"/>
      <c r="W24" s="868"/>
      <c r="X24" s="868"/>
      <c r="Y24" s="868"/>
      <c r="Z24" s="868"/>
    </row>
    <row r="25" spans="1:26" ht="18.75" hidden="1">
      <c r="A25" s="882"/>
      <c r="B25" s="883"/>
      <c r="C25" s="883"/>
      <c r="D25" s="883"/>
      <c r="E25" s="884" t="s">
        <v>18</v>
      </c>
      <c r="F25" s="883"/>
      <c r="G25" s="885"/>
      <c r="H25" s="43" t="s">
        <v>12</v>
      </c>
      <c r="I25" s="886"/>
      <c r="J25" s="886"/>
      <c r="K25" s="887"/>
      <c r="L25" s="887">
        <f t="shared" ref="L25:N26" si="15">L48+L60+L73+L95+L126+L139+L156+L188+L172+L268+L284+L305+L322+L335+L352+L396+L409</f>
        <v>0</v>
      </c>
      <c r="M25" s="887">
        <f t="shared" si="15"/>
        <v>0</v>
      </c>
      <c r="N25" s="887">
        <f t="shared" si="15"/>
        <v>0</v>
      </c>
      <c r="O25" s="887">
        <f t="shared" si="9"/>
        <v>0</v>
      </c>
      <c r="P25" s="887">
        <f t="shared" si="10"/>
        <v>0</v>
      </c>
      <c r="Q25" s="875"/>
      <c r="R25" s="875"/>
      <c r="S25" s="875"/>
      <c r="T25" s="875"/>
      <c r="U25" s="875"/>
      <c r="V25" s="875"/>
      <c r="W25" s="875"/>
      <c r="X25" s="875"/>
      <c r="Y25" s="875"/>
      <c r="Z25" s="875"/>
    </row>
    <row r="26" spans="1:26" ht="18.75" hidden="1">
      <c r="A26" s="888"/>
      <c r="B26" s="889"/>
      <c r="C26" s="889"/>
      <c r="D26" s="889"/>
      <c r="E26" s="890" t="s">
        <v>19</v>
      </c>
      <c r="F26" s="889"/>
      <c r="G26" s="891"/>
      <c r="H26" s="50" t="s">
        <v>12</v>
      </c>
      <c r="I26" s="892"/>
      <c r="J26" s="892"/>
      <c r="K26" s="893"/>
      <c r="L26" s="893">
        <f t="shared" ca="1" si="15"/>
        <v>63697800</v>
      </c>
      <c r="M26" s="893">
        <f t="shared" ca="1" si="15"/>
        <v>63693010</v>
      </c>
      <c r="N26" s="893">
        <f t="shared" ca="1" si="15"/>
        <v>18001590.32</v>
      </c>
      <c r="O26" s="893">
        <f t="shared" ca="1" si="9"/>
        <v>28.260929451252633</v>
      </c>
      <c r="P26" s="893">
        <f t="shared" ca="1" si="10"/>
        <v>28.263054799890913</v>
      </c>
      <c r="Q26" s="875"/>
      <c r="R26" s="875"/>
      <c r="S26" s="875"/>
      <c r="T26" s="875"/>
      <c r="U26" s="875"/>
      <c r="V26" s="875"/>
      <c r="W26" s="875"/>
      <c r="X26" s="875"/>
      <c r="Y26" s="875"/>
      <c r="Z26" s="875"/>
    </row>
    <row r="27" spans="1:26" ht="19.5">
      <c r="A27" s="856" t="s">
        <v>23</v>
      </c>
      <c r="B27" s="833"/>
      <c r="C27" s="833"/>
      <c r="D27" s="833"/>
      <c r="E27" s="833"/>
      <c r="F27" s="833"/>
      <c r="G27" s="831"/>
      <c r="H27" s="857"/>
      <c r="I27" s="858"/>
      <c r="J27" s="858"/>
      <c r="K27" s="859"/>
      <c r="L27" s="859"/>
      <c r="M27" s="859"/>
      <c r="N27" s="859"/>
      <c r="O27" s="859"/>
      <c r="P27" s="859"/>
    </row>
    <row r="28" spans="1:26" ht="19.5">
      <c r="A28" s="860"/>
      <c r="B28" s="861"/>
      <c r="C28" s="862" t="s">
        <v>16</v>
      </c>
      <c r="D28" s="863" t="s">
        <v>17</v>
      </c>
      <c r="E28" s="861"/>
      <c r="F28" s="861"/>
      <c r="G28" s="864"/>
      <c r="H28" s="19" t="s">
        <v>12</v>
      </c>
      <c r="I28" s="865"/>
      <c r="J28" s="865"/>
      <c r="K28" s="866"/>
      <c r="L28" s="867">
        <f t="shared" ref="L28:N28" ca="1" si="16">L29+L30</f>
        <v>1733577</v>
      </c>
      <c r="M28" s="867">
        <f t="shared" ca="1" si="16"/>
        <v>1733577</v>
      </c>
      <c r="N28" s="867">
        <f t="shared" si="16"/>
        <v>512550.34</v>
      </c>
      <c r="O28" s="867">
        <f t="shared" ref="O28:O37" ca="1" si="17">IF(L28&gt;0,N28*100/L28,0)</f>
        <v>29.566055617950632</v>
      </c>
      <c r="P28" s="867">
        <f t="shared" ref="P28:P37" ca="1" si="18">IF(M28&gt;0,N28*100/M28,0)</f>
        <v>29.566055617950632</v>
      </c>
      <c r="Q28" s="868"/>
      <c r="R28" s="868"/>
      <c r="S28" s="868"/>
      <c r="T28" s="868"/>
      <c r="U28" s="868"/>
      <c r="V28" s="868"/>
      <c r="W28" s="868"/>
      <c r="X28" s="868"/>
      <c r="Y28" s="868"/>
      <c r="Z28" s="868"/>
    </row>
    <row r="29" spans="1:26" ht="18.75" hidden="1">
      <c r="A29" s="869"/>
      <c r="B29" s="870"/>
      <c r="C29" s="870"/>
      <c r="D29" s="870"/>
      <c r="E29" s="871" t="s">
        <v>18</v>
      </c>
      <c r="F29" s="870"/>
      <c r="G29" s="872"/>
      <c r="H29" s="28" t="s">
        <v>12</v>
      </c>
      <c r="I29" s="873"/>
      <c r="J29" s="873"/>
      <c r="K29" s="874"/>
      <c r="L29" s="874">
        <f t="shared" ref="L29:N30" si="19">L32+L35</f>
        <v>0</v>
      </c>
      <c r="M29" s="874">
        <f t="shared" si="19"/>
        <v>0</v>
      </c>
      <c r="N29" s="874">
        <f t="shared" si="19"/>
        <v>0</v>
      </c>
      <c r="O29" s="874">
        <f t="shared" si="17"/>
        <v>0</v>
      </c>
      <c r="P29" s="874">
        <f t="shared" si="18"/>
        <v>0</v>
      </c>
      <c r="Q29" s="875"/>
      <c r="R29" s="875"/>
      <c r="S29" s="875"/>
      <c r="T29" s="875"/>
      <c r="U29" s="875"/>
      <c r="V29" s="875"/>
      <c r="W29" s="875"/>
      <c r="X29" s="875"/>
      <c r="Y29" s="875"/>
      <c r="Z29" s="875"/>
    </row>
    <row r="30" spans="1:26" ht="18.75" hidden="1">
      <c r="A30" s="869"/>
      <c r="B30" s="870"/>
      <c r="C30" s="870"/>
      <c r="D30" s="870"/>
      <c r="E30" s="871" t="s">
        <v>19</v>
      </c>
      <c r="F30" s="870"/>
      <c r="G30" s="872"/>
      <c r="H30" s="28" t="s">
        <v>12</v>
      </c>
      <c r="I30" s="873"/>
      <c r="J30" s="873"/>
      <c r="K30" s="874"/>
      <c r="L30" s="874">
        <f t="shared" ca="1" si="19"/>
        <v>1733577</v>
      </c>
      <c r="M30" s="874">
        <f t="shared" ca="1" si="19"/>
        <v>1733577</v>
      </c>
      <c r="N30" s="874">
        <f t="shared" si="19"/>
        <v>512550.34</v>
      </c>
      <c r="O30" s="874">
        <f t="shared" ca="1" si="17"/>
        <v>29.566055617950632</v>
      </c>
      <c r="P30" s="874">
        <f t="shared" ca="1" si="18"/>
        <v>29.566055617950632</v>
      </c>
      <c r="Q30" s="875"/>
      <c r="R30" s="875"/>
      <c r="S30" s="875"/>
      <c r="T30" s="875"/>
      <c r="U30" s="875"/>
      <c r="V30" s="875"/>
      <c r="W30" s="875"/>
      <c r="X30" s="875"/>
      <c r="Y30" s="875"/>
      <c r="Z30" s="875"/>
    </row>
    <row r="31" spans="1:26" ht="18.75">
      <c r="A31" s="876"/>
      <c r="B31" s="877"/>
      <c r="C31" s="877"/>
      <c r="D31" s="878" t="s">
        <v>20</v>
      </c>
      <c r="E31" s="877"/>
      <c r="F31" s="877"/>
      <c r="G31" s="879"/>
      <c r="H31" s="622" t="s">
        <v>12</v>
      </c>
      <c r="I31" s="880"/>
      <c r="J31" s="880"/>
      <c r="K31" s="881"/>
      <c r="L31" s="881">
        <f t="shared" ref="L31:N31" ca="1" si="20">L32+L33</f>
        <v>1733577</v>
      </c>
      <c r="M31" s="881">
        <f t="shared" ca="1" si="20"/>
        <v>1733577</v>
      </c>
      <c r="N31" s="881">
        <f t="shared" si="20"/>
        <v>512550.34</v>
      </c>
      <c r="O31" s="881">
        <f t="shared" ca="1" si="17"/>
        <v>29.566055617950632</v>
      </c>
      <c r="P31" s="881">
        <f t="shared" ca="1" si="18"/>
        <v>29.566055617950632</v>
      </c>
      <c r="Q31" s="868"/>
      <c r="R31" s="868"/>
      <c r="S31" s="868"/>
      <c r="T31" s="868"/>
      <c r="U31" s="868"/>
      <c r="V31" s="868"/>
      <c r="W31" s="868"/>
      <c r="X31" s="868"/>
      <c r="Y31" s="868"/>
      <c r="Z31" s="868"/>
    </row>
    <row r="32" spans="1:26" ht="18.75" hidden="1">
      <c r="A32" s="882"/>
      <c r="B32" s="883"/>
      <c r="C32" s="883"/>
      <c r="D32" s="883"/>
      <c r="E32" s="884" t="s">
        <v>18</v>
      </c>
      <c r="F32" s="883"/>
      <c r="G32" s="885"/>
      <c r="H32" s="43" t="s">
        <v>12</v>
      </c>
      <c r="I32" s="886"/>
      <c r="J32" s="886"/>
      <c r="K32" s="887"/>
      <c r="L32" s="887">
        <f t="shared" ref="L32:N33" si="21">L423+L448+L471+L506+L527+L548+L633+L659+L689+L741+L758+L774+L790+L809</f>
        <v>0</v>
      </c>
      <c r="M32" s="887">
        <f t="shared" si="21"/>
        <v>0</v>
      </c>
      <c r="N32" s="887">
        <f t="shared" si="21"/>
        <v>0</v>
      </c>
      <c r="O32" s="887">
        <f t="shared" si="17"/>
        <v>0</v>
      </c>
      <c r="P32" s="887">
        <f t="shared" si="18"/>
        <v>0</v>
      </c>
      <c r="Q32" s="875"/>
      <c r="R32" s="875"/>
      <c r="S32" s="875"/>
      <c r="T32" s="875"/>
      <c r="U32" s="875"/>
      <c r="V32" s="875"/>
      <c r="W32" s="875"/>
      <c r="X32" s="875"/>
      <c r="Y32" s="875"/>
      <c r="Z32" s="875"/>
    </row>
    <row r="33" spans="1:26" ht="18.75" hidden="1">
      <c r="A33" s="882"/>
      <c r="B33" s="883"/>
      <c r="C33" s="883"/>
      <c r="D33" s="883"/>
      <c r="E33" s="884" t="s">
        <v>19</v>
      </c>
      <c r="F33" s="883"/>
      <c r="G33" s="885"/>
      <c r="H33" s="43" t="s">
        <v>12</v>
      </c>
      <c r="I33" s="886"/>
      <c r="J33" s="886"/>
      <c r="K33" s="887"/>
      <c r="L33" s="887">
        <f t="shared" ca="1" si="21"/>
        <v>1733577</v>
      </c>
      <c r="M33" s="887">
        <f t="shared" ca="1" si="21"/>
        <v>1733577</v>
      </c>
      <c r="N33" s="887">
        <f t="shared" si="21"/>
        <v>512550.34</v>
      </c>
      <c r="O33" s="887">
        <f t="shared" ca="1" si="17"/>
        <v>29.566055617950632</v>
      </c>
      <c r="P33" s="887">
        <f t="shared" ca="1" si="18"/>
        <v>29.566055617950632</v>
      </c>
      <c r="Q33" s="875"/>
      <c r="R33" s="875"/>
      <c r="S33" s="875"/>
      <c r="T33" s="875"/>
      <c r="U33" s="875"/>
      <c r="V33" s="875"/>
      <c r="W33" s="875"/>
      <c r="X33" s="875"/>
      <c r="Y33" s="875"/>
      <c r="Z33" s="875"/>
    </row>
    <row r="34" spans="1:26" ht="18.75">
      <c r="A34" s="876"/>
      <c r="B34" s="877"/>
      <c r="C34" s="877"/>
      <c r="D34" s="878" t="s">
        <v>21</v>
      </c>
      <c r="E34" s="877"/>
      <c r="F34" s="877"/>
      <c r="G34" s="879"/>
      <c r="H34" s="622" t="s">
        <v>12</v>
      </c>
      <c r="I34" s="880"/>
      <c r="J34" s="880"/>
      <c r="K34" s="881"/>
      <c r="L34" s="881">
        <f t="shared" ref="L34:N34" ca="1" si="22">L35+L36</f>
        <v>0</v>
      </c>
      <c r="M34" s="881">
        <f t="shared" si="22"/>
        <v>0</v>
      </c>
      <c r="N34" s="881">
        <f t="shared" si="22"/>
        <v>0</v>
      </c>
      <c r="O34" s="881">
        <f t="shared" ca="1" si="17"/>
        <v>0</v>
      </c>
      <c r="P34" s="881">
        <f t="shared" si="18"/>
        <v>0</v>
      </c>
      <c r="Q34" s="868"/>
      <c r="R34" s="868"/>
      <c r="S34" s="868"/>
      <c r="T34" s="868"/>
      <c r="U34" s="868"/>
      <c r="V34" s="868"/>
      <c r="W34" s="868"/>
      <c r="X34" s="868"/>
      <c r="Y34" s="868"/>
      <c r="Z34" s="868"/>
    </row>
    <row r="35" spans="1:26" ht="18.75" hidden="1">
      <c r="A35" s="882"/>
      <c r="B35" s="883"/>
      <c r="C35" s="883"/>
      <c r="D35" s="883"/>
      <c r="E35" s="884" t="s">
        <v>18</v>
      </c>
      <c r="F35" s="883"/>
      <c r="G35" s="885"/>
      <c r="H35" s="43" t="s">
        <v>12</v>
      </c>
      <c r="I35" s="886"/>
      <c r="J35" s="886"/>
      <c r="K35" s="887"/>
      <c r="L35" s="887">
        <f t="shared" ref="L35:N36" si="23">L430+L455+L478+L513+L534+L556+L640+L666+L696+L748+L765+L781+L797+L816</f>
        <v>0</v>
      </c>
      <c r="M35" s="887">
        <f t="shared" si="23"/>
        <v>0</v>
      </c>
      <c r="N35" s="887">
        <f t="shared" si="23"/>
        <v>0</v>
      </c>
      <c r="O35" s="887">
        <f t="shared" si="17"/>
        <v>0</v>
      </c>
      <c r="P35" s="887">
        <f t="shared" si="18"/>
        <v>0</v>
      </c>
      <c r="Q35" s="875"/>
      <c r="R35" s="875"/>
      <c r="S35" s="875"/>
      <c r="T35" s="875"/>
      <c r="U35" s="875"/>
      <c r="V35" s="875"/>
      <c r="W35" s="875"/>
      <c r="X35" s="875"/>
      <c r="Y35" s="875"/>
      <c r="Z35" s="875"/>
    </row>
    <row r="36" spans="1:26" ht="18.75" hidden="1">
      <c r="A36" s="888"/>
      <c r="B36" s="889"/>
      <c r="C36" s="889"/>
      <c r="D36" s="889"/>
      <c r="E36" s="890" t="s">
        <v>19</v>
      </c>
      <c r="F36" s="889"/>
      <c r="G36" s="891"/>
      <c r="H36" s="50" t="s">
        <v>12</v>
      </c>
      <c r="I36" s="892"/>
      <c r="J36" s="892"/>
      <c r="K36" s="893"/>
      <c r="L36" s="893">
        <f t="shared" ca="1" si="23"/>
        <v>0</v>
      </c>
      <c r="M36" s="893">
        <f t="shared" si="23"/>
        <v>0</v>
      </c>
      <c r="N36" s="893">
        <f t="shared" si="23"/>
        <v>0</v>
      </c>
      <c r="O36" s="893">
        <f t="shared" ca="1" si="17"/>
        <v>0</v>
      </c>
      <c r="P36" s="893">
        <f t="shared" si="18"/>
        <v>0</v>
      </c>
      <c r="Q36" s="875"/>
      <c r="R36" s="875"/>
      <c r="S36" s="875"/>
      <c r="T36" s="875"/>
      <c r="U36" s="875"/>
      <c r="V36" s="875"/>
      <c r="W36" s="875"/>
      <c r="X36" s="875"/>
      <c r="Y36" s="875"/>
      <c r="Z36" s="875"/>
    </row>
    <row r="37" spans="1:26" ht="19.5">
      <c r="A37" s="894" t="s">
        <v>24</v>
      </c>
      <c r="B37" s="895"/>
      <c r="C37" s="895"/>
      <c r="D37" s="895"/>
      <c r="E37" s="895"/>
      <c r="F37" s="895"/>
      <c r="G37" s="896"/>
      <c r="H37" s="897"/>
      <c r="I37" s="898"/>
      <c r="J37" s="898"/>
      <c r="K37" s="899"/>
      <c r="L37" s="900">
        <f t="shared" ref="L37:N37" ca="1" si="24">L41+L53+L66+L88+L119+L132+L149+L165+L181+L261+L277+L298+L315+L328+L345+L389+L402</f>
        <v>66825420</v>
      </c>
      <c r="M37" s="900">
        <f t="shared" ca="1" si="24"/>
        <v>66324120</v>
      </c>
      <c r="N37" s="900">
        <f t="shared" ca="1" si="24"/>
        <v>19580506.77</v>
      </c>
      <c r="O37" s="900">
        <f t="shared" ca="1" si="17"/>
        <v>29.300985717710414</v>
      </c>
      <c r="P37" s="900">
        <f t="shared" ca="1" si="18"/>
        <v>29.522452420024571</v>
      </c>
    </row>
    <row r="38" spans="1:26" ht="19.5">
      <c r="A38" s="901" t="s">
        <v>25</v>
      </c>
      <c r="B38" s="902"/>
      <c r="C38" s="902"/>
      <c r="D38" s="902"/>
      <c r="E38" s="902"/>
      <c r="F38" s="902"/>
      <c r="G38" s="903"/>
      <c r="H38" s="904"/>
      <c r="I38" s="905"/>
      <c r="J38" s="905"/>
      <c r="K38" s="906"/>
      <c r="L38" s="906"/>
      <c r="M38" s="906"/>
      <c r="N38" s="906"/>
      <c r="O38" s="906"/>
      <c r="P38" s="906"/>
    </row>
    <row r="39" spans="1:26" ht="19.5">
      <c r="A39" s="907"/>
      <c r="B39" s="908" t="s">
        <v>26</v>
      </c>
      <c r="C39" s="909"/>
      <c r="D39" s="909"/>
      <c r="E39" s="909"/>
      <c r="F39" s="909"/>
      <c r="G39" s="910"/>
      <c r="H39" s="911"/>
      <c r="I39" s="912"/>
      <c r="J39" s="912"/>
      <c r="K39" s="913"/>
      <c r="L39" s="913"/>
      <c r="M39" s="913"/>
      <c r="N39" s="913"/>
      <c r="O39" s="913"/>
      <c r="P39" s="913"/>
    </row>
    <row r="40" spans="1:26" ht="19.5">
      <c r="A40" s="914"/>
      <c r="B40" s="915" t="s">
        <v>27</v>
      </c>
      <c r="C40" s="841"/>
      <c r="D40" s="841"/>
      <c r="E40" s="841"/>
      <c r="F40" s="841"/>
      <c r="G40" s="842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82" t="s">
        <v>12</v>
      </c>
      <c r="I41" s="924"/>
      <c r="J41" s="924"/>
      <c r="K41" s="925"/>
      <c r="L41" s="926">
        <f t="shared" ref="L41:N41" ca="1" si="25">L42+L43</f>
        <v>532050</v>
      </c>
      <c r="M41" s="926">
        <f t="shared" ca="1" si="25"/>
        <v>546220</v>
      </c>
      <c r="N41" s="926">
        <f t="shared" ca="1" si="25"/>
        <v>252392.61</v>
      </c>
      <c r="O41" s="926">
        <f t="shared" ref="O41:O49" ca="1" si="26">IF(L41&gt;0,N41*100/L41,0)</f>
        <v>47.437761488581899</v>
      </c>
      <c r="P41" s="926">
        <f t="shared" ref="P41:P49" ca="1" si="27">IF(M41&gt;0,N41*100/M41,0)</f>
        <v>46.207134487935264</v>
      </c>
      <c r="Q41" s="868"/>
      <c r="R41" s="868"/>
      <c r="S41" s="868"/>
      <c r="T41" s="868"/>
      <c r="U41" s="868"/>
      <c r="V41" s="868"/>
      <c r="W41" s="868"/>
      <c r="X41" s="868"/>
      <c r="Y41" s="868"/>
      <c r="Z41" s="868"/>
    </row>
    <row r="42" spans="1:26" ht="18.75" hidden="1">
      <c r="A42" s="927"/>
      <c r="B42" s="928"/>
      <c r="C42" s="928"/>
      <c r="D42" s="928"/>
      <c r="E42" s="929" t="s">
        <v>18</v>
      </c>
      <c r="F42" s="928"/>
      <c r="G42" s="930"/>
      <c r="H42" s="90" t="s">
        <v>12</v>
      </c>
      <c r="I42" s="931"/>
      <c r="J42" s="931"/>
      <c r="K42" s="932"/>
      <c r="L42" s="932">
        <f t="shared" ref="L42:N43" si="28">L45+L48</f>
        <v>0</v>
      </c>
      <c r="M42" s="932">
        <f t="shared" si="28"/>
        <v>0</v>
      </c>
      <c r="N42" s="932">
        <f t="shared" si="28"/>
        <v>0</v>
      </c>
      <c r="O42" s="932">
        <f t="shared" si="26"/>
        <v>0</v>
      </c>
      <c r="P42" s="932">
        <f t="shared" si="27"/>
        <v>0</v>
      </c>
      <c r="Q42" s="875"/>
      <c r="R42" s="875"/>
      <c r="S42" s="875"/>
      <c r="T42" s="875"/>
      <c r="U42" s="875"/>
      <c r="V42" s="875"/>
      <c r="W42" s="875"/>
      <c r="X42" s="875"/>
      <c r="Y42" s="875"/>
      <c r="Z42" s="875"/>
    </row>
    <row r="43" spans="1:26" ht="18.75" hidden="1">
      <c r="A43" s="927"/>
      <c r="B43" s="928"/>
      <c r="C43" s="928"/>
      <c r="D43" s="928"/>
      <c r="E43" s="929" t="s">
        <v>19</v>
      </c>
      <c r="F43" s="928"/>
      <c r="G43" s="930"/>
      <c r="H43" s="90" t="s">
        <v>12</v>
      </c>
      <c r="I43" s="931"/>
      <c r="J43" s="931"/>
      <c r="K43" s="932"/>
      <c r="L43" s="932">
        <f t="shared" ca="1" si="28"/>
        <v>532050</v>
      </c>
      <c r="M43" s="932">
        <f t="shared" ca="1" si="28"/>
        <v>546220</v>
      </c>
      <c r="N43" s="932">
        <f t="shared" ca="1" si="28"/>
        <v>252392.61</v>
      </c>
      <c r="O43" s="932">
        <f t="shared" ca="1" si="26"/>
        <v>47.437761488581899</v>
      </c>
      <c r="P43" s="932">
        <f t="shared" ca="1" si="27"/>
        <v>46.207134487935264</v>
      </c>
      <c r="Q43" s="875"/>
      <c r="R43" s="875"/>
      <c r="S43" s="875"/>
      <c r="T43" s="875"/>
      <c r="U43" s="875"/>
      <c r="V43" s="875"/>
      <c r="W43" s="875"/>
      <c r="X43" s="875"/>
      <c r="Y43" s="875"/>
      <c r="Z43" s="875"/>
    </row>
    <row r="44" spans="1:26" ht="18.75">
      <c r="A44" s="876"/>
      <c r="B44" s="877"/>
      <c r="C44" s="877"/>
      <c r="D44" s="878" t="s">
        <v>20</v>
      </c>
      <c r="E44" s="877"/>
      <c r="F44" s="877"/>
      <c r="G44" s="879"/>
      <c r="H44" s="622" t="s">
        <v>12</v>
      </c>
      <c r="I44" s="880"/>
      <c r="J44" s="880"/>
      <c r="K44" s="881"/>
      <c r="L44" s="881">
        <f t="shared" ref="L44:N44" ca="1" si="29">L45+L46</f>
        <v>532050</v>
      </c>
      <c r="M44" s="881">
        <f t="shared" ca="1" si="29"/>
        <v>546220</v>
      </c>
      <c r="N44" s="881">
        <f t="shared" ca="1" si="29"/>
        <v>252392.61</v>
      </c>
      <c r="O44" s="881">
        <f t="shared" ca="1" si="26"/>
        <v>47.437761488581899</v>
      </c>
      <c r="P44" s="881">
        <f t="shared" ca="1" si="27"/>
        <v>46.207134487935264</v>
      </c>
      <c r="Q44" s="868"/>
      <c r="R44" s="868"/>
      <c r="S44" s="868"/>
      <c r="T44" s="868"/>
      <c r="U44" s="868"/>
      <c r="V44" s="868"/>
      <c r="W44" s="868"/>
      <c r="X44" s="868"/>
      <c r="Y44" s="868"/>
      <c r="Z44" s="868"/>
    </row>
    <row r="45" spans="1:26" ht="18.75" hidden="1">
      <c r="A45" s="882"/>
      <c r="B45" s="883"/>
      <c r="C45" s="883"/>
      <c r="D45" s="883"/>
      <c r="E45" s="884" t="s">
        <v>18</v>
      </c>
      <c r="F45" s="883"/>
      <c r="G45" s="885"/>
      <c r="H45" s="43" t="s">
        <v>12</v>
      </c>
      <c r="I45" s="886"/>
      <c r="J45" s="886"/>
      <c r="K45" s="887"/>
      <c r="L45" s="887">
        <v>0</v>
      </c>
      <c r="M45" s="887">
        <v>0</v>
      </c>
      <c r="N45" s="887">
        <v>0</v>
      </c>
      <c r="O45" s="887">
        <f t="shared" si="26"/>
        <v>0</v>
      </c>
      <c r="P45" s="887">
        <f t="shared" si="27"/>
        <v>0</v>
      </c>
      <c r="Q45" s="875"/>
      <c r="R45" s="875"/>
      <c r="S45" s="875"/>
      <c r="T45" s="875"/>
      <c r="U45" s="875"/>
      <c r="V45" s="875"/>
      <c r="W45" s="875"/>
      <c r="X45" s="875"/>
      <c r="Y45" s="875"/>
      <c r="Z45" s="875"/>
    </row>
    <row r="46" spans="1:26" ht="18.75" hidden="1">
      <c r="A46" s="882"/>
      <c r="B46" s="883"/>
      <c r="C46" s="883"/>
      <c r="D46" s="883"/>
      <c r="E46" s="884" t="s">
        <v>19</v>
      </c>
      <c r="F46" s="883"/>
      <c r="G46" s="885"/>
      <c r="H46" s="43" t="s">
        <v>12</v>
      </c>
      <c r="I46" s="886"/>
      <c r="J46" s="886"/>
      <c r="K46" s="887"/>
      <c r="L46" s="887">
        <f ca="1">IFERROR(__xludf.DUMMYFUNCTION("IMPORTRANGE(""https://docs.google.com/spreadsheets/d/1MeEWN-I1oV_STSDYn1IFDPWt_1FKiwhDph83XaGc0o0/edit?usp=sharing"",""งบพรบ!M75"")"),532050)</f>
        <v>532050</v>
      </c>
      <c r="M46" s="887">
        <f ca="1">IFERROR(__xludf.DUMMYFUNCTION("IMPORTRANGE(""https://docs.google.com/spreadsheets/d/1MeEWN-I1oV_STSDYn1IFDPWt_1FKiwhDph83XaGc0o0/edit?usp=sharing"",""งบพรบ!R75"")"),546220)</f>
        <v>546220</v>
      </c>
      <c r="N46" s="887">
        <f ca="1">IFERROR(__xludf.DUMMYFUNCTION("IMPORTRANGE(""https://docs.google.com/spreadsheets/d/1MeEWN-I1oV_STSDYn1IFDPWt_1FKiwhDph83XaGc0o0/edit?usp=sharing"",""งบพรบ!T75"")"),252392.61)</f>
        <v>252392.61</v>
      </c>
      <c r="O46" s="887">
        <f t="shared" ca="1" si="26"/>
        <v>47.437761488581899</v>
      </c>
      <c r="P46" s="887">
        <f t="shared" ca="1" si="27"/>
        <v>46.207134487935264</v>
      </c>
      <c r="Q46" s="875"/>
      <c r="R46" s="875"/>
      <c r="S46" s="875"/>
      <c r="T46" s="875"/>
      <c r="U46" s="875"/>
      <c r="V46" s="875"/>
      <c r="W46" s="875"/>
      <c r="X46" s="875"/>
      <c r="Y46" s="875"/>
      <c r="Z46" s="875"/>
    </row>
    <row r="47" spans="1:26" ht="18.75">
      <c r="A47" s="876"/>
      <c r="B47" s="877"/>
      <c r="C47" s="877"/>
      <c r="D47" s="878" t="s">
        <v>21</v>
      </c>
      <c r="E47" s="877"/>
      <c r="F47" s="877"/>
      <c r="G47" s="879"/>
      <c r="H47" s="622" t="s">
        <v>12</v>
      </c>
      <c r="I47" s="880"/>
      <c r="J47" s="880"/>
      <c r="K47" s="881"/>
      <c r="L47" s="881">
        <f t="shared" ref="L47:N47" ca="1" si="30">L48+L49</f>
        <v>0</v>
      </c>
      <c r="M47" s="881">
        <f t="shared" ca="1" si="30"/>
        <v>0</v>
      </c>
      <c r="N47" s="881">
        <f t="shared" ca="1" si="30"/>
        <v>0</v>
      </c>
      <c r="O47" s="881">
        <f t="shared" ca="1" si="26"/>
        <v>0</v>
      </c>
      <c r="P47" s="881">
        <f t="shared" ca="1" si="27"/>
        <v>0</v>
      </c>
      <c r="Q47" s="868"/>
      <c r="R47" s="868"/>
      <c r="S47" s="868"/>
      <c r="T47" s="868"/>
      <c r="U47" s="868"/>
      <c r="V47" s="868"/>
      <c r="W47" s="868"/>
      <c r="X47" s="868"/>
      <c r="Y47" s="868"/>
      <c r="Z47" s="868"/>
    </row>
    <row r="48" spans="1:26" ht="18.75" hidden="1">
      <c r="A48" s="882"/>
      <c r="B48" s="883"/>
      <c r="C48" s="883"/>
      <c r="D48" s="883"/>
      <c r="E48" s="884" t="s">
        <v>18</v>
      </c>
      <c r="F48" s="883"/>
      <c r="G48" s="885"/>
      <c r="H48" s="43" t="s">
        <v>12</v>
      </c>
      <c r="I48" s="886"/>
      <c r="J48" s="886"/>
      <c r="K48" s="887"/>
      <c r="L48" s="887">
        <v>0</v>
      </c>
      <c r="M48" s="887">
        <v>0</v>
      </c>
      <c r="N48" s="887">
        <v>0</v>
      </c>
      <c r="O48" s="887">
        <f t="shared" si="26"/>
        <v>0</v>
      </c>
      <c r="P48" s="887">
        <f t="shared" si="27"/>
        <v>0</v>
      </c>
      <c r="Q48" s="875"/>
      <c r="R48" s="875"/>
      <c r="S48" s="875"/>
      <c r="T48" s="875"/>
      <c r="U48" s="875"/>
      <c r="V48" s="875"/>
      <c r="W48" s="875"/>
      <c r="X48" s="875"/>
      <c r="Y48" s="875"/>
      <c r="Z48" s="875"/>
    </row>
    <row r="49" spans="1:26" ht="18.75" hidden="1">
      <c r="A49" s="888"/>
      <c r="B49" s="889"/>
      <c r="C49" s="889"/>
      <c r="D49" s="889"/>
      <c r="E49" s="890" t="s">
        <v>19</v>
      </c>
      <c r="F49" s="889"/>
      <c r="G49" s="891"/>
      <c r="H49" s="50" t="s">
        <v>12</v>
      </c>
      <c r="I49" s="892"/>
      <c r="J49" s="892"/>
      <c r="K49" s="893"/>
      <c r="L49" s="893">
        <f ca="1">IFERROR(__xludf.DUMMYFUNCTION("IMPORTRANGE(""https://docs.google.com/spreadsheets/d/1MeEWN-I1oV_STSDYn1IFDPWt_1FKiwhDph83XaGc0o0/edit?usp=sharing"",""งบพรบ!P75"")"),0)</f>
        <v>0</v>
      </c>
      <c r="M49" s="893">
        <f ca="1">IFERROR(__xludf.DUMMYFUNCTION("IMPORTRANGE(""https://docs.google.com/spreadsheets/d/1MeEWN-I1oV_STSDYn1IFDPWt_1FKiwhDph83XaGc0o0/edit?usp=sharing"",""งบพรบ!S75"")"),0)</f>
        <v>0</v>
      </c>
      <c r="N49" s="893">
        <f ca="1">IFERROR(__xludf.DUMMYFUNCTION("IMPORTRANGE(""https://docs.google.com/spreadsheets/d/1MeEWN-I1oV_STSDYn1IFDPWt_1FKiwhDph83XaGc0o0/edit?usp=sharing"",""งบพรบ!U75"")"),0)</f>
        <v>0</v>
      </c>
      <c r="O49" s="893">
        <f t="shared" ca="1" si="26"/>
        <v>0</v>
      </c>
      <c r="P49" s="893">
        <f t="shared" ca="1" si="27"/>
        <v>0</v>
      </c>
      <c r="Q49" s="875"/>
      <c r="R49" s="875"/>
      <c r="S49" s="875"/>
      <c r="T49" s="875"/>
      <c r="U49" s="875"/>
      <c r="V49" s="875"/>
      <c r="W49" s="875"/>
      <c r="X49" s="875"/>
      <c r="Y49" s="875"/>
      <c r="Z49" s="875"/>
    </row>
    <row r="50" spans="1:26" ht="19.5">
      <c r="A50" s="933" t="s">
        <v>28</v>
      </c>
      <c r="B50" s="833"/>
      <c r="C50" s="833"/>
      <c r="D50" s="833"/>
      <c r="E50" s="833"/>
      <c r="F50" s="833"/>
      <c r="G50" s="831"/>
      <c r="H50" s="934"/>
      <c r="I50" s="935"/>
      <c r="J50" s="935"/>
      <c r="K50" s="936"/>
      <c r="L50" s="936"/>
      <c r="M50" s="936"/>
      <c r="N50" s="936"/>
      <c r="O50" s="936"/>
      <c r="P50" s="936"/>
    </row>
    <row r="51" spans="1:26" ht="19.5">
      <c r="A51" s="937"/>
      <c r="B51" s="938" t="s">
        <v>29</v>
      </c>
      <c r="C51" s="841"/>
      <c r="D51" s="841"/>
      <c r="E51" s="841"/>
      <c r="F51" s="841"/>
      <c r="G51" s="842"/>
      <c r="H51" s="939"/>
      <c r="I51" s="940"/>
      <c r="J51" s="940"/>
      <c r="K51" s="941"/>
      <c r="L51" s="941"/>
      <c r="M51" s="941"/>
      <c r="N51" s="941"/>
      <c r="O51" s="941"/>
      <c r="P51" s="941"/>
    </row>
    <row r="52" spans="1:26" ht="19.5">
      <c r="A52" s="942"/>
      <c r="B52" s="943" t="s">
        <v>30</v>
      </c>
      <c r="C52" s="944"/>
      <c r="D52" s="944"/>
      <c r="E52" s="944"/>
      <c r="F52" s="944"/>
      <c r="G52" s="945"/>
      <c r="H52" s="946"/>
      <c r="I52" s="947"/>
      <c r="J52" s="947"/>
      <c r="K52" s="948"/>
      <c r="L52" s="948"/>
      <c r="M52" s="948"/>
      <c r="N52" s="948"/>
      <c r="O52" s="948"/>
      <c r="P52" s="948"/>
    </row>
    <row r="53" spans="1:26" ht="19.5">
      <c r="A53" s="949"/>
      <c r="B53" s="950"/>
      <c r="C53" s="951" t="s">
        <v>16</v>
      </c>
      <c r="D53" s="952" t="s">
        <v>17</v>
      </c>
      <c r="E53" s="950"/>
      <c r="F53" s="950"/>
      <c r="G53" s="953"/>
      <c r="H53" s="113" t="s">
        <v>12</v>
      </c>
      <c r="I53" s="954"/>
      <c r="J53" s="954"/>
      <c r="K53" s="955"/>
      <c r="L53" s="956">
        <f t="shared" ref="L53:N53" ca="1" si="31">L54+L55</f>
        <v>654600</v>
      </c>
      <c r="M53" s="956">
        <f t="shared" ca="1" si="31"/>
        <v>492850</v>
      </c>
      <c r="N53" s="956">
        <f t="shared" ca="1" si="31"/>
        <v>313403.59999999998</v>
      </c>
      <c r="O53" s="956">
        <f t="shared" ref="O53:O61" ca="1" si="32">IF(L53&gt;0,N53*100/L53,0)</f>
        <v>47.877115795905894</v>
      </c>
      <c r="P53" s="956">
        <f t="shared" ref="P53:P61" ca="1" si="33">IF(M53&gt;0,N53*100/M53,0)</f>
        <v>63.590057826925019</v>
      </c>
      <c r="Q53" s="868"/>
      <c r="R53" s="868"/>
      <c r="S53" s="868"/>
      <c r="T53" s="868"/>
      <c r="U53" s="868"/>
      <c r="V53" s="868"/>
      <c r="W53" s="868"/>
      <c r="X53" s="868"/>
      <c r="Y53" s="868"/>
      <c r="Z53" s="868"/>
    </row>
    <row r="54" spans="1:26" ht="18.75" hidden="1">
      <c r="A54" s="957"/>
      <c r="B54" s="958"/>
      <c r="C54" s="958"/>
      <c r="D54" s="958"/>
      <c r="E54" s="959" t="s">
        <v>18</v>
      </c>
      <c r="F54" s="958"/>
      <c r="G54" s="960"/>
      <c r="H54" s="121" t="s">
        <v>12</v>
      </c>
      <c r="I54" s="961"/>
      <c r="J54" s="961"/>
      <c r="K54" s="962"/>
      <c r="L54" s="962">
        <f t="shared" ref="L54:N55" si="34">L57+L60</f>
        <v>0</v>
      </c>
      <c r="M54" s="962">
        <f t="shared" si="34"/>
        <v>0</v>
      </c>
      <c r="N54" s="962">
        <f t="shared" si="34"/>
        <v>0</v>
      </c>
      <c r="O54" s="962">
        <f t="shared" si="32"/>
        <v>0</v>
      </c>
      <c r="P54" s="962">
        <f t="shared" si="33"/>
        <v>0</v>
      </c>
      <c r="Q54" s="875"/>
      <c r="R54" s="875"/>
      <c r="S54" s="875"/>
      <c r="T54" s="875"/>
      <c r="U54" s="875"/>
      <c r="V54" s="875"/>
      <c r="W54" s="875"/>
      <c r="X54" s="875"/>
      <c r="Y54" s="875"/>
      <c r="Z54" s="875"/>
    </row>
    <row r="55" spans="1:26" ht="18.75" hidden="1">
      <c r="A55" s="957"/>
      <c r="B55" s="958"/>
      <c r="C55" s="958"/>
      <c r="D55" s="958"/>
      <c r="E55" s="959" t="s">
        <v>19</v>
      </c>
      <c r="F55" s="958"/>
      <c r="G55" s="960"/>
      <c r="H55" s="121" t="s">
        <v>12</v>
      </c>
      <c r="I55" s="961"/>
      <c r="J55" s="961"/>
      <c r="K55" s="962"/>
      <c r="L55" s="962">
        <f t="shared" ca="1" si="34"/>
        <v>654600</v>
      </c>
      <c r="M55" s="962">
        <f t="shared" ca="1" si="34"/>
        <v>492850</v>
      </c>
      <c r="N55" s="962">
        <f t="shared" ca="1" si="34"/>
        <v>313403.59999999998</v>
      </c>
      <c r="O55" s="962">
        <f t="shared" ca="1" si="32"/>
        <v>47.877115795905894</v>
      </c>
      <c r="P55" s="962">
        <f t="shared" ca="1" si="33"/>
        <v>63.590057826925019</v>
      </c>
      <c r="Q55" s="875"/>
      <c r="R55" s="875"/>
      <c r="S55" s="875"/>
      <c r="T55" s="875"/>
      <c r="U55" s="875"/>
      <c r="V55" s="875"/>
      <c r="W55" s="875"/>
      <c r="X55" s="875"/>
      <c r="Y55" s="875"/>
      <c r="Z55" s="875"/>
    </row>
    <row r="56" spans="1:26" ht="18.75">
      <c r="A56" s="876"/>
      <c r="B56" s="877"/>
      <c r="C56" s="877"/>
      <c r="D56" s="878" t="s">
        <v>20</v>
      </c>
      <c r="E56" s="877"/>
      <c r="F56" s="877"/>
      <c r="G56" s="879"/>
      <c r="H56" s="622" t="s">
        <v>12</v>
      </c>
      <c r="I56" s="880"/>
      <c r="J56" s="880"/>
      <c r="K56" s="881"/>
      <c r="L56" s="881">
        <f t="shared" ref="L56:N56" ca="1" si="35">L57+L58</f>
        <v>654600</v>
      </c>
      <c r="M56" s="881">
        <f t="shared" ca="1" si="35"/>
        <v>492850</v>
      </c>
      <c r="N56" s="881">
        <f t="shared" ca="1" si="35"/>
        <v>313403.59999999998</v>
      </c>
      <c r="O56" s="881">
        <f t="shared" ca="1" si="32"/>
        <v>47.877115795905894</v>
      </c>
      <c r="P56" s="881">
        <f t="shared" ca="1" si="33"/>
        <v>63.590057826925019</v>
      </c>
      <c r="Q56" s="868"/>
      <c r="R56" s="868"/>
      <c r="S56" s="868"/>
      <c r="T56" s="868"/>
      <c r="U56" s="868"/>
      <c r="V56" s="868"/>
      <c r="W56" s="868"/>
      <c r="X56" s="868"/>
      <c r="Y56" s="868"/>
      <c r="Z56" s="868"/>
    </row>
    <row r="57" spans="1:26" ht="18.75" hidden="1">
      <c r="A57" s="882"/>
      <c r="B57" s="883"/>
      <c r="C57" s="883"/>
      <c r="D57" s="883"/>
      <c r="E57" s="884" t="s">
        <v>18</v>
      </c>
      <c r="F57" s="883"/>
      <c r="G57" s="885"/>
      <c r="H57" s="43" t="s">
        <v>12</v>
      </c>
      <c r="I57" s="886"/>
      <c r="J57" s="886"/>
      <c r="K57" s="887"/>
      <c r="L57" s="887">
        <v>0</v>
      </c>
      <c r="M57" s="887">
        <v>0</v>
      </c>
      <c r="N57" s="887">
        <v>0</v>
      </c>
      <c r="O57" s="887">
        <f t="shared" si="32"/>
        <v>0</v>
      </c>
      <c r="P57" s="887">
        <f t="shared" si="33"/>
        <v>0</v>
      </c>
      <c r="Q57" s="875"/>
      <c r="R57" s="875"/>
      <c r="S57" s="875"/>
      <c r="T57" s="875"/>
      <c r="U57" s="875"/>
      <c r="V57" s="875"/>
      <c r="W57" s="875"/>
      <c r="X57" s="875"/>
      <c r="Y57" s="875"/>
      <c r="Z57" s="875"/>
    </row>
    <row r="58" spans="1:26" ht="18.75" hidden="1">
      <c r="A58" s="882"/>
      <c r="B58" s="883"/>
      <c r="C58" s="883"/>
      <c r="D58" s="883"/>
      <c r="E58" s="884" t="s">
        <v>19</v>
      </c>
      <c r="F58" s="883"/>
      <c r="G58" s="885"/>
      <c r="H58" s="43" t="s">
        <v>12</v>
      </c>
      <c r="I58" s="886"/>
      <c r="J58" s="886"/>
      <c r="K58" s="887"/>
      <c r="L58" s="887">
        <f ca="1">IFERROR(__xludf.DUMMYFUNCTION("IMPORTRANGE(""https://docs.google.com/spreadsheets/d/1MeEWN-I1oV_STSDYn1IFDPWt_1FKiwhDph83XaGc0o0/edit?usp=sharing"",""งบพรบ!W75"")"),654600)</f>
        <v>654600</v>
      </c>
      <c r="M58" s="887">
        <f ca="1">IFERROR(__xludf.DUMMYFUNCTION("IMPORTRANGE(""https://docs.google.com/spreadsheets/d/1MeEWN-I1oV_STSDYn1IFDPWt_1FKiwhDph83XaGc0o0/edit?usp=sharing"",""งบพรบ!AB75"")"),492850)</f>
        <v>492850</v>
      </c>
      <c r="N58" s="887">
        <f ca="1">IFERROR(__xludf.DUMMYFUNCTION("IMPORTRANGE(""https://docs.google.com/spreadsheets/d/1MeEWN-I1oV_STSDYn1IFDPWt_1FKiwhDph83XaGc0o0/edit?usp=sharing"",""งบพรบ!AD75"")"),313403.6)</f>
        <v>313403.59999999998</v>
      </c>
      <c r="O58" s="887">
        <f t="shared" ca="1" si="32"/>
        <v>47.877115795905894</v>
      </c>
      <c r="P58" s="887">
        <f t="shared" ca="1" si="33"/>
        <v>63.590057826925019</v>
      </c>
      <c r="Q58" s="875"/>
      <c r="R58" s="875"/>
      <c r="S58" s="875"/>
      <c r="T58" s="875"/>
      <c r="U58" s="875"/>
      <c r="V58" s="875"/>
      <c r="W58" s="875"/>
      <c r="X58" s="875"/>
      <c r="Y58" s="875"/>
      <c r="Z58" s="875"/>
    </row>
    <row r="59" spans="1:26" ht="18.75">
      <c r="A59" s="876"/>
      <c r="B59" s="877"/>
      <c r="C59" s="877"/>
      <c r="D59" s="878" t="s">
        <v>21</v>
      </c>
      <c r="E59" s="877"/>
      <c r="F59" s="877"/>
      <c r="G59" s="879"/>
      <c r="H59" s="622" t="s">
        <v>12</v>
      </c>
      <c r="I59" s="880"/>
      <c r="J59" s="880"/>
      <c r="K59" s="881"/>
      <c r="L59" s="881">
        <f t="shared" ref="L59:N59" ca="1" si="36">L60+L61</f>
        <v>0</v>
      </c>
      <c r="M59" s="881">
        <f t="shared" ca="1" si="36"/>
        <v>0</v>
      </c>
      <c r="N59" s="881">
        <f t="shared" ca="1" si="36"/>
        <v>0</v>
      </c>
      <c r="O59" s="881">
        <f t="shared" ca="1" si="32"/>
        <v>0</v>
      </c>
      <c r="P59" s="881">
        <f t="shared" ca="1" si="33"/>
        <v>0</v>
      </c>
      <c r="Q59" s="868"/>
      <c r="R59" s="868"/>
      <c r="S59" s="868"/>
      <c r="T59" s="868"/>
      <c r="U59" s="868"/>
      <c r="V59" s="868"/>
      <c r="W59" s="868"/>
      <c r="X59" s="868"/>
      <c r="Y59" s="868"/>
      <c r="Z59" s="868"/>
    </row>
    <row r="60" spans="1:26" ht="18.75" hidden="1">
      <c r="A60" s="882"/>
      <c r="B60" s="883"/>
      <c r="C60" s="883"/>
      <c r="D60" s="883"/>
      <c r="E60" s="884" t="s">
        <v>18</v>
      </c>
      <c r="F60" s="883"/>
      <c r="G60" s="885"/>
      <c r="H60" s="43" t="s">
        <v>12</v>
      </c>
      <c r="I60" s="886"/>
      <c r="J60" s="886"/>
      <c r="K60" s="887"/>
      <c r="L60" s="887">
        <v>0</v>
      </c>
      <c r="M60" s="887">
        <v>0</v>
      </c>
      <c r="N60" s="887">
        <v>0</v>
      </c>
      <c r="O60" s="887">
        <f t="shared" si="32"/>
        <v>0</v>
      </c>
      <c r="P60" s="887">
        <f t="shared" si="33"/>
        <v>0</v>
      </c>
      <c r="Q60" s="875"/>
      <c r="R60" s="875"/>
      <c r="S60" s="875"/>
      <c r="T60" s="875"/>
      <c r="U60" s="875"/>
      <c r="V60" s="875"/>
      <c r="W60" s="875"/>
      <c r="X60" s="875"/>
      <c r="Y60" s="875"/>
      <c r="Z60" s="875"/>
    </row>
    <row r="61" spans="1:26" ht="18.75" hidden="1">
      <c r="A61" s="888"/>
      <c r="B61" s="889"/>
      <c r="C61" s="889"/>
      <c r="D61" s="889"/>
      <c r="E61" s="890" t="s">
        <v>19</v>
      </c>
      <c r="F61" s="889"/>
      <c r="G61" s="891"/>
      <c r="H61" s="50" t="s">
        <v>12</v>
      </c>
      <c r="I61" s="892"/>
      <c r="J61" s="892"/>
      <c r="K61" s="893"/>
      <c r="L61" s="893">
        <f ca="1">IFERROR(__xludf.DUMMYFUNCTION("IMPORTRANGE(""https://docs.google.com/spreadsheets/d/1MeEWN-I1oV_STSDYn1IFDPWt_1FKiwhDph83XaGc0o0/edit?usp=sharing"",""งบพรบ!Z75"")"),0)</f>
        <v>0</v>
      </c>
      <c r="M61" s="893">
        <f ca="1">IFERROR(__xludf.DUMMYFUNCTION("IMPORTRANGE(""https://docs.google.com/spreadsheets/d/1MeEWN-I1oV_STSDYn1IFDPWt_1FKiwhDph83XaGc0o0/edit?usp=sharing"",""งบพรบ!AC75"")"),0)</f>
        <v>0</v>
      </c>
      <c r="N61" s="893">
        <f ca="1">IFERROR(__xludf.DUMMYFUNCTION("IMPORTRANGE(""https://docs.google.com/spreadsheets/d/1MeEWN-I1oV_STSDYn1IFDPWt_1FKiwhDph83XaGc0o0/edit?usp=sharing"",""งบพรบ!AE75"")"),0)</f>
        <v>0</v>
      </c>
      <c r="O61" s="893">
        <f t="shared" ca="1" si="32"/>
        <v>0</v>
      </c>
      <c r="P61" s="893">
        <f t="shared" ca="1" si="33"/>
        <v>0</v>
      </c>
      <c r="Q61" s="875"/>
      <c r="R61" s="875"/>
      <c r="S61" s="875"/>
      <c r="T61" s="875"/>
      <c r="U61" s="875"/>
      <c r="V61" s="875"/>
      <c r="W61" s="875"/>
      <c r="X61" s="875"/>
      <c r="Y61" s="875"/>
      <c r="Z61" s="875"/>
    </row>
    <row r="62" spans="1:26" ht="19.5">
      <c r="A62" s="963" t="s">
        <v>31</v>
      </c>
      <c r="B62" s="964"/>
      <c r="C62" s="964"/>
      <c r="D62" s="964"/>
      <c r="E62" s="965"/>
      <c r="F62" s="965"/>
      <c r="G62" s="966"/>
      <c r="H62" s="967"/>
      <c r="I62" s="968"/>
      <c r="J62" s="968"/>
      <c r="K62" s="969"/>
      <c r="L62" s="969"/>
      <c r="M62" s="969"/>
      <c r="N62" s="969"/>
      <c r="O62" s="969"/>
      <c r="P62" s="969"/>
    </row>
    <row r="63" spans="1:26" ht="19.5">
      <c r="A63" s="970" t="s">
        <v>32</v>
      </c>
      <c r="B63" s="971"/>
      <c r="C63" s="972"/>
      <c r="D63" s="971"/>
      <c r="E63" s="971"/>
      <c r="F63" s="971"/>
      <c r="G63" s="973"/>
      <c r="H63" s="974"/>
      <c r="I63" s="975"/>
      <c r="J63" s="975"/>
      <c r="K63" s="976"/>
      <c r="L63" s="976"/>
      <c r="M63" s="976"/>
      <c r="N63" s="976"/>
      <c r="O63" s="976"/>
      <c r="P63" s="976"/>
    </row>
    <row r="64" spans="1:26" ht="19.5">
      <c r="A64" s="977"/>
      <c r="B64" s="978" t="s">
        <v>33</v>
      </c>
      <c r="C64" s="979"/>
      <c r="D64" s="980"/>
      <c r="E64" s="979"/>
      <c r="F64" s="979"/>
      <c r="G64" s="981"/>
      <c r="H64" s="205" t="s">
        <v>34</v>
      </c>
      <c r="I64" s="982">
        <f t="shared" ref="I64:J65" ca="1" si="37">I76</f>
        <v>1</v>
      </c>
      <c r="J64" s="982">
        <f t="shared" si="37"/>
        <v>1</v>
      </c>
      <c r="K64" s="983">
        <f t="shared" ref="K64:K65" ca="1" si="38">IF(I64&gt;0,J64*100/I64,0)</f>
        <v>100</v>
      </c>
      <c r="L64" s="984"/>
      <c r="M64" s="984"/>
      <c r="N64" s="984"/>
      <c r="O64" s="984"/>
      <c r="P64" s="984"/>
    </row>
    <row r="65" spans="1:26" ht="19.5">
      <c r="A65" s="977"/>
      <c r="B65" s="979"/>
      <c r="C65" s="979"/>
      <c r="D65" s="980"/>
      <c r="E65" s="979"/>
      <c r="F65" s="979"/>
      <c r="G65" s="981"/>
      <c r="H65" s="205" t="s">
        <v>35</v>
      </c>
      <c r="I65" s="982">
        <f t="shared" ca="1" si="37"/>
        <v>30</v>
      </c>
      <c r="J65" s="982">
        <f t="shared" si="37"/>
        <v>30</v>
      </c>
      <c r="K65" s="983">
        <f t="shared" ca="1" si="38"/>
        <v>100</v>
      </c>
      <c r="L65" s="984"/>
      <c r="M65" s="984"/>
      <c r="N65" s="984"/>
      <c r="O65" s="984"/>
      <c r="P65" s="984"/>
    </row>
    <row r="66" spans="1:26" ht="19.5">
      <c r="A66" s="985"/>
      <c r="B66" s="986"/>
      <c r="C66" s="987" t="s">
        <v>16</v>
      </c>
      <c r="D66" s="988" t="s">
        <v>17</v>
      </c>
      <c r="E66" s="986"/>
      <c r="F66" s="986"/>
      <c r="G66" s="989"/>
      <c r="H66" s="152" t="s">
        <v>12</v>
      </c>
      <c r="I66" s="990"/>
      <c r="J66" s="990"/>
      <c r="K66" s="991"/>
      <c r="L66" s="992">
        <f t="shared" ref="L66:N66" ca="1" si="39">L67+L68</f>
        <v>688200</v>
      </c>
      <c r="M66" s="992">
        <f t="shared" ca="1" si="39"/>
        <v>529900</v>
      </c>
      <c r="N66" s="992">
        <f t="shared" ca="1" si="39"/>
        <v>344371.54</v>
      </c>
      <c r="O66" s="992">
        <f t="shared" ref="O66:O74" ca="1" si="40">IF(L66&gt;0,N66*100/L66,0)</f>
        <v>50.039456553327518</v>
      </c>
      <c r="P66" s="992">
        <f t="shared" ref="P66:P74" ca="1" si="41">IF(M66&gt;0,N66*100/M66,0)</f>
        <v>64.988024155501037</v>
      </c>
      <c r="Q66" s="868"/>
      <c r="R66" s="868"/>
      <c r="S66" s="868"/>
      <c r="T66" s="868"/>
      <c r="U66" s="868"/>
      <c r="V66" s="868"/>
      <c r="W66" s="868"/>
      <c r="X66" s="868"/>
      <c r="Y66" s="868"/>
      <c r="Z66" s="868"/>
    </row>
    <row r="67" spans="1:26" ht="18.75" hidden="1">
      <c r="A67" s="993"/>
      <c r="B67" s="883"/>
      <c r="C67" s="883"/>
      <c r="D67" s="883"/>
      <c r="E67" s="884" t="s">
        <v>18</v>
      </c>
      <c r="F67" s="883"/>
      <c r="G67" s="994"/>
      <c r="H67" s="158" t="s">
        <v>12</v>
      </c>
      <c r="I67" s="886"/>
      <c r="J67" s="886"/>
      <c r="K67" s="887"/>
      <c r="L67" s="887">
        <f t="shared" ref="L67:N68" si="42">L70+L73</f>
        <v>0</v>
      </c>
      <c r="M67" s="887">
        <f t="shared" si="42"/>
        <v>0</v>
      </c>
      <c r="N67" s="887">
        <f t="shared" si="42"/>
        <v>0</v>
      </c>
      <c r="O67" s="887">
        <f t="shared" si="40"/>
        <v>0</v>
      </c>
      <c r="P67" s="887">
        <f t="shared" si="41"/>
        <v>0</v>
      </c>
      <c r="Q67" s="875"/>
      <c r="R67" s="875"/>
      <c r="S67" s="875"/>
      <c r="T67" s="875"/>
      <c r="U67" s="875"/>
      <c r="V67" s="875"/>
      <c r="W67" s="875"/>
      <c r="X67" s="875"/>
      <c r="Y67" s="875"/>
      <c r="Z67" s="875"/>
    </row>
    <row r="68" spans="1:26" ht="18.75" hidden="1">
      <c r="A68" s="993"/>
      <c r="B68" s="883"/>
      <c r="C68" s="883"/>
      <c r="D68" s="883"/>
      <c r="E68" s="884" t="s">
        <v>19</v>
      </c>
      <c r="F68" s="883"/>
      <c r="G68" s="994"/>
      <c r="H68" s="158" t="s">
        <v>12</v>
      </c>
      <c r="I68" s="886"/>
      <c r="J68" s="886"/>
      <c r="K68" s="887"/>
      <c r="L68" s="887">
        <f t="shared" ca="1" si="42"/>
        <v>688200</v>
      </c>
      <c r="M68" s="887">
        <f t="shared" ca="1" si="42"/>
        <v>529900</v>
      </c>
      <c r="N68" s="887">
        <f t="shared" ca="1" si="42"/>
        <v>344371.54</v>
      </c>
      <c r="O68" s="887">
        <f t="shared" ca="1" si="40"/>
        <v>50.039456553327518</v>
      </c>
      <c r="P68" s="887">
        <f t="shared" ca="1" si="41"/>
        <v>64.988024155501037</v>
      </c>
      <c r="Q68" s="875"/>
      <c r="R68" s="875"/>
      <c r="S68" s="875"/>
      <c r="T68" s="875"/>
      <c r="U68" s="875"/>
      <c r="V68" s="875"/>
      <c r="W68" s="875"/>
      <c r="X68" s="875"/>
      <c r="Y68" s="875"/>
      <c r="Z68" s="875"/>
    </row>
    <row r="69" spans="1:26" ht="18.75">
      <c r="A69" s="995"/>
      <c r="B69" s="877"/>
      <c r="C69" s="996"/>
      <c r="D69" s="878" t="s">
        <v>20</v>
      </c>
      <c r="E69" s="877"/>
      <c r="F69" s="877"/>
      <c r="G69" s="879"/>
      <c r="H69" s="161" t="s">
        <v>12</v>
      </c>
      <c r="I69" s="997"/>
      <c r="J69" s="997"/>
      <c r="K69" s="998"/>
      <c r="L69" s="881">
        <f t="shared" ref="L69:N69" ca="1" si="43">L70+L71</f>
        <v>688200</v>
      </c>
      <c r="M69" s="881">
        <f t="shared" ca="1" si="43"/>
        <v>529900</v>
      </c>
      <c r="N69" s="881">
        <f t="shared" ca="1" si="43"/>
        <v>344371.54</v>
      </c>
      <c r="O69" s="881">
        <f t="shared" ca="1" si="40"/>
        <v>50.039456553327518</v>
      </c>
      <c r="P69" s="881">
        <f t="shared" ca="1" si="41"/>
        <v>64.988024155501037</v>
      </c>
      <c r="Q69" s="868"/>
      <c r="R69" s="868"/>
      <c r="S69" s="868"/>
      <c r="T69" s="868"/>
      <c r="U69" s="868"/>
      <c r="V69" s="868"/>
      <c r="W69" s="868"/>
      <c r="X69" s="868"/>
      <c r="Y69" s="868"/>
      <c r="Z69" s="868"/>
    </row>
    <row r="70" spans="1:26" ht="19.5" hidden="1">
      <c r="A70" s="993"/>
      <c r="B70" s="883"/>
      <c r="C70" s="999"/>
      <c r="D70" s="883"/>
      <c r="E70" s="884" t="s">
        <v>36</v>
      </c>
      <c r="F70" s="883"/>
      <c r="G70" s="994"/>
      <c r="H70" s="165" t="s">
        <v>12</v>
      </c>
      <c r="I70" s="1000"/>
      <c r="J70" s="1000"/>
      <c r="K70" s="1001"/>
      <c r="L70" s="887">
        <v>0</v>
      </c>
      <c r="M70" s="887">
        <v>0</v>
      </c>
      <c r="N70" s="887">
        <v>0</v>
      </c>
      <c r="O70" s="887">
        <f t="shared" si="40"/>
        <v>0</v>
      </c>
      <c r="P70" s="887">
        <f t="shared" si="41"/>
        <v>0</v>
      </c>
      <c r="Q70" s="875"/>
      <c r="R70" s="875"/>
      <c r="S70" s="875"/>
      <c r="T70" s="875"/>
      <c r="U70" s="875"/>
      <c r="V70" s="875"/>
      <c r="W70" s="875"/>
      <c r="X70" s="875"/>
      <c r="Y70" s="875"/>
      <c r="Z70" s="875"/>
    </row>
    <row r="71" spans="1:26" ht="19.5" hidden="1">
      <c r="A71" s="993"/>
      <c r="B71" s="883"/>
      <c r="C71" s="999"/>
      <c r="D71" s="883"/>
      <c r="E71" s="884" t="s">
        <v>37</v>
      </c>
      <c r="F71" s="883"/>
      <c r="G71" s="994"/>
      <c r="H71" s="165" t="s">
        <v>12</v>
      </c>
      <c r="I71" s="1000"/>
      <c r="J71" s="1000"/>
      <c r="K71" s="1001"/>
      <c r="L71" s="887">
        <f ca="1">IFERROR(__xludf.DUMMYFUNCTION("IMPORTRANGE(""https://docs.google.com/spreadsheets/d/1MeEWN-I1oV_STSDYn1IFDPWt_1FKiwhDph83XaGc0o0/edit?usp=sharing"",""งบพรบ!AG75"")"),688200)</f>
        <v>688200</v>
      </c>
      <c r="M71" s="887">
        <f ca="1">IFERROR(__xludf.DUMMYFUNCTION("IMPORTRANGE(""https://docs.google.com/spreadsheets/d/1MeEWN-I1oV_STSDYn1IFDPWt_1FKiwhDph83XaGc0o0/edit?usp=sharing"",""งบพรบ!AL75"")"),529900)</f>
        <v>529900</v>
      </c>
      <c r="N71" s="887">
        <f ca="1">IFERROR(__xludf.DUMMYFUNCTION("IMPORTRANGE(""https://docs.google.com/spreadsheets/d/1MeEWN-I1oV_STSDYn1IFDPWt_1FKiwhDph83XaGc0o0/edit?usp=sharing"",""งบพรบ!AN75"")"),344371.54)</f>
        <v>344371.54</v>
      </c>
      <c r="O71" s="887">
        <f t="shared" ca="1" si="40"/>
        <v>50.039456553327518</v>
      </c>
      <c r="P71" s="887">
        <f t="shared" ca="1" si="41"/>
        <v>64.988024155501037</v>
      </c>
      <c r="Q71" s="875"/>
      <c r="R71" s="875"/>
      <c r="S71" s="875"/>
      <c r="T71" s="875"/>
      <c r="U71" s="875"/>
      <c r="V71" s="875"/>
      <c r="W71" s="875"/>
      <c r="X71" s="875"/>
      <c r="Y71" s="875"/>
      <c r="Z71" s="875"/>
    </row>
    <row r="72" spans="1:26" ht="18.75">
      <c r="A72" s="995"/>
      <c r="B72" s="877"/>
      <c r="C72" s="996"/>
      <c r="D72" s="878" t="s">
        <v>21</v>
      </c>
      <c r="E72" s="877"/>
      <c r="F72" s="877"/>
      <c r="G72" s="879"/>
      <c r="H72" s="168" t="s">
        <v>12</v>
      </c>
      <c r="I72" s="997"/>
      <c r="J72" s="997"/>
      <c r="K72" s="998"/>
      <c r="L72" s="881">
        <f t="shared" ref="L72:N72" ca="1" si="44">L73+L74</f>
        <v>0</v>
      </c>
      <c r="M72" s="881">
        <f t="shared" ca="1" si="44"/>
        <v>0</v>
      </c>
      <c r="N72" s="881">
        <f t="shared" ca="1" si="44"/>
        <v>0</v>
      </c>
      <c r="O72" s="881">
        <f t="shared" ca="1" si="40"/>
        <v>0</v>
      </c>
      <c r="P72" s="881">
        <f t="shared" ca="1" si="41"/>
        <v>0</v>
      </c>
      <c r="Q72" s="868"/>
      <c r="R72" s="868"/>
      <c r="S72" s="868"/>
      <c r="T72" s="868"/>
      <c r="U72" s="868"/>
      <c r="V72" s="868"/>
      <c r="W72" s="868"/>
      <c r="X72" s="868"/>
      <c r="Y72" s="868"/>
      <c r="Z72" s="868"/>
    </row>
    <row r="73" spans="1:26" ht="19.5" hidden="1">
      <c r="A73" s="993"/>
      <c r="B73" s="883"/>
      <c r="C73" s="999"/>
      <c r="D73" s="883"/>
      <c r="E73" s="884" t="s">
        <v>18</v>
      </c>
      <c r="F73" s="883"/>
      <c r="G73" s="994"/>
      <c r="H73" s="165" t="s">
        <v>12</v>
      </c>
      <c r="I73" s="1000"/>
      <c r="J73" s="1000"/>
      <c r="K73" s="1001"/>
      <c r="L73" s="887">
        <v>0</v>
      </c>
      <c r="M73" s="887"/>
      <c r="N73" s="887"/>
      <c r="O73" s="887">
        <f t="shared" si="40"/>
        <v>0</v>
      </c>
      <c r="P73" s="887">
        <f t="shared" si="41"/>
        <v>0</v>
      </c>
      <c r="Q73" s="875"/>
      <c r="R73" s="875"/>
      <c r="S73" s="875"/>
      <c r="T73" s="875"/>
      <c r="U73" s="875"/>
      <c r="V73" s="875"/>
      <c r="W73" s="875"/>
      <c r="X73" s="875"/>
      <c r="Y73" s="875"/>
      <c r="Z73" s="875"/>
    </row>
    <row r="74" spans="1:26" ht="19.5" hidden="1">
      <c r="A74" s="993"/>
      <c r="B74" s="883"/>
      <c r="C74" s="999"/>
      <c r="D74" s="883"/>
      <c r="E74" s="884" t="s">
        <v>19</v>
      </c>
      <c r="F74" s="883"/>
      <c r="G74" s="994"/>
      <c r="H74" s="169" t="s">
        <v>12</v>
      </c>
      <c r="I74" s="1000"/>
      <c r="J74" s="1000"/>
      <c r="K74" s="1001"/>
      <c r="L74" s="887">
        <f ca="1">IFERROR(__xludf.DUMMYFUNCTION("IMPORTRANGE(""https://docs.google.com/spreadsheets/d/1MeEWN-I1oV_STSDYn1IFDPWt_1FKiwhDph83XaGc0o0/edit?usp=sharing"",""งบพรบ!AJ75"")"),0)</f>
        <v>0</v>
      </c>
      <c r="M74" s="887">
        <f ca="1">IFERROR(__xludf.DUMMYFUNCTION("IMPORTRANGE(""https://docs.google.com/spreadsheets/d/1MeEWN-I1oV_STSDYn1IFDPWt_1FKiwhDph83XaGc0o0/edit?usp=sharing"",""งบพรบ!AM75"")"),0)</f>
        <v>0</v>
      </c>
      <c r="N74" s="887">
        <f ca="1">IFERROR(__xludf.DUMMYFUNCTION("IMPORTRANGE(""https://docs.google.com/spreadsheets/d/1MeEWN-I1oV_STSDYn1IFDPWt_1FKiwhDph83XaGc0o0/edit?usp=sharing"",""งบพรบ!AO75"")"),0)</f>
        <v>0</v>
      </c>
      <c r="O74" s="887">
        <f t="shared" ca="1" si="40"/>
        <v>0</v>
      </c>
      <c r="P74" s="887">
        <f t="shared" ca="1" si="41"/>
        <v>0</v>
      </c>
      <c r="Q74" s="875"/>
      <c r="R74" s="875"/>
      <c r="S74" s="875"/>
      <c r="T74" s="875"/>
      <c r="U74" s="875"/>
      <c r="V74" s="875"/>
      <c r="W74" s="875"/>
      <c r="X74" s="875"/>
      <c r="Y74" s="875"/>
      <c r="Z74" s="875"/>
    </row>
    <row r="75" spans="1:26" ht="19.5">
      <c r="A75" s="1002"/>
      <c r="B75" s="1003"/>
      <c r="C75" s="999" t="s">
        <v>16</v>
      </c>
      <c r="D75" s="1004" t="s">
        <v>38</v>
      </c>
      <c r="E75" s="1005"/>
      <c r="F75" s="1005"/>
      <c r="G75" s="1006"/>
      <c r="H75" s="1007"/>
      <c r="I75" s="997"/>
      <c r="J75" s="997"/>
      <c r="K75" s="998"/>
      <c r="L75" s="998"/>
      <c r="M75" s="998"/>
      <c r="N75" s="998"/>
      <c r="O75" s="998"/>
      <c r="P75" s="998"/>
    </row>
    <row r="76" spans="1:26" ht="19.5">
      <c r="A76" s="1002"/>
      <c r="B76" s="1003"/>
      <c r="C76" s="1003"/>
      <c r="D76" s="1008" t="s">
        <v>39</v>
      </c>
      <c r="E76" s="1009"/>
      <c r="F76" s="1010"/>
      <c r="G76" s="1011"/>
      <c r="H76" s="180" t="s">
        <v>34</v>
      </c>
      <c r="I76" s="880">
        <f t="shared" ref="I76:J77" ca="1" si="45">I78+I80+I82</f>
        <v>1</v>
      </c>
      <c r="J76" s="880">
        <f t="shared" si="45"/>
        <v>1</v>
      </c>
      <c r="K76" s="998">
        <f t="shared" ref="K76:K84" ca="1" si="46">IF(I76&gt;0,J76*100/I76,0)</f>
        <v>100</v>
      </c>
      <c r="L76" s="998"/>
      <c r="M76" s="998"/>
      <c r="N76" s="998"/>
      <c r="O76" s="998"/>
      <c r="P76" s="998"/>
    </row>
    <row r="77" spans="1:26" ht="19.5">
      <c r="A77" s="1002"/>
      <c r="B77" s="1003"/>
      <c r="C77" s="1003"/>
      <c r="D77" s="1003"/>
      <c r="E77" s="1010"/>
      <c r="F77" s="1010"/>
      <c r="G77" s="1011"/>
      <c r="H77" s="180" t="s">
        <v>35</v>
      </c>
      <c r="I77" s="880">
        <f t="shared" ca="1" si="45"/>
        <v>30</v>
      </c>
      <c r="J77" s="880">
        <f t="shared" si="45"/>
        <v>30</v>
      </c>
      <c r="K77" s="998">
        <f t="shared" ca="1" si="46"/>
        <v>100</v>
      </c>
      <c r="L77" s="998"/>
      <c r="M77" s="998"/>
      <c r="N77" s="998"/>
      <c r="O77" s="998"/>
      <c r="P77" s="998"/>
    </row>
    <row r="78" spans="1:26" ht="18.75">
      <c r="A78" s="1002"/>
      <c r="B78" s="1003"/>
      <c r="C78" s="1003"/>
      <c r="D78" s="1003"/>
      <c r="E78" s="1009" t="s">
        <v>40</v>
      </c>
      <c r="F78" s="1009"/>
      <c r="G78" s="1011"/>
      <c r="H78" s="762" t="s">
        <v>34</v>
      </c>
      <c r="I78" s="997">
        <f ca="1">IFERROR(__xludf.DUMMYFUNCTION("IMPORTRANGE(""https://docs.google.com/spreadsheets/d/1QqKyyYR6Q21VydFLVH3TRQUabQu_ym0Zz7PgGX0-kHA/edit?usp=sharing"",""แผน!H75"")"),0)</f>
        <v>0</v>
      </c>
      <c r="J78" s="1012">
        <v>0</v>
      </c>
      <c r="K78" s="998">
        <f t="shared" ca="1" si="46"/>
        <v>0</v>
      </c>
      <c r="L78" s="998"/>
      <c r="M78" s="998"/>
      <c r="N78" s="998"/>
      <c r="O78" s="998"/>
      <c r="P78" s="998"/>
    </row>
    <row r="79" spans="1:26" ht="18.75">
      <c r="A79" s="1002"/>
      <c r="B79" s="1003"/>
      <c r="C79" s="1003"/>
      <c r="D79" s="1003"/>
      <c r="E79" s="1010"/>
      <c r="F79" s="1010"/>
      <c r="G79" s="1011"/>
      <c r="H79" s="762" t="s">
        <v>35</v>
      </c>
      <c r="I79" s="997">
        <f ca="1">IFERROR(__xludf.DUMMYFUNCTION("IMPORTRANGE(""https://docs.google.com/spreadsheets/d/1QqKyyYR6Q21VydFLVH3TRQUabQu_ym0Zz7PgGX0-kHA/edit?usp=sharing"",""แผน!I75"")"),0)</f>
        <v>0</v>
      </c>
      <c r="J79" s="1012">
        <v>0</v>
      </c>
      <c r="K79" s="998">
        <f t="shared" ca="1" si="46"/>
        <v>0</v>
      </c>
      <c r="L79" s="998"/>
      <c r="M79" s="998"/>
      <c r="N79" s="998"/>
      <c r="O79" s="998"/>
      <c r="P79" s="998"/>
    </row>
    <row r="80" spans="1:26" ht="18.75">
      <c r="A80" s="1002"/>
      <c r="B80" s="1003"/>
      <c r="C80" s="1003"/>
      <c r="D80" s="1003"/>
      <c r="E80" s="1009" t="s">
        <v>41</v>
      </c>
      <c r="F80" s="1009"/>
      <c r="G80" s="1011"/>
      <c r="H80" s="762" t="s">
        <v>34</v>
      </c>
      <c r="I80" s="997">
        <f ca="1">IFERROR(__xludf.DUMMYFUNCTION("IMPORTRANGE(""https://docs.google.com/spreadsheets/d/1QqKyyYR6Q21VydFLVH3TRQUabQu_ym0Zz7PgGX0-kHA/edit?usp=sharing"",""แผน!F75"")"),0)</f>
        <v>0</v>
      </c>
      <c r="J80" s="1012">
        <v>0</v>
      </c>
      <c r="K80" s="998">
        <f t="shared" ca="1" si="46"/>
        <v>0</v>
      </c>
      <c r="L80" s="998"/>
      <c r="M80" s="998"/>
      <c r="N80" s="998"/>
      <c r="O80" s="998"/>
      <c r="P80" s="998"/>
    </row>
    <row r="81" spans="1:26" ht="18.75">
      <c r="A81" s="1002"/>
      <c r="B81" s="1003"/>
      <c r="C81" s="1003"/>
      <c r="D81" s="1003"/>
      <c r="E81" s="1010"/>
      <c r="F81" s="1010"/>
      <c r="G81" s="1011"/>
      <c r="H81" s="762" t="s">
        <v>35</v>
      </c>
      <c r="I81" s="997">
        <f ca="1">IFERROR(__xludf.DUMMYFUNCTION("IMPORTRANGE(""https://docs.google.com/spreadsheets/d/1QqKyyYR6Q21VydFLVH3TRQUabQu_ym0Zz7PgGX0-kHA/edit?usp=sharing"",""แผน!G75"")"),0)</f>
        <v>0</v>
      </c>
      <c r="J81" s="1012">
        <v>0</v>
      </c>
      <c r="K81" s="998">
        <f t="shared" ca="1" si="46"/>
        <v>0</v>
      </c>
      <c r="L81" s="998"/>
      <c r="M81" s="998"/>
      <c r="N81" s="998"/>
      <c r="O81" s="998"/>
      <c r="P81" s="998"/>
    </row>
    <row r="82" spans="1:26" ht="18.75">
      <c r="A82" s="1002"/>
      <c r="B82" s="1003"/>
      <c r="C82" s="1003"/>
      <c r="D82" s="1003"/>
      <c r="E82" s="1009" t="s">
        <v>42</v>
      </c>
      <c r="F82" s="1009"/>
      <c r="G82" s="1011"/>
      <c r="H82" s="762" t="s">
        <v>34</v>
      </c>
      <c r="I82" s="997">
        <f ca="1">IFERROR(__xludf.DUMMYFUNCTION("IMPORTRANGE(""https://docs.google.com/spreadsheets/d/1QqKyyYR6Q21VydFLVH3TRQUabQu_ym0Zz7PgGX0-kHA/edit?usp=sharing"",""แผน!D75"")"),1)</f>
        <v>1</v>
      </c>
      <c r="J82" s="1012">
        <v>1</v>
      </c>
      <c r="K82" s="998">
        <f t="shared" ca="1" si="46"/>
        <v>100</v>
      </c>
      <c r="L82" s="998"/>
      <c r="M82" s="998"/>
      <c r="N82" s="998"/>
      <c r="O82" s="998"/>
      <c r="P82" s="998"/>
    </row>
    <row r="83" spans="1:26" ht="18.75">
      <c r="A83" s="1002"/>
      <c r="B83" s="1003"/>
      <c r="C83" s="1003"/>
      <c r="D83" s="1003"/>
      <c r="E83" s="1010"/>
      <c r="F83" s="1010"/>
      <c r="G83" s="1011"/>
      <c r="H83" s="762" t="s">
        <v>35</v>
      </c>
      <c r="I83" s="997">
        <f ca="1">IFERROR(__xludf.DUMMYFUNCTION("IMPORTRANGE(""https://docs.google.com/spreadsheets/d/1QqKyyYR6Q21VydFLVH3TRQUabQu_ym0Zz7PgGX0-kHA/edit?usp=sharing"",""แผน!E75"")"),30)</f>
        <v>30</v>
      </c>
      <c r="J83" s="1012">
        <v>30</v>
      </c>
      <c r="K83" s="998">
        <f t="shared" ca="1" si="46"/>
        <v>100</v>
      </c>
      <c r="L83" s="998"/>
      <c r="M83" s="998"/>
      <c r="N83" s="998"/>
      <c r="O83" s="998"/>
      <c r="P83" s="998"/>
    </row>
    <row r="84" spans="1:26" ht="18.75">
      <c r="A84" s="1002"/>
      <c r="B84" s="1003"/>
      <c r="C84" s="1003"/>
      <c r="D84" s="1008" t="s">
        <v>43</v>
      </c>
      <c r="E84" s="1009"/>
      <c r="F84" s="1010"/>
      <c r="G84" s="1011"/>
      <c r="H84" s="185" t="s">
        <v>34</v>
      </c>
      <c r="I84" s="997">
        <f ca="1">IFERROR(__xludf.DUMMYFUNCTION("IMPORTRANGE(""https://docs.google.com/spreadsheets/d/1QqKyyYR6Q21VydFLVH3TRQUabQu_ym0Zz7PgGX0-kHA/edit?usp=sharing"",""แผน!J75"")"),1)</f>
        <v>1</v>
      </c>
      <c r="J84" s="1012">
        <v>0</v>
      </c>
      <c r="K84" s="998">
        <f t="shared" ca="1" si="46"/>
        <v>0</v>
      </c>
      <c r="L84" s="998"/>
      <c r="M84" s="998"/>
      <c r="N84" s="998"/>
      <c r="O84" s="998"/>
      <c r="P84" s="998"/>
    </row>
    <row r="85" spans="1:26" ht="19.5">
      <c r="A85" s="970" t="s">
        <v>44</v>
      </c>
      <c r="B85" s="971"/>
      <c r="C85" s="972"/>
      <c r="D85" s="971"/>
      <c r="E85" s="971"/>
      <c r="F85" s="971"/>
      <c r="G85" s="973"/>
      <c r="H85" s="974"/>
      <c r="I85" s="975"/>
      <c r="J85" s="975"/>
      <c r="K85" s="976"/>
      <c r="L85" s="976"/>
      <c r="M85" s="976"/>
      <c r="N85" s="976"/>
      <c r="O85" s="976"/>
      <c r="P85" s="976"/>
    </row>
    <row r="86" spans="1:26" ht="19.5">
      <c r="A86" s="977"/>
      <c r="B86" s="978" t="s">
        <v>45</v>
      </c>
      <c r="C86" s="979"/>
      <c r="D86" s="980"/>
      <c r="E86" s="979"/>
      <c r="F86" s="979"/>
      <c r="G86" s="981"/>
      <c r="H86" s="205" t="s">
        <v>46</v>
      </c>
      <c r="I86" s="982">
        <f t="shared" ref="I86:J87" ca="1" si="47">I98</f>
        <v>30</v>
      </c>
      <c r="J86" s="982">
        <f t="shared" si="47"/>
        <v>30</v>
      </c>
      <c r="K86" s="983">
        <f t="shared" ref="K86:K87" ca="1" si="48">IF(I86&gt;0,J86*100/I86,0)</f>
        <v>100</v>
      </c>
      <c r="L86" s="984"/>
      <c r="M86" s="984"/>
      <c r="N86" s="984"/>
      <c r="O86" s="984"/>
      <c r="P86" s="984"/>
    </row>
    <row r="87" spans="1:26" ht="19.5">
      <c r="A87" s="977"/>
      <c r="B87" s="979"/>
      <c r="C87" s="979"/>
      <c r="D87" s="980"/>
      <c r="E87" s="979"/>
      <c r="F87" s="979"/>
      <c r="G87" s="981"/>
      <c r="H87" s="205" t="s">
        <v>35</v>
      </c>
      <c r="I87" s="982">
        <f t="shared" ca="1" si="47"/>
        <v>10</v>
      </c>
      <c r="J87" s="982">
        <f t="shared" si="47"/>
        <v>10</v>
      </c>
      <c r="K87" s="983">
        <f t="shared" ca="1" si="48"/>
        <v>100</v>
      </c>
      <c r="L87" s="984"/>
      <c r="M87" s="984"/>
      <c r="N87" s="984"/>
      <c r="O87" s="984"/>
      <c r="P87" s="984"/>
    </row>
    <row r="88" spans="1:26" ht="19.5">
      <c r="A88" s="985"/>
      <c r="B88" s="986"/>
      <c r="C88" s="987" t="s">
        <v>16</v>
      </c>
      <c r="D88" s="988" t="s">
        <v>17</v>
      </c>
      <c r="E88" s="986"/>
      <c r="F88" s="986"/>
      <c r="G88" s="989"/>
      <c r="H88" s="152" t="s">
        <v>12</v>
      </c>
      <c r="I88" s="990"/>
      <c r="J88" s="990"/>
      <c r="K88" s="991"/>
      <c r="L88" s="992">
        <f t="shared" ref="L88:N88" ca="1" si="49">L89+L90</f>
        <v>85840</v>
      </c>
      <c r="M88" s="992">
        <f t="shared" ca="1" si="49"/>
        <v>79140</v>
      </c>
      <c r="N88" s="992">
        <f t="shared" ca="1" si="49"/>
        <v>43373</v>
      </c>
      <c r="O88" s="992">
        <f t="shared" ref="O88:O96" ca="1" si="50">IF(L88&gt;0,N88*100/L88,0)</f>
        <v>50.527726001863932</v>
      </c>
      <c r="P88" s="992">
        <f t="shared" ref="P88:P96" ca="1" si="51">IF(M88&gt;0,N88*100/M88,0)</f>
        <v>54.80540813747789</v>
      </c>
      <c r="Q88" s="868"/>
      <c r="R88" s="868"/>
      <c r="S88" s="868"/>
      <c r="T88" s="868"/>
      <c r="U88" s="868"/>
      <c r="V88" s="868"/>
      <c r="W88" s="868"/>
      <c r="X88" s="868"/>
      <c r="Y88" s="868"/>
      <c r="Z88" s="868"/>
    </row>
    <row r="89" spans="1:26" ht="18.75" hidden="1">
      <c r="A89" s="993"/>
      <c r="B89" s="883"/>
      <c r="C89" s="883"/>
      <c r="D89" s="883"/>
      <c r="E89" s="884" t="s">
        <v>18</v>
      </c>
      <c r="F89" s="883"/>
      <c r="G89" s="994"/>
      <c r="H89" s="158" t="s">
        <v>12</v>
      </c>
      <c r="I89" s="886"/>
      <c r="J89" s="886"/>
      <c r="K89" s="887"/>
      <c r="L89" s="887">
        <f t="shared" ref="L89:N90" si="52">L92+L95</f>
        <v>0</v>
      </c>
      <c r="M89" s="887">
        <f t="shared" si="52"/>
        <v>0</v>
      </c>
      <c r="N89" s="887">
        <f t="shared" si="52"/>
        <v>0</v>
      </c>
      <c r="O89" s="887">
        <f t="shared" si="50"/>
        <v>0</v>
      </c>
      <c r="P89" s="887">
        <f t="shared" si="51"/>
        <v>0</v>
      </c>
      <c r="Q89" s="875"/>
      <c r="R89" s="875"/>
      <c r="S89" s="875"/>
      <c r="T89" s="875"/>
      <c r="U89" s="875"/>
      <c r="V89" s="875"/>
      <c r="W89" s="875"/>
      <c r="X89" s="875"/>
      <c r="Y89" s="875"/>
      <c r="Z89" s="875"/>
    </row>
    <row r="90" spans="1:26" ht="18.75" hidden="1">
      <c r="A90" s="993"/>
      <c r="B90" s="883"/>
      <c r="C90" s="883"/>
      <c r="D90" s="883"/>
      <c r="E90" s="884" t="s">
        <v>19</v>
      </c>
      <c r="F90" s="883"/>
      <c r="G90" s="994"/>
      <c r="H90" s="158" t="s">
        <v>12</v>
      </c>
      <c r="I90" s="886"/>
      <c r="J90" s="886"/>
      <c r="K90" s="887"/>
      <c r="L90" s="887">
        <f t="shared" ca="1" si="52"/>
        <v>85840</v>
      </c>
      <c r="M90" s="887">
        <f t="shared" ca="1" si="52"/>
        <v>79140</v>
      </c>
      <c r="N90" s="887">
        <f t="shared" ca="1" si="52"/>
        <v>43373</v>
      </c>
      <c r="O90" s="887">
        <f t="shared" ca="1" si="50"/>
        <v>50.527726001863932</v>
      </c>
      <c r="P90" s="887">
        <f t="shared" ca="1" si="51"/>
        <v>54.80540813747789</v>
      </c>
      <c r="Q90" s="875"/>
      <c r="R90" s="875"/>
      <c r="S90" s="875"/>
      <c r="T90" s="875"/>
      <c r="U90" s="875"/>
      <c r="V90" s="875"/>
      <c r="W90" s="875"/>
      <c r="X90" s="875"/>
      <c r="Y90" s="875"/>
      <c r="Z90" s="875"/>
    </row>
    <row r="91" spans="1:26" ht="18.75">
      <c r="A91" s="995"/>
      <c r="B91" s="877"/>
      <c r="C91" s="996"/>
      <c r="D91" s="878" t="s">
        <v>20</v>
      </c>
      <c r="E91" s="877"/>
      <c r="F91" s="877"/>
      <c r="G91" s="879"/>
      <c r="H91" s="161" t="s">
        <v>12</v>
      </c>
      <c r="I91" s="997"/>
      <c r="J91" s="997"/>
      <c r="K91" s="998"/>
      <c r="L91" s="881">
        <f t="shared" ref="L91:N91" ca="1" si="53">L92+L93</f>
        <v>85840</v>
      </c>
      <c r="M91" s="881">
        <f t="shared" ca="1" si="53"/>
        <v>79140</v>
      </c>
      <c r="N91" s="881">
        <f t="shared" ca="1" si="53"/>
        <v>43373</v>
      </c>
      <c r="O91" s="881">
        <f t="shared" ca="1" si="50"/>
        <v>50.527726001863932</v>
      </c>
      <c r="P91" s="881">
        <f t="shared" ca="1" si="51"/>
        <v>54.80540813747789</v>
      </c>
      <c r="Q91" s="868"/>
      <c r="R91" s="868"/>
      <c r="S91" s="868"/>
      <c r="T91" s="868"/>
      <c r="U91" s="868"/>
      <c r="V91" s="868"/>
      <c r="W91" s="868"/>
      <c r="X91" s="868"/>
      <c r="Y91" s="868"/>
      <c r="Z91" s="868"/>
    </row>
    <row r="92" spans="1:26" ht="19.5" hidden="1">
      <c r="A92" s="993"/>
      <c r="B92" s="883"/>
      <c r="C92" s="999"/>
      <c r="D92" s="883"/>
      <c r="E92" s="884" t="s">
        <v>36</v>
      </c>
      <c r="F92" s="883"/>
      <c r="G92" s="994"/>
      <c r="H92" s="165" t="s">
        <v>12</v>
      </c>
      <c r="I92" s="1000"/>
      <c r="J92" s="1000"/>
      <c r="K92" s="1001"/>
      <c r="L92" s="887">
        <v>0</v>
      </c>
      <c r="M92" s="887">
        <v>0</v>
      </c>
      <c r="N92" s="887">
        <v>0</v>
      </c>
      <c r="O92" s="887">
        <f t="shared" si="50"/>
        <v>0</v>
      </c>
      <c r="P92" s="887">
        <f t="shared" si="51"/>
        <v>0</v>
      </c>
      <c r="Q92" s="875"/>
      <c r="R92" s="875"/>
      <c r="S92" s="875"/>
      <c r="T92" s="875"/>
      <c r="U92" s="875"/>
      <c r="V92" s="875"/>
      <c r="W92" s="875"/>
      <c r="X92" s="875"/>
      <c r="Y92" s="875"/>
      <c r="Z92" s="875"/>
    </row>
    <row r="93" spans="1:26" ht="19.5" hidden="1">
      <c r="A93" s="993"/>
      <c r="B93" s="883"/>
      <c r="C93" s="999"/>
      <c r="D93" s="883"/>
      <c r="E93" s="884" t="s">
        <v>37</v>
      </c>
      <c r="F93" s="883"/>
      <c r="G93" s="994"/>
      <c r="H93" s="165" t="s">
        <v>12</v>
      </c>
      <c r="I93" s="1000"/>
      <c r="J93" s="1000"/>
      <c r="K93" s="1001"/>
      <c r="L93" s="887">
        <f ca="1">IFERROR(__xludf.DUMMYFUNCTION("IMPORTRANGE(""https://docs.google.com/spreadsheets/d/1MeEWN-I1oV_STSDYn1IFDPWt_1FKiwhDph83XaGc0o0/edit?usp=sharing"",""งบพรบ!AQ75"")"),85840)</f>
        <v>85840</v>
      </c>
      <c r="M93" s="887">
        <f ca="1">IFERROR(__xludf.DUMMYFUNCTION("IMPORTRANGE(""https://docs.google.com/spreadsheets/d/1MeEWN-I1oV_STSDYn1IFDPWt_1FKiwhDph83XaGc0o0/edit?usp=sharing"",""งบพรบ!AV75"")"),79140)</f>
        <v>79140</v>
      </c>
      <c r="N93" s="887">
        <f ca="1">IFERROR(__xludf.DUMMYFUNCTION("IMPORTRANGE(""https://docs.google.com/spreadsheets/d/1MeEWN-I1oV_STSDYn1IFDPWt_1FKiwhDph83XaGc0o0/edit?usp=sharing"",""งบพรบ!AX75"")"),43373)</f>
        <v>43373</v>
      </c>
      <c r="O93" s="887">
        <f t="shared" ca="1" si="50"/>
        <v>50.527726001863932</v>
      </c>
      <c r="P93" s="887">
        <f t="shared" ca="1" si="51"/>
        <v>54.80540813747789</v>
      </c>
      <c r="Q93" s="875"/>
      <c r="R93" s="875"/>
      <c r="S93" s="875"/>
      <c r="T93" s="875"/>
      <c r="U93" s="875"/>
      <c r="V93" s="875"/>
      <c r="W93" s="875"/>
      <c r="X93" s="875"/>
      <c r="Y93" s="875"/>
      <c r="Z93" s="875"/>
    </row>
    <row r="94" spans="1:26" ht="18.75">
      <c r="A94" s="995"/>
      <c r="B94" s="877"/>
      <c r="C94" s="996"/>
      <c r="D94" s="878" t="s">
        <v>21</v>
      </c>
      <c r="E94" s="877"/>
      <c r="F94" s="877"/>
      <c r="G94" s="879"/>
      <c r="H94" s="168" t="s">
        <v>12</v>
      </c>
      <c r="I94" s="997"/>
      <c r="J94" s="997"/>
      <c r="K94" s="998"/>
      <c r="L94" s="881">
        <f t="shared" ref="L94:N94" ca="1" si="54">L95+L96</f>
        <v>0</v>
      </c>
      <c r="M94" s="881">
        <f t="shared" ca="1" si="54"/>
        <v>0</v>
      </c>
      <c r="N94" s="881">
        <f t="shared" ca="1" si="54"/>
        <v>0</v>
      </c>
      <c r="O94" s="881">
        <f t="shared" ca="1" si="50"/>
        <v>0</v>
      </c>
      <c r="P94" s="881">
        <f t="shared" ca="1" si="51"/>
        <v>0</v>
      </c>
      <c r="Q94" s="868"/>
      <c r="R94" s="868"/>
      <c r="S94" s="868"/>
      <c r="T94" s="868"/>
      <c r="U94" s="868"/>
      <c r="V94" s="868"/>
      <c r="W94" s="868"/>
      <c r="X94" s="868"/>
      <c r="Y94" s="868"/>
      <c r="Z94" s="868"/>
    </row>
    <row r="95" spans="1:26" ht="19.5" hidden="1">
      <c r="A95" s="993"/>
      <c r="B95" s="883"/>
      <c r="C95" s="999"/>
      <c r="D95" s="883"/>
      <c r="E95" s="884" t="s">
        <v>18</v>
      </c>
      <c r="F95" s="883"/>
      <c r="G95" s="994"/>
      <c r="H95" s="165" t="s">
        <v>12</v>
      </c>
      <c r="I95" s="1000"/>
      <c r="J95" s="1000"/>
      <c r="K95" s="1001"/>
      <c r="L95" s="887">
        <v>0</v>
      </c>
      <c r="M95" s="887">
        <v>0</v>
      </c>
      <c r="N95" s="887">
        <v>0</v>
      </c>
      <c r="O95" s="887">
        <f t="shared" si="50"/>
        <v>0</v>
      </c>
      <c r="P95" s="887">
        <f t="shared" si="51"/>
        <v>0</v>
      </c>
      <c r="Q95" s="875"/>
      <c r="R95" s="875"/>
      <c r="S95" s="875"/>
      <c r="T95" s="875"/>
      <c r="U95" s="875"/>
      <c r="V95" s="875"/>
      <c r="W95" s="875"/>
      <c r="X95" s="875"/>
      <c r="Y95" s="875"/>
      <c r="Z95" s="875"/>
    </row>
    <row r="96" spans="1:26" ht="19.5" hidden="1">
      <c r="A96" s="993"/>
      <c r="B96" s="883"/>
      <c r="C96" s="999"/>
      <c r="D96" s="883"/>
      <c r="E96" s="884" t="s">
        <v>19</v>
      </c>
      <c r="F96" s="883"/>
      <c r="G96" s="994"/>
      <c r="H96" s="169" t="s">
        <v>12</v>
      </c>
      <c r="I96" s="1000"/>
      <c r="J96" s="1000"/>
      <c r="K96" s="1001"/>
      <c r="L96" s="887">
        <f ca="1">IFERROR(__xludf.DUMMYFUNCTION("IMPORTRANGE(""https://docs.google.com/spreadsheets/d/1MeEWN-I1oV_STSDYn1IFDPWt_1FKiwhDph83XaGc0o0/edit?usp=sharing"",""งบพรบ!AT75"")"),0)</f>
        <v>0</v>
      </c>
      <c r="M96" s="887">
        <f ca="1">IFERROR(__xludf.DUMMYFUNCTION("IMPORTRANGE(""https://docs.google.com/spreadsheets/d/1MeEWN-I1oV_STSDYn1IFDPWt_1FKiwhDph83XaGc0o0/edit?usp=sharing"",""งบพรบ!AW75"")"),0)</f>
        <v>0</v>
      </c>
      <c r="N96" s="887">
        <f ca="1">IFERROR(__xludf.DUMMYFUNCTION("IMPORTRANGE(""https://docs.google.com/spreadsheets/d/1MeEWN-I1oV_STSDYn1IFDPWt_1FKiwhDph83XaGc0o0/edit?usp=sharing"",""งบพรบ!AY75"")"),0)</f>
        <v>0</v>
      </c>
      <c r="O96" s="887">
        <f t="shared" ca="1" si="50"/>
        <v>0</v>
      </c>
      <c r="P96" s="887">
        <f t="shared" ca="1" si="51"/>
        <v>0</v>
      </c>
      <c r="Q96" s="875"/>
      <c r="R96" s="875"/>
      <c r="S96" s="875"/>
      <c r="T96" s="875"/>
      <c r="U96" s="875"/>
      <c r="V96" s="875"/>
      <c r="W96" s="875"/>
      <c r="X96" s="875"/>
      <c r="Y96" s="875"/>
      <c r="Z96" s="875"/>
    </row>
    <row r="97" spans="1:16" ht="19.5">
      <c r="A97" s="1002"/>
      <c r="B97" s="1003"/>
      <c r="C97" s="999" t="s">
        <v>16</v>
      </c>
      <c r="D97" s="1004" t="s">
        <v>38</v>
      </c>
      <c r="E97" s="1005"/>
      <c r="F97" s="1005"/>
      <c r="G97" s="1006"/>
      <c r="H97" s="1007"/>
      <c r="I97" s="997"/>
      <c r="J97" s="880"/>
      <c r="K97" s="881"/>
      <c r="L97" s="881"/>
      <c r="M97" s="881"/>
      <c r="N97" s="881"/>
      <c r="O97" s="998"/>
      <c r="P97" s="998"/>
    </row>
    <row r="98" spans="1:16" ht="18.75">
      <c r="A98" s="1002"/>
      <c r="B98" s="1003"/>
      <c r="C98" s="1003"/>
      <c r="D98" s="1009" t="s">
        <v>47</v>
      </c>
      <c r="E98" s="1009"/>
      <c r="F98" s="1010"/>
      <c r="G98" s="1011"/>
      <c r="H98" s="622" t="s">
        <v>46</v>
      </c>
      <c r="I98" s="880">
        <f ca="1">IFERROR(__xludf.DUMMYFUNCTION("IMPORTRANGE(""https://docs.google.com/spreadsheets/d/1QqKyyYR6Q21VydFLVH3TRQUabQu_ym0Zz7PgGX0-kHA/edit?usp=sharing"",""แผน!K75"")"),30)</f>
        <v>30</v>
      </c>
      <c r="J98" s="880">
        <f>J102</f>
        <v>30</v>
      </c>
      <c r="K98" s="881">
        <f t="shared" ref="K98:K100" ca="1" si="55">IF(I98&gt;0,J98*100/I98,0)</f>
        <v>100</v>
      </c>
      <c r="L98" s="881"/>
      <c r="M98" s="881"/>
      <c r="N98" s="881"/>
      <c r="O98" s="998"/>
      <c r="P98" s="998"/>
    </row>
    <row r="99" spans="1:16" ht="18.75">
      <c r="A99" s="1002"/>
      <c r="B99" s="1003"/>
      <c r="C99" s="1003"/>
      <c r="D99" s="1009" t="s">
        <v>48</v>
      </c>
      <c r="E99" s="1009"/>
      <c r="F99" s="1010"/>
      <c r="G99" s="1011"/>
      <c r="H99" s="622" t="s">
        <v>35</v>
      </c>
      <c r="I99" s="880">
        <f ca="1">IFERROR(__xludf.DUMMYFUNCTION("IMPORTRANGE(""https://docs.google.com/spreadsheets/d/1QqKyyYR6Q21VydFLVH3TRQUabQu_ym0Zz7PgGX0-kHA/edit?usp=sharing"",""แผน!L75"")"),10)</f>
        <v>10</v>
      </c>
      <c r="J99" s="880">
        <f>J104</f>
        <v>10</v>
      </c>
      <c r="K99" s="881">
        <f t="shared" ca="1" si="55"/>
        <v>100</v>
      </c>
      <c r="L99" s="881"/>
      <c r="M99" s="881"/>
      <c r="N99" s="881"/>
      <c r="O99" s="998"/>
      <c r="P99" s="998"/>
    </row>
    <row r="100" spans="1:16" ht="18.75">
      <c r="A100" s="1002"/>
      <c r="B100" s="1003"/>
      <c r="C100" s="1003"/>
      <c r="D100" s="1003"/>
      <c r="E100" s="1010"/>
      <c r="F100" s="1010"/>
      <c r="G100" s="1011"/>
      <c r="H100" s="622" t="s">
        <v>49</v>
      </c>
      <c r="I100" s="880">
        <f ca="1">IFERROR(__xludf.DUMMYFUNCTION("IMPORTRANGE(""https://docs.google.com/spreadsheets/d/1QqKyyYR6Q21VydFLVH3TRQUabQu_ym0Zz7PgGX0-kHA/edit?usp=sharing"",""แผน!M75"")"),2)</f>
        <v>2</v>
      </c>
      <c r="J100" s="880">
        <f>J107+J110</f>
        <v>2</v>
      </c>
      <c r="K100" s="881">
        <f t="shared" ca="1" si="55"/>
        <v>100</v>
      </c>
      <c r="L100" s="881"/>
      <c r="M100" s="881"/>
      <c r="N100" s="881"/>
      <c r="O100" s="998"/>
      <c r="P100" s="998"/>
    </row>
    <row r="101" spans="1:16" ht="19.5">
      <c r="A101" s="1002"/>
      <c r="B101" s="1003"/>
      <c r="C101" s="1003"/>
      <c r="D101" s="1010"/>
      <c r="E101" s="1013" t="s">
        <v>50</v>
      </c>
      <c r="F101" s="1010"/>
      <c r="G101" s="1011"/>
      <c r="H101" s="622"/>
      <c r="I101" s="880"/>
      <c r="J101" s="880"/>
      <c r="K101" s="881"/>
      <c r="L101" s="881"/>
      <c r="M101" s="881"/>
      <c r="N101" s="881"/>
      <c r="O101" s="998"/>
      <c r="P101" s="998"/>
    </row>
    <row r="102" spans="1:16" ht="18.75">
      <c r="A102" s="1002"/>
      <c r="B102" s="1003"/>
      <c r="C102" s="1003"/>
      <c r="D102" s="1010"/>
      <c r="E102" s="1014" t="s">
        <v>47</v>
      </c>
      <c r="F102" s="1010"/>
      <c r="G102" s="1011"/>
      <c r="H102" s="622" t="s">
        <v>46</v>
      </c>
      <c r="I102" s="880">
        <f ca="1">IFERROR(__xludf.DUMMYFUNCTION("IMPORTRANGE(""https://docs.google.com/spreadsheets/d/1QqKyyYR6Q21VydFLVH3TRQUabQu_ym0Zz7PgGX0-kHA/edit?usp=sharing"",""แผน!N75"")"),30)</f>
        <v>30</v>
      </c>
      <c r="J102" s="1012">
        <v>30</v>
      </c>
      <c r="K102" s="881">
        <f t="shared" ref="K102:K104" ca="1" si="56">IF(I102&gt;0,J102*100/I102,0)</f>
        <v>100</v>
      </c>
      <c r="L102" s="881"/>
      <c r="M102" s="881"/>
      <c r="N102" s="881"/>
      <c r="O102" s="998"/>
      <c r="P102" s="998"/>
    </row>
    <row r="103" spans="1:16" ht="19.5">
      <c r="A103" s="1002"/>
      <c r="B103" s="1003"/>
      <c r="C103" s="1003"/>
      <c r="D103" s="1010"/>
      <c r="E103" s="1009" t="s">
        <v>51</v>
      </c>
      <c r="F103" s="1010"/>
      <c r="G103" s="1011"/>
      <c r="H103" s="622" t="s">
        <v>35</v>
      </c>
      <c r="I103" s="880">
        <f ca="1">IFERROR(__xludf.DUMMYFUNCTION("IMPORTRANGE(""https://docs.google.com/spreadsheets/d/1QqKyyYR6Q21VydFLVH3TRQUabQu_ym0Zz7PgGX0-kHA/edit?usp=sharing"",""แผน!O75"")"),10)</f>
        <v>10</v>
      </c>
      <c r="J103" s="1012">
        <v>10</v>
      </c>
      <c r="K103" s="881">
        <f t="shared" ca="1" si="56"/>
        <v>100</v>
      </c>
      <c r="L103" s="881"/>
      <c r="M103" s="881"/>
      <c r="N103" s="881"/>
      <c r="O103" s="998"/>
      <c r="P103" s="998"/>
    </row>
    <row r="104" spans="1:16" ht="18.75">
      <c r="A104" s="1002"/>
      <c r="B104" s="1003"/>
      <c r="C104" s="1003"/>
      <c r="D104" s="1010"/>
      <c r="E104" s="1015" t="s">
        <v>52</v>
      </c>
      <c r="F104" s="1010"/>
      <c r="G104" s="1011"/>
      <c r="H104" s="622" t="s">
        <v>35</v>
      </c>
      <c r="I104" s="880">
        <f ca="1">IFERROR(__xludf.DUMMYFUNCTION("IMPORTRANGE(""https://docs.google.com/spreadsheets/d/1QqKyyYR6Q21VydFLVH3TRQUabQu_ym0Zz7PgGX0-kHA/edit?usp=sharing"",""แผน!O75"")"),10)</f>
        <v>10</v>
      </c>
      <c r="J104" s="1012">
        <v>10</v>
      </c>
      <c r="K104" s="881">
        <f t="shared" ca="1" si="56"/>
        <v>100</v>
      </c>
      <c r="L104" s="881"/>
      <c r="M104" s="881"/>
      <c r="N104" s="881"/>
      <c r="O104" s="998"/>
      <c r="P104" s="998"/>
    </row>
    <row r="105" spans="1:16" ht="19.5">
      <c r="A105" s="1002"/>
      <c r="B105" s="1003"/>
      <c r="C105" s="1003"/>
      <c r="D105" s="1010"/>
      <c r="E105" s="1013" t="s">
        <v>53</v>
      </c>
      <c r="F105" s="1010"/>
      <c r="G105" s="1011"/>
      <c r="H105" s="1016"/>
      <c r="I105" s="880"/>
      <c r="J105" s="880"/>
      <c r="K105" s="881"/>
      <c r="L105" s="881"/>
      <c r="M105" s="881"/>
      <c r="N105" s="881"/>
      <c r="O105" s="998"/>
      <c r="P105" s="998"/>
    </row>
    <row r="106" spans="1:16" ht="19.5">
      <c r="A106" s="1002"/>
      <c r="B106" s="1003"/>
      <c r="C106" s="1003"/>
      <c r="D106" s="1010"/>
      <c r="E106" s="1009" t="s">
        <v>54</v>
      </c>
      <c r="F106" s="1010"/>
      <c r="G106" s="1011"/>
      <c r="H106" s="622" t="s">
        <v>49</v>
      </c>
      <c r="I106" s="880">
        <f ca="1">IFERROR(__xludf.DUMMYFUNCTION("IMPORTRANGE(""https://docs.google.com/spreadsheets/d/1QqKyyYR6Q21VydFLVH3TRQUabQu_ym0Zz7PgGX0-kHA/edit?usp=sharing"",""แผน!P75"")"),1)</f>
        <v>1</v>
      </c>
      <c r="J106" s="1012">
        <v>1</v>
      </c>
      <c r="K106" s="881">
        <f t="shared" ref="K106:K107" ca="1" si="57">IF(I106&gt;0,J106*100/I106,0)</f>
        <v>100</v>
      </c>
      <c r="L106" s="881"/>
      <c r="M106" s="881"/>
      <c r="N106" s="881"/>
      <c r="O106" s="998"/>
      <c r="P106" s="998"/>
    </row>
    <row r="107" spans="1:16" ht="18.75">
      <c r="A107" s="1002"/>
      <c r="B107" s="1003"/>
      <c r="C107" s="1003"/>
      <c r="D107" s="1010"/>
      <c r="E107" s="1015" t="s">
        <v>55</v>
      </c>
      <c r="F107" s="1010"/>
      <c r="G107" s="1011"/>
      <c r="H107" s="622" t="s">
        <v>49</v>
      </c>
      <c r="I107" s="880">
        <f ca="1">IFERROR(__xludf.DUMMYFUNCTION("IMPORTRANGE(""https://docs.google.com/spreadsheets/d/1QqKyyYR6Q21VydFLVH3TRQUabQu_ym0Zz7PgGX0-kHA/edit?usp=sharing"",""แผน!P75"")"),1)</f>
        <v>1</v>
      </c>
      <c r="J107" s="1012">
        <v>1</v>
      </c>
      <c r="K107" s="881">
        <f t="shared" ca="1" si="57"/>
        <v>100</v>
      </c>
      <c r="L107" s="881"/>
      <c r="M107" s="881"/>
      <c r="N107" s="881"/>
      <c r="O107" s="998"/>
      <c r="P107" s="998"/>
    </row>
    <row r="108" spans="1:16" ht="19.5">
      <c r="A108" s="1002"/>
      <c r="B108" s="1003"/>
      <c r="C108" s="1003"/>
      <c r="D108" s="1010"/>
      <c r="E108" s="1013" t="s">
        <v>56</v>
      </c>
      <c r="F108" s="1010"/>
      <c r="G108" s="1011"/>
      <c r="H108" s="1016"/>
      <c r="I108" s="880"/>
      <c r="J108" s="880"/>
      <c r="K108" s="881"/>
      <c r="L108" s="881"/>
      <c r="M108" s="881"/>
      <c r="N108" s="881"/>
      <c r="O108" s="998"/>
      <c r="P108" s="998"/>
    </row>
    <row r="109" spans="1:16" ht="19.5">
      <c r="A109" s="1002"/>
      <c r="B109" s="1003"/>
      <c r="C109" s="1003"/>
      <c r="D109" s="1010"/>
      <c r="E109" s="1009" t="s">
        <v>57</v>
      </c>
      <c r="F109" s="1010"/>
      <c r="G109" s="1011"/>
      <c r="H109" s="622" t="s">
        <v>49</v>
      </c>
      <c r="I109" s="880">
        <f ca="1">IFERROR(__xludf.DUMMYFUNCTION("IMPORTRANGE(""https://docs.google.com/spreadsheets/d/1QqKyyYR6Q21VydFLVH3TRQUabQu_ym0Zz7PgGX0-kHA/edit?usp=sharing"",""แผน!Q75"")"),1)</f>
        <v>1</v>
      </c>
      <c r="J109" s="1012">
        <v>1</v>
      </c>
      <c r="K109" s="881">
        <f t="shared" ref="K109:K116" ca="1" si="58">IF(I109&gt;0,J109*100/I109,0)</f>
        <v>100</v>
      </c>
      <c r="L109" s="881"/>
      <c r="M109" s="881"/>
      <c r="N109" s="881"/>
      <c r="O109" s="998"/>
      <c r="P109" s="998"/>
    </row>
    <row r="110" spans="1:16" ht="18.75">
      <c r="A110" s="1002"/>
      <c r="B110" s="1003"/>
      <c r="C110" s="1003"/>
      <c r="D110" s="1010"/>
      <c r="E110" s="1017" t="s">
        <v>58</v>
      </c>
      <c r="F110" s="1010"/>
      <c r="G110" s="1011"/>
      <c r="H110" s="622" t="s">
        <v>49</v>
      </c>
      <c r="I110" s="880">
        <f ca="1">IFERROR(__xludf.DUMMYFUNCTION("IMPORTRANGE(""https://docs.google.com/spreadsheets/d/1QqKyyYR6Q21VydFLVH3TRQUabQu_ym0Zz7PgGX0-kHA/edit?usp=sharing"",""แผน!Q75"")"),1)</f>
        <v>1</v>
      </c>
      <c r="J110" s="1012">
        <v>1</v>
      </c>
      <c r="K110" s="881">
        <f t="shared" ca="1" si="58"/>
        <v>100</v>
      </c>
      <c r="L110" s="881"/>
      <c r="M110" s="881"/>
      <c r="N110" s="881"/>
      <c r="O110" s="998"/>
      <c r="P110" s="998"/>
    </row>
    <row r="111" spans="1:16" ht="19.5">
      <c r="A111" s="1002"/>
      <c r="B111" s="1003"/>
      <c r="C111" s="1003"/>
      <c r="D111" s="1013" t="s">
        <v>59</v>
      </c>
      <c r="E111" s="1013"/>
      <c r="F111" s="1010"/>
      <c r="G111" s="1011"/>
      <c r="H111" s="765" t="s">
        <v>35</v>
      </c>
      <c r="I111" s="1018">
        <f ca="1">IFERROR(__xludf.DUMMYFUNCTION("IMPORTRANGE(""https://docs.google.com/spreadsheets/d/1QqKyyYR6Q21VydFLVH3TRQUabQu_ym0Zz7PgGX0-kHA/edit?usp=sharing"",""แผน!R75"")"),10)</f>
        <v>10</v>
      </c>
      <c r="J111" s="1019">
        <f>J114</f>
        <v>0</v>
      </c>
      <c r="K111" s="1020">
        <f t="shared" ca="1" si="58"/>
        <v>0</v>
      </c>
      <c r="L111" s="881"/>
      <c r="M111" s="881"/>
      <c r="N111" s="881"/>
      <c r="O111" s="998"/>
      <c r="P111" s="998"/>
    </row>
    <row r="112" spans="1:16" ht="19.5">
      <c r="A112" s="1002"/>
      <c r="B112" s="1003"/>
      <c r="C112" s="1003"/>
      <c r="D112" s="1003"/>
      <c r="E112" s="1010"/>
      <c r="F112" s="1010"/>
      <c r="G112" s="1011"/>
      <c r="H112" s="196" t="s">
        <v>49</v>
      </c>
      <c r="I112" s="1018">
        <f t="shared" ref="I112:J112" ca="1" si="59">I115+I116</f>
        <v>2</v>
      </c>
      <c r="J112" s="1019">
        <f t="shared" si="59"/>
        <v>0</v>
      </c>
      <c r="K112" s="1020">
        <f t="shared" ca="1" si="58"/>
        <v>0</v>
      </c>
      <c r="L112" s="881"/>
      <c r="M112" s="881"/>
      <c r="N112" s="881"/>
      <c r="O112" s="998"/>
      <c r="P112" s="998"/>
    </row>
    <row r="113" spans="1:26" ht="19.5">
      <c r="A113" s="1002"/>
      <c r="B113" s="1003"/>
      <c r="C113" s="1003"/>
      <c r="D113" s="1003"/>
      <c r="E113" s="1021" t="s">
        <v>60</v>
      </c>
      <c r="F113" s="1010"/>
      <c r="G113" s="1011"/>
      <c r="H113" s="198" t="s">
        <v>35</v>
      </c>
      <c r="I113" s="997">
        <f ca="1">IFERROR(__xludf.DUMMYFUNCTION("IMPORTRANGE(""https://docs.google.com/spreadsheets/d/1QqKyyYR6Q21VydFLVH3TRQUabQu_ym0Zz7PgGX0-kHA/edit?usp=sharing"",""แผน!R75"")"),10)</f>
        <v>10</v>
      </c>
      <c r="J113" s="1012">
        <v>0</v>
      </c>
      <c r="K113" s="881">
        <f t="shared" ca="1" si="58"/>
        <v>0</v>
      </c>
      <c r="L113" s="881"/>
      <c r="M113" s="881"/>
      <c r="N113" s="881"/>
      <c r="O113" s="998"/>
      <c r="P113" s="998"/>
    </row>
    <row r="114" spans="1:26" ht="19.5">
      <c r="A114" s="1002"/>
      <c r="B114" s="1003"/>
      <c r="C114" s="1003"/>
      <c r="D114" s="1003"/>
      <c r="E114" s="1009" t="s">
        <v>61</v>
      </c>
      <c r="F114" s="1010"/>
      <c r="G114" s="1011"/>
      <c r="H114" s="199" t="s">
        <v>35</v>
      </c>
      <c r="I114" s="997">
        <f ca="1">IFERROR(__xludf.DUMMYFUNCTION("IMPORTRANGE(""https://docs.google.com/spreadsheets/d/1QqKyyYR6Q21VydFLVH3TRQUabQu_ym0Zz7PgGX0-kHA/edit?usp=sharing"",""แผน!R75"")"),10)</f>
        <v>10</v>
      </c>
      <c r="J114" s="1012">
        <v>0</v>
      </c>
      <c r="K114" s="881">
        <f t="shared" ca="1" si="58"/>
        <v>0</v>
      </c>
      <c r="L114" s="881"/>
      <c r="M114" s="881"/>
      <c r="N114" s="881"/>
      <c r="O114" s="998"/>
      <c r="P114" s="998"/>
    </row>
    <row r="115" spans="1:26" ht="18.75">
      <c r="A115" s="1002"/>
      <c r="B115" s="1003"/>
      <c r="C115" s="1003"/>
      <c r="D115" s="1003"/>
      <c r="E115" s="1009" t="s">
        <v>62</v>
      </c>
      <c r="F115" s="1010"/>
      <c r="G115" s="1011"/>
      <c r="H115" s="199" t="s">
        <v>49</v>
      </c>
      <c r="I115" s="997">
        <f ca="1">IFERROR(__xludf.DUMMYFUNCTION("IMPORTRANGE(""https://docs.google.com/spreadsheets/d/1QqKyyYR6Q21VydFLVH3TRQUabQu_ym0Zz7PgGX0-kHA/edit?usp=sharing"",""แผน!S75"")"),1)</f>
        <v>1</v>
      </c>
      <c r="J115" s="1012">
        <v>0</v>
      </c>
      <c r="K115" s="881">
        <f t="shared" ca="1" si="58"/>
        <v>0</v>
      </c>
      <c r="L115" s="881"/>
      <c r="M115" s="881"/>
      <c r="N115" s="881"/>
      <c r="O115" s="998"/>
      <c r="P115" s="998"/>
    </row>
    <row r="116" spans="1:26" ht="18.75">
      <c r="A116" s="1002"/>
      <c r="B116" s="1003"/>
      <c r="C116" s="1003"/>
      <c r="D116" s="1003"/>
      <c r="E116" s="1009" t="s">
        <v>63</v>
      </c>
      <c r="F116" s="1010"/>
      <c r="G116" s="1011"/>
      <c r="H116" s="199" t="s">
        <v>49</v>
      </c>
      <c r="I116" s="997">
        <f ca="1">IFERROR(__xludf.DUMMYFUNCTION("IMPORTRANGE(""https://docs.google.com/spreadsheets/d/1QqKyyYR6Q21VydFLVH3TRQUabQu_ym0Zz7PgGX0-kHA/edit?usp=sharing"",""แผน!T75"")"),1)</f>
        <v>1</v>
      </c>
      <c r="J116" s="1012">
        <v>0</v>
      </c>
      <c r="K116" s="881">
        <f t="shared" ca="1" si="58"/>
        <v>0</v>
      </c>
      <c r="L116" s="881"/>
      <c r="M116" s="881"/>
      <c r="N116" s="881"/>
      <c r="O116" s="998"/>
      <c r="P116" s="998"/>
    </row>
    <row r="117" spans="1:26" ht="19.5" hidden="1">
      <c r="A117" s="970" t="s">
        <v>64</v>
      </c>
      <c r="B117" s="971"/>
      <c r="C117" s="1022"/>
      <c r="D117" s="971"/>
      <c r="E117" s="971"/>
      <c r="F117" s="971"/>
      <c r="G117" s="971"/>
      <c r="H117" s="1023"/>
      <c r="I117" s="1024"/>
      <c r="J117" s="1024"/>
      <c r="K117" s="1025"/>
      <c r="L117" s="976"/>
      <c r="M117" s="976"/>
      <c r="N117" s="976"/>
      <c r="O117" s="976"/>
      <c r="P117" s="976"/>
    </row>
    <row r="118" spans="1:26" ht="19.5" hidden="1">
      <c r="A118" s="977"/>
      <c r="B118" s="978" t="s">
        <v>65</v>
      </c>
      <c r="C118" s="1026"/>
      <c r="D118" s="980"/>
      <c r="E118" s="979"/>
      <c r="F118" s="979"/>
      <c r="G118" s="981"/>
      <c r="H118" s="205"/>
      <c r="I118" s="1027"/>
      <c r="J118" s="1027"/>
      <c r="K118" s="984"/>
      <c r="L118" s="984"/>
      <c r="M118" s="984"/>
      <c r="N118" s="984"/>
      <c r="O118" s="984"/>
      <c r="P118" s="984"/>
    </row>
    <row r="119" spans="1:26" ht="19.5" hidden="1">
      <c r="A119" s="985"/>
      <c r="B119" s="986"/>
      <c r="C119" s="987" t="s">
        <v>16</v>
      </c>
      <c r="D119" s="988" t="s">
        <v>17</v>
      </c>
      <c r="E119" s="986"/>
      <c r="F119" s="986"/>
      <c r="G119" s="989"/>
      <c r="H119" s="152" t="s">
        <v>12</v>
      </c>
      <c r="I119" s="990"/>
      <c r="J119" s="990"/>
      <c r="K119" s="991"/>
      <c r="L119" s="992">
        <f t="shared" ref="L119:N119" ca="1" si="60">L120+L121</f>
        <v>0</v>
      </c>
      <c r="M119" s="992">
        <f t="shared" ca="1" si="60"/>
        <v>0</v>
      </c>
      <c r="N119" s="992">
        <f t="shared" ca="1" si="60"/>
        <v>0</v>
      </c>
      <c r="O119" s="992">
        <f t="shared" ref="O119:O127" ca="1" si="61">IF(L119&gt;0,N119*100/L119,0)</f>
        <v>0</v>
      </c>
      <c r="P119" s="992">
        <f t="shared" ref="P119:P127" ca="1" si="62">IF(M119&gt;0,N119*100/M119,0)</f>
        <v>0</v>
      </c>
      <c r="Q119" s="868"/>
      <c r="R119" s="868"/>
      <c r="S119" s="868"/>
      <c r="T119" s="868"/>
      <c r="U119" s="868"/>
      <c r="V119" s="868"/>
      <c r="W119" s="868"/>
      <c r="X119" s="868"/>
      <c r="Y119" s="868"/>
      <c r="Z119" s="868"/>
    </row>
    <row r="120" spans="1:26" ht="18.75" hidden="1">
      <c r="A120" s="993"/>
      <c r="B120" s="883"/>
      <c r="C120" s="883"/>
      <c r="D120" s="883"/>
      <c r="E120" s="884" t="s">
        <v>18</v>
      </c>
      <c r="F120" s="883"/>
      <c r="G120" s="994"/>
      <c r="H120" s="158" t="s">
        <v>12</v>
      </c>
      <c r="I120" s="886"/>
      <c r="J120" s="886"/>
      <c r="K120" s="887"/>
      <c r="L120" s="887">
        <f t="shared" ref="L120:N121" si="63">L123+L126</f>
        <v>0</v>
      </c>
      <c r="M120" s="887">
        <f t="shared" si="63"/>
        <v>0</v>
      </c>
      <c r="N120" s="887">
        <f t="shared" si="63"/>
        <v>0</v>
      </c>
      <c r="O120" s="887">
        <f t="shared" si="61"/>
        <v>0</v>
      </c>
      <c r="P120" s="887">
        <f t="shared" si="62"/>
        <v>0</v>
      </c>
      <c r="Q120" s="875"/>
      <c r="R120" s="875"/>
      <c r="S120" s="875"/>
      <c r="T120" s="875"/>
      <c r="U120" s="875"/>
      <c r="V120" s="875"/>
      <c r="W120" s="875"/>
      <c r="X120" s="875"/>
      <c r="Y120" s="875"/>
      <c r="Z120" s="875"/>
    </row>
    <row r="121" spans="1:26" ht="18.75" hidden="1">
      <c r="A121" s="993"/>
      <c r="B121" s="883"/>
      <c r="C121" s="883"/>
      <c r="D121" s="883"/>
      <c r="E121" s="884" t="s">
        <v>19</v>
      </c>
      <c r="F121" s="883"/>
      <c r="G121" s="994"/>
      <c r="H121" s="158" t="s">
        <v>12</v>
      </c>
      <c r="I121" s="886"/>
      <c r="J121" s="886"/>
      <c r="K121" s="887"/>
      <c r="L121" s="887">
        <f t="shared" ca="1" si="63"/>
        <v>0</v>
      </c>
      <c r="M121" s="887">
        <f t="shared" ca="1" si="63"/>
        <v>0</v>
      </c>
      <c r="N121" s="887">
        <f t="shared" ca="1" si="63"/>
        <v>0</v>
      </c>
      <c r="O121" s="887">
        <f t="shared" ca="1" si="61"/>
        <v>0</v>
      </c>
      <c r="P121" s="887">
        <f t="shared" ca="1" si="62"/>
        <v>0</v>
      </c>
      <c r="Q121" s="875"/>
      <c r="R121" s="875"/>
      <c r="S121" s="875"/>
      <c r="T121" s="875"/>
      <c r="U121" s="875"/>
      <c r="V121" s="875"/>
      <c r="W121" s="875"/>
      <c r="X121" s="875"/>
      <c r="Y121" s="875"/>
      <c r="Z121" s="875"/>
    </row>
    <row r="122" spans="1:26" ht="18.75" hidden="1">
      <c r="A122" s="995"/>
      <c r="B122" s="877"/>
      <c r="C122" s="996"/>
      <c r="D122" s="878" t="s">
        <v>20</v>
      </c>
      <c r="E122" s="877"/>
      <c r="F122" s="877"/>
      <c r="G122" s="879"/>
      <c r="H122" s="161" t="s">
        <v>12</v>
      </c>
      <c r="I122" s="997"/>
      <c r="J122" s="997"/>
      <c r="K122" s="998"/>
      <c r="L122" s="881">
        <f t="shared" ref="L122:N122" ca="1" si="64">L123+L124</f>
        <v>0</v>
      </c>
      <c r="M122" s="881">
        <f t="shared" ca="1" si="64"/>
        <v>0</v>
      </c>
      <c r="N122" s="881">
        <f t="shared" ca="1" si="64"/>
        <v>0</v>
      </c>
      <c r="O122" s="881">
        <f t="shared" ca="1" si="61"/>
        <v>0</v>
      </c>
      <c r="P122" s="881">
        <f t="shared" ca="1" si="62"/>
        <v>0</v>
      </c>
      <c r="Q122" s="868"/>
      <c r="R122" s="868"/>
      <c r="S122" s="868"/>
      <c r="T122" s="868"/>
      <c r="U122" s="868"/>
      <c r="V122" s="868"/>
      <c r="W122" s="868"/>
      <c r="X122" s="868"/>
      <c r="Y122" s="868"/>
      <c r="Z122" s="868"/>
    </row>
    <row r="123" spans="1:26" ht="18.75" hidden="1">
      <c r="A123" s="993"/>
      <c r="B123" s="883"/>
      <c r="C123" s="884"/>
      <c r="D123" s="883"/>
      <c r="E123" s="884" t="s">
        <v>36</v>
      </c>
      <c r="F123" s="883"/>
      <c r="G123" s="994"/>
      <c r="H123" s="165" t="s">
        <v>12</v>
      </c>
      <c r="I123" s="1000"/>
      <c r="J123" s="1000"/>
      <c r="K123" s="1001"/>
      <c r="L123" s="887">
        <v>0</v>
      </c>
      <c r="M123" s="887">
        <v>0</v>
      </c>
      <c r="N123" s="887">
        <v>0</v>
      </c>
      <c r="O123" s="887">
        <f t="shared" si="61"/>
        <v>0</v>
      </c>
      <c r="P123" s="887">
        <f t="shared" si="62"/>
        <v>0</v>
      </c>
      <c r="Q123" s="875"/>
      <c r="R123" s="875"/>
      <c r="S123" s="875"/>
      <c r="T123" s="875"/>
      <c r="U123" s="875"/>
      <c r="V123" s="875"/>
      <c r="W123" s="875"/>
      <c r="X123" s="875"/>
      <c r="Y123" s="875"/>
      <c r="Z123" s="875"/>
    </row>
    <row r="124" spans="1:26" ht="18.75" hidden="1">
      <c r="A124" s="993"/>
      <c r="B124" s="883"/>
      <c r="C124" s="884"/>
      <c r="D124" s="883"/>
      <c r="E124" s="884" t="s">
        <v>37</v>
      </c>
      <c r="F124" s="883"/>
      <c r="G124" s="994"/>
      <c r="H124" s="165" t="s">
        <v>12</v>
      </c>
      <c r="I124" s="1000"/>
      <c r="J124" s="1000"/>
      <c r="K124" s="1001"/>
      <c r="L124" s="887">
        <f ca="1">IFERROR(__xludf.DUMMYFUNCTION("IMPORTRANGE(""https://docs.google.com/spreadsheets/d/1MeEWN-I1oV_STSDYn1IFDPWt_1FKiwhDph83XaGc0o0/edit?usp=sharing"",""งบพรบ!BA75"")"),0)</f>
        <v>0</v>
      </c>
      <c r="M124" s="887">
        <f ca="1">IFERROR(__xludf.DUMMYFUNCTION("IMPORTRANGE(""https://docs.google.com/spreadsheets/d/1MeEWN-I1oV_STSDYn1IFDPWt_1FKiwhDph83XaGc0o0/edit?usp=sharing"",""งบพรบ!BF75"")"),0)</f>
        <v>0</v>
      </c>
      <c r="N124" s="887">
        <f ca="1">IFERROR(__xludf.DUMMYFUNCTION("IMPORTRANGE(""https://docs.google.com/spreadsheets/d/1MeEWN-I1oV_STSDYn1IFDPWt_1FKiwhDph83XaGc0o0/edit?usp=sharing"",""งบพรบ!BH75"")"),0)</f>
        <v>0</v>
      </c>
      <c r="O124" s="887">
        <f t="shared" ca="1" si="61"/>
        <v>0</v>
      </c>
      <c r="P124" s="887">
        <f t="shared" ca="1" si="62"/>
        <v>0</v>
      </c>
      <c r="Q124" s="875"/>
      <c r="R124" s="875"/>
      <c r="S124" s="875"/>
      <c r="T124" s="875"/>
      <c r="U124" s="875"/>
      <c r="V124" s="875"/>
      <c r="W124" s="875"/>
      <c r="X124" s="875"/>
      <c r="Y124" s="875"/>
      <c r="Z124" s="875"/>
    </row>
    <row r="125" spans="1:26" ht="18.75" hidden="1">
      <c r="A125" s="995"/>
      <c r="B125" s="877"/>
      <c r="C125" s="996"/>
      <c r="D125" s="878" t="s">
        <v>21</v>
      </c>
      <c r="E125" s="877"/>
      <c r="F125" s="877"/>
      <c r="G125" s="879"/>
      <c r="H125" s="168" t="s">
        <v>12</v>
      </c>
      <c r="I125" s="997"/>
      <c r="J125" s="997"/>
      <c r="K125" s="998"/>
      <c r="L125" s="881">
        <f t="shared" ref="L125:N125" ca="1" si="65">L126+L127</f>
        <v>0</v>
      </c>
      <c r="M125" s="881">
        <f t="shared" ca="1" si="65"/>
        <v>0</v>
      </c>
      <c r="N125" s="881">
        <f t="shared" ca="1" si="65"/>
        <v>0</v>
      </c>
      <c r="O125" s="881">
        <f t="shared" ca="1" si="61"/>
        <v>0</v>
      </c>
      <c r="P125" s="881">
        <f t="shared" ca="1" si="62"/>
        <v>0</v>
      </c>
      <c r="Q125" s="868"/>
      <c r="R125" s="868"/>
      <c r="S125" s="868"/>
      <c r="T125" s="868"/>
      <c r="U125" s="868"/>
      <c r="V125" s="868"/>
      <c r="W125" s="868"/>
      <c r="X125" s="868"/>
      <c r="Y125" s="868"/>
      <c r="Z125" s="868"/>
    </row>
    <row r="126" spans="1:26" ht="19.5" hidden="1">
      <c r="A126" s="993"/>
      <c r="B126" s="883"/>
      <c r="C126" s="999"/>
      <c r="D126" s="883"/>
      <c r="E126" s="884" t="s">
        <v>18</v>
      </c>
      <c r="F126" s="883"/>
      <c r="G126" s="994"/>
      <c r="H126" s="165" t="s">
        <v>12</v>
      </c>
      <c r="I126" s="1000"/>
      <c r="J126" s="1000"/>
      <c r="K126" s="1001"/>
      <c r="L126" s="887">
        <v>0</v>
      </c>
      <c r="M126" s="887">
        <v>0</v>
      </c>
      <c r="N126" s="887">
        <v>0</v>
      </c>
      <c r="O126" s="887">
        <f t="shared" si="61"/>
        <v>0</v>
      </c>
      <c r="P126" s="887">
        <f t="shared" si="62"/>
        <v>0</v>
      </c>
      <c r="Q126" s="875"/>
      <c r="R126" s="875"/>
      <c r="S126" s="875"/>
      <c r="T126" s="875"/>
      <c r="U126" s="875"/>
      <c r="V126" s="875"/>
      <c r="W126" s="875"/>
      <c r="X126" s="875"/>
      <c r="Y126" s="875"/>
      <c r="Z126" s="875"/>
    </row>
    <row r="127" spans="1:26" ht="19.5" hidden="1">
      <c r="A127" s="993"/>
      <c r="B127" s="883"/>
      <c r="C127" s="999"/>
      <c r="D127" s="883"/>
      <c r="E127" s="884" t="s">
        <v>19</v>
      </c>
      <c r="F127" s="883"/>
      <c r="G127" s="994"/>
      <c r="H127" s="169" t="s">
        <v>12</v>
      </c>
      <c r="I127" s="1000"/>
      <c r="J127" s="1000"/>
      <c r="K127" s="1001"/>
      <c r="L127" s="887">
        <f ca="1">IFERROR(__xludf.DUMMYFUNCTION("IMPORTRANGE(""https://docs.google.com/spreadsheets/d/1MeEWN-I1oV_STSDYn1IFDPWt_1FKiwhDph83XaGc0o0/edit?usp=sharing"",""งบพรบ!BD75"")"),0)</f>
        <v>0</v>
      </c>
      <c r="M127" s="887">
        <f ca="1">IFERROR(__xludf.DUMMYFUNCTION("IMPORTRANGE(""https://docs.google.com/spreadsheets/d/1MeEWN-I1oV_STSDYn1IFDPWt_1FKiwhDph83XaGc0o0/edit?usp=sharing"",""งบพรบ!BG75"")"),0)</f>
        <v>0</v>
      </c>
      <c r="N127" s="887">
        <f ca="1">IFERROR(__xludf.DUMMYFUNCTION("IMPORTRANGE(""https://docs.google.com/spreadsheets/d/1MeEWN-I1oV_STSDYn1IFDPWt_1FKiwhDph83XaGc0o0/edit?usp=sharing"",""งบพรบ!BI75"")"),0)</f>
        <v>0</v>
      </c>
      <c r="O127" s="887">
        <f t="shared" ca="1" si="61"/>
        <v>0</v>
      </c>
      <c r="P127" s="887">
        <f t="shared" ca="1" si="62"/>
        <v>0</v>
      </c>
      <c r="Q127" s="875"/>
      <c r="R127" s="875"/>
      <c r="S127" s="875"/>
      <c r="T127" s="875"/>
      <c r="U127" s="875"/>
      <c r="V127" s="875"/>
      <c r="W127" s="875"/>
      <c r="X127" s="875"/>
      <c r="Y127" s="875"/>
      <c r="Z127" s="875"/>
    </row>
    <row r="128" spans="1:26" ht="19.5" hidden="1">
      <c r="A128" s="970" t="s">
        <v>67</v>
      </c>
      <c r="B128" s="971"/>
      <c r="C128" s="1022"/>
      <c r="D128" s="971"/>
      <c r="E128" s="971"/>
      <c r="F128" s="971"/>
      <c r="G128" s="971"/>
      <c r="H128" s="1023"/>
      <c r="I128" s="1024"/>
      <c r="J128" s="1024"/>
      <c r="K128" s="1025"/>
      <c r="L128" s="976"/>
      <c r="M128" s="976"/>
      <c r="N128" s="976"/>
      <c r="O128" s="976"/>
      <c r="P128" s="976"/>
    </row>
    <row r="129" spans="1:26" ht="19.5" hidden="1">
      <c r="A129" s="977"/>
      <c r="B129" s="978" t="s">
        <v>68</v>
      </c>
      <c r="C129" s="1026"/>
      <c r="D129" s="980"/>
      <c r="E129" s="979"/>
      <c r="F129" s="979"/>
      <c r="G129" s="979"/>
      <c r="H129" s="207"/>
      <c r="I129" s="1027"/>
      <c r="J129" s="1027"/>
      <c r="K129" s="984"/>
      <c r="L129" s="984"/>
      <c r="M129" s="984"/>
      <c r="N129" s="984"/>
      <c r="O129" s="984"/>
      <c r="P129" s="984"/>
    </row>
    <row r="130" spans="1:26" ht="19.5" hidden="1">
      <c r="A130" s="977"/>
      <c r="B130" s="978"/>
      <c r="C130" s="1028" t="s">
        <v>69</v>
      </c>
      <c r="D130" s="980"/>
      <c r="E130" s="979"/>
      <c r="F130" s="979"/>
      <c r="G130" s="981"/>
      <c r="H130" s="205" t="s">
        <v>66</v>
      </c>
      <c r="I130" s="982">
        <f t="shared" ref="I130:J130" ca="1" si="66">I146</f>
        <v>0</v>
      </c>
      <c r="J130" s="982">
        <f t="shared" si="66"/>
        <v>0</v>
      </c>
      <c r="K130" s="983">
        <f t="shared" ref="K130:K131" ca="1" si="67">IF(I130&gt;0,J130*100/I130,0)</f>
        <v>0</v>
      </c>
      <c r="L130" s="984"/>
      <c r="M130" s="984"/>
      <c r="N130" s="984"/>
      <c r="O130" s="984"/>
      <c r="P130" s="984"/>
    </row>
    <row r="131" spans="1:26" ht="19.5" hidden="1">
      <c r="A131" s="977"/>
      <c r="B131" s="978"/>
      <c r="C131" s="1028" t="s">
        <v>70</v>
      </c>
      <c r="D131" s="980"/>
      <c r="E131" s="979"/>
      <c r="F131" s="979"/>
      <c r="G131" s="981"/>
      <c r="H131" s="205" t="s">
        <v>35</v>
      </c>
      <c r="I131" s="982">
        <f t="shared" ref="I131:J131" ca="1" si="68">I143</f>
        <v>0</v>
      </c>
      <c r="J131" s="982">
        <f t="shared" ca="1" si="68"/>
        <v>0</v>
      </c>
      <c r="K131" s="983">
        <f t="shared" ca="1" si="67"/>
        <v>0</v>
      </c>
      <c r="L131" s="984"/>
      <c r="M131" s="984"/>
      <c r="N131" s="984"/>
      <c r="O131" s="984"/>
      <c r="P131" s="984"/>
    </row>
    <row r="132" spans="1:26" ht="19.5" hidden="1">
      <c r="A132" s="985"/>
      <c r="B132" s="986"/>
      <c r="C132" s="987" t="s">
        <v>16</v>
      </c>
      <c r="D132" s="988" t="s">
        <v>17</v>
      </c>
      <c r="E132" s="986"/>
      <c r="F132" s="986"/>
      <c r="G132" s="989"/>
      <c r="H132" s="152" t="s">
        <v>12</v>
      </c>
      <c r="I132" s="990"/>
      <c r="J132" s="990"/>
      <c r="K132" s="991"/>
      <c r="L132" s="992">
        <f t="shared" ref="L132:N132" ca="1" si="69">L133+L134</f>
        <v>0</v>
      </c>
      <c r="M132" s="992">
        <f t="shared" ca="1" si="69"/>
        <v>0</v>
      </c>
      <c r="N132" s="992">
        <f t="shared" ca="1" si="69"/>
        <v>0</v>
      </c>
      <c r="O132" s="992">
        <f t="shared" ref="O132:O140" ca="1" si="70">IF(L132&gt;0,N132*100/L132,0)</f>
        <v>0</v>
      </c>
      <c r="P132" s="992">
        <f t="shared" ref="P132:P140" ca="1" si="71">IF(M132&gt;0,N132*100/M132,0)</f>
        <v>0</v>
      </c>
      <c r="Q132" s="868"/>
      <c r="R132" s="868"/>
      <c r="S132" s="868"/>
      <c r="T132" s="868"/>
      <c r="U132" s="868"/>
      <c r="V132" s="868"/>
      <c r="W132" s="868"/>
      <c r="X132" s="868"/>
      <c r="Y132" s="868"/>
      <c r="Z132" s="868"/>
    </row>
    <row r="133" spans="1:26" ht="18.75" hidden="1">
      <c r="A133" s="993"/>
      <c r="B133" s="883"/>
      <c r="C133" s="883"/>
      <c r="D133" s="883"/>
      <c r="E133" s="884" t="s">
        <v>18</v>
      </c>
      <c r="F133" s="883"/>
      <c r="G133" s="994"/>
      <c r="H133" s="158" t="s">
        <v>12</v>
      </c>
      <c r="I133" s="886"/>
      <c r="J133" s="886"/>
      <c r="K133" s="887"/>
      <c r="L133" s="887">
        <f t="shared" ref="L133:N134" si="72">L136+L139</f>
        <v>0</v>
      </c>
      <c r="M133" s="887">
        <f t="shared" si="72"/>
        <v>0</v>
      </c>
      <c r="N133" s="887">
        <f t="shared" si="72"/>
        <v>0</v>
      </c>
      <c r="O133" s="887">
        <f t="shared" si="70"/>
        <v>0</v>
      </c>
      <c r="P133" s="887">
        <f t="shared" si="71"/>
        <v>0</v>
      </c>
      <c r="Q133" s="875"/>
      <c r="R133" s="875"/>
      <c r="S133" s="875"/>
      <c r="T133" s="875"/>
      <c r="U133" s="875"/>
      <c r="V133" s="875"/>
      <c r="W133" s="875"/>
      <c r="X133" s="875"/>
      <c r="Y133" s="875"/>
      <c r="Z133" s="875"/>
    </row>
    <row r="134" spans="1:26" ht="18.75" hidden="1">
      <c r="A134" s="993"/>
      <c r="B134" s="883"/>
      <c r="C134" s="883"/>
      <c r="D134" s="883"/>
      <c r="E134" s="884" t="s">
        <v>19</v>
      </c>
      <c r="F134" s="883"/>
      <c r="G134" s="994"/>
      <c r="H134" s="158" t="s">
        <v>12</v>
      </c>
      <c r="I134" s="886"/>
      <c r="J134" s="886"/>
      <c r="K134" s="887"/>
      <c r="L134" s="887">
        <f t="shared" ca="1" si="72"/>
        <v>0</v>
      </c>
      <c r="M134" s="887">
        <f t="shared" ca="1" si="72"/>
        <v>0</v>
      </c>
      <c r="N134" s="887">
        <f t="shared" ca="1" si="72"/>
        <v>0</v>
      </c>
      <c r="O134" s="887">
        <f t="shared" ca="1" si="70"/>
        <v>0</v>
      </c>
      <c r="P134" s="887">
        <f t="shared" ca="1" si="71"/>
        <v>0</v>
      </c>
      <c r="Q134" s="875"/>
      <c r="R134" s="875"/>
      <c r="S134" s="875"/>
      <c r="T134" s="875"/>
      <c r="U134" s="875"/>
      <c r="V134" s="875"/>
      <c r="W134" s="875"/>
      <c r="X134" s="875"/>
      <c r="Y134" s="875"/>
      <c r="Z134" s="875"/>
    </row>
    <row r="135" spans="1:26" ht="18.75" hidden="1">
      <c r="A135" s="995"/>
      <c r="B135" s="877"/>
      <c r="C135" s="996"/>
      <c r="D135" s="878" t="s">
        <v>20</v>
      </c>
      <c r="E135" s="877"/>
      <c r="F135" s="877"/>
      <c r="G135" s="879"/>
      <c r="H135" s="161" t="s">
        <v>12</v>
      </c>
      <c r="I135" s="997"/>
      <c r="J135" s="997"/>
      <c r="K135" s="998"/>
      <c r="L135" s="881">
        <f t="shared" ref="L135:N135" ca="1" si="73">L136+L137</f>
        <v>0</v>
      </c>
      <c r="M135" s="881">
        <f t="shared" ca="1" si="73"/>
        <v>0</v>
      </c>
      <c r="N135" s="881">
        <f t="shared" ca="1" si="73"/>
        <v>0</v>
      </c>
      <c r="O135" s="881">
        <f t="shared" ca="1" si="70"/>
        <v>0</v>
      </c>
      <c r="P135" s="881">
        <f t="shared" ca="1" si="71"/>
        <v>0</v>
      </c>
      <c r="Q135" s="868"/>
      <c r="R135" s="868"/>
      <c r="S135" s="868"/>
      <c r="T135" s="868"/>
      <c r="U135" s="868"/>
      <c r="V135" s="868"/>
      <c r="W135" s="868"/>
      <c r="X135" s="868"/>
      <c r="Y135" s="868"/>
      <c r="Z135" s="868"/>
    </row>
    <row r="136" spans="1:26" ht="19.5" hidden="1">
      <c r="A136" s="993"/>
      <c r="B136" s="883"/>
      <c r="C136" s="999"/>
      <c r="D136" s="883"/>
      <c r="E136" s="884" t="s">
        <v>36</v>
      </c>
      <c r="F136" s="883"/>
      <c r="G136" s="994"/>
      <c r="H136" s="165" t="s">
        <v>12</v>
      </c>
      <c r="I136" s="1000"/>
      <c r="J136" s="1000"/>
      <c r="K136" s="1001"/>
      <c r="L136" s="887">
        <v>0</v>
      </c>
      <c r="M136" s="887">
        <v>0</v>
      </c>
      <c r="N136" s="887">
        <v>0</v>
      </c>
      <c r="O136" s="887">
        <f t="shared" si="70"/>
        <v>0</v>
      </c>
      <c r="P136" s="887">
        <f t="shared" si="71"/>
        <v>0</v>
      </c>
      <c r="Q136" s="875"/>
      <c r="R136" s="875"/>
      <c r="S136" s="875"/>
      <c r="T136" s="875"/>
      <c r="U136" s="875"/>
      <c r="V136" s="875"/>
      <c r="W136" s="875"/>
      <c r="X136" s="875"/>
      <c r="Y136" s="875"/>
      <c r="Z136" s="875"/>
    </row>
    <row r="137" spans="1:26" ht="19.5" hidden="1">
      <c r="A137" s="993"/>
      <c r="B137" s="883"/>
      <c r="C137" s="999"/>
      <c r="D137" s="883"/>
      <c r="E137" s="884" t="s">
        <v>37</v>
      </c>
      <c r="F137" s="883"/>
      <c r="G137" s="994"/>
      <c r="H137" s="165" t="s">
        <v>12</v>
      </c>
      <c r="I137" s="1000"/>
      <c r="J137" s="1000"/>
      <c r="K137" s="1001"/>
      <c r="L137" s="887">
        <f ca="1">IFERROR(__xludf.DUMMYFUNCTION("IMPORTRANGE(""https://docs.google.com/spreadsheets/d/1MeEWN-I1oV_STSDYn1IFDPWt_1FKiwhDph83XaGc0o0/edit?usp=sharing"",""งบพรบ!BK75"")"),0)</f>
        <v>0</v>
      </c>
      <c r="M137" s="887">
        <f ca="1">IFERROR(__xludf.DUMMYFUNCTION("IMPORTRANGE(""https://docs.google.com/spreadsheets/d/1MeEWN-I1oV_STSDYn1IFDPWt_1FKiwhDph83XaGc0o0/edit?usp=sharing"",""งบพรบ!BP75"")"),0)</f>
        <v>0</v>
      </c>
      <c r="N137" s="887">
        <f ca="1">IFERROR(__xludf.DUMMYFUNCTION("IMPORTRANGE(""https://docs.google.com/spreadsheets/d/1MeEWN-I1oV_STSDYn1IFDPWt_1FKiwhDph83XaGc0o0/edit?usp=sharing"",""งบพรบ!BR75"")"),0)</f>
        <v>0</v>
      </c>
      <c r="O137" s="887">
        <f t="shared" ca="1" si="70"/>
        <v>0</v>
      </c>
      <c r="P137" s="887">
        <f t="shared" ca="1" si="71"/>
        <v>0</v>
      </c>
      <c r="Q137" s="875"/>
      <c r="R137" s="875"/>
      <c r="S137" s="875"/>
      <c r="T137" s="875"/>
      <c r="U137" s="875"/>
      <c r="V137" s="875"/>
      <c r="W137" s="875"/>
      <c r="X137" s="875"/>
      <c r="Y137" s="875"/>
      <c r="Z137" s="875"/>
    </row>
    <row r="138" spans="1:26" ht="18.75" hidden="1">
      <c r="A138" s="995"/>
      <c r="B138" s="877"/>
      <c r="C138" s="996"/>
      <c r="D138" s="878" t="s">
        <v>21</v>
      </c>
      <c r="E138" s="877"/>
      <c r="F138" s="877"/>
      <c r="G138" s="879"/>
      <c r="H138" s="168" t="s">
        <v>12</v>
      </c>
      <c r="I138" s="997"/>
      <c r="J138" s="997"/>
      <c r="K138" s="998"/>
      <c r="L138" s="881">
        <f t="shared" ref="L138:N138" ca="1" si="74">L139+L140</f>
        <v>0</v>
      </c>
      <c r="M138" s="881">
        <f t="shared" ca="1" si="74"/>
        <v>0</v>
      </c>
      <c r="N138" s="881">
        <f t="shared" ca="1" si="74"/>
        <v>0</v>
      </c>
      <c r="O138" s="881">
        <f t="shared" ca="1" si="70"/>
        <v>0</v>
      </c>
      <c r="P138" s="881">
        <f t="shared" ca="1" si="71"/>
        <v>0</v>
      </c>
      <c r="Q138" s="868"/>
      <c r="R138" s="868"/>
      <c r="S138" s="868"/>
      <c r="T138" s="868"/>
      <c r="U138" s="868"/>
      <c r="V138" s="868"/>
      <c r="W138" s="868"/>
      <c r="X138" s="868"/>
      <c r="Y138" s="868"/>
      <c r="Z138" s="868"/>
    </row>
    <row r="139" spans="1:26" ht="19.5" hidden="1">
      <c r="A139" s="993"/>
      <c r="B139" s="883"/>
      <c r="C139" s="999"/>
      <c r="D139" s="883"/>
      <c r="E139" s="884" t="s">
        <v>18</v>
      </c>
      <c r="F139" s="883"/>
      <c r="G139" s="994"/>
      <c r="H139" s="165" t="s">
        <v>12</v>
      </c>
      <c r="I139" s="1000"/>
      <c r="J139" s="1000"/>
      <c r="K139" s="1001"/>
      <c r="L139" s="887">
        <v>0</v>
      </c>
      <c r="M139" s="887">
        <v>0</v>
      </c>
      <c r="N139" s="887">
        <v>0</v>
      </c>
      <c r="O139" s="887">
        <f t="shared" si="70"/>
        <v>0</v>
      </c>
      <c r="P139" s="887">
        <f t="shared" si="71"/>
        <v>0</v>
      </c>
      <c r="Q139" s="875"/>
      <c r="R139" s="875"/>
      <c r="S139" s="875"/>
      <c r="T139" s="875"/>
      <c r="U139" s="875"/>
      <c r="V139" s="875"/>
      <c r="W139" s="875"/>
      <c r="X139" s="875"/>
      <c r="Y139" s="875"/>
      <c r="Z139" s="875"/>
    </row>
    <row r="140" spans="1:26" ht="19.5" hidden="1">
      <c r="A140" s="993"/>
      <c r="B140" s="883"/>
      <c r="C140" s="999"/>
      <c r="D140" s="883"/>
      <c r="E140" s="884" t="s">
        <v>19</v>
      </c>
      <c r="F140" s="883"/>
      <c r="G140" s="994"/>
      <c r="H140" s="169" t="s">
        <v>12</v>
      </c>
      <c r="I140" s="1000"/>
      <c r="J140" s="1000"/>
      <c r="K140" s="1001"/>
      <c r="L140" s="887">
        <f ca="1">IFERROR(__xludf.DUMMYFUNCTION("IMPORTRANGE(""https://docs.google.com/spreadsheets/d/1MeEWN-I1oV_STSDYn1IFDPWt_1FKiwhDph83XaGc0o0/edit?usp=sharing"",""งบพรบ!BN75"")"),0)</f>
        <v>0</v>
      </c>
      <c r="M140" s="887">
        <f ca="1">IFERROR(__xludf.DUMMYFUNCTION("IMPORTRANGE(""https://docs.google.com/spreadsheets/d/1MeEWN-I1oV_STSDYn1IFDPWt_1FKiwhDph83XaGc0o0/edit?usp=sharing"",""งบพรบ!BQ75"")"),0)</f>
        <v>0</v>
      </c>
      <c r="N140" s="887">
        <f ca="1">IFERROR(__xludf.DUMMYFUNCTION("IMPORTRANGE(""https://docs.google.com/spreadsheets/d/1MeEWN-I1oV_STSDYn1IFDPWt_1FKiwhDph83XaGc0o0/edit?usp=sharing"",""งบพรบ!BS75"")"),0)</f>
        <v>0</v>
      </c>
      <c r="O140" s="887">
        <f t="shared" ca="1" si="70"/>
        <v>0</v>
      </c>
      <c r="P140" s="887">
        <f t="shared" ca="1" si="71"/>
        <v>0</v>
      </c>
      <c r="Q140" s="875"/>
      <c r="R140" s="875"/>
      <c r="S140" s="875"/>
      <c r="T140" s="875"/>
      <c r="U140" s="875"/>
      <c r="V140" s="875"/>
      <c r="W140" s="875"/>
      <c r="X140" s="875"/>
      <c r="Y140" s="875"/>
      <c r="Z140" s="875"/>
    </row>
    <row r="141" spans="1:26" ht="19.5" hidden="1">
      <c r="A141" s="1002"/>
      <c r="B141" s="1003"/>
      <c r="C141" s="987" t="s">
        <v>16</v>
      </c>
      <c r="D141" s="1004" t="s">
        <v>38</v>
      </c>
      <c r="E141" s="1005"/>
      <c r="F141" s="1005"/>
      <c r="G141" s="1006"/>
      <c r="H141" s="168"/>
      <c r="I141" s="880"/>
      <c r="J141" s="880"/>
      <c r="K141" s="881"/>
      <c r="L141" s="881"/>
      <c r="M141" s="881"/>
      <c r="N141" s="881"/>
      <c r="O141" s="881"/>
      <c r="P141" s="881"/>
    </row>
    <row r="142" spans="1:26" ht="19.5" hidden="1">
      <c r="A142" s="995"/>
      <c r="B142" s="877"/>
      <c r="C142" s="1029"/>
      <c r="D142" s="996" t="s">
        <v>71</v>
      </c>
      <c r="E142" s="878"/>
      <c r="F142" s="877"/>
      <c r="G142" s="1030"/>
      <c r="H142" s="168"/>
      <c r="I142" s="880"/>
      <c r="J142" s="1012">
        <v>0</v>
      </c>
      <c r="K142" s="881"/>
      <c r="L142" s="881"/>
      <c r="M142" s="881"/>
      <c r="N142" s="881"/>
      <c r="O142" s="881"/>
      <c r="P142" s="881"/>
    </row>
    <row r="143" spans="1:26" ht="19.5" hidden="1">
      <c r="A143" s="995"/>
      <c r="B143" s="877"/>
      <c r="C143" s="1029"/>
      <c r="D143" s="996" t="s">
        <v>72</v>
      </c>
      <c r="E143" s="878"/>
      <c r="F143" s="877"/>
      <c r="G143" s="1030"/>
      <c r="H143" s="168" t="s">
        <v>35</v>
      </c>
      <c r="I143" s="880">
        <f ca="1">I145</f>
        <v>0</v>
      </c>
      <c r="J143" s="880">
        <f ca="1">IF(AND(J144&gt;=I144,J145&gt;=I145),J145,0)</f>
        <v>0</v>
      </c>
      <c r="K143" s="881">
        <f t="shared" ref="K143:K146" ca="1" si="75">IF(I143&gt;0,J143*100/I143,0)</f>
        <v>0</v>
      </c>
      <c r="L143" s="881"/>
      <c r="M143" s="881"/>
      <c r="N143" s="881"/>
      <c r="O143" s="881"/>
      <c r="P143" s="881"/>
    </row>
    <row r="144" spans="1:26" ht="19.5" hidden="1">
      <c r="A144" s="995"/>
      <c r="B144" s="877"/>
      <c r="C144" s="1029"/>
      <c r="D144" s="1010"/>
      <c r="E144" s="996" t="s">
        <v>73</v>
      </c>
      <c r="F144" s="877"/>
      <c r="G144" s="1030"/>
      <c r="H144" s="168" t="s">
        <v>35</v>
      </c>
      <c r="I144" s="880">
        <f ca="1">IFERROR(__xludf.DUMMYFUNCTION("IMPORTRANGE(""https://docs.google.com/spreadsheets/d/1QqKyyYR6Q21VydFLVH3TRQUabQu_ym0Zz7PgGX0-kHA/edit?usp=sharing"",""แผน!U75"")"),0)</f>
        <v>0</v>
      </c>
      <c r="J144" s="1012">
        <v>0</v>
      </c>
      <c r="K144" s="881">
        <f t="shared" ca="1" si="75"/>
        <v>0</v>
      </c>
      <c r="L144" s="881"/>
      <c r="M144" s="881"/>
      <c r="N144" s="881"/>
      <c r="O144" s="881"/>
      <c r="P144" s="881"/>
    </row>
    <row r="145" spans="1:26" ht="19.5" hidden="1">
      <c r="A145" s="995"/>
      <c r="B145" s="877"/>
      <c r="C145" s="1029"/>
      <c r="D145" s="1010"/>
      <c r="E145" s="996" t="s">
        <v>74</v>
      </c>
      <c r="F145" s="877"/>
      <c r="G145" s="1030"/>
      <c r="H145" s="168" t="s">
        <v>35</v>
      </c>
      <c r="I145" s="880">
        <f ca="1">IFERROR(__xludf.DUMMYFUNCTION("IMPORTRANGE(""https://docs.google.com/spreadsheets/d/1QqKyyYR6Q21VydFLVH3TRQUabQu_ym0Zz7PgGX0-kHA/edit?usp=sharing"",""แผน!V75"")"),0)</f>
        <v>0</v>
      </c>
      <c r="J145" s="1012">
        <v>0</v>
      </c>
      <c r="K145" s="881">
        <f t="shared" ca="1" si="75"/>
        <v>0</v>
      </c>
      <c r="L145" s="881"/>
      <c r="M145" s="881"/>
      <c r="N145" s="881"/>
      <c r="O145" s="881"/>
      <c r="P145" s="881"/>
    </row>
    <row r="146" spans="1:26" ht="19.5" hidden="1">
      <c r="A146" s="995"/>
      <c r="B146" s="877"/>
      <c r="C146" s="1029"/>
      <c r="D146" s="996" t="s">
        <v>75</v>
      </c>
      <c r="E146" s="878"/>
      <c r="F146" s="877"/>
      <c r="G146" s="1030"/>
      <c r="H146" s="168" t="s">
        <v>66</v>
      </c>
      <c r="I146" s="880">
        <f ca="1">IFERROR(__xludf.DUMMYFUNCTION("IMPORTRANGE(""https://docs.google.com/spreadsheets/d/1QqKyyYR6Q21VydFLVH3TRQUabQu_ym0Zz7PgGX0-kHA/edit?usp=sharing"",""แผน!W75"")"),0)</f>
        <v>0</v>
      </c>
      <c r="J146" s="1012">
        <v>0</v>
      </c>
      <c r="K146" s="881">
        <f t="shared" ca="1" si="75"/>
        <v>0</v>
      </c>
      <c r="L146" s="881"/>
      <c r="M146" s="881"/>
      <c r="N146" s="881"/>
      <c r="O146" s="881"/>
      <c r="P146" s="881"/>
    </row>
    <row r="147" spans="1:26" ht="19.5" hidden="1">
      <c r="A147" s="970" t="s">
        <v>76</v>
      </c>
      <c r="B147" s="971"/>
      <c r="C147" s="1022"/>
      <c r="D147" s="971"/>
      <c r="E147" s="971"/>
      <c r="F147" s="971"/>
      <c r="G147" s="971"/>
      <c r="H147" s="1023"/>
      <c r="I147" s="1024"/>
      <c r="J147" s="1024"/>
      <c r="K147" s="1025"/>
      <c r="L147" s="976"/>
      <c r="M147" s="976"/>
      <c r="N147" s="976"/>
      <c r="O147" s="976"/>
      <c r="P147" s="976"/>
    </row>
    <row r="148" spans="1:26" ht="19.5" hidden="1">
      <c r="A148" s="1031"/>
      <c r="B148" s="978" t="s">
        <v>77</v>
      </c>
      <c r="C148" s="978"/>
      <c r="D148" s="978"/>
      <c r="E148" s="1032"/>
      <c r="F148" s="1033"/>
      <c r="G148" s="1034"/>
      <c r="H148" s="221" t="s">
        <v>35</v>
      </c>
      <c r="I148" s="982">
        <f t="shared" ref="I148:J148" ca="1" si="76">I159</f>
        <v>0</v>
      </c>
      <c r="J148" s="982">
        <f t="shared" si="76"/>
        <v>0</v>
      </c>
      <c r="K148" s="983">
        <f ca="1">IF(I148&gt;0,J148*100/I148,0)</f>
        <v>0</v>
      </c>
      <c r="L148" s="983"/>
      <c r="M148" s="983"/>
      <c r="N148" s="983"/>
      <c r="O148" s="983"/>
      <c r="P148" s="98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85"/>
      <c r="B149" s="986"/>
      <c r="C149" s="987" t="s">
        <v>16</v>
      </c>
      <c r="D149" s="988" t="s">
        <v>17</v>
      </c>
      <c r="E149" s="986"/>
      <c r="F149" s="986"/>
      <c r="G149" s="989"/>
      <c r="H149" s="152" t="s">
        <v>12</v>
      </c>
      <c r="I149" s="990"/>
      <c r="J149" s="990"/>
      <c r="K149" s="991"/>
      <c r="L149" s="992">
        <f t="shared" ref="L149:N149" ca="1" si="77">L150+L151</f>
        <v>0</v>
      </c>
      <c r="M149" s="992">
        <f t="shared" ca="1" si="77"/>
        <v>16980</v>
      </c>
      <c r="N149" s="992">
        <f t="shared" ca="1" si="77"/>
        <v>16980</v>
      </c>
      <c r="O149" s="992">
        <f t="shared" ref="O149:O157" ca="1" si="78">IF(L149&gt;0,N149*100/L149,0)</f>
        <v>0</v>
      </c>
      <c r="P149" s="992">
        <f t="shared" ref="P149:P157" ca="1" si="79">IF(M149&gt;0,N149*100/M149,0)</f>
        <v>100</v>
      </c>
      <c r="Q149" s="868"/>
      <c r="R149" s="868"/>
      <c r="S149" s="868"/>
      <c r="T149" s="868"/>
      <c r="U149" s="868"/>
      <c r="V149" s="868"/>
      <c r="W149" s="868"/>
      <c r="X149" s="868"/>
      <c r="Y149" s="868"/>
      <c r="Z149" s="868"/>
    </row>
    <row r="150" spans="1:26" ht="18.75" hidden="1">
      <c r="A150" s="993"/>
      <c r="B150" s="883"/>
      <c r="C150" s="883"/>
      <c r="D150" s="883"/>
      <c r="E150" s="884" t="s">
        <v>18</v>
      </c>
      <c r="F150" s="883"/>
      <c r="G150" s="994"/>
      <c r="H150" s="158" t="s">
        <v>12</v>
      </c>
      <c r="I150" s="886"/>
      <c r="J150" s="886"/>
      <c r="K150" s="887"/>
      <c r="L150" s="887">
        <f t="shared" ref="L150:N151" si="80">L153+L156</f>
        <v>0</v>
      </c>
      <c r="M150" s="887">
        <f t="shared" si="80"/>
        <v>0</v>
      </c>
      <c r="N150" s="887">
        <f t="shared" si="80"/>
        <v>0</v>
      </c>
      <c r="O150" s="887">
        <f t="shared" si="78"/>
        <v>0</v>
      </c>
      <c r="P150" s="887">
        <f t="shared" si="79"/>
        <v>0</v>
      </c>
      <c r="Q150" s="875"/>
      <c r="R150" s="875"/>
      <c r="S150" s="875"/>
      <c r="T150" s="875"/>
      <c r="U150" s="875"/>
      <c r="V150" s="875"/>
      <c r="W150" s="875"/>
      <c r="X150" s="875"/>
      <c r="Y150" s="875"/>
      <c r="Z150" s="875"/>
    </row>
    <row r="151" spans="1:26" ht="18.75" hidden="1">
      <c r="A151" s="993"/>
      <c r="B151" s="883"/>
      <c r="C151" s="883"/>
      <c r="D151" s="883"/>
      <c r="E151" s="884" t="s">
        <v>19</v>
      </c>
      <c r="F151" s="883"/>
      <c r="G151" s="994"/>
      <c r="H151" s="158" t="s">
        <v>12</v>
      </c>
      <c r="I151" s="886"/>
      <c r="J151" s="886"/>
      <c r="K151" s="887"/>
      <c r="L151" s="887">
        <f t="shared" ca="1" si="80"/>
        <v>0</v>
      </c>
      <c r="M151" s="887">
        <f t="shared" ca="1" si="80"/>
        <v>16980</v>
      </c>
      <c r="N151" s="887">
        <f t="shared" ca="1" si="80"/>
        <v>16980</v>
      </c>
      <c r="O151" s="887">
        <f t="shared" ca="1" si="78"/>
        <v>0</v>
      </c>
      <c r="P151" s="887">
        <f t="shared" ca="1" si="79"/>
        <v>100</v>
      </c>
      <c r="Q151" s="875"/>
      <c r="R151" s="875"/>
      <c r="S151" s="875"/>
      <c r="T151" s="875"/>
      <c r="U151" s="875"/>
      <c r="V151" s="875"/>
      <c r="W151" s="875"/>
      <c r="X151" s="875"/>
      <c r="Y151" s="875"/>
      <c r="Z151" s="875"/>
    </row>
    <row r="152" spans="1:26" ht="18.75" hidden="1">
      <c r="A152" s="995"/>
      <c r="B152" s="877"/>
      <c r="C152" s="996"/>
      <c r="D152" s="878" t="s">
        <v>20</v>
      </c>
      <c r="E152" s="877"/>
      <c r="F152" s="877"/>
      <c r="G152" s="879"/>
      <c r="H152" s="161" t="s">
        <v>12</v>
      </c>
      <c r="I152" s="997"/>
      <c r="J152" s="997"/>
      <c r="K152" s="998"/>
      <c r="L152" s="881">
        <f t="shared" ref="L152:N152" ca="1" si="81">L153+L154</f>
        <v>0</v>
      </c>
      <c r="M152" s="881">
        <f t="shared" ca="1" si="81"/>
        <v>16980</v>
      </c>
      <c r="N152" s="881">
        <f t="shared" ca="1" si="81"/>
        <v>16980</v>
      </c>
      <c r="O152" s="881">
        <f t="shared" ca="1" si="78"/>
        <v>0</v>
      </c>
      <c r="P152" s="881">
        <f t="shared" ca="1" si="79"/>
        <v>100</v>
      </c>
      <c r="Q152" s="868"/>
      <c r="R152" s="868"/>
      <c r="S152" s="868"/>
      <c r="T152" s="868"/>
      <c r="U152" s="868"/>
      <c r="V152" s="868"/>
      <c r="W152" s="868"/>
      <c r="X152" s="868"/>
      <c r="Y152" s="868"/>
      <c r="Z152" s="868"/>
    </row>
    <row r="153" spans="1:26" ht="19.5" hidden="1">
      <c r="A153" s="993"/>
      <c r="B153" s="883"/>
      <c r="C153" s="999"/>
      <c r="D153" s="883"/>
      <c r="E153" s="884" t="s">
        <v>36</v>
      </c>
      <c r="F153" s="883"/>
      <c r="G153" s="994"/>
      <c r="H153" s="165" t="s">
        <v>12</v>
      </c>
      <c r="I153" s="1000"/>
      <c r="J153" s="1000"/>
      <c r="K153" s="1001"/>
      <c r="L153" s="887">
        <v>0</v>
      </c>
      <c r="M153" s="887">
        <v>0</v>
      </c>
      <c r="N153" s="887">
        <v>0</v>
      </c>
      <c r="O153" s="887">
        <f t="shared" si="78"/>
        <v>0</v>
      </c>
      <c r="P153" s="887">
        <f t="shared" si="79"/>
        <v>0</v>
      </c>
      <c r="Q153" s="875"/>
      <c r="R153" s="875"/>
      <c r="S153" s="875"/>
      <c r="T153" s="875"/>
      <c r="U153" s="875"/>
      <c r="V153" s="875"/>
      <c r="W153" s="875"/>
      <c r="X153" s="875"/>
      <c r="Y153" s="875"/>
      <c r="Z153" s="875"/>
    </row>
    <row r="154" spans="1:26" ht="19.5" hidden="1">
      <c r="A154" s="993"/>
      <c r="B154" s="883"/>
      <c r="C154" s="999"/>
      <c r="D154" s="883"/>
      <c r="E154" s="884" t="s">
        <v>37</v>
      </c>
      <c r="F154" s="883"/>
      <c r="G154" s="994"/>
      <c r="H154" s="165" t="s">
        <v>12</v>
      </c>
      <c r="I154" s="1000"/>
      <c r="J154" s="1000"/>
      <c r="K154" s="1001"/>
      <c r="L154" s="887">
        <f ca="1">IFERROR(__xludf.DUMMYFUNCTION("IMPORTRANGE(""https://docs.google.com/spreadsheets/d/1MeEWN-I1oV_STSDYn1IFDPWt_1FKiwhDph83XaGc0o0/edit?usp=sharing"",""งบพรบ!BU75"")"),0)</f>
        <v>0</v>
      </c>
      <c r="M154" s="887">
        <f ca="1">IFERROR(__xludf.DUMMYFUNCTION("IMPORTRANGE(""https://docs.google.com/spreadsheets/d/1MeEWN-I1oV_STSDYn1IFDPWt_1FKiwhDph83XaGc0o0/edit?usp=sharing"",""งบพรบ!BZ75"")"),16980)</f>
        <v>16980</v>
      </c>
      <c r="N154" s="887">
        <f ca="1">IFERROR(__xludf.DUMMYFUNCTION("IMPORTRANGE(""https://docs.google.com/spreadsheets/d/1MeEWN-I1oV_STSDYn1IFDPWt_1FKiwhDph83XaGc0o0/edit?usp=sharing"",""งบพรบ!CB75"")"),16980)</f>
        <v>16980</v>
      </c>
      <c r="O154" s="887">
        <f t="shared" ca="1" si="78"/>
        <v>0</v>
      </c>
      <c r="P154" s="887">
        <f t="shared" ca="1" si="79"/>
        <v>100</v>
      </c>
      <c r="Q154" s="875"/>
      <c r="R154" s="875"/>
      <c r="S154" s="875"/>
      <c r="T154" s="875"/>
      <c r="U154" s="875"/>
      <c r="V154" s="875"/>
      <c r="W154" s="875"/>
      <c r="X154" s="875"/>
      <c r="Y154" s="875"/>
      <c r="Z154" s="875"/>
    </row>
    <row r="155" spans="1:26" ht="18.75" hidden="1">
      <c r="A155" s="995"/>
      <c r="B155" s="877"/>
      <c r="C155" s="996"/>
      <c r="D155" s="878" t="s">
        <v>21</v>
      </c>
      <c r="E155" s="877"/>
      <c r="F155" s="877"/>
      <c r="G155" s="879"/>
      <c r="H155" s="168" t="s">
        <v>12</v>
      </c>
      <c r="I155" s="997"/>
      <c r="J155" s="997"/>
      <c r="K155" s="998"/>
      <c r="L155" s="881">
        <f t="shared" ref="L155:N155" ca="1" si="82">L156+L157</f>
        <v>0</v>
      </c>
      <c r="M155" s="881">
        <f t="shared" ca="1" si="82"/>
        <v>0</v>
      </c>
      <c r="N155" s="881">
        <f t="shared" ca="1" si="82"/>
        <v>0</v>
      </c>
      <c r="O155" s="881">
        <f t="shared" ca="1" si="78"/>
        <v>0</v>
      </c>
      <c r="P155" s="881">
        <f t="shared" ca="1" si="79"/>
        <v>0</v>
      </c>
      <c r="Q155" s="868"/>
      <c r="R155" s="868"/>
      <c r="S155" s="868"/>
      <c r="T155" s="868"/>
      <c r="U155" s="868"/>
      <c r="V155" s="868"/>
      <c r="W155" s="868"/>
      <c r="X155" s="868"/>
      <c r="Y155" s="868"/>
      <c r="Z155" s="868"/>
    </row>
    <row r="156" spans="1:26" ht="19.5" hidden="1">
      <c r="A156" s="993"/>
      <c r="B156" s="883"/>
      <c r="C156" s="999"/>
      <c r="D156" s="883"/>
      <c r="E156" s="884" t="s">
        <v>18</v>
      </c>
      <c r="F156" s="883"/>
      <c r="G156" s="994"/>
      <c r="H156" s="165" t="s">
        <v>12</v>
      </c>
      <c r="I156" s="1000"/>
      <c r="J156" s="1000"/>
      <c r="K156" s="1001"/>
      <c r="L156" s="887">
        <v>0</v>
      </c>
      <c r="M156" s="887">
        <v>0</v>
      </c>
      <c r="N156" s="887">
        <v>0</v>
      </c>
      <c r="O156" s="887">
        <f t="shared" si="78"/>
        <v>0</v>
      </c>
      <c r="P156" s="887">
        <f t="shared" si="79"/>
        <v>0</v>
      </c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</row>
    <row r="157" spans="1:26" ht="19.5" hidden="1">
      <c r="A157" s="993"/>
      <c r="B157" s="883"/>
      <c r="C157" s="999"/>
      <c r="D157" s="883"/>
      <c r="E157" s="884" t="s">
        <v>19</v>
      </c>
      <c r="F157" s="883"/>
      <c r="G157" s="994"/>
      <c r="H157" s="169" t="s">
        <v>12</v>
      </c>
      <c r="I157" s="1000"/>
      <c r="J157" s="1000"/>
      <c r="K157" s="1001"/>
      <c r="L157" s="887">
        <f ca="1">IFERROR(__xludf.DUMMYFUNCTION("IMPORTRANGE(""https://docs.google.com/spreadsheets/d/1MeEWN-I1oV_STSDYn1IFDPWt_1FKiwhDph83XaGc0o0/edit?usp=sharing"",""งบพรบ!BX75"")"),0)</f>
        <v>0</v>
      </c>
      <c r="M157" s="887">
        <f ca="1">IFERROR(__xludf.DUMMYFUNCTION("IMPORTRANGE(""https://docs.google.com/spreadsheets/d/1MeEWN-I1oV_STSDYn1IFDPWt_1FKiwhDph83XaGc0o0/edit?usp=sharing"",""งบพรบ!CA75"")"),0)</f>
        <v>0</v>
      </c>
      <c r="N157" s="887">
        <f ca="1">IFERROR(__xludf.DUMMYFUNCTION("IMPORTRANGE(""https://docs.google.com/spreadsheets/d/1MeEWN-I1oV_STSDYn1IFDPWt_1FKiwhDph83XaGc0o0/edit?usp=sharing"",""งบพรบ!CC75"")"),0)</f>
        <v>0</v>
      </c>
      <c r="O157" s="887">
        <f t="shared" ca="1" si="78"/>
        <v>0</v>
      </c>
      <c r="P157" s="887">
        <f t="shared" ca="1" si="79"/>
        <v>0</v>
      </c>
      <c r="Q157" s="875"/>
      <c r="R157" s="875"/>
      <c r="S157" s="875"/>
      <c r="T157" s="875"/>
      <c r="U157" s="875"/>
      <c r="V157" s="875"/>
      <c r="W157" s="875"/>
      <c r="X157" s="875"/>
      <c r="Y157" s="875"/>
      <c r="Z157" s="875"/>
    </row>
    <row r="158" spans="1:26" ht="19.5" hidden="1">
      <c r="A158" s="1002"/>
      <c r="B158" s="1003"/>
      <c r="C158" s="999" t="s">
        <v>16</v>
      </c>
      <c r="D158" s="1004" t="s">
        <v>38</v>
      </c>
      <c r="E158" s="1005"/>
      <c r="F158" s="1005"/>
      <c r="G158" s="1006"/>
      <c r="H158" s="168"/>
      <c r="I158" s="880"/>
      <c r="J158" s="880"/>
      <c r="K158" s="881"/>
      <c r="L158" s="881"/>
      <c r="M158" s="881"/>
      <c r="N158" s="881"/>
      <c r="O158" s="881"/>
      <c r="P158" s="881"/>
    </row>
    <row r="159" spans="1:26" ht="19.5" hidden="1">
      <c r="A159" s="995"/>
      <c r="B159" s="877"/>
      <c r="C159" s="1029"/>
      <c r="D159" s="996" t="s">
        <v>78</v>
      </c>
      <c r="E159" s="878"/>
      <c r="F159" s="877"/>
      <c r="G159" s="1030"/>
      <c r="H159" s="168" t="s">
        <v>35</v>
      </c>
      <c r="I159" s="880">
        <f ca="1">IFERROR(__xludf.DUMMYFUNCTION("IMPORTRANGE(""https://docs.google.com/spreadsheets/d/1QqKyyYR6Q21VydFLVH3TRQUabQu_ym0Zz7PgGX0-kHA/edit?usp=sharing"",""แผน!X75"")"),0)</f>
        <v>0</v>
      </c>
      <c r="J159" s="1012">
        <v>0</v>
      </c>
      <c r="K159" s="881">
        <f ca="1">IF(I159&gt;0,J159*100/I159,0)</f>
        <v>0</v>
      </c>
      <c r="L159" s="881"/>
      <c r="M159" s="881"/>
      <c r="N159" s="881"/>
      <c r="O159" s="881"/>
      <c r="P159" s="881"/>
    </row>
    <row r="160" spans="1:26" ht="19.5" hidden="1">
      <c r="A160" s="993"/>
      <c r="B160" s="883"/>
      <c r="C160" s="999"/>
      <c r="D160" s="884" t="s">
        <v>79</v>
      </c>
      <c r="E160" s="1035"/>
      <c r="F160" s="883"/>
      <c r="G160" s="994"/>
      <c r="H160" s="169" t="s">
        <v>35</v>
      </c>
      <c r="I160" s="886"/>
      <c r="J160" s="886"/>
      <c r="K160" s="887"/>
      <c r="L160" s="887"/>
      <c r="M160" s="887"/>
      <c r="N160" s="887"/>
      <c r="O160" s="887"/>
      <c r="P160" s="88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232" t="s">
        <v>35</v>
      </c>
      <c r="I161" s="1042"/>
      <c r="J161" s="1042"/>
      <c r="K161" s="1043"/>
      <c r="L161" s="1043"/>
      <c r="M161" s="1043"/>
      <c r="N161" s="1043"/>
      <c r="O161" s="1043"/>
      <c r="P161" s="104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44" t="s">
        <v>81</v>
      </c>
      <c r="B162" s="1045"/>
      <c r="C162" s="1045"/>
      <c r="D162" s="1045"/>
      <c r="E162" s="1046"/>
      <c r="F162" s="1046"/>
      <c r="G162" s="1047"/>
      <c r="H162" s="1048"/>
      <c r="I162" s="1049"/>
      <c r="J162" s="1049"/>
      <c r="K162" s="1050"/>
      <c r="L162" s="1050"/>
      <c r="M162" s="1050"/>
      <c r="N162" s="1050"/>
      <c r="O162" s="1050"/>
      <c r="P162" s="1050"/>
    </row>
    <row r="163" spans="1:26" ht="19.5">
      <c r="A163" s="1051" t="s">
        <v>82</v>
      </c>
      <c r="B163" s="1052"/>
      <c r="C163" s="1052"/>
      <c r="D163" s="1053"/>
      <c r="E163" s="1053"/>
      <c r="F163" s="1053"/>
      <c r="G163" s="1054"/>
      <c r="H163" s="1055"/>
      <c r="I163" s="1056"/>
      <c r="J163" s="1056"/>
      <c r="K163" s="1057"/>
      <c r="L163" s="1057"/>
      <c r="M163" s="1057"/>
      <c r="N163" s="1057"/>
      <c r="O163" s="1057"/>
      <c r="P163" s="1057"/>
    </row>
    <row r="164" spans="1:26" ht="19.5" hidden="1">
      <c r="A164" s="1058"/>
      <c r="B164" s="1059" t="s">
        <v>83</v>
      </c>
      <c r="C164" s="1060"/>
      <c r="D164" s="1005"/>
      <c r="E164" s="1005"/>
      <c r="F164" s="1005"/>
      <c r="G164" s="1006"/>
      <c r="H164" s="252" t="s">
        <v>35</v>
      </c>
      <c r="I164" s="1061">
        <f t="shared" ref="I164:J164" ca="1" si="83">I174+I177</f>
        <v>0</v>
      </c>
      <c r="J164" s="1061">
        <f t="shared" si="83"/>
        <v>0</v>
      </c>
      <c r="K164" s="1062">
        <f ca="1">IF(I164&gt;0,J164*100/I164,0)</f>
        <v>0</v>
      </c>
      <c r="L164" s="1062"/>
      <c r="M164" s="1062"/>
      <c r="N164" s="1062"/>
      <c r="O164" s="1062"/>
      <c r="P164" s="1062"/>
    </row>
    <row r="165" spans="1:26" ht="19.5" hidden="1">
      <c r="A165" s="985"/>
      <c r="B165" s="986"/>
      <c r="C165" s="987" t="s">
        <v>16</v>
      </c>
      <c r="D165" s="988" t="s">
        <v>17</v>
      </c>
      <c r="E165" s="986"/>
      <c r="F165" s="986"/>
      <c r="G165" s="989"/>
      <c r="H165" s="152" t="s">
        <v>12</v>
      </c>
      <c r="I165" s="990"/>
      <c r="J165" s="990"/>
      <c r="K165" s="991"/>
      <c r="L165" s="991">
        <f t="shared" ref="L165:N165" ca="1" si="84">L166+L167</f>
        <v>0</v>
      </c>
      <c r="M165" s="991">
        <f t="shared" ca="1" si="84"/>
        <v>0</v>
      </c>
      <c r="N165" s="991">
        <f t="shared" ca="1" si="84"/>
        <v>0</v>
      </c>
      <c r="O165" s="991">
        <f t="shared" ref="O165:O173" ca="1" si="85">IF(L165&gt;0,N165*100/L165,0)</f>
        <v>0</v>
      </c>
      <c r="P165" s="991">
        <f t="shared" ref="P165:P173" ca="1" si="86">IF(M165&gt;0,N165*100/M165,0)</f>
        <v>0</v>
      </c>
      <c r="Q165" s="868"/>
      <c r="R165" s="868"/>
      <c r="S165" s="868"/>
      <c r="T165" s="868"/>
      <c r="U165" s="868"/>
      <c r="V165" s="868"/>
      <c r="W165" s="868"/>
      <c r="X165" s="868"/>
      <c r="Y165" s="868"/>
      <c r="Z165" s="868"/>
    </row>
    <row r="166" spans="1:26" ht="18.75" hidden="1">
      <c r="A166" s="993"/>
      <c r="B166" s="883"/>
      <c r="C166" s="883"/>
      <c r="D166" s="883"/>
      <c r="E166" s="884" t="s">
        <v>18</v>
      </c>
      <c r="F166" s="883"/>
      <c r="G166" s="994"/>
      <c r="H166" s="158" t="s">
        <v>12</v>
      </c>
      <c r="I166" s="886"/>
      <c r="J166" s="886"/>
      <c r="K166" s="887"/>
      <c r="L166" s="887">
        <f t="shared" ref="L166:N167" si="87">L169+L172</f>
        <v>0</v>
      </c>
      <c r="M166" s="887">
        <f t="shared" si="87"/>
        <v>0</v>
      </c>
      <c r="N166" s="887">
        <f t="shared" si="87"/>
        <v>0</v>
      </c>
      <c r="O166" s="887">
        <f t="shared" si="85"/>
        <v>0</v>
      </c>
      <c r="P166" s="887">
        <f t="shared" si="86"/>
        <v>0</v>
      </c>
      <c r="Q166" s="875"/>
      <c r="R166" s="875"/>
      <c r="S166" s="875"/>
      <c r="T166" s="875"/>
      <c r="U166" s="875"/>
      <c r="V166" s="875"/>
      <c r="W166" s="875"/>
      <c r="X166" s="875"/>
      <c r="Y166" s="875"/>
      <c r="Z166" s="875"/>
    </row>
    <row r="167" spans="1:26" ht="18.75" hidden="1">
      <c r="A167" s="993"/>
      <c r="B167" s="883"/>
      <c r="C167" s="883"/>
      <c r="D167" s="883"/>
      <c r="E167" s="884" t="s">
        <v>19</v>
      </c>
      <c r="F167" s="883"/>
      <c r="G167" s="994"/>
      <c r="H167" s="158" t="s">
        <v>12</v>
      </c>
      <c r="I167" s="886"/>
      <c r="J167" s="886"/>
      <c r="K167" s="887"/>
      <c r="L167" s="887">
        <f t="shared" ca="1" si="87"/>
        <v>0</v>
      </c>
      <c r="M167" s="887">
        <f t="shared" ca="1" si="87"/>
        <v>0</v>
      </c>
      <c r="N167" s="887">
        <f t="shared" ca="1" si="87"/>
        <v>0</v>
      </c>
      <c r="O167" s="887">
        <f t="shared" ca="1" si="85"/>
        <v>0</v>
      </c>
      <c r="P167" s="887">
        <f t="shared" ca="1" si="86"/>
        <v>0</v>
      </c>
      <c r="Q167" s="875"/>
      <c r="R167" s="875"/>
      <c r="S167" s="875"/>
      <c r="T167" s="875"/>
      <c r="U167" s="875"/>
      <c r="V167" s="875"/>
      <c r="W167" s="875"/>
      <c r="X167" s="875"/>
      <c r="Y167" s="875"/>
      <c r="Z167" s="875"/>
    </row>
    <row r="168" spans="1:26" ht="18.75" hidden="1">
      <c r="A168" s="995"/>
      <c r="B168" s="877"/>
      <c r="C168" s="996"/>
      <c r="D168" s="878" t="s">
        <v>20</v>
      </c>
      <c r="E168" s="877"/>
      <c r="F168" s="877"/>
      <c r="G168" s="879"/>
      <c r="H168" s="161" t="s">
        <v>12</v>
      </c>
      <c r="I168" s="997"/>
      <c r="J168" s="997"/>
      <c r="K168" s="998"/>
      <c r="L168" s="881">
        <f t="shared" ref="L168:N168" ca="1" si="88">L169+L170</f>
        <v>0</v>
      </c>
      <c r="M168" s="881">
        <f t="shared" ca="1" si="88"/>
        <v>0</v>
      </c>
      <c r="N168" s="881">
        <f t="shared" ca="1" si="88"/>
        <v>0</v>
      </c>
      <c r="O168" s="881">
        <f t="shared" ca="1" si="85"/>
        <v>0</v>
      </c>
      <c r="P168" s="881">
        <f t="shared" ca="1" si="86"/>
        <v>0</v>
      </c>
      <c r="Q168" s="868"/>
      <c r="R168" s="868"/>
      <c r="S168" s="868"/>
      <c r="T168" s="868"/>
      <c r="U168" s="868"/>
      <c r="V168" s="868"/>
      <c r="W168" s="868"/>
      <c r="X168" s="868"/>
      <c r="Y168" s="868"/>
      <c r="Z168" s="868"/>
    </row>
    <row r="169" spans="1:26" ht="19.5" hidden="1">
      <c r="A169" s="993"/>
      <c r="B169" s="883"/>
      <c r="C169" s="999"/>
      <c r="D169" s="883"/>
      <c r="E169" s="884" t="s">
        <v>36</v>
      </c>
      <c r="F169" s="883"/>
      <c r="G169" s="994"/>
      <c r="H169" s="165" t="s">
        <v>12</v>
      </c>
      <c r="I169" s="1000"/>
      <c r="J169" s="1000"/>
      <c r="K169" s="1001"/>
      <c r="L169" s="887">
        <v>0</v>
      </c>
      <c r="M169" s="887">
        <v>0</v>
      </c>
      <c r="N169" s="887">
        <v>0</v>
      </c>
      <c r="O169" s="887">
        <f t="shared" si="85"/>
        <v>0</v>
      </c>
      <c r="P169" s="887">
        <f t="shared" si="86"/>
        <v>0</v>
      </c>
      <c r="Q169" s="875"/>
      <c r="R169" s="875"/>
      <c r="S169" s="875"/>
      <c r="T169" s="875"/>
      <c r="U169" s="875"/>
      <c r="V169" s="875"/>
      <c r="W169" s="875"/>
      <c r="X169" s="875"/>
      <c r="Y169" s="875"/>
      <c r="Z169" s="875"/>
    </row>
    <row r="170" spans="1:26" ht="19.5" hidden="1">
      <c r="A170" s="993"/>
      <c r="B170" s="883"/>
      <c r="C170" s="999"/>
      <c r="D170" s="883"/>
      <c r="E170" s="884" t="s">
        <v>37</v>
      </c>
      <c r="F170" s="883"/>
      <c r="G170" s="994"/>
      <c r="H170" s="165" t="s">
        <v>12</v>
      </c>
      <c r="I170" s="1000"/>
      <c r="J170" s="1000"/>
      <c r="K170" s="1001"/>
      <c r="L170" s="887">
        <f ca="1">IFERROR(__xludf.DUMMYFUNCTION("IMPORTRANGE(""https://docs.google.com/spreadsheets/d/1MeEWN-I1oV_STSDYn1IFDPWt_1FKiwhDph83XaGc0o0/edit?usp=sharing"",""งบพรบ!CE75"")"),0)</f>
        <v>0</v>
      </c>
      <c r="M170" s="887">
        <f ca="1">IFERROR(__xludf.DUMMYFUNCTION("IMPORTRANGE(""https://docs.google.com/spreadsheets/d/1MeEWN-I1oV_STSDYn1IFDPWt_1FKiwhDph83XaGc0o0/edit?usp=sharing"",""งบพรบ!CJ75"")"),0)</f>
        <v>0</v>
      </c>
      <c r="N170" s="887">
        <f ca="1">IFERROR(__xludf.DUMMYFUNCTION("IMPORTRANGE(""https://docs.google.com/spreadsheets/d/1MeEWN-I1oV_STSDYn1IFDPWt_1FKiwhDph83XaGc0o0/edit?usp=sharing"",""งบพรบ!CL75"")"),0)</f>
        <v>0</v>
      </c>
      <c r="O170" s="887">
        <f t="shared" ca="1" si="85"/>
        <v>0</v>
      </c>
      <c r="P170" s="887">
        <f t="shared" ca="1" si="86"/>
        <v>0</v>
      </c>
      <c r="Q170" s="875"/>
      <c r="R170" s="875"/>
      <c r="S170" s="875"/>
      <c r="T170" s="875"/>
      <c r="U170" s="875"/>
      <c r="V170" s="875"/>
      <c r="W170" s="875"/>
      <c r="X170" s="875"/>
      <c r="Y170" s="875"/>
      <c r="Z170" s="875"/>
    </row>
    <row r="171" spans="1:26" ht="18.75" hidden="1">
      <c r="A171" s="995"/>
      <c r="B171" s="877"/>
      <c r="C171" s="996"/>
      <c r="D171" s="878" t="s">
        <v>21</v>
      </c>
      <c r="E171" s="877"/>
      <c r="F171" s="877"/>
      <c r="G171" s="879"/>
      <c r="H171" s="168" t="s">
        <v>12</v>
      </c>
      <c r="I171" s="997"/>
      <c r="J171" s="997"/>
      <c r="K171" s="998"/>
      <c r="L171" s="881">
        <f t="shared" ref="L171:N171" ca="1" si="89">L172+L173</f>
        <v>0</v>
      </c>
      <c r="M171" s="881">
        <f t="shared" ca="1" si="89"/>
        <v>0</v>
      </c>
      <c r="N171" s="881">
        <f t="shared" ca="1" si="89"/>
        <v>0</v>
      </c>
      <c r="O171" s="881">
        <f t="shared" ca="1" si="85"/>
        <v>0</v>
      </c>
      <c r="P171" s="881">
        <f t="shared" ca="1" si="86"/>
        <v>0</v>
      </c>
      <c r="Q171" s="868"/>
      <c r="R171" s="868"/>
      <c r="S171" s="868"/>
      <c r="T171" s="868"/>
      <c r="U171" s="868"/>
      <c r="V171" s="868"/>
      <c r="W171" s="868"/>
      <c r="X171" s="868"/>
      <c r="Y171" s="868"/>
      <c r="Z171" s="868"/>
    </row>
    <row r="172" spans="1:26" ht="19.5" hidden="1">
      <c r="A172" s="993"/>
      <c r="B172" s="883"/>
      <c r="C172" s="999"/>
      <c r="D172" s="883"/>
      <c r="E172" s="884" t="s">
        <v>18</v>
      </c>
      <c r="F172" s="883"/>
      <c r="G172" s="994"/>
      <c r="H172" s="165" t="s">
        <v>12</v>
      </c>
      <c r="I172" s="1000"/>
      <c r="J172" s="1000"/>
      <c r="K172" s="1001"/>
      <c r="L172" s="887">
        <v>0</v>
      </c>
      <c r="M172" s="887">
        <v>0</v>
      </c>
      <c r="N172" s="887">
        <v>0</v>
      </c>
      <c r="O172" s="887">
        <f t="shared" si="85"/>
        <v>0</v>
      </c>
      <c r="P172" s="887">
        <f t="shared" si="86"/>
        <v>0</v>
      </c>
      <c r="Q172" s="875"/>
      <c r="R172" s="875"/>
      <c r="S172" s="875"/>
      <c r="T172" s="875"/>
      <c r="U172" s="875"/>
      <c r="V172" s="875"/>
      <c r="W172" s="875"/>
      <c r="X172" s="875"/>
      <c r="Y172" s="875"/>
      <c r="Z172" s="875"/>
    </row>
    <row r="173" spans="1:26" ht="19.5" hidden="1">
      <c r="A173" s="993"/>
      <c r="B173" s="883"/>
      <c r="C173" s="999"/>
      <c r="D173" s="883"/>
      <c r="E173" s="884" t="s">
        <v>19</v>
      </c>
      <c r="F173" s="883"/>
      <c r="G173" s="994"/>
      <c r="H173" s="169" t="s">
        <v>12</v>
      </c>
      <c r="I173" s="1000"/>
      <c r="J173" s="1000"/>
      <c r="K173" s="1001"/>
      <c r="L173" s="887">
        <f ca="1">IFERROR(__xludf.DUMMYFUNCTION("IMPORTRANGE(""https://docs.google.com/spreadsheets/d/1MeEWN-I1oV_STSDYn1IFDPWt_1FKiwhDph83XaGc0o0/edit?usp=sharing"",""งบพรบ!CH75"")"),0)</f>
        <v>0</v>
      </c>
      <c r="M173" s="887">
        <f ca="1">IFERROR(__xludf.DUMMYFUNCTION("IMPORTRANGE(""https://docs.google.com/spreadsheets/d/1MeEWN-I1oV_STSDYn1IFDPWt_1FKiwhDph83XaGc0o0/edit?usp=sharing"",""งบพรบ!CK75"")"),0)</f>
        <v>0</v>
      </c>
      <c r="N173" s="887">
        <f ca="1">IFERROR(__xludf.DUMMYFUNCTION("IMPORTRANGE(""https://docs.google.com/spreadsheets/d/1MeEWN-I1oV_STSDYn1IFDPWt_1FKiwhDph83XaGc0o0/edit?usp=sharing"",""งบพรบ!CM75"")"),0)</f>
        <v>0</v>
      </c>
      <c r="O173" s="887">
        <f t="shared" ca="1" si="85"/>
        <v>0</v>
      </c>
      <c r="P173" s="887">
        <f t="shared" ca="1" si="86"/>
        <v>0</v>
      </c>
      <c r="Q173" s="875"/>
      <c r="R173" s="875"/>
      <c r="S173" s="875"/>
      <c r="T173" s="875"/>
      <c r="U173" s="875"/>
      <c r="V173" s="875"/>
      <c r="W173" s="875"/>
      <c r="X173" s="875"/>
      <c r="Y173" s="875"/>
      <c r="Z173" s="875"/>
    </row>
    <row r="174" spans="1:26" ht="19.5" hidden="1">
      <c r="A174" s="1063"/>
      <c r="B174" s="1064"/>
      <c r="C174" s="1065" t="s">
        <v>84</v>
      </c>
      <c r="D174" s="1064"/>
      <c r="E174" s="1064"/>
      <c r="F174" s="1064"/>
      <c r="G174" s="1066"/>
      <c r="H174" s="260" t="s">
        <v>35</v>
      </c>
      <c r="I174" s="1067">
        <f t="shared" ref="I174:J174" ca="1" si="90">I176</f>
        <v>0</v>
      </c>
      <c r="J174" s="1067">
        <f t="shared" si="90"/>
        <v>0</v>
      </c>
      <c r="K174" s="1068">
        <f ca="1">IF(I174&gt;0,J174*100/I174,0)</f>
        <v>0</v>
      </c>
      <c r="L174" s="1068"/>
      <c r="M174" s="1068"/>
      <c r="N174" s="1068"/>
      <c r="O174" s="1068"/>
      <c r="P174" s="1068"/>
    </row>
    <row r="175" spans="1:26" ht="19.5" hidden="1">
      <c r="A175" s="1002"/>
      <c r="B175" s="1003"/>
      <c r="C175" s="999" t="s">
        <v>16</v>
      </c>
      <c r="D175" s="1004" t="s">
        <v>38</v>
      </c>
      <c r="E175" s="1005"/>
      <c r="F175" s="1005"/>
      <c r="G175" s="1006"/>
      <c r="H175" s="1007"/>
      <c r="I175" s="997"/>
      <c r="J175" s="997"/>
      <c r="K175" s="998"/>
      <c r="L175" s="998"/>
      <c r="M175" s="998"/>
      <c r="N175" s="998"/>
      <c r="O175" s="998"/>
      <c r="P175" s="998"/>
    </row>
    <row r="176" spans="1:26" ht="18.75" hidden="1">
      <c r="A176" s="1002"/>
      <c r="B176" s="1003"/>
      <c r="C176" s="1003"/>
      <c r="D176" s="1069" t="s">
        <v>85</v>
      </c>
      <c r="E176" s="1010"/>
      <c r="F176" s="1010"/>
      <c r="G176" s="1011"/>
      <c r="H176" s="622" t="s">
        <v>35</v>
      </c>
      <c r="I176" s="880">
        <f ca="1">IFERROR(__xludf.DUMMYFUNCTION("IMPORTRANGE(""https://docs.google.com/spreadsheets/d/1QqKyyYR6Q21VydFLVH3TRQUabQu_ym0Zz7PgGX0-kHA/edit?usp=sharing"",""แผน!Y75"")"),0)</f>
        <v>0</v>
      </c>
      <c r="J176" s="1012">
        <v>0</v>
      </c>
      <c r="K176" s="998">
        <f ca="1">IF(I176&gt;0,J176*100/I176,0)</f>
        <v>0</v>
      </c>
      <c r="L176" s="998"/>
      <c r="M176" s="998"/>
      <c r="N176" s="998"/>
      <c r="O176" s="998"/>
      <c r="P176" s="998"/>
    </row>
    <row r="177" spans="1:26" ht="19.5" hidden="1">
      <c r="A177" s="1063"/>
      <c r="B177" s="1070"/>
      <c r="C177" s="1071" t="s">
        <v>86</v>
      </c>
      <c r="D177" s="1070"/>
      <c r="E177" s="1064"/>
      <c r="F177" s="1064"/>
      <c r="G177" s="1066"/>
      <c r="H177" s="266" t="s">
        <v>35</v>
      </c>
      <c r="I177" s="1067"/>
      <c r="J177" s="1067">
        <f>J179</f>
        <v>0</v>
      </c>
      <c r="K177" s="1068"/>
      <c r="L177" s="1068"/>
      <c r="M177" s="1068"/>
      <c r="N177" s="1068"/>
      <c r="O177" s="1068"/>
      <c r="P177" s="1068"/>
    </row>
    <row r="178" spans="1:26" ht="19.5" hidden="1">
      <c r="A178" s="1002"/>
      <c r="B178" s="1003"/>
      <c r="C178" s="999" t="s">
        <v>16</v>
      </c>
      <c r="D178" s="1072" t="s">
        <v>38</v>
      </c>
      <c r="E178" s="1005"/>
      <c r="F178" s="1005"/>
      <c r="G178" s="1006"/>
      <c r="H178" s="1007"/>
      <c r="I178" s="997"/>
      <c r="J178" s="997"/>
      <c r="K178" s="998"/>
      <c r="L178" s="998"/>
      <c r="M178" s="998"/>
      <c r="N178" s="998"/>
      <c r="O178" s="998"/>
      <c r="P178" s="998"/>
    </row>
    <row r="179" spans="1:26" ht="18.75" hidden="1">
      <c r="A179" s="1002"/>
      <c r="B179" s="1003"/>
      <c r="C179" s="1003"/>
      <c r="D179" s="1073" t="s">
        <v>87</v>
      </c>
      <c r="E179" s="1010"/>
      <c r="F179" s="1074"/>
      <c r="G179" s="1011"/>
      <c r="H179" s="43" t="s">
        <v>35</v>
      </c>
      <c r="I179" s="880"/>
      <c r="J179" s="880"/>
      <c r="K179" s="998"/>
      <c r="L179" s="998"/>
      <c r="M179" s="998"/>
      <c r="N179" s="998"/>
      <c r="O179" s="998"/>
      <c r="P179" s="998"/>
    </row>
    <row r="180" spans="1:26" ht="19.5">
      <c r="A180" s="1058"/>
      <c r="B180" s="1059" t="s">
        <v>88</v>
      </c>
      <c r="C180" s="1060"/>
      <c r="D180" s="1005"/>
      <c r="E180" s="1005"/>
      <c r="F180" s="1005"/>
      <c r="G180" s="1006"/>
      <c r="H180" s="252" t="s">
        <v>35</v>
      </c>
      <c r="I180" s="1075" t="e">
        <f t="shared" ref="I180:J180" ca="1" si="91">I225+I226</f>
        <v>#VALUE!</v>
      </c>
      <c r="J180" s="1075">
        <f t="shared" si="91"/>
        <v>10</v>
      </c>
      <c r="K180" s="1076" t="e">
        <f ca="1">IF(I180&gt;0,J180*100/I180,0)</f>
        <v>#VALUE!</v>
      </c>
      <c r="L180" s="1062"/>
      <c r="M180" s="1062"/>
      <c r="N180" s="1062"/>
      <c r="O180" s="1062"/>
      <c r="P180" s="1062"/>
    </row>
    <row r="181" spans="1:26" ht="19.5">
      <c r="A181" s="985"/>
      <c r="B181" s="986"/>
      <c r="C181" s="987" t="s">
        <v>16</v>
      </c>
      <c r="D181" s="988" t="s">
        <v>17</v>
      </c>
      <c r="E181" s="986"/>
      <c r="F181" s="986"/>
      <c r="G181" s="989"/>
      <c r="H181" s="152" t="s">
        <v>12</v>
      </c>
      <c r="I181" s="990"/>
      <c r="J181" s="990"/>
      <c r="K181" s="991"/>
      <c r="L181" s="992">
        <f t="shared" ref="L181:N181" ca="1" si="92">L182+L183</f>
        <v>60500</v>
      </c>
      <c r="M181" s="992">
        <f t="shared" ca="1" si="92"/>
        <v>62660</v>
      </c>
      <c r="N181" s="992">
        <f t="shared" ca="1" si="92"/>
        <v>50997</v>
      </c>
      <c r="O181" s="992">
        <f t="shared" ref="O181:O189" ca="1" si="93">IF(L181&gt;0,N181*100/L181,0)</f>
        <v>84.292561983471074</v>
      </c>
      <c r="P181" s="992">
        <f t="shared" ref="P181:P189" ca="1" si="94">IF(M181&gt;0,N181*100/M181,0)</f>
        <v>81.386849664857962</v>
      </c>
      <c r="Q181" s="868"/>
      <c r="R181" s="868"/>
      <c r="S181" s="868"/>
      <c r="T181" s="868"/>
      <c r="U181" s="868"/>
      <c r="V181" s="868"/>
      <c r="W181" s="868"/>
      <c r="X181" s="868"/>
      <c r="Y181" s="868"/>
      <c r="Z181" s="868"/>
    </row>
    <row r="182" spans="1:26" ht="18.75" hidden="1">
      <c r="A182" s="993"/>
      <c r="B182" s="883"/>
      <c r="C182" s="883"/>
      <c r="D182" s="883"/>
      <c r="E182" s="884" t="s">
        <v>18</v>
      </c>
      <c r="F182" s="883"/>
      <c r="G182" s="994"/>
      <c r="H182" s="158" t="s">
        <v>12</v>
      </c>
      <c r="I182" s="886"/>
      <c r="J182" s="886"/>
      <c r="K182" s="887"/>
      <c r="L182" s="887">
        <f t="shared" ref="L182:N183" si="95">L185+L188</f>
        <v>0</v>
      </c>
      <c r="M182" s="887">
        <f t="shared" si="95"/>
        <v>0</v>
      </c>
      <c r="N182" s="887">
        <f t="shared" si="95"/>
        <v>0</v>
      </c>
      <c r="O182" s="887">
        <f t="shared" si="93"/>
        <v>0</v>
      </c>
      <c r="P182" s="887">
        <f t="shared" si="94"/>
        <v>0</v>
      </c>
      <c r="Q182" s="875"/>
      <c r="R182" s="875"/>
      <c r="S182" s="875"/>
      <c r="T182" s="875"/>
      <c r="U182" s="875"/>
      <c r="V182" s="875"/>
      <c r="W182" s="875"/>
      <c r="X182" s="875"/>
      <c r="Y182" s="875"/>
      <c r="Z182" s="875"/>
    </row>
    <row r="183" spans="1:26" ht="18.75" hidden="1">
      <c r="A183" s="993"/>
      <c r="B183" s="883"/>
      <c r="C183" s="883"/>
      <c r="D183" s="883"/>
      <c r="E183" s="884" t="s">
        <v>19</v>
      </c>
      <c r="F183" s="883"/>
      <c r="G183" s="994"/>
      <c r="H183" s="158" t="s">
        <v>12</v>
      </c>
      <c r="I183" s="886"/>
      <c r="J183" s="886"/>
      <c r="K183" s="887"/>
      <c r="L183" s="887">
        <f t="shared" ca="1" si="95"/>
        <v>60500</v>
      </c>
      <c r="M183" s="887">
        <f t="shared" ca="1" si="95"/>
        <v>62660</v>
      </c>
      <c r="N183" s="887">
        <f t="shared" ca="1" si="95"/>
        <v>50997</v>
      </c>
      <c r="O183" s="887">
        <f t="shared" ca="1" si="93"/>
        <v>84.292561983471074</v>
      </c>
      <c r="P183" s="887">
        <f t="shared" ca="1" si="94"/>
        <v>81.386849664857962</v>
      </c>
      <c r="Q183" s="875"/>
      <c r="R183" s="875"/>
      <c r="S183" s="875"/>
      <c r="T183" s="875"/>
      <c r="U183" s="875"/>
      <c r="V183" s="875"/>
      <c r="W183" s="875"/>
      <c r="X183" s="875"/>
      <c r="Y183" s="875"/>
      <c r="Z183" s="875"/>
    </row>
    <row r="184" spans="1:26" ht="18.75">
      <c r="A184" s="995"/>
      <c r="B184" s="877"/>
      <c r="C184" s="996"/>
      <c r="D184" s="878" t="s">
        <v>20</v>
      </c>
      <c r="E184" s="877"/>
      <c r="F184" s="877"/>
      <c r="G184" s="879"/>
      <c r="H184" s="161" t="s">
        <v>12</v>
      </c>
      <c r="I184" s="997"/>
      <c r="J184" s="997"/>
      <c r="K184" s="998"/>
      <c r="L184" s="881">
        <f t="shared" ref="L184:N184" ca="1" si="96">L185+L186</f>
        <v>60500</v>
      </c>
      <c r="M184" s="881">
        <f t="shared" ca="1" si="96"/>
        <v>62660</v>
      </c>
      <c r="N184" s="881">
        <f t="shared" ca="1" si="96"/>
        <v>50997</v>
      </c>
      <c r="O184" s="881">
        <f t="shared" ca="1" si="93"/>
        <v>84.292561983471074</v>
      </c>
      <c r="P184" s="881">
        <f t="shared" ca="1" si="94"/>
        <v>81.386849664857962</v>
      </c>
      <c r="Q184" s="868"/>
      <c r="R184" s="868"/>
      <c r="S184" s="868"/>
      <c r="T184" s="868"/>
      <c r="U184" s="868"/>
      <c r="V184" s="868"/>
      <c r="W184" s="868"/>
      <c r="X184" s="868"/>
      <c r="Y184" s="868"/>
      <c r="Z184" s="868"/>
    </row>
    <row r="185" spans="1:26" ht="19.5" hidden="1">
      <c r="A185" s="993"/>
      <c r="B185" s="883"/>
      <c r="C185" s="999"/>
      <c r="D185" s="883"/>
      <c r="E185" s="884" t="s">
        <v>36</v>
      </c>
      <c r="F185" s="883"/>
      <c r="G185" s="994"/>
      <c r="H185" s="165" t="s">
        <v>12</v>
      </c>
      <c r="I185" s="1000"/>
      <c r="J185" s="1000"/>
      <c r="K185" s="1001"/>
      <c r="L185" s="887">
        <v>0</v>
      </c>
      <c r="M185" s="887">
        <v>0</v>
      </c>
      <c r="N185" s="887">
        <v>0</v>
      </c>
      <c r="O185" s="887">
        <f t="shared" si="93"/>
        <v>0</v>
      </c>
      <c r="P185" s="887">
        <f t="shared" si="94"/>
        <v>0</v>
      </c>
      <c r="Q185" s="875"/>
      <c r="R185" s="875"/>
      <c r="S185" s="875"/>
      <c r="T185" s="875"/>
      <c r="U185" s="875"/>
      <c r="V185" s="875"/>
      <c r="W185" s="875"/>
      <c r="X185" s="875"/>
      <c r="Y185" s="875"/>
      <c r="Z185" s="875"/>
    </row>
    <row r="186" spans="1:26" ht="19.5" hidden="1">
      <c r="A186" s="993"/>
      <c r="B186" s="883"/>
      <c r="C186" s="999"/>
      <c r="D186" s="883"/>
      <c r="E186" s="884" t="s">
        <v>37</v>
      </c>
      <c r="F186" s="883"/>
      <c r="G186" s="994"/>
      <c r="H186" s="165" t="s">
        <v>12</v>
      </c>
      <c r="I186" s="1000"/>
      <c r="J186" s="1000"/>
      <c r="K186" s="1001"/>
      <c r="L186" s="887">
        <f ca="1">IFERROR(__xludf.DUMMYFUNCTION("IMPORTRANGE(""https://docs.google.com/spreadsheets/d/1MeEWN-I1oV_STSDYn1IFDPWt_1FKiwhDph83XaGc0o0/edit?usp=sharing"",""งบพรบ!CO75"")"),60500)</f>
        <v>60500</v>
      </c>
      <c r="M186" s="887">
        <f ca="1">IFERROR(__xludf.DUMMYFUNCTION("IMPORTRANGE(""https://docs.google.com/spreadsheets/d/1MeEWN-I1oV_STSDYn1IFDPWt_1FKiwhDph83XaGc0o0/edit?usp=sharing"",""งบพรบ!CT75"")"),62660)</f>
        <v>62660</v>
      </c>
      <c r="N186" s="887">
        <f ca="1">IFERROR(__xludf.DUMMYFUNCTION("IMPORTRANGE(""https://docs.google.com/spreadsheets/d/1MeEWN-I1oV_STSDYn1IFDPWt_1FKiwhDph83XaGc0o0/edit?usp=sharing"",""งบพรบ!CV75"")"),50997)</f>
        <v>50997</v>
      </c>
      <c r="O186" s="887">
        <f t="shared" ca="1" si="93"/>
        <v>84.292561983471074</v>
      </c>
      <c r="P186" s="887">
        <f t="shared" ca="1" si="94"/>
        <v>81.386849664857962</v>
      </c>
      <c r="Q186" s="875"/>
      <c r="R186" s="875"/>
      <c r="S186" s="875"/>
      <c r="T186" s="875"/>
      <c r="U186" s="875"/>
      <c r="V186" s="875"/>
      <c r="W186" s="875"/>
      <c r="X186" s="875"/>
      <c r="Y186" s="875"/>
      <c r="Z186" s="875"/>
    </row>
    <row r="187" spans="1:26" ht="18.75">
      <c r="A187" s="995"/>
      <c r="B187" s="877"/>
      <c r="C187" s="996"/>
      <c r="D187" s="878" t="s">
        <v>21</v>
      </c>
      <c r="E187" s="877"/>
      <c r="F187" s="877"/>
      <c r="G187" s="879"/>
      <c r="H187" s="168" t="s">
        <v>12</v>
      </c>
      <c r="I187" s="997"/>
      <c r="J187" s="997"/>
      <c r="K187" s="998"/>
      <c r="L187" s="881">
        <f t="shared" ref="L187:N187" ca="1" si="97">L188+L189</f>
        <v>0</v>
      </c>
      <c r="M187" s="881">
        <f t="shared" ca="1" si="97"/>
        <v>0</v>
      </c>
      <c r="N187" s="881">
        <f t="shared" ca="1" si="97"/>
        <v>0</v>
      </c>
      <c r="O187" s="881">
        <f t="shared" ca="1" si="93"/>
        <v>0</v>
      </c>
      <c r="P187" s="881">
        <f t="shared" ca="1" si="94"/>
        <v>0</v>
      </c>
      <c r="Q187" s="868"/>
      <c r="R187" s="868"/>
      <c r="S187" s="868"/>
      <c r="T187" s="868"/>
      <c r="U187" s="868"/>
      <c r="V187" s="868"/>
      <c r="W187" s="868"/>
      <c r="X187" s="868"/>
      <c r="Y187" s="868"/>
      <c r="Z187" s="868"/>
    </row>
    <row r="188" spans="1:26" ht="19.5" hidden="1">
      <c r="A188" s="993"/>
      <c r="B188" s="883"/>
      <c r="C188" s="999"/>
      <c r="D188" s="883"/>
      <c r="E188" s="884" t="s">
        <v>18</v>
      </c>
      <c r="F188" s="883"/>
      <c r="G188" s="994"/>
      <c r="H188" s="165" t="s">
        <v>12</v>
      </c>
      <c r="I188" s="1000"/>
      <c r="J188" s="1000"/>
      <c r="K188" s="1001"/>
      <c r="L188" s="887">
        <v>0</v>
      </c>
      <c r="M188" s="887">
        <v>0</v>
      </c>
      <c r="N188" s="887">
        <v>0</v>
      </c>
      <c r="O188" s="887">
        <f t="shared" si="93"/>
        <v>0</v>
      </c>
      <c r="P188" s="887">
        <f t="shared" si="94"/>
        <v>0</v>
      </c>
      <c r="Q188" s="875"/>
      <c r="R188" s="875"/>
      <c r="S188" s="875"/>
      <c r="T188" s="875"/>
      <c r="U188" s="875"/>
      <c r="V188" s="875"/>
      <c r="W188" s="875"/>
      <c r="X188" s="875"/>
      <c r="Y188" s="875"/>
      <c r="Z188" s="875"/>
    </row>
    <row r="189" spans="1:26" ht="19.5" hidden="1">
      <c r="A189" s="993"/>
      <c r="B189" s="883"/>
      <c r="C189" s="999"/>
      <c r="D189" s="883"/>
      <c r="E189" s="884" t="s">
        <v>19</v>
      </c>
      <c r="F189" s="883"/>
      <c r="G189" s="994"/>
      <c r="H189" s="169" t="s">
        <v>12</v>
      </c>
      <c r="I189" s="1000"/>
      <c r="J189" s="1000"/>
      <c r="K189" s="1001"/>
      <c r="L189" s="887">
        <f ca="1">IFERROR(__xludf.DUMMYFUNCTION("IMPORTRANGE(""https://docs.google.com/spreadsheets/d/1MeEWN-I1oV_STSDYn1IFDPWt_1FKiwhDph83XaGc0o0/edit?usp=sharing"",""งบพรบ!CR75"")"),0)</f>
        <v>0</v>
      </c>
      <c r="M189" s="887">
        <f ca="1">IFERROR(__xludf.DUMMYFUNCTION("IMPORTRANGE(""https://docs.google.com/spreadsheets/d/1MeEWN-I1oV_STSDYn1IFDPWt_1FKiwhDph83XaGc0o0/edit?usp=sharing"",""งบพรบ!CU75"")"),0)</f>
        <v>0</v>
      </c>
      <c r="N189" s="887">
        <f ca="1">IFERROR(__xludf.DUMMYFUNCTION("IMPORTRANGE(""https://docs.google.com/spreadsheets/d/1MeEWN-I1oV_STSDYn1IFDPWt_1FKiwhDph83XaGc0o0/edit?usp=sharing"",""งบพรบ!CW75"")"),0)</f>
        <v>0</v>
      </c>
      <c r="O189" s="887">
        <f t="shared" ca="1" si="93"/>
        <v>0</v>
      </c>
      <c r="P189" s="887">
        <f t="shared" ca="1" si="94"/>
        <v>0</v>
      </c>
      <c r="Q189" s="875"/>
      <c r="R189" s="875"/>
      <c r="S189" s="875"/>
      <c r="T189" s="875"/>
      <c r="U189" s="875"/>
      <c r="V189" s="875"/>
      <c r="W189" s="875"/>
      <c r="X189" s="875"/>
      <c r="Y189" s="875"/>
      <c r="Z189" s="875"/>
    </row>
    <row r="190" spans="1:26" ht="19.5">
      <c r="A190" s="1063"/>
      <c r="B190" s="1070"/>
      <c r="C190" s="1077" t="s">
        <v>89</v>
      </c>
      <c r="D190" s="1064"/>
      <c r="E190" s="1064"/>
      <c r="F190" s="1064"/>
      <c r="G190" s="1066"/>
      <c r="H190" s="260" t="s">
        <v>90</v>
      </c>
      <c r="I190" s="1078">
        <f t="shared" ref="I190:J190" ca="1" si="98">I193</f>
        <v>4</v>
      </c>
      <c r="J190" s="1078">
        <f t="shared" si="98"/>
        <v>2</v>
      </c>
      <c r="K190" s="1079">
        <f ca="1">IF(I190&gt;0,J190*100/I190,0)</f>
        <v>50</v>
      </c>
      <c r="L190" s="1068"/>
      <c r="M190" s="1068"/>
      <c r="N190" s="1068"/>
      <c r="O190" s="1068"/>
      <c r="P190" s="1068"/>
    </row>
    <row r="191" spans="1:26" ht="19.5">
      <c r="A191" s="985"/>
      <c r="B191" s="986"/>
      <c r="C191" s="987" t="s">
        <v>16</v>
      </c>
      <c r="D191" s="1080" t="s">
        <v>17</v>
      </c>
      <c r="E191" s="986"/>
      <c r="F191" s="986"/>
      <c r="G191" s="989"/>
      <c r="H191" s="275" t="s">
        <v>12</v>
      </c>
      <c r="I191" s="990"/>
      <c r="J191" s="990"/>
      <c r="K191" s="991"/>
      <c r="L191" s="992">
        <f ca="1">IFERROR(__xludf.DUMMYFUNCTION("IMPORTRANGE(""https://docs.google.com/spreadsheets/d/1QqKyyYR6Q21VydFLVH3TRQUabQu_ym0Zz7PgGX0-kHA/edit?usp=sharing"",""แผน!Z75"")"),6000)</f>
        <v>6000</v>
      </c>
      <c r="M191" s="992"/>
      <c r="N191" s="1081">
        <v>1240</v>
      </c>
      <c r="O191" s="992">
        <f ca="1">IF(L191&gt;0,N191*100/L191,0)</f>
        <v>20.666666666666668</v>
      </c>
      <c r="P191" s="992">
        <f>IF(M191&gt;0,N191*100/M191,0)</f>
        <v>0</v>
      </c>
      <c r="Q191" s="868"/>
      <c r="R191" s="868"/>
      <c r="S191" s="868"/>
      <c r="T191" s="868"/>
      <c r="U191" s="868"/>
      <c r="V191" s="868"/>
      <c r="W191" s="868"/>
      <c r="X191" s="868"/>
      <c r="Y191" s="868"/>
      <c r="Z191" s="868"/>
    </row>
    <row r="192" spans="1:26" ht="19.5">
      <c r="A192" s="1002"/>
      <c r="B192" s="1003"/>
      <c r="C192" s="1029" t="s">
        <v>16</v>
      </c>
      <c r="D192" s="1004" t="s">
        <v>38</v>
      </c>
      <c r="E192" s="1005"/>
      <c r="F192" s="1005"/>
      <c r="G192" s="1006"/>
      <c r="H192" s="1007"/>
      <c r="I192" s="880"/>
      <c r="J192" s="880"/>
      <c r="K192" s="881"/>
      <c r="L192" s="881"/>
      <c r="M192" s="881"/>
      <c r="N192" s="881"/>
      <c r="O192" s="881"/>
      <c r="P192" s="881"/>
      <c r="Q192" s="868"/>
      <c r="R192" s="868"/>
      <c r="S192" s="868"/>
      <c r="T192" s="868"/>
      <c r="U192" s="868"/>
      <c r="V192" s="868"/>
      <c r="W192" s="868"/>
      <c r="X192" s="868"/>
      <c r="Y192" s="868"/>
      <c r="Z192" s="868"/>
    </row>
    <row r="193" spans="1:26" ht="18.75">
      <c r="A193" s="1002"/>
      <c r="B193" s="1003"/>
      <c r="C193" s="1003"/>
      <c r="D193" s="1009" t="s">
        <v>91</v>
      </c>
      <c r="E193" s="1010"/>
      <c r="F193" s="1010"/>
      <c r="G193" s="1011"/>
      <c r="H193" s="762" t="s">
        <v>90</v>
      </c>
      <c r="I193" s="880">
        <f ca="1">IFERROR(__xludf.DUMMYFUNCTION("IMPORTRANGE(""https://docs.google.com/spreadsheets/d/1QqKyyYR6Q21VydFLVH3TRQUabQu_ym0Zz7PgGX0-kHA/edit?usp=sharing"",""แผน!AC75"")"),4)</f>
        <v>4</v>
      </c>
      <c r="J193" s="1012">
        <v>2</v>
      </c>
      <c r="K193" s="881">
        <f ca="1">IF(I193&gt;0,J193*100/I193,0)</f>
        <v>50</v>
      </c>
      <c r="L193" s="881"/>
      <c r="M193" s="881"/>
      <c r="N193" s="881"/>
      <c r="O193" s="881"/>
      <c r="P193" s="881"/>
      <c r="Q193" s="868"/>
      <c r="R193" s="868"/>
      <c r="S193" s="868"/>
      <c r="T193" s="868"/>
      <c r="U193" s="868"/>
      <c r="V193" s="868"/>
      <c r="W193" s="868"/>
      <c r="X193" s="868"/>
      <c r="Y193" s="868"/>
      <c r="Z193" s="868"/>
    </row>
    <row r="194" spans="1:26" ht="18.75">
      <c r="A194" s="1002"/>
      <c r="B194" s="1003"/>
      <c r="C194" s="1003"/>
      <c r="D194" s="1009" t="s">
        <v>92</v>
      </c>
      <c r="E194" s="1010"/>
      <c r="F194" s="1010"/>
      <c r="G194" s="1011"/>
      <c r="H194" s="277" t="s">
        <v>35</v>
      </c>
      <c r="I194" s="880"/>
      <c r="J194" s="880">
        <f>J195+J196</f>
        <v>34</v>
      </c>
      <c r="K194" s="881"/>
      <c r="L194" s="881"/>
      <c r="M194" s="881"/>
      <c r="N194" s="881"/>
      <c r="O194" s="881"/>
      <c r="P194" s="881"/>
      <c r="Q194" s="868"/>
      <c r="R194" s="868"/>
      <c r="S194" s="868"/>
      <c r="T194" s="868"/>
      <c r="U194" s="868"/>
      <c r="V194" s="868"/>
      <c r="W194" s="868"/>
      <c r="X194" s="868"/>
      <c r="Y194" s="868"/>
      <c r="Z194" s="868"/>
    </row>
    <row r="195" spans="1:26" ht="18.75">
      <c r="A195" s="1002"/>
      <c r="B195" s="1003"/>
      <c r="C195" s="1003"/>
      <c r="D195" s="1003"/>
      <c r="E195" s="1009" t="s">
        <v>93</v>
      </c>
      <c r="F195" s="1010"/>
      <c r="G195" s="1011"/>
      <c r="H195" s="277" t="s">
        <v>35</v>
      </c>
      <c r="I195" s="880"/>
      <c r="J195" s="1012">
        <v>34</v>
      </c>
      <c r="K195" s="881"/>
      <c r="L195" s="881"/>
      <c r="M195" s="881"/>
      <c r="N195" s="881"/>
      <c r="O195" s="881"/>
      <c r="P195" s="881"/>
      <c r="Q195" s="868"/>
      <c r="R195" s="868"/>
      <c r="S195" s="868"/>
      <c r="T195" s="868"/>
      <c r="U195" s="868"/>
      <c r="V195" s="868"/>
      <c r="W195" s="868"/>
      <c r="X195" s="868"/>
      <c r="Y195" s="868"/>
      <c r="Z195" s="868"/>
    </row>
    <row r="196" spans="1:26" ht="18.75">
      <c r="A196" s="1002"/>
      <c r="B196" s="1003"/>
      <c r="C196" s="1003"/>
      <c r="D196" s="1003"/>
      <c r="E196" s="1009" t="s">
        <v>94</v>
      </c>
      <c r="F196" s="1010"/>
      <c r="G196" s="1011"/>
      <c r="H196" s="277" t="s">
        <v>35</v>
      </c>
      <c r="I196" s="880"/>
      <c r="J196" s="1012">
        <v>0</v>
      </c>
      <c r="K196" s="881"/>
      <c r="L196" s="881"/>
      <c r="M196" s="881"/>
      <c r="N196" s="881"/>
      <c r="O196" s="881"/>
      <c r="P196" s="881"/>
      <c r="Q196" s="868"/>
      <c r="R196" s="868"/>
      <c r="S196" s="868"/>
      <c r="T196" s="868"/>
      <c r="U196" s="868"/>
      <c r="V196" s="868"/>
      <c r="W196" s="868"/>
      <c r="X196" s="868"/>
      <c r="Y196" s="868"/>
      <c r="Z196" s="868"/>
    </row>
    <row r="197" spans="1:26" ht="19.5">
      <c r="A197" s="1063"/>
      <c r="B197" s="1070"/>
      <c r="C197" s="1077" t="s">
        <v>95</v>
      </c>
      <c r="D197" s="1064"/>
      <c r="E197" s="1064"/>
      <c r="F197" s="1064"/>
      <c r="G197" s="1066"/>
      <c r="H197" s="278" t="s">
        <v>96</v>
      </c>
      <c r="I197" s="1078">
        <f t="shared" ref="I197:J197" ca="1" si="99">I204</f>
        <v>2</v>
      </c>
      <c r="J197" s="1078">
        <f t="shared" si="99"/>
        <v>2</v>
      </c>
      <c r="K197" s="1079">
        <f ca="1">IF(I197&gt;0,J197*100/I197,0)</f>
        <v>100</v>
      </c>
      <c r="L197" s="1068"/>
      <c r="M197" s="1068"/>
      <c r="N197" s="1068"/>
      <c r="O197" s="1068"/>
      <c r="P197" s="1068"/>
    </row>
    <row r="198" spans="1:26" ht="19.5">
      <c r="A198" s="985"/>
      <c r="B198" s="986"/>
      <c r="C198" s="987" t="s">
        <v>16</v>
      </c>
      <c r="D198" s="1080" t="s">
        <v>17</v>
      </c>
      <c r="E198" s="986"/>
      <c r="F198" s="986"/>
      <c r="G198" s="989"/>
      <c r="H198" s="275" t="s">
        <v>12</v>
      </c>
      <c r="I198" s="1082"/>
      <c r="J198" s="1082"/>
      <c r="K198" s="1083"/>
      <c r="L198" s="992">
        <f ca="1">L199+L200+L201+L202</f>
        <v>26000</v>
      </c>
      <c r="M198" s="992"/>
      <c r="N198" s="992">
        <f>N199+N200+N201+N202</f>
        <v>26000</v>
      </c>
      <c r="O198" s="992">
        <f ca="1">IF(L198&gt;0,N198*100/L198,0)</f>
        <v>100</v>
      </c>
      <c r="P198" s="992">
        <f>IF(M198&gt;0,N198*100/M198,0)</f>
        <v>0</v>
      </c>
      <c r="Q198" s="868"/>
      <c r="R198" s="868"/>
      <c r="S198" s="868"/>
      <c r="T198" s="868"/>
      <c r="U198" s="868"/>
      <c r="V198" s="868"/>
      <c r="W198" s="868"/>
      <c r="X198" s="868"/>
      <c r="Y198" s="868"/>
      <c r="Z198" s="868"/>
    </row>
    <row r="199" spans="1:26" ht="18.75">
      <c r="A199" s="995"/>
      <c r="B199" s="1084"/>
      <c r="C199" s="877"/>
      <c r="D199" s="996" t="s">
        <v>97</v>
      </c>
      <c r="E199" s="877"/>
      <c r="F199" s="877"/>
      <c r="G199" s="879"/>
      <c r="H199" s="161" t="s">
        <v>12</v>
      </c>
      <c r="I199" s="997"/>
      <c r="J199" s="997"/>
      <c r="K199" s="998"/>
      <c r="L199" s="881">
        <f ca="1">IFERROR(__xludf.DUMMYFUNCTION("IMPORTRANGE(""https://docs.google.com/spreadsheets/d/1QqKyyYR6Q21VydFLVH3TRQUabQu_ym0Zz7PgGX0-kHA/edit?usp=sharing"",""แผน!AE75"")"),2000)</f>
        <v>2000</v>
      </c>
      <c r="M199" s="881"/>
      <c r="N199" s="1085">
        <v>1893</v>
      </c>
      <c r="O199" s="881"/>
      <c r="P199" s="881"/>
      <c r="Q199" s="868"/>
      <c r="R199" s="868"/>
      <c r="S199" s="868"/>
      <c r="T199" s="868"/>
      <c r="U199" s="868"/>
      <c r="V199" s="868"/>
      <c r="W199" s="868"/>
      <c r="X199" s="868"/>
      <c r="Y199" s="868"/>
      <c r="Z199" s="868"/>
    </row>
    <row r="200" spans="1:26" ht="19.5">
      <c r="A200" s="1086"/>
      <c r="B200" s="1084"/>
      <c r="C200" s="1029"/>
      <c r="D200" s="996" t="s">
        <v>98</v>
      </c>
      <c r="E200" s="877"/>
      <c r="F200" s="877"/>
      <c r="G200" s="879"/>
      <c r="H200" s="622" t="s">
        <v>12</v>
      </c>
      <c r="I200" s="880"/>
      <c r="J200" s="880"/>
      <c r="K200" s="881"/>
      <c r="L200" s="881">
        <f ca="1">IFERROR(__xludf.DUMMYFUNCTION("IMPORTRANGE(""https://docs.google.com/spreadsheets/d/1QqKyyYR6Q21VydFLVH3TRQUabQu_ym0Zz7PgGX0-kHA/edit?usp=sharing"",""แผน!AF75"")"),16000)</f>
        <v>16000</v>
      </c>
      <c r="M200" s="881"/>
      <c r="N200" s="1085">
        <v>16017</v>
      </c>
      <c r="O200" s="881"/>
      <c r="P200" s="881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</row>
    <row r="201" spans="1:26" ht="19.5">
      <c r="A201" s="1086"/>
      <c r="B201" s="1084"/>
      <c r="C201" s="1029"/>
      <c r="D201" s="996" t="s">
        <v>99</v>
      </c>
      <c r="E201" s="877"/>
      <c r="F201" s="877"/>
      <c r="G201" s="879"/>
      <c r="H201" s="622" t="s">
        <v>12</v>
      </c>
      <c r="I201" s="880"/>
      <c r="J201" s="880"/>
      <c r="K201" s="881"/>
      <c r="L201" s="881">
        <f ca="1">IFERROR(__xludf.DUMMYFUNCTION("IMPORTRANGE(""https://docs.google.com/spreadsheets/d/1QqKyyYR6Q21VydFLVH3TRQUabQu_ym0Zz7PgGX0-kHA/edit?usp=sharing"",""แผน!AG75"")"),8000)</f>
        <v>8000</v>
      </c>
      <c r="M201" s="881"/>
      <c r="N201" s="1085">
        <v>8090</v>
      </c>
      <c r="O201" s="881"/>
      <c r="P201" s="881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</row>
    <row r="202" spans="1:26" ht="19.5">
      <c r="A202" s="1086"/>
      <c r="B202" s="1084"/>
      <c r="C202" s="1029"/>
      <c r="D202" s="996" t="s">
        <v>100</v>
      </c>
      <c r="E202" s="877"/>
      <c r="F202" s="877"/>
      <c r="G202" s="879"/>
      <c r="H202" s="622" t="s">
        <v>12</v>
      </c>
      <c r="I202" s="880"/>
      <c r="J202" s="880"/>
      <c r="K202" s="881"/>
      <c r="L202" s="881">
        <f ca="1">IFERROR(__xludf.DUMMYFUNCTION("IMPORTRANGE(""https://docs.google.com/spreadsheets/d/1QqKyyYR6Q21VydFLVH3TRQUabQu_ym0Zz7PgGX0-kHA/edit?usp=sharing"",""แผน!AH75"")"),0)</f>
        <v>0</v>
      </c>
      <c r="M202" s="881"/>
      <c r="N202" s="1085">
        <v>0</v>
      </c>
      <c r="O202" s="881"/>
      <c r="P202" s="881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</row>
    <row r="203" spans="1:26" ht="19.5">
      <c r="A203" s="1002"/>
      <c r="B203" s="1003"/>
      <c r="C203" s="1029" t="s">
        <v>16</v>
      </c>
      <c r="D203" s="1004" t="s">
        <v>38</v>
      </c>
      <c r="E203" s="1005"/>
      <c r="F203" s="1005"/>
      <c r="G203" s="1006"/>
      <c r="H203" s="1007"/>
      <c r="I203" s="997"/>
      <c r="J203" s="997"/>
      <c r="K203" s="998"/>
      <c r="L203" s="998"/>
      <c r="M203" s="998"/>
      <c r="N203" s="998"/>
      <c r="O203" s="998"/>
      <c r="P203" s="99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</row>
    <row r="204" spans="1:26" ht="18.75">
      <c r="A204" s="1002"/>
      <c r="B204" s="1003"/>
      <c r="C204" s="1003"/>
      <c r="D204" s="1008" t="s">
        <v>101</v>
      </c>
      <c r="E204" s="1010"/>
      <c r="F204" s="1010"/>
      <c r="G204" s="1011"/>
      <c r="H204" s="1007" t="s">
        <v>96</v>
      </c>
      <c r="I204" s="880">
        <f ca="1">IFERROR(__xludf.DUMMYFUNCTION("IMPORTRANGE(""https://docs.google.com/spreadsheets/d/1QqKyyYR6Q21VydFLVH3TRQUabQu_ym0Zz7PgGX0-kHA/edit?usp=sharing"",""แผน!AI75"")"),2)</f>
        <v>2</v>
      </c>
      <c r="J204" s="1012">
        <v>2</v>
      </c>
      <c r="K204" s="998">
        <f ca="1">IF(I204&gt;0,J204*100/I204,0)</f>
        <v>100</v>
      </c>
      <c r="L204" s="881"/>
      <c r="M204" s="881"/>
      <c r="N204" s="881"/>
      <c r="O204" s="881"/>
      <c r="P204" s="881"/>
      <c r="Q204" s="868"/>
      <c r="R204" s="868"/>
      <c r="S204" s="868"/>
      <c r="T204" s="868"/>
      <c r="U204" s="868"/>
      <c r="V204" s="868"/>
      <c r="W204" s="868"/>
      <c r="X204" s="868"/>
      <c r="Y204" s="868"/>
      <c r="Z204" s="868"/>
    </row>
    <row r="205" spans="1:26" ht="18.75">
      <c r="A205" s="1002"/>
      <c r="B205" s="1003"/>
      <c r="C205" s="1003"/>
      <c r="D205" s="1009" t="s">
        <v>59</v>
      </c>
      <c r="E205" s="1010"/>
      <c r="F205" s="1010"/>
      <c r="G205" s="1011"/>
      <c r="H205" s="1007"/>
      <c r="I205" s="880"/>
      <c r="J205" s="880"/>
      <c r="K205" s="998"/>
      <c r="L205" s="881"/>
      <c r="M205" s="881"/>
      <c r="N205" s="881"/>
      <c r="O205" s="881"/>
      <c r="P205" s="881"/>
      <c r="Q205" s="868"/>
      <c r="R205" s="868"/>
      <c r="S205" s="868"/>
      <c r="T205" s="868"/>
      <c r="U205" s="868"/>
      <c r="V205" s="868"/>
      <c r="W205" s="868"/>
      <c r="X205" s="868"/>
      <c r="Y205" s="868"/>
      <c r="Z205" s="868"/>
    </row>
    <row r="206" spans="1:26" ht="18.75">
      <c r="A206" s="1002"/>
      <c r="B206" s="1003"/>
      <c r="C206" s="1003"/>
      <c r="D206" s="1010"/>
      <c r="E206" s="1021" t="s">
        <v>102</v>
      </c>
      <c r="F206" s="1088"/>
      <c r="G206" s="1089"/>
      <c r="H206" s="1090" t="s">
        <v>96</v>
      </c>
      <c r="I206" s="880">
        <v>2</v>
      </c>
      <c r="J206" s="1012">
        <v>2</v>
      </c>
      <c r="K206" s="998">
        <f t="shared" ref="K206:K208" si="100">IF(I206&gt;0,J206*100/I206,0)</f>
        <v>100</v>
      </c>
      <c r="L206" s="881"/>
      <c r="M206" s="881"/>
      <c r="N206" s="881"/>
      <c r="O206" s="881"/>
      <c r="P206" s="881"/>
      <c r="Q206" s="868"/>
      <c r="R206" s="868"/>
      <c r="S206" s="868"/>
      <c r="T206" s="868"/>
      <c r="U206" s="868"/>
      <c r="V206" s="868"/>
      <c r="W206" s="868"/>
      <c r="X206" s="868"/>
      <c r="Y206" s="868"/>
      <c r="Z206" s="868"/>
    </row>
    <row r="207" spans="1:26" ht="18.75">
      <c r="A207" s="1002"/>
      <c r="B207" s="1003"/>
      <c r="C207" s="1003"/>
      <c r="D207" s="1009"/>
      <c r="E207" s="1009" t="s">
        <v>103</v>
      </c>
      <c r="F207" s="1010"/>
      <c r="G207" s="1010"/>
      <c r="H207" s="290" t="s">
        <v>104</v>
      </c>
      <c r="I207" s="880">
        <v>0</v>
      </c>
      <c r="J207" s="1012">
        <v>0</v>
      </c>
      <c r="K207" s="998">
        <f t="shared" si="100"/>
        <v>0</v>
      </c>
      <c r="L207" s="881"/>
      <c r="M207" s="881"/>
      <c r="N207" s="881"/>
      <c r="O207" s="881"/>
      <c r="P207" s="881"/>
      <c r="Q207" s="868"/>
      <c r="R207" s="868"/>
      <c r="S207" s="868"/>
      <c r="T207" s="868"/>
      <c r="U207" s="868"/>
      <c r="V207" s="868"/>
      <c r="W207" s="868"/>
      <c r="X207" s="868"/>
      <c r="Y207" s="868"/>
      <c r="Z207" s="868"/>
    </row>
    <row r="208" spans="1:26" ht="19.5" hidden="1">
      <c r="A208" s="1063"/>
      <c r="B208" s="1070"/>
      <c r="C208" s="1077" t="s">
        <v>105</v>
      </c>
      <c r="D208" s="1064"/>
      <c r="E208" s="1064"/>
      <c r="F208" s="1091"/>
      <c r="G208" s="1066"/>
      <c r="H208" s="278" t="s">
        <v>96</v>
      </c>
      <c r="I208" s="1078">
        <f t="shared" ref="I208:J208" ca="1" si="101">I215</f>
        <v>0</v>
      </c>
      <c r="J208" s="1078">
        <f t="shared" si="101"/>
        <v>0</v>
      </c>
      <c r="K208" s="1079">
        <f t="shared" ca="1" si="100"/>
        <v>0</v>
      </c>
      <c r="L208" s="1068"/>
      <c r="M208" s="1068"/>
      <c r="N208" s="1068"/>
      <c r="O208" s="1068"/>
      <c r="P208" s="1068"/>
    </row>
    <row r="209" spans="1:26" ht="19.5" hidden="1">
      <c r="A209" s="985"/>
      <c r="B209" s="986"/>
      <c r="C209" s="987" t="s">
        <v>16</v>
      </c>
      <c r="D209" s="1080" t="s">
        <v>17</v>
      </c>
      <c r="E209" s="986"/>
      <c r="F209" s="986"/>
      <c r="G209" s="989"/>
      <c r="H209" s="275" t="s">
        <v>12</v>
      </c>
      <c r="I209" s="1082"/>
      <c r="J209" s="1082"/>
      <c r="K209" s="1083"/>
      <c r="L209" s="992">
        <f ca="1">L210+L211+L212</f>
        <v>0</v>
      </c>
      <c r="M209" s="992"/>
      <c r="N209" s="992">
        <f>N210+N211+N212</f>
        <v>0</v>
      </c>
      <c r="O209" s="992">
        <f ca="1">IF(L209&gt;0,N209*100/L209,0)</f>
        <v>0</v>
      </c>
      <c r="P209" s="992">
        <f>IF(M209&gt;0,N209*100/M209,0)</f>
        <v>0</v>
      </c>
      <c r="Q209" s="868"/>
      <c r="R209" s="868"/>
      <c r="S209" s="868"/>
      <c r="T209" s="868"/>
      <c r="U209" s="868"/>
      <c r="V209" s="868"/>
      <c r="W209" s="868"/>
      <c r="X209" s="868"/>
      <c r="Y209" s="868"/>
      <c r="Z209" s="868"/>
    </row>
    <row r="210" spans="1:26" ht="18.75" hidden="1">
      <c r="A210" s="995"/>
      <c r="B210" s="1084"/>
      <c r="C210" s="877"/>
      <c r="D210" s="996" t="s">
        <v>97</v>
      </c>
      <c r="E210" s="877"/>
      <c r="F210" s="877"/>
      <c r="G210" s="879"/>
      <c r="H210" s="161" t="s">
        <v>12</v>
      </c>
      <c r="I210" s="997"/>
      <c r="J210" s="997"/>
      <c r="K210" s="998"/>
      <c r="L210" s="881">
        <f ca="1">IFERROR(__xludf.DUMMYFUNCTION("IMPORTRANGE(""https://docs.google.com/spreadsheets/d/1QqKyyYR6Q21VydFLVH3TRQUabQu_ym0Zz7PgGX0-kHA/edit?usp=sharing"",""แผน!AK75"")"),0)</f>
        <v>0</v>
      </c>
      <c r="M210" s="881"/>
      <c r="N210" s="1085">
        <v>0</v>
      </c>
      <c r="O210" s="881"/>
      <c r="P210" s="881"/>
      <c r="Q210" s="868"/>
      <c r="R210" s="868"/>
      <c r="S210" s="868"/>
      <c r="T210" s="868"/>
      <c r="U210" s="868"/>
      <c r="V210" s="868"/>
      <c r="W210" s="868"/>
      <c r="X210" s="868"/>
      <c r="Y210" s="868"/>
      <c r="Z210" s="868"/>
    </row>
    <row r="211" spans="1:26" ht="19.5" hidden="1">
      <c r="A211" s="1086"/>
      <c r="B211" s="1084"/>
      <c r="C211" s="1092"/>
      <c r="D211" s="996" t="s">
        <v>99</v>
      </c>
      <c r="E211" s="877"/>
      <c r="F211" s="877"/>
      <c r="G211" s="879"/>
      <c r="H211" s="161" t="s">
        <v>12</v>
      </c>
      <c r="I211" s="880"/>
      <c r="J211" s="880"/>
      <c r="K211" s="881"/>
      <c r="L211" s="881">
        <f ca="1">IFERROR(__xludf.DUMMYFUNCTION("IMPORTRANGE(""https://docs.google.com/spreadsheets/d/1QqKyyYR6Q21VydFLVH3TRQUabQu_ym0Zz7PgGX0-kHA/edit?usp=sharing"",""แผน!AL75"")"),0)</f>
        <v>0</v>
      </c>
      <c r="M211" s="881"/>
      <c r="N211" s="1085">
        <v>0</v>
      </c>
      <c r="O211" s="881"/>
      <c r="P211" s="881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</row>
    <row r="212" spans="1:26" ht="19.5" hidden="1">
      <c r="A212" s="1086"/>
      <c r="B212" s="1084"/>
      <c r="C212" s="1092"/>
      <c r="D212" s="996" t="s">
        <v>98</v>
      </c>
      <c r="E212" s="877"/>
      <c r="F212" s="877"/>
      <c r="G212" s="879"/>
      <c r="H212" s="161" t="s">
        <v>12</v>
      </c>
      <c r="I212" s="880"/>
      <c r="J212" s="880"/>
      <c r="K212" s="881"/>
      <c r="L212" s="881">
        <f ca="1">IFERROR(__xludf.DUMMYFUNCTION("IMPORTRANGE(""https://docs.google.com/spreadsheets/d/1QqKyyYR6Q21VydFLVH3TRQUabQu_ym0Zz7PgGX0-kHA/edit?usp=sharing"",""แผน!AM75"")"),0)</f>
        <v>0</v>
      </c>
      <c r="M212" s="881"/>
      <c r="N212" s="1085">
        <v>0</v>
      </c>
      <c r="O212" s="881"/>
      <c r="P212" s="881"/>
      <c r="Q212" s="1087"/>
      <c r="R212" s="1087"/>
      <c r="S212" s="1087"/>
      <c r="T212" s="1087"/>
      <c r="U212" s="1087"/>
      <c r="V212" s="1087"/>
      <c r="W212" s="1087"/>
      <c r="X212" s="1087"/>
      <c r="Y212" s="1087"/>
      <c r="Z212" s="1087"/>
    </row>
    <row r="213" spans="1:26" ht="19.5" hidden="1">
      <c r="A213" s="1002"/>
      <c r="B213" s="1003"/>
      <c r="C213" s="1092" t="s">
        <v>16</v>
      </c>
      <c r="D213" s="1004" t="s">
        <v>38</v>
      </c>
      <c r="E213" s="1005"/>
      <c r="F213" s="1005"/>
      <c r="G213" s="1006"/>
      <c r="H213" s="1007"/>
      <c r="I213" s="997"/>
      <c r="J213" s="880"/>
      <c r="K213" s="881"/>
      <c r="L213" s="881"/>
      <c r="M213" s="881"/>
      <c r="N213" s="881"/>
      <c r="O213" s="998"/>
      <c r="P213" s="998"/>
      <c r="Q213" s="868"/>
      <c r="R213" s="868"/>
      <c r="S213" s="868"/>
      <c r="T213" s="868"/>
      <c r="U213" s="868"/>
      <c r="V213" s="868"/>
      <c r="W213" s="868"/>
      <c r="X213" s="868"/>
      <c r="Y213" s="868"/>
      <c r="Z213" s="868"/>
    </row>
    <row r="214" spans="1:26" ht="18.75" hidden="1">
      <c r="A214" s="1002"/>
      <c r="B214" s="1003"/>
      <c r="C214" s="1003"/>
      <c r="D214" s="1008" t="s">
        <v>106</v>
      </c>
      <c r="E214" s="1010"/>
      <c r="F214" s="1010"/>
      <c r="G214" s="1011"/>
      <c r="H214" s="1007" t="s">
        <v>96</v>
      </c>
      <c r="I214" s="880">
        <f ca="1">IFERROR(__xludf.DUMMYFUNCTION("IMPORTRANGE(""https://docs.google.com/spreadsheets/d/1QqKyyYR6Q21VydFLVH3TRQUabQu_ym0Zz7PgGX0-kHA/edit?usp=sharing"",""แผน!AN75"")"),0)</f>
        <v>0</v>
      </c>
      <c r="J214" s="1012">
        <v>0</v>
      </c>
      <c r="K214" s="881">
        <f t="shared" ref="K214:K216" ca="1" si="102">IF(I214&gt;0,J214*100/I214,0)</f>
        <v>0</v>
      </c>
      <c r="L214" s="881"/>
      <c r="M214" s="881"/>
      <c r="N214" s="881"/>
      <c r="O214" s="881"/>
      <c r="P214" s="881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</row>
    <row r="215" spans="1:26" ht="18.75" hidden="1">
      <c r="A215" s="1002"/>
      <c r="B215" s="1003"/>
      <c r="C215" s="1003"/>
      <c r="D215" s="1008" t="s">
        <v>107</v>
      </c>
      <c r="E215" s="1010"/>
      <c r="F215" s="1010"/>
      <c r="G215" s="1011"/>
      <c r="H215" s="1007" t="s">
        <v>96</v>
      </c>
      <c r="I215" s="880">
        <f ca="1">IFERROR(__xludf.DUMMYFUNCTION("IMPORTRANGE(""https://docs.google.com/spreadsheets/d/1QqKyyYR6Q21VydFLVH3TRQUabQu_ym0Zz7PgGX0-kHA/edit?usp=sharing"",""แผน!AN75"")"),0)</f>
        <v>0</v>
      </c>
      <c r="J215" s="1012">
        <v>0</v>
      </c>
      <c r="K215" s="881">
        <f t="shared" ca="1" si="102"/>
        <v>0</v>
      </c>
      <c r="L215" s="881"/>
      <c r="M215" s="881"/>
      <c r="N215" s="881"/>
      <c r="O215" s="881"/>
      <c r="P215" s="881"/>
      <c r="Q215" s="868"/>
      <c r="R215" s="868"/>
      <c r="S215" s="868"/>
      <c r="T215" s="868"/>
      <c r="U215" s="868"/>
      <c r="V215" s="868"/>
      <c r="W215" s="868"/>
      <c r="X215" s="868"/>
      <c r="Y215" s="868"/>
      <c r="Z215" s="868"/>
    </row>
    <row r="216" spans="1:26" ht="19.5">
      <c r="A216" s="1063"/>
      <c r="B216" s="1070"/>
      <c r="C216" s="1077" t="s">
        <v>108</v>
      </c>
      <c r="D216" s="1064"/>
      <c r="E216" s="1064"/>
      <c r="F216" s="1091"/>
      <c r="G216" s="1066"/>
      <c r="H216" s="260" t="s">
        <v>109</v>
      </c>
      <c r="I216" s="1078">
        <f t="shared" ref="I216:J216" ca="1" si="103">I224</f>
        <v>50000</v>
      </c>
      <c r="J216" s="1078">
        <f t="shared" si="103"/>
        <v>0</v>
      </c>
      <c r="K216" s="1079">
        <f t="shared" ca="1" si="102"/>
        <v>0</v>
      </c>
      <c r="L216" s="1068"/>
      <c r="M216" s="1068"/>
      <c r="N216" s="1068"/>
      <c r="O216" s="1068"/>
      <c r="P216" s="1068"/>
    </row>
    <row r="217" spans="1:26" ht="19.5">
      <c r="A217" s="985"/>
      <c r="B217" s="986"/>
      <c r="C217" s="987" t="s">
        <v>16</v>
      </c>
      <c r="D217" s="1080" t="s">
        <v>17</v>
      </c>
      <c r="E217" s="986"/>
      <c r="F217" s="986"/>
      <c r="G217" s="989"/>
      <c r="H217" s="275" t="s">
        <v>12</v>
      </c>
      <c r="I217" s="1082"/>
      <c r="J217" s="1082"/>
      <c r="K217" s="1083"/>
      <c r="L217" s="992">
        <f ca="1">L218+L219+L220</f>
        <v>28500</v>
      </c>
      <c r="M217" s="992"/>
      <c r="N217" s="992">
        <f>N218+N219+N220</f>
        <v>10000</v>
      </c>
      <c r="O217" s="992">
        <f ca="1">IF(L217&gt;0,N217*100/L217,0)</f>
        <v>35.087719298245617</v>
      </c>
      <c r="P217" s="992">
        <f>IF(M217&gt;0,N217*100/M217,0)</f>
        <v>0</v>
      </c>
      <c r="Q217" s="868"/>
      <c r="R217" s="868"/>
      <c r="S217" s="868"/>
      <c r="T217" s="868"/>
      <c r="U217" s="868"/>
      <c r="V217" s="868"/>
      <c r="W217" s="868"/>
      <c r="X217" s="868"/>
      <c r="Y217" s="868"/>
      <c r="Z217" s="868"/>
    </row>
    <row r="218" spans="1:26" ht="18.75">
      <c r="A218" s="995"/>
      <c r="B218" s="1084"/>
      <c r="C218" s="877"/>
      <c r="D218" s="996" t="s">
        <v>97</v>
      </c>
      <c r="E218" s="877"/>
      <c r="F218" s="877"/>
      <c r="G218" s="879"/>
      <c r="H218" s="161" t="s">
        <v>12</v>
      </c>
      <c r="I218" s="997"/>
      <c r="J218" s="997"/>
      <c r="K218" s="998"/>
      <c r="L218" s="881">
        <f ca="1">IFERROR(__xludf.DUMMYFUNCTION("IMPORTRANGE(""https://docs.google.com/spreadsheets/d/1QqKyyYR6Q21VydFLVH3TRQUabQu_ym0Zz7PgGX0-kHA/edit?usp=sharing"",""แผน!AP75"")"),5000)</f>
        <v>5000</v>
      </c>
      <c r="M218" s="881"/>
      <c r="N218" s="1085">
        <v>0</v>
      </c>
      <c r="O218" s="881"/>
      <c r="P218" s="881"/>
      <c r="Q218" s="868"/>
      <c r="R218" s="868"/>
      <c r="S218" s="868"/>
      <c r="T218" s="868"/>
      <c r="U218" s="868"/>
      <c r="V218" s="868"/>
      <c r="W218" s="868"/>
      <c r="X218" s="868"/>
      <c r="Y218" s="868"/>
      <c r="Z218" s="868"/>
    </row>
    <row r="219" spans="1:26" ht="19.5">
      <c r="A219" s="1086"/>
      <c r="B219" s="1084"/>
      <c r="C219" s="1092"/>
      <c r="D219" s="996" t="s">
        <v>110</v>
      </c>
      <c r="E219" s="877"/>
      <c r="F219" s="877"/>
      <c r="G219" s="879"/>
      <c r="H219" s="161" t="s">
        <v>12</v>
      </c>
      <c r="I219" s="880"/>
      <c r="J219" s="880"/>
      <c r="K219" s="881"/>
      <c r="L219" s="881">
        <f ca="1">IFERROR(__xludf.DUMMYFUNCTION("IMPORTRANGE(""https://docs.google.com/spreadsheets/d/1QqKyyYR6Q21VydFLVH3TRQUabQu_ym0Zz7PgGX0-kHA/edit?usp=sharing"",""แผน!AQ75"")"),13500)</f>
        <v>13500</v>
      </c>
      <c r="M219" s="881"/>
      <c r="N219" s="1085">
        <v>0</v>
      </c>
      <c r="O219" s="881"/>
      <c r="P219" s="881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</row>
    <row r="220" spans="1:26" ht="19.5">
      <c r="A220" s="1086"/>
      <c r="B220" s="1084"/>
      <c r="C220" s="1092"/>
      <c r="D220" s="996" t="s">
        <v>98</v>
      </c>
      <c r="E220" s="877"/>
      <c r="F220" s="877"/>
      <c r="G220" s="879"/>
      <c r="H220" s="161" t="s">
        <v>12</v>
      </c>
      <c r="I220" s="880"/>
      <c r="J220" s="880"/>
      <c r="K220" s="881"/>
      <c r="L220" s="881">
        <f ca="1">IFERROR(__xludf.DUMMYFUNCTION("IMPORTRANGE(""https://docs.google.com/spreadsheets/d/1QqKyyYR6Q21VydFLVH3TRQUabQu_ym0Zz7PgGX0-kHA/edit?usp=sharing"",""แผน!AR75"")"),10000)</f>
        <v>10000</v>
      </c>
      <c r="M220" s="881"/>
      <c r="N220" s="1085">
        <v>10000</v>
      </c>
      <c r="O220" s="881"/>
      <c r="P220" s="881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</row>
    <row r="221" spans="1:26" ht="19.5">
      <c r="A221" s="1002"/>
      <c r="B221" s="1003"/>
      <c r="C221" s="1092" t="s">
        <v>16</v>
      </c>
      <c r="D221" s="1004" t="s">
        <v>38</v>
      </c>
      <c r="E221" s="1005"/>
      <c r="F221" s="1005"/>
      <c r="G221" s="1006"/>
      <c r="H221" s="1007"/>
      <c r="I221" s="997"/>
      <c r="J221" s="997"/>
      <c r="K221" s="998"/>
      <c r="L221" s="998"/>
      <c r="M221" s="998"/>
      <c r="N221" s="998"/>
      <c r="O221" s="998"/>
      <c r="P221" s="99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8"/>
    </row>
    <row r="222" spans="1:26" ht="18.75">
      <c r="A222" s="1002"/>
      <c r="B222" s="1003"/>
      <c r="C222" s="1003"/>
      <c r="D222" s="996" t="s">
        <v>111</v>
      </c>
      <c r="E222" s="1010"/>
      <c r="F222" s="1010"/>
      <c r="G222" s="1011"/>
      <c r="H222" s="1007"/>
      <c r="I222" s="880"/>
      <c r="J222" s="880"/>
      <c r="K222" s="998"/>
      <c r="L222" s="998"/>
      <c r="M222" s="998"/>
      <c r="N222" s="998"/>
      <c r="O222" s="998"/>
      <c r="P222" s="998"/>
      <c r="Q222" s="868"/>
      <c r="R222" s="868"/>
      <c r="S222" s="868"/>
      <c r="T222" s="868"/>
      <c r="U222" s="868"/>
      <c r="V222" s="868"/>
      <c r="W222" s="868"/>
      <c r="X222" s="868"/>
      <c r="Y222" s="868"/>
      <c r="Z222" s="868"/>
    </row>
    <row r="223" spans="1:26" ht="18.75">
      <c r="A223" s="1002"/>
      <c r="B223" s="1003"/>
      <c r="C223" s="1003"/>
      <c r="D223" s="1003"/>
      <c r="E223" s="1008" t="s">
        <v>112</v>
      </c>
      <c r="F223" s="1010"/>
      <c r="G223" s="1011"/>
      <c r="H223" s="762" t="s">
        <v>109</v>
      </c>
      <c r="I223" s="880">
        <f ca="1">IFERROR(__xludf.DUMMYFUNCTION("IMPORTRANGE(""https://docs.google.com/spreadsheets/d/1QqKyyYR6Q21VydFLVH3TRQUabQu_ym0Zz7PgGX0-kHA/edit?usp=sharing"",""แผน!AT75"")"),50000)</f>
        <v>50000</v>
      </c>
      <c r="J223" s="1012">
        <v>50000</v>
      </c>
      <c r="K223" s="998">
        <f t="shared" ref="K223:K226" ca="1" si="104">IF(I223&gt;0,J223*100/I223,0)</f>
        <v>100</v>
      </c>
      <c r="L223" s="998"/>
      <c r="M223" s="998"/>
      <c r="N223" s="998"/>
      <c r="O223" s="998"/>
      <c r="P223" s="998"/>
      <c r="Q223" s="868"/>
      <c r="R223" s="868"/>
      <c r="S223" s="868"/>
      <c r="T223" s="868"/>
      <c r="U223" s="868"/>
      <c r="V223" s="868"/>
      <c r="W223" s="868"/>
      <c r="X223" s="868"/>
      <c r="Y223" s="868"/>
      <c r="Z223" s="868"/>
    </row>
    <row r="224" spans="1:26" ht="18.75">
      <c r="A224" s="1002"/>
      <c r="B224" s="1003"/>
      <c r="C224" s="1003"/>
      <c r="D224" s="1003"/>
      <c r="E224" s="1008" t="s">
        <v>113</v>
      </c>
      <c r="F224" s="1010"/>
      <c r="G224" s="1011"/>
      <c r="H224" s="762" t="s">
        <v>109</v>
      </c>
      <c r="I224" s="880">
        <f ca="1">IFERROR(__xludf.DUMMYFUNCTION("IMPORTRANGE(""https://docs.google.com/spreadsheets/d/1QqKyyYR6Q21VydFLVH3TRQUabQu_ym0Zz7PgGX0-kHA/edit?usp=sharing"",""แผน!AT75"")"),50000)</f>
        <v>50000</v>
      </c>
      <c r="J224" s="1012">
        <v>0</v>
      </c>
      <c r="K224" s="998">
        <f t="shared" ca="1" si="104"/>
        <v>0</v>
      </c>
      <c r="L224" s="881"/>
      <c r="M224" s="881"/>
      <c r="N224" s="881"/>
      <c r="O224" s="881"/>
      <c r="P224" s="881"/>
      <c r="Q224" s="868"/>
      <c r="R224" s="868"/>
      <c r="S224" s="868"/>
      <c r="T224" s="868"/>
      <c r="U224" s="868"/>
      <c r="V224" s="868"/>
      <c r="W224" s="868"/>
      <c r="X224" s="868"/>
      <c r="Y224" s="868"/>
      <c r="Z224" s="868"/>
    </row>
    <row r="225" spans="1:26" ht="18.75">
      <c r="A225" s="1002"/>
      <c r="B225" s="1003"/>
      <c r="C225" s="1003"/>
      <c r="D225" s="996" t="s">
        <v>114</v>
      </c>
      <c r="E225" s="1010"/>
      <c r="F225" s="1010"/>
      <c r="G225" s="1011"/>
      <c r="H225" s="762" t="s">
        <v>35</v>
      </c>
      <c r="I225" s="880">
        <f ca="1">IFERROR(__xludf.DUMMYFUNCTION("IMPORTRANGE(""https://docs.google.com/spreadsheets/d/1QqKyyYR6Q21VydFLVH3TRQUabQu_ym0Zz7PgGX0-kHA/edit?usp=sharing"",""แผน!AS75"")"),10)</f>
        <v>10</v>
      </c>
      <c r="J225" s="1012">
        <v>10</v>
      </c>
      <c r="K225" s="998">
        <f t="shared" ca="1" si="104"/>
        <v>100</v>
      </c>
      <c r="L225" s="881"/>
      <c r="M225" s="881"/>
      <c r="N225" s="881"/>
      <c r="O225" s="881"/>
      <c r="P225" s="881"/>
      <c r="Q225" s="868"/>
      <c r="R225" s="868"/>
      <c r="S225" s="868"/>
      <c r="T225" s="868"/>
      <c r="U225" s="868"/>
      <c r="V225" s="868"/>
      <c r="W225" s="868"/>
      <c r="X225" s="868"/>
      <c r="Y225" s="868"/>
      <c r="Z225" s="868"/>
    </row>
    <row r="226" spans="1:26" ht="19.5" hidden="1">
      <c r="A226" s="1063"/>
      <c r="B226" s="1070"/>
      <c r="C226" s="1093" t="s">
        <v>115</v>
      </c>
      <c r="D226" s="1064"/>
      <c r="E226" s="1064"/>
      <c r="F226" s="1064"/>
      <c r="G226" s="1066"/>
      <c r="H226" s="266" t="s">
        <v>35</v>
      </c>
      <c r="I226" s="1094" t="e">
        <f t="shared" ref="I226:J226" ca="1" si="105">I237+I248</f>
        <v>#VALUE!</v>
      </c>
      <c r="J226" s="1094">
        <f t="shared" si="105"/>
        <v>0</v>
      </c>
      <c r="K226" s="1095" t="e">
        <f t="shared" ca="1" si="104"/>
        <v>#VALUE!</v>
      </c>
      <c r="L226" s="1068"/>
      <c r="M226" s="1068"/>
      <c r="N226" s="1068"/>
      <c r="O226" s="1068"/>
      <c r="P226" s="1068"/>
    </row>
    <row r="227" spans="1:26" ht="19.5" hidden="1">
      <c r="A227" s="1096"/>
      <c r="B227" s="1097"/>
      <c r="C227" s="1098" t="s">
        <v>16</v>
      </c>
      <c r="D227" s="1099" t="s">
        <v>17</v>
      </c>
      <c r="E227" s="1097"/>
      <c r="F227" s="1097"/>
      <c r="G227" s="1100"/>
      <c r="H227" s="353" t="s">
        <v>12</v>
      </c>
      <c r="I227" s="1101"/>
      <c r="J227" s="1101"/>
      <c r="K227" s="1102"/>
      <c r="L227" s="1103">
        <f t="shared" ref="L227:L231" ca="1" si="106">L238+L249</f>
        <v>0</v>
      </c>
      <c r="M227" s="1103"/>
      <c r="N227" s="1103">
        <f t="shared" ref="N227:N231" si="107">N238+N249</f>
        <v>0</v>
      </c>
      <c r="O227" s="1104"/>
      <c r="P227" s="1104"/>
      <c r="Q227" s="875"/>
      <c r="R227" s="875"/>
      <c r="S227" s="875"/>
      <c r="T227" s="875"/>
      <c r="U227" s="875"/>
      <c r="V227" s="875"/>
      <c r="W227" s="875"/>
      <c r="X227" s="875"/>
      <c r="Y227" s="875"/>
      <c r="Z227" s="875"/>
    </row>
    <row r="228" spans="1:26" ht="18.75" hidden="1">
      <c r="A228" s="993"/>
      <c r="B228" s="1105"/>
      <c r="C228" s="883"/>
      <c r="D228" s="884" t="s">
        <v>97</v>
      </c>
      <c r="E228" s="883"/>
      <c r="F228" s="883"/>
      <c r="G228" s="885"/>
      <c r="H228" s="165" t="s">
        <v>12</v>
      </c>
      <c r="I228" s="1000"/>
      <c r="J228" s="1000"/>
      <c r="K228" s="1001"/>
      <c r="L228" s="887">
        <f t="shared" ca="1" si="106"/>
        <v>0</v>
      </c>
      <c r="M228" s="887"/>
      <c r="N228" s="887">
        <f t="shared" si="107"/>
        <v>0</v>
      </c>
      <c r="O228" s="887"/>
      <c r="P228" s="887"/>
      <c r="Q228" s="875"/>
      <c r="R228" s="875"/>
      <c r="S228" s="875"/>
      <c r="T228" s="875"/>
      <c r="U228" s="875"/>
      <c r="V228" s="875"/>
      <c r="W228" s="875"/>
      <c r="X228" s="875"/>
      <c r="Y228" s="875"/>
      <c r="Z228" s="875"/>
    </row>
    <row r="229" spans="1:26" ht="19.5" hidden="1">
      <c r="A229" s="1106"/>
      <c r="B229" s="1105"/>
      <c r="C229" s="1107"/>
      <c r="D229" s="884" t="s">
        <v>98</v>
      </c>
      <c r="E229" s="883"/>
      <c r="F229" s="883"/>
      <c r="G229" s="885"/>
      <c r="H229" s="165" t="s">
        <v>12</v>
      </c>
      <c r="I229" s="886"/>
      <c r="J229" s="886"/>
      <c r="K229" s="887"/>
      <c r="L229" s="887">
        <f t="shared" ca="1" si="106"/>
        <v>0</v>
      </c>
      <c r="M229" s="887"/>
      <c r="N229" s="887">
        <f t="shared" si="107"/>
        <v>0</v>
      </c>
      <c r="O229" s="887"/>
      <c r="P229" s="887"/>
      <c r="Q229" s="1108"/>
      <c r="R229" s="1108"/>
      <c r="S229" s="1108"/>
      <c r="T229" s="1108"/>
      <c r="U229" s="1108"/>
      <c r="V229" s="1108"/>
      <c r="W229" s="1108"/>
      <c r="X229" s="1108"/>
      <c r="Y229" s="1108"/>
      <c r="Z229" s="1108"/>
    </row>
    <row r="230" spans="1:26" ht="19.5" hidden="1">
      <c r="A230" s="1106"/>
      <c r="B230" s="1105"/>
      <c r="C230" s="1107"/>
      <c r="D230" s="884" t="s">
        <v>116</v>
      </c>
      <c r="E230" s="883"/>
      <c r="F230" s="883"/>
      <c r="G230" s="885"/>
      <c r="H230" s="165" t="s">
        <v>12</v>
      </c>
      <c r="I230" s="886"/>
      <c r="J230" s="886"/>
      <c r="K230" s="887"/>
      <c r="L230" s="887">
        <f t="shared" ca="1" si="106"/>
        <v>0</v>
      </c>
      <c r="M230" s="887"/>
      <c r="N230" s="887">
        <f t="shared" si="107"/>
        <v>0</v>
      </c>
      <c r="O230" s="887"/>
      <c r="P230" s="887"/>
      <c r="Q230" s="1108"/>
      <c r="R230" s="1108"/>
      <c r="S230" s="1108"/>
      <c r="T230" s="1108"/>
      <c r="U230" s="1108"/>
      <c r="V230" s="1108"/>
      <c r="W230" s="1108"/>
      <c r="X230" s="1108"/>
      <c r="Y230" s="1108"/>
      <c r="Z230" s="1108"/>
    </row>
    <row r="231" spans="1:26" ht="19.5" hidden="1">
      <c r="A231" s="1106"/>
      <c r="B231" s="1105"/>
      <c r="C231" s="1107"/>
      <c r="D231" s="884" t="s">
        <v>100</v>
      </c>
      <c r="E231" s="883"/>
      <c r="F231" s="883"/>
      <c r="G231" s="885"/>
      <c r="H231" s="165" t="s">
        <v>12</v>
      </c>
      <c r="I231" s="886"/>
      <c r="J231" s="886"/>
      <c r="K231" s="887"/>
      <c r="L231" s="887">
        <f t="shared" ca="1" si="106"/>
        <v>0</v>
      </c>
      <c r="M231" s="887"/>
      <c r="N231" s="887">
        <f t="shared" si="107"/>
        <v>0</v>
      </c>
      <c r="O231" s="887"/>
      <c r="P231" s="887"/>
      <c r="Q231" s="1108"/>
      <c r="R231" s="1108"/>
      <c r="S231" s="1108"/>
      <c r="T231" s="1108"/>
      <c r="U231" s="1108"/>
      <c r="V231" s="1108"/>
      <c r="W231" s="1108"/>
      <c r="X231" s="1108"/>
      <c r="Y231" s="1108"/>
      <c r="Z231" s="1108"/>
    </row>
    <row r="232" spans="1:26" ht="19.5" hidden="1">
      <c r="A232" s="1109"/>
      <c r="B232" s="1110"/>
      <c r="C232" s="1107" t="s">
        <v>16</v>
      </c>
      <c r="D232" s="1072" t="s">
        <v>38</v>
      </c>
      <c r="E232" s="1111"/>
      <c r="F232" s="1111"/>
      <c r="G232" s="1112"/>
      <c r="H232" s="1113"/>
      <c r="I232" s="1000"/>
      <c r="J232" s="886"/>
      <c r="K232" s="887"/>
      <c r="L232" s="887"/>
      <c r="M232" s="887"/>
      <c r="N232" s="887"/>
      <c r="O232" s="1001"/>
      <c r="P232" s="1001"/>
      <c r="Q232" s="875"/>
      <c r="R232" s="875"/>
      <c r="S232" s="875"/>
      <c r="T232" s="875"/>
      <c r="U232" s="875"/>
      <c r="V232" s="875"/>
      <c r="W232" s="875"/>
      <c r="X232" s="875"/>
      <c r="Y232" s="875"/>
      <c r="Z232" s="875"/>
    </row>
    <row r="233" spans="1:26" ht="18.75" hidden="1">
      <c r="A233" s="1109"/>
      <c r="B233" s="1110"/>
      <c r="C233" s="1110"/>
      <c r="D233" s="1074" t="s">
        <v>117</v>
      </c>
      <c r="E233" s="1114"/>
      <c r="F233" s="1114"/>
      <c r="G233" s="1115"/>
      <c r="H233" s="370" t="s">
        <v>35</v>
      </c>
      <c r="I233" s="886" t="e">
        <f t="shared" ref="I233:J233" ca="1" si="108">I244+I255</f>
        <v>#VALUE!</v>
      </c>
      <c r="J233" s="886">
        <f t="shared" si="108"/>
        <v>0</v>
      </c>
      <c r="K233" s="887" t="e">
        <f ca="1">IF(I233&gt;0,J233*100/I233,0)</f>
        <v>#VALUE!</v>
      </c>
      <c r="L233" s="887"/>
      <c r="M233" s="887"/>
      <c r="N233" s="887"/>
      <c r="O233" s="887"/>
      <c r="P233" s="887"/>
      <c r="Q233" s="875"/>
      <c r="R233" s="875"/>
      <c r="S233" s="875"/>
      <c r="T233" s="875"/>
      <c r="U233" s="875"/>
      <c r="V233" s="875"/>
      <c r="W233" s="875"/>
      <c r="X233" s="875"/>
      <c r="Y233" s="875"/>
      <c r="Z233" s="875"/>
    </row>
    <row r="234" spans="1:26" ht="18.75" hidden="1">
      <c r="A234" s="1109"/>
      <c r="B234" s="1110"/>
      <c r="C234" s="1110"/>
      <c r="D234" s="1116" t="s">
        <v>43</v>
      </c>
      <c r="E234" s="1114"/>
      <c r="F234" s="1114"/>
      <c r="G234" s="1115"/>
      <c r="H234" s="370"/>
      <c r="I234" s="886"/>
      <c r="J234" s="886"/>
      <c r="K234" s="887"/>
      <c r="L234" s="887"/>
      <c r="M234" s="887"/>
      <c r="N234" s="887"/>
      <c r="O234" s="1001"/>
      <c r="P234" s="1001"/>
      <c r="Q234" s="875"/>
      <c r="R234" s="875"/>
      <c r="S234" s="875"/>
      <c r="T234" s="875"/>
      <c r="U234" s="875"/>
      <c r="V234" s="875"/>
      <c r="W234" s="875"/>
      <c r="X234" s="875"/>
      <c r="Y234" s="875"/>
      <c r="Z234" s="875"/>
    </row>
    <row r="235" spans="1:26" ht="18.75" hidden="1">
      <c r="A235" s="1109"/>
      <c r="B235" s="1110"/>
      <c r="C235" s="1110"/>
      <c r="D235" s="1110"/>
      <c r="E235" s="1073" t="s">
        <v>118</v>
      </c>
      <c r="F235" s="1114"/>
      <c r="G235" s="1115"/>
      <c r="H235" s="370" t="s">
        <v>35</v>
      </c>
      <c r="I235" s="886">
        <f t="shared" ref="I235:J236" si="109">I246+I257</f>
        <v>0</v>
      </c>
      <c r="J235" s="886">
        <f t="shared" si="109"/>
        <v>0</v>
      </c>
      <c r="K235" s="887">
        <f t="shared" ref="K235:K237" si="110">IF(I235&gt;0,J235*100/I235,0)</f>
        <v>0</v>
      </c>
      <c r="L235" s="887"/>
      <c r="M235" s="887"/>
      <c r="N235" s="887"/>
      <c r="O235" s="887"/>
      <c r="P235" s="887"/>
      <c r="Q235" s="875"/>
      <c r="R235" s="875"/>
      <c r="S235" s="875"/>
      <c r="T235" s="875"/>
      <c r="U235" s="875"/>
      <c r="V235" s="875"/>
      <c r="W235" s="875"/>
      <c r="X235" s="875"/>
      <c r="Y235" s="875"/>
      <c r="Z235" s="875"/>
    </row>
    <row r="236" spans="1:26" ht="18.75" hidden="1">
      <c r="A236" s="1109"/>
      <c r="B236" s="1110"/>
      <c r="C236" s="1110"/>
      <c r="D236" s="1110"/>
      <c r="E236" s="1073" t="s">
        <v>119</v>
      </c>
      <c r="F236" s="1114"/>
      <c r="G236" s="1115"/>
      <c r="H236" s="370" t="s">
        <v>66</v>
      </c>
      <c r="I236" s="886">
        <f t="shared" si="109"/>
        <v>0</v>
      </c>
      <c r="J236" s="886">
        <f t="shared" si="109"/>
        <v>0</v>
      </c>
      <c r="K236" s="887">
        <f t="shared" si="110"/>
        <v>0</v>
      </c>
      <c r="L236" s="887"/>
      <c r="M236" s="887"/>
      <c r="N236" s="887"/>
      <c r="O236" s="887"/>
      <c r="P236" s="887"/>
      <c r="Q236" s="875"/>
      <c r="R236" s="875"/>
      <c r="S236" s="875"/>
      <c r="T236" s="875"/>
      <c r="U236" s="875"/>
      <c r="V236" s="875"/>
      <c r="W236" s="875"/>
      <c r="X236" s="875"/>
      <c r="Y236" s="875"/>
      <c r="Z236" s="875"/>
    </row>
    <row r="237" spans="1:26" ht="19.5" hidden="1">
      <c r="A237" s="1063"/>
      <c r="B237" s="1070"/>
      <c r="C237" s="1077" t="s">
        <v>332</v>
      </c>
      <c r="D237" s="1064"/>
      <c r="E237" s="1064"/>
      <c r="F237" s="1064"/>
      <c r="G237" s="1066"/>
      <c r="H237" s="260" t="s">
        <v>35</v>
      </c>
      <c r="I237" s="1078">
        <f t="shared" ref="I237:J237" ca="1" si="111">I244</f>
        <v>0</v>
      </c>
      <c r="J237" s="1078">
        <f t="shared" si="111"/>
        <v>0</v>
      </c>
      <c r="K237" s="1079">
        <f t="shared" ca="1" si="110"/>
        <v>0</v>
      </c>
      <c r="L237" s="1068"/>
      <c r="M237" s="1068"/>
      <c r="N237" s="1068"/>
      <c r="O237" s="1068"/>
      <c r="P237" s="1068"/>
    </row>
    <row r="238" spans="1:26" ht="19.5" hidden="1">
      <c r="A238" s="985"/>
      <c r="B238" s="986"/>
      <c r="C238" s="987" t="s">
        <v>16</v>
      </c>
      <c r="D238" s="988" t="s">
        <v>17</v>
      </c>
      <c r="E238" s="986"/>
      <c r="F238" s="986"/>
      <c r="G238" s="989"/>
      <c r="H238" s="275" t="s">
        <v>12</v>
      </c>
      <c r="I238" s="1082"/>
      <c r="J238" s="1082"/>
      <c r="K238" s="1083"/>
      <c r="L238" s="992">
        <f ca="1">L239+L240+L241+L242</f>
        <v>0</v>
      </c>
      <c r="M238" s="992"/>
      <c r="N238" s="992">
        <f>N239+N240+N241+N242</f>
        <v>0</v>
      </c>
      <c r="O238" s="992">
        <f ca="1">IF(L238&gt;0,N238*100/L238,0)</f>
        <v>0</v>
      </c>
      <c r="P238" s="992">
        <f>IF(M238&gt;0,N238*100/M238,0)</f>
        <v>0</v>
      </c>
      <c r="Q238" s="868"/>
      <c r="R238" s="868"/>
      <c r="S238" s="868"/>
      <c r="T238" s="868"/>
      <c r="U238" s="868"/>
      <c r="V238" s="868"/>
      <c r="W238" s="868"/>
      <c r="X238" s="868"/>
      <c r="Y238" s="868"/>
      <c r="Z238" s="868"/>
    </row>
    <row r="239" spans="1:26" ht="18.75" hidden="1">
      <c r="A239" s="1117"/>
      <c r="B239" s="1118"/>
      <c r="C239" s="1119"/>
      <c r="D239" s="1120" t="s">
        <v>97</v>
      </c>
      <c r="E239" s="1119"/>
      <c r="F239" s="1119"/>
      <c r="G239" s="1121"/>
      <c r="H239" s="319" t="s">
        <v>12</v>
      </c>
      <c r="I239" s="1122"/>
      <c r="J239" s="1122"/>
      <c r="K239" s="1123"/>
      <c r="L239" s="1124">
        <f ca="1">IFERROR(__xludf.DUMMYFUNCTION("IMPORTRANGE(""https://docs.google.com/spreadsheets/d/1QqKyyYR6Q21VydFLVH3TRQUabQu_ym0Zz7PgGX0-kHA/edit?usp=sharing"",""แผน!AV75"")"),0)</f>
        <v>0</v>
      </c>
      <c r="M239" s="1124"/>
      <c r="N239" s="1125">
        <v>0</v>
      </c>
      <c r="O239" s="1124"/>
      <c r="P239" s="1124"/>
      <c r="Q239" s="1126"/>
      <c r="R239" s="1126"/>
      <c r="S239" s="1126"/>
      <c r="T239" s="1126"/>
      <c r="U239" s="1126"/>
      <c r="V239" s="1126"/>
      <c r="W239" s="1126"/>
      <c r="X239" s="1126"/>
      <c r="Y239" s="1126"/>
      <c r="Z239" s="1126"/>
    </row>
    <row r="240" spans="1:26" ht="19.5" hidden="1">
      <c r="A240" s="1127"/>
      <c r="B240" s="1118"/>
      <c r="C240" s="1128"/>
      <c r="D240" s="1120" t="s">
        <v>98</v>
      </c>
      <c r="E240" s="1119"/>
      <c r="F240" s="1119"/>
      <c r="G240" s="1121"/>
      <c r="H240" s="319" t="s">
        <v>12</v>
      </c>
      <c r="I240" s="1129"/>
      <c r="J240" s="1129"/>
      <c r="K240" s="1124"/>
      <c r="L240" s="1124">
        <f ca="1">IFERROR(__xludf.DUMMYFUNCTION("IMPORTRANGE(""https://docs.google.com/spreadsheets/d/1QqKyyYR6Q21VydFLVH3TRQUabQu_ym0Zz7PgGX0-kHA/edit?usp=sharing"",""แผน!AW75"")"),0)</f>
        <v>0</v>
      </c>
      <c r="M240" s="1124"/>
      <c r="N240" s="1125">
        <v>0</v>
      </c>
      <c r="O240" s="1124"/>
      <c r="P240" s="1124"/>
      <c r="Q240" s="1130"/>
      <c r="R240" s="1130"/>
      <c r="S240" s="1130"/>
      <c r="T240" s="1130"/>
      <c r="U240" s="1130"/>
      <c r="V240" s="1130"/>
      <c r="W240" s="1130"/>
      <c r="X240" s="1130"/>
      <c r="Y240" s="1130"/>
      <c r="Z240" s="1130"/>
    </row>
    <row r="241" spans="1:26" ht="19.5" hidden="1">
      <c r="A241" s="1127"/>
      <c r="B241" s="1118"/>
      <c r="C241" s="1128"/>
      <c r="D241" s="1120" t="s">
        <v>116</v>
      </c>
      <c r="E241" s="1119"/>
      <c r="F241" s="1119"/>
      <c r="G241" s="1121"/>
      <c r="H241" s="319" t="s">
        <v>12</v>
      </c>
      <c r="I241" s="1129"/>
      <c r="J241" s="1129"/>
      <c r="K241" s="1124"/>
      <c r="L241" s="1124">
        <f ca="1">IFERROR(__xludf.DUMMYFUNCTION("IMPORTRANGE(""https://docs.google.com/spreadsheets/d/1QqKyyYR6Q21VydFLVH3TRQUabQu_ym0Zz7PgGX0-kHA/edit?usp=sharing"",""แผน!AX75"")"),0)</f>
        <v>0</v>
      </c>
      <c r="M241" s="1124"/>
      <c r="N241" s="1125">
        <v>0</v>
      </c>
      <c r="O241" s="1124"/>
      <c r="P241" s="1124"/>
      <c r="Q241" s="1130"/>
      <c r="R241" s="1130"/>
      <c r="S241" s="1130"/>
      <c r="T241" s="1130"/>
      <c r="U241" s="1130"/>
      <c r="V241" s="1130"/>
      <c r="W241" s="1130"/>
      <c r="X241" s="1130"/>
      <c r="Y241" s="1130"/>
      <c r="Z241" s="1130"/>
    </row>
    <row r="242" spans="1:26" ht="19.5" hidden="1">
      <c r="A242" s="1127"/>
      <c r="B242" s="1118"/>
      <c r="C242" s="1128"/>
      <c r="D242" s="1120" t="s">
        <v>100</v>
      </c>
      <c r="E242" s="1119"/>
      <c r="F242" s="1119"/>
      <c r="G242" s="1121"/>
      <c r="H242" s="319" t="s">
        <v>12</v>
      </c>
      <c r="I242" s="1129"/>
      <c r="J242" s="1129"/>
      <c r="K242" s="1124"/>
      <c r="L242" s="1124">
        <f ca="1">IFERROR(__xludf.DUMMYFUNCTION("IMPORTRANGE(""https://docs.google.com/spreadsheets/d/1QqKyyYR6Q21VydFLVH3TRQUabQu_ym0Zz7PgGX0-kHA/edit?usp=sharing"",""แผน!AY75"")"),0)</f>
        <v>0</v>
      </c>
      <c r="M242" s="1124"/>
      <c r="N242" s="1125">
        <v>0</v>
      </c>
      <c r="O242" s="1124"/>
      <c r="P242" s="1124"/>
      <c r="Q242" s="1130"/>
      <c r="R242" s="1130"/>
      <c r="S242" s="1130"/>
      <c r="T242" s="1130"/>
      <c r="U242" s="1130"/>
      <c r="V242" s="1130"/>
      <c r="W242" s="1130"/>
      <c r="X242" s="1130"/>
      <c r="Y242" s="1130"/>
      <c r="Z242" s="1130"/>
    </row>
    <row r="243" spans="1:26" ht="19.5" hidden="1">
      <c r="A243" s="1002"/>
      <c r="B243" s="1003"/>
      <c r="C243" s="1092" t="s">
        <v>16</v>
      </c>
      <c r="D243" s="1004" t="s">
        <v>38</v>
      </c>
      <c r="E243" s="1005"/>
      <c r="F243" s="1005"/>
      <c r="G243" s="1006"/>
      <c r="H243" s="1007"/>
      <c r="I243" s="997"/>
      <c r="J243" s="880"/>
      <c r="K243" s="881"/>
      <c r="L243" s="881"/>
      <c r="M243" s="881"/>
      <c r="N243" s="881"/>
      <c r="O243" s="998"/>
      <c r="P243" s="998"/>
      <c r="Q243" s="868"/>
      <c r="R243" s="868"/>
      <c r="S243" s="868"/>
      <c r="T243" s="868"/>
      <c r="U243" s="868"/>
      <c r="V243" s="868"/>
      <c r="W243" s="868"/>
      <c r="X243" s="868"/>
      <c r="Y243" s="868"/>
      <c r="Z243" s="868"/>
    </row>
    <row r="244" spans="1:26" ht="18.75" hidden="1">
      <c r="A244" s="1002"/>
      <c r="B244" s="1003"/>
      <c r="C244" s="1003"/>
      <c r="D244" s="1009" t="s">
        <v>117</v>
      </c>
      <c r="E244" s="1010"/>
      <c r="F244" s="1010"/>
      <c r="G244" s="1011"/>
      <c r="H244" s="762" t="s">
        <v>35</v>
      </c>
      <c r="I244" s="880">
        <f ca="1">IFERROR(__xludf.DUMMYFUNCTION("IMPORTRANGE(""https://docs.google.com/spreadsheets/d/1QqKyyYR6Q21VydFLVH3TRQUabQu_ym0Zz7PgGX0-kHA/edit?usp=sharing"",""แผน!BE75"")"),0)</f>
        <v>0</v>
      </c>
      <c r="J244" s="1012">
        <v>0</v>
      </c>
      <c r="K244" s="881">
        <f ca="1">IF(I244&gt;0,J244*100/I244,0)</f>
        <v>0</v>
      </c>
      <c r="L244" s="881"/>
      <c r="M244" s="881"/>
      <c r="N244" s="881"/>
      <c r="O244" s="881"/>
      <c r="P244" s="881"/>
      <c r="Q244" s="868"/>
      <c r="R244" s="868"/>
      <c r="S244" s="868"/>
      <c r="T244" s="868"/>
      <c r="U244" s="868"/>
      <c r="V244" s="868"/>
      <c r="W244" s="868"/>
      <c r="X244" s="868"/>
      <c r="Y244" s="868"/>
      <c r="Z244" s="868"/>
    </row>
    <row r="245" spans="1:26" ht="18.75" hidden="1">
      <c r="A245" s="1002"/>
      <c r="B245" s="1003"/>
      <c r="C245" s="1003"/>
      <c r="D245" s="1131" t="s">
        <v>43</v>
      </c>
      <c r="E245" s="1010"/>
      <c r="F245" s="1010"/>
      <c r="G245" s="1011"/>
      <c r="H245" s="762"/>
      <c r="I245" s="880"/>
      <c r="J245" s="880"/>
      <c r="K245" s="881"/>
      <c r="L245" s="881"/>
      <c r="M245" s="881"/>
      <c r="N245" s="881"/>
      <c r="O245" s="998"/>
      <c r="P245" s="998"/>
      <c r="Q245" s="868"/>
      <c r="R245" s="868"/>
      <c r="S245" s="868"/>
      <c r="T245" s="868"/>
      <c r="U245" s="868"/>
      <c r="V245" s="868"/>
      <c r="W245" s="868"/>
      <c r="X245" s="868"/>
      <c r="Y245" s="868"/>
      <c r="Z245" s="868"/>
    </row>
    <row r="246" spans="1:26" ht="18.75" hidden="1">
      <c r="A246" s="1002"/>
      <c r="B246" s="1003"/>
      <c r="C246" s="1003"/>
      <c r="D246" s="1003"/>
      <c r="E246" s="1008" t="s">
        <v>118</v>
      </c>
      <c r="F246" s="1010"/>
      <c r="G246" s="1011"/>
      <c r="H246" s="762" t="s">
        <v>35</v>
      </c>
      <c r="I246" s="880"/>
      <c r="J246" s="1012">
        <v>0</v>
      </c>
      <c r="K246" s="881">
        <f t="shared" ref="K246:K248" si="112">IF(I246&gt;0,J246*100/I246,0)</f>
        <v>0</v>
      </c>
      <c r="L246" s="881"/>
      <c r="M246" s="881"/>
      <c r="N246" s="881"/>
      <c r="O246" s="881"/>
      <c r="P246" s="881"/>
      <c r="Q246" s="868"/>
      <c r="R246" s="868"/>
      <c r="S246" s="868"/>
      <c r="T246" s="868"/>
      <c r="U246" s="868"/>
      <c r="V246" s="868"/>
      <c r="W246" s="868"/>
      <c r="X246" s="868"/>
      <c r="Y246" s="868"/>
      <c r="Z246" s="868"/>
    </row>
    <row r="247" spans="1:26" ht="18.75" hidden="1">
      <c r="A247" s="1002"/>
      <c r="B247" s="1003"/>
      <c r="C247" s="1003"/>
      <c r="D247" s="1003"/>
      <c r="E247" s="1008" t="s">
        <v>119</v>
      </c>
      <c r="F247" s="1010"/>
      <c r="G247" s="1011"/>
      <c r="H247" s="762" t="s">
        <v>66</v>
      </c>
      <c r="I247" s="880"/>
      <c r="J247" s="1012">
        <v>0</v>
      </c>
      <c r="K247" s="881">
        <f t="shared" si="112"/>
        <v>0</v>
      </c>
      <c r="L247" s="881"/>
      <c r="M247" s="881"/>
      <c r="N247" s="881"/>
      <c r="O247" s="881"/>
      <c r="P247" s="881"/>
      <c r="Q247" s="868"/>
      <c r="R247" s="868"/>
      <c r="S247" s="868"/>
      <c r="T247" s="868"/>
      <c r="U247" s="868"/>
      <c r="V247" s="868"/>
      <c r="W247" s="868"/>
      <c r="X247" s="868"/>
      <c r="Y247" s="868"/>
      <c r="Z247" s="868"/>
    </row>
    <row r="248" spans="1:26" ht="19.5" hidden="1">
      <c r="A248" s="1063"/>
      <c r="B248" s="1070"/>
      <c r="C248" s="1077" t="s">
        <v>333</v>
      </c>
      <c r="D248" s="1064"/>
      <c r="E248" s="1064"/>
      <c r="F248" s="1064"/>
      <c r="G248" s="1066"/>
      <c r="H248" s="260" t="s">
        <v>35</v>
      </c>
      <c r="I248" s="1078" t="str">
        <f t="shared" ref="I248:J248" ca="1" si="113">I255</f>
        <v/>
      </c>
      <c r="J248" s="1078">
        <f t="shared" si="113"/>
        <v>0</v>
      </c>
      <c r="K248" s="1079" t="e">
        <f t="shared" ca="1" si="112"/>
        <v>#VALUE!</v>
      </c>
      <c r="L248" s="1068"/>
      <c r="M248" s="1068"/>
      <c r="N248" s="1068"/>
      <c r="O248" s="1068"/>
      <c r="P248" s="1068"/>
    </row>
    <row r="249" spans="1:26" ht="19.5" hidden="1">
      <c r="A249" s="985"/>
      <c r="B249" s="986"/>
      <c r="C249" s="987" t="s">
        <v>16</v>
      </c>
      <c r="D249" s="1080" t="s">
        <v>17</v>
      </c>
      <c r="E249" s="986"/>
      <c r="F249" s="986"/>
      <c r="G249" s="989"/>
      <c r="H249" s="275" t="s">
        <v>12</v>
      </c>
      <c r="I249" s="1082"/>
      <c r="J249" s="1082"/>
      <c r="K249" s="1083"/>
      <c r="L249" s="992">
        <f ca="1">L250+L251+L252+L253</f>
        <v>0</v>
      </c>
      <c r="M249" s="992"/>
      <c r="N249" s="992">
        <f>N250+N251+N252+N253</f>
        <v>0</v>
      </c>
      <c r="O249" s="992">
        <f ca="1">IF(L249&gt;0,N249*100/L249,0)</f>
        <v>0</v>
      </c>
      <c r="P249" s="992">
        <f>IF(M249&gt;0,N249*100/M249,0)</f>
        <v>0</v>
      </c>
      <c r="Q249" s="868"/>
      <c r="R249" s="868"/>
      <c r="S249" s="868"/>
      <c r="T249" s="868"/>
      <c r="U249" s="868"/>
      <c r="V249" s="868"/>
      <c r="W249" s="868"/>
      <c r="X249" s="868"/>
      <c r="Y249" s="868"/>
      <c r="Z249" s="868"/>
    </row>
    <row r="250" spans="1:26" ht="18.75" hidden="1">
      <c r="A250" s="1117"/>
      <c r="B250" s="1118"/>
      <c r="C250" s="1119"/>
      <c r="D250" s="1120" t="s">
        <v>97</v>
      </c>
      <c r="E250" s="1119"/>
      <c r="F250" s="1119"/>
      <c r="G250" s="1121"/>
      <c r="H250" s="319" t="s">
        <v>12</v>
      </c>
      <c r="I250" s="1122"/>
      <c r="J250" s="1122"/>
      <c r="K250" s="1123"/>
      <c r="L250" s="1124">
        <f ca="1">IFERROR(__xludf.DUMMYFUNCTION("IMPORTRANGE(""https://docs.google.com/spreadsheets/d/1QqKyyYR6Q21VydFLVH3TRQUabQu_ym0Zz7PgGX0-kHA/edit?usp=sharing"",""แผน!AZ75"")"),0)</f>
        <v>0</v>
      </c>
      <c r="M250" s="1124"/>
      <c r="N250" s="1125">
        <v>0</v>
      </c>
      <c r="O250" s="1124"/>
      <c r="P250" s="1124"/>
      <c r="Q250" s="1126"/>
      <c r="R250" s="1126"/>
      <c r="S250" s="1126"/>
      <c r="T250" s="1126"/>
      <c r="U250" s="1126"/>
      <c r="V250" s="1126"/>
      <c r="W250" s="1126"/>
      <c r="X250" s="1126"/>
      <c r="Y250" s="1126"/>
      <c r="Z250" s="1126"/>
    </row>
    <row r="251" spans="1:26" ht="19.5" hidden="1">
      <c r="A251" s="1127"/>
      <c r="B251" s="1118"/>
      <c r="C251" s="1128"/>
      <c r="D251" s="1120" t="s">
        <v>98</v>
      </c>
      <c r="E251" s="1119"/>
      <c r="F251" s="1119"/>
      <c r="G251" s="1121"/>
      <c r="H251" s="319" t="s">
        <v>12</v>
      </c>
      <c r="I251" s="1129"/>
      <c r="J251" s="1129"/>
      <c r="K251" s="1124"/>
      <c r="L251" s="1124">
        <f ca="1">IFERROR(__xludf.DUMMYFUNCTION("IMPORTRANGE(""https://docs.google.com/spreadsheets/d/1QqKyyYR6Q21VydFLVH3TRQUabQu_ym0Zz7PgGX0-kHA/edit?usp=sharing"",""แผน!BA75"")"),0)</f>
        <v>0</v>
      </c>
      <c r="M251" s="1124"/>
      <c r="N251" s="1125">
        <v>0</v>
      </c>
      <c r="O251" s="1124"/>
      <c r="P251" s="1124"/>
      <c r="Q251" s="1130"/>
      <c r="R251" s="1130"/>
      <c r="S251" s="1130"/>
      <c r="T251" s="1130"/>
      <c r="U251" s="1130"/>
      <c r="V251" s="1130"/>
      <c r="W251" s="1130"/>
      <c r="X251" s="1130"/>
      <c r="Y251" s="1130"/>
      <c r="Z251" s="1130"/>
    </row>
    <row r="252" spans="1:26" ht="19.5" hidden="1">
      <c r="A252" s="1127"/>
      <c r="B252" s="1118"/>
      <c r="C252" s="1128"/>
      <c r="D252" s="1120" t="s">
        <v>116</v>
      </c>
      <c r="E252" s="1119"/>
      <c r="F252" s="1119"/>
      <c r="G252" s="1121"/>
      <c r="H252" s="319" t="s">
        <v>12</v>
      </c>
      <c r="I252" s="1129"/>
      <c r="J252" s="1129"/>
      <c r="K252" s="1124"/>
      <c r="L252" s="1124">
        <f ca="1">IFERROR(__xludf.DUMMYFUNCTION("IMPORTRANGE(""https://docs.google.com/spreadsheets/d/1QqKyyYR6Q21VydFLVH3TRQUabQu_ym0Zz7PgGX0-kHA/edit?usp=sharing"",""แผน!BB75"")"),0)</f>
        <v>0</v>
      </c>
      <c r="M252" s="1124"/>
      <c r="N252" s="1125">
        <v>0</v>
      </c>
      <c r="O252" s="1124"/>
      <c r="P252" s="1124"/>
      <c r="Q252" s="1130"/>
      <c r="R252" s="1130"/>
      <c r="S252" s="1130"/>
      <c r="T252" s="1130"/>
      <c r="U252" s="1130"/>
      <c r="V252" s="1130"/>
      <c r="W252" s="1130"/>
      <c r="X252" s="1130"/>
      <c r="Y252" s="1130"/>
      <c r="Z252" s="1130"/>
    </row>
    <row r="253" spans="1:26" ht="19.5" hidden="1">
      <c r="A253" s="1127"/>
      <c r="B253" s="1118"/>
      <c r="C253" s="1128"/>
      <c r="D253" s="1120" t="s">
        <v>100</v>
      </c>
      <c r="E253" s="1119"/>
      <c r="F253" s="1119"/>
      <c r="G253" s="1121"/>
      <c r="H253" s="319" t="s">
        <v>12</v>
      </c>
      <c r="I253" s="1129"/>
      <c r="J253" s="1129"/>
      <c r="K253" s="1124"/>
      <c r="L253" s="1124">
        <f ca="1">IFERROR(__xludf.DUMMYFUNCTION("IMPORTRANGE(""https://docs.google.com/spreadsheets/d/1QqKyyYR6Q21VydFLVH3TRQUabQu_ym0Zz7PgGX0-kHA/edit?usp=sharing"",""แผน!BC75"")"),0)</f>
        <v>0</v>
      </c>
      <c r="M253" s="1124"/>
      <c r="N253" s="1125">
        <v>0</v>
      </c>
      <c r="O253" s="1124"/>
      <c r="P253" s="1124"/>
      <c r="Q253" s="1130"/>
      <c r="R253" s="1130"/>
      <c r="S253" s="1130"/>
      <c r="T253" s="1130"/>
      <c r="U253" s="1130"/>
      <c r="V253" s="1130"/>
      <c r="W253" s="1130"/>
      <c r="X253" s="1130"/>
      <c r="Y253" s="1130"/>
      <c r="Z253" s="1130"/>
    </row>
    <row r="254" spans="1:26" ht="19.5" hidden="1">
      <c r="A254" s="1002"/>
      <c r="B254" s="1003"/>
      <c r="C254" s="1092" t="s">
        <v>16</v>
      </c>
      <c r="D254" s="1004" t="s">
        <v>38</v>
      </c>
      <c r="E254" s="1005"/>
      <c r="F254" s="1005"/>
      <c r="G254" s="1006"/>
      <c r="H254" s="1007"/>
      <c r="I254" s="997"/>
      <c r="J254" s="880"/>
      <c r="K254" s="881"/>
      <c r="L254" s="881"/>
      <c r="M254" s="881"/>
      <c r="N254" s="881"/>
      <c r="O254" s="998"/>
      <c r="P254" s="998"/>
      <c r="Q254" s="868"/>
      <c r="R254" s="868"/>
      <c r="S254" s="868"/>
      <c r="T254" s="868"/>
      <c r="U254" s="868"/>
      <c r="V254" s="868"/>
      <c r="W254" s="868"/>
      <c r="X254" s="868"/>
      <c r="Y254" s="868"/>
      <c r="Z254" s="868"/>
    </row>
    <row r="255" spans="1:26" ht="18.75" hidden="1">
      <c r="A255" s="1002"/>
      <c r="B255" s="1003"/>
      <c r="C255" s="1003"/>
      <c r="D255" s="1009" t="s">
        <v>117</v>
      </c>
      <c r="E255" s="1010"/>
      <c r="F255" s="1010"/>
      <c r="G255" s="1011"/>
      <c r="H255" s="762" t="s">
        <v>35</v>
      </c>
      <c r="I255" s="880" t="str">
        <f ca="1">IFERROR(__xludf.DUMMYFUNCTION("IMPORTRANGE(""https://docs.google.com/spreadsheets/d/1QqKyyYR6Q21VydFLVH3TRQUabQu_ym0Zz7PgGX0-kHA/edit?usp=sharing"",""แผน!BF75"")"),"")</f>
        <v/>
      </c>
      <c r="J255" s="1012">
        <v>0</v>
      </c>
      <c r="K255" s="881" t="e">
        <f ca="1">IF(I255&gt;0,J255*100/I255,0)</f>
        <v>#VALUE!</v>
      </c>
      <c r="L255" s="881"/>
      <c r="M255" s="881"/>
      <c r="N255" s="881"/>
      <c r="O255" s="881"/>
      <c r="P255" s="881"/>
      <c r="Q255" s="868"/>
      <c r="R255" s="868"/>
      <c r="S255" s="868"/>
      <c r="T255" s="868"/>
      <c r="U255" s="868"/>
      <c r="V255" s="868"/>
      <c r="W255" s="868"/>
      <c r="X255" s="868"/>
      <c r="Y255" s="868"/>
      <c r="Z255" s="868"/>
    </row>
    <row r="256" spans="1:26" ht="18.75" hidden="1">
      <c r="A256" s="1002"/>
      <c r="B256" s="1003"/>
      <c r="C256" s="1003"/>
      <c r="D256" s="1131" t="s">
        <v>43</v>
      </c>
      <c r="E256" s="1010"/>
      <c r="F256" s="1010"/>
      <c r="G256" s="1011"/>
      <c r="H256" s="762"/>
      <c r="I256" s="880"/>
      <c r="J256" s="880"/>
      <c r="K256" s="881"/>
      <c r="L256" s="881"/>
      <c r="M256" s="881"/>
      <c r="N256" s="881"/>
      <c r="O256" s="998"/>
      <c r="P256" s="998"/>
      <c r="Q256" s="868"/>
      <c r="R256" s="868"/>
      <c r="S256" s="868"/>
      <c r="T256" s="868"/>
      <c r="U256" s="868"/>
      <c r="V256" s="868"/>
      <c r="W256" s="868"/>
      <c r="X256" s="868"/>
      <c r="Y256" s="868"/>
      <c r="Z256" s="868"/>
    </row>
    <row r="257" spans="1:26" ht="18.75" hidden="1">
      <c r="A257" s="1002"/>
      <c r="B257" s="1003"/>
      <c r="C257" s="1003"/>
      <c r="D257" s="1003"/>
      <c r="E257" s="1008" t="s">
        <v>118</v>
      </c>
      <c r="F257" s="1010"/>
      <c r="G257" s="1011"/>
      <c r="H257" s="762" t="s">
        <v>35</v>
      </c>
      <c r="I257" s="880"/>
      <c r="J257" s="1012">
        <v>0</v>
      </c>
      <c r="K257" s="881">
        <f t="shared" ref="K257:K258" si="114">IF(I257&gt;0,J257*100/I257,0)</f>
        <v>0</v>
      </c>
      <c r="L257" s="881"/>
      <c r="M257" s="881"/>
      <c r="N257" s="881"/>
      <c r="O257" s="881"/>
      <c r="P257" s="881"/>
      <c r="Q257" s="868"/>
      <c r="R257" s="868"/>
      <c r="S257" s="868"/>
      <c r="T257" s="868"/>
      <c r="U257" s="868"/>
      <c r="V257" s="868"/>
      <c r="W257" s="868"/>
      <c r="X257" s="868"/>
      <c r="Y257" s="868"/>
      <c r="Z257" s="868"/>
    </row>
    <row r="258" spans="1:26" ht="18.75" hidden="1">
      <c r="A258" s="1002"/>
      <c r="B258" s="1003"/>
      <c r="C258" s="1003"/>
      <c r="D258" s="1003"/>
      <c r="E258" s="1008" t="s">
        <v>119</v>
      </c>
      <c r="F258" s="1010"/>
      <c r="G258" s="1011"/>
      <c r="H258" s="762" t="s">
        <v>66</v>
      </c>
      <c r="I258" s="880"/>
      <c r="J258" s="1012">
        <v>0</v>
      </c>
      <c r="K258" s="881">
        <f t="shared" si="114"/>
        <v>0</v>
      </c>
      <c r="L258" s="881"/>
      <c r="M258" s="881"/>
      <c r="N258" s="881"/>
      <c r="O258" s="881"/>
      <c r="P258" s="881"/>
      <c r="Q258" s="868"/>
      <c r="R258" s="868"/>
      <c r="S258" s="868"/>
      <c r="T258" s="868"/>
      <c r="U258" s="868"/>
      <c r="V258" s="868"/>
      <c r="W258" s="868"/>
      <c r="X258" s="868"/>
      <c r="Y258" s="868"/>
      <c r="Z258" s="868"/>
    </row>
    <row r="259" spans="1:26" ht="19.5">
      <c r="A259" s="1051" t="s">
        <v>122</v>
      </c>
      <c r="B259" s="1052"/>
      <c r="C259" s="1052"/>
      <c r="D259" s="1053"/>
      <c r="E259" s="1053"/>
      <c r="F259" s="1053"/>
      <c r="G259" s="1054"/>
      <c r="H259" s="1055"/>
      <c r="I259" s="1056"/>
      <c r="J259" s="1056"/>
      <c r="K259" s="1057"/>
      <c r="L259" s="1057"/>
      <c r="M259" s="1057"/>
      <c r="N259" s="1057"/>
      <c r="O259" s="1057"/>
      <c r="P259" s="1057"/>
    </row>
    <row r="260" spans="1:26" ht="19.5">
      <c r="A260" s="1058"/>
      <c r="B260" s="1059" t="s">
        <v>123</v>
      </c>
      <c r="C260" s="1060"/>
      <c r="D260" s="1005"/>
      <c r="E260" s="1005"/>
      <c r="F260" s="1005"/>
      <c r="G260" s="1006"/>
      <c r="H260" s="252" t="s">
        <v>35</v>
      </c>
      <c r="I260" s="1075">
        <f t="shared" ref="I260:J260" ca="1" si="115">I271</f>
        <v>22</v>
      </c>
      <c r="J260" s="1075">
        <f t="shared" si="115"/>
        <v>0</v>
      </c>
      <c r="K260" s="1076">
        <f ca="1">IF(I260&gt;0,J260*100/I260,0)</f>
        <v>0</v>
      </c>
      <c r="L260" s="1062"/>
      <c r="M260" s="1062"/>
      <c r="N260" s="1062"/>
      <c r="O260" s="1062"/>
      <c r="P260" s="1062"/>
    </row>
    <row r="261" spans="1:26" ht="19.5">
      <c r="A261" s="985"/>
      <c r="B261" s="986"/>
      <c r="C261" s="987" t="s">
        <v>16</v>
      </c>
      <c r="D261" s="988" t="s">
        <v>17</v>
      </c>
      <c r="E261" s="986"/>
      <c r="F261" s="986"/>
      <c r="G261" s="989"/>
      <c r="H261" s="152" t="s">
        <v>12</v>
      </c>
      <c r="I261" s="990"/>
      <c r="J261" s="990"/>
      <c r="K261" s="991"/>
      <c r="L261" s="992">
        <f t="shared" ref="L261:N261" ca="1" si="116">L262+L263</f>
        <v>26900</v>
      </c>
      <c r="M261" s="992">
        <f t="shared" ca="1" si="116"/>
        <v>0</v>
      </c>
      <c r="N261" s="992">
        <f t="shared" ca="1" si="116"/>
        <v>0</v>
      </c>
      <c r="O261" s="992">
        <f t="shared" ref="O261:O269" ca="1" si="117">IF(L261&gt;0,N261*100/L261,0)</f>
        <v>0</v>
      </c>
      <c r="P261" s="992">
        <f t="shared" ref="P261:P269" ca="1" si="118">IF(M261&gt;0,N261*100/M261,0)</f>
        <v>0</v>
      </c>
      <c r="Q261" s="868"/>
      <c r="R261" s="868"/>
      <c r="S261" s="868"/>
      <c r="T261" s="868"/>
      <c r="U261" s="868"/>
      <c r="V261" s="868"/>
      <c r="W261" s="868"/>
      <c r="X261" s="868"/>
      <c r="Y261" s="868"/>
      <c r="Z261" s="868"/>
    </row>
    <row r="262" spans="1:26" ht="18.75" hidden="1">
      <c r="A262" s="993"/>
      <c r="B262" s="883"/>
      <c r="C262" s="883"/>
      <c r="D262" s="883"/>
      <c r="E262" s="884" t="s">
        <v>18</v>
      </c>
      <c r="F262" s="883"/>
      <c r="G262" s="994"/>
      <c r="H262" s="158" t="s">
        <v>12</v>
      </c>
      <c r="I262" s="886"/>
      <c r="J262" s="886"/>
      <c r="K262" s="887"/>
      <c r="L262" s="887">
        <f t="shared" ref="L262:N263" si="119">L265+L268</f>
        <v>0</v>
      </c>
      <c r="M262" s="887">
        <f t="shared" si="119"/>
        <v>0</v>
      </c>
      <c r="N262" s="887">
        <f t="shared" si="119"/>
        <v>0</v>
      </c>
      <c r="O262" s="887">
        <f t="shared" si="117"/>
        <v>0</v>
      </c>
      <c r="P262" s="887">
        <f t="shared" si="118"/>
        <v>0</v>
      </c>
      <c r="Q262" s="875"/>
      <c r="R262" s="875"/>
      <c r="S262" s="875"/>
      <c r="T262" s="875"/>
      <c r="U262" s="875"/>
      <c r="V262" s="875"/>
      <c r="W262" s="875"/>
      <c r="X262" s="875"/>
      <c r="Y262" s="875"/>
      <c r="Z262" s="875"/>
    </row>
    <row r="263" spans="1:26" ht="18.75" hidden="1">
      <c r="A263" s="993"/>
      <c r="B263" s="883"/>
      <c r="C263" s="883"/>
      <c r="D263" s="883"/>
      <c r="E263" s="884" t="s">
        <v>19</v>
      </c>
      <c r="F263" s="883"/>
      <c r="G263" s="994"/>
      <c r="H263" s="158" t="s">
        <v>12</v>
      </c>
      <c r="I263" s="886"/>
      <c r="J263" s="886"/>
      <c r="K263" s="887"/>
      <c r="L263" s="887">
        <f t="shared" ca="1" si="119"/>
        <v>26900</v>
      </c>
      <c r="M263" s="887">
        <f t="shared" ca="1" si="119"/>
        <v>0</v>
      </c>
      <c r="N263" s="887">
        <f t="shared" ca="1" si="119"/>
        <v>0</v>
      </c>
      <c r="O263" s="887">
        <f t="shared" ca="1" si="117"/>
        <v>0</v>
      </c>
      <c r="P263" s="887">
        <f t="shared" ca="1" si="118"/>
        <v>0</v>
      </c>
      <c r="Q263" s="875"/>
      <c r="R263" s="875"/>
      <c r="S263" s="875"/>
      <c r="T263" s="875"/>
      <c r="U263" s="875"/>
      <c r="V263" s="875"/>
      <c r="W263" s="875"/>
      <c r="X263" s="875"/>
      <c r="Y263" s="875"/>
      <c r="Z263" s="875"/>
    </row>
    <row r="264" spans="1:26" ht="18.75">
      <c r="A264" s="995"/>
      <c r="B264" s="877"/>
      <c r="C264" s="996"/>
      <c r="D264" s="878" t="s">
        <v>20</v>
      </c>
      <c r="E264" s="877"/>
      <c r="F264" s="877"/>
      <c r="G264" s="879"/>
      <c r="H264" s="161" t="s">
        <v>12</v>
      </c>
      <c r="I264" s="997"/>
      <c r="J264" s="997"/>
      <c r="K264" s="998"/>
      <c r="L264" s="881">
        <f t="shared" ref="L264:N264" ca="1" si="120">L265+L266</f>
        <v>26900</v>
      </c>
      <c r="M264" s="881">
        <f t="shared" ca="1" si="120"/>
        <v>0</v>
      </c>
      <c r="N264" s="881">
        <f t="shared" ca="1" si="120"/>
        <v>0</v>
      </c>
      <c r="O264" s="881">
        <f t="shared" ca="1" si="117"/>
        <v>0</v>
      </c>
      <c r="P264" s="881">
        <f t="shared" ca="1" si="118"/>
        <v>0</v>
      </c>
      <c r="Q264" s="868"/>
      <c r="R264" s="868"/>
      <c r="S264" s="868"/>
      <c r="T264" s="868"/>
      <c r="U264" s="868"/>
      <c r="V264" s="868"/>
      <c r="W264" s="868"/>
      <c r="X264" s="868"/>
      <c r="Y264" s="868"/>
      <c r="Z264" s="868"/>
    </row>
    <row r="265" spans="1:26" ht="19.5" hidden="1">
      <c r="A265" s="993"/>
      <c r="B265" s="883"/>
      <c r="C265" s="999"/>
      <c r="D265" s="883"/>
      <c r="E265" s="884" t="s">
        <v>36</v>
      </c>
      <c r="F265" s="883"/>
      <c r="G265" s="994"/>
      <c r="H265" s="165" t="s">
        <v>12</v>
      </c>
      <c r="I265" s="1000"/>
      <c r="J265" s="1000"/>
      <c r="K265" s="1001"/>
      <c r="L265" s="887">
        <v>0</v>
      </c>
      <c r="M265" s="887">
        <v>0</v>
      </c>
      <c r="N265" s="887">
        <v>0</v>
      </c>
      <c r="O265" s="887">
        <f t="shared" si="117"/>
        <v>0</v>
      </c>
      <c r="P265" s="887">
        <f t="shared" si="118"/>
        <v>0</v>
      </c>
      <c r="Q265" s="875"/>
      <c r="R265" s="875"/>
      <c r="S265" s="875"/>
      <c r="T265" s="875"/>
      <c r="U265" s="875"/>
      <c r="V265" s="875"/>
      <c r="W265" s="875"/>
      <c r="X265" s="875"/>
      <c r="Y265" s="875"/>
      <c r="Z265" s="875"/>
    </row>
    <row r="266" spans="1:26" ht="19.5" hidden="1">
      <c r="A266" s="993"/>
      <c r="B266" s="883"/>
      <c r="C266" s="999"/>
      <c r="D266" s="883"/>
      <c r="E266" s="884" t="s">
        <v>37</v>
      </c>
      <c r="F266" s="883"/>
      <c r="G266" s="994"/>
      <c r="H266" s="165" t="s">
        <v>12</v>
      </c>
      <c r="I266" s="1000"/>
      <c r="J266" s="1000"/>
      <c r="K266" s="1001"/>
      <c r="L266" s="887">
        <f ca="1">IFERROR(__xludf.DUMMYFUNCTION("IMPORTRANGE(""https://docs.google.com/spreadsheets/d/1MeEWN-I1oV_STSDYn1IFDPWt_1FKiwhDph83XaGc0o0/edit?usp=sharing"",""งบพรบ!CY75"")"),26900)</f>
        <v>26900</v>
      </c>
      <c r="M266" s="887">
        <f ca="1">IFERROR(__xludf.DUMMYFUNCTION("IMPORTRANGE(""https://docs.google.com/spreadsheets/d/1MeEWN-I1oV_STSDYn1IFDPWt_1FKiwhDph83XaGc0o0/edit?usp=sharing"",""งบพรบ!DD75"")"),0)</f>
        <v>0</v>
      </c>
      <c r="N266" s="887">
        <f ca="1">IFERROR(__xludf.DUMMYFUNCTION("IMPORTRANGE(""https://docs.google.com/spreadsheets/d/1MeEWN-I1oV_STSDYn1IFDPWt_1FKiwhDph83XaGc0o0/edit?usp=sharing"",""งบพรบ!DF75"")"),0)</f>
        <v>0</v>
      </c>
      <c r="O266" s="887">
        <f t="shared" ca="1" si="117"/>
        <v>0</v>
      </c>
      <c r="P266" s="887">
        <f t="shared" ca="1" si="118"/>
        <v>0</v>
      </c>
      <c r="Q266" s="875"/>
      <c r="R266" s="875"/>
      <c r="S266" s="875"/>
      <c r="T266" s="875"/>
      <c r="U266" s="875"/>
      <c r="V266" s="875"/>
      <c r="W266" s="875"/>
      <c r="X266" s="875"/>
      <c r="Y266" s="875"/>
      <c r="Z266" s="875"/>
    </row>
    <row r="267" spans="1:26" ht="18.75">
      <c r="A267" s="995"/>
      <c r="B267" s="877"/>
      <c r="C267" s="996"/>
      <c r="D267" s="878" t="s">
        <v>21</v>
      </c>
      <c r="E267" s="877"/>
      <c r="F267" s="877"/>
      <c r="G267" s="879"/>
      <c r="H267" s="168" t="s">
        <v>12</v>
      </c>
      <c r="I267" s="997"/>
      <c r="J267" s="997"/>
      <c r="K267" s="998"/>
      <c r="L267" s="881">
        <f t="shared" ref="L267:N267" ca="1" si="121">L268+L269</f>
        <v>0</v>
      </c>
      <c r="M267" s="881">
        <f t="shared" ca="1" si="121"/>
        <v>0</v>
      </c>
      <c r="N267" s="881">
        <f t="shared" ca="1" si="121"/>
        <v>0</v>
      </c>
      <c r="O267" s="881">
        <f t="shared" ca="1" si="117"/>
        <v>0</v>
      </c>
      <c r="P267" s="881">
        <f t="shared" ca="1" si="118"/>
        <v>0</v>
      </c>
      <c r="Q267" s="868"/>
      <c r="R267" s="868"/>
      <c r="S267" s="868"/>
      <c r="T267" s="868"/>
      <c r="U267" s="868"/>
      <c r="V267" s="868"/>
      <c r="W267" s="868"/>
      <c r="X267" s="868"/>
      <c r="Y267" s="868"/>
      <c r="Z267" s="868"/>
    </row>
    <row r="268" spans="1:26" ht="19.5" hidden="1">
      <c r="A268" s="993"/>
      <c r="B268" s="883"/>
      <c r="C268" s="999"/>
      <c r="D268" s="883"/>
      <c r="E268" s="884" t="s">
        <v>18</v>
      </c>
      <c r="F268" s="883"/>
      <c r="G268" s="994"/>
      <c r="H268" s="165" t="s">
        <v>12</v>
      </c>
      <c r="I268" s="1000"/>
      <c r="J268" s="1000"/>
      <c r="K268" s="1001"/>
      <c r="L268" s="887">
        <v>0</v>
      </c>
      <c r="M268" s="887">
        <v>0</v>
      </c>
      <c r="N268" s="887">
        <v>0</v>
      </c>
      <c r="O268" s="887">
        <f t="shared" si="117"/>
        <v>0</v>
      </c>
      <c r="P268" s="887">
        <f t="shared" si="118"/>
        <v>0</v>
      </c>
      <c r="Q268" s="875"/>
      <c r="R268" s="875"/>
      <c r="S268" s="875"/>
      <c r="T268" s="875"/>
      <c r="U268" s="875"/>
      <c r="V268" s="875"/>
      <c r="W268" s="875"/>
      <c r="X268" s="875"/>
      <c r="Y268" s="875"/>
      <c r="Z268" s="875"/>
    </row>
    <row r="269" spans="1:26" ht="19.5" hidden="1">
      <c r="A269" s="993"/>
      <c r="B269" s="883"/>
      <c r="C269" s="999"/>
      <c r="D269" s="883"/>
      <c r="E269" s="884" t="s">
        <v>19</v>
      </c>
      <c r="F269" s="883"/>
      <c r="G269" s="994"/>
      <c r="H269" s="169" t="s">
        <v>12</v>
      </c>
      <c r="I269" s="1000"/>
      <c r="J269" s="1000"/>
      <c r="K269" s="1001"/>
      <c r="L269" s="887">
        <f ca="1">IFERROR(__xludf.DUMMYFUNCTION("IMPORTRANGE(""https://docs.google.com/spreadsheets/d/1MeEWN-I1oV_STSDYn1IFDPWt_1FKiwhDph83XaGc0o0/edit?usp=sharing"",""งบพรบ!DB75"")"),0)</f>
        <v>0</v>
      </c>
      <c r="M269" s="887">
        <f ca="1">IFERROR(__xludf.DUMMYFUNCTION("IMPORTRANGE(""https://docs.google.com/spreadsheets/d/1MeEWN-I1oV_STSDYn1IFDPWt_1FKiwhDph83XaGc0o0/edit?usp=sharing"",""งบพรบ!DE75"")"),0)</f>
        <v>0</v>
      </c>
      <c r="N269" s="887">
        <f ca="1">IFERROR(__xludf.DUMMYFUNCTION("IMPORTRANGE(""https://docs.google.com/spreadsheets/d/1MeEWN-I1oV_STSDYn1IFDPWt_1FKiwhDph83XaGc0o0/edit?usp=sharing"",""งบพรบ!DG75"")"),0)</f>
        <v>0</v>
      </c>
      <c r="O269" s="887">
        <f t="shared" ca="1" si="117"/>
        <v>0</v>
      </c>
      <c r="P269" s="887">
        <f t="shared" ca="1" si="118"/>
        <v>0</v>
      </c>
      <c r="Q269" s="875"/>
      <c r="R269" s="875"/>
      <c r="S269" s="875"/>
      <c r="T269" s="875"/>
      <c r="U269" s="875"/>
      <c r="V269" s="875"/>
      <c r="W269" s="875"/>
      <c r="X269" s="875"/>
      <c r="Y269" s="875"/>
      <c r="Z269" s="875"/>
    </row>
    <row r="270" spans="1:26" ht="19.5">
      <c r="A270" s="1002"/>
      <c r="B270" s="1003"/>
      <c r="C270" s="996" t="s">
        <v>16</v>
      </c>
      <c r="D270" s="1004" t="s">
        <v>38</v>
      </c>
      <c r="E270" s="1005"/>
      <c r="F270" s="1005"/>
      <c r="G270" s="1006"/>
      <c r="H270" s="1007"/>
      <c r="I270" s="997"/>
      <c r="J270" s="997"/>
      <c r="K270" s="998"/>
      <c r="L270" s="998"/>
      <c r="M270" s="998"/>
      <c r="N270" s="998"/>
      <c r="O270" s="998"/>
      <c r="P270" s="998"/>
    </row>
    <row r="271" spans="1:26" ht="18.75">
      <c r="A271" s="1002"/>
      <c r="B271" s="1003"/>
      <c r="C271" s="1003"/>
      <c r="D271" s="1132" t="s">
        <v>124</v>
      </c>
      <c r="E271" s="1010"/>
      <c r="F271" s="1074"/>
      <c r="G271" s="1011"/>
      <c r="H271" s="377" t="s">
        <v>35</v>
      </c>
      <c r="I271" s="880">
        <f ca="1">IFERROR(__xludf.DUMMYFUNCTION("IMPORTRANGE(""https://docs.google.com/spreadsheets/d/1QqKyyYR6Q21VydFLVH3TRQUabQu_ym0Zz7PgGX0-kHA/edit?usp=sharing"",""แผน!EA75"")"),22)</f>
        <v>22</v>
      </c>
      <c r="J271" s="1012">
        <v>0</v>
      </c>
      <c r="K271" s="998">
        <f ca="1">IF(I271&gt;0,J271*100/I271,0)</f>
        <v>0</v>
      </c>
      <c r="L271" s="998"/>
      <c r="M271" s="998"/>
      <c r="N271" s="998"/>
      <c r="O271" s="998"/>
      <c r="P271" s="998"/>
    </row>
    <row r="272" spans="1:26" ht="18.75" hidden="1">
      <c r="A272" s="1133"/>
      <c r="B272" s="1134"/>
      <c r="C272" s="1134"/>
      <c r="D272" s="1135" t="s">
        <v>125</v>
      </c>
      <c r="E272" s="1136"/>
      <c r="F272" s="1136"/>
      <c r="G272" s="1137"/>
      <c r="H272" s="50" t="s">
        <v>35</v>
      </c>
      <c r="I272" s="1138">
        <v>0</v>
      </c>
      <c r="J272" s="1138">
        <v>0</v>
      </c>
      <c r="K272" s="1139">
        <v>0</v>
      </c>
      <c r="L272" s="1139"/>
      <c r="M272" s="1139"/>
      <c r="N272" s="1139"/>
      <c r="O272" s="1139"/>
      <c r="P272" s="1139"/>
    </row>
    <row r="273" spans="1:26" ht="19.5">
      <c r="A273" s="1140" t="s">
        <v>126</v>
      </c>
      <c r="B273" s="1141"/>
      <c r="C273" s="1141"/>
      <c r="D273" s="1141"/>
      <c r="E273" s="1142"/>
      <c r="F273" s="1142"/>
      <c r="G273" s="1143"/>
      <c r="H273" s="1144"/>
      <c r="I273" s="1145"/>
      <c r="J273" s="1145"/>
      <c r="K273" s="1146"/>
      <c r="L273" s="1146"/>
      <c r="M273" s="1146"/>
      <c r="N273" s="1146"/>
      <c r="O273" s="1146"/>
      <c r="P273" s="1146"/>
    </row>
    <row r="274" spans="1:26" ht="19.5">
      <c r="A274" s="1147" t="s">
        <v>127</v>
      </c>
      <c r="B274" s="1148"/>
      <c r="C274" s="1149"/>
      <c r="D274" s="1148"/>
      <c r="E274" s="1148"/>
      <c r="F274" s="1148"/>
      <c r="G274" s="1148"/>
      <c r="H274" s="1150"/>
      <c r="I274" s="1151"/>
      <c r="J274" s="1152"/>
      <c r="K274" s="1153"/>
      <c r="L274" s="1153"/>
      <c r="M274" s="1153"/>
      <c r="N274" s="1153"/>
      <c r="O274" s="1153"/>
      <c r="P274" s="1153"/>
    </row>
    <row r="275" spans="1:26" ht="19.5">
      <c r="A275" s="1154"/>
      <c r="B275" s="1155" t="s">
        <v>128</v>
      </c>
      <c r="C275" s="1156"/>
      <c r="D275" s="1157"/>
      <c r="E275" s="1156"/>
      <c r="F275" s="1156"/>
      <c r="G275" s="1158"/>
      <c r="H275" s="405" t="s">
        <v>35</v>
      </c>
      <c r="I275" s="1159">
        <f t="shared" ref="I275:J275" ca="1" si="122">I288</f>
        <v>5</v>
      </c>
      <c r="J275" s="1159">
        <f t="shared" ca="1" si="122"/>
        <v>5</v>
      </c>
      <c r="K275" s="1160">
        <f t="shared" ref="K275:K276" ca="1" si="123">IF(I275&gt;0,J275*100/I275,0)</f>
        <v>100</v>
      </c>
      <c r="L275" s="1161"/>
      <c r="M275" s="1161"/>
      <c r="N275" s="1161"/>
      <c r="O275" s="1161"/>
      <c r="P275" s="1161"/>
    </row>
    <row r="276" spans="1:26" ht="19.5">
      <c r="A276" s="1154"/>
      <c r="B276" s="1155"/>
      <c r="C276" s="1156"/>
      <c r="D276" s="1157"/>
      <c r="E276" s="1156"/>
      <c r="F276" s="1156"/>
      <c r="G276" s="1158"/>
      <c r="H276" s="405" t="s">
        <v>46</v>
      </c>
      <c r="I276" s="1159">
        <f t="shared" ref="I276:J276" ca="1" si="124">I287</f>
        <v>50</v>
      </c>
      <c r="J276" s="1159">
        <f t="shared" si="124"/>
        <v>50</v>
      </c>
      <c r="K276" s="1160">
        <f t="shared" ca="1" si="123"/>
        <v>100</v>
      </c>
      <c r="L276" s="1161"/>
      <c r="M276" s="1161"/>
      <c r="N276" s="1161"/>
      <c r="O276" s="1161"/>
      <c r="P276" s="1161"/>
    </row>
    <row r="277" spans="1:26" ht="19.5">
      <c r="A277" s="985"/>
      <c r="B277" s="986"/>
      <c r="C277" s="987" t="s">
        <v>16</v>
      </c>
      <c r="D277" s="988" t="s">
        <v>17</v>
      </c>
      <c r="E277" s="986"/>
      <c r="F277" s="986"/>
      <c r="G277" s="989"/>
      <c r="H277" s="152" t="s">
        <v>12</v>
      </c>
      <c r="I277" s="990"/>
      <c r="J277" s="990"/>
      <c r="K277" s="991"/>
      <c r="L277" s="992">
        <f t="shared" ref="L277:N277" ca="1" si="125">L278+L279</f>
        <v>22630</v>
      </c>
      <c r="M277" s="992">
        <f t="shared" ca="1" si="125"/>
        <v>22630</v>
      </c>
      <c r="N277" s="992">
        <f t="shared" ca="1" si="125"/>
        <v>21525</v>
      </c>
      <c r="O277" s="992">
        <f t="shared" ref="O277:O285" ca="1" si="126">IF(L277&gt;0,N277*100/L277,0)</f>
        <v>95.117101193106492</v>
      </c>
      <c r="P277" s="992">
        <f t="shared" ref="P277:P285" ca="1" si="127">IF(M277&gt;0,N277*100/M277,0)</f>
        <v>95.117101193106492</v>
      </c>
      <c r="Q277" s="868"/>
      <c r="R277" s="868"/>
      <c r="S277" s="868"/>
      <c r="T277" s="868"/>
      <c r="U277" s="868"/>
      <c r="V277" s="868"/>
      <c r="W277" s="868"/>
      <c r="X277" s="868"/>
      <c r="Y277" s="868"/>
      <c r="Z277" s="868"/>
    </row>
    <row r="278" spans="1:26" ht="18.75" hidden="1">
      <c r="A278" s="993"/>
      <c r="B278" s="883"/>
      <c r="C278" s="883"/>
      <c r="D278" s="883"/>
      <c r="E278" s="884" t="s">
        <v>18</v>
      </c>
      <c r="F278" s="883"/>
      <c r="G278" s="994"/>
      <c r="H278" s="158" t="s">
        <v>12</v>
      </c>
      <c r="I278" s="886"/>
      <c r="J278" s="886"/>
      <c r="K278" s="887"/>
      <c r="L278" s="887">
        <f t="shared" ref="L278:N279" si="128">L281+L284</f>
        <v>0</v>
      </c>
      <c r="M278" s="887">
        <f t="shared" si="128"/>
        <v>0</v>
      </c>
      <c r="N278" s="887">
        <f t="shared" si="128"/>
        <v>0</v>
      </c>
      <c r="O278" s="887">
        <f t="shared" si="126"/>
        <v>0</v>
      </c>
      <c r="P278" s="887">
        <f t="shared" si="127"/>
        <v>0</v>
      </c>
      <c r="Q278" s="875"/>
      <c r="R278" s="875"/>
      <c r="S278" s="875"/>
      <c r="T278" s="875"/>
      <c r="U278" s="875"/>
      <c r="V278" s="875"/>
      <c r="W278" s="875"/>
      <c r="X278" s="875"/>
      <c r="Y278" s="875"/>
      <c r="Z278" s="875"/>
    </row>
    <row r="279" spans="1:26" ht="18.75" hidden="1">
      <c r="A279" s="993"/>
      <c r="B279" s="883"/>
      <c r="C279" s="883"/>
      <c r="D279" s="883"/>
      <c r="E279" s="884" t="s">
        <v>19</v>
      </c>
      <c r="F279" s="883"/>
      <c r="G279" s="994"/>
      <c r="H279" s="158" t="s">
        <v>12</v>
      </c>
      <c r="I279" s="886"/>
      <c r="J279" s="886"/>
      <c r="K279" s="887"/>
      <c r="L279" s="887">
        <f t="shared" ca="1" si="128"/>
        <v>22630</v>
      </c>
      <c r="M279" s="887">
        <f t="shared" ca="1" si="128"/>
        <v>22630</v>
      </c>
      <c r="N279" s="887">
        <f t="shared" ca="1" si="128"/>
        <v>21525</v>
      </c>
      <c r="O279" s="887">
        <f t="shared" ca="1" si="126"/>
        <v>95.117101193106492</v>
      </c>
      <c r="P279" s="887">
        <f t="shared" ca="1" si="127"/>
        <v>95.117101193106492</v>
      </c>
      <c r="Q279" s="875"/>
      <c r="R279" s="875"/>
      <c r="S279" s="875"/>
      <c r="T279" s="875"/>
      <c r="U279" s="875"/>
      <c r="V279" s="875"/>
      <c r="W279" s="875"/>
      <c r="X279" s="875"/>
      <c r="Y279" s="875"/>
      <c r="Z279" s="875"/>
    </row>
    <row r="280" spans="1:26" ht="18.75">
      <c r="A280" s="995"/>
      <c r="B280" s="877"/>
      <c r="C280" s="996"/>
      <c r="D280" s="878" t="s">
        <v>20</v>
      </c>
      <c r="E280" s="877"/>
      <c r="F280" s="877"/>
      <c r="G280" s="879"/>
      <c r="H280" s="161" t="s">
        <v>12</v>
      </c>
      <c r="I280" s="997"/>
      <c r="J280" s="997"/>
      <c r="K280" s="998"/>
      <c r="L280" s="881">
        <f t="shared" ref="L280:N280" ca="1" si="129">L281+L282</f>
        <v>22630</v>
      </c>
      <c r="M280" s="881">
        <f t="shared" ca="1" si="129"/>
        <v>22630</v>
      </c>
      <c r="N280" s="881">
        <f t="shared" ca="1" si="129"/>
        <v>21525</v>
      </c>
      <c r="O280" s="881">
        <f t="shared" ca="1" si="126"/>
        <v>95.117101193106492</v>
      </c>
      <c r="P280" s="881">
        <f t="shared" ca="1" si="127"/>
        <v>95.117101193106492</v>
      </c>
      <c r="Q280" s="868"/>
      <c r="R280" s="868"/>
      <c r="S280" s="868"/>
      <c r="T280" s="868"/>
      <c r="U280" s="868"/>
      <c r="V280" s="868"/>
      <c r="W280" s="868"/>
      <c r="X280" s="868"/>
      <c r="Y280" s="868"/>
      <c r="Z280" s="868"/>
    </row>
    <row r="281" spans="1:26" ht="19.5" hidden="1">
      <c r="A281" s="993"/>
      <c r="B281" s="883"/>
      <c r="C281" s="999"/>
      <c r="D281" s="883"/>
      <c r="E281" s="884" t="s">
        <v>36</v>
      </c>
      <c r="F281" s="883"/>
      <c r="G281" s="994"/>
      <c r="H281" s="165" t="s">
        <v>12</v>
      </c>
      <c r="I281" s="1000"/>
      <c r="J281" s="1000"/>
      <c r="K281" s="1001"/>
      <c r="L281" s="887">
        <v>0</v>
      </c>
      <c r="M281" s="887">
        <v>0</v>
      </c>
      <c r="N281" s="887">
        <v>0</v>
      </c>
      <c r="O281" s="887">
        <f t="shared" si="126"/>
        <v>0</v>
      </c>
      <c r="P281" s="887">
        <f t="shared" si="127"/>
        <v>0</v>
      </c>
      <c r="Q281" s="875"/>
      <c r="R281" s="875"/>
      <c r="S281" s="875"/>
      <c r="T281" s="875"/>
      <c r="U281" s="875"/>
      <c r="V281" s="875"/>
      <c r="W281" s="875"/>
      <c r="X281" s="875"/>
      <c r="Y281" s="875"/>
      <c r="Z281" s="875"/>
    </row>
    <row r="282" spans="1:26" ht="19.5" hidden="1">
      <c r="A282" s="993"/>
      <c r="B282" s="883"/>
      <c r="C282" s="999"/>
      <c r="D282" s="883"/>
      <c r="E282" s="884" t="s">
        <v>37</v>
      </c>
      <c r="F282" s="883"/>
      <c r="G282" s="994"/>
      <c r="H282" s="165" t="s">
        <v>12</v>
      </c>
      <c r="I282" s="1000"/>
      <c r="J282" s="1000"/>
      <c r="K282" s="1001"/>
      <c r="L282" s="887">
        <f ca="1">IFERROR(__xludf.DUMMYFUNCTION("IMPORTRANGE(""https://docs.google.com/spreadsheets/d/1MeEWN-I1oV_STSDYn1IFDPWt_1FKiwhDph83XaGc0o0/edit?usp=sharing"",""งบพรบ!DI75"")"),22630)</f>
        <v>22630</v>
      </c>
      <c r="M282" s="887">
        <f ca="1">IFERROR(__xludf.DUMMYFUNCTION("IMPORTRANGE(""https://docs.google.com/spreadsheets/d/1MeEWN-I1oV_STSDYn1IFDPWt_1FKiwhDph83XaGc0o0/edit?usp=sharing"",""งบพรบ!DN75"")"),22630)</f>
        <v>22630</v>
      </c>
      <c r="N282" s="887">
        <f ca="1">IFERROR(__xludf.DUMMYFUNCTION("IMPORTRANGE(""https://docs.google.com/spreadsheets/d/1MeEWN-I1oV_STSDYn1IFDPWt_1FKiwhDph83XaGc0o0/edit?usp=sharing"",""งบพรบ!DP75"")"),21525)</f>
        <v>21525</v>
      </c>
      <c r="O282" s="887">
        <f t="shared" ca="1" si="126"/>
        <v>95.117101193106492</v>
      </c>
      <c r="P282" s="887">
        <f t="shared" ca="1" si="127"/>
        <v>95.117101193106492</v>
      </c>
      <c r="Q282" s="875"/>
      <c r="R282" s="875"/>
      <c r="S282" s="875"/>
      <c r="T282" s="875"/>
      <c r="U282" s="875"/>
      <c r="V282" s="875"/>
      <c r="W282" s="875"/>
      <c r="X282" s="875"/>
      <c r="Y282" s="875"/>
      <c r="Z282" s="875"/>
    </row>
    <row r="283" spans="1:26" ht="18.75">
      <c r="A283" s="995"/>
      <c r="B283" s="877"/>
      <c r="C283" s="996"/>
      <c r="D283" s="878" t="s">
        <v>21</v>
      </c>
      <c r="E283" s="877"/>
      <c r="F283" s="877"/>
      <c r="G283" s="879"/>
      <c r="H283" s="168" t="s">
        <v>12</v>
      </c>
      <c r="I283" s="997"/>
      <c r="J283" s="997"/>
      <c r="K283" s="998"/>
      <c r="L283" s="881">
        <f t="shared" ref="L283:N283" ca="1" si="130">L284+L285</f>
        <v>0</v>
      </c>
      <c r="M283" s="881">
        <f t="shared" ca="1" si="130"/>
        <v>0</v>
      </c>
      <c r="N283" s="881">
        <f t="shared" ca="1" si="130"/>
        <v>0</v>
      </c>
      <c r="O283" s="881">
        <f t="shared" ca="1" si="126"/>
        <v>0</v>
      </c>
      <c r="P283" s="881">
        <f t="shared" ca="1" si="127"/>
        <v>0</v>
      </c>
      <c r="Q283" s="868"/>
      <c r="R283" s="868"/>
      <c r="S283" s="868"/>
      <c r="T283" s="868"/>
      <c r="U283" s="868"/>
      <c r="V283" s="868"/>
      <c r="W283" s="868"/>
      <c r="X283" s="868"/>
      <c r="Y283" s="868"/>
      <c r="Z283" s="868"/>
    </row>
    <row r="284" spans="1:26" ht="19.5" hidden="1">
      <c r="A284" s="993"/>
      <c r="B284" s="883"/>
      <c r="C284" s="999"/>
      <c r="D284" s="883"/>
      <c r="E284" s="884" t="s">
        <v>18</v>
      </c>
      <c r="F284" s="883"/>
      <c r="G284" s="994"/>
      <c r="H284" s="165" t="s">
        <v>12</v>
      </c>
      <c r="I284" s="1000"/>
      <c r="J284" s="1000"/>
      <c r="K284" s="1001"/>
      <c r="L284" s="887">
        <v>0</v>
      </c>
      <c r="M284" s="887">
        <v>0</v>
      </c>
      <c r="N284" s="887">
        <v>0</v>
      </c>
      <c r="O284" s="887">
        <f t="shared" si="126"/>
        <v>0</v>
      </c>
      <c r="P284" s="887">
        <f t="shared" si="127"/>
        <v>0</v>
      </c>
      <c r="Q284" s="875"/>
      <c r="R284" s="875"/>
      <c r="S284" s="875"/>
      <c r="T284" s="875"/>
      <c r="U284" s="875"/>
      <c r="V284" s="875"/>
      <c r="W284" s="875"/>
      <c r="X284" s="875"/>
      <c r="Y284" s="875"/>
      <c r="Z284" s="875"/>
    </row>
    <row r="285" spans="1:26" ht="19.5" hidden="1">
      <c r="A285" s="993"/>
      <c r="B285" s="883"/>
      <c r="C285" s="999"/>
      <c r="D285" s="883"/>
      <c r="E285" s="884" t="s">
        <v>19</v>
      </c>
      <c r="F285" s="883"/>
      <c r="G285" s="994"/>
      <c r="H285" s="169" t="s">
        <v>12</v>
      </c>
      <c r="I285" s="1000"/>
      <c r="J285" s="1000"/>
      <c r="K285" s="1001"/>
      <c r="L285" s="887">
        <f ca="1">IFERROR(__xludf.DUMMYFUNCTION("IMPORTRANGE(""https://docs.google.com/spreadsheets/d/1MeEWN-I1oV_STSDYn1IFDPWt_1FKiwhDph83XaGc0o0/edit?usp=sharing"",""งบพรบ!DL75"")"),0)</f>
        <v>0</v>
      </c>
      <c r="M285" s="887">
        <f ca="1">IFERROR(__xludf.DUMMYFUNCTION("IMPORTRANGE(""https://docs.google.com/spreadsheets/d/1MeEWN-I1oV_STSDYn1IFDPWt_1FKiwhDph83XaGc0o0/edit?usp=sharing"",""งบพรบ!DO75"")"),0)</f>
        <v>0</v>
      </c>
      <c r="N285" s="887">
        <f ca="1">IFERROR(__xludf.DUMMYFUNCTION("IMPORTRANGE(""https://docs.google.com/spreadsheets/d/1MeEWN-I1oV_STSDYn1IFDPWt_1FKiwhDph83XaGc0o0/edit?usp=sharing"",""งบพรบ!DQ75"")"),0)</f>
        <v>0</v>
      </c>
      <c r="O285" s="887">
        <f t="shared" ca="1" si="126"/>
        <v>0</v>
      </c>
      <c r="P285" s="887">
        <f t="shared" ca="1" si="127"/>
        <v>0</v>
      </c>
      <c r="Q285" s="875"/>
      <c r="R285" s="875"/>
      <c r="S285" s="875"/>
      <c r="T285" s="875"/>
      <c r="U285" s="875"/>
      <c r="V285" s="875"/>
      <c r="W285" s="875"/>
      <c r="X285" s="875"/>
      <c r="Y285" s="875"/>
      <c r="Z285" s="875"/>
    </row>
    <row r="286" spans="1:26" ht="19.5">
      <c r="A286" s="1002"/>
      <c r="B286" s="1003"/>
      <c r="C286" s="999" t="s">
        <v>16</v>
      </c>
      <c r="D286" s="1004" t="s">
        <v>38</v>
      </c>
      <c r="E286" s="1005"/>
      <c r="F286" s="1005"/>
      <c r="G286" s="1006"/>
      <c r="H286" s="1007"/>
      <c r="I286" s="997"/>
      <c r="J286" s="997"/>
      <c r="K286" s="998"/>
      <c r="L286" s="998"/>
      <c r="M286" s="998"/>
      <c r="N286" s="998"/>
      <c r="O286" s="998"/>
      <c r="P286" s="998"/>
    </row>
    <row r="287" spans="1:26" ht="18.75">
      <c r="A287" s="1002"/>
      <c r="B287" s="1003"/>
      <c r="C287" s="1003"/>
      <c r="D287" s="1014" t="s">
        <v>129</v>
      </c>
      <c r="E287" s="1003"/>
      <c r="F287" s="1010"/>
      <c r="G287" s="1011"/>
      <c r="H287" s="185" t="s">
        <v>46</v>
      </c>
      <c r="I287" s="880">
        <f ca="1">IFERROR(__xludf.DUMMYFUNCTION("IMPORTRANGE(""https://docs.google.com/spreadsheets/d/1QqKyyYR6Q21VydFLVH3TRQUabQu_ym0Zz7PgGX0-kHA/edit?usp=sharing"",""แผน!EC75"")"),50)</f>
        <v>50</v>
      </c>
      <c r="J287" s="1012">
        <v>50</v>
      </c>
      <c r="K287" s="998">
        <f t="shared" ref="K287:K288" ca="1" si="131">IF(I287&gt;0,J287*100/I287,0)</f>
        <v>100</v>
      </c>
      <c r="L287" s="998"/>
      <c r="M287" s="998"/>
      <c r="N287" s="998"/>
      <c r="O287" s="998"/>
      <c r="P287" s="998"/>
    </row>
    <row r="288" spans="1:26" ht="19.5">
      <c r="A288" s="1002"/>
      <c r="B288" s="1003"/>
      <c r="C288" s="1003"/>
      <c r="D288" s="1014" t="s">
        <v>130</v>
      </c>
      <c r="E288" s="1003"/>
      <c r="F288" s="1010"/>
      <c r="G288" s="1011"/>
      <c r="H288" s="180" t="s">
        <v>35</v>
      </c>
      <c r="I288" s="1019">
        <f ca="1">IFERROR(__xludf.DUMMYFUNCTION("IMPORTRANGE(""https://docs.google.com/spreadsheets/d/1QqKyyYR6Q21VydFLVH3TRQUabQu_ym0Zz7PgGX0-kHA/edit?usp=sharing"",""แผน!EB75"")"),5)</f>
        <v>5</v>
      </c>
      <c r="J288" s="1019">
        <f ca="1">IF(AND(J291&gt;=I288,J294&gt;=I288),J294,0)</f>
        <v>5</v>
      </c>
      <c r="K288" s="1162">
        <f t="shared" ca="1" si="131"/>
        <v>100</v>
      </c>
      <c r="L288" s="998"/>
      <c r="M288" s="998"/>
      <c r="N288" s="998"/>
      <c r="O288" s="998"/>
      <c r="P288" s="998"/>
    </row>
    <row r="289" spans="1:26" ht="19.5">
      <c r="A289" s="1002"/>
      <c r="B289" s="1003"/>
      <c r="C289" s="1003"/>
      <c r="D289" s="1163"/>
      <c r="E289" s="1164" t="s">
        <v>131</v>
      </c>
      <c r="F289" s="1010"/>
      <c r="G289" s="1011"/>
      <c r="H289" s="762"/>
      <c r="I289" s="997"/>
      <c r="J289" s="880"/>
      <c r="K289" s="998"/>
      <c r="L289" s="998"/>
      <c r="M289" s="998"/>
      <c r="N289" s="998"/>
      <c r="O289" s="998"/>
      <c r="P289" s="998"/>
    </row>
    <row r="290" spans="1:26" ht="19.5">
      <c r="A290" s="1002"/>
      <c r="B290" s="1003"/>
      <c r="C290" s="1003"/>
      <c r="D290" s="1163"/>
      <c r="E290" s="1014" t="s">
        <v>132</v>
      </c>
      <c r="F290" s="1010"/>
      <c r="G290" s="1011"/>
      <c r="H290" s="762" t="s">
        <v>35</v>
      </c>
      <c r="I290" s="997">
        <f ca="1">IFERROR(__xludf.DUMMYFUNCTION("IMPORTRANGE(""https://docs.google.com/spreadsheets/d/1QqKyyYR6Q21VydFLVH3TRQUabQu_ym0Zz7PgGX0-kHA/edit?usp=sharing"",""แผน!EB75"")"),5)</f>
        <v>5</v>
      </c>
      <c r="J290" s="1012">
        <v>5</v>
      </c>
      <c r="K290" s="998">
        <f t="shared" ref="K290:K291" ca="1" si="132">IF(I290&gt;0,J290*100/I290,0)</f>
        <v>100</v>
      </c>
      <c r="L290" s="998"/>
      <c r="M290" s="998"/>
      <c r="N290" s="998"/>
      <c r="O290" s="998"/>
      <c r="P290" s="998"/>
    </row>
    <row r="291" spans="1:26" ht="19.5">
      <c r="A291" s="1002"/>
      <c r="B291" s="1003"/>
      <c r="C291" s="1003"/>
      <c r="D291" s="1010"/>
      <c r="E291" s="1014" t="s">
        <v>133</v>
      </c>
      <c r="F291" s="1010"/>
      <c r="G291" s="1011"/>
      <c r="H291" s="762" t="s">
        <v>35</v>
      </c>
      <c r="I291" s="997">
        <f ca="1">IFERROR(__xludf.DUMMYFUNCTION("IMPORTRANGE(""https://docs.google.com/spreadsheets/d/1QqKyyYR6Q21VydFLVH3TRQUabQu_ym0Zz7PgGX0-kHA/edit?usp=sharing"",""แผน!EB75"")"),5)</f>
        <v>5</v>
      </c>
      <c r="J291" s="1012">
        <v>5</v>
      </c>
      <c r="K291" s="998">
        <f t="shared" ca="1" si="132"/>
        <v>100</v>
      </c>
      <c r="L291" s="998"/>
      <c r="M291" s="998"/>
      <c r="N291" s="998"/>
      <c r="O291" s="998"/>
      <c r="P291" s="998"/>
    </row>
    <row r="292" spans="1:26" ht="19.5">
      <c r="A292" s="1165"/>
      <c r="B292" s="1166"/>
      <c r="C292" s="1166"/>
      <c r="D292" s="1167"/>
      <c r="E292" s="1168" t="s">
        <v>134</v>
      </c>
      <c r="F292" s="1088"/>
      <c r="G292" s="1089"/>
      <c r="H292" s="419"/>
      <c r="I292" s="1082"/>
      <c r="J292" s="990"/>
      <c r="K292" s="1083"/>
      <c r="L292" s="1083"/>
      <c r="M292" s="1083"/>
      <c r="N292" s="1083"/>
      <c r="O292" s="1083"/>
      <c r="P292" s="1083"/>
    </row>
    <row r="293" spans="1:26" ht="19.5">
      <c r="A293" s="1002"/>
      <c r="B293" s="1003"/>
      <c r="C293" s="1003"/>
      <c r="D293" s="1163"/>
      <c r="E293" s="1014" t="s">
        <v>132</v>
      </c>
      <c r="F293" s="1010"/>
      <c r="G293" s="1011"/>
      <c r="H293" s="762" t="s">
        <v>35</v>
      </c>
      <c r="I293" s="997">
        <f ca="1">IFERROR(__xludf.DUMMYFUNCTION("IMPORTRANGE(""https://docs.google.com/spreadsheets/d/1QqKyyYR6Q21VydFLVH3TRQUabQu_ym0Zz7PgGX0-kHA/edit?usp=sharing"",""แผน!EB75"")"),5)</f>
        <v>5</v>
      </c>
      <c r="J293" s="1012">
        <v>5</v>
      </c>
      <c r="K293" s="998">
        <f t="shared" ref="K293:K294" ca="1" si="133">IF(I293&gt;0,J293*100/I293,0)</f>
        <v>100</v>
      </c>
      <c r="L293" s="998"/>
      <c r="M293" s="998"/>
      <c r="N293" s="998"/>
      <c r="O293" s="998"/>
      <c r="P293" s="998"/>
    </row>
    <row r="294" spans="1:26" ht="19.5">
      <c r="A294" s="1133"/>
      <c r="B294" s="1134"/>
      <c r="C294" s="1134"/>
      <c r="D294" s="1136"/>
      <c r="E294" s="1169" t="s">
        <v>136</v>
      </c>
      <c r="F294" s="1136"/>
      <c r="G294" s="1137"/>
      <c r="H294" s="423" t="s">
        <v>35</v>
      </c>
      <c r="I294" s="1170">
        <f ca="1">IFERROR(__xludf.DUMMYFUNCTION("IMPORTRANGE(""https://docs.google.com/spreadsheets/d/1QqKyyYR6Q21VydFLVH3TRQUabQu_ym0Zz7PgGX0-kHA/edit?usp=sharing"",""แผน!EB75"")"),5)</f>
        <v>5</v>
      </c>
      <c r="J294" s="1171">
        <v>5</v>
      </c>
      <c r="K294" s="1139">
        <f t="shared" ca="1" si="133"/>
        <v>100</v>
      </c>
      <c r="L294" s="1139"/>
      <c r="M294" s="1139"/>
      <c r="N294" s="1139"/>
      <c r="O294" s="1139"/>
      <c r="P294" s="1139"/>
    </row>
    <row r="295" spans="1:26" ht="19.5">
      <c r="A295" s="1172" t="s">
        <v>137</v>
      </c>
      <c r="B295" s="1173"/>
      <c r="C295" s="1173"/>
      <c r="D295" s="1173"/>
      <c r="E295" s="1174"/>
      <c r="F295" s="1174"/>
      <c r="G295" s="1175"/>
      <c r="H295" s="1176"/>
      <c r="I295" s="1177"/>
      <c r="J295" s="1177"/>
      <c r="K295" s="1178"/>
      <c r="L295" s="1178"/>
      <c r="M295" s="1178"/>
      <c r="N295" s="1178"/>
      <c r="O295" s="1178"/>
      <c r="P295" s="1178"/>
    </row>
    <row r="296" spans="1:26" ht="19.5" hidden="1">
      <c r="A296" s="1179" t="s">
        <v>138</v>
      </c>
      <c r="B296" s="1180"/>
      <c r="C296" s="1180"/>
      <c r="D296" s="1181"/>
      <c r="E296" s="1181"/>
      <c r="F296" s="1181"/>
      <c r="G296" s="1182"/>
      <c r="H296" s="1183"/>
      <c r="I296" s="1184"/>
      <c r="J296" s="1184"/>
      <c r="K296" s="1185"/>
      <c r="L296" s="1185"/>
      <c r="M296" s="1185"/>
      <c r="N296" s="1185"/>
      <c r="O296" s="1185"/>
      <c r="P296" s="1185"/>
    </row>
    <row r="297" spans="1:26" ht="19.5" hidden="1">
      <c r="A297" s="1186"/>
      <c r="B297" s="1187" t="s">
        <v>139</v>
      </c>
      <c r="C297" s="1188"/>
      <c r="D297" s="1188"/>
      <c r="E297" s="1188"/>
      <c r="F297" s="1188"/>
      <c r="G297" s="1189"/>
      <c r="H297" s="444" t="s">
        <v>35</v>
      </c>
      <c r="I297" s="1190">
        <f t="shared" ref="I297:J297" ca="1" si="134">I309</f>
        <v>0</v>
      </c>
      <c r="J297" s="1190">
        <f t="shared" si="134"/>
        <v>0</v>
      </c>
      <c r="K297" s="1191">
        <f ca="1">IF(I297&gt;0,J297*100/I297,0)</f>
        <v>0</v>
      </c>
      <c r="L297" s="1192"/>
      <c r="M297" s="1192"/>
      <c r="N297" s="1192"/>
      <c r="O297" s="1192"/>
      <c r="P297" s="1192"/>
    </row>
    <row r="298" spans="1:26" ht="19.5" hidden="1">
      <c r="A298" s="985"/>
      <c r="B298" s="986"/>
      <c r="C298" s="987" t="s">
        <v>16</v>
      </c>
      <c r="D298" s="988" t="s">
        <v>17</v>
      </c>
      <c r="E298" s="986"/>
      <c r="F298" s="986"/>
      <c r="G298" s="989"/>
      <c r="H298" s="152" t="s">
        <v>12</v>
      </c>
      <c r="I298" s="990"/>
      <c r="J298" s="990"/>
      <c r="K298" s="991"/>
      <c r="L298" s="992">
        <f t="shared" ref="L298:N298" ca="1" si="135">L299+L300</f>
        <v>0</v>
      </c>
      <c r="M298" s="992">
        <f t="shared" ca="1" si="135"/>
        <v>0</v>
      </c>
      <c r="N298" s="992">
        <f t="shared" ca="1" si="135"/>
        <v>0</v>
      </c>
      <c r="O298" s="992">
        <f t="shared" ref="O298:O306" ca="1" si="136">IF(L298&gt;0,N298*100/L298,0)</f>
        <v>0</v>
      </c>
      <c r="P298" s="992">
        <f t="shared" ref="P298:P306" ca="1" si="137">IF(M298&gt;0,N298*100/M298,0)</f>
        <v>0</v>
      </c>
      <c r="Q298" s="868"/>
      <c r="R298" s="868"/>
      <c r="S298" s="868"/>
      <c r="T298" s="868"/>
      <c r="U298" s="868"/>
      <c r="V298" s="868"/>
      <c r="W298" s="868"/>
      <c r="X298" s="868"/>
      <c r="Y298" s="868"/>
      <c r="Z298" s="868"/>
    </row>
    <row r="299" spans="1:26" ht="18.75" hidden="1">
      <c r="A299" s="993"/>
      <c r="B299" s="883"/>
      <c r="C299" s="883"/>
      <c r="D299" s="883"/>
      <c r="E299" s="884" t="s">
        <v>18</v>
      </c>
      <c r="F299" s="883"/>
      <c r="G299" s="994"/>
      <c r="H299" s="158" t="s">
        <v>12</v>
      </c>
      <c r="I299" s="886"/>
      <c r="J299" s="886"/>
      <c r="K299" s="887"/>
      <c r="L299" s="887">
        <f t="shared" ref="L299:N300" si="138">L302+L305</f>
        <v>0</v>
      </c>
      <c r="M299" s="887">
        <f t="shared" si="138"/>
        <v>0</v>
      </c>
      <c r="N299" s="887">
        <f t="shared" si="138"/>
        <v>0</v>
      </c>
      <c r="O299" s="887">
        <f t="shared" si="136"/>
        <v>0</v>
      </c>
      <c r="P299" s="887">
        <f t="shared" si="137"/>
        <v>0</v>
      </c>
      <c r="Q299" s="875"/>
      <c r="R299" s="875"/>
      <c r="S299" s="875"/>
      <c r="T299" s="875"/>
      <c r="U299" s="875"/>
      <c r="V299" s="875"/>
      <c r="W299" s="875"/>
      <c r="X299" s="875"/>
      <c r="Y299" s="875"/>
      <c r="Z299" s="875"/>
    </row>
    <row r="300" spans="1:26" ht="18.75" hidden="1">
      <c r="A300" s="993"/>
      <c r="B300" s="883"/>
      <c r="C300" s="883"/>
      <c r="D300" s="883"/>
      <c r="E300" s="884" t="s">
        <v>19</v>
      </c>
      <c r="F300" s="883"/>
      <c r="G300" s="994"/>
      <c r="H300" s="158" t="s">
        <v>12</v>
      </c>
      <c r="I300" s="886"/>
      <c r="J300" s="886"/>
      <c r="K300" s="887"/>
      <c r="L300" s="887">
        <f t="shared" ca="1" si="138"/>
        <v>0</v>
      </c>
      <c r="M300" s="887">
        <f t="shared" ca="1" si="138"/>
        <v>0</v>
      </c>
      <c r="N300" s="887">
        <f t="shared" ca="1" si="138"/>
        <v>0</v>
      </c>
      <c r="O300" s="887">
        <f t="shared" ca="1" si="136"/>
        <v>0</v>
      </c>
      <c r="P300" s="887">
        <f t="shared" ca="1" si="137"/>
        <v>0</v>
      </c>
      <c r="Q300" s="875"/>
      <c r="R300" s="875"/>
      <c r="S300" s="875"/>
      <c r="T300" s="875"/>
      <c r="U300" s="875"/>
      <c r="V300" s="875"/>
      <c r="W300" s="875"/>
      <c r="X300" s="875"/>
      <c r="Y300" s="875"/>
      <c r="Z300" s="875"/>
    </row>
    <row r="301" spans="1:26" ht="18.75" hidden="1">
      <c r="A301" s="995"/>
      <c r="B301" s="877"/>
      <c r="C301" s="996"/>
      <c r="D301" s="878" t="s">
        <v>20</v>
      </c>
      <c r="E301" s="877"/>
      <c r="F301" s="877"/>
      <c r="G301" s="879"/>
      <c r="H301" s="161" t="s">
        <v>12</v>
      </c>
      <c r="I301" s="997"/>
      <c r="J301" s="997"/>
      <c r="K301" s="998"/>
      <c r="L301" s="881">
        <f t="shared" ref="L301:N301" ca="1" si="139">L302+L303</f>
        <v>0</v>
      </c>
      <c r="M301" s="881">
        <f t="shared" ca="1" si="139"/>
        <v>0</v>
      </c>
      <c r="N301" s="881">
        <f t="shared" ca="1" si="139"/>
        <v>0</v>
      </c>
      <c r="O301" s="881">
        <f t="shared" ca="1" si="136"/>
        <v>0</v>
      </c>
      <c r="P301" s="881">
        <f t="shared" ca="1" si="137"/>
        <v>0</v>
      </c>
      <c r="Q301" s="868"/>
      <c r="R301" s="868"/>
      <c r="S301" s="868"/>
      <c r="T301" s="868"/>
      <c r="U301" s="868"/>
      <c r="V301" s="868"/>
      <c r="W301" s="868"/>
      <c r="X301" s="868"/>
      <c r="Y301" s="868"/>
      <c r="Z301" s="868"/>
    </row>
    <row r="302" spans="1:26" ht="19.5" hidden="1">
      <c r="A302" s="993"/>
      <c r="B302" s="883"/>
      <c r="C302" s="999"/>
      <c r="D302" s="883"/>
      <c r="E302" s="884" t="s">
        <v>36</v>
      </c>
      <c r="F302" s="883"/>
      <c r="G302" s="994"/>
      <c r="H302" s="165" t="s">
        <v>12</v>
      </c>
      <c r="I302" s="1000"/>
      <c r="J302" s="1000"/>
      <c r="K302" s="1001"/>
      <c r="L302" s="887">
        <v>0</v>
      </c>
      <c r="M302" s="887">
        <v>0</v>
      </c>
      <c r="N302" s="887">
        <v>0</v>
      </c>
      <c r="O302" s="887">
        <f t="shared" si="136"/>
        <v>0</v>
      </c>
      <c r="P302" s="887">
        <f t="shared" si="137"/>
        <v>0</v>
      </c>
      <c r="Q302" s="875"/>
      <c r="R302" s="875"/>
      <c r="S302" s="875"/>
      <c r="T302" s="875"/>
      <c r="U302" s="875"/>
      <c r="V302" s="875"/>
      <c r="W302" s="875"/>
      <c r="X302" s="875"/>
      <c r="Y302" s="875"/>
      <c r="Z302" s="875"/>
    </row>
    <row r="303" spans="1:26" ht="19.5" hidden="1">
      <c r="A303" s="993"/>
      <c r="B303" s="883"/>
      <c r="C303" s="999"/>
      <c r="D303" s="883"/>
      <c r="E303" s="884" t="s">
        <v>37</v>
      </c>
      <c r="F303" s="883"/>
      <c r="G303" s="994"/>
      <c r="H303" s="165" t="s">
        <v>12</v>
      </c>
      <c r="I303" s="1000"/>
      <c r="J303" s="1000"/>
      <c r="K303" s="1001"/>
      <c r="L303" s="887">
        <f ca="1">IFERROR(__xludf.DUMMYFUNCTION("IMPORTRANGE(""https://docs.google.com/spreadsheets/d/1MeEWN-I1oV_STSDYn1IFDPWt_1FKiwhDph83XaGc0o0/edit?usp=sharing"",""งบพรบ!DS75"")"),0)</f>
        <v>0</v>
      </c>
      <c r="M303" s="887">
        <f ca="1">IFERROR(__xludf.DUMMYFUNCTION("IMPORTRANGE(""https://docs.google.com/spreadsheets/d/1MeEWN-I1oV_STSDYn1IFDPWt_1FKiwhDph83XaGc0o0/edit?usp=sharing"",""งบพรบ!DX75"")"),0)</f>
        <v>0</v>
      </c>
      <c r="N303" s="887">
        <f ca="1">IFERROR(__xludf.DUMMYFUNCTION("IMPORTRANGE(""https://docs.google.com/spreadsheets/d/1MeEWN-I1oV_STSDYn1IFDPWt_1FKiwhDph83XaGc0o0/edit?usp=sharing"",""งบพรบ!DZ75"")"),0)</f>
        <v>0</v>
      </c>
      <c r="O303" s="887">
        <f t="shared" ca="1" si="136"/>
        <v>0</v>
      </c>
      <c r="P303" s="887">
        <f t="shared" ca="1" si="137"/>
        <v>0</v>
      </c>
      <c r="Q303" s="875"/>
      <c r="R303" s="875"/>
      <c r="S303" s="875"/>
      <c r="T303" s="875"/>
      <c r="U303" s="875"/>
      <c r="V303" s="875"/>
      <c r="W303" s="875"/>
      <c r="X303" s="875"/>
      <c r="Y303" s="875"/>
      <c r="Z303" s="875"/>
    </row>
    <row r="304" spans="1:26" ht="18.75" hidden="1">
      <c r="A304" s="995"/>
      <c r="B304" s="877"/>
      <c r="C304" s="996"/>
      <c r="D304" s="878" t="s">
        <v>21</v>
      </c>
      <c r="E304" s="877"/>
      <c r="F304" s="877"/>
      <c r="G304" s="879"/>
      <c r="H304" s="168" t="s">
        <v>12</v>
      </c>
      <c r="I304" s="997"/>
      <c r="J304" s="997"/>
      <c r="K304" s="998"/>
      <c r="L304" s="881">
        <f t="shared" ref="L304:N304" ca="1" si="140">L305+L306</f>
        <v>0</v>
      </c>
      <c r="M304" s="881">
        <f t="shared" ca="1" si="140"/>
        <v>0</v>
      </c>
      <c r="N304" s="881">
        <f t="shared" ca="1" si="140"/>
        <v>0</v>
      </c>
      <c r="O304" s="881">
        <f t="shared" ca="1" si="136"/>
        <v>0</v>
      </c>
      <c r="P304" s="881">
        <f t="shared" ca="1" si="137"/>
        <v>0</v>
      </c>
      <c r="Q304" s="868"/>
      <c r="R304" s="868"/>
      <c r="S304" s="868"/>
      <c r="T304" s="868"/>
      <c r="U304" s="868"/>
      <c r="V304" s="868"/>
      <c r="W304" s="868"/>
      <c r="X304" s="868"/>
      <c r="Y304" s="868"/>
      <c r="Z304" s="868"/>
    </row>
    <row r="305" spans="1:26" ht="19.5" hidden="1">
      <c r="A305" s="993"/>
      <c r="B305" s="883"/>
      <c r="C305" s="999"/>
      <c r="D305" s="883"/>
      <c r="E305" s="884" t="s">
        <v>18</v>
      </c>
      <c r="F305" s="883"/>
      <c r="G305" s="994"/>
      <c r="H305" s="165" t="s">
        <v>12</v>
      </c>
      <c r="I305" s="1000"/>
      <c r="J305" s="1000"/>
      <c r="K305" s="1001"/>
      <c r="L305" s="887">
        <v>0</v>
      </c>
      <c r="M305" s="887">
        <v>0</v>
      </c>
      <c r="N305" s="887">
        <v>0</v>
      </c>
      <c r="O305" s="887">
        <f t="shared" si="136"/>
        <v>0</v>
      </c>
      <c r="P305" s="887">
        <f t="shared" si="137"/>
        <v>0</v>
      </c>
      <c r="Q305" s="875"/>
      <c r="R305" s="875"/>
      <c r="S305" s="875"/>
      <c r="T305" s="875"/>
      <c r="U305" s="875"/>
      <c r="V305" s="875"/>
      <c r="W305" s="875"/>
      <c r="X305" s="875"/>
      <c r="Y305" s="875"/>
      <c r="Z305" s="875"/>
    </row>
    <row r="306" spans="1:26" ht="19.5" hidden="1">
      <c r="A306" s="993"/>
      <c r="B306" s="883"/>
      <c r="C306" s="999"/>
      <c r="D306" s="883"/>
      <c r="E306" s="884" t="s">
        <v>19</v>
      </c>
      <c r="F306" s="883"/>
      <c r="G306" s="994"/>
      <c r="H306" s="169" t="s">
        <v>12</v>
      </c>
      <c r="I306" s="1000"/>
      <c r="J306" s="1000"/>
      <c r="K306" s="1001"/>
      <c r="L306" s="887">
        <f ca="1">IFERROR(__xludf.DUMMYFUNCTION("IMPORTRANGE(""https://docs.google.com/spreadsheets/d/1MeEWN-I1oV_STSDYn1IFDPWt_1FKiwhDph83XaGc0o0/edit?usp=sharing"",""งบพรบ!DV75"")"),0)</f>
        <v>0</v>
      </c>
      <c r="M306" s="887">
        <f ca="1">IFERROR(__xludf.DUMMYFUNCTION("IMPORTRANGE(""https://docs.google.com/spreadsheets/d/1MeEWN-I1oV_STSDYn1IFDPWt_1FKiwhDph83XaGc0o0/edit?usp=sharing"",""งบพรบ!DY75"")"),0)</f>
        <v>0</v>
      </c>
      <c r="N306" s="887">
        <f ca="1">IFERROR(__xludf.DUMMYFUNCTION("IMPORTRANGE(""https://docs.google.com/spreadsheets/d/1MeEWN-I1oV_STSDYn1IFDPWt_1FKiwhDph83XaGc0o0/edit?usp=sharing"",""งบพรบ!EA75"")"),0)</f>
        <v>0</v>
      </c>
      <c r="O306" s="887">
        <f t="shared" ca="1" si="136"/>
        <v>0</v>
      </c>
      <c r="P306" s="887">
        <f t="shared" ca="1" si="137"/>
        <v>0</v>
      </c>
      <c r="Q306" s="875"/>
      <c r="R306" s="875"/>
      <c r="S306" s="875"/>
      <c r="T306" s="875"/>
      <c r="U306" s="875"/>
      <c r="V306" s="875"/>
      <c r="W306" s="875"/>
      <c r="X306" s="875"/>
      <c r="Y306" s="875"/>
      <c r="Z306" s="875"/>
    </row>
    <row r="307" spans="1:26" ht="19.5" hidden="1">
      <c r="A307" s="1002"/>
      <c r="B307" s="1003"/>
      <c r="C307" s="999" t="s">
        <v>16</v>
      </c>
      <c r="D307" s="1004" t="s">
        <v>38</v>
      </c>
      <c r="E307" s="1005"/>
      <c r="F307" s="1005"/>
      <c r="G307" s="1006"/>
      <c r="H307" s="1007"/>
      <c r="I307" s="880"/>
      <c r="J307" s="880"/>
      <c r="K307" s="881"/>
      <c r="L307" s="881"/>
      <c r="M307" s="881"/>
      <c r="N307" s="881"/>
      <c r="O307" s="881"/>
      <c r="P307" s="881"/>
    </row>
    <row r="308" spans="1:26" ht="18.75" hidden="1">
      <c r="A308" s="1002"/>
      <c r="B308" s="1003"/>
      <c r="C308" s="1003"/>
      <c r="D308" s="1009" t="s">
        <v>140</v>
      </c>
      <c r="E308" s="1009"/>
      <c r="F308" s="1009"/>
      <c r="G308" s="1011"/>
      <c r="H308" s="762"/>
      <c r="I308" s="880"/>
      <c r="J308" s="1012">
        <v>0</v>
      </c>
      <c r="K308" s="881"/>
      <c r="L308" s="881"/>
      <c r="M308" s="881"/>
      <c r="N308" s="881"/>
      <c r="O308" s="881"/>
      <c r="P308" s="881"/>
    </row>
    <row r="309" spans="1:26" ht="18.75" hidden="1">
      <c r="A309" s="1002"/>
      <c r="B309" s="1003"/>
      <c r="C309" s="1003"/>
      <c r="D309" s="1009" t="s">
        <v>141</v>
      </c>
      <c r="E309" s="1009"/>
      <c r="F309" s="1009"/>
      <c r="G309" s="1011"/>
      <c r="H309" s="762" t="s">
        <v>35</v>
      </c>
      <c r="I309" s="880">
        <f ca="1">IFERROR(__xludf.DUMMYFUNCTION("IMPORTRANGE(""https://docs.google.com/spreadsheets/d/1QqKyyYR6Q21VydFLVH3TRQUabQu_ym0Zz7PgGX0-kHA/edit?usp=sharing"",""แผน!ED75"")"),0)</f>
        <v>0</v>
      </c>
      <c r="J309" s="1012">
        <v>0</v>
      </c>
      <c r="K309" s="881">
        <f t="shared" ref="K309:K312" ca="1" si="141">IF(I309&gt;0,J309*100/I309,0)</f>
        <v>0</v>
      </c>
      <c r="L309" s="881"/>
      <c r="M309" s="881"/>
      <c r="N309" s="881"/>
      <c r="O309" s="881"/>
      <c r="P309" s="881"/>
    </row>
    <row r="310" spans="1:26" ht="18.75" hidden="1">
      <c r="A310" s="1002"/>
      <c r="B310" s="1003"/>
      <c r="C310" s="1003"/>
      <c r="D310" s="1009" t="s">
        <v>142</v>
      </c>
      <c r="E310" s="1009"/>
      <c r="F310" s="1009"/>
      <c r="G310" s="1011"/>
      <c r="H310" s="762" t="s">
        <v>35</v>
      </c>
      <c r="I310" s="880">
        <f ca="1">IFERROR(__xludf.DUMMYFUNCTION("IMPORTRANGE(""https://docs.google.com/spreadsheets/d/1QqKyyYR6Q21VydFLVH3TRQUabQu_ym0Zz7PgGX0-kHA/edit?usp=sharing"",""แผน!ED75"")"),0)</f>
        <v>0</v>
      </c>
      <c r="J310" s="1012">
        <v>0</v>
      </c>
      <c r="K310" s="881">
        <f t="shared" ca="1" si="141"/>
        <v>0</v>
      </c>
      <c r="L310" s="881"/>
      <c r="M310" s="881"/>
      <c r="N310" s="881"/>
      <c r="O310" s="881"/>
      <c r="P310" s="881"/>
    </row>
    <row r="311" spans="1:26" ht="18.75" hidden="1">
      <c r="A311" s="1002"/>
      <c r="B311" s="1003"/>
      <c r="C311" s="1003"/>
      <c r="D311" s="1009" t="s">
        <v>59</v>
      </c>
      <c r="E311" s="1009"/>
      <c r="F311" s="1009"/>
      <c r="G311" s="1011"/>
      <c r="H311" s="762" t="s">
        <v>35</v>
      </c>
      <c r="I311" s="880">
        <f ca="1">IFERROR(__xludf.DUMMYFUNCTION("IMPORTRANGE(""https://docs.google.com/spreadsheets/d/1QqKyyYR6Q21VydFLVH3TRQUabQu_ym0Zz7PgGX0-kHA/edit?usp=sharing"",""แผน!ED75"")"),0)</f>
        <v>0</v>
      </c>
      <c r="J311" s="1012">
        <v>0</v>
      </c>
      <c r="K311" s="881">
        <f t="shared" ca="1" si="141"/>
        <v>0</v>
      </c>
      <c r="L311" s="881"/>
      <c r="M311" s="881"/>
      <c r="N311" s="881"/>
      <c r="O311" s="881"/>
      <c r="P311" s="881"/>
    </row>
    <row r="312" spans="1:26" ht="18.75" hidden="1">
      <c r="A312" s="1002"/>
      <c r="B312" s="1003"/>
      <c r="C312" s="1003"/>
      <c r="D312" s="1009" t="s">
        <v>143</v>
      </c>
      <c r="E312" s="1009"/>
      <c r="F312" s="1009"/>
      <c r="G312" s="1011"/>
      <c r="H312" s="762" t="s">
        <v>35</v>
      </c>
      <c r="I312" s="880">
        <f ca="1">IFERROR(__xludf.DUMMYFUNCTION("IMPORTRANGE(""https://docs.google.com/spreadsheets/d/1QqKyyYR6Q21VydFLVH3TRQUabQu_ym0Zz7PgGX0-kHA/edit?usp=sharing"",""แผน!EE75"")"),0)</f>
        <v>0</v>
      </c>
      <c r="J312" s="1012">
        <v>0</v>
      </c>
      <c r="K312" s="881">
        <f t="shared" ca="1" si="141"/>
        <v>0</v>
      </c>
      <c r="L312" s="881"/>
      <c r="M312" s="881"/>
      <c r="N312" s="881"/>
      <c r="O312" s="881"/>
      <c r="P312" s="881"/>
    </row>
    <row r="313" spans="1:26" ht="19.5">
      <c r="A313" s="1179" t="s">
        <v>144</v>
      </c>
      <c r="B313" s="1180"/>
      <c r="C313" s="1180"/>
      <c r="D313" s="1181"/>
      <c r="E313" s="1180"/>
      <c r="F313" s="1180"/>
      <c r="G313" s="1180"/>
      <c r="H313" s="1193"/>
      <c r="I313" s="1184"/>
      <c r="J313" s="1184"/>
      <c r="K313" s="1185"/>
      <c r="L313" s="1185"/>
      <c r="M313" s="1185"/>
      <c r="N313" s="1185"/>
      <c r="O313" s="1185"/>
      <c r="P313" s="1185"/>
    </row>
    <row r="314" spans="1:26" ht="19.5">
      <c r="A314" s="1194"/>
      <c r="B314" s="1187" t="s">
        <v>145</v>
      </c>
      <c r="C314" s="1195"/>
      <c r="D314" s="1196"/>
      <c r="E314" s="1188"/>
      <c r="F314" s="1188"/>
      <c r="G314" s="1189"/>
      <c r="H314" s="444" t="s">
        <v>146</v>
      </c>
      <c r="I314" s="1190">
        <f t="shared" ref="I314:J314" ca="1" si="142">I325</f>
        <v>2</v>
      </c>
      <c r="J314" s="1190">
        <f t="shared" si="142"/>
        <v>2</v>
      </c>
      <c r="K314" s="1191">
        <f ca="1">IF(I314&gt;0,J314*100/I314,0)</f>
        <v>100</v>
      </c>
      <c r="L314" s="1192"/>
      <c r="M314" s="1192"/>
      <c r="N314" s="1192"/>
      <c r="O314" s="1192"/>
      <c r="P314" s="1192"/>
    </row>
    <row r="315" spans="1:26" ht="19.5">
      <c r="A315" s="985"/>
      <c r="B315" s="986"/>
      <c r="C315" s="987" t="s">
        <v>16</v>
      </c>
      <c r="D315" s="988" t="s">
        <v>17</v>
      </c>
      <c r="E315" s="986"/>
      <c r="F315" s="986"/>
      <c r="G315" s="989"/>
      <c r="H315" s="152" t="s">
        <v>12</v>
      </c>
      <c r="I315" s="990"/>
      <c r="J315" s="990"/>
      <c r="K315" s="991"/>
      <c r="L315" s="992">
        <f t="shared" ref="L315:N315" ca="1" si="143">L316+L317</f>
        <v>3753000</v>
      </c>
      <c r="M315" s="992">
        <f t="shared" ca="1" si="143"/>
        <v>3777400</v>
      </c>
      <c r="N315" s="992">
        <f t="shared" ca="1" si="143"/>
        <v>3687119.0799999996</v>
      </c>
      <c r="O315" s="992">
        <f t="shared" ref="O315:O323" ca="1" si="144">IF(L315&gt;0,N315*100/L315,0)</f>
        <v>98.24457980282439</v>
      </c>
      <c r="P315" s="992">
        <f t="shared" ref="P315:P323" ca="1" si="145">IF(M315&gt;0,N315*100/M315,0)</f>
        <v>97.609971938370293</v>
      </c>
      <c r="Q315" s="868"/>
      <c r="R315" s="868"/>
      <c r="S315" s="868"/>
      <c r="T315" s="868"/>
      <c r="U315" s="868"/>
      <c r="V315" s="868"/>
      <c r="W315" s="868"/>
      <c r="X315" s="868"/>
      <c r="Y315" s="868"/>
      <c r="Z315" s="868"/>
    </row>
    <row r="316" spans="1:26" ht="18.75" hidden="1">
      <c r="A316" s="993"/>
      <c r="B316" s="883"/>
      <c r="C316" s="883"/>
      <c r="D316" s="883"/>
      <c r="E316" s="884" t="s">
        <v>18</v>
      </c>
      <c r="F316" s="883"/>
      <c r="G316" s="994"/>
      <c r="H316" s="158" t="s">
        <v>12</v>
      </c>
      <c r="I316" s="886"/>
      <c r="J316" s="886"/>
      <c r="K316" s="887"/>
      <c r="L316" s="887">
        <f t="shared" ref="L316:N317" si="146">L319+L322</f>
        <v>0</v>
      </c>
      <c r="M316" s="887">
        <f t="shared" si="146"/>
        <v>0</v>
      </c>
      <c r="N316" s="887">
        <f t="shared" si="146"/>
        <v>0</v>
      </c>
      <c r="O316" s="887">
        <f t="shared" si="144"/>
        <v>0</v>
      </c>
      <c r="P316" s="887">
        <f t="shared" si="145"/>
        <v>0</v>
      </c>
      <c r="Q316" s="875"/>
      <c r="R316" s="875"/>
      <c r="S316" s="875"/>
      <c r="T316" s="875"/>
      <c r="U316" s="875"/>
      <c r="V316" s="875"/>
      <c r="W316" s="875"/>
      <c r="X316" s="875"/>
      <c r="Y316" s="875"/>
      <c r="Z316" s="875"/>
    </row>
    <row r="317" spans="1:26" ht="18.75" hidden="1">
      <c r="A317" s="993"/>
      <c r="B317" s="883"/>
      <c r="C317" s="883"/>
      <c r="D317" s="883"/>
      <c r="E317" s="884" t="s">
        <v>19</v>
      </c>
      <c r="F317" s="883"/>
      <c r="G317" s="994"/>
      <c r="H317" s="158" t="s">
        <v>12</v>
      </c>
      <c r="I317" s="886"/>
      <c r="J317" s="886"/>
      <c r="K317" s="887"/>
      <c r="L317" s="887">
        <f t="shared" ca="1" si="146"/>
        <v>3753000</v>
      </c>
      <c r="M317" s="887">
        <f t="shared" ca="1" si="146"/>
        <v>3777400</v>
      </c>
      <c r="N317" s="887">
        <f t="shared" ca="1" si="146"/>
        <v>3687119.0799999996</v>
      </c>
      <c r="O317" s="887">
        <f t="shared" ca="1" si="144"/>
        <v>98.24457980282439</v>
      </c>
      <c r="P317" s="887">
        <f t="shared" ca="1" si="145"/>
        <v>97.609971938370293</v>
      </c>
      <c r="Q317" s="875"/>
      <c r="R317" s="875"/>
      <c r="S317" s="875"/>
      <c r="T317" s="875"/>
      <c r="U317" s="875"/>
      <c r="V317" s="875"/>
      <c r="W317" s="875"/>
      <c r="X317" s="875"/>
      <c r="Y317" s="875"/>
      <c r="Z317" s="875"/>
    </row>
    <row r="318" spans="1:26" ht="18.75">
      <c r="A318" s="995"/>
      <c r="B318" s="877"/>
      <c r="C318" s="996"/>
      <c r="D318" s="878" t="s">
        <v>20</v>
      </c>
      <c r="E318" s="877"/>
      <c r="F318" s="877"/>
      <c r="G318" s="879"/>
      <c r="H318" s="161" t="s">
        <v>12</v>
      </c>
      <c r="I318" s="997"/>
      <c r="J318" s="997"/>
      <c r="K318" s="998"/>
      <c r="L318" s="881">
        <f t="shared" ref="L318:N318" ca="1" si="147">L319+L320</f>
        <v>153000</v>
      </c>
      <c r="M318" s="881">
        <f t="shared" ca="1" si="147"/>
        <v>177400</v>
      </c>
      <c r="N318" s="881">
        <f t="shared" ca="1" si="147"/>
        <v>124779.76</v>
      </c>
      <c r="O318" s="881">
        <f t="shared" ca="1" si="144"/>
        <v>81.555398692810456</v>
      </c>
      <c r="P318" s="881">
        <f t="shared" ca="1" si="145"/>
        <v>70.338083427282982</v>
      </c>
      <c r="Q318" s="868"/>
      <c r="R318" s="868"/>
      <c r="S318" s="868"/>
      <c r="T318" s="868"/>
      <c r="U318" s="868"/>
      <c r="V318" s="868"/>
      <c r="W318" s="868"/>
      <c r="X318" s="868"/>
      <c r="Y318" s="868"/>
      <c r="Z318" s="868"/>
    </row>
    <row r="319" spans="1:26" ht="19.5" hidden="1">
      <c r="A319" s="993"/>
      <c r="B319" s="883"/>
      <c r="C319" s="999"/>
      <c r="D319" s="883"/>
      <c r="E319" s="884" t="s">
        <v>36</v>
      </c>
      <c r="F319" s="883"/>
      <c r="G319" s="994"/>
      <c r="H319" s="165" t="s">
        <v>12</v>
      </c>
      <c r="I319" s="1000"/>
      <c r="J319" s="1000"/>
      <c r="K319" s="1001"/>
      <c r="L319" s="887">
        <v>0</v>
      </c>
      <c r="M319" s="887">
        <v>0</v>
      </c>
      <c r="N319" s="887">
        <v>0</v>
      </c>
      <c r="O319" s="887">
        <f t="shared" si="144"/>
        <v>0</v>
      </c>
      <c r="P319" s="887">
        <f t="shared" si="145"/>
        <v>0</v>
      </c>
      <c r="Q319" s="875"/>
      <c r="R319" s="875"/>
      <c r="S319" s="875"/>
      <c r="T319" s="875"/>
      <c r="U319" s="875"/>
      <c r="V319" s="875"/>
      <c r="W319" s="875"/>
      <c r="X319" s="875"/>
      <c r="Y319" s="875"/>
      <c r="Z319" s="875"/>
    </row>
    <row r="320" spans="1:26" ht="19.5" hidden="1">
      <c r="A320" s="993"/>
      <c r="B320" s="883"/>
      <c r="C320" s="999"/>
      <c r="D320" s="883"/>
      <c r="E320" s="884" t="s">
        <v>37</v>
      </c>
      <c r="F320" s="883"/>
      <c r="G320" s="994"/>
      <c r="H320" s="165" t="s">
        <v>12</v>
      </c>
      <c r="I320" s="1000"/>
      <c r="J320" s="1000"/>
      <c r="K320" s="1001"/>
      <c r="L320" s="887">
        <f ca="1">IFERROR(__xludf.DUMMYFUNCTION("IMPORTRANGE(""https://docs.google.com/spreadsheets/d/1MeEWN-I1oV_STSDYn1IFDPWt_1FKiwhDph83XaGc0o0/edit?usp=sharing"",""งบพรบ!EC75"")"),153000)</f>
        <v>153000</v>
      </c>
      <c r="M320" s="887">
        <f ca="1">IFERROR(__xludf.DUMMYFUNCTION("IMPORTRANGE(""https://docs.google.com/spreadsheets/d/1MeEWN-I1oV_STSDYn1IFDPWt_1FKiwhDph83XaGc0o0/edit?usp=sharing"",""งบพรบ!EH75"")"),177400)</f>
        <v>177400</v>
      </c>
      <c r="N320" s="887">
        <f ca="1">IFERROR(__xludf.DUMMYFUNCTION("IMPORTRANGE(""https://docs.google.com/spreadsheets/d/1MeEWN-I1oV_STSDYn1IFDPWt_1FKiwhDph83XaGc0o0/edit?usp=sharing"",""งบพรบ!EJ75"")"),124779.76)</f>
        <v>124779.76</v>
      </c>
      <c r="O320" s="887">
        <f t="shared" ca="1" si="144"/>
        <v>81.555398692810456</v>
      </c>
      <c r="P320" s="887">
        <f t="shared" ca="1" si="145"/>
        <v>70.338083427282982</v>
      </c>
      <c r="Q320" s="875"/>
      <c r="R320" s="875"/>
      <c r="S320" s="875"/>
      <c r="T320" s="875"/>
      <c r="U320" s="875"/>
      <c r="V320" s="875"/>
      <c r="W320" s="875"/>
      <c r="X320" s="875"/>
      <c r="Y320" s="875"/>
      <c r="Z320" s="875"/>
    </row>
    <row r="321" spans="1:26" ht="18.75">
      <c r="A321" s="995"/>
      <c r="B321" s="877"/>
      <c r="C321" s="996"/>
      <c r="D321" s="878" t="s">
        <v>21</v>
      </c>
      <c r="E321" s="877"/>
      <c r="F321" s="877"/>
      <c r="G321" s="879"/>
      <c r="H321" s="168" t="s">
        <v>12</v>
      </c>
      <c r="I321" s="997"/>
      <c r="J321" s="997"/>
      <c r="K321" s="998"/>
      <c r="L321" s="881">
        <f t="shared" ref="L321:N321" ca="1" si="148">L322+L323</f>
        <v>3600000</v>
      </c>
      <c r="M321" s="881">
        <f t="shared" ca="1" si="148"/>
        <v>3600000</v>
      </c>
      <c r="N321" s="881">
        <f t="shared" ca="1" si="148"/>
        <v>3562339.32</v>
      </c>
      <c r="O321" s="881">
        <f t="shared" ca="1" si="144"/>
        <v>98.953869999999995</v>
      </c>
      <c r="P321" s="881">
        <f t="shared" ca="1" si="145"/>
        <v>98.953869999999995</v>
      </c>
      <c r="Q321" s="868"/>
      <c r="R321" s="868"/>
      <c r="S321" s="868"/>
      <c r="T321" s="868"/>
      <c r="U321" s="868"/>
      <c r="V321" s="868"/>
      <c r="W321" s="868"/>
      <c r="X321" s="868"/>
      <c r="Y321" s="868"/>
      <c r="Z321" s="868"/>
    </row>
    <row r="322" spans="1:26" ht="19.5" hidden="1">
      <c r="A322" s="993"/>
      <c r="B322" s="883"/>
      <c r="C322" s="999"/>
      <c r="D322" s="883"/>
      <c r="E322" s="884" t="s">
        <v>18</v>
      </c>
      <c r="F322" s="883"/>
      <c r="G322" s="994"/>
      <c r="H322" s="165" t="s">
        <v>12</v>
      </c>
      <c r="I322" s="1000"/>
      <c r="J322" s="1000"/>
      <c r="K322" s="1001"/>
      <c r="L322" s="887">
        <v>0</v>
      </c>
      <c r="M322" s="887">
        <v>0</v>
      </c>
      <c r="N322" s="887">
        <v>0</v>
      </c>
      <c r="O322" s="887">
        <f t="shared" si="144"/>
        <v>0</v>
      </c>
      <c r="P322" s="887">
        <f t="shared" si="145"/>
        <v>0</v>
      </c>
      <c r="Q322" s="875"/>
      <c r="R322" s="875"/>
      <c r="S322" s="875"/>
      <c r="T322" s="875"/>
      <c r="U322" s="875"/>
      <c r="V322" s="875"/>
      <c r="W322" s="875"/>
      <c r="X322" s="875"/>
      <c r="Y322" s="875"/>
      <c r="Z322" s="875"/>
    </row>
    <row r="323" spans="1:26" ht="19.5" hidden="1">
      <c r="A323" s="993"/>
      <c r="B323" s="883"/>
      <c r="C323" s="999"/>
      <c r="D323" s="883"/>
      <c r="E323" s="884" t="s">
        <v>19</v>
      </c>
      <c r="F323" s="883"/>
      <c r="G323" s="994"/>
      <c r="H323" s="169" t="s">
        <v>12</v>
      </c>
      <c r="I323" s="1000"/>
      <c r="J323" s="1000"/>
      <c r="K323" s="1001"/>
      <c r="L323" s="887">
        <f ca="1">IFERROR(__xludf.DUMMYFUNCTION("IMPORTRANGE(""https://docs.google.com/spreadsheets/d/1MeEWN-I1oV_STSDYn1IFDPWt_1FKiwhDph83XaGc0o0/edit?usp=sharing"",""งบพรบ!EF75"")"),3600000)</f>
        <v>3600000</v>
      </c>
      <c r="M323" s="887">
        <f ca="1">IFERROR(__xludf.DUMMYFUNCTION("IMPORTRANGE(""https://docs.google.com/spreadsheets/d/1MeEWN-I1oV_STSDYn1IFDPWt_1FKiwhDph83XaGc0o0/edit?usp=sharing"",""งบพรบ!EI75"")"),3600000)</f>
        <v>3600000</v>
      </c>
      <c r="N323" s="887">
        <f ca="1">IFERROR(__xludf.DUMMYFUNCTION("IMPORTRANGE(""https://docs.google.com/spreadsheets/d/1MeEWN-I1oV_STSDYn1IFDPWt_1FKiwhDph83XaGc0o0/edit?usp=sharing"",""งบพรบ!EK75"")"),3562339.32)</f>
        <v>3562339.32</v>
      </c>
      <c r="O323" s="887">
        <f t="shared" ca="1" si="144"/>
        <v>98.953869999999995</v>
      </c>
      <c r="P323" s="887">
        <f t="shared" ca="1" si="145"/>
        <v>98.953869999999995</v>
      </c>
      <c r="Q323" s="875"/>
      <c r="R323" s="875"/>
      <c r="S323" s="875"/>
      <c r="T323" s="875"/>
      <c r="U323" s="875"/>
      <c r="V323" s="875"/>
      <c r="W323" s="875"/>
      <c r="X323" s="875"/>
      <c r="Y323" s="875"/>
      <c r="Z323" s="875"/>
    </row>
    <row r="324" spans="1:26" ht="19.5">
      <c r="A324" s="1002"/>
      <c r="B324" s="1003"/>
      <c r="C324" s="999" t="s">
        <v>16</v>
      </c>
      <c r="D324" s="1004" t="s">
        <v>38</v>
      </c>
      <c r="E324" s="1005"/>
      <c r="F324" s="1005"/>
      <c r="G324" s="1006"/>
      <c r="H324" s="1007"/>
      <c r="I324" s="997"/>
      <c r="J324" s="880"/>
      <c r="K324" s="881"/>
      <c r="L324" s="881"/>
      <c r="M324" s="881"/>
      <c r="N324" s="881"/>
      <c r="O324" s="998"/>
      <c r="P324" s="998"/>
    </row>
    <row r="325" spans="1:26" ht="18.75">
      <c r="A325" s="1002"/>
      <c r="B325" s="1003"/>
      <c r="C325" s="1003"/>
      <c r="D325" s="1008" t="s">
        <v>147</v>
      </c>
      <c r="E325" s="1010"/>
      <c r="F325" s="1009"/>
      <c r="G325" s="1011"/>
      <c r="H325" s="622" t="s">
        <v>146</v>
      </c>
      <c r="I325" s="880">
        <f ca="1">IFERROR(__xludf.DUMMYFUNCTION("IMPORTRANGE(""https://docs.google.com/spreadsheets/d/1QqKyyYR6Q21VydFLVH3TRQUabQu_ym0Zz7PgGX0-kHA/edit?usp=sharing"",""แผน!EF75"")"),2)</f>
        <v>2</v>
      </c>
      <c r="J325" s="1012">
        <v>2</v>
      </c>
      <c r="K325" s="881">
        <f ca="1">IF(I325&gt;0,J325*100/I325,0)</f>
        <v>100</v>
      </c>
      <c r="L325" s="881"/>
      <c r="M325" s="881"/>
      <c r="N325" s="881"/>
      <c r="O325" s="998"/>
      <c r="P325" s="998"/>
    </row>
    <row r="326" spans="1:26" ht="19.5">
      <c r="A326" s="1179" t="s">
        <v>148</v>
      </c>
      <c r="B326" s="1180"/>
      <c r="C326" s="1180"/>
      <c r="D326" s="1181"/>
      <c r="E326" s="1180"/>
      <c r="F326" s="1180"/>
      <c r="G326" s="1180"/>
      <c r="H326" s="1193"/>
      <c r="I326" s="1184"/>
      <c r="J326" s="1184"/>
      <c r="K326" s="1185"/>
      <c r="L326" s="1185"/>
      <c r="M326" s="1185"/>
      <c r="N326" s="1185"/>
      <c r="O326" s="1185"/>
      <c r="P326" s="1185"/>
    </row>
    <row r="327" spans="1:26" ht="19.5">
      <c r="A327" s="1186"/>
      <c r="B327" s="1187" t="s">
        <v>149</v>
      </c>
      <c r="C327" s="1196"/>
      <c r="D327" s="1188"/>
      <c r="E327" s="1188"/>
      <c r="F327" s="1188"/>
      <c r="G327" s="1189"/>
      <c r="H327" s="444" t="s">
        <v>35</v>
      </c>
      <c r="I327" s="1190">
        <f ca="1">IFERROR(__xludf.DUMMYFUNCTION("IMPORTRANGE(""https://docs.google.com/spreadsheets/d/1QqKyyYR6Q21VydFLVH3TRQUabQu_ym0Zz7PgGX0-kHA/edit?usp=sharing"",""แผน!EG75"")"),2000)</f>
        <v>2000</v>
      </c>
      <c r="J327" s="1190">
        <f ca="1">J338+J341+J342+J343</f>
        <v>1389</v>
      </c>
      <c r="K327" s="1191">
        <f ca="1">IF(I327&gt;0,J327*100/I327,0)</f>
        <v>69.45</v>
      </c>
      <c r="L327" s="1192"/>
      <c r="M327" s="1192"/>
      <c r="N327" s="1192"/>
      <c r="O327" s="1192"/>
      <c r="P327" s="1192"/>
    </row>
    <row r="328" spans="1:26" ht="19.5">
      <c r="A328" s="985"/>
      <c r="B328" s="986"/>
      <c r="C328" s="987" t="s">
        <v>16</v>
      </c>
      <c r="D328" s="988" t="s">
        <v>17</v>
      </c>
      <c r="E328" s="986"/>
      <c r="F328" s="986"/>
      <c r="G328" s="989"/>
      <c r="H328" s="152" t="s">
        <v>12</v>
      </c>
      <c r="I328" s="990"/>
      <c r="J328" s="990"/>
      <c r="K328" s="991"/>
      <c r="L328" s="992">
        <f t="shared" ref="L328:N328" ca="1" si="149">L329+L330</f>
        <v>168000</v>
      </c>
      <c r="M328" s="992">
        <f t="shared" ca="1" si="149"/>
        <v>128500</v>
      </c>
      <c r="N328" s="992">
        <f t="shared" ca="1" si="149"/>
        <v>77110.36</v>
      </c>
      <c r="O328" s="992">
        <f t="shared" ref="O328:O336" ca="1" si="150">IF(L328&gt;0,N328*100/L328,0)</f>
        <v>45.899023809523811</v>
      </c>
      <c r="P328" s="992">
        <f t="shared" ref="P328:P336" ca="1" si="151">IF(M328&gt;0,N328*100/M328,0)</f>
        <v>60.008062256809339</v>
      </c>
      <c r="Q328" s="868"/>
      <c r="R328" s="868"/>
      <c r="S328" s="868"/>
      <c r="T328" s="868"/>
      <c r="U328" s="868"/>
      <c r="V328" s="868"/>
      <c r="W328" s="868"/>
      <c r="X328" s="868"/>
      <c r="Y328" s="868"/>
      <c r="Z328" s="868"/>
    </row>
    <row r="329" spans="1:26" ht="18.75" hidden="1">
      <c r="A329" s="993"/>
      <c r="B329" s="883"/>
      <c r="C329" s="883"/>
      <c r="D329" s="883"/>
      <c r="E329" s="884" t="s">
        <v>18</v>
      </c>
      <c r="F329" s="883"/>
      <c r="G329" s="994"/>
      <c r="H329" s="158" t="s">
        <v>12</v>
      </c>
      <c r="I329" s="886"/>
      <c r="J329" s="886"/>
      <c r="K329" s="887"/>
      <c r="L329" s="887">
        <f t="shared" ref="L329:N330" si="152">L332+L335</f>
        <v>0</v>
      </c>
      <c r="M329" s="887">
        <f t="shared" si="152"/>
        <v>0</v>
      </c>
      <c r="N329" s="887">
        <f t="shared" si="152"/>
        <v>0</v>
      </c>
      <c r="O329" s="887">
        <f t="shared" si="150"/>
        <v>0</v>
      </c>
      <c r="P329" s="887">
        <f t="shared" si="151"/>
        <v>0</v>
      </c>
      <c r="Q329" s="875"/>
      <c r="R329" s="875"/>
      <c r="S329" s="875"/>
      <c r="T329" s="875"/>
      <c r="U329" s="875"/>
      <c r="V329" s="875"/>
      <c r="W329" s="875"/>
      <c r="X329" s="875"/>
      <c r="Y329" s="875"/>
      <c r="Z329" s="875"/>
    </row>
    <row r="330" spans="1:26" ht="18.75" hidden="1">
      <c r="A330" s="993"/>
      <c r="B330" s="883"/>
      <c r="C330" s="883"/>
      <c r="D330" s="883"/>
      <c r="E330" s="884" t="s">
        <v>19</v>
      </c>
      <c r="F330" s="883"/>
      <c r="G330" s="994"/>
      <c r="H330" s="158" t="s">
        <v>12</v>
      </c>
      <c r="I330" s="886"/>
      <c r="J330" s="886"/>
      <c r="K330" s="887"/>
      <c r="L330" s="887">
        <f t="shared" ca="1" si="152"/>
        <v>168000</v>
      </c>
      <c r="M330" s="887">
        <f t="shared" ca="1" si="152"/>
        <v>128500</v>
      </c>
      <c r="N330" s="887">
        <f t="shared" ca="1" si="152"/>
        <v>77110.36</v>
      </c>
      <c r="O330" s="887">
        <f t="shared" ca="1" si="150"/>
        <v>45.899023809523811</v>
      </c>
      <c r="P330" s="887">
        <f t="shared" ca="1" si="151"/>
        <v>60.008062256809339</v>
      </c>
      <c r="Q330" s="875"/>
      <c r="R330" s="875"/>
      <c r="S330" s="875"/>
      <c r="T330" s="875"/>
      <c r="U330" s="875"/>
      <c r="V330" s="875"/>
      <c r="W330" s="875"/>
      <c r="X330" s="875"/>
      <c r="Y330" s="875"/>
      <c r="Z330" s="875"/>
    </row>
    <row r="331" spans="1:26" ht="18.75">
      <c r="A331" s="995"/>
      <c r="B331" s="877"/>
      <c r="C331" s="996"/>
      <c r="D331" s="878" t="s">
        <v>20</v>
      </c>
      <c r="E331" s="877"/>
      <c r="F331" s="877"/>
      <c r="G331" s="879"/>
      <c r="H331" s="161" t="s">
        <v>12</v>
      </c>
      <c r="I331" s="997"/>
      <c r="J331" s="997"/>
      <c r="K331" s="998"/>
      <c r="L331" s="881">
        <f t="shared" ref="L331:N331" ca="1" si="153">L332+L333</f>
        <v>168000</v>
      </c>
      <c r="M331" s="881">
        <f t="shared" ca="1" si="153"/>
        <v>128500</v>
      </c>
      <c r="N331" s="881">
        <f t="shared" ca="1" si="153"/>
        <v>77110.36</v>
      </c>
      <c r="O331" s="881">
        <f t="shared" ca="1" si="150"/>
        <v>45.899023809523811</v>
      </c>
      <c r="P331" s="881">
        <f t="shared" ca="1" si="151"/>
        <v>60.008062256809339</v>
      </c>
      <c r="Q331" s="868"/>
      <c r="R331" s="868"/>
      <c r="S331" s="868"/>
      <c r="T331" s="868"/>
      <c r="U331" s="868"/>
      <c r="V331" s="868"/>
      <c r="W331" s="868"/>
      <c r="X331" s="868"/>
      <c r="Y331" s="868"/>
      <c r="Z331" s="868"/>
    </row>
    <row r="332" spans="1:26" ht="19.5" hidden="1">
      <c r="A332" s="993"/>
      <c r="B332" s="883"/>
      <c r="C332" s="999"/>
      <c r="D332" s="883"/>
      <c r="E332" s="884" t="s">
        <v>36</v>
      </c>
      <c r="F332" s="883"/>
      <c r="G332" s="994"/>
      <c r="H332" s="165" t="s">
        <v>12</v>
      </c>
      <c r="I332" s="1000"/>
      <c r="J332" s="1000"/>
      <c r="K332" s="1001"/>
      <c r="L332" s="887">
        <v>0</v>
      </c>
      <c r="M332" s="887">
        <v>0</v>
      </c>
      <c r="N332" s="887">
        <v>0</v>
      </c>
      <c r="O332" s="887">
        <f t="shared" si="150"/>
        <v>0</v>
      </c>
      <c r="P332" s="887">
        <f t="shared" si="151"/>
        <v>0</v>
      </c>
      <c r="Q332" s="875"/>
      <c r="R332" s="875"/>
      <c r="S332" s="875"/>
      <c r="T332" s="875"/>
      <c r="U332" s="875"/>
      <c r="V332" s="875"/>
      <c r="W332" s="875"/>
      <c r="X332" s="875"/>
      <c r="Y332" s="875"/>
      <c r="Z332" s="875"/>
    </row>
    <row r="333" spans="1:26" ht="19.5" hidden="1">
      <c r="A333" s="993"/>
      <c r="B333" s="883"/>
      <c r="C333" s="999"/>
      <c r="D333" s="883"/>
      <c r="E333" s="884" t="s">
        <v>37</v>
      </c>
      <c r="F333" s="883"/>
      <c r="G333" s="994"/>
      <c r="H333" s="165" t="s">
        <v>12</v>
      </c>
      <c r="I333" s="1000"/>
      <c r="J333" s="1000"/>
      <c r="K333" s="1001"/>
      <c r="L333" s="887">
        <f ca="1">IFERROR(__xludf.DUMMYFUNCTION("IMPORTRANGE(""https://docs.google.com/spreadsheets/d/1MeEWN-I1oV_STSDYn1IFDPWt_1FKiwhDph83XaGc0o0/edit?usp=sharing"",""งบพรบ!EM75"")"),168000)</f>
        <v>168000</v>
      </c>
      <c r="M333" s="887">
        <f ca="1">IFERROR(__xludf.DUMMYFUNCTION("IMPORTRANGE(""https://docs.google.com/spreadsheets/d/1MeEWN-I1oV_STSDYn1IFDPWt_1FKiwhDph83XaGc0o0/edit?usp=sharing"",""งบพรบ!ER75"")"),128500)</f>
        <v>128500</v>
      </c>
      <c r="N333" s="887">
        <f ca="1">IFERROR(__xludf.DUMMYFUNCTION("IMPORTRANGE(""https://docs.google.com/spreadsheets/d/1MeEWN-I1oV_STSDYn1IFDPWt_1FKiwhDph83XaGc0o0/edit?usp=sharing"",""งบพรบ!ET75"")"),77110.36)</f>
        <v>77110.36</v>
      </c>
      <c r="O333" s="887">
        <f t="shared" ca="1" si="150"/>
        <v>45.899023809523811</v>
      </c>
      <c r="P333" s="887">
        <f t="shared" ca="1" si="151"/>
        <v>60.008062256809339</v>
      </c>
      <c r="Q333" s="875"/>
      <c r="R333" s="875"/>
      <c r="S333" s="875"/>
      <c r="T333" s="875"/>
      <c r="U333" s="875"/>
      <c r="V333" s="875"/>
      <c r="W333" s="875"/>
      <c r="X333" s="875"/>
      <c r="Y333" s="875"/>
      <c r="Z333" s="875"/>
    </row>
    <row r="334" spans="1:26" ht="18.75">
      <c r="A334" s="995"/>
      <c r="B334" s="877"/>
      <c r="C334" s="996"/>
      <c r="D334" s="878" t="s">
        <v>21</v>
      </c>
      <c r="E334" s="877"/>
      <c r="F334" s="877"/>
      <c r="G334" s="879"/>
      <c r="H334" s="168" t="s">
        <v>12</v>
      </c>
      <c r="I334" s="997"/>
      <c r="J334" s="997"/>
      <c r="K334" s="998"/>
      <c r="L334" s="881">
        <f t="shared" ref="L334:N334" ca="1" si="154">L335+L336</f>
        <v>0</v>
      </c>
      <c r="M334" s="881">
        <f t="shared" ca="1" si="154"/>
        <v>0</v>
      </c>
      <c r="N334" s="881">
        <f t="shared" ca="1" si="154"/>
        <v>0</v>
      </c>
      <c r="O334" s="881">
        <f t="shared" ca="1" si="150"/>
        <v>0</v>
      </c>
      <c r="P334" s="881">
        <f t="shared" ca="1" si="151"/>
        <v>0</v>
      </c>
      <c r="Q334" s="868"/>
      <c r="R334" s="868"/>
      <c r="S334" s="868"/>
      <c r="T334" s="868"/>
      <c r="U334" s="868"/>
      <c r="V334" s="868"/>
      <c r="W334" s="868"/>
      <c r="X334" s="868"/>
      <c r="Y334" s="868"/>
      <c r="Z334" s="868"/>
    </row>
    <row r="335" spans="1:26" ht="19.5" hidden="1">
      <c r="A335" s="993"/>
      <c r="B335" s="883"/>
      <c r="C335" s="999"/>
      <c r="D335" s="883"/>
      <c r="E335" s="884" t="s">
        <v>18</v>
      </c>
      <c r="F335" s="883"/>
      <c r="G335" s="994"/>
      <c r="H335" s="165" t="s">
        <v>12</v>
      </c>
      <c r="I335" s="1000"/>
      <c r="J335" s="1000"/>
      <c r="K335" s="1001"/>
      <c r="L335" s="887">
        <v>0</v>
      </c>
      <c r="M335" s="887">
        <v>0</v>
      </c>
      <c r="N335" s="887">
        <v>0</v>
      </c>
      <c r="O335" s="887">
        <f t="shared" si="150"/>
        <v>0</v>
      </c>
      <c r="P335" s="887">
        <f t="shared" si="151"/>
        <v>0</v>
      </c>
      <c r="Q335" s="875"/>
      <c r="R335" s="875"/>
      <c r="S335" s="875"/>
      <c r="T335" s="875"/>
      <c r="U335" s="875"/>
      <c r="V335" s="875"/>
      <c r="W335" s="875"/>
      <c r="X335" s="875"/>
      <c r="Y335" s="875"/>
      <c r="Z335" s="875"/>
    </row>
    <row r="336" spans="1:26" ht="19.5" hidden="1">
      <c r="A336" s="993"/>
      <c r="B336" s="883"/>
      <c r="C336" s="999"/>
      <c r="D336" s="883"/>
      <c r="E336" s="884" t="s">
        <v>19</v>
      </c>
      <c r="F336" s="883"/>
      <c r="G336" s="994"/>
      <c r="H336" s="169" t="s">
        <v>12</v>
      </c>
      <c r="I336" s="1000"/>
      <c r="J336" s="1000"/>
      <c r="K336" s="1001"/>
      <c r="L336" s="887">
        <f ca="1">IFERROR(__xludf.DUMMYFUNCTION("IMPORTRANGE(""https://docs.google.com/spreadsheets/d/1MeEWN-I1oV_STSDYn1IFDPWt_1FKiwhDph83XaGc0o0/edit?usp=sharing"",""งบพรบ!EP75"")"),0)</f>
        <v>0</v>
      </c>
      <c r="M336" s="887">
        <f ca="1">IFERROR(__xludf.DUMMYFUNCTION("IMPORTRANGE(""https://docs.google.com/spreadsheets/d/1MeEWN-I1oV_STSDYn1IFDPWt_1FKiwhDph83XaGc0o0/edit?usp=sharing"",""งบพรบ!ES75"")"),0)</f>
        <v>0</v>
      </c>
      <c r="N336" s="887">
        <f ca="1">IFERROR(__xludf.DUMMYFUNCTION("IMPORTRANGE(""https://docs.google.com/spreadsheets/d/1MeEWN-I1oV_STSDYn1IFDPWt_1FKiwhDph83XaGc0o0/edit?usp=sharing"",""งบพรบ!EU75"")"),0)</f>
        <v>0</v>
      </c>
      <c r="O336" s="887">
        <f t="shared" ca="1" si="150"/>
        <v>0</v>
      </c>
      <c r="P336" s="887">
        <f t="shared" ca="1" si="151"/>
        <v>0</v>
      </c>
      <c r="Q336" s="875"/>
      <c r="R336" s="875"/>
      <c r="S336" s="875"/>
      <c r="T336" s="875"/>
      <c r="U336" s="875"/>
      <c r="V336" s="875"/>
      <c r="W336" s="875"/>
      <c r="X336" s="875"/>
      <c r="Y336" s="875"/>
      <c r="Z336" s="875"/>
    </row>
    <row r="337" spans="1:26" ht="19.5">
      <c r="A337" s="1002"/>
      <c r="B337" s="1003"/>
      <c r="C337" s="999" t="s">
        <v>16</v>
      </c>
      <c r="D337" s="1004" t="s">
        <v>38</v>
      </c>
      <c r="E337" s="1005"/>
      <c r="F337" s="1005"/>
      <c r="G337" s="1006"/>
      <c r="H337" s="1007"/>
      <c r="I337" s="997"/>
      <c r="J337" s="880"/>
      <c r="K337" s="881"/>
      <c r="L337" s="881"/>
      <c r="M337" s="881"/>
      <c r="N337" s="881"/>
      <c r="O337" s="998"/>
      <c r="P337" s="998"/>
    </row>
    <row r="338" spans="1:26" ht="18.75">
      <c r="A338" s="1086"/>
      <c r="B338" s="877"/>
      <c r="C338" s="1084"/>
      <c r="D338" s="1009" t="s">
        <v>150</v>
      </c>
      <c r="E338" s="1003"/>
      <c r="F338" s="877"/>
      <c r="G338" s="879"/>
      <c r="H338" s="277" t="s">
        <v>35</v>
      </c>
      <c r="I338" s="880">
        <f ca="1">IFERROR(__xludf.DUMMYFUNCTION("IMPORTRANGE(""https://docs.google.com/spreadsheets/d/1QqKyyYR6Q21VydFLVH3TRQUabQu_ym0Zz7PgGX0-kHA/edit?usp=sharing"",""แผน!EG75"")"),2000)</f>
        <v>2000</v>
      </c>
      <c r="J338" s="880">
        <f ca="1">IFERROR(__xludf.DUMMYFUNCTION("IMPORTRANGE(""https://docs.google.com/spreadsheets/d/1kVcqe37tkHyjCSG3S0O1AXqVkqjo8mSIZil3BcpIysc/edit?usp=sharing"",""ศูนย์!D75"")"),1347)</f>
        <v>1347</v>
      </c>
      <c r="K338" s="881">
        <f ca="1">IF(I338&gt;0,J338*100/I338,0)</f>
        <v>67.349999999999994</v>
      </c>
      <c r="L338" s="881"/>
      <c r="M338" s="881"/>
      <c r="N338" s="881"/>
      <c r="O338" s="881"/>
      <c r="P338" s="881"/>
    </row>
    <row r="339" spans="1:26" ht="18.75">
      <c r="A339" s="1086"/>
      <c r="B339" s="877"/>
      <c r="C339" s="1084"/>
      <c r="D339" s="1009" t="s">
        <v>151</v>
      </c>
      <c r="E339" s="1003"/>
      <c r="F339" s="877"/>
      <c r="G339" s="879"/>
      <c r="H339" s="277"/>
      <c r="I339" s="880"/>
      <c r="J339" s="880"/>
      <c r="K339" s="881"/>
      <c r="L339" s="881"/>
      <c r="M339" s="881"/>
      <c r="N339" s="881"/>
      <c r="O339" s="881"/>
      <c r="P339" s="881"/>
    </row>
    <row r="340" spans="1:26" ht="18.75">
      <c r="A340" s="1086"/>
      <c r="B340" s="877"/>
      <c r="C340" s="1084"/>
      <c r="D340" s="1010"/>
      <c r="E340" s="1009" t="s">
        <v>152</v>
      </c>
      <c r="F340" s="877"/>
      <c r="G340" s="879"/>
      <c r="H340" s="277" t="s">
        <v>153</v>
      </c>
      <c r="I340" s="880">
        <f ca="1">IFERROR(__xludf.DUMMYFUNCTION("IMPORTRANGE(""https://docs.google.com/spreadsheets/d/1QqKyyYR6Q21VydFLVH3TRQUabQu_ym0Zz7PgGX0-kHA/edit?usp=sharing"",""แผน!EH75"")"),5)</f>
        <v>5</v>
      </c>
      <c r="J340" s="880">
        <f ca="1">IFERROR(__xludf.DUMMYFUNCTION("IMPORTRANGE(""https://docs.google.com/spreadsheets/d/1kVcqe37tkHyjCSG3S0O1AXqVkqjo8mSIZil3BcpIysc/edit?usp=sharing"",""ศูนย์!E75"")"),4)</f>
        <v>4</v>
      </c>
      <c r="K340" s="881">
        <f ca="1">IF(I340&gt;0,J340*100/I340,0)</f>
        <v>80</v>
      </c>
      <c r="L340" s="881"/>
      <c r="M340" s="881"/>
      <c r="N340" s="881"/>
      <c r="O340" s="881"/>
      <c r="P340" s="881"/>
    </row>
    <row r="341" spans="1:26" ht="18.75">
      <c r="A341" s="1086"/>
      <c r="B341" s="877"/>
      <c r="C341" s="1084"/>
      <c r="D341" s="1010"/>
      <c r="E341" s="1009" t="s">
        <v>154</v>
      </c>
      <c r="F341" s="877"/>
      <c r="G341" s="879"/>
      <c r="H341" s="277" t="s">
        <v>35</v>
      </c>
      <c r="I341" s="880"/>
      <c r="J341" s="880">
        <f ca="1">IFERROR(__xludf.DUMMYFUNCTION("IMPORTRANGE(""https://docs.google.com/spreadsheets/d/1kVcqe37tkHyjCSG3S0O1AXqVkqjo8mSIZil3BcpIysc/edit?usp=sharing"",""ศูนย์!F75"")"),42)</f>
        <v>42</v>
      </c>
      <c r="K341" s="881"/>
      <c r="L341" s="881"/>
      <c r="M341" s="881"/>
      <c r="N341" s="881"/>
      <c r="O341" s="881"/>
      <c r="P341" s="881"/>
    </row>
    <row r="342" spans="1:26" ht="18.75">
      <c r="A342" s="1086"/>
      <c r="B342" s="877"/>
      <c r="C342" s="1084"/>
      <c r="D342" s="1009" t="s">
        <v>155</v>
      </c>
      <c r="E342" s="1010"/>
      <c r="F342" s="1010"/>
      <c r="G342" s="879"/>
      <c r="H342" s="277" t="s">
        <v>35</v>
      </c>
      <c r="I342" s="880"/>
      <c r="J342" s="880">
        <f ca="1">IFERROR(__xludf.DUMMYFUNCTION("IMPORTRANGE(""https://docs.google.com/spreadsheets/d/1kVcqe37tkHyjCSG3S0O1AXqVkqjo8mSIZil3BcpIysc/edit?usp=sharing"",""ศูนย์!G75"")"),0)</f>
        <v>0</v>
      </c>
      <c r="K342" s="881"/>
      <c r="L342" s="881"/>
      <c r="M342" s="881"/>
      <c r="N342" s="881"/>
      <c r="O342" s="881"/>
      <c r="P342" s="881"/>
    </row>
    <row r="343" spans="1:26" ht="18.75">
      <c r="A343" s="1086"/>
      <c r="B343" s="877"/>
      <c r="C343" s="1084"/>
      <c r="D343" s="1009" t="s">
        <v>156</v>
      </c>
      <c r="E343" s="1010"/>
      <c r="F343" s="1010"/>
      <c r="G343" s="879"/>
      <c r="H343" s="277" t="s">
        <v>35</v>
      </c>
      <c r="I343" s="880"/>
      <c r="J343" s="880">
        <f ca="1">IFERROR(__xludf.DUMMYFUNCTION("IMPORTRANGE(""https://docs.google.com/spreadsheets/d/1kVcqe37tkHyjCSG3S0O1AXqVkqjo8mSIZil3BcpIysc/edit?usp=sharing"",""ศูนย์!H75"")"),0)</f>
        <v>0</v>
      </c>
      <c r="K343" s="881"/>
      <c r="L343" s="881"/>
      <c r="M343" s="881"/>
      <c r="N343" s="881"/>
      <c r="O343" s="881"/>
      <c r="P343" s="881"/>
    </row>
    <row r="344" spans="1:26" ht="19.5">
      <c r="A344" s="1186"/>
      <c r="B344" s="1187" t="s">
        <v>157</v>
      </c>
      <c r="C344" s="1196"/>
      <c r="D344" s="1188"/>
      <c r="E344" s="1188"/>
      <c r="F344" s="1188"/>
      <c r="G344" s="1189"/>
      <c r="H344" s="444"/>
      <c r="I344" s="1197"/>
      <c r="J344" s="1197"/>
      <c r="K344" s="1192"/>
      <c r="L344" s="1192"/>
      <c r="M344" s="1192"/>
      <c r="N344" s="1192"/>
      <c r="O344" s="1192"/>
      <c r="P344" s="1192"/>
    </row>
    <row r="345" spans="1:26" ht="19.5">
      <c r="A345" s="985"/>
      <c r="B345" s="986"/>
      <c r="C345" s="987" t="s">
        <v>16</v>
      </c>
      <c r="D345" s="988" t="s">
        <v>17</v>
      </c>
      <c r="E345" s="986"/>
      <c r="F345" s="986"/>
      <c r="G345" s="989"/>
      <c r="H345" s="152" t="s">
        <v>12</v>
      </c>
      <c r="I345" s="990"/>
      <c r="J345" s="990"/>
      <c r="K345" s="991"/>
      <c r="L345" s="992">
        <f t="shared" ref="L345:N345" ca="1" si="155">L346+L347</f>
        <v>833700</v>
      </c>
      <c r="M345" s="992">
        <f t="shared" ca="1" si="155"/>
        <v>667840</v>
      </c>
      <c r="N345" s="992">
        <f t="shared" ca="1" si="155"/>
        <v>426993.58</v>
      </c>
      <c r="O345" s="992">
        <f t="shared" ref="O345:O353" ca="1" si="156">IF(L345&gt;0,N345*100/L345,0)</f>
        <v>51.216694254528008</v>
      </c>
      <c r="P345" s="992">
        <f t="shared" ref="P345:P353" ca="1" si="157">IF(M345&gt;0,N345*100/M345,0)</f>
        <v>63.93650874460949</v>
      </c>
      <c r="Q345" s="868"/>
      <c r="R345" s="868"/>
      <c r="S345" s="868"/>
      <c r="T345" s="868"/>
      <c r="U345" s="868"/>
      <c r="V345" s="868"/>
      <c r="W345" s="868"/>
      <c r="X345" s="868"/>
      <c r="Y345" s="868"/>
      <c r="Z345" s="868"/>
    </row>
    <row r="346" spans="1:26" ht="18.75" hidden="1">
      <c r="A346" s="993"/>
      <c r="B346" s="883"/>
      <c r="C346" s="883"/>
      <c r="D346" s="883"/>
      <c r="E346" s="884" t="s">
        <v>18</v>
      </c>
      <c r="F346" s="883"/>
      <c r="G346" s="994"/>
      <c r="H346" s="158" t="s">
        <v>12</v>
      </c>
      <c r="I346" s="886"/>
      <c r="J346" s="886"/>
      <c r="K346" s="887"/>
      <c r="L346" s="887">
        <f t="shared" ref="L346:N347" si="158">L349+L352</f>
        <v>0</v>
      </c>
      <c r="M346" s="887">
        <f t="shared" si="158"/>
        <v>0</v>
      </c>
      <c r="N346" s="887">
        <f t="shared" si="158"/>
        <v>0</v>
      </c>
      <c r="O346" s="887">
        <f t="shared" si="156"/>
        <v>0</v>
      </c>
      <c r="P346" s="887">
        <f t="shared" si="157"/>
        <v>0</v>
      </c>
      <c r="Q346" s="875"/>
      <c r="R346" s="875"/>
      <c r="S346" s="875"/>
      <c r="T346" s="875"/>
      <c r="U346" s="875"/>
      <c r="V346" s="875"/>
      <c r="W346" s="875"/>
      <c r="X346" s="875"/>
      <c r="Y346" s="875"/>
      <c r="Z346" s="875"/>
    </row>
    <row r="347" spans="1:26" ht="18.75" hidden="1">
      <c r="A347" s="993"/>
      <c r="B347" s="883"/>
      <c r="C347" s="883"/>
      <c r="D347" s="883"/>
      <c r="E347" s="884" t="s">
        <v>19</v>
      </c>
      <c r="F347" s="883"/>
      <c r="G347" s="994"/>
      <c r="H347" s="158" t="s">
        <v>12</v>
      </c>
      <c r="I347" s="886"/>
      <c r="J347" s="886"/>
      <c r="K347" s="887"/>
      <c r="L347" s="887">
        <f t="shared" ca="1" si="158"/>
        <v>833700</v>
      </c>
      <c r="M347" s="887">
        <f t="shared" ca="1" si="158"/>
        <v>667840</v>
      </c>
      <c r="N347" s="887">
        <f t="shared" ca="1" si="158"/>
        <v>426993.58</v>
      </c>
      <c r="O347" s="887">
        <f t="shared" ca="1" si="156"/>
        <v>51.216694254528008</v>
      </c>
      <c r="P347" s="887">
        <f t="shared" ca="1" si="157"/>
        <v>63.93650874460949</v>
      </c>
      <c r="Q347" s="875"/>
      <c r="R347" s="875"/>
      <c r="S347" s="875"/>
      <c r="T347" s="875"/>
      <c r="U347" s="875"/>
      <c r="V347" s="875"/>
      <c r="W347" s="875"/>
      <c r="X347" s="875"/>
      <c r="Y347" s="875"/>
      <c r="Z347" s="875"/>
    </row>
    <row r="348" spans="1:26" ht="18.75">
      <c r="A348" s="995"/>
      <c r="B348" s="877"/>
      <c r="C348" s="996"/>
      <c r="D348" s="878" t="s">
        <v>20</v>
      </c>
      <c r="E348" s="877"/>
      <c r="F348" s="877"/>
      <c r="G348" s="879"/>
      <c r="H348" s="161" t="s">
        <v>12</v>
      </c>
      <c r="I348" s="997"/>
      <c r="J348" s="997"/>
      <c r="K348" s="998"/>
      <c r="L348" s="881">
        <f t="shared" ref="L348:N348" ca="1" si="159">L349+L350</f>
        <v>735900</v>
      </c>
      <c r="M348" s="881">
        <f t="shared" ca="1" si="159"/>
        <v>574830</v>
      </c>
      <c r="N348" s="881">
        <f t="shared" ca="1" si="159"/>
        <v>333983.58</v>
      </c>
      <c r="O348" s="881">
        <f t="shared" ca="1" si="156"/>
        <v>45.384370158988993</v>
      </c>
      <c r="P348" s="881">
        <f t="shared" ca="1" si="157"/>
        <v>58.101278638901938</v>
      </c>
      <c r="Q348" s="868"/>
      <c r="R348" s="868"/>
      <c r="S348" s="868"/>
      <c r="T348" s="868"/>
      <c r="U348" s="868"/>
      <c r="V348" s="868"/>
      <c r="W348" s="868"/>
      <c r="X348" s="868"/>
      <c r="Y348" s="868"/>
      <c r="Z348" s="868"/>
    </row>
    <row r="349" spans="1:26" ht="19.5" hidden="1">
      <c r="A349" s="993"/>
      <c r="B349" s="883"/>
      <c r="C349" s="999"/>
      <c r="D349" s="883"/>
      <c r="E349" s="884" t="s">
        <v>36</v>
      </c>
      <c r="F349" s="883"/>
      <c r="G349" s="994"/>
      <c r="H349" s="165" t="s">
        <v>12</v>
      </c>
      <c r="I349" s="1000"/>
      <c r="J349" s="1000"/>
      <c r="K349" s="1001"/>
      <c r="L349" s="887">
        <v>0</v>
      </c>
      <c r="M349" s="887">
        <v>0</v>
      </c>
      <c r="N349" s="887">
        <v>0</v>
      </c>
      <c r="O349" s="887">
        <f t="shared" si="156"/>
        <v>0</v>
      </c>
      <c r="P349" s="887">
        <f t="shared" si="157"/>
        <v>0</v>
      </c>
      <c r="Q349" s="875"/>
      <c r="R349" s="875"/>
      <c r="S349" s="875"/>
      <c r="T349" s="875"/>
      <c r="U349" s="875"/>
      <c r="V349" s="875"/>
      <c r="W349" s="875"/>
      <c r="X349" s="875"/>
      <c r="Y349" s="875"/>
      <c r="Z349" s="875"/>
    </row>
    <row r="350" spans="1:26" ht="19.5" hidden="1">
      <c r="A350" s="993"/>
      <c r="B350" s="883"/>
      <c r="C350" s="999"/>
      <c r="D350" s="883"/>
      <c r="E350" s="884" t="s">
        <v>37</v>
      </c>
      <c r="F350" s="883"/>
      <c r="G350" s="994"/>
      <c r="H350" s="165" t="s">
        <v>12</v>
      </c>
      <c r="I350" s="1000"/>
      <c r="J350" s="1000"/>
      <c r="K350" s="1001"/>
      <c r="L350" s="887">
        <f ca="1">IFERROR(__xludf.DUMMYFUNCTION("IMPORTRANGE(""https://docs.google.com/spreadsheets/d/1MeEWN-I1oV_STSDYn1IFDPWt_1FKiwhDph83XaGc0o0/edit?usp=sharing"",""งบพรบ!EW75"")"),735900)</f>
        <v>735900</v>
      </c>
      <c r="M350" s="887">
        <f ca="1">IFERROR(__xludf.DUMMYFUNCTION("IMPORTRANGE(""https://docs.google.com/spreadsheets/d/1MeEWN-I1oV_STSDYn1IFDPWt_1FKiwhDph83XaGc0o0/edit?usp=sharing"",""งบพรบ!FB75"")"),574830)</f>
        <v>574830</v>
      </c>
      <c r="N350" s="887">
        <f ca="1">IFERROR(__xludf.DUMMYFUNCTION("IMPORTRANGE(""https://docs.google.com/spreadsheets/d/1MeEWN-I1oV_STSDYn1IFDPWt_1FKiwhDph83XaGc0o0/edit?usp=sharing"",""งบพรบ!FD75"")"),333983.58)</f>
        <v>333983.58</v>
      </c>
      <c r="O350" s="887">
        <f t="shared" ca="1" si="156"/>
        <v>45.384370158988993</v>
      </c>
      <c r="P350" s="887">
        <f t="shared" ca="1" si="157"/>
        <v>58.101278638901938</v>
      </c>
      <c r="Q350" s="875"/>
      <c r="R350" s="875"/>
      <c r="S350" s="875"/>
      <c r="T350" s="875"/>
      <c r="U350" s="875"/>
      <c r="V350" s="875"/>
      <c r="W350" s="875"/>
      <c r="X350" s="875"/>
      <c r="Y350" s="875"/>
      <c r="Z350" s="875"/>
    </row>
    <row r="351" spans="1:26" ht="18.75">
      <c r="A351" s="995"/>
      <c r="B351" s="877"/>
      <c r="C351" s="996"/>
      <c r="D351" s="878" t="s">
        <v>21</v>
      </c>
      <c r="E351" s="877"/>
      <c r="F351" s="877"/>
      <c r="G351" s="879"/>
      <c r="H351" s="168" t="s">
        <v>12</v>
      </c>
      <c r="I351" s="997"/>
      <c r="J351" s="997"/>
      <c r="K351" s="998"/>
      <c r="L351" s="881">
        <f t="shared" ref="L351:N351" ca="1" si="160">L352+L353</f>
        <v>97800</v>
      </c>
      <c r="M351" s="881">
        <f t="shared" ca="1" si="160"/>
        <v>93010</v>
      </c>
      <c r="N351" s="881">
        <f t="shared" ca="1" si="160"/>
        <v>93010</v>
      </c>
      <c r="O351" s="881">
        <f t="shared" ca="1" si="156"/>
        <v>95.102249488752562</v>
      </c>
      <c r="P351" s="881">
        <f t="shared" ca="1" si="157"/>
        <v>100</v>
      </c>
      <c r="Q351" s="868"/>
      <c r="R351" s="868"/>
      <c r="S351" s="868"/>
      <c r="T351" s="868"/>
      <c r="U351" s="868"/>
      <c r="V351" s="868"/>
      <c r="W351" s="868"/>
      <c r="X351" s="868"/>
      <c r="Y351" s="868"/>
      <c r="Z351" s="868"/>
    </row>
    <row r="352" spans="1:26" ht="19.5" hidden="1">
      <c r="A352" s="993"/>
      <c r="B352" s="883"/>
      <c r="C352" s="999"/>
      <c r="D352" s="883"/>
      <c r="E352" s="884" t="s">
        <v>18</v>
      </c>
      <c r="F352" s="883"/>
      <c r="G352" s="994"/>
      <c r="H352" s="165" t="s">
        <v>12</v>
      </c>
      <c r="I352" s="1000"/>
      <c r="J352" s="1000"/>
      <c r="K352" s="1001"/>
      <c r="L352" s="887">
        <v>0</v>
      </c>
      <c r="M352" s="887">
        <v>0</v>
      </c>
      <c r="N352" s="887">
        <v>0</v>
      </c>
      <c r="O352" s="887">
        <f t="shared" si="156"/>
        <v>0</v>
      </c>
      <c r="P352" s="887">
        <f t="shared" si="157"/>
        <v>0</v>
      </c>
      <c r="Q352" s="875"/>
      <c r="R352" s="875"/>
      <c r="S352" s="875"/>
      <c r="T352" s="875"/>
      <c r="U352" s="875"/>
      <c r="V352" s="875"/>
      <c r="W352" s="875"/>
      <c r="X352" s="875"/>
      <c r="Y352" s="875"/>
      <c r="Z352" s="875"/>
    </row>
    <row r="353" spans="1:26" ht="19.5" hidden="1">
      <c r="A353" s="993"/>
      <c r="B353" s="883"/>
      <c r="C353" s="999"/>
      <c r="D353" s="883"/>
      <c r="E353" s="884" t="s">
        <v>19</v>
      </c>
      <c r="F353" s="883"/>
      <c r="G353" s="994"/>
      <c r="H353" s="169" t="s">
        <v>12</v>
      </c>
      <c r="I353" s="1000"/>
      <c r="J353" s="1000"/>
      <c r="K353" s="1001"/>
      <c r="L353" s="887">
        <f ca="1">IFERROR(__xludf.DUMMYFUNCTION("IMPORTRANGE(""https://docs.google.com/spreadsheets/d/1MeEWN-I1oV_STSDYn1IFDPWt_1FKiwhDph83XaGc0o0/edit?usp=sharing"",""งบพรบ!EZ75"")"),97800)</f>
        <v>97800</v>
      </c>
      <c r="M353" s="887">
        <f ca="1">IFERROR(__xludf.DUMMYFUNCTION("IMPORTRANGE(""https://docs.google.com/spreadsheets/d/1MeEWN-I1oV_STSDYn1IFDPWt_1FKiwhDph83XaGc0o0/edit?usp=sharing"",""งบพรบ!FC75"")"),93010)</f>
        <v>93010</v>
      </c>
      <c r="N353" s="887">
        <f ca="1">IFERROR(__xludf.DUMMYFUNCTION("IMPORTRANGE(""https://docs.google.com/spreadsheets/d/1MeEWN-I1oV_STSDYn1IFDPWt_1FKiwhDph83XaGc0o0/edit?usp=sharing"",""งบพรบ!FE75"")"),93010)</f>
        <v>93010</v>
      </c>
      <c r="O353" s="887">
        <f t="shared" ca="1" si="156"/>
        <v>95.102249488752562</v>
      </c>
      <c r="P353" s="887">
        <f t="shared" ca="1" si="157"/>
        <v>100</v>
      </c>
      <c r="Q353" s="875"/>
      <c r="R353" s="875"/>
      <c r="S353" s="875"/>
      <c r="T353" s="875"/>
      <c r="U353" s="875"/>
      <c r="V353" s="875"/>
      <c r="W353" s="875"/>
      <c r="X353" s="875"/>
      <c r="Y353" s="875"/>
      <c r="Z353" s="875"/>
    </row>
    <row r="354" spans="1:26" ht="19.5">
      <c r="A354" s="1063"/>
      <c r="B354" s="1070"/>
      <c r="C354" s="1064"/>
      <c r="D354" s="1198" t="s">
        <v>158</v>
      </c>
      <c r="E354" s="1064"/>
      <c r="F354" s="1064"/>
      <c r="G354" s="1066"/>
      <c r="H354" s="1199"/>
      <c r="I354" s="1067"/>
      <c r="J354" s="1067"/>
      <c r="K354" s="1068"/>
      <c r="L354" s="1068"/>
      <c r="M354" s="1068"/>
      <c r="N354" s="1068"/>
      <c r="O354" s="1068"/>
      <c r="P354" s="1068"/>
    </row>
    <row r="355" spans="1:26" ht="19.5">
      <c r="A355" s="1200"/>
      <c r="B355" s="1201"/>
      <c r="C355" s="1202"/>
      <c r="D355" s="1203" t="s">
        <v>159</v>
      </c>
      <c r="E355" s="1204"/>
      <c r="F355" s="1204"/>
      <c r="G355" s="1205"/>
      <c r="H355" s="463" t="s">
        <v>35</v>
      </c>
      <c r="I355" s="1206">
        <f ca="1">IFERROR(__xludf.DUMMYFUNCTION("IMPORTRANGE(""https://docs.google.com/spreadsheets/d/1QqKyyYR6Q21VydFLVH3TRQUabQu_ym0Zz7PgGX0-kHA/edit?usp=sharing"",""แผน!EP75"")"),210)</f>
        <v>210</v>
      </c>
      <c r="J355" s="1206">
        <f ca="1">J362</f>
        <v>45</v>
      </c>
      <c r="K355" s="1207">
        <f ca="1">IF(I355&gt;0,J355*100/I355,0)</f>
        <v>21.428571428571427</v>
      </c>
      <c r="L355" s="1208"/>
      <c r="M355" s="1208"/>
      <c r="N355" s="1208"/>
      <c r="O355" s="1208"/>
      <c r="P355" s="1208"/>
    </row>
    <row r="356" spans="1:26" ht="19.5">
      <c r="A356" s="1200"/>
      <c r="B356" s="1201"/>
      <c r="C356" s="1202"/>
      <c r="D356" s="1209" t="s">
        <v>160</v>
      </c>
      <c r="E356" s="1204"/>
      <c r="F356" s="1204"/>
      <c r="G356" s="1205"/>
      <c r="H356" s="1210"/>
      <c r="I356" s="1211"/>
      <c r="J356" s="1211"/>
      <c r="K356" s="1208"/>
      <c r="L356" s="1208"/>
      <c r="M356" s="1208"/>
      <c r="N356" s="1208"/>
      <c r="O356" s="1208"/>
      <c r="P356" s="1208"/>
    </row>
    <row r="357" spans="1:26" ht="19.5">
      <c r="A357" s="1002"/>
      <c r="B357" s="1003"/>
      <c r="C357" s="999" t="s">
        <v>16</v>
      </c>
      <c r="D357" s="1004" t="s">
        <v>38</v>
      </c>
      <c r="E357" s="1005"/>
      <c r="F357" s="1005"/>
      <c r="G357" s="1006"/>
      <c r="H357" s="1007"/>
      <c r="I357" s="880"/>
      <c r="J357" s="880"/>
      <c r="K357" s="881"/>
      <c r="L357" s="998"/>
      <c r="M357" s="998"/>
      <c r="N357" s="998"/>
      <c r="O357" s="998"/>
      <c r="P357" s="998"/>
    </row>
    <row r="358" spans="1:26" ht="18.75">
      <c r="A358" s="1002"/>
      <c r="B358" s="1010"/>
      <c r="C358" s="1003"/>
      <c r="D358" s="1010"/>
      <c r="E358" s="1008" t="s">
        <v>161</v>
      </c>
      <c r="F358" s="1010"/>
      <c r="G358" s="1011"/>
      <c r="H358" s="185" t="s">
        <v>35</v>
      </c>
      <c r="I358" s="880">
        <v>0</v>
      </c>
      <c r="J358" s="880">
        <f ca="1">IFERROR(__xludf.DUMMYFUNCTION("IMPORTRANGE(""https://docs.google.com/spreadsheets/d/1XWAQStnk-4SwqDmLtmXYiTMKHgktTP8We1SCoS47DrQ/edit?usp=sharing"",""จัดที่ดิน!W75"")"),215)</f>
        <v>215</v>
      </c>
      <c r="K358" s="881">
        <f t="shared" ref="K358:K365" si="161">IF(I358&gt;0,J358*100/I358,0)</f>
        <v>0</v>
      </c>
      <c r="L358" s="998"/>
      <c r="M358" s="998"/>
      <c r="N358" s="998"/>
      <c r="O358" s="998"/>
      <c r="P358" s="998"/>
    </row>
    <row r="359" spans="1:26" ht="18.75">
      <c r="A359" s="1002"/>
      <c r="B359" s="1010"/>
      <c r="C359" s="1003"/>
      <c r="D359" s="1010"/>
      <c r="E359" s="1010"/>
      <c r="F359" s="1010"/>
      <c r="G359" s="1011"/>
      <c r="H359" s="185" t="s">
        <v>46</v>
      </c>
      <c r="I359" s="880">
        <f ca="1">IFERROR(__xludf.DUMMYFUNCTION("IMPORTRANGE(""https://docs.google.com/spreadsheets/d/1QqKyyYR6Q21VydFLVH3TRQUabQu_ym0Zz7PgGX0-kHA/edit?usp=sharing"",""แผน!EO75"")"),2100)</f>
        <v>2100</v>
      </c>
      <c r="J359" s="880">
        <f ca="1">IFERROR(__xludf.DUMMYFUNCTION("IMPORTRANGE(""https://docs.google.com/spreadsheets/d/1XWAQStnk-4SwqDmLtmXYiTMKHgktTP8We1SCoS47DrQ/edit?usp=sharing"",""จัดที่ดิน!X75"")"),2376.3)</f>
        <v>2376.3000000000002</v>
      </c>
      <c r="K359" s="881">
        <f t="shared" ca="1" si="161"/>
        <v>113.15714285714287</v>
      </c>
      <c r="L359" s="998"/>
      <c r="M359" s="998"/>
      <c r="N359" s="998"/>
      <c r="O359" s="998"/>
      <c r="P359" s="998"/>
    </row>
    <row r="360" spans="1:26" ht="18.75">
      <c r="A360" s="1002"/>
      <c r="B360" s="1010"/>
      <c r="C360" s="1003"/>
      <c r="D360" s="1010"/>
      <c r="E360" s="1008" t="s">
        <v>162</v>
      </c>
      <c r="F360" s="1010"/>
      <c r="G360" s="1011"/>
      <c r="H360" s="762" t="s">
        <v>35</v>
      </c>
      <c r="I360" s="880">
        <f ca="1">IFERROR(__xludf.DUMMYFUNCTION("IMPORTRANGE(""https://docs.google.com/spreadsheets/d/1QqKyyYR6Q21VydFLVH3TRQUabQu_ym0Zz7PgGX0-kHA/edit?usp=sharing"",""แผน!EP75"")"),210)</f>
        <v>210</v>
      </c>
      <c r="J360" s="880">
        <f ca="1">IFERROR(__xludf.DUMMYFUNCTION("IMPORTRANGE(""https://docs.google.com/spreadsheets/d/1XWAQStnk-4SwqDmLtmXYiTMKHgktTP8We1SCoS47DrQ/edit?usp=sharing"",""จัดที่ดิน!Y75"")"),154)</f>
        <v>154</v>
      </c>
      <c r="K360" s="881">
        <f t="shared" ca="1" si="161"/>
        <v>73.333333333333329</v>
      </c>
      <c r="L360" s="998"/>
      <c r="M360" s="998"/>
      <c r="N360" s="998"/>
      <c r="O360" s="998"/>
      <c r="P360" s="998"/>
    </row>
    <row r="361" spans="1:26" ht="18.75">
      <c r="A361" s="1002"/>
      <c r="B361" s="1010"/>
      <c r="C361" s="1003"/>
      <c r="D361" s="1010"/>
      <c r="E361" s="1010"/>
      <c r="F361" s="1010"/>
      <c r="G361" s="1011"/>
      <c r="H361" s="762" t="s">
        <v>46</v>
      </c>
      <c r="I361" s="880">
        <v>0</v>
      </c>
      <c r="J361" s="880">
        <f ca="1">IFERROR(__xludf.DUMMYFUNCTION("IMPORTRANGE(""https://docs.google.com/spreadsheets/d/1XWAQStnk-4SwqDmLtmXYiTMKHgktTP8We1SCoS47DrQ/edit?usp=sharing"",""จัดที่ดิน!Z75"")"),1761.88)</f>
        <v>1761.88</v>
      </c>
      <c r="K361" s="881">
        <f t="shared" si="161"/>
        <v>0</v>
      </c>
      <c r="L361" s="998"/>
      <c r="M361" s="998"/>
      <c r="N361" s="998"/>
      <c r="O361" s="998"/>
      <c r="P361" s="998"/>
    </row>
    <row r="362" spans="1:26" ht="18.75">
      <c r="A362" s="1002"/>
      <c r="B362" s="1010"/>
      <c r="C362" s="1003"/>
      <c r="D362" s="1010"/>
      <c r="E362" s="1008" t="s">
        <v>163</v>
      </c>
      <c r="F362" s="1010"/>
      <c r="G362" s="1011"/>
      <c r="H362" s="762" t="s">
        <v>35</v>
      </c>
      <c r="I362" s="880">
        <f ca="1">IFERROR(__xludf.DUMMYFUNCTION("IMPORTRANGE(""https://docs.google.com/spreadsheets/d/1QqKyyYR6Q21VydFLVH3TRQUabQu_ym0Zz7PgGX0-kHA/edit?usp=sharing"",""แผน!EP75"")"),210)</f>
        <v>210</v>
      </c>
      <c r="J362" s="880">
        <f ca="1">IFERROR(__xludf.DUMMYFUNCTION("IMPORTRANGE(""https://docs.google.com/spreadsheets/d/1XWAQStnk-4SwqDmLtmXYiTMKHgktTP8We1SCoS47DrQ/edit?usp=sharing"",""จัดที่ดิน!AA75"")"),45)</f>
        <v>45</v>
      </c>
      <c r="K362" s="881">
        <f t="shared" ca="1" si="161"/>
        <v>21.428571428571427</v>
      </c>
      <c r="L362" s="998"/>
      <c r="M362" s="998"/>
      <c r="N362" s="998"/>
      <c r="O362" s="998"/>
      <c r="P362" s="998"/>
    </row>
    <row r="363" spans="1:26" ht="18.75">
      <c r="A363" s="1212" t="s">
        <v>164</v>
      </c>
      <c r="B363" s="1010"/>
      <c r="C363" s="1003"/>
      <c r="D363" s="1010"/>
      <c r="E363" s="1009"/>
      <c r="F363" s="1010"/>
      <c r="G363" s="1011"/>
      <c r="H363" s="762" t="s">
        <v>46</v>
      </c>
      <c r="I363" s="880">
        <v>0</v>
      </c>
      <c r="J363" s="880">
        <f ca="1">IFERROR(__xludf.DUMMYFUNCTION("IMPORTRANGE(""https://docs.google.com/spreadsheets/d/1XWAQStnk-4SwqDmLtmXYiTMKHgktTP8We1SCoS47DrQ/edit?usp=sharing"",""จัดที่ดิน!AB75"")"),565.93)</f>
        <v>565.92999999999995</v>
      </c>
      <c r="K363" s="881">
        <f t="shared" si="161"/>
        <v>0</v>
      </c>
      <c r="L363" s="998"/>
      <c r="M363" s="998"/>
      <c r="N363" s="998"/>
      <c r="O363" s="998"/>
      <c r="P363" s="998"/>
    </row>
    <row r="364" spans="1:26" ht="19.5">
      <c r="A364" s="1213"/>
      <c r="B364" s="1214"/>
      <c r="C364" s="1215"/>
      <c r="D364" s="1216" t="s">
        <v>165</v>
      </c>
      <c r="E364" s="1217"/>
      <c r="F364" s="1217"/>
      <c r="G364" s="1218"/>
      <c r="H364" s="478" t="s">
        <v>35</v>
      </c>
      <c r="I364" s="1219">
        <f t="shared" ref="I364:J364" ca="1" si="162">I365+I374</f>
        <v>270</v>
      </c>
      <c r="J364" s="1219">
        <f t="shared" ca="1" si="162"/>
        <v>255</v>
      </c>
      <c r="K364" s="1220">
        <f t="shared" ca="1" si="161"/>
        <v>94.444444444444443</v>
      </c>
      <c r="L364" s="1221"/>
      <c r="M364" s="1221"/>
      <c r="N364" s="1221"/>
      <c r="O364" s="1221"/>
      <c r="P364" s="122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222"/>
      <c r="B365" s="1223"/>
      <c r="C365" s="1224"/>
      <c r="D365" s="1224" t="s">
        <v>166</v>
      </c>
      <c r="E365" s="1225"/>
      <c r="F365" s="1225"/>
      <c r="G365" s="1226"/>
      <c r="H365" s="489" t="s">
        <v>35</v>
      </c>
      <c r="I365" s="1227">
        <f ca="1">IFERROR(__xludf.DUMMYFUNCTION("IMPORTRANGE(""https://docs.google.com/spreadsheets/d/1QqKyyYR6Q21VydFLVH3TRQUabQu_ym0Zz7PgGX0-kHA/edit?usp=sharing"",""แผน!EJ75"")"),130)</f>
        <v>130</v>
      </c>
      <c r="J365" s="1227">
        <f ca="1">J372</f>
        <v>45</v>
      </c>
      <c r="K365" s="1228">
        <f t="shared" ca="1" si="161"/>
        <v>34.615384615384613</v>
      </c>
      <c r="L365" s="1229"/>
      <c r="M365" s="1229"/>
      <c r="N365" s="1229"/>
      <c r="O365" s="1229"/>
      <c r="P365" s="1229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222"/>
      <c r="B366" s="1223"/>
      <c r="C366" s="1224"/>
      <c r="D366" s="1230" t="s">
        <v>167</v>
      </c>
      <c r="E366" s="1225"/>
      <c r="F366" s="1225"/>
      <c r="G366" s="1226"/>
      <c r="H366" s="1231"/>
      <c r="I366" s="1232"/>
      <c r="J366" s="1232"/>
      <c r="K366" s="1229"/>
      <c r="L366" s="1229"/>
      <c r="M366" s="1229"/>
      <c r="N366" s="1229"/>
      <c r="O366" s="1229"/>
      <c r="P366" s="1229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002"/>
      <c r="B367" s="1003"/>
      <c r="C367" s="999" t="s">
        <v>16</v>
      </c>
      <c r="D367" s="1004" t="s">
        <v>38</v>
      </c>
      <c r="E367" s="1005"/>
      <c r="F367" s="1005"/>
      <c r="G367" s="1006"/>
      <c r="H367" s="1007"/>
      <c r="I367" s="880"/>
      <c r="J367" s="880"/>
      <c r="K367" s="881"/>
      <c r="L367" s="998"/>
      <c r="M367" s="998"/>
      <c r="N367" s="998"/>
      <c r="O367" s="998"/>
      <c r="P367" s="998"/>
    </row>
    <row r="368" spans="1:26" ht="18.75">
      <c r="A368" s="1002"/>
      <c r="B368" s="1010"/>
      <c r="C368" s="1003"/>
      <c r="D368" s="1010"/>
      <c r="E368" s="1008" t="s">
        <v>161</v>
      </c>
      <c r="F368" s="1010"/>
      <c r="G368" s="1011"/>
      <c r="H368" s="185" t="s">
        <v>35</v>
      </c>
      <c r="I368" s="880">
        <v>0</v>
      </c>
      <c r="J368" s="880">
        <f ca="1">IFERROR(__xludf.DUMMYFUNCTION("IMPORTRANGE(""https://docs.google.com/spreadsheets/d/1XWAQStnk-4SwqDmLtmXYiTMKHgktTP8We1SCoS47DrQ/edit?usp=sharing"",""จัดที่ดิน!E75"")"),115)</f>
        <v>115</v>
      </c>
      <c r="K368" s="881">
        <f t="shared" ref="K368:K374" si="163">IF(I368&gt;0,J368*100/I368,0)</f>
        <v>0</v>
      </c>
      <c r="L368" s="998"/>
      <c r="M368" s="998"/>
      <c r="N368" s="998"/>
      <c r="O368" s="998"/>
      <c r="P368" s="998"/>
    </row>
    <row r="369" spans="1:26" ht="18.75">
      <c r="A369" s="1002"/>
      <c r="B369" s="1010"/>
      <c r="C369" s="1003"/>
      <c r="D369" s="1010"/>
      <c r="E369" s="1010"/>
      <c r="F369" s="1010"/>
      <c r="G369" s="1011"/>
      <c r="H369" s="185" t="s">
        <v>46</v>
      </c>
      <c r="I369" s="880">
        <f ca="1">IFERROR(__xludf.DUMMYFUNCTION("IMPORTRANGE(""https://docs.google.com/spreadsheets/d/1QqKyyYR6Q21VydFLVH3TRQUabQu_ym0Zz7PgGX0-kHA/edit?usp=sharing"",""แผน!EI75"")"),1300)</f>
        <v>1300</v>
      </c>
      <c r="J369" s="880">
        <f ca="1">IFERROR(__xludf.DUMMYFUNCTION("IMPORTRANGE(""https://docs.google.com/spreadsheets/d/1XWAQStnk-4SwqDmLtmXYiTMKHgktTP8We1SCoS47DrQ/edit?usp=sharing"",""จัดที่ดิน!F75"")"),1360.52)</f>
        <v>1360.52</v>
      </c>
      <c r="K369" s="881">
        <f t="shared" ca="1" si="163"/>
        <v>104.65538461538462</v>
      </c>
      <c r="L369" s="998"/>
      <c r="M369" s="998"/>
      <c r="N369" s="998"/>
      <c r="O369" s="998"/>
      <c r="P369" s="998"/>
    </row>
    <row r="370" spans="1:26" ht="18.75">
      <c r="A370" s="1002"/>
      <c r="B370" s="1010"/>
      <c r="C370" s="1003"/>
      <c r="D370" s="1010"/>
      <c r="E370" s="1008" t="s">
        <v>162</v>
      </c>
      <c r="F370" s="1010"/>
      <c r="G370" s="1011"/>
      <c r="H370" s="762" t="s">
        <v>35</v>
      </c>
      <c r="I370" s="880">
        <f ca="1">IFERROR(__xludf.DUMMYFUNCTION("IMPORTRANGE(""https://docs.google.com/spreadsheets/d/1QqKyyYR6Q21VydFLVH3TRQUabQu_ym0Zz7PgGX0-kHA/edit?usp=sharing"",""แผน!EJ75"")"),130)</f>
        <v>130</v>
      </c>
      <c r="J370" s="880">
        <f ca="1">IFERROR(__xludf.DUMMYFUNCTION("IMPORTRANGE(""https://docs.google.com/spreadsheets/d/1XWAQStnk-4SwqDmLtmXYiTMKHgktTP8We1SCoS47DrQ/edit?usp=sharing"",""จัดที่ดิน!G75"")"),54)</f>
        <v>54</v>
      </c>
      <c r="K370" s="881">
        <f t="shared" ca="1" si="163"/>
        <v>41.53846153846154</v>
      </c>
      <c r="L370" s="998"/>
      <c r="M370" s="998"/>
      <c r="N370" s="998"/>
      <c r="O370" s="998"/>
      <c r="P370" s="998"/>
    </row>
    <row r="371" spans="1:26" ht="18.75">
      <c r="A371" s="1002"/>
      <c r="B371" s="1010"/>
      <c r="C371" s="1003"/>
      <c r="D371" s="1010"/>
      <c r="E371" s="1010"/>
      <c r="F371" s="1010"/>
      <c r="G371" s="1011"/>
      <c r="H371" s="762" t="s">
        <v>46</v>
      </c>
      <c r="I371" s="880">
        <v>0</v>
      </c>
      <c r="J371" s="880">
        <f ca="1">IFERROR(__xludf.DUMMYFUNCTION("IMPORTRANGE(""https://docs.google.com/spreadsheets/d/1XWAQStnk-4SwqDmLtmXYiTMKHgktTP8We1SCoS47DrQ/edit?usp=sharing"",""จัดที่ดิน!H75"")"),746.1)</f>
        <v>746.1</v>
      </c>
      <c r="K371" s="881">
        <f t="shared" si="163"/>
        <v>0</v>
      </c>
      <c r="L371" s="998"/>
      <c r="M371" s="998"/>
      <c r="N371" s="998"/>
      <c r="O371" s="998"/>
      <c r="P371" s="998"/>
    </row>
    <row r="372" spans="1:26" ht="18.75">
      <c r="A372" s="1002"/>
      <c r="B372" s="1010"/>
      <c r="C372" s="1003"/>
      <c r="D372" s="1010"/>
      <c r="E372" s="1008" t="s">
        <v>163</v>
      </c>
      <c r="F372" s="1010"/>
      <c r="G372" s="1011"/>
      <c r="H372" s="762" t="s">
        <v>35</v>
      </c>
      <c r="I372" s="880">
        <f ca="1">IFERROR(__xludf.DUMMYFUNCTION("IMPORTRANGE(""https://docs.google.com/spreadsheets/d/1QqKyyYR6Q21VydFLVH3TRQUabQu_ym0Zz7PgGX0-kHA/edit?usp=sharing"",""แผน!EJ75"")"),130)</f>
        <v>130</v>
      </c>
      <c r="J372" s="880">
        <f ca="1">IFERROR(__xludf.DUMMYFUNCTION("IMPORTRANGE(""https://docs.google.com/spreadsheets/d/1XWAQStnk-4SwqDmLtmXYiTMKHgktTP8We1SCoS47DrQ/edit?usp=sharing"",""จัดที่ดิน!I75"")"),45)</f>
        <v>45</v>
      </c>
      <c r="K372" s="881">
        <f t="shared" ca="1" si="163"/>
        <v>34.615384615384613</v>
      </c>
      <c r="L372" s="998"/>
      <c r="M372" s="998"/>
      <c r="N372" s="998"/>
      <c r="O372" s="998"/>
      <c r="P372" s="998"/>
    </row>
    <row r="373" spans="1:26" ht="18.75">
      <c r="A373" s="1212" t="s">
        <v>164</v>
      </c>
      <c r="B373" s="1010"/>
      <c r="C373" s="1003"/>
      <c r="D373" s="1010"/>
      <c r="E373" s="1009"/>
      <c r="F373" s="1010"/>
      <c r="G373" s="1011"/>
      <c r="H373" s="762" t="s">
        <v>46</v>
      </c>
      <c r="I373" s="880">
        <v>0</v>
      </c>
      <c r="J373" s="880">
        <f ca="1">IFERROR(__xludf.DUMMYFUNCTION("IMPORTRANGE(""https://docs.google.com/spreadsheets/d/1XWAQStnk-4SwqDmLtmXYiTMKHgktTP8We1SCoS47DrQ/edit?usp=sharing"",""จัดที่ดิน!J75"")"),565.93)</f>
        <v>565.92999999999995</v>
      </c>
      <c r="K373" s="881">
        <f t="shared" si="163"/>
        <v>0</v>
      </c>
      <c r="L373" s="998"/>
      <c r="M373" s="998"/>
      <c r="N373" s="998"/>
      <c r="O373" s="998"/>
      <c r="P373" s="998"/>
    </row>
    <row r="374" spans="1:26" ht="19.5">
      <c r="A374" s="1222"/>
      <c r="B374" s="1223"/>
      <c r="C374" s="1224"/>
      <c r="D374" s="1224" t="s">
        <v>168</v>
      </c>
      <c r="E374" s="1225"/>
      <c r="F374" s="1225"/>
      <c r="G374" s="1226"/>
      <c r="H374" s="489" t="s">
        <v>35</v>
      </c>
      <c r="I374" s="1233">
        <f ca="1">IFERROR(__xludf.DUMMYFUNCTION("IMPORTRANGE(""https://docs.google.com/spreadsheets/d/1QqKyyYR6Q21VydFLVH3TRQUabQu_ym0Zz7PgGX0-kHA/edit?usp=sharing"",""แผน!EU75"")"),140)</f>
        <v>140</v>
      </c>
      <c r="J374" s="1227">
        <f ca="1">J381</f>
        <v>210</v>
      </c>
      <c r="K374" s="1228">
        <f t="shared" ca="1" si="163"/>
        <v>150</v>
      </c>
      <c r="L374" s="1229"/>
      <c r="M374" s="1229"/>
      <c r="N374" s="1229"/>
      <c r="O374" s="1229"/>
      <c r="P374" s="1229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222"/>
      <c r="B375" s="1223"/>
      <c r="C375" s="1224"/>
      <c r="D375" s="1230" t="s">
        <v>169</v>
      </c>
      <c r="E375" s="1225"/>
      <c r="F375" s="1225"/>
      <c r="G375" s="1226"/>
      <c r="H375" s="1231"/>
      <c r="I375" s="1232"/>
      <c r="J375" s="1232"/>
      <c r="K375" s="1229"/>
      <c r="L375" s="1229"/>
      <c r="M375" s="1229"/>
      <c r="N375" s="1229"/>
      <c r="O375" s="1229"/>
      <c r="P375" s="1229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002"/>
      <c r="B376" s="1003"/>
      <c r="C376" s="999" t="s">
        <v>16</v>
      </c>
      <c r="D376" s="1004" t="s">
        <v>38</v>
      </c>
      <c r="E376" s="1005"/>
      <c r="F376" s="1005"/>
      <c r="G376" s="1006"/>
      <c r="H376" s="1007"/>
      <c r="I376" s="880"/>
      <c r="J376" s="880"/>
      <c r="K376" s="881"/>
      <c r="L376" s="998"/>
      <c r="M376" s="998"/>
      <c r="N376" s="998"/>
      <c r="O376" s="998"/>
      <c r="P376" s="998"/>
    </row>
    <row r="377" spans="1:26" ht="18.75">
      <c r="A377" s="1002"/>
      <c r="B377" s="1010"/>
      <c r="C377" s="1003"/>
      <c r="D377" s="1010"/>
      <c r="E377" s="1008" t="s">
        <v>161</v>
      </c>
      <c r="F377" s="1010"/>
      <c r="G377" s="1011"/>
      <c r="H377" s="185" t="s">
        <v>35</v>
      </c>
      <c r="I377" s="880">
        <v>0</v>
      </c>
      <c r="J377" s="880">
        <f ca="1">IFERROR(__xludf.DUMMYFUNCTION("IMPORTRANGE(""https://docs.google.com/spreadsheets/d/1XWAQStnk-4SwqDmLtmXYiTMKHgktTP8We1SCoS47DrQ/edit?usp=sharing"",""จัดที่ดิน!AH75"")"),100)</f>
        <v>100</v>
      </c>
      <c r="K377" s="881">
        <f t="shared" ref="K377:K382" si="164">IF(I377&gt;0,J377*100/I377,0)</f>
        <v>0</v>
      </c>
      <c r="L377" s="998"/>
      <c r="M377" s="998"/>
      <c r="N377" s="998"/>
      <c r="O377" s="998"/>
      <c r="P377" s="998"/>
    </row>
    <row r="378" spans="1:26" ht="18.75">
      <c r="A378" s="1002"/>
      <c r="B378" s="1010"/>
      <c r="C378" s="1003"/>
      <c r="D378" s="1010"/>
      <c r="E378" s="1010"/>
      <c r="F378" s="1010"/>
      <c r="G378" s="1011"/>
      <c r="H378" s="185" t="s">
        <v>46</v>
      </c>
      <c r="I378" s="880">
        <f ca="1">IFERROR(__xludf.DUMMYFUNCTION("IMPORTRANGE(""https://docs.google.com/spreadsheets/d/1QqKyyYR6Q21VydFLVH3TRQUabQu_ym0Zz7PgGX0-kHA/edit?usp=sharing"",""แผน!ET75"")"),800)</f>
        <v>800</v>
      </c>
      <c r="J378" s="880">
        <f ca="1">IFERROR(__xludf.DUMMYFUNCTION("IMPORTRANGE(""https://docs.google.com/spreadsheets/d/1XWAQStnk-4SwqDmLtmXYiTMKHgktTP8We1SCoS47DrQ/edit?usp=sharing"",""จัดที่ดิน!AI75"")"),1015.78)</f>
        <v>1015.78</v>
      </c>
      <c r="K378" s="881">
        <f t="shared" ca="1" si="164"/>
        <v>126.9725</v>
      </c>
      <c r="L378" s="998"/>
      <c r="M378" s="998"/>
      <c r="N378" s="998"/>
      <c r="O378" s="998"/>
      <c r="P378" s="998"/>
    </row>
    <row r="379" spans="1:26" ht="18.75">
      <c r="A379" s="1002"/>
      <c r="B379" s="1010"/>
      <c r="C379" s="1003"/>
      <c r="D379" s="1010"/>
      <c r="E379" s="1008" t="s">
        <v>162</v>
      </c>
      <c r="F379" s="1010"/>
      <c r="G379" s="1011"/>
      <c r="H379" s="762" t="s">
        <v>35</v>
      </c>
      <c r="I379" s="880">
        <f ca="1">IFERROR(__xludf.DUMMYFUNCTION("IMPORTRANGE(""https://docs.google.com/spreadsheets/d/1QqKyyYR6Q21VydFLVH3TRQUabQu_ym0Zz7PgGX0-kHA/edit?usp=sharing"",""แผน!EU75"")"),140)</f>
        <v>140</v>
      </c>
      <c r="J379" s="880">
        <f ca="1">IFERROR(__xludf.DUMMYFUNCTION("IMPORTRANGE(""https://docs.google.com/spreadsheets/d/1XWAQStnk-4SwqDmLtmXYiTMKHgktTP8We1SCoS47DrQ/edit?usp=sharing"",""จัดที่ดิน!AJ75"")"),312)</f>
        <v>312</v>
      </c>
      <c r="K379" s="881">
        <f t="shared" ca="1" si="164"/>
        <v>222.85714285714286</v>
      </c>
      <c r="L379" s="998"/>
      <c r="M379" s="998"/>
      <c r="N379" s="998"/>
      <c r="O379" s="998"/>
      <c r="P379" s="998"/>
    </row>
    <row r="380" spans="1:26" ht="18.75">
      <c r="A380" s="1002"/>
      <c r="B380" s="1010"/>
      <c r="C380" s="1003"/>
      <c r="D380" s="1010"/>
      <c r="E380" s="1010"/>
      <c r="F380" s="1010"/>
      <c r="G380" s="1011"/>
      <c r="H380" s="762" t="s">
        <v>46</v>
      </c>
      <c r="I380" s="880">
        <v>0</v>
      </c>
      <c r="J380" s="880">
        <f ca="1">IFERROR(__xludf.DUMMYFUNCTION("IMPORTRANGE(""https://docs.google.com/spreadsheets/d/1XWAQStnk-4SwqDmLtmXYiTMKHgktTP8We1SCoS47DrQ/edit?usp=sharing"",""จัดที่ดิน!AK75"")"),4296.86)</f>
        <v>4296.8599999999997</v>
      </c>
      <c r="K380" s="881">
        <f t="shared" si="164"/>
        <v>0</v>
      </c>
      <c r="L380" s="998"/>
      <c r="M380" s="998"/>
      <c r="N380" s="998"/>
      <c r="O380" s="998"/>
      <c r="P380" s="998"/>
    </row>
    <row r="381" spans="1:26" ht="18.75">
      <c r="A381" s="1002"/>
      <c r="B381" s="1010"/>
      <c r="C381" s="1003"/>
      <c r="D381" s="1010"/>
      <c r="E381" s="1008" t="s">
        <v>163</v>
      </c>
      <c r="F381" s="1010"/>
      <c r="G381" s="1011"/>
      <c r="H381" s="762" t="s">
        <v>35</v>
      </c>
      <c r="I381" s="880">
        <f ca="1">IFERROR(__xludf.DUMMYFUNCTION("IMPORTRANGE(""https://docs.google.com/spreadsheets/d/1QqKyyYR6Q21VydFLVH3TRQUabQu_ym0Zz7PgGX0-kHA/edit?usp=sharing"",""แผน!EU75"")"),140)</f>
        <v>140</v>
      </c>
      <c r="J381" s="880">
        <f ca="1">IFERROR(__xludf.DUMMYFUNCTION("IMPORTRANGE(""https://docs.google.com/spreadsheets/d/1XWAQStnk-4SwqDmLtmXYiTMKHgktTP8We1SCoS47DrQ/edit?usp=sharing"",""จัดที่ดิน!AL75"")"),210)</f>
        <v>210</v>
      </c>
      <c r="K381" s="881">
        <f t="shared" ca="1" si="164"/>
        <v>150</v>
      </c>
      <c r="L381" s="998"/>
      <c r="M381" s="998"/>
      <c r="N381" s="998"/>
      <c r="O381" s="998"/>
      <c r="P381" s="998"/>
    </row>
    <row r="382" spans="1:26" ht="18.75">
      <c r="A382" s="1212" t="s">
        <v>164</v>
      </c>
      <c r="B382" s="1010"/>
      <c r="C382" s="1003"/>
      <c r="D382" s="1010"/>
      <c r="E382" s="1009"/>
      <c r="F382" s="1010"/>
      <c r="G382" s="1011"/>
      <c r="H382" s="762" t="s">
        <v>46</v>
      </c>
      <c r="I382" s="880">
        <v>0</v>
      </c>
      <c r="J382" s="880">
        <f ca="1">IFERROR(__xludf.DUMMYFUNCTION("IMPORTRANGE(""https://docs.google.com/spreadsheets/d/1XWAQStnk-4SwqDmLtmXYiTMKHgktTP8We1SCoS47DrQ/edit?usp=sharing"",""จัดที่ดิน!AM75"")"),3241.2)</f>
        <v>3241.2</v>
      </c>
      <c r="K382" s="881">
        <f t="shared" si="164"/>
        <v>0</v>
      </c>
      <c r="L382" s="998"/>
      <c r="M382" s="998"/>
      <c r="N382" s="998"/>
      <c r="O382" s="998"/>
      <c r="P382" s="998"/>
    </row>
    <row r="383" spans="1:26" ht="19.5">
      <c r="A383" s="1234"/>
      <c r="B383" s="1235"/>
      <c r="C383" s="1091"/>
      <c r="D383" s="1236" t="s">
        <v>170</v>
      </c>
      <c r="E383" s="1091"/>
      <c r="F383" s="1091"/>
      <c r="G383" s="1237"/>
      <c r="H383" s="1199"/>
      <c r="I383" s="1067"/>
      <c r="J383" s="1067"/>
      <c r="K383" s="1068"/>
      <c r="L383" s="1068"/>
      <c r="M383" s="1068"/>
      <c r="N383" s="1068"/>
      <c r="O383" s="1068"/>
      <c r="P383" s="1068"/>
    </row>
    <row r="384" spans="1:26" ht="19.5">
      <c r="A384" s="1002"/>
      <c r="B384" s="1003"/>
      <c r="C384" s="877" t="s">
        <v>16</v>
      </c>
      <c r="D384" s="1004" t="s">
        <v>38</v>
      </c>
      <c r="E384" s="1005"/>
      <c r="F384" s="1005"/>
      <c r="G384" s="1006"/>
      <c r="H384" s="1007"/>
      <c r="I384" s="880"/>
      <c r="J384" s="880"/>
      <c r="K384" s="881"/>
      <c r="L384" s="998"/>
      <c r="M384" s="998"/>
      <c r="N384" s="998"/>
      <c r="O384" s="998"/>
      <c r="P384" s="998"/>
    </row>
    <row r="385" spans="1:26" ht="18.75">
      <c r="A385" s="1133"/>
      <c r="B385" s="1136"/>
      <c r="C385" s="1134"/>
      <c r="D385" s="1136"/>
      <c r="E385" s="1238" t="s">
        <v>171</v>
      </c>
      <c r="F385" s="1136"/>
      <c r="G385" s="1137"/>
      <c r="H385" s="504" t="s">
        <v>35</v>
      </c>
      <c r="I385" s="1138">
        <f ca="1">IFERROR(__xludf.DUMMYFUNCTION("IMPORTRANGE(""https://docs.google.com/spreadsheets/d/1QqKyyYR6Q21VydFLVH3TRQUabQu_ym0Zz7PgGX0-kHA/edit?usp=sharing"",""แผน!EW75"")"),20)</f>
        <v>20</v>
      </c>
      <c r="J385" s="1138">
        <f ca="1">IFERROR(__xludf.DUMMYFUNCTION("IMPORTRANGE(""https://docs.google.com/spreadsheets/d/1XWAQStnk-4SwqDmLtmXYiTMKHgktTP8We1SCoS47DrQ/edit?usp=sharing"",""จัดที่ดิน!AP75"")"),2)</f>
        <v>2</v>
      </c>
      <c r="K385" s="1239">
        <f ca="1">IF(I385&gt;0,J385*100/I385,0)</f>
        <v>10</v>
      </c>
      <c r="L385" s="1139"/>
      <c r="M385" s="1139"/>
      <c r="N385" s="1139"/>
      <c r="O385" s="1139"/>
      <c r="P385" s="1139"/>
    </row>
    <row r="386" spans="1:26" ht="19.5">
      <c r="A386" s="1240" t="s">
        <v>172</v>
      </c>
      <c r="B386" s="1241"/>
      <c r="C386" s="1241"/>
      <c r="D386" s="1241"/>
      <c r="E386" s="1242"/>
      <c r="F386" s="1242"/>
      <c r="G386" s="1243"/>
      <c r="H386" s="1244"/>
      <c r="I386" s="1245"/>
      <c r="J386" s="1245"/>
      <c r="K386" s="1246"/>
      <c r="L386" s="1246"/>
      <c r="M386" s="1246"/>
      <c r="N386" s="1246"/>
      <c r="O386" s="1246"/>
      <c r="P386" s="1246"/>
    </row>
    <row r="387" spans="1:26" ht="19.5">
      <c r="A387" s="1247" t="s">
        <v>173</v>
      </c>
      <c r="B387" s="1248"/>
      <c r="C387" s="1248"/>
      <c r="D387" s="1249"/>
      <c r="E387" s="1248"/>
      <c r="F387" s="1248"/>
      <c r="G387" s="1248"/>
      <c r="H387" s="1250"/>
      <c r="I387" s="1251"/>
      <c r="J387" s="1251"/>
      <c r="K387" s="1252"/>
      <c r="L387" s="1252"/>
      <c r="M387" s="1252"/>
      <c r="N387" s="1252"/>
      <c r="O387" s="1252"/>
      <c r="P387" s="1252"/>
    </row>
    <row r="388" spans="1:26" ht="19.5">
      <c r="A388" s="1253"/>
      <c r="B388" s="1254" t="s">
        <v>174</v>
      </c>
      <c r="C388" s="1255"/>
      <c r="D388" s="1256"/>
      <c r="E388" s="1256"/>
      <c r="F388" s="1256"/>
      <c r="G388" s="1257"/>
      <c r="H388" s="525" t="s">
        <v>66</v>
      </c>
      <c r="I388" s="1258">
        <f t="shared" ref="I388:J388" si="165">I400</f>
        <v>0</v>
      </c>
      <c r="J388" s="1258">
        <f t="shared" si="165"/>
        <v>0</v>
      </c>
      <c r="K388" s="1259">
        <f>IF(I388&gt;0,J388*100/I388,0)</f>
        <v>0</v>
      </c>
      <c r="L388" s="1260"/>
      <c r="M388" s="1260"/>
      <c r="N388" s="1260"/>
      <c r="O388" s="1260"/>
      <c r="P388" s="1260"/>
    </row>
    <row r="389" spans="1:26" ht="19.5">
      <c r="A389" s="985"/>
      <c r="B389" s="986"/>
      <c r="C389" s="987" t="s">
        <v>16</v>
      </c>
      <c r="D389" s="988" t="s">
        <v>17</v>
      </c>
      <c r="E389" s="986"/>
      <c r="F389" s="986"/>
      <c r="G389" s="989"/>
      <c r="H389" s="152" t="s">
        <v>12</v>
      </c>
      <c r="I389" s="990"/>
      <c r="J389" s="990"/>
      <c r="K389" s="991"/>
      <c r="L389" s="992">
        <f t="shared" ref="L389:N389" ca="1" si="166">L390+L391</f>
        <v>26000000</v>
      </c>
      <c r="M389" s="992">
        <f t="shared" ca="1" si="166"/>
        <v>26000000</v>
      </c>
      <c r="N389" s="992">
        <f t="shared" ca="1" si="166"/>
        <v>0</v>
      </c>
      <c r="O389" s="992">
        <f t="shared" ref="O389:O397" ca="1" si="167">IF(L389&gt;0,N389*100/L389,0)</f>
        <v>0</v>
      </c>
      <c r="P389" s="992">
        <f t="shared" ref="P389:P397" ca="1" si="168">IF(M389&gt;0,N389*100/M389,0)</f>
        <v>0</v>
      </c>
      <c r="Q389" s="868"/>
      <c r="R389" s="868"/>
      <c r="S389" s="868"/>
      <c r="T389" s="868"/>
      <c r="U389" s="868"/>
      <c r="V389" s="868"/>
      <c r="W389" s="868"/>
      <c r="X389" s="868"/>
      <c r="Y389" s="868"/>
      <c r="Z389" s="868"/>
    </row>
    <row r="390" spans="1:26" ht="24" hidden="1" customHeight="1">
      <c r="A390" s="993"/>
      <c r="B390" s="883"/>
      <c r="C390" s="883"/>
      <c r="D390" s="883"/>
      <c r="E390" s="884" t="s">
        <v>18</v>
      </c>
      <c r="F390" s="883"/>
      <c r="G390" s="994"/>
      <c r="H390" s="158" t="s">
        <v>12</v>
      </c>
      <c r="I390" s="886"/>
      <c r="J390" s="886"/>
      <c r="K390" s="887"/>
      <c r="L390" s="887">
        <f t="shared" ref="L390:N391" si="169">L393+L396</f>
        <v>0</v>
      </c>
      <c r="M390" s="887">
        <f t="shared" si="169"/>
        <v>0</v>
      </c>
      <c r="N390" s="887">
        <f t="shared" si="169"/>
        <v>0</v>
      </c>
      <c r="O390" s="887">
        <f t="shared" si="167"/>
        <v>0</v>
      </c>
      <c r="P390" s="887">
        <f t="shared" si="168"/>
        <v>0</v>
      </c>
      <c r="Q390" s="875"/>
      <c r="R390" s="875"/>
      <c r="S390" s="875"/>
      <c r="T390" s="875"/>
      <c r="U390" s="875"/>
      <c r="V390" s="875"/>
      <c r="W390" s="875"/>
      <c r="X390" s="875"/>
      <c r="Y390" s="875"/>
      <c r="Z390" s="875"/>
    </row>
    <row r="391" spans="1:26" ht="18.75" hidden="1">
      <c r="A391" s="993"/>
      <c r="B391" s="883"/>
      <c r="C391" s="883"/>
      <c r="D391" s="883"/>
      <c r="E391" s="884" t="s">
        <v>19</v>
      </c>
      <c r="F391" s="883"/>
      <c r="G391" s="994"/>
      <c r="H391" s="158" t="s">
        <v>12</v>
      </c>
      <c r="I391" s="886"/>
      <c r="J391" s="886"/>
      <c r="K391" s="887"/>
      <c r="L391" s="887">
        <f t="shared" ca="1" si="169"/>
        <v>26000000</v>
      </c>
      <c r="M391" s="887">
        <f t="shared" ca="1" si="169"/>
        <v>26000000</v>
      </c>
      <c r="N391" s="887">
        <f t="shared" ca="1" si="169"/>
        <v>0</v>
      </c>
      <c r="O391" s="887">
        <f t="shared" ca="1" si="167"/>
        <v>0</v>
      </c>
      <c r="P391" s="887">
        <f t="shared" ca="1" si="168"/>
        <v>0</v>
      </c>
      <c r="Q391" s="875"/>
      <c r="R391" s="875"/>
      <c r="S391" s="875"/>
      <c r="T391" s="875"/>
      <c r="U391" s="875"/>
      <c r="V391" s="875"/>
      <c r="W391" s="875"/>
      <c r="X391" s="875"/>
      <c r="Y391" s="875"/>
      <c r="Z391" s="875"/>
    </row>
    <row r="392" spans="1:26" ht="18.75">
      <c r="A392" s="995"/>
      <c r="B392" s="877"/>
      <c r="C392" s="996"/>
      <c r="D392" s="878" t="s">
        <v>20</v>
      </c>
      <c r="E392" s="877"/>
      <c r="F392" s="877"/>
      <c r="G392" s="879"/>
      <c r="H392" s="161" t="s">
        <v>12</v>
      </c>
      <c r="I392" s="997"/>
      <c r="J392" s="997"/>
      <c r="K392" s="998"/>
      <c r="L392" s="881">
        <f t="shared" ref="L392:N392" ca="1" si="170">L393+L394</f>
        <v>0</v>
      </c>
      <c r="M392" s="881">
        <f t="shared" ca="1" si="170"/>
        <v>0</v>
      </c>
      <c r="N392" s="881">
        <f t="shared" ca="1" si="170"/>
        <v>0</v>
      </c>
      <c r="O392" s="881">
        <f t="shared" ca="1" si="167"/>
        <v>0</v>
      </c>
      <c r="P392" s="881">
        <f t="shared" ca="1" si="168"/>
        <v>0</v>
      </c>
      <c r="Q392" s="868"/>
      <c r="R392" s="868"/>
      <c r="S392" s="868"/>
      <c r="T392" s="868"/>
      <c r="U392" s="868"/>
      <c r="V392" s="868"/>
      <c r="W392" s="868"/>
      <c r="X392" s="868"/>
      <c r="Y392" s="868"/>
      <c r="Z392" s="868"/>
    </row>
    <row r="393" spans="1:26" ht="19.5" hidden="1">
      <c r="A393" s="993"/>
      <c r="B393" s="883"/>
      <c r="C393" s="999"/>
      <c r="D393" s="883"/>
      <c r="E393" s="884" t="s">
        <v>36</v>
      </c>
      <c r="F393" s="883"/>
      <c r="G393" s="994"/>
      <c r="H393" s="165" t="s">
        <v>12</v>
      </c>
      <c r="I393" s="1000"/>
      <c r="J393" s="1000"/>
      <c r="K393" s="1001"/>
      <c r="L393" s="887">
        <v>0</v>
      </c>
      <c r="M393" s="887">
        <v>0</v>
      </c>
      <c r="N393" s="887">
        <v>0</v>
      </c>
      <c r="O393" s="887">
        <f t="shared" si="167"/>
        <v>0</v>
      </c>
      <c r="P393" s="887">
        <f t="shared" si="168"/>
        <v>0</v>
      </c>
      <c r="Q393" s="875"/>
      <c r="R393" s="875"/>
      <c r="S393" s="875"/>
      <c r="T393" s="875"/>
      <c r="U393" s="875"/>
      <c r="V393" s="875"/>
      <c r="W393" s="875"/>
      <c r="X393" s="875"/>
      <c r="Y393" s="875"/>
      <c r="Z393" s="875"/>
    </row>
    <row r="394" spans="1:26" ht="19.5" hidden="1">
      <c r="A394" s="993"/>
      <c r="B394" s="883"/>
      <c r="C394" s="999"/>
      <c r="D394" s="883"/>
      <c r="E394" s="884" t="s">
        <v>37</v>
      </c>
      <c r="F394" s="883"/>
      <c r="G394" s="994"/>
      <c r="H394" s="165" t="s">
        <v>12</v>
      </c>
      <c r="I394" s="1000"/>
      <c r="J394" s="1000"/>
      <c r="K394" s="1001"/>
      <c r="L394" s="887">
        <f ca="1">IFERROR(__xludf.DUMMYFUNCTION("IMPORTRANGE(""https://docs.google.com/spreadsheets/d/1MeEWN-I1oV_STSDYn1IFDPWt_1FKiwhDph83XaGc0o0/edit?usp=sharing"",""งบพรบ!FG75"")"),0)</f>
        <v>0</v>
      </c>
      <c r="M394" s="887">
        <f ca="1">IFERROR(__xludf.DUMMYFUNCTION("IMPORTRANGE(""https://docs.google.com/spreadsheets/d/1MeEWN-I1oV_STSDYn1IFDPWt_1FKiwhDph83XaGc0o0/edit?usp=sharing"",""งบพรบ!FL75"")"),0)</f>
        <v>0</v>
      </c>
      <c r="N394" s="887">
        <f ca="1">IFERROR(__xludf.DUMMYFUNCTION("IMPORTRANGE(""https://docs.google.com/spreadsheets/d/1MeEWN-I1oV_STSDYn1IFDPWt_1FKiwhDph83XaGc0o0/edit?usp=sharing"",""งบพรบ!FN75"")"),0)</f>
        <v>0</v>
      </c>
      <c r="O394" s="887">
        <f t="shared" ca="1" si="167"/>
        <v>0</v>
      </c>
      <c r="P394" s="887">
        <f t="shared" ca="1" si="168"/>
        <v>0</v>
      </c>
      <c r="Q394" s="875"/>
      <c r="R394" s="875"/>
      <c r="S394" s="875"/>
      <c r="T394" s="875"/>
      <c r="U394" s="875"/>
      <c r="V394" s="875"/>
      <c r="W394" s="875"/>
      <c r="X394" s="875"/>
      <c r="Y394" s="875"/>
      <c r="Z394" s="875"/>
    </row>
    <row r="395" spans="1:26" ht="18.75">
      <c r="A395" s="995"/>
      <c r="B395" s="877"/>
      <c r="C395" s="996"/>
      <c r="D395" s="878" t="s">
        <v>21</v>
      </c>
      <c r="E395" s="877"/>
      <c r="F395" s="877"/>
      <c r="G395" s="879"/>
      <c r="H395" s="168" t="s">
        <v>12</v>
      </c>
      <c r="I395" s="997"/>
      <c r="J395" s="997"/>
      <c r="K395" s="998"/>
      <c r="L395" s="881">
        <f t="shared" ref="L395:N395" ca="1" si="171">L396+L397</f>
        <v>26000000</v>
      </c>
      <c r="M395" s="881">
        <f t="shared" ca="1" si="171"/>
        <v>26000000</v>
      </c>
      <c r="N395" s="881">
        <f t="shared" ca="1" si="171"/>
        <v>0</v>
      </c>
      <c r="O395" s="881">
        <f t="shared" ca="1" si="167"/>
        <v>0</v>
      </c>
      <c r="P395" s="881">
        <f t="shared" ca="1" si="168"/>
        <v>0</v>
      </c>
      <c r="Q395" s="868"/>
      <c r="R395" s="868"/>
      <c r="S395" s="868"/>
      <c r="T395" s="868"/>
      <c r="U395" s="868"/>
      <c r="V395" s="868"/>
      <c r="W395" s="868"/>
      <c r="X395" s="868"/>
      <c r="Y395" s="868"/>
      <c r="Z395" s="868"/>
    </row>
    <row r="396" spans="1:26" ht="19.5" hidden="1">
      <c r="A396" s="993"/>
      <c r="B396" s="883"/>
      <c r="C396" s="999"/>
      <c r="D396" s="883"/>
      <c r="E396" s="884" t="s">
        <v>18</v>
      </c>
      <c r="F396" s="883"/>
      <c r="G396" s="994"/>
      <c r="H396" s="165" t="s">
        <v>12</v>
      </c>
      <c r="I396" s="1000"/>
      <c r="J396" s="1000"/>
      <c r="K396" s="1001"/>
      <c r="L396" s="887">
        <v>0</v>
      </c>
      <c r="M396" s="887">
        <v>0</v>
      </c>
      <c r="N396" s="887">
        <v>0</v>
      </c>
      <c r="O396" s="887">
        <f t="shared" si="167"/>
        <v>0</v>
      </c>
      <c r="P396" s="887">
        <f t="shared" si="168"/>
        <v>0</v>
      </c>
      <c r="Q396" s="875"/>
      <c r="R396" s="875"/>
      <c r="S396" s="875"/>
      <c r="T396" s="875"/>
      <c r="U396" s="875"/>
      <c r="V396" s="875"/>
      <c r="W396" s="875"/>
      <c r="X396" s="875"/>
      <c r="Y396" s="875"/>
      <c r="Z396" s="875"/>
    </row>
    <row r="397" spans="1:26" ht="19.5" hidden="1">
      <c r="A397" s="993"/>
      <c r="B397" s="883"/>
      <c r="C397" s="999"/>
      <c r="D397" s="883"/>
      <c r="E397" s="884" t="s">
        <v>19</v>
      </c>
      <c r="F397" s="883"/>
      <c r="G397" s="994"/>
      <c r="H397" s="169" t="s">
        <v>12</v>
      </c>
      <c r="I397" s="1000"/>
      <c r="J397" s="1000"/>
      <c r="K397" s="1001"/>
      <c r="L397" s="887">
        <f ca="1">IFERROR(__xludf.DUMMYFUNCTION("IMPORTRANGE(""https://docs.google.com/spreadsheets/d/1MeEWN-I1oV_STSDYn1IFDPWt_1FKiwhDph83XaGc0o0/edit?usp=sharing"",""งบพรบ!FJ75"")"),26000000)</f>
        <v>26000000</v>
      </c>
      <c r="M397" s="887">
        <f ca="1">IFERROR(__xludf.DUMMYFUNCTION("IMPORTRANGE(""https://docs.google.com/spreadsheets/d/1MeEWN-I1oV_STSDYn1IFDPWt_1FKiwhDph83XaGc0o0/edit?usp=sharing"",""งบพรบ!FM75"")"),26000000)</f>
        <v>26000000</v>
      </c>
      <c r="N397" s="887">
        <f ca="1">IFERROR(__xludf.DUMMYFUNCTION("IMPORTRANGE(""https://docs.google.com/spreadsheets/d/1MeEWN-I1oV_STSDYn1IFDPWt_1FKiwhDph83XaGc0o0/edit?usp=sharing"",""งบพรบ!FO75"")"),0)</f>
        <v>0</v>
      </c>
      <c r="O397" s="887">
        <f t="shared" ca="1" si="167"/>
        <v>0</v>
      </c>
      <c r="P397" s="887">
        <f t="shared" ca="1" si="168"/>
        <v>0</v>
      </c>
      <c r="Q397" s="875"/>
      <c r="R397" s="875"/>
      <c r="S397" s="875"/>
      <c r="T397" s="875"/>
      <c r="U397" s="875"/>
      <c r="V397" s="875"/>
      <c r="W397" s="875"/>
      <c r="X397" s="875"/>
      <c r="Y397" s="875"/>
      <c r="Z397" s="875"/>
    </row>
    <row r="398" spans="1:26" ht="19.5">
      <c r="A398" s="1002"/>
      <c r="B398" s="1003"/>
      <c r="C398" s="999" t="s">
        <v>16</v>
      </c>
      <c r="D398" s="1004" t="s">
        <v>38</v>
      </c>
      <c r="E398" s="1005"/>
      <c r="F398" s="1005"/>
      <c r="G398" s="1006"/>
      <c r="H398" s="1007"/>
      <c r="I398" s="997"/>
      <c r="J398" s="880"/>
      <c r="K398" s="881"/>
      <c r="L398" s="881"/>
      <c r="M398" s="881"/>
      <c r="N398" s="881"/>
      <c r="O398" s="998"/>
      <c r="P398" s="998"/>
    </row>
    <row r="399" spans="1:26" ht="18.75">
      <c r="A399" s="1261"/>
      <c r="B399" s="986"/>
      <c r="C399" s="1262"/>
      <c r="D399" s="1021" t="s">
        <v>175</v>
      </c>
      <c r="E399" s="1166"/>
      <c r="F399" s="986"/>
      <c r="G399" s="989"/>
      <c r="H399" s="532" t="s">
        <v>9</v>
      </c>
      <c r="I399" s="880">
        <v>0</v>
      </c>
      <c r="J399" s="1012">
        <v>0</v>
      </c>
      <c r="K399" s="881">
        <f t="shared" ref="K399:K401" si="172">IF(I399&gt;0,J399*100/I399,0)</f>
        <v>0</v>
      </c>
      <c r="L399" s="1263"/>
      <c r="M399" s="1263"/>
      <c r="N399" s="1263"/>
      <c r="O399" s="1263"/>
      <c r="P399" s="1263"/>
      <c r="Q399" s="868"/>
      <c r="R399" s="868"/>
      <c r="S399" s="868"/>
      <c r="T399" s="868"/>
      <c r="U399" s="868"/>
      <c r="V399" s="868"/>
      <c r="W399" s="868"/>
      <c r="X399" s="868"/>
      <c r="Y399" s="868"/>
      <c r="Z399" s="868"/>
    </row>
    <row r="400" spans="1:26" ht="18.75">
      <c r="A400" s="1086"/>
      <c r="B400" s="877"/>
      <c r="C400" s="1084"/>
      <c r="D400" s="1009" t="s">
        <v>176</v>
      </c>
      <c r="E400" s="1003"/>
      <c r="F400" s="877"/>
      <c r="G400" s="879"/>
      <c r="H400" s="277" t="s">
        <v>66</v>
      </c>
      <c r="I400" s="880">
        <v>0</v>
      </c>
      <c r="J400" s="1012">
        <v>0</v>
      </c>
      <c r="K400" s="881">
        <f t="shared" si="172"/>
        <v>0</v>
      </c>
      <c r="L400" s="881"/>
      <c r="M400" s="881"/>
      <c r="N400" s="881"/>
      <c r="O400" s="881"/>
      <c r="P400" s="881"/>
    </row>
    <row r="401" spans="1:26" ht="19.5">
      <c r="A401" s="1253"/>
      <c r="B401" s="1254" t="s">
        <v>177</v>
      </c>
      <c r="C401" s="1255"/>
      <c r="D401" s="1256"/>
      <c r="E401" s="1256"/>
      <c r="F401" s="1256"/>
      <c r="G401" s="1257"/>
      <c r="H401" s="525" t="s">
        <v>66</v>
      </c>
      <c r="I401" s="1258">
        <f t="shared" ref="I401:J401" si="173">I412</f>
        <v>15</v>
      </c>
      <c r="J401" s="1258">
        <f t="shared" si="173"/>
        <v>5</v>
      </c>
      <c r="K401" s="1259">
        <f t="shared" si="172"/>
        <v>33.333333333333336</v>
      </c>
      <c r="L401" s="1260"/>
      <c r="M401" s="1260"/>
      <c r="N401" s="1260"/>
      <c r="O401" s="1260"/>
      <c r="P401" s="1260"/>
    </row>
    <row r="402" spans="1:26" ht="19.5">
      <c r="A402" s="985"/>
      <c r="B402" s="986"/>
      <c r="C402" s="987" t="s">
        <v>16</v>
      </c>
      <c r="D402" s="988" t="s">
        <v>17</v>
      </c>
      <c r="E402" s="986"/>
      <c r="F402" s="986"/>
      <c r="G402" s="989"/>
      <c r="H402" s="152" t="s">
        <v>12</v>
      </c>
      <c r="I402" s="990"/>
      <c r="J402" s="990"/>
      <c r="K402" s="991"/>
      <c r="L402" s="992">
        <f t="shared" ref="L402:N402" ca="1" si="174">L403+L404</f>
        <v>34000000</v>
      </c>
      <c r="M402" s="992">
        <f t="shared" ca="1" si="174"/>
        <v>34000000</v>
      </c>
      <c r="N402" s="992">
        <f t="shared" ca="1" si="174"/>
        <v>14346241</v>
      </c>
      <c r="O402" s="992">
        <f t="shared" ref="O402:O410" ca="1" si="175">IF(L402&gt;0,N402*100/L402,0)</f>
        <v>42.194826470588232</v>
      </c>
      <c r="P402" s="992">
        <f t="shared" ref="P402:P410" ca="1" si="176">IF(M402&gt;0,N402*100/M402,0)</f>
        <v>42.194826470588232</v>
      </c>
      <c r="Q402" s="868"/>
      <c r="R402" s="868"/>
      <c r="S402" s="868"/>
      <c r="T402" s="868"/>
      <c r="U402" s="868"/>
      <c r="V402" s="868"/>
      <c r="W402" s="868"/>
      <c r="X402" s="868"/>
      <c r="Y402" s="868"/>
      <c r="Z402" s="868"/>
    </row>
    <row r="403" spans="1:26" ht="18.75" hidden="1">
      <c r="A403" s="993"/>
      <c r="B403" s="883"/>
      <c r="C403" s="883"/>
      <c r="D403" s="883"/>
      <c r="E403" s="884" t="s">
        <v>18</v>
      </c>
      <c r="F403" s="883"/>
      <c r="G403" s="994"/>
      <c r="H403" s="158" t="s">
        <v>12</v>
      </c>
      <c r="I403" s="886"/>
      <c r="J403" s="886"/>
      <c r="K403" s="887"/>
      <c r="L403" s="887">
        <f t="shared" ref="L403:N404" si="177">L406+L409</f>
        <v>0</v>
      </c>
      <c r="M403" s="887">
        <f t="shared" si="177"/>
        <v>0</v>
      </c>
      <c r="N403" s="887">
        <f t="shared" si="177"/>
        <v>0</v>
      </c>
      <c r="O403" s="887">
        <f t="shared" si="175"/>
        <v>0</v>
      </c>
      <c r="P403" s="887">
        <f t="shared" si="176"/>
        <v>0</v>
      </c>
      <c r="Q403" s="875"/>
      <c r="R403" s="875"/>
      <c r="S403" s="875"/>
      <c r="T403" s="875"/>
      <c r="U403" s="875"/>
      <c r="V403" s="875"/>
      <c r="W403" s="875"/>
      <c r="X403" s="875"/>
      <c r="Y403" s="875"/>
      <c r="Z403" s="875"/>
    </row>
    <row r="404" spans="1:26" ht="18.75" hidden="1">
      <c r="A404" s="993"/>
      <c r="B404" s="883"/>
      <c r="C404" s="883"/>
      <c r="D404" s="883"/>
      <c r="E404" s="884" t="s">
        <v>19</v>
      </c>
      <c r="F404" s="883"/>
      <c r="G404" s="994"/>
      <c r="H404" s="158" t="s">
        <v>12</v>
      </c>
      <c r="I404" s="886"/>
      <c r="J404" s="886"/>
      <c r="K404" s="887"/>
      <c r="L404" s="887">
        <f t="shared" ca="1" si="177"/>
        <v>34000000</v>
      </c>
      <c r="M404" s="887">
        <f t="shared" ca="1" si="177"/>
        <v>34000000</v>
      </c>
      <c r="N404" s="887">
        <f t="shared" ca="1" si="177"/>
        <v>14346241</v>
      </c>
      <c r="O404" s="887">
        <f t="shared" ca="1" si="175"/>
        <v>42.194826470588232</v>
      </c>
      <c r="P404" s="887">
        <f t="shared" ca="1" si="176"/>
        <v>42.194826470588232</v>
      </c>
      <c r="Q404" s="875"/>
      <c r="R404" s="875"/>
      <c r="S404" s="875"/>
      <c r="T404" s="875"/>
      <c r="U404" s="875"/>
      <c r="V404" s="875"/>
      <c r="W404" s="875"/>
      <c r="X404" s="875"/>
      <c r="Y404" s="875"/>
      <c r="Z404" s="875"/>
    </row>
    <row r="405" spans="1:26" ht="18.75">
      <c r="A405" s="995"/>
      <c r="B405" s="877"/>
      <c r="C405" s="996"/>
      <c r="D405" s="878" t="s">
        <v>20</v>
      </c>
      <c r="E405" s="877"/>
      <c r="F405" s="877"/>
      <c r="G405" s="879"/>
      <c r="H405" s="161" t="s">
        <v>12</v>
      </c>
      <c r="I405" s="997"/>
      <c r="J405" s="997"/>
      <c r="K405" s="998"/>
      <c r="L405" s="881">
        <f t="shared" ref="L405:N405" ca="1" si="178">L406+L407</f>
        <v>0</v>
      </c>
      <c r="M405" s="881">
        <f t="shared" ca="1" si="178"/>
        <v>0</v>
      </c>
      <c r="N405" s="881">
        <f t="shared" ca="1" si="178"/>
        <v>0</v>
      </c>
      <c r="O405" s="881">
        <f t="shared" ca="1" si="175"/>
        <v>0</v>
      </c>
      <c r="P405" s="881">
        <f t="shared" ca="1" si="176"/>
        <v>0</v>
      </c>
      <c r="Q405" s="868"/>
      <c r="R405" s="868"/>
      <c r="S405" s="868"/>
      <c r="T405" s="868"/>
      <c r="U405" s="868"/>
      <c r="V405" s="868"/>
      <c r="W405" s="868"/>
      <c r="X405" s="868"/>
      <c r="Y405" s="868"/>
      <c r="Z405" s="868"/>
    </row>
    <row r="406" spans="1:26" ht="19.5" hidden="1">
      <c r="A406" s="993"/>
      <c r="B406" s="883"/>
      <c r="C406" s="999"/>
      <c r="D406" s="883"/>
      <c r="E406" s="884" t="s">
        <v>36</v>
      </c>
      <c r="F406" s="883"/>
      <c r="G406" s="994"/>
      <c r="H406" s="165" t="s">
        <v>12</v>
      </c>
      <c r="I406" s="1000"/>
      <c r="J406" s="1000"/>
      <c r="K406" s="1001"/>
      <c r="L406" s="887">
        <v>0</v>
      </c>
      <c r="M406" s="887">
        <v>0</v>
      </c>
      <c r="N406" s="887">
        <v>0</v>
      </c>
      <c r="O406" s="887">
        <f t="shared" si="175"/>
        <v>0</v>
      </c>
      <c r="P406" s="887">
        <f t="shared" si="176"/>
        <v>0</v>
      </c>
      <c r="Q406" s="875"/>
      <c r="R406" s="875"/>
      <c r="S406" s="875"/>
      <c r="T406" s="875"/>
      <c r="U406" s="875"/>
      <c r="V406" s="875"/>
      <c r="W406" s="875"/>
      <c r="X406" s="875"/>
      <c r="Y406" s="875"/>
      <c r="Z406" s="875"/>
    </row>
    <row r="407" spans="1:26" ht="19.5" hidden="1">
      <c r="A407" s="993"/>
      <c r="B407" s="883"/>
      <c r="C407" s="999"/>
      <c r="D407" s="883"/>
      <c r="E407" s="884" t="s">
        <v>37</v>
      </c>
      <c r="F407" s="883"/>
      <c r="G407" s="994"/>
      <c r="H407" s="165" t="s">
        <v>12</v>
      </c>
      <c r="I407" s="1000"/>
      <c r="J407" s="1000"/>
      <c r="K407" s="1001"/>
      <c r="L407" s="887">
        <f ca="1">IFERROR(__xludf.DUMMYFUNCTION("IMPORTRANGE(""https://docs.google.com/spreadsheets/d/1MeEWN-I1oV_STSDYn1IFDPWt_1FKiwhDph83XaGc0o0/edit?usp=sharing"",""งบพรบ!FQ75"")"),0)</f>
        <v>0</v>
      </c>
      <c r="M407" s="887">
        <f ca="1">IFERROR(__xludf.DUMMYFUNCTION("IMPORTRANGE(""https://docs.google.com/spreadsheets/d/1MeEWN-I1oV_STSDYn1IFDPWt_1FKiwhDph83XaGc0o0/edit?usp=sharing"",""งบพรบ!FV75"")"),0)</f>
        <v>0</v>
      </c>
      <c r="N407" s="887">
        <f ca="1">IFERROR(__xludf.DUMMYFUNCTION("IMPORTRANGE(""https://docs.google.com/spreadsheets/d/1MeEWN-I1oV_STSDYn1IFDPWt_1FKiwhDph83XaGc0o0/edit?usp=sharing"",""งบพรบ!FX75"")"),0)</f>
        <v>0</v>
      </c>
      <c r="O407" s="887">
        <f t="shared" ca="1" si="175"/>
        <v>0</v>
      </c>
      <c r="P407" s="887">
        <f t="shared" ca="1" si="176"/>
        <v>0</v>
      </c>
      <c r="Q407" s="875"/>
      <c r="R407" s="875"/>
      <c r="S407" s="875"/>
      <c r="T407" s="875"/>
      <c r="U407" s="875"/>
      <c r="V407" s="875"/>
      <c r="W407" s="875"/>
      <c r="X407" s="875"/>
      <c r="Y407" s="875"/>
      <c r="Z407" s="875"/>
    </row>
    <row r="408" spans="1:26" ht="18.75">
      <c r="A408" s="995"/>
      <c r="B408" s="877"/>
      <c r="C408" s="996"/>
      <c r="D408" s="878" t="s">
        <v>21</v>
      </c>
      <c r="E408" s="877"/>
      <c r="F408" s="877"/>
      <c r="G408" s="879"/>
      <c r="H408" s="168" t="s">
        <v>12</v>
      </c>
      <c r="I408" s="997"/>
      <c r="J408" s="997"/>
      <c r="K408" s="998"/>
      <c r="L408" s="881">
        <f t="shared" ref="L408:N408" ca="1" si="179">L409+L410</f>
        <v>34000000</v>
      </c>
      <c r="M408" s="881">
        <f t="shared" ca="1" si="179"/>
        <v>34000000</v>
      </c>
      <c r="N408" s="881">
        <f t="shared" ca="1" si="179"/>
        <v>14346241</v>
      </c>
      <c r="O408" s="881">
        <f t="shared" ca="1" si="175"/>
        <v>42.194826470588232</v>
      </c>
      <c r="P408" s="881">
        <f t="shared" ca="1" si="176"/>
        <v>42.194826470588232</v>
      </c>
      <c r="Q408" s="868"/>
      <c r="R408" s="868"/>
      <c r="S408" s="868"/>
      <c r="T408" s="868"/>
      <c r="U408" s="868"/>
      <c r="V408" s="868"/>
      <c r="W408" s="868"/>
      <c r="X408" s="868"/>
      <c r="Y408" s="868"/>
      <c r="Z408" s="868"/>
    </row>
    <row r="409" spans="1:26" ht="19.5" hidden="1">
      <c r="A409" s="993"/>
      <c r="B409" s="883"/>
      <c r="C409" s="999"/>
      <c r="D409" s="883"/>
      <c r="E409" s="884" t="s">
        <v>18</v>
      </c>
      <c r="F409" s="883"/>
      <c r="G409" s="994"/>
      <c r="H409" s="165" t="s">
        <v>12</v>
      </c>
      <c r="I409" s="1000"/>
      <c r="J409" s="1000"/>
      <c r="K409" s="1001"/>
      <c r="L409" s="887">
        <v>0</v>
      </c>
      <c r="M409" s="887">
        <v>0</v>
      </c>
      <c r="N409" s="887">
        <v>0</v>
      </c>
      <c r="O409" s="887">
        <f t="shared" si="175"/>
        <v>0</v>
      </c>
      <c r="P409" s="887">
        <f t="shared" si="176"/>
        <v>0</v>
      </c>
      <c r="Q409" s="875"/>
      <c r="R409" s="875"/>
      <c r="S409" s="875"/>
      <c r="T409" s="875"/>
      <c r="U409" s="875"/>
      <c r="V409" s="875"/>
      <c r="W409" s="875"/>
      <c r="X409" s="875"/>
      <c r="Y409" s="875"/>
      <c r="Z409" s="875"/>
    </row>
    <row r="410" spans="1:26" ht="19.5" hidden="1">
      <c r="A410" s="993"/>
      <c r="B410" s="883"/>
      <c r="C410" s="999"/>
      <c r="D410" s="883"/>
      <c r="E410" s="884" t="s">
        <v>19</v>
      </c>
      <c r="F410" s="883"/>
      <c r="G410" s="994"/>
      <c r="H410" s="169" t="s">
        <v>12</v>
      </c>
      <c r="I410" s="1000"/>
      <c r="J410" s="1000"/>
      <c r="K410" s="1001"/>
      <c r="L410" s="887">
        <f ca="1">IFERROR(__xludf.DUMMYFUNCTION("IMPORTRANGE(""https://docs.google.com/spreadsheets/d/1MeEWN-I1oV_STSDYn1IFDPWt_1FKiwhDph83XaGc0o0/edit?usp=sharing"",""งบพรบ!FT75"")"),34000000)</f>
        <v>34000000</v>
      </c>
      <c r="M410" s="887">
        <f ca="1">IFERROR(__xludf.DUMMYFUNCTION("IMPORTRANGE(""https://docs.google.com/spreadsheets/d/1MeEWN-I1oV_STSDYn1IFDPWt_1FKiwhDph83XaGc0o0/edit?usp=sharing"",""งบพรบ!FW75"")"),34000000)</f>
        <v>34000000</v>
      </c>
      <c r="N410" s="887">
        <f ca="1">IFERROR(__xludf.DUMMYFUNCTION("IMPORTRANGE(""https://docs.google.com/spreadsheets/d/1MeEWN-I1oV_STSDYn1IFDPWt_1FKiwhDph83XaGc0o0/edit?usp=sharing"",""งบพรบ!FY75"")"),14346241)</f>
        <v>14346241</v>
      </c>
      <c r="O410" s="887">
        <f t="shared" ca="1" si="175"/>
        <v>42.194826470588232</v>
      </c>
      <c r="P410" s="887">
        <f t="shared" ca="1" si="176"/>
        <v>42.194826470588232</v>
      </c>
      <c r="Q410" s="875"/>
      <c r="R410" s="875"/>
      <c r="S410" s="875"/>
      <c r="T410" s="875"/>
      <c r="U410" s="875"/>
      <c r="V410" s="875"/>
      <c r="W410" s="875"/>
      <c r="X410" s="875"/>
      <c r="Y410" s="875"/>
      <c r="Z410" s="875"/>
    </row>
    <row r="411" spans="1:26" ht="19.5">
      <c r="A411" s="1002"/>
      <c r="B411" s="1003"/>
      <c r="C411" s="999" t="s">
        <v>16</v>
      </c>
      <c r="D411" s="1264" t="s">
        <v>38</v>
      </c>
      <c r="E411" s="1265"/>
      <c r="F411" s="1265"/>
      <c r="G411" s="1266"/>
      <c r="H411" s="1007"/>
      <c r="I411" s="880"/>
      <c r="J411" s="880"/>
      <c r="K411" s="881"/>
      <c r="L411" s="998"/>
      <c r="M411" s="998"/>
      <c r="N411" s="998"/>
      <c r="O411" s="998"/>
      <c r="P411" s="998"/>
    </row>
    <row r="412" spans="1:26" ht="18.75">
      <c r="A412" s="1002"/>
      <c r="B412" s="1010"/>
      <c r="C412" s="1010"/>
      <c r="D412" s="1009" t="s">
        <v>178</v>
      </c>
      <c r="E412" s="1010"/>
      <c r="F412" s="1010"/>
      <c r="G412" s="1011"/>
      <c r="H412" s="537" t="s">
        <v>66</v>
      </c>
      <c r="I412" s="880">
        <v>15</v>
      </c>
      <c r="J412" s="1012">
        <v>5</v>
      </c>
      <c r="K412" s="881">
        <f t="shared" ref="K412:K413" si="180">IF(I412&gt;0,J412*100/I412,0)</f>
        <v>33.333333333333336</v>
      </c>
      <c r="L412" s="998"/>
      <c r="M412" s="998"/>
      <c r="N412" s="998"/>
      <c r="O412" s="998"/>
      <c r="P412" s="998"/>
    </row>
    <row r="413" spans="1:26" ht="19.5" thickBot="1">
      <c r="A413" s="1267"/>
      <c r="B413" s="1268"/>
      <c r="C413" s="1268"/>
      <c r="D413" s="1269" t="s">
        <v>179</v>
      </c>
      <c r="E413" s="1268"/>
      <c r="F413" s="1268"/>
      <c r="G413" s="1270"/>
      <c r="H413" s="542" t="s">
        <v>180</v>
      </c>
      <c r="I413" s="1271">
        <v>0</v>
      </c>
      <c r="J413" s="1272">
        <v>0</v>
      </c>
      <c r="K413" s="1273">
        <f t="shared" si="180"/>
        <v>0</v>
      </c>
      <c r="L413" s="1274"/>
      <c r="M413" s="1274"/>
      <c r="N413" s="1274"/>
      <c r="O413" s="1274"/>
      <c r="P413" s="1274"/>
    </row>
    <row r="414" spans="1:26" ht="19.5">
      <c r="A414" s="1275" t="s">
        <v>181</v>
      </c>
      <c r="B414" s="1276"/>
      <c r="C414" s="1276"/>
      <c r="D414" s="1276"/>
      <c r="E414" s="1276"/>
      <c r="F414" s="1276"/>
      <c r="G414" s="1277"/>
      <c r="H414" s="1278"/>
      <c r="I414" s="1279"/>
      <c r="J414" s="1279"/>
      <c r="K414" s="1280"/>
      <c r="L414" s="1281">
        <f t="shared" ref="L414:N414" ca="1" si="181">L419+L444+L467+L502+L523+L544+L629+L655+L685+L737+L754+L770+L786+L805</f>
        <v>1733577</v>
      </c>
      <c r="M414" s="1281">
        <f t="shared" ca="1" si="181"/>
        <v>1733577</v>
      </c>
      <c r="N414" s="1281">
        <f t="shared" si="181"/>
        <v>512550.34</v>
      </c>
      <c r="O414" s="1281">
        <f ca="1">IF(L414&gt;0,N414*100/L414,0)</f>
        <v>29.566055617950632</v>
      </c>
      <c r="P414" s="1281">
        <f ca="1">IF(M414&gt;0,N414*100/M414,0)</f>
        <v>29.566055617950632</v>
      </c>
    </row>
    <row r="415" spans="1:26" ht="19.5">
      <c r="A415" s="1282" t="s">
        <v>182</v>
      </c>
      <c r="B415" s="1283"/>
      <c r="C415" s="1283"/>
      <c r="D415" s="1283"/>
      <c r="E415" s="1283"/>
      <c r="F415" s="1283"/>
      <c r="G415" s="1283"/>
      <c r="H415" s="1284"/>
      <c r="I415" s="1285"/>
      <c r="J415" s="1285"/>
      <c r="K415" s="1286"/>
      <c r="L415" s="1287"/>
      <c r="M415" s="1287"/>
      <c r="N415" s="1287"/>
      <c r="O415" s="1287"/>
      <c r="P415" s="1287"/>
    </row>
    <row r="416" spans="1:26" ht="19.5">
      <c r="A416" s="1282" t="s">
        <v>183</v>
      </c>
      <c r="B416" s="1283"/>
      <c r="C416" s="1283"/>
      <c r="D416" s="1283"/>
      <c r="E416" s="1283"/>
      <c r="F416" s="1283"/>
      <c r="G416" s="1288"/>
      <c r="H416" s="1289"/>
      <c r="I416" s="1290"/>
      <c r="J416" s="1290"/>
      <c r="K416" s="1287"/>
      <c r="L416" s="1287"/>
      <c r="M416" s="1287"/>
      <c r="N416" s="1287"/>
      <c r="O416" s="1287"/>
      <c r="P416" s="1287"/>
    </row>
    <row r="417" spans="1:26" ht="39">
      <c r="A417" s="563">
        <v>1</v>
      </c>
      <c r="B417" s="1291" t="s">
        <v>184</v>
      </c>
      <c r="C417" s="1291"/>
      <c r="D417" s="1292"/>
      <c r="E417" s="1292"/>
      <c r="F417" s="1292"/>
      <c r="G417" s="1293"/>
      <c r="H417" s="568" t="s">
        <v>35</v>
      </c>
      <c r="I417" s="1294">
        <f t="shared" ref="I417:J418" ca="1" si="182">I433</f>
        <v>15</v>
      </c>
      <c r="J417" s="1294">
        <f t="shared" ca="1" si="182"/>
        <v>15</v>
      </c>
      <c r="K417" s="1295">
        <f t="shared" ref="K417:K418" ca="1" si="183">IF(I417&gt;0,J417*100/I417,0)</f>
        <v>100</v>
      </c>
      <c r="L417" s="1296"/>
      <c r="M417" s="1296"/>
      <c r="N417" s="1296"/>
      <c r="O417" s="1296"/>
      <c r="P417" s="1296"/>
    </row>
    <row r="418" spans="1:26" ht="19.5">
      <c r="A418" s="1297"/>
      <c r="B418" s="563"/>
      <c r="C418" s="1291"/>
      <c r="D418" s="1292"/>
      <c r="E418" s="1292"/>
      <c r="F418" s="1292"/>
      <c r="G418" s="1293"/>
      <c r="H418" s="568" t="s">
        <v>49</v>
      </c>
      <c r="I418" s="1294">
        <f t="shared" ca="1" si="182"/>
        <v>1</v>
      </c>
      <c r="J418" s="1294">
        <f t="shared" si="182"/>
        <v>1</v>
      </c>
      <c r="K418" s="1295">
        <f t="shared" ca="1" si="183"/>
        <v>100</v>
      </c>
      <c r="L418" s="1296"/>
      <c r="M418" s="1296"/>
      <c r="N418" s="1296"/>
      <c r="O418" s="1296"/>
      <c r="P418" s="1296"/>
    </row>
    <row r="419" spans="1:26" ht="19.5">
      <c r="A419" s="985"/>
      <c r="B419" s="986"/>
      <c r="C419" s="986" t="s">
        <v>16</v>
      </c>
      <c r="D419" s="1298" t="s">
        <v>17</v>
      </c>
      <c r="E419" s="846"/>
      <c r="F419" s="846"/>
      <c r="G419" s="989"/>
      <c r="H419" s="275" t="s">
        <v>12</v>
      </c>
      <c r="I419" s="990"/>
      <c r="J419" s="990"/>
      <c r="K419" s="991"/>
      <c r="L419" s="992">
        <f t="shared" ref="L419:N419" ca="1" si="184">L420+L421</f>
        <v>66560</v>
      </c>
      <c r="M419" s="992">
        <f t="shared" ca="1" si="184"/>
        <v>66560</v>
      </c>
      <c r="N419" s="992">
        <f t="shared" si="184"/>
        <v>65518</v>
      </c>
      <c r="O419" s="992">
        <f t="shared" ref="O419:O424" ca="1" si="185">IF(L419&gt;0,N419*100/L419,0)</f>
        <v>98.434495192307693</v>
      </c>
      <c r="P419" s="992">
        <f t="shared" ref="P419:P424" ca="1" si="186">IF(M419&gt;0,N419*100/M419,0)</f>
        <v>98.434495192307693</v>
      </c>
      <c r="Q419" s="868"/>
      <c r="R419" s="868"/>
      <c r="S419" s="868"/>
      <c r="T419" s="868"/>
      <c r="U419" s="868"/>
      <c r="V419" s="868"/>
      <c r="W419" s="868"/>
      <c r="X419" s="868"/>
      <c r="Y419" s="868"/>
      <c r="Z419" s="868"/>
    </row>
    <row r="420" spans="1:26" ht="18.75" hidden="1">
      <c r="A420" s="993"/>
      <c r="B420" s="883"/>
      <c r="C420" s="883"/>
      <c r="D420" s="1114"/>
      <c r="E420" s="884" t="s">
        <v>185</v>
      </c>
      <c r="F420" s="883"/>
      <c r="G420" s="994"/>
      <c r="H420" s="165" t="s">
        <v>12</v>
      </c>
      <c r="I420" s="886"/>
      <c r="J420" s="886"/>
      <c r="K420" s="887"/>
      <c r="L420" s="887">
        <f t="shared" ref="L420:N421" si="187">L423+L430</f>
        <v>0</v>
      </c>
      <c r="M420" s="887">
        <f t="shared" si="187"/>
        <v>0</v>
      </c>
      <c r="N420" s="887">
        <f t="shared" si="187"/>
        <v>0</v>
      </c>
      <c r="O420" s="887">
        <f t="shared" si="185"/>
        <v>0</v>
      </c>
      <c r="P420" s="887">
        <f t="shared" si="186"/>
        <v>0</v>
      </c>
      <c r="Q420" s="875"/>
      <c r="R420" s="875"/>
      <c r="S420" s="875"/>
      <c r="T420" s="875"/>
      <c r="U420" s="875"/>
      <c r="V420" s="875"/>
      <c r="W420" s="875"/>
      <c r="X420" s="875"/>
      <c r="Y420" s="875"/>
      <c r="Z420" s="875"/>
    </row>
    <row r="421" spans="1:26" ht="18.75" hidden="1">
      <c r="A421" s="993"/>
      <c r="B421" s="883"/>
      <c r="C421" s="883"/>
      <c r="D421" s="1114"/>
      <c r="E421" s="884" t="s">
        <v>186</v>
      </c>
      <c r="F421" s="883"/>
      <c r="G421" s="994"/>
      <c r="H421" s="165" t="s">
        <v>12</v>
      </c>
      <c r="I421" s="886"/>
      <c r="J421" s="886"/>
      <c r="K421" s="887"/>
      <c r="L421" s="887">
        <f t="shared" ca="1" si="187"/>
        <v>66560</v>
      </c>
      <c r="M421" s="887">
        <f t="shared" ca="1" si="187"/>
        <v>66560</v>
      </c>
      <c r="N421" s="887">
        <f t="shared" si="187"/>
        <v>65518</v>
      </c>
      <c r="O421" s="887">
        <f t="shared" ca="1" si="185"/>
        <v>98.434495192307693</v>
      </c>
      <c r="P421" s="887">
        <f t="shared" ca="1" si="186"/>
        <v>98.434495192307693</v>
      </c>
      <c r="Q421" s="875"/>
      <c r="R421" s="875"/>
      <c r="S421" s="875"/>
      <c r="T421" s="875"/>
      <c r="U421" s="875"/>
      <c r="V421" s="875"/>
      <c r="W421" s="875"/>
      <c r="X421" s="875"/>
      <c r="Y421" s="875"/>
      <c r="Z421" s="875"/>
    </row>
    <row r="422" spans="1:26" ht="18.75">
      <c r="A422" s="995"/>
      <c r="B422" s="1084"/>
      <c r="C422" s="877"/>
      <c r="D422" s="878" t="s">
        <v>20</v>
      </c>
      <c r="E422" s="877"/>
      <c r="F422" s="877"/>
      <c r="G422" s="879"/>
      <c r="H422" s="161" t="s">
        <v>12</v>
      </c>
      <c r="I422" s="997"/>
      <c r="J422" s="997"/>
      <c r="K422" s="998"/>
      <c r="L422" s="881">
        <f t="shared" ref="L422:N422" ca="1" si="188">L423+L424</f>
        <v>66560</v>
      </c>
      <c r="M422" s="881">
        <f t="shared" ca="1" si="188"/>
        <v>66560</v>
      </c>
      <c r="N422" s="881">
        <f t="shared" si="188"/>
        <v>65518</v>
      </c>
      <c r="O422" s="881">
        <f t="shared" ca="1" si="185"/>
        <v>98.434495192307693</v>
      </c>
      <c r="P422" s="881">
        <f t="shared" ca="1" si="186"/>
        <v>98.434495192307693</v>
      </c>
      <c r="Q422" s="868"/>
      <c r="R422" s="868"/>
      <c r="S422" s="868"/>
      <c r="T422" s="868"/>
      <c r="U422" s="868"/>
      <c r="V422" s="868"/>
      <c r="W422" s="868"/>
      <c r="X422" s="868"/>
      <c r="Y422" s="868"/>
      <c r="Z422" s="868"/>
    </row>
    <row r="423" spans="1:26" ht="18.75" hidden="1">
      <c r="A423" s="993"/>
      <c r="B423" s="883"/>
      <c r="C423" s="883"/>
      <c r="D423" s="1114"/>
      <c r="E423" s="884" t="s">
        <v>185</v>
      </c>
      <c r="F423" s="883"/>
      <c r="G423" s="994"/>
      <c r="H423" s="165" t="s">
        <v>12</v>
      </c>
      <c r="I423" s="886"/>
      <c r="J423" s="886"/>
      <c r="K423" s="887"/>
      <c r="L423" s="887">
        <v>0</v>
      </c>
      <c r="M423" s="887">
        <v>0</v>
      </c>
      <c r="N423" s="887">
        <v>0</v>
      </c>
      <c r="O423" s="887">
        <f t="shared" si="185"/>
        <v>0</v>
      </c>
      <c r="P423" s="887">
        <f t="shared" si="186"/>
        <v>0</v>
      </c>
      <c r="Q423" s="875"/>
      <c r="R423" s="875"/>
      <c r="S423" s="875"/>
      <c r="T423" s="875"/>
      <c r="U423" s="875"/>
      <c r="V423" s="875"/>
      <c r="W423" s="875"/>
      <c r="X423" s="875"/>
      <c r="Y423" s="875"/>
      <c r="Z423" s="875"/>
    </row>
    <row r="424" spans="1:26" ht="18.75" hidden="1">
      <c r="A424" s="993"/>
      <c r="B424" s="883"/>
      <c r="C424" s="883"/>
      <c r="D424" s="1114"/>
      <c r="E424" s="884" t="s">
        <v>186</v>
      </c>
      <c r="F424" s="883"/>
      <c r="G424" s="994"/>
      <c r="H424" s="165" t="s">
        <v>12</v>
      </c>
      <c r="I424" s="886"/>
      <c r="J424" s="886"/>
      <c r="K424" s="887"/>
      <c r="L424" s="887">
        <f ca="1">IFERROR(__xludf.DUMMYFUNCTION("IMPORTRANGE(""https://docs.google.com/spreadsheets/d/1QqKyyYR6Q21VydFLVH3TRQUabQu_ym0Zz7PgGX0-kHA/edit?usp=sharing"",""แผน!EY75"")"),66560)</f>
        <v>66560</v>
      </c>
      <c r="M424" s="887">
        <f ca="1">L424</f>
        <v>66560</v>
      </c>
      <c r="N424" s="887">
        <f>N425+N426+N427+N428</f>
        <v>65518</v>
      </c>
      <c r="O424" s="887">
        <f t="shared" ca="1" si="185"/>
        <v>98.434495192307693</v>
      </c>
      <c r="P424" s="887">
        <f t="shared" ca="1" si="186"/>
        <v>98.434495192307693</v>
      </c>
      <c r="Q424" s="875"/>
      <c r="R424" s="875"/>
      <c r="S424" s="875"/>
      <c r="T424" s="875"/>
      <c r="U424" s="875"/>
      <c r="V424" s="875"/>
      <c r="W424" s="875"/>
      <c r="X424" s="875"/>
      <c r="Y424" s="875"/>
      <c r="Z424" s="875"/>
    </row>
    <row r="425" spans="1:26" ht="18.75">
      <c r="A425" s="1299"/>
      <c r="B425" s="1300"/>
      <c r="C425" s="1301"/>
      <c r="D425" s="1301"/>
      <c r="E425" s="1301"/>
      <c r="F425" s="1301" t="s">
        <v>187</v>
      </c>
      <c r="G425" s="1016"/>
      <c r="H425" s="161" t="s">
        <v>12</v>
      </c>
      <c r="I425" s="880"/>
      <c r="J425" s="880"/>
      <c r="K425" s="881"/>
      <c r="L425" s="881"/>
      <c r="M425" s="881"/>
      <c r="N425" s="1085">
        <v>42295</v>
      </c>
      <c r="O425" s="881"/>
      <c r="P425" s="881"/>
      <c r="Q425" s="1302"/>
      <c r="R425" s="1302"/>
      <c r="S425" s="1302"/>
      <c r="T425" s="1302"/>
      <c r="U425" s="1302"/>
      <c r="V425" s="1302"/>
      <c r="W425" s="1302"/>
      <c r="X425" s="1302"/>
      <c r="Y425" s="1302"/>
      <c r="Z425" s="1302"/>
    </row>
    <row r="426" spans="1:26" ht="18.75">
      <c r="A426" s="1299"/>
      <c r="B426" s="1300"/>
      <c r="C426" s="1301"/>
      <c r="D426" s="1301"/>
      <c r="E426" s="1301"/>
      <c r="F426" s="1301" t="s">
        <v>188</v>
      </c>
      <c r="G426" s="1016"/>
      <c r="H426" s="161" t="s">
        <v>12</v>
      </c>
      <c r="I426" s="880"/>
      <c r="J426" s="880"/>
      <c r="K426" s="881"/>
      <c r="L426" s="881"/>
      <c r="M426" s="881"/>
      <c r="N426" s="1085">
        <v>0</v>
      </c>
      <c r="O426" s="881"/>
      <c r="P426" s="881"/>
      <c r="Q426" s="1302"/>
      <c r="R426" s="1302"/>
      <c r="S426" s="1302"/>
      <c r="T426" s="1302"/>
      <c r="U426" s="1302"/>
      <c r="V426" s="1302"/>
      <c r="W426" s="1302"/>
      <c r="X426" s="1302"/>
      <c r="Y426" s="1302"/>
      <c r="Z426" s="1302"/>
    </row>
    <row r="427" spans="1:26" ht="18.75">
      <c r="A427" s="1299"/>
      <c r="B427" s="1300"/>
      <c r="C427" s="1301"/>
      <c r="D427" s="1301"/>
      <c r="E427" s="1301"/>
      <c r="F427" s="1301" t="s">
        <v>189</v>
      </c>
      <c r="G427" s="1016"/>
      <c r="H427" s="161" t="s">
        <v>12</v>
      </c>
      <c r="I427" s="880"/>
      <c r="J427" s="880"/>
      <c r="K427" s="881"/>
      <c r="L427" s="881"/>
      <c r="M427" s="881"/>
      <c r="N427" s="1085">
        <v>0</v>
      </c>
      <c r="O427" s="881"/>
      <c r="P427" s="881"/>
      <c r="Q427" s="1302"/>
      <c r="R427" s="1302"/>
      <c r="S427" s="1302"/>
      <c r="T427" s="1302"/>
      <c r="U427" s="1302"/>
      <c r="V427" s="1302"/>
      <c r="W427" s="1302"/>
      <c r="X427" s="1302"/>
      <c r="Y427" s="1302"/>
      <c r="Z427" s="1302"/>
    </row>
    <row r="428" spans="1:26" ht="18.75">
      <c r="A428" s="1086"/>
      <c r="B428" s="1084"/>
      <c r="C428" s="877"/>
      <c r="D428" s="877"/>
      <c r="E428" s="877"/>
      <c r="F428" s="996" t="s">
        <v>190</v>
      </c>
      <c r="G428" s="1030"/>
      <c r="H428" s="161" t="s">
        <v>12</v>
      </c>
      <c r="I428" s="880"/>
      <c r="J428" s="880"/>
      <c r="K428" s="881"/>
      <c r="L428" s="881"/>
      <c r="M428" s="881"/>
      <c r="N428" s="1085">
        <v>23223</v>
      </c>
      <c r="O428" s="881"/>
      <c r="P428" s="881"/>
      <c r="Q428" s="868"/>
      <c r="R428" s="868"/>
      <c r="S428" s="868"/>
      <c r="T428" s="868"/>
      <c r="U428" s="868"/>
      <c r="V428" s="868"/>
      <c r="W428" s="868"/>
      <c r="X428" s="868"/>
      <c r="Y428" s="868"/>
      <c r="Z428" s="868"/>
    </row>
    <row r="429" spans="1:26" ht="18.75">
      <c r="A429" s="995"/>
      <c r="B429" s="1084"/>
      <c r="C429" s="877"/>
      <c r="D429" s="878" t="s">
        <v>21</v>
      </c>
      <c r="E429" s="877"/>
      <c r="F429" s="877"/>
      <c r="G429" s="879"/>
      <c r="H429" s="168" t="s">
        <v>12</v>
      </c>
      <c r="I429" s="997"/>
      <c r="J429" s="997"/>
      <c r="K429" s="998"/>
      <c r="L429" s="881">
        <f t="shared" ref="L429:N429" ca="1" si="189">L430+L431</f>
        <v>0</v>
      </c>
      <c r="M429" s="881">
        <f t="shared" si="189"/>
        <v>0</v>
      </c>
      <c r="N429" s="881">
        <f t="shared" si="189"/>
        <v>0</v>
      </c>
      <c r="O429" s="881">
        <f t="shared" ref="O429:O431" ca="1" si="190">IF(L429&gt;0,N429*100/L429,0)</f>
        <v>0</v>
      </c>
      <c r="P429" s="881">
        <f t="shared" ref="P429:P431" si="191">IF(M429&gt;0,N429*100/M429,0)</f>
        <v>0</v>
      </c>
      <c r="Q429" s="868"/>
      <c r="R429" s="868"/>
      <c r="S429" s="868"/>
      <c r="T429" s="868"/>
      <c r="U429" s="868"/>
      <c r="V429" s="868"/>
      <c r="W429" s="868"/>
      <c r="X429" s="868"/>
      <c r="Y429" s="868"/>
      <c r="Z429" s="868"/>
    </row>
    <row r="430" spans="1:26" ht="18.75" hidden="1">
      <c r="A430" s="993"/>
      <c r="B430" s="1105"/>
      <c r="C430" s="883"/>
      <c r="D430" s="883"/>
      <c r="E430" s="884" t="s">
        <v>18</v>
      </c>
      <c r="F430" s="883"/>
      <c r="G430" s="885"/>
      <c r="H430" s="165" t="s">
        <v>12</v>
      </c>
      <c r="I430" s="1000"/>
      <c r="J430" s="1000"/>
      <c r="K430" s="1001"/>
      <c r="L430" s="887">
        <v>0</v>
      </c>
      <c r="M430" s="887">
        <v>0</v>
      </c>
      <c r="N430" s="887">
        <v>0</v>
      </c>
      <c r="O430" s="887">
        <f t="shared" si="190"/>
        <v>0</v>
      </c>
      <c r="P430" s="887">
        <f t="shared" si="191"/>
        <v>0</v>
      </c>
      <c r="Q430" s="875"/>
      <c r="R430" s="875"/>
      <c r="S430" s="875"/>
      <c r="T430" s="875"/>
      <c r="U430" s="875"/>
      <c r="V430" s="875"/>
      <c r="W430" s="875"/>
      <c r="X430" s="875"/>
      <c r="Y430" s="875"/>
      <c r="Z430" s="875"/>
    </row>
    <row r="431" spans="1:26" ht="18.75" hidden="1">
      <c r="A431" s="993"/>
      <c r="B431" s="1105"/>
      <c r="C431" s="883"/>
      <c r="D431" s="883"/>
      <c r="E431" s="884" t="s">
        <v>19</v>
      </c>
      <c r="F431" s="883"/>
      <c r="G431" s="885"/>
      <c r="H431" s="169" t="s">
        <v>12</v>
      </c>
      <c r="I431" s="1000"/>
      <c r="J431" s="1000"/>
      <c r="K431" s="1001"/>
      <c r="L431" s="887">
        <f ca="1">IFERROR(__xludf.DUMMYFUNCTION("IMPORTRANGE(""https://docs.google.com/spreadsheets/d/1QqKyyYR6Q21VydFLVH3TRQUabQu_ym0Zz7PgGX0-kHA/edit?usp=sharing"",""แผน!FB75"")"),0)</f>
        <v>0</v>
      </c>
      <c r="M431" s="887">
        <v>0</v>
      </c>
      <c r="N431" s="887">
        <v>0</v>
      </c>
      <c r="O431" s="887">
        <f t="shared" ca="1" si="190"/>
        <v>0</v>
      </c>
      <c r="P431" s="887">
        <f t="shared" si="191"/>
        <v>0</v>
      </c>
      <c r="Q431" s="875"/>
      <c r="R431" s="875"/>
      <c r="S431" s="875"/>
      <c r="T431" s="875"/>
      <c r="U431" s="875"/>
      <c r="V431" s="875"/>
      <c r="W431" s="875"/>
      <c r="X431" s="875"/>
      <c r="Y431" s="875"/>
      <c r="Z431" s="875"/>
    </row>
    <row r="432" spans="1:26" ht="19.5">
      <c r="A432" s="1165"/>
      <c r="B432" s="1166"/>
      <c r="C432" s="986" t="s">
        <v>16</v>
      </c>
      <c r="D432" s="1303" t="s">
        <v>38</v>
      </c>
      <c r="E432" s="1304"/>
      <c r="F432" s="1304"/>
      <c r="G432" s="1305"/>
      <c r="H432" s="1306"/>
      <c r="I432" s="990"/>
      <c r="J432" s="990"/>
      <c r="K432" s="991"/>
      <c r="L432" s="991"/>
      <c r="M432" s="991"/>
      <c r="N432" s="991"/>
      <c r="O432" s="991"/>
      <c r="P432" s="991"/>
      <c r="Q432" s="868"/>
      <c r="R432" s="868"/>
      <c r="S432" s="868"/>
      <c r="T432" s="868"/>
      <c r="U432" s="868"/>
      <c r="V432" s="868"/>
      <c r="W432" s="868"/>
      <c r="X432" s="868"/>
      <c r="Y432" s="868"/>
      <c r="Z432" s="868"/>
    </row>
    <row r="433" spans="1:26" ht="19.5">
      <c r="A433" s="1002"/>
      <c r="B433" s="1003"/>
      <c r="C433" s="1003"/>
      <c r="D433" s="1013" t="s">
        <v>191</v>
      </c>
      <c r="E433" s="1010"/>
      <c r="F433" s="1010"/>
      <c r="G433" s="1011"/>
      <c r="H433" s="196" t="s">
        <v>35</v>
      </c>
      <c r="I433" s="1019">
        <f ca="1">I435</f>
        <v>15</v>
      </c>
      <c r="J433" s="1019">
        <f ca="1">IF(AND(J435=I435,J437=I437,J439=I439),I437+I439,IF(AND(J435=I437,J437=I437),I437,IF(AND(J435=I439,J439=I439),I439,0)))</f>
        <v>15</v>
      </c>
      <c r="K433" s="1020">
        <f t="shared" ref="K433:K435" ca="1" si="192">IF(I433&gt;0,J433*100/I433,0)</f>
        <v>100</v>
      </c>
      <c r="L433" s="881"/>
      <c r="M433" s="881"/>
      <c r="N433" s="881"/>
      <c r="O433" s="881"/>
      <c r="P433" s="881"/>
      <c r="Q433" s="868"/>
      <c r="R433" s="868"/>
      <c r="S433" s="868"/>
      <c r="T433" s="868"/>
      <c r="U433" s="868"/>
      <c r="V433" s="868"/>
      <c r="W433" s="868"/>
      <c r="X433" s="868"/>
      <c r="Y433" s="868"/>
      <c r="Z433" s="868"/>
    </row>
    <row r="434" spans="1:26" ht="19.5">
      <c r="A434" s="1002"/>
      <c r="B434" s="1003"/>
      <c r="C434" s="1003"/>
      <c r="D434" s="1013" t="s">
        <v>192</v>
      </c>
      <c r="E434" s="1010"/>
      <c r="F434" s="1010"/>
      <c r="G434" s="1011"/>
      <c r="H434" s="196" t="s">
        <v>49</v>
      </c>
      <c r="I434" s="1019">
        <f t="shared" ref="I434:J434" ca="1" si="193">I438+I440</f>
        <v>1</v>
      </c>
      <c r="J434" s="1019">
        <f t="shared" si="193"/>
        <v>1</v>
      </c>
      <c r="K434" s="1020">
        <f t="shared" ca="1" si="192"/>
        <v>100</v>
      </c>
      <c r="L434" s="881"/>
      <c r="M434" s="881"/>
      <c r="N434" s="881"/>
      <c r="O434" s="881"/>
      <c r="P434" s="881"/>
      <c r="Q434" s="868"/>
      <c r="R434" s="868"/>
      <c r="S434" s="868"/>
      <c r="T434" s="868"/>
      <c r="U434" s="868"/>
      <c r="V434" s="868"/>
      <c r="W434" s="868"/>
      <c r="X434" s="868"/>
      <c r="Y434" s="868"/>
      <c r="Z434" s="868"/>
    </row>
    <row r="435" spans="1:26" ht="18.75">
      <c r="A435" s="1002"/>
      <c r="B435" s="1003"/>
      <c r="C435" s="1003"/>
      <c r="D435" s="1009" t="s">
        <v>193</v>
      </c>
      <c r="E435" s="1010"/>
      <c r="F435" s="1010"/>
      <c r="G435" s="1011"/>
      <c r="H435" s="622" t="s">
        <v>35</v>
      </c>
      <c r="I435" s="582">
        <f ca="1">IFERROR(__xludf.DUMMYFUNCTION("IMPORTRANGE(""https://docs.google.com/spreadsheets/d/1QqKyyYR6Q21VydFLVH3TRQUabQu_ym0Zz7PgGX0-kHA/edit?usp=sharing"",""แผน!FC75"")"),15)</f>
        <v>15</v>
      </c>
      <c r="J435" s="583">
        <v>15</v>
      </c>
      <c r="K435" s="881">
        <f t="shared" ca="1" si="192"/>
        <v>100</v>
      </c>
      <c r="L435" s="881"/>
      <c r="M435" s="881"/>
      <c r="N435" s="881"/>
      <c r="O435" s="881"/>
      <c r="P435" s="881"/>
      <c r="Q435" s="868"/>
      <c r="R435" s="868"/>
      <c r="S435" s="868"/>
      <c r="T435" s="868"/>
      <c r="U435" s="868"/>
      <c r="V435" s="868"/>
      <c r="W435" s="868"/>
      <c r="X435" s="868"/>
      <c r="Y435" s="868"/>
      <c r="Z435" s="868"/>
    </row>
    <row r="436" spans="1:26" ht="18.75">
      <c r="A436" s="1002"/>
      <c r="B436" s="1003"/>
      <c r="C436" s="1003"/>
      <c r="D436" s="1009" t="s">
        <v>194</v>
      </c>
      <c r="E436" s="1010"/>
      <c r="F436" s="1010"/>
      <c r="G436" s="1011"/>
      <c r="H436" s="622"/>
      <c r="I436" s="880"/>
      <c r="J436" s="880"/>
      <c r="K436" s="881"/>
      <c r="L436" s="881"/>
      <c r="M436" s="881"/>
      <c r="N436" s="881"/>
      <c r="O436" s="881"/>
      <c r="P436" s="881"/>
      <c r="Q436" s="868"/>
      <c r="R436" s="868"/>
      <c r="S436" s="868"/>
      <c r="T436" s="868"/>
      <c r="U436" s="868"/>
      <c r="V436" s="868"/>
      <c r="W436" s="868"/>
      <c r="X436" s="868"/>
      <c r="Y436" s="868"/>
      <c r="Z436" s="868"/>
    </row>
    <row r="437" spans="1:26" ht="18.75">
      <c r="A437" s="1002"/>
      <c r="B437" s="1003"/>
      <c r="C437" s="1003"/>
      <c r="D437" s="1009" t="s">
        <v>195</v>
      </c>
      <c r="E437" s="1010"/>
      <c r="F437" s="1010"/>
      <c r="G437" s="1011"/>
      <c r="H437" s="622" t="s">
        <v>35</v>
      </c>
      <c r="I437" s="582">
        <f ca="1">IFERROR(__xludf.DUMMYFUNCTION("IMPORTRANGE(""https://docs.google.com/spreadsheets/d/1QqKyyYR6Q21VydFLVH3TRQUabQu_ym0Zz7PgGX0-kHA/edit?usp=sharing"",""แผน!FD75"")"),0)</f>
        <v>0</v>
      </c>
      <c r="J437" s="583">
        <v>0</v>
      </c>
      <c r="K437" s="881">
        <f t="shared" ref="K437:K443" ca="1" si="194">IF(I437&gt;0,J437*100/I437,0)</f>
        <v>0</v>
      </c>
      <c r="L437" s="881"/>
      <c r="M437" s="881"/>
      <c r="N437" s="881"/>
      <c r="O437" s="881"/>
      <c r="P437" s="881"/>
      <c r="Q437" s="868"/>
      <c r="R437" s="868"/>
      <c r="S437" s="868"/>
      <c r="T437" s="868"/>
      <c r="U437" s="868"/>
      <c r="V437" s="868"/>
      <c r="W437" s="868"/>
      <c r="X437" s="868"/>
      <c r="Y437" s="868"/>
      <c r="Z437" s="868"/>
    </row>
    <row r="438" spans="1:26" ht="18.75">
      <c r="A438" s="1002"/>
      <c r="B438" s="1003"/>
      <c r="C438" s="1003"/>
      <c r="D438" s="1009" t="s">
        <v>196</v>
      </c>
      <c r="E438" s="1010"/>
      <c r="F438" s="1010"/>
      <c r="G438" s="1011"/>
      <c r="H438" s="622" t="s">
        <v>49</v>
      </c>
      <c r="I438" s="880">
        <f ca="1">IFERROR(__xludf.DUMMYFUNCTION("IMPORTRANGE(""https://docs.google.com/spreadsheets/d/1QqKyyYR6Q21VydFLVH3TRQUabQu_ym0Zz7PgGX0-kHA/edit?usp=sharing"",""แผน!FE75"")"),0)</f>
        <v>0</v>
      </c>
      <c r="J438" s="1012">
        <v>0</v>
      </c>
      <c r="K438" s="881">
        <f t="shared" ca="1" si="194"/>
        <v>0</v>
      </c>
      <c r="L438" s="881"/>
      <c r="M438" s="881"/>
      <c r="N438" s="881"/>
      <c r="O438" s="881"/>
      <c r="P438" s="881"/>
      <c r="Q438" s="868"/>
      <c r="R438" s="868"/>
      <c r="S438" s="868"/>
      <c r="T438" s="868"/>
      <c r="U438" s="868"/>
      <c r="V438" s="868"/>
      <c r="W438" s="868"/>
      <c r="X438" s="868"/>
      <c r="Y438" s="868"/>
      <c r="Z438" s="868"/>
    </row>
    <row r="439" spans="1:26" ht="18.75">
      <c r="A439" s="1002"/>
      <c r="B439" s="1003"/>
      <c r="C439" s="1003"/>
      <c r="D439" s="1009" t="s">
        <v>197</v>
      </c>
      <c r="E439" s="1010"/>
      <c r="F439" s="1010"/>
      <c r="G439" s="1011"/>
      <c r="H439" s="622" t="s">
        <v>35</v>
      </c>
      <c r="I439" s="582">
        <f ca="1">IFERROR(__xludf.DUMMYFUNCTION("IMPORTRANGE(""https://docs.google.com/spreadsheets/d/1QqKyyYR6Q21VydFLVH3TRQUabQu_ym0Zz7PgGX0-kHA/edit?usp=sharing"",""แผน!FF75"")"),15)</f>
        <v>15</v>
      </c>
      <c r="J439" s="583">
        <v>15</v>
      </c>
      <c r="K439" s="881">
        <f t="shared" ca="1" si="194"/>
        <v>100</v>
      </c>
      <c r="L439" s="881"/>
      <c r="M439" s="881"/>
      <c r="N439" s="881"/>
      <c r="O439" s="881"/>
      <c r="P439" s="881"/>
      <c r="Q439" s="868"/>
      <c r="R439" s="868"/>
      <c r="S439" s="868"/>
      <c r="T439" s="868"/>
      <c r="U439" s="868"/>
      <c r="V439" s="868"/>
      <c r="W439" s="868"/>
      <c r="X439" s="868"/>
      <c r="Y439" s="868"/>
      <c r="Z439" s="868"/>
    </row>
    <row r="440" spans="1:26" ht="18.75">
      <c r="A440" s="1002"/>
      <c r="B440" s="1003"/>
      <c r="C440" s="1003"/>
      <c r="D440" s="1009" t="s">
        <v>198</v>
      </c>
      <c r="E440" s="1010"/>
      <c r="F440" s="1010"/>
      <c r="G440" s="1011"/>
      <c r="H440" s="622" t="s">
        <v>49</v>
      </c>
      <c r="I440" s="880">
        <f ca="1">IFERROR(__xludf.DUMMYFUNCTION("IMPORTRANGE(""https://docs.google.com/spreadsheets/d/1QqKyyYR6Q21VydFLVH3TRQUabQu_ym0Zz7PgGX0-kHA/edit?usp=sharing"",""แผน!FG75"")"),1)</f>
        <v>1</v>
      </c>
      <c r="J440" s="1012">
        <v>1</v>
      </c>
      <c r="K440" s="881">
        <f t="shared" ca="1" si="194"/>
        <v>100</v>
      </c>
      <c r="L440" s="881"/>
      <c r="M440" s="881"/>
      <c r="N440" s="881"/>
      <c r="O440" s="881"/>
      <c r="P440" s="881"/>
      <c r="Q440" s="868"/>
      <c r="R440" s="868"/>
      <c r="S440" s="868"/>
      <c r="T440" s="868"/>
      <c r="U440" s="868"/>
      <c r="V440" s="868"/>
      <c r="W440" s="868"/>
      <c r="X440" s="868"/>
      <c r="Y440" s="868"/>
      <c r="Z440" s="868"/>
    </row>
    <row r="441" spans="1:26" ht="18.75">
      <c r="A441" s="1002"/>
      <c r="B441" s="1003"/>
      <c r="C441" s="1003"/>
      <c r="D441" s="1009" t="s">
        <v>199</v>
      </c>
      <c r="E441" s="1010"/>
      <c r="F441" s="1010"/>
      <c r="G441" s="1011"/>
      <c r="H441" s="622" t="s">
        <v>35</v>
      </c>
      <c r="I441" s="880">
        <f ca="1">IFERROR(__xludf.DUMMYFUNCTION("IMPORTRANGE(""https://docs.google.com/spreadsheets/d/1QqKyyYR6Q21VydFLVH3TRQUabQu_ym0Zz7PgGX0-kHA/edit?usp=sharing"",""แผน!FH75"")"),0)</f>
        <v>0</v>
      </c>
      <c r="J441" s="880">
        <v>0</v>
      </c>
      <c r="K441" s="881">
        <f t="shared" ca="1" si="194"/>
        <v>0</v>
      </c>
      <c r="L441" s="881"/>
      <c r="M441" s="881"/>
      <c r="N441" s="881"/>
      <c r="O441" s="881"/>
      <c r="P441" s="881"/>
      <c r="Q441" s="868"/>
      <c r="R441" s="868"/>
      <c r="S441" s="868"/>
      <c r="T441" s="868"/>
      <c r="U441" s="868"/>
      <c r="V441" s="868"/>
      <c r="W441" s="868"/>
      <c r="X441" s="868"/>
      <c r="Y441" s="868"/>
      <c r="Z441" s="868"/>
    </row>
    <row r="442" spans="1:26" ht="19.5" hidden="1">
      <c r="A442" s="584">
        <v>2</v>
      </c>
      <c r="B442" s="1307" t="s">
        <v>200</v>
      </c>
      <c r="C442" s="1308"/>
      <c r="D442" s="1308"/>
      <c r="E442" s="1308"/>
      <c r="F442" s="1308"/>
      <c r="G442" s="1309"/>
      <c r="H442" s="588" t="s">
        <v>35</v>
      </c>
      <c r="I442" s="1310">
        <f t="shared" ref="I442:J442" ca="1" si="195">I460</f>
        <v>0</v>
      </c>
      <c r="J442" s="1310">
        <f t="shared" si="195"/>
        <v>0</v>
      </c>
      <c r="K442" s="1311">
        <f t="shared" ca="1" si="194"/>
        <v>0</v>
      </c>
      <c r="L442" s="1312"/>
      <c r="M442" s="1312"/>
      <c r="N442" s="1312"/>
      <c r="O442" s="1312"/>
      <c r="P442" s="1312"/>
      <c r="Q442" s="1302"/>
      <c r="R442" s="1302"/>
      <c r="S442" s="1302"/>
      <c r="T442" s="1302"/>
      <c r="U442" s="1302"/>
      <c r="V442" s="1302"/>
      <c r="W442" s="1302"/>
      <c r="X442" s="1302"/>
      <c r="Y442" s="1302"/>
      <c r="Z442" s="1302"/>
    </row>
    <row r="443" spans="1:26" ht="19.5" hidden="1">
      <c r="A443" s="1313"/>
      <c r="B443" s="1314"/>
      <c r="C443" s="1315"/>
      <c r="D443" s="1315"/>
      <c r="E443" s="1315"/>
      <c r="F443" s="1315"/>
      <c r="G443" s="1316"/>
      <c r="H443" s="568" t="s">
        <v>46</v>
      </c>
      <c r="I443" s="1294">
        <f t="shared" ref="I443:J443" ca="1" si="196">I462</f>
        <v>0</v>
      </c>
      <c r="J443" s="1294">
        <f t="shared" si="196"/>
        <v>0</v>
      </c>
      <c r="K443" s="1295">
        <f t="shared" ca="1" si="194"/>
        <v>0</v>
      </c>
      <c r="L443" s="1296"/>
      <c r="M443" s="1296"/>
      <c r="N443" s="1296"/>
      <c r="O443" s="1296"/>
      <c r="P443" s="1296"/>
      <c r="Q443" s="1302"/>
      <c r="R443" s="1302"/>
      <c r="S443" s="1302"/>
      <c r="T443" s="1302"/>
      <c r="U443" s="1302"/>
      <c r="V443" s="1302"/>
      <c r="W443" s="1302"/>
      <c r="X443" s="1302"/>
      <c r="Y443" s="1302"/>
      <c r="Z443" s="1302"/>
    </row>
    <row r="444" spans="1:26" ht="19.5" hidden="1">
      <c r="A444" s="1317"/>
      <c r="B444" s="1301"/>
      <c r="C444" s="1301" t="s">
        <v>16</v>
      </c>
      <c r="D444" s="1318" t="s">
        <v>17</v>
      </c>
      <c r="E444" s="841"/>
      <c r="F444" s="841"/>
      <c r="G444" s="1016"/>
      <c r="H444" s="597" t="s">
        <v>12</v>
      </c>
      <c r="I444" s="880"/>
      <c r="J444" s="880"/>
      <c r="K444" s="881"/>
      <c r="L444" s="1020">
        <f t="shared" ref="L444:N444" ca="1" si="197">L445+L446</f>
        <v>0</v>
      </c>
      <c r="M444" s="1020">
        <f t="shared" si="197"/>
        <v>0</v>
      </c>
      <c r="N444" s="1020">
        <f t="shared" si="197"/>
        <v>0</v>
      </c>
      <c r="O444" s="1020">
        <f t="shared" ref="O444:O449" ca="1" si="198">IF(L444&gt;0,N444*100/L444,0)</f>
        <v>0</v>
      </c>
      <c r="P444" s="1020">
        <f t="shared" ref="P444:P449" si="199">IF(M444&gt;0,N444*100/M444,0)</f>
        <v>0</v>
      </c>
      <c r="Q444" s="1302"/>
      <c r="R444" s="1302"/>
      <c r="S444" s="1302"/>
      <c r="T444" s="1302"/>
      <c r="U444" s="1302"/>
      <c r="V444" s="1302"/>
      <c r="W444" s="1302"/>
      <c r="X444" s="1302"/>
      <c r="Y444" s="1302"/>
      <c r="Z444" s="1302"/>
    </row>
    <row r="445" spans="1:26" ht="18.75" hidden="1">
      <c r="A445" s="1319"/>
      <c r="B445" s="1320"/>
      <c r="C445" s="1320"/>
      <c r="D445" s="1321"/>
      <c r="E445" s="1320" t="s">
        <v>185</v>
      </c>
      <c r="F445" s="1320"/>
      <c r="G445" s="1322"/>
      <c r="H445" s="165" t="s">
        <v>12</v>
      </c>
      <c r="I445" s="886"/>
      <c r="J445" s="886"/>
      <c r="K445" s="887"/>
      <c r="L445" s="887">
        <f t="shared" ref="L445:N446" si="200">L448+L455</f>
        <v>0</v>
      </c>
      <c r="M445" s="887">
        <f t="shared" si="200"/>
        <v>0</v>
      </c>
      <c r="N445" s="887">
        <f t="shared" si="200"/>
        <v>0</v>
      </c>
      <c r="O445" s="887">
        <f t="shared" si="198"/>
        <v>0</v>
      </c>
      <c r="P445" s="887">
        <f t="shared" si="199"/>
        <v>0</v>
      </c>
      <c r="Q445" s="1323"/>
      <c r="R445" s="1323"/>
      <c r="S445" s="1323"/>
      <c r="T445" s="1323"/>
      <c r="U445" s="1323"/>
      <c r="V445" s="1323"/>
      <c r="W445" s="1323"/>
      <c r="X445" s="1323"/>
      <c r="Y445" s="1323"/>
      <c r="Z445" s="1323"/>
    </row>
    <row r="446" spans="1:26" ht="18.75" hidden="1">
      <c r="A446" s="1319"/>
      <c r="B446" s="1324"/>
      <c r="C446" s="1320"/>
      <c r="D446" s="1321"/>
      <c r="E446" s="1320" t="s">
        <v>186</v>
      </c>
      <c r="F446" s="1320"/>
      <c r="G446" s="1322"/>
      <c r="H446" s="165" t="s">
        <v>12</v>
      </c>
      <c r="I446" s="886"/>
      <c r="J446" s="886"/>
      <c r="K446" s="887"/>
      <c r="L446" s="887">
        <f t="shared" ca="1" si="200"/>
        <v>0</v>
      </c>
      <c r="M446" s="887">
        <f t="shared" si="200"/>
        <v>0</v>
      </c>
      <c r="N446" s="887">
        <f t="shared" si="200"/>
        <v>0</v>
      </c>
      <c r="O446" s="887">
        <f t="shared" ca="1" si="198"/>
        <v>0</v>
      </c>
      <c r="P446" s="887">
        <f t="shared" si="199"/>
        <v>0</v>
      </c>
      <c r="Q446" s="1323"/>
      <c r="R446" s="1323"/>
      <c r="S446" s="1323"/>
      <c r="T446" s="1323"/>
      <c r="U446" s="1323"/>
      <c r="V446" s="1323"/>
      <c r="W446" s="1323"/>
      <c r="X446" s="1323"/>
      <c r="Y446" s="1323"/>
      <c r="Z446" s="1323"/>
    </row>
    <row r="447" spans="1:26" ht="18.75" hidden="1">
      <c r="A447" s="1317"/>
      <c r="B447" s="1300"/>
      <c r="C447" s="1301"/>
      <c r="D447" s="1325" t="s">
        <v>20</v>
      </c>
      <c r="E447" s="1301"/>
      <c r="F447" s="1301"/>
      <c r="G447" s="1016"/>
      <c r="H447" s="161" t="s">
        <v>12</v>
      </c>
      <c r="I447" s="997"/>
      <c r="J447" s="997"/>
      <c r="K447" s="998"/>
      <c r="L447" s="881">
        <f t="shared" ref="L447:N447" ca="1" si="201">L448+L449</f>
        <v>0</v>
      </c>
      <c r="M447" s="881">
        <f t="shared" si="201"/>
        <v>0</v>
      </c>
      <c r="N447" s="881">
        <f t="shared" si="201"/>
        <v>0</v>
      </c>
      <c r="O447" s="881">
        <f t="shared" ca="1" si="198"/>
        <v>0</v>
      </c>
      <c r="P447" s="881">
        <f t="shared" si="199"/>
        <v>0</v>
      </c>
      <c r="Q447" s="1302"/>
      <c r="R447" s="1302"/>
      <c r="S447" s="1302"/>
      <c r="T447" s="1302"/>
      <c r="U447" s="1302"/>
      <c r="V447" s="1302"/>
      <c r="W447" s="1302"/>
      <c r="X447" s="1302"/>
      <c r="Y447" s="1302"/>
      <c r="Z447" s="1302"/>
    </row>
    <row r="448" spans="1:26" ht="18.75" hidden="1">
      <c r="A448" s="1319"/>
      <c r="B448" s="1324"/>
      <c r="C448" s="1320"/>
      <c r="D448" s="1321"/>
      <c r="E448" s="1320" t="s">
        <v>185</v>
      </c>
      <c r="F448" s="1320"/>
      <c r="G448" s="1322"/>
      <c r="H448" s="165" t="s">
        <v>12</v>
      </c>
      <c r="I448" s="886"/>
      <c r="J448" s="886"/>
      <c r="K448" s="887"/>
      <c r="L448" s="887">
        <v>0</v>
      </c>
      <c r="M448" s="887">
        <v>0</v>
      </c>
      <c r="N448" s="887">
        <v>0</v>
      </c>
      <c r="O448" s="887">
        <f t="shared" si="198"/>
        <v>0</v>
      </c>
      <c r="P448" s="887">
        <f t="shared" si="199"/>
        <v>0</v>
      </c>
      <c r="Q448" s="1323"/>
      <c r="R448" s="1323"/>
      <c r="S448" s="1323"/>
      <c r="T448" s="1323"/>
      <c r="U448" s="1323"/>
      <c r="V448" s="1323"/>
      <c r="W448" s="1323"/>
      <c r="X448" s="1323"/>
      <c r="Y448" s="1323"/>
      <c r="Z448" s="1323"/>
    </row>
    <row r="449" spans="1:26" ht="18.75" hidden="1">
      <c r="A449" s="1319"/>
      <c r="B449" s="1324"/>
      <c r="C449" s="1320"/>
      <c r="D449" s="1321"/>
      <c r="E449" s="1320" t="s">
        <v>186</v>
      </c>
      <c r="F449" s="1320"/>
      <c r="G449" s="1322"/>
      <c r="H449" s="165" t="s">
        <v>12</v>
      </c>
      <c r="I449" s="886"/>
      <c r="J449" s="886"/>
      <c r="K449" s="887"/>
      <c r="L449" s="887">
        <f ca="1">IFERROR(__xludf.DUMMYFUNCTION("IMPORTRANGE(""https://docs.google.com/spreadsheets/d/1QqKyyYR6Q21VydFLVH3TRQUabQu_ym0Zz7PgGX0-kHA/edit?usp=sharing"",""แผน!FJ75"")"),0)</f>
        <v>0</v>
      </c>
      <c r="M449" s="887">
        <v>0</v>
      </c>
      <c r="N449" s="887">
        <f>N450+N451+N452+N453</f>
        <v>0</v>
      </c>
      <c r="O449" s="887">
        <f t="shared" ca="1" si="198"/>
        <v>0</v>
      </c>
      <c r="P449" s="887">
        <f t="shared" si="199"/>
        <v>0</v>
      </c>
      <c r="Q449" s="1323"/>
      <c r="R449" s="1323"/>
      <c r="S449" s="1323"/>
      <c r="T449" s="1323"/>
      <c r="U449" s="1323"/>
      <c r="V449" s="1323"/>
      <c r="W449" s="1323"/>
      <c r="X449" s="1323"/>
      <c r="Y449" s="1323"/>
      <c r="Z449" s="1323"/>
    </row>
    <row r="450" spans="1:26" ht="18.75" hidden="1">
      <c r="A450" s="1299"/>
      <c r="B450" s="1300"/>
      <c r="C450" s="1301"/>
      <c r="D450" s="1301"/>
      <c r="E450" s="1301"/>
      <c r="F450" s="1301" t="s">
        <v>187</v>
      </c>
      <c r="G450" s="1016"/>
      <c r="H450" s="161" t="s">
        <v>12</v>
      </c>
      <c r="I450" s="880"/>
      <c r="J450" s="880"/>
      <c r="K450" s="881"/>
      <c r="L450" s="881"/>
      <c r="M450" s="881"/>
      <c r="N450" s="1085">
        <v>0</v>
      </c>
      <c r="O450" s="881"/>
      <c r="P450" s="881"/>
      <c r="Q450" s="1302"/>
      <c r="R450" s="1302"/>
      <c r="S450" s="1302"/>
      <c r="T450" s="1302"/>
      <c r="U450" s="1302"/>
      <c r="V450" s="1302"/>
      <c r="W450" s="1302"/>
      <c r="X450" s="1302"/>
      <c r="Y450" s="1302"/>
      <c r="Z450" s="1302"/>
    </row>
    <row r="451" spans="1:26" ht="18.75" hidden="1">
      <c r="A451" s="1299"/>
      <c r="B451" s="1300"/>
      <c r="C451" s="1301"/>
      <c r="D451" s="1301"/>
      <c r="E451" s="1301"/>
      <c r="F451" s="1301" t="s">
        <v>188</v>
      </c>
      <c r="G451" s="1016"/>
      <c r="H451" s="161" t="s">
        <v>12</v>
      </c>
      <c r="I451" s="880"/>
      <c r="J451" s="880"/>
      <c r="K451" s="881"/>
      <c r="L451" s="881"/>
      <c r="M451" s="881"/>
      <c r="N451" s="1085">
        <v>0</v>
      </c>
      <c r="O451" s="881"/>
      <c r="P451" s="881"/>
      <c r="Q451" s="1302"/>
      <c r="R451" s="1302"/>
      <c r="S451" s="1302"/>
      <c r="T451" s="1302"/>
      <c r="U451" s="1302"/>
      <c r="V451" s="1302"/>
      <c r="W451" s="1302"/>
      <c r="X451" s="1302"/>
      <c r="Y451" s="1302"/>
      <c r="Z451" s="1302"/>
    </row>
    <row r="452" spans="1:26" ht="18.75" hidden="1">
      <c r="A452" s="1299"/>
      <c r="B452" s="1300"/>
      <c r="C452" s="1300"/>
      <c r="D452" s="1300"/>
      <c r="E452" s="1300"/>
      <c r="F452" s="1301" t="s">
        <v>189</v>
      </c>
      <c r="G452" s="1016"/>
      <c r="H452" s="161" t="s">
        <v>12</v>
      </c>
      <c r="I452" s="880"/>
      <c r="J452" s="880"/>
      <c r="K452" s="881"/>
      <c r="L452" s="881"/>
      <c r="M452" s="881"/>
      <c r="N452" s="1085">
        <v>0</v>
      </c>
      <c r="O452" s="881"/>
      <c r="P452" s="881"/>
      <c r="Q452" s="1302"/>
      <c r="R452" s="1302"/>
      <c r="S452" s="1302"/>
      <c r="T452" s="1302"/>
      <c r="U452" s="1302"/>
      <c r="V452" s="1302"/>
      <c r="W452" s="1302"/>
      <c r="X452" s="1302"/>
      <c r="Y452" s="1302"/>
      <c r="Z452" s="1302"/>
    </row>
    <row r="453" spans="1:26" ht="18.75" hidden="1">
      <c r="A453" s="1299"/>
      <c r="B453" s="1300"/>
      <c r="C453" s="1300"/>
      <c r="D453" s="1300"/>
      <c r="E453" s="1300"/>
      <c r="F453" s="1301" t="s">
        <v>190</v>
      </c>
      <c r="G453" s="1016"/>
      <c r="H453" s="161" t="s">
        <v>12</v>
      </c>
      <c r="I453" s="880"/>
      <c r="J453" s="880"/>
      <c r="K453" s="881"/>
      <c r="L453" s="881"/>
      <c r="M453" s="881"/>
      <c r="N453" s="1085">
        <v>0</v>
      </c>
      <c r="O453" s="881"/>
      <c r="P453" s="881"/>
      <c r="Q453" s="1302"/>
      <c r="R453" s="1302"/>
      <c r="S453" s="1302"/>
      <c r="T453" s="1302"/>
      <c r="U453" s="1302"/>
      <c r="V453" s="1302"/>
      <c r="W453" s="1302"/>
      <c r="X453" s="1302"/>
      <c r="Y453" s="1302"/>
      <c r="Z453" s="1302"/>
    </row>
    <row r="454" spans="1:26" ht="18.75" hidden="1">
      <c r="A454" s="1317"/>
      <c r="B454" s="1300"/>
      <c r="C454" s="1300"/>
      <c r="D454" s="1325" t="s">
        <v>21</v>
      </c>
      <c r="E454" s="1300"/>
      <c r="F454" s="1301"/>
      <c r="G454" s="1016"/>
      <c r="H454" s="168" t="s">
        <v>12</v>
      </c>
      <c r="I454" s="997"/>
      <c r="J454" s="997"/>
      <c r="K454" s="998"/>
      <c r="L454" s="881">
        <f t="shared" ref="L454:N454" ca="1" si="202">L455+L456</f>
        <v>0</v>
      </c>
      <c r="M454" s="881">
        <f t="shared" si="202"/>
        <v>0</v>
      </c>
      <c r="N454" s="881">
        <f t="shared" si="202"/>
        <v>0</v>
      </c>
      <c r="O454" s="881">
        <f t="shared" ref="O454:O456" ca="1" si="203">IF(L454&gt;0,N454*100/L454,0)</f>
        <v>0</v>
      </c>
      <c r="P454" s="881">
        <f t="shared" ref="P454:P456" si="204">IF(M454&gt;0,N454*100/M454,0)</f>
        <v>0</v>
      </c>
      <c r="Q454" s="1302"/>
      <c r="R454" s="1302"/>
      <c r="S454" s="1302"/>
      <c r="T454" s="1302"/>
      <c r="U454" s="1302"/>
      <c r="V454" s="1302"/>
      <c r="W454" s="1302"/>
      <c r="X454" s="1302"/>
      <c r="Y454" s="1302"/>
      <c r="Z454" s="1302"/>
    </row>
    <row r="455" spans="1:26" ht="18.75" hidden="1">
      <c r="A455" s="1319"/>
      <c r="B455" s="1324"/>
      <c r="C455" s="1324"/>
      <c r="D455" s="1324"/>
      <c r="E455" s="1324" t="s">
        <v>18</v>
      </c>
      <c r="F455" s="1320"/>
      <c r="G455" s="1322"/>
      <c r="H455" s="165" t="s">
        <v>12</v>
      </c>
      <c r="I455" s="1000"/>
      <c r="J455" s="1000"/>
      <c r="K455" s="1001"/>
      <c r="L455" s="887">
        <v>0</v>
      </c>
      <c r="M455" s="887">
        <v>0</v>
      </c>
      <c r="N455" s="887">
        <v>0</v>
      </c>
      <c r="O455" s="887">
        <f t="shared" si="203"/>
        <v>0</v>
      </c>
      <c r="P455" s="887">
        <f t="shared" si="204"/>
        <v>0</v>
      </c>
      <c r="Q455" s="1323"/>
      <c r="R455" s="1323"/>
      <c r="S455" s="1323"/>
      <c r="T455" s="1323"/>
      <c r="U455" s="1323"/>
      <c r="V455" s="1323"/>
      <c r="W455" s="1323"/>
      <c r="X455" s="1323"/>
      <c r="Y455" s="1323"/>
      <c r="Z455" s="1323"/>
    </row>
    <row r="456" spans="1:26" ht="18.75" hidden="1">
      <c r="A456" s="1319"/>
      <c r="B456" s="1324"/>
      <c r="C456" s="1324"/>
      <c r="D456" s="1324"/>
      <c r="E456" s="1324" t="s">
        <v>19</v>
      </c>
      <c r="F456" s="1320"/>
      <c r="G456" s="1322"/>
      <c r="H456" s="169" t="s">
        <v>12</v>
      </c>
      <c r="I456" s="1000"/>
      <c r="J456" s="1000"/>
      <c r="K456" s="1001"/>
      <c r="L456" s="887">
        <f ca="1">IFERROR(__xludf.DUMMYFUNCTION("IMPORTRANGE(""https://docs.google.com/spreadsheets/d/1QqKyyYR6Q21VydFLVH3TRQUabQu_ym0Zz7PgGX0-kHA/edit?usp=sharing"",""แผน!FM75"")"),0)</f>
        <v>0</v>
      </c>
      <c r="M456" s="887">
        <v>0</v>
      </c>
      <c r="N456" s="887">
        <v>0</v>
      </c>
      <c r="O456" s="887">
        <f t="shared" ca="1" si="203"/>
        <v>0</v>
      </c>
      <c r="P456" s="887">
        <f t="shared" si="204"/>
        <v>0</v>
      </c>
      <c r="Q456" s="1323"/>
      <c r="R456" s="1323"/>
      <c r="S456" s="1323"/>
      <c r="T456" s="1323"/>
      <c r="U456" s="1323"/>
      <c r="V456" s="1323"/>
      <c r="W456" s="1323"/>
      <c r="X456" s="1323"/>
      <c r="Y456" s="1323"/>
      <c r="Z456" s="1323"/>
    </row>
    <row r="457" spans="1:26" ht="19.5" hidden="1">
      <c r="A457" s="1326"/>
      <c r="B457" s="1327"/>
      <c r="C457" s="1300" t="s">
        <v>16</v>
      </c>
      <c r="D457" s="1328" t="s">
        <v>38</v>
      </c>
      <c r="E457" s="1329"/>
      <c r="F457" s="1330"/>
      <c r="G457" s="1331"/>
      <c r="H457" s="1007"/>
      <c r="I457" s="880"/>
      <c r="J457" s="880"/>
      <c r="K457" s="881"/>
      <c r="L457" s="881"/>
      <c r="M457" s="881"/>
      <c r="N457" s="881"/>
      <c r="O457" s="881"/>
      <c r="P457" s="881"/>
      <c r="Q457" s="1302"/>
      <c r="R457" s="1302"/>
      <c r="S457" s="1302"/>
      <c r="T457" s="1302"/>
      <c r="U457" s="1302"/>
      <c r="V457" s="1302"/>
      <c r="W457" s="1302"/>
      <c r="X457" s="1302"/>
      <c r="Y457" s="1302"/>
      <c r="Z457" s="1302"/>
    </row>
    <row r="458" spans="1:26" ht="18.75" hidden="1">
      <c r="A458" s="1332"/>
      <c r="B458" s="1333"/>
      <c r="C458" s="1333"/>
      <c r="D458" s="1333" t="s">
        <v>201</v>
      </c>
      <c r="E458" s="1333"/>
      <c r="F458" s="1321"/>
      <c r="G458" s="1113"/>
      <c r="H458" s="370" t="s">
        <v>35</v>
      </c>
      <c r="I458" s="886">
        <v>0</v>
      </c>
      <c r="J458" s="886">
        <v>0</v>
      </c>
      <c r="K458" s="887">
        <f>IF(I458&gt;0,J458*100/I458,0)</f>
        <v>0</v>
      </c>
      <c r="L458" s="887"/>
      <c r="M458" s="887"/>
      <c r="N458" s="887"/>
      <c r="O458" s="887"/>
      <c r="P458" s="887"/>
      <c r="Q458" s="1323"/>
      <c r="R458" s="1323"/>
      <c r="S458" s="1323"/>
      <c r="T458" s="1323"/>
      <c r="U458" s="1323"/>
      <c r="V458" s="1323"/>
      <c r="W458" s="1323"/>
      <c r="X458" s="1323"/>
      <c r="Y458" s="1323"/>
      <c r="Z458" s="1323"/>
    </row>
    <row r="459" spans="1:26" ht="18.75" hidden="1">
      <c r="A459" s="1332"/>
      <c r="B459" s="1333"/>
      <c r="C459" s="1333"/>
      <c r="D459" s="1333" t="s">
        <v>202</v>
      </c>
      <c r="E459" s="1333"/>
      <c r="F459" s="1321"/>
      <c r="G459" s="1113"/>
      <c r="H459" s="370"/>
      <c r="I459" s="886"/>
      <c r="J459" s="886"/>
      <c r="K459" s="887"/>
      <c r="L459" s="887"/>
      <c r="M459" s="887"/>
      <c r="N459" s="887"/>
      <c r="O459" s="887"/>
      <c r="P459" s="887"/>
      <c r="Q459" s="1323"/>
      <c r="R459" s="1323"/>
      <c r="S459" s="1323"/>
      <c r="T459" s="1323"/>
      <c r="U459" s="1323"/>
      <c r="V459" s="1323"/>
      <c r="W459" s="1323"/>
      <c r="X459" s="1323"/>
      <c r="Y459" s="1323"/>
      <c r="Z459" s="1323"/>
    </row>
    <row r="460" spans="1:26" ht="18.75" hidden="1">
      <c r="A460" s="1326"/>
      <c r="B460" s="1327"/>
      <c r="C460" s="1327"/>
      <c r="D460" s="1327" t="s">
        <v>203</v>
      </c>
      <c r="E460" s="1327"/>
      <c r="F460" s="1014"/>
      <c r="G460" s="1007"/>
      <c r="H460" s="762" t="s">
        <v>35</v>
      </c>
      <c r="I460" s="880">
        <f ca="1">IFERROR(__xludf.DUMMYFUNCTION("IMPORTRANGE(""https://docs.google.com/spreadsheets/d/1QqKyyYR6Q21VydFLVH3TRQUabQu_ym0Zz7PgGX0-kHA/edit?usp=sharing"",""แผน!FN75"")"),0)</f>
        <v>0</v>
      </c>
      <c r="J460" s="1012">
        <v>0</v>
      </c>
      <c r="K460" s="881">
        <f ca="1">IF(I460&gt;0,J460*100/I460,0)</f>
        <v>0</v>
      </c>
      <c r="L460" s="881"/>
      <c r="M460" s="881"/>
      <c r="N460" s="881"/>
      <c r="O460" s="881"/>
      <c r="P460" s="881"/>
      <c r="Q460" s="1302"/>
      <c r="R460" s="1302"/>
      <c r="S460" s="1302"/>
      <c r="T460" s="1302"/>
      <c r="U460" s="1302"/>
      <c r="V460" s="1302"/>
      <c r="W460" s="1302"/>
      <c r="X460" s="1302"/>
      <c r="Y460" s="1302"/>
      <c r="Z460" s="1302"/>
    </row>
    <row r="461" spans="1:26" ht="18.75" hidden="1">
      <c r="A461" s="1326"/>
      <c r="B461" s="1327"/>
      <c r="C461" s="1327"/>
      <c r="D461" s="1327" t="s">
        <v>204</v>
      </c>
      <c r="E461" s="1014"/>
      <c r="F461" s="1014"/>
      <c r="G461" s="1007"/>
      <c r="H461" s="762"/>
      <c r="I461" s="880"/>
      <c r="J461" s="880"/>
      <c r="K461" s="881"/>
      <c r="L461" s="881"/>
      <c r="M461" s="881"/>
      <c r="N461" s="881"/>
      <c r="O461" s="881"/>
      <c r="P461" s="881"/>
      <c r="Q461" s="1302"/>
      <c r="R461" s="1302"/>
      <c r="S461" s="1302"/>
      <c r="T461" s="1302"/>
      <c r="U461" s="1302"/>
      <c r="V461" s="1302"/>
      <c r="W461" s="1302"/>
      <c r="X461" s="1302"/>
      <c r="Y461" s="1302"/>
      <c r="Z461" s="1302"/>
    </row>
    <row r="462" spans="1:26" ht="18.75" hidden="1">
      <c r="A462" s="1326"/>
      <c r="B462" s="1327"/>
      <c r="C462" s="1327"/>
      <c r="D462" s="1327" t="s">
        <v>205</v>
      </c>
      <c r="E462" s="1014"/>
      <c r="F462" s="1014"/>
      <c r="G462" s="1007"/>
      <c r="H462" s="762" t="s">
        <v>46</v>
      </c>
      <c r="I462" s="880">
        <f ca="1">IFERROR(__xludf.DUMMYFUNCTION("IMPORTRANGE(""https://docs.google.com/spreadsheets/d/1QqKyyYR6Q21VydFLVH3TRQUabQu_ym0Zz7PgGX0-kHA/edit?usp=sharing"",""แผน!FO75"")"),0)</f>
        <v>0</v>
      </c>
      <c r="J462" s="1012">
        <v>0</v>
      </c>
      <c r="K462" s="881">
        <f ca="1">IF(I462&gt;0,J462*100/I462,0)</f>
        <v>0</v>
      </c>
      <c r="L462" s="881"/>
      <c r="M462" s="881"/>
      <c r="N462" s="881"/>
      <c r="O462" s="881"/>
      <c r="P462" s="881"/>
      <c r="Q462" s="1302"/>
      <c r="R462" s="1302"/>
      <c r="S462" s="1302"/>
      <c r="T462" s="1302"/>
      <c r="U462" s="1302"/>
      <c r="V462" s="1302"/>
      <c r="W462" s="1302"/>
      <c r="X462" s="1302"/>
      <c r="Y462" s="1302"/>
      <c r="Z462" s="1302"/>
    </row>
    <row r="463" spans="1:26" ht="18.75" hidden="1">
      <c r="A463" s="1326"/>
      <c r="B463" s="1327"/>
      <c r="C463" s="1327"/>
      <c r="D463" s="1327" t="s">
        <v>59</v>
      </c>
      <c r="E463" s="1014"/>
      <c r="F463" s="1301"/>
      <c r="G463" s="1016"/>
      <c r="H463" s="762" t="s">
        <v>46</v>
      </c>
      <c r="I463" s="880">
        <f ca="1">IFERROR(__xludf.DUMMYFUNCTION("IMPORTRANGE(""https://docs.google.com/spreadsheets/d/1QqKyyYR6Q21VydFLVH3TRQUabQu_ym0Zz7PgGX0-kHA/edit?usp=sharing"",""แผน!FO75"")"),0)</f>
        <v>0</v>
      </c>
      <c r="J463" s="1012">
        <v>0</v>
      </c>
      <c r="K463" s="881"/>
      <c r="L463" s="881"/>
      <c r="M463" s="881"/>
      <c r="N463" s="881"/>
      <c r="O463" s="881"/>
      <c r="P463" s="881"/>
      <c r="Q463" s="1302"/>
      <c r="R463" s="1302"/>
      <c r="S463" s="1302"/>
      <c r="T463" s="1302"/>
      <c r="U463" s="1302"/>
      <c r="V463" s="1302"/>
      <c r="W463" s="1302"/>
      <c r="X463" s="1302"/>
      <c r="Y463" s="1302"/>
      <c r="Z463" s="1302"/>
    </row>
    <row r="464" spans="1:26" ht="19.5" hidden="1">
      <c r="A464" s="1326"/>
      <c r="B464" s="1327"/>
      <c r="C464" s="1327"/>
      <c r="D464" s="1327"/>
      <c r="E464" s="1014"/>
      <c r="F464" s="1014"/>
      <c r="G464" s="1334"/>
      <c r="H464" s="762" t="s">
        <v>35</v>
      </c>
      <c r="I464" s="880">
        <f ca="1">IFERROR(__xludf.DUMMYFUNCTION("IMPORTRANGE(""https://docs.google.com/spreadsheets/d/1QqKyyYR6Q21VydFLVH3TRQUabQu_ym0Zz7PgGX0-kHA/edit?usp=sharing"",""แผน!FN75"")"),0)</f>
        <v>0</v>
      </c>
      <c r="J464" s="1012">
        <v>0</v>
      </c>
      <c r="K464" s="881"/>
      <c r="L464" s="881"/>
      <c r="M464" s="881"/>
      <c r="N464" s="881"/>
      <c r="O464" s="881"/>
      <c r="P464" s="881"/>
      <c r="Q464" s="1302"/>
      <c r="R464" s="1302"/>
      <c r="S464" s="1302"/>
      <c r="T464" s="1302"/>
      <c r="U464" s="1302"/>
      <c r="V464" s="1302"/>
      <c r="W464" s="1302"/>
      <c r="X464" s="1302"/>
      <c r="Y464" s="1302"/>
      <c r="Z464" s="1302"/>
    </row>
    <row r="465" spans="1:26" ht="19.5">
      <c r="A465" s="584">
        <v>3</v>
      </c>
      <c r="B465" s="1307" t="s">
        <v>206</v>
      </c>
      <c r="C465" s="1308"/>
      <c r="D465" s="1308"/>
      <c r="E465" s="1308"/>
      <c r="F465" s="1308"/>
      <c r="G465" s="1309"/>
      <c r="H465" s="588" t="s">
        <v>35</v>
      </c>
      <c r="I465" s="1310">
        <f ca="1">IFERROR(__xludf.DUMMYFUNCTION("IMPORTRANGE(""https://docs.google.com/spreadsheets/d/1QqKyyYR6Q21VydFLVH3TRQUabQu_ym0Zz7PgGX0-kHA/edit?usp=sharing"",""แผน!FX75"")"),31)</f>
        <v>31</v>
      </c>
      <c r="J465" s="1310">
        <f>J485+J489+J492</f>
        <v>31</v>
      </c>
      <c r="K465" s="1311">
        <f t="shared" ref="K465:K466" ca="1" si="205">IF(I465&gt;0,J465*100/I465,0)</f>
        <v>100</v>
      </c>
      <c r="L465" s="1312"/>
      <c r="M465" s="1312"/>
      <c r="N465" s="1312"/>
      <c r="O465" s="1312"/>
      <c r="P465" s="1312"/>
      <c r="Q465" s="1302"/>
      <c r="R465" s="1302"/>
      <c r="S465" s="1302"/>
      <c r="T465" s="1302"/>
      <c r="U465" s="1302"/>
      <c r="V465" s="1302"/>
      <c r="W465" s="1302"/>
      <c r="X465" s="1302"/>
      <c r="Y465" s="1302"/>
      <c r="Z465" s="1302"/>
    </row>
    <row r="466" spans="1:26" ht="19.5">
      <c r="A466" s="1313"/>
      <c r="B466" s="1314"/>
      <c r="C466" s="1315"/>
      <c r="D466" s="1315"/>
      <c r="E466" s="1315"/>
      <c r="F466" s="1315"/>
      <c r="G466" s="1316"/>
      <c r="H466" s="568" t="s">
        <v>46</v>
      </c>
      <c r="I466" s="1294">
        <f ca="1">IFERROR(__xludf.DUMMYFUNCTION("IMPORTRANGE(""https://docs.google.com/spreadsheets/d/1QqKyyYR6Q21VydFLVH3TRQUabQu_ym0Zz7PgGX0-kHA/edit?usp=sharing"",""แผน!FW75"")"),300)</f>
        <v>300</v>
      </c>
      <c r="J466" s="1294">
        <f>J495+J498</f>
        <v>0</v>
      </c>
      <c r="K466" s="1295">
        <f t="shared" ca="1" si="205"/>
        <v>0</v>
      </c>
      <c r="L466" s="1296"/>
      <c r="M466" s="1296"/>
      <c r="N466" s="1296"/>
      <c r="O466" s="1296"/>
      <c r="P466" s="1296"/>
      <c r="Q466" s="1302"/>
      <c r="R466" s="1302"/>
      <c r="S466" s="1302"/>
      <c r="T466" s="1302"/>
      <c r="U466" s="1302"/>
      <c r="V466" s="1302"/>
      <c r="W466" s="1302"/>
      <c r="X466" s="1302"/>
      <c r="Y466" s="1302"/>
      <c r="Z466" s="1302"/>
    </row>
    <row r="467" spans="1:26" ht="19.5">
      <c r="A467" s="1317"/>
      <c r="B467" s="1301"/>
      <c r="C467" s="1301" t="s">
        <v>16</v>
      </c>
      <c r="D467" s="1318" t="s">
        <v>17</v>
      </c>
      <c r="E467" s="841"/>
      <c r="F467" s="841"/>
      <c r="G467" s="1016"/>
      <c r="H467" s="597" t="s">
        <v>12</v>
      </c>
      <c r="I467" s="880"/>
      <c r="J467" s="880"/>
      <c r="K467" s="881"/>
      <c r="L467" s="1020">
        <f t="shared" ref="L467:N467" ca="1" si="206">L468+L469</f>
        <v>263283</v>
      </c>
      <c r="M467" s="1020">
        <f t="shared" ca="1" si="206"/>
        <v>263283</v>
      </c>
      <c r="N467" s="1020">
        <f t="shared" si="206"/>
        <v>57692</v>
      </c>
      <c r="O467" s="1020">
        <f t="shared" ref="O467:O472" ca="1" si="207">IF(L467&gt;0,N467*100/L467,0)</f>
        <v>21.912542777163736</v>
      </c>
      <c r="P467" s="1020">
        <f t="shared" ref="P467:P472" ca="1" si="208">IF(M467&gt;0,N467*100/M467,0)</f>
        <v>21.912542777163736</v>
      </c>
      <c r="Q467" s="1302"/>
      <c r="R467" s="1302"/>
      <c r="S467" s="1302"/>
      <c r="T467" s="1302"/>
      <c r="U467" s="1302"/>
      <c r="V467" s="1302"/>
      <c r="W467" s="1302"/>
      <c r="X467" s="1302"/>
      <c r="Y467" s="1302"/>
      <c r="Z467" s="1302"/>
    </row>
    <row r="468" spans="1:26" ht="18.75" hidden="1">
      <c r="A468" s="1319"/>
      <c r="B468" s="1320"/>
      <c r="C468" s="1320"/>
      <c r="D468" s="1321"/>
      <c r="E468" s="1320" t="s">
        <v>185</v>
      </c>
      <c r="F468" s="1320"/>
      <c r="G468" s="1322"/>
      <c r="H468" s="165" t="s">
        <v>12</v>
      </c>
      <c r="I468" s="886"/>
      <c r="J468" s="886"/>
      <c r="K468" s="887"/>
      <c r="L468" s="887">
        <f t="shared" ref="L468:N469" si="209">L471+L478</f>
        <v>0</v>
      </c>
      <c r="M468" s="887">
        <f t="shared" si="209"/>
        <v>0</v>
      </c>
      <c r="N468" s="887">
        <f t="shared" si="209"/>
        <v>0</v>
      </c>
      <c r="O468" s="887">
        <f t="shared" si="207"/>
        <v>0</v>
      </c>
      <c r="P468" s="887">
        <f t="shared" si="208"/>
        <v>0</v>
      </c>
      <c r="Q468" s="1323"/>
      <c r="R468" s="1323"/>
      <c r="S468" s="1323"/>
      <c r="T468" s="1323"/>
      <c r="U468" s="1323"/>
      <c r="V468" s="1323"/>
      <c r="W468" s="1323"/>
      <c r="X468" s="1323"/>
      <c r="Y468" s="1323"/>
      <c r="Z468" s="1323"/>
    </row>
    <row r="469" spans="1:26" ht="18.75" hidden="1">
      <c r="A469" s="1319"/>
      <c r="B469" s="1324"/>
      <c r="C469" s="1320"/>
      <c r="D469" s="1321"/>
      <c r="E469" s="1320" t="s">
        <v>186</v>
      </c>
      <c r="F469" s="1320"/>
      <c r="G469" s="1322"/>
      <c r="H469" s="165" t="s">
        <v>12</v>
      </c>
      <c r="I469" s="886"/>
      <c r="J469" s="886"/>
      <c r="K469" s="887"/>
      <c r="L469" s="887">
        <f t="shared" ca="1" si="209"/>
        <v>263283</v>
      </c>
      <c r="M469" s="887">
        <f t="shared" ca="1" si="209"/>
        <v>263283</v>
      </c>
      <c r="N469" s="887">
        <f t="shared" si="209"/>
        <v>57692</v>
      </c>
      <c r="O469" s="887">
        <f t="shared" ca="1" si="207"/>
        <v>21.912542777163736</v>
      </c>
      <c r="P469" s="887">
        <f t="shared" ca="1" si="208"/>
        <v>21.912542777163736</v>
      </c>
      <c r="Q469" s="1323"/>
      <c r="R469" s="1323"/>
      <c r="S469" s="1323"/>
      <c r="T469" s="1323"/>
      <c r="U469" s="1323"/>
      <c r="V469" s="1323"/>
      <c r="W469" s="1323"/>
      <c r="X469" s="1323"/>
      <c r="Y469" s="1323"/>
      <c r="Z469" s="1323"/>
    </row>
    <row r="470" spans="1:26" ht="18.75">
      <c r="A470" s="1317"/>
      <c r="B470" s="1300"/>
      <c r="C470" s="1301"/>
      <c r="D470" s="1325" t="s">
        <v>20</v>
      </c>
      <c r="E470" s="1301"/>
      <c r="F470" s="1301"/>
      <c r="G470" s="1016"/>
      <c r="H470" s="161" t="s">
        <v>12</v>
      </c>
      <c r="I470" s="997"/>
      <c r="J470" s="997"/>
      <c r="K470" s="998"/>
      <c r="L470" s="881">
        <f t="shared" ref="L470:N470" ca="1" si="210">L471+L472</f>
        <v>263283</v>
      </c>
      <c r="M470" s="881">
        <f t="shared" ca="1" si="210"/>
        <v>263283</v>
      </c>
      <c r="N470" s="881">
        <f t="shared" si="210"/>
        <v>57692</v>
      </c>
      <c r="O470" s="881">
        <f t="shared" ca="1" si="207"/>
        <v>21.912542777163736</v>
      </c>
      <c r="P470" s="881">
        <f t="shared" ca="1" si="208"/>
        <v>21.912542777163736</v>
      </c>
      <c r="Q470" s="1302"/>
      <c r="R470" s="1302"/>
      <c r="S470" s="1302"/>
      <c r="T470" s="1302"/>
      <c r="U470" s="1302"/>
      <c r="V470" s="1302"/>
      <c r="W470" s="1302"/>
      <c r="X470" s="1302"/>
      <c r="Y470" s="1302"/>
      <c r="Z470" s="1302"/>
    </row>
    <row r="471" spans="1:26" ht="18.75" hidden="1">
      <c r="A471" s="1319"/>
      <c r="B471" s="1324"/>
      <c r="C471" s="1320"/>
      <c r="D471" s="1321"/>
      <c r="E471" s="1320" t="s">
        <v>185</v>
      </c>
      <c r="F471" s="1320"/>
      <c r="G471" s="1322"/>
      <c r="H471" s="165" t="s">
        <v>12</v>
      </c>
      <c r="I471" s="886"/>
      <c r="J471" s="886"/>
      <c r="K471" s="887"/>
      <c r="L471" s="887">
        <v>0</v>
      </c>
      <c r="M471" s="887">
        <v>0</v>
      </c>
      <c r="N471" s="887">
        <v>0</v>
      </c>
      <c r="O471" s="887">
        <f t="shared" si="207"/>
        <v>0</v>
      </c>
      <c r="P471" s="887">
        <f t="shared" si="208"/>
        <v>0</v>
      </c>
      <c r="Q471" s="1323"/>
      <c r="R471" s="1323"/>
      <c r="S471" s="1323"/>
      <c r="T471" s="1323"/>
      <c r="U471" s="1323"/>
      <c r="V471" s="1323"/>
      <c r="W471" s="1323"/>
      <c r="X471" s="1323"/>
      <c r="Y471" s="1323"/>
      <c r="Z471" s="1323"/>
    </row>
    <row r="472" spans="1:26" ht="18.75" hidden="1">
      <c r="A472" s="1319"/>
      <c r="B472" s="1324"/>
      <c r="C472" s="1320"/>
      <c r="D472" s="1321"/>
      <c r="E472" s="1320" t="s">
        <v>186</v>
      </c>
      <c r="F472" s="1320"/>
      <c r="G472" s="1322"/>
      <c r="H472" s="165" t="s">
        <v>12</v>
      </c>
      <c r="I472" s="886"/>
      <c r="J472" s="886"/>
      <c r="K472" s="887"/>
      <c r="L472" s="887">
        <f ca="1">IFERROR(__xludf.DUMMYFUNCTION("IMPORTRANGE(""https://docs.google.com/spreadsheets/d/1QqKyyYR6Q21VydFLVH3TRQUabQu_ym0Zz7PgGX0-kHA/edit?usp=sharing"",""แผน!FS75"")"),263283)</f>
        <v>263283</v>
      </c>
      <c r="M472" s="887">
        <f ca="1">L472</f>
        <v>263283</v>
      </c>
      <c r="N472" s="887">
        <f>N473+N474+N475+N476</f>
        <v>57692</v>
      </c>
      <c r="O472" s="887">
        <f t="shared" ca="1" si="207"/>
        <v>21.912542777163736</v>
      </c>
      <c r="P472" s="887">
        <f t="shared" ca="1" si="208"/>
        <v>21.912542777163736</v>
      </c>
      <c r="Q472" s="1323"/>
      <c r="R472" s="1323"/>
      <c r="S472" s="1323"/>
      <c r="T472" s="1323"/>
      <c r="U472" s="1323"/>
      <c r="V472" s="1323"/>
      <c r="W472" s="1323"/>
      <c r="X472" s="1323"/>
      <c r="Y472" s="1323"/>
      <c r="Z472" s="1323"/>
    </row>
    <row r="473" spans="1:26" ht="18.75">
      <c r="A473" s="1299"/>
      <c r="B473" s="1300"/>
      <c r="C473" s="1301"/>
      <c r="D473" s="1301"/>
      <c r="E473" s="1301"/>
      <c r="F473" s="1301" t="s">
        <v>187</v>
      </c>
      <c r="G473" s="1016"/>
      <c r="H473" s="161" t="s">
        <v>12</v>
      </c>
      <c r="I473" s="880"/>
      <c r="J473" s="880"/>
      <c r="K473" s="881"/>
      <c r="L473" s="881"/>
      <c r="M473" s="881"/>
      <c r="N473" s="1085">
        <v>36752</v>
      </c>
      <c r="O473" s="881"/>
      <c r="P473" s="881"/>
      <c r="Q473" s="1302"/>
      <c r="R473" s="1302"/>
      <c r="S473" s="1302"/>
      <c r="T473" s="1302"/>
      <c r="U473" s="1302"/>
      <c r="V473" s="1302"/>
      <c r="W473" s="1302"/>
      <c r="X473" s="1302"/>
      <c r="Y473" s="1302"/>
      <c r="Z473" s="1302"/>
    </row>
    <row r="474" spans="1:26" ht="18.75">
      <c r="A474" s="1299"/>
      <c r="B474" s="1300"/>
      <c r="C474" s="1301"/>
      <c r="D474" s="1301"/>
      <c r="E474" s="1301"/>
      <c r="F474" s="1301" t="s">
        <v>188</v>
      </c>
      <c r="G474" s="1016"/>
      <c r="H474" s="161" t="s">
        <v>12</v>
      </c>
      <c r="I474" s="880"/>
      <c r="J474" s="880"/>
      <c r="K474" s="881"/>
      <c r="L474" s="881"/>
      <c r="M474" s="881"/>
      <c r="N474" s="1085">
        <v>0</v>
      </c>
      <c r="O474" s="881"/>
      <c r="P474" s="881"/>
      <c r="Q474" s="1302"/>
      <c r="R474" s="1302"/>
      <c r="S474" s="1302"/>
      <c r="T474" s="1302"/>
      <c r="U474" s="1302"/>
      <c r="V474" s="1302"/>
      <c r="W474" s="1302"/>
      <c r="X474" s="1302"/>
      <c r="Y474" s="1302"/>
      <c r="Z474" s="1302"/>
    </row>
    <row r="475" spans="1:26" ht="18.75">
      <c r="A475" s="1299"/>
      <c r="B475" s="1300"/>
      <c r="C475" s="1300"/>
      <c r="D475" s="1300"/>
      <c r="E475" s="1300"/>
      <c r="F475" s="1301" t="s">
        <v>189</v>
      </c>
      <c r="G475" s="1016"/>
      <c r="H475" s="161" t="s">
        <v>12</v>
      </c>
      <c r="I475" s="880"/>
      <c r="J475" s="880"/>
      <c r="K475" s="881"/>
      <c r="L475" s="881"/>
      <c r="M475" s="881"/>
      <c r="N475" s="1085">
        <v>0</v>
      </c>
      <c r="O475" s="881"/>
      <c r="P475" s="881"/>
      <c r="Q475" s="1302"/>
      <c r="R475" s="1302"/>
      <c r="S475" s="1302"/>
      <c r="T475" s="1302"/>
      <c r="U475" s="1302"/>
      <c r="V475" s="1302"/>
      <c r="W475" s="1302"/>
      <c r="X475" s="1302"/>
      <c r="Y475" s="1302"/>
      <c r="Z475" s="1302"/>
    </row>
    <row r="476" spans="1:26" ht="18.75">
      <c r="A476" s="1299"/>
      <c r="B476" s="1300"/>
      <c r="C476" s="1300"/>
      <c r="D476" s="1300"/>
      <c r="E476" s="1300"/>
      <c r="F476" s="1301" t="s">
        <v>190</v>
      </c>
      <c r="G476" s="1016"/>
      <c r="H476" s="161" t="s">
        <v>12</v>
      </c>
      <c r="I476" s="880"/>
      <c r="J476" s="880"/>
      <c r="K476" s="881"/>
      <c r="L476" s="881"/>
      <c r="M476" s="881"/>
      <c r="N476" s="1085">
        <v>20940</v>
      </c>
      <c r="O476" s="881"/>
      <c r="P476" s="881"/>
      <c r="Q476" s="1302"/>
      <c r="R476" s="1302"/>
      <c r="S476" s="1302"/>
      <c r="T476" s="1302"/>
      <c r="U476" s="1302"/>
      <c r="V476" s="1302"/>
      <c r="W476" s="1302"/>
      <c r="X476" s="1302"/>
      <c r="Y476" s="1302"/>
      <c r="Z476" s="1302"/>
    </row>
    <row r="477" spans="1:26" ht="18.75">
      <c r="A477" s="1317"/>
      <c r="B477" s="1300"/>
      <c r="C477" s="1300"/>
      <c r="D477" s="1325" t="s">
        <v>21</v>
      </c>
      <c r="E477" s="1300"/>
      <c r="F477" s="1300"/>
      <c r="G477" s="1016"/>
      <c r="H477" s="168" t="s">
        <v>12</v>
      </c>
      <c r="I477" s="997"/>
      <c r="J477" s="997"/>
      <c r="K477" s="998"/>
      <c r="L477" s="881">
        <f t="shared" ref="L477:N477" ca="1" si="211">L478+L479</f>
        <v>0</v>
      </c>
      <c r="M477" s="881">
        <f t="shared" si="211"/>
        <v>0</v>
      </c>
      <c r="N477" s="881">
        <f t="shared" si="211"/>
        <v>0</v>
      </c>
      <c r="O477" s="881">
        <f t="shared" ref="O477:O479" ca="1" si="212">IF(L477&gt;0,N477*100/L477,0)</f>
        <v>0</v>
      </c>
      <c r="P477" s="881">
        <f t="shared" ref="P477:P479" si="213">IF(M477&gt;0,N477*100/M477,0)</f>
        <v>0</v>
      </c>
      <c r="Q477" s="1302"/>
      <c r="R477" s="1302"/>
      <c r="S477" s="1302"/>
      <c r="T477" s="1302"/>
      <c r="U477" s="1302"/>
      <c r="V477" s="1302"/>
      <c r="W477" s="1302"/>
      <c r="X477" s="1302"/>
      <c r="Y477" s="1302"/>
      <c r="Z477" s="1302"/>
    </row>
    <row r="478" spans="1:26" ht="18.75" hidden="1">
      <c r="A478" s="1319"/>
      <c r="B478" s="1324"/>
      <c r="C478" s="1324"/>
      <c r="D478" s="1324"/>
      <c r="E478" s="1324" t="s">
        <v>18</v>
      </c>
      <c r="F478" s="1324"/>
      <c r="G478" s="1322"/>
      <c r="H478" s="165" t="s">
        <v>12</v>
      </c>
      <c r="I478" s="1000"/>
      <c r="J478" s="1000"/>
      <c r="K478" s="1001"/>
      <c r="L478" s="887">
        <v>0</v>
      </c>
      <c r="M478" s="887">
        <v>0</v>
      </c>
      <c r="N478" s="887">
        <v>0</v>
      </c>
      <c r="O478" s="887">
        <f t="shared" si="212"/>
        <v>0</v>
      </c>
      <c r="P478" s="887">
        <f t="shared" si="213"/>
        <v>0</v>
      </c>
      <c r="Q478" s="1323"/>
      <c r="R478" s="1323"/>
      <c r="S478" s="1323"/>
      <c r="T478" s="1323"/>
      <c r="U478" s="1323"/>
      <c r="V478" s="1323"/>
      <c r="W478" s="1323"/>
      <c r="X478" s="1323"/>
      <c r="Y478" s="1323"/>
      <c r="Z478" s="1323"/>
    </row>
    <row r="479" spans="1:26" ht="18.75" hidden="1">
      <c r="A479" s="1319"/>
      <c r="B479" s="1324"/>
      <c r="C479" s="1324"/>
      <c r="D479" s="1324"/>
      <c r="E479" s="1324" t="s">
        <v>19</v>
      </c>
      <c r="F479" s="1324"/>
      <c r="G479" s="1322"/>
      <c r="H479" s="169" t="s">
        <v>12</v>
      </c>
      <c r="I479" s="1000"/>
      <c r="J479" s="1000"/>
      <c r="K479" s="1001"/>
      <c r="L479" s="887">
        <f ca="1">IFERROR(__xludf.DUMMYFUNCTION("IMPORTRANGE(""https://docs.google.com/spreadsheets/d/1QqKyyYR6Q21VydFLVH3TRQUabQu_ym0Zz7PgGX0-kHA/edit?usp=sharing"",""แผน!FV75"")"),0)</f>
        <v>0</v>
      </c>
      <c r="M479" s="887">
        <v>0</v>
      </c>
      <c r="N479" s="887">
        <v>0</v>
      </c>
      <c r="O479" s="887">
        <f t="shared" ca="1" si="212"/>
        <v>0</v>
      </c>
      <c r="P479" s="887">
        <f t="shared" si="213"/>
        <v>0</v>
      </c>
      <c r="Q479" s="1323"/>
      <c r="R479" s="1323"/>
      <c r="S479" s="1323"/>
      <c r="T479" s="1323"/>
      <c r="U479" s="1323"/>
      <c r="V479" s="1323"/>
      <c r="W479" s="1323"/>
      <c r="X479" s="1323"/>
      <c r="Y479" s="1323"/>
      <c r="Z479" s="1323"/>
    </row>
    <row r="480" spans="1:26" ht="19.5">
      <c r="A480" s="1326"/>
      <c r="B480" s="1327"/>
      <c r="C480" s="1300" t="s">
        <v>16</v>
      </c>
      <c r="D480" s="1335" t="s">
        <v>38</v>
      </c>
      <c r="E480" s="1329"/>
      <c r="F480" s="1330"/>
      <c r="G480" s="1331"/>
      <c r="H480" s="1007"/>
      <c r="I480" s="880"/>
      <c r="J480" s="880"/>
      <c r="K480" s="881"/>
      <c r="L480" s="881"/>
      <c r="M480" s="881"/>
      <c r="N480" s="881"/>
      <c r="O480" s="881"/>
      <c r="P480" s="881"/>
      <c r="Q480" s="1302"/>
      <c r="R480" s="1302"/>
      <c r="S480" s="1302"/>
      <c r="T480" s="1302"/>
      <c r="U480" s="1302"/>
      <c r="V480" s="1302"/>
      <c r="W480" s="1302"/>
      <c r="X480" s="1302"/>
      <c r="Y480" s="1302"/>
      <c r="Z480" s="1302"/>
    </row>
    <row r="481" spans="1:26" ht="19.5">
      <c r="A481" s="1326"/>
      <c r="B481" s="1327"/>
      <c r="C481" s="1327"/>
      <c r="D481" s="1336" t="s">
        <v>207</v>
      </c>
      <c r="E481" s="1327"/>
      <c r="F481" s="1327"/>
      <c r="G481" s="1007"/>
      <c r="H481" s="1016"/>
      <c r="I481" s="880"/>
      <c r="J481" s="880"/>
      <c r="K481" s="881"/>
      <c r="L481" s="881"/>
      <c r="M481" s="881"/>
      <c r="N481" s="881"/>
      <c r="O481" s="881"/>
      <c r="P481" s="881"/>
      <c r="Q481" s="1302"/>
      <c r="R481" s="1302"/>
      <c r="S481" s="1302"/>
      <c r="T481" s="1302"/>
      <c r="U481" s="1302"/>
      <c r="V481" s="1302"/>
      <c r="W481" s="1302"/>
      <c r="X481" s="1302"/>
      <c r="Y481" s="1302"/>
      <c r="Z481" s="1302"/>
    </row>
    <row r="482" spans="1:26" ht="18.75">
      <c r="A482" s="1326"/>
      <c r="B482" s="1327"/>
      <c r="C482" s="1327"/>
      <c r="D482" s="1327"/>
      <c r="E482" s="1327" t="s">
        <v>208</v>
      </c>
      <c r="F482" s="1327"/>
      <c r="G482" s="1007"/>
      <c r="H482" s="1016"/>
      <c r="I482" s="880"/>
      <c r="J482" s="880"/>
      <c r="K482" s="881"/>
      <c r="L482" s="881"/>
      <c r="M482" s="881"/>
      <c r="N482" s="881"/>
      <c r="O482" s="881"/>
      <c r="P482" s="881"/>
      <c r="Q482" s="1302"/>
      <c r="R482" s="1302"/>
      <c r="S482" s="1302"/>
      <c r="T482" s="1302"/>
      <c r="U482" s="1302"/>
      <c r="V482" s="1302"/>
      <c r="W482" s="1302"/>
      <c r="X482" s="1302"/>
      <c r="Y482" s="1302"/>
      <c r="Z482" s="1302"/>
    </row>
    <row r="483" spans="1:26" ht="18.75">
      <c r="A483" s="1326"/>
      <c r="B483" s="1327"/>
      <c r="C483" s="1327"/>
      <c r="D483" s="1327"/>
      <c r="E483" s="1327"/>
      <c r="F483" s="1327" t="s">
        <v>209</v>
      </c>
      <c r="G483" s="1007"/>
      <c r="H483" s="622" t="s">
        <v>46</v>
      </c>
      <c r="I483" s="880">
        <f ca="1">IFERROR(__xludf.DUMMYFUNCTION("IMPORTRANGE(""https://docs.google.com/spreadsheets/d/1QqKyyYR6Q21VydFLVH3TRQUabQu_ym0Zz7PgGX0-kHA/edit?usp=sharing"",""แผน!FY75"")"),270)</f>
        <v>270</v>
      </c>
      <c r="J483" s="1012">
        <v>270</v>
      </c>
      <c r="K483" s="881">
        <f ca="1">IF(I483&gt;0,J483*100/I483,0)</f>
        <v>100</v>
      </c>
      <c r="L483" s="881"/>
      <c r="M483" s="881"/>
      <c r="N483" s="881"/>
      <c r="O483" s="881"/>
      <c r="P483" s="881"/>
      <c r="Q483" s="1302"/>
      <c r="R483" s="1302"/>
      <c r="S483" s="1302"/>
      <c r="T483" s="1302"/>
      <c r="U483" s="1302"/>
      <c r="V483" s="1302"/>
      <c r="W483" s="1302"/>
      <c r="X483" s="1302"/>
      <c r="Y483" s="1302"/>
      <c r="Z483" s="1302"/>
    </row>
    <row r="484" spans="1:26" ht="18.75">
      <c r="A484" s="1326"/>
      <c r="B484" s="1327"/>
      <c r="C484" s="1327"/>
      <c r="D484" s="1327"/>
      <c r="E484" s="1327"/>
      <c r="F484" s="1327" t="s">
        <v>210</v>
      </c>
      <c r="G484" s="1007"/>
      <c r="H484" s="622" t="s">
        <v>35</v>
      </c>
      <c r="I484" s="880"/>
      <c r="J484" s="1012">
        <v>34</v>
      </c>
      <c r="K484" s="881"/>
      <c r="L484" s="881"/>
      <c r="M484" s="881"/>
      <c r="N484" s="881"/>
      <c r="O484" s="881"/>
      <c r="P484" s="881"/>
      <c r="Q484" s="1302"/>
      <c r="R484" s="1302"/>
      <c r="S484" s="1302"/>
      <c r="T484" s="1302"/>
      <c r="U484" s="1302"/>
      <c r="V484" s="1302"/>
      <c r="W484" s="1302"/>
      <c r="X484" s="1302"/>
      <c r="Y484" s="1302"/>
      <c r="Z484" s="1302"/>
    </row>
    <row r="485" spans="1:26" ht="18.75">
      <c r="A485" s="1326"/>
      <c r="B485" s="1327"/>
      <c r="C485" s="1327"/>
      <c r="D485" s="1327"/>
      <c r="E485" s="1327"/>
      <c r="F485" s="1327" t="s">
        <v>211</v>
      </c>
      <c r="G485" s="1007"/>
      <c r="H485" s="622" t="s">
        <v>35</v>
      </c>
      <c r="I485" s="880">
        <f ca="1">IFERROR(__xludf.DUMMYFUNCTION("IMPORTRANGE(""https://docs.google.com/spreadsheets/d/1QqKyyYR6Q21VydFLVH3TRQUabQu_ym0Zz7PgGX0-kHA/edit?usp=sharing"",""แผน!FZ75"")"),27)</f>
        <v>27</v>
      </c>
      <c r="J485" s="1012">
        <v>27</v>
      </c>
      <c r="K485" s="881">
        <f ca="1">IF(I485&gt;0,J485*100/I485,0)</f>
        <v>100</v>
      </c>
      <c r="L485" s="881"/>
      <c r="M485" s="881"/>
      <c r="N485" s="881"/>
      <c r="O485" s="881"/>
      <c r="P485" s="881"/>
      <c r="Q485" s="1302"/>
      <c r="R485" s="1302"/>
      <c r="S485" s="1302"/>
      <c r="T485" s="1302"/>
      <c r="U485" s="1302"/>
      <c r="V485" s="1302"/>
      <c r="W485" s="1302"/>
      <c r="X485" s="1302"/>
      <c r="Y485" s="1302"/>
      <c r="Z485" s="1302"/>
    </row>
    <row r="486" spans="1:26" ht="18.75">
      <c r="A486" s="1326"/>
      <c r="B486" s="1327"/>
      <c r="C486" s="1327"/>
      <c r="D486" s="1327"/>
      <c r="E486" s="1327" t="s">
        <v>62</v>
      </c>
      <c r="F486" s="1327"/>
      <c r="G486" s="1007"/>
      <c r="H486" s="622"/>
      <c r="I486" s="880"/>
      <c r="J486" s="880"/>
      <c r="K486" s="881"/>
      <c r="L486" s="881"/>
      <c r="M486" s="881"/>
      <c r="N486" s="881"/>
      <c r="O486" s="881"/>
      <c r="P486" s="881"/>
      <c r="Q486" s="1302"/>
      <c r="R486" s="1302"/>
      <c r="S486" s="1302"/>
      <c r="T486" s="1302"/>
      <c r="U486" s="1302"/>
      <c r="V486" s="1302"/>
      <c r="W486" s="1302"/>
      <c r="X486" s="1302"/>
      <c r="Y486" s="1302"/>
      <c r="Z486" s="1302"/>
    </row>
    <row r="487" spans="1:26" ht="18.75">
      <c r="A487" s="1326"/>
      <c r="B487" s="1327"/>
      <c r="C487" s="1327"/>
      <c r="D487" s="1327"/>
      <c r="E487" s="1327"/>
      <c r="F487" s="1327" t="s">
        <v>209</v>
      </c>
      <c r="G487" s="1007"/>
      <c r="H487" s="622" t="s">
        <v>46</v>
      </c>
      <c r="I487" s="880">
        <f ca="1">IFERROR(__xludf.DUMMYFUNCTION("IMPORTRANGE(""https://docs.google.com/spreadsheets/d/1QqKyyYR6Q21VydFLVH3TRQUabQu_ym0Zz7PgGX0-kHA/edit?usp=sharing"",""แผน!GA75"")"),30)</f>
        <v>30</v>
      </c>
      <c r="J487" s="1012">
        <v>30</v>
      </c>
      <c r="K487" s="881">
        <f ca="1">IF(I487&gt;0,J487*100/I487,0)</f>
        <v>100</v>
      </c>
      <c r="L487" s="881"/>
      <c r="M487" s="881"/>
      <c r="N487" s="881"/>
      <c r="O487" s="881"/>
      <c r="P487" s="881"/>
      <c r="Q487" s="1302"/>
      <c r="R487" s="1302"/>
      <c r="S487" s="1302"/>
      <c r="T487" s="1302"/>
      <c r="U487" s="1302"/>
      <c r="V487" s="1302"/>
      <c r="W487" s="1302"/>
      <c r="X487" s="1302"/>
      <c r="Y487" s="1302"/>
      <c r="Z487" s="1302"/>
    </row>
    <row r="488" spans="1:26" ht="18.75">
      <c r="A488" s="1326"/>
      <c r="B488" s="1327"/>
      <c r="C488" s="1327"/>
      <c r="D488" s="1327"/>
      <c r="E488" s="1327"/>
      <c r="F488" s="1327" t="s">
        <v>212</v>
      </c>
      <c r="G488" s="1007"/>
      <c r="H488" s="622" t="s">
        <v>35</v>
      </c>
      <c r="I488" s="880"/>
      <c r="J488" s="1012">
        <v>3</v>
      </c>
      <c r="K488" s="881"/>
      <c r="L488" s="881"/>
      <c r="M488" s="881"/>
      <c r="N488" s="881"/>
      <c r="O488" s="881"/>
      <c r="P488" s="881"/>
      <c r="Q488" s="1302"/>
      <c r="R488" s="1302"/>
      <c r="S488" s="1302"/>
      <c r="T488" s="1302"/>
      <c r="U488" s="1302"/>
      <c r="V488" s="1302"/>
      <c r="W488" s="1302"/>
      <c r="X488" s="1302"/>
      <c r="Y488" s="1302"/>
      <c r="Z488" s="1302"/>
    </row>
    <row r="489" spans="1:26" ht="18.75">
      <c r="A489" s="1326"/>
      <c r="B489" s="1327"/>
      <c r="C489" s="1327"/>
      <c r="D489" s="1327"/>
      <c r="E489" s="1327"/>
      <c r="F489" s="1327" t="s">
        <v>213</v>
      </c>
      <c r="G489" s="1007"/>
      <c r="H489" s="622" t="s">
        <v>35</v>
      </c>
      <c r="I489" s="880">
        <f ca="1">IFERROR(__xludf.DUMMYFUNCTION("IMPORTRANGE(""https://docs.google.com/spreadsheets/d/1QqKyyYR6Q21VydFLVH3TRQUabQu_ym0Zz7PgGX0-kHA/edit?usp=sharing"",""แผน!GB75"")"),3)</f>
        <v>3</v>
      </c>
      <c r="J489" s="1012">
        <v>3</v>
      </c>
      <c r="K489" s="881">
        <f ca="1">IF(I489&gt;0,J489*100/I489,0)</f>
        <v>100</v>
      </c>
      <c r="L489" s="881"/>
      <c r="M489" s="881"/>
      <c r="N489" s="881"/>
      <c r="O489" s="881"/>
      <c r="P489" s="881"/>
      <c r="Q489" s="1302"/>
      <c r="R489" s="1302"/>
      <c r="S489" s="1302"/>
      <c r="T489" s="1302"/>
      <c r="U489" s="1302"/>
      <c r="V489" s="1302"/>
      <c r="W489" s="1302"/>
      <c r="X489" s="1302"/>
      <c r="Y489" s="1302"/>
      <c r="Z489" s="1302"/>
    </row>
    <row r="490" spans="1:26" ht="18.75">
      <c r="A490" s="1326"/>
      <c r="B490" s="1327"/>
      <c r="C490" s="1327"/>
      <c r="D490" s="1327"/>
      <c r="E490" s="1327" t="s">
        <v>63</v>
      </c>
      <c r="F490" s="1014"/>
      <c r="G490" s="1007"/>
      <c r="H490" s="622"/>
      <c r="I490" s="880"/>
      <c r="J490" s="880"/>
      <c r="K490" s="881"/>
      <c r="L490" s="881"/>
      <c r="M490" s="881"/>
      <c r="N490" s="881"/>
      <c r="O490" s="881"/>
      <c r="P490" s="881"/>
      <c r="Q490" s="1302"/>
      <c r="R490" s="1302"/>
      <c r="S490" s="1302"/>
      <c r="T490" s="1302"/>
      <c r="U490" s="1302"/>
      <c r="V490" s="1302"/>
      <c r="W490" s="1302"/>
      <c r="X490" s="1302"/>
      <c r="Y490" s="1302"/>
      <c r="Z490" s="1302"/>
    </row>
    <row r="491" spans="1:26" ht="18.75">
      <c r="A491" s="1326"/>
      <c r="B491" s="1327"/>
      <c r="C491" s="1327"/>
      <c r="D491" s="1327"/>
      <c r="E491" s="1327"/>
      <c r="F491" s="1327" t="s">
        <v>214</v>
      </c>
      <c r="G491" s="1007"/>
      <c r="H491" s="622" t="s">
        <v>35</v>
      </c>
      <c r="I491" s="880"/>
      <c r="J491" s="1012">
        <v>1</v>
      </c>
      <c r="K491" s="881"/>
      <c r="L491" s="881"/>
      <c r="M491" s="881"/>
      <c r="N491" s="881"/>
      <c r="O491" s="881"/>
      <c r="P491" s="881"/>
      <c r="Q491" s="1302"/>
      <c r="R491" s="1302"/>
      <c r="S491" s="1302"/>
      <c r="T491" s="1302"/>
      <c r="U491" s="1302"/>
      <c r="V491" s="1302"/>
      <c r="W491" s="1302"/>
      <c r="X491" s="1302"/>
      <c r="Y491" s="1302"/>
      <c r="Z491" s="1302"/>
    </row>
    <row r="492" spans="1:26" ht="18.75">
      <c r="A492" s="1326"/>
      <c r="B492" s="1327"/>
      <c r="C492" s="1327"/>
      <c r="D492" s="1327"/>
      <c r="E492" s="1327"/>
      <c r="F492" s="1327" t="s">
        <v>215</v>
      </c>
      <c r="G492" s="1007"/>
      <c r="H492" s="622" t="s">
        <v>35</v>
      </c>
      <c r="I492" s="880">
        <f ca="1">IFERROR(__xludf.DUMMYFUNCTION("IMPORTRANGE(""https://docs.google.com/spreadsheets/d/1QqKyyYR6Q21VydFLVH3TRQUabQu_ym0Zz7PgGX0-kHA/edit?usp=sharing"",""แผน!GC75"")"),1)</f>
        <v>1</v>
      </c>
      <c r="J492" s="1012">
        <v>1</v>
      </c>
      <c r="K492" s="881">
        <f ca="1">IF(I492&gt;0,J492*100/I492,0)</f>
        <v>100</v>
      </c>
      <c r="L492" s="881"/>
      <c r="M492" s="881"/>
      <c r="N492" s="881"/>
      <c r="O492" s="881"/>
      <c r="P492" s="881"/>
      <c r="Q492" s="1302"/>
      <c r="R492" s="1302"/>
      <c r="S492" s="1302"/>
      <c r="T492" s="1302"/>
      <c r="U492" s="1302"/>
      <c r="V492" s="1302"/>
      <c r="W492" s="1302"/>
      <c r="X492" s="1302"/>
      <c r="Y492" s="1302"/>
      <c r="Z492" s="1302"/>
    </row>
    <row r="493" spans="1:26" ht="19.5">
      <c r="A493" s="1326"/>
      <c r="B493" s="1327"/>
      <c r="C493" s="1327"/>
      <c r="D493" s="1336" t="s">
        <v>59</v>
      </c>
      <c r="E493" s="1327"/>
      <c r="F493" s="1014"/>
      <c r="G493" s="1007"/>
      <c r="H493" s="1016"/>
      <c r="I493" s="880"/>
      <c r="J493" s="880"/>
      <c r="K493" s="881"/>
      <c r="L493" s="881"/>
      <c r="M493" s="881"/>
      <c r="N493" s="881"/>
      <c r="O493" s="881"/>
      <c r="P493" s="881"/>
      <c r="Q493" s="1302"/>
      <c r="R493" s="1302"/>
      <c r="S493" s="1302"/>
      <c r="T493" s="1302"/>
      <c r="U493" s="1302"/>
      <c r="V493" s="1302"/>
      <c r="W493" s="1302"/>
      <c r="X493" s="1302"/>
      <c r="Y493" s="1302"/>
      <c r="Z493" s="1302"/>
    </row>
    <row r="494" spans="1:26" ht="18.75">
      <c r="A494" s="1326"/>
      <c r="B494" s="1327"/>
      <c r="C494" s="1327"/>
      <c r="D494" s="1327"/>
      <c r="E494" s="1327" t="s">
        <v>208</v>
      </c>
      <c r="F494" s="1014"/>
      <c r="G494" s="1007"/>
      <c r="H494" s="1016"/>
      <c r="I494" s="880"/>
      <c r="J494" s="880"/>
      <c r="K494" s="881"/>
      <c r="L494" s="881"/>
      <c r="M494" s="881"/>
      <c r="N494" s="881"/>
      <c r="O494" s="881"/>
      <c r="P494" s="881"/>
      <c r="Q494" s="1302"/>
      <c r="R494" s="1302"/>
      <c r="S494" s="1302"/>
      <c r="T494" s="1302"/>
      <c r="U494" s="1302"/>
      <c r="V494" s="1302"/>
      <c r="W494" s="1302"/>
      <c r="X494" s="1302"/>
      <c r="Y494" s="1302"/>
      <c r="Z494" s="1302"/>
    </row>
    <row r="495" spans="1:26" ht="18.75">
      <c r="A495" s="1326"/>
      <c r="B495" s="1327"/>
      <c r="C495" s="1327"/>
      <c r="D495" s="1327"/>
      <c r="E495" s="1327"/>
      <c r="F495" s="1014" t="s">
        <v>216</v>
      </c>
      <c r="G495" s="1007"/>
      <c r="H495" s="622" t="s">
        <v>46</v>
      </c>
      <c r="I495" s="880">
        <f ca="1">IFERROR(__xludf.DUMMYFUNCTION("IMPORTRANGE(""https://docs.google.com/spreadsheets/d/1QqKyyYR6Q21VydFLVH3TRQUabQu_ym0Zz7PgGX0-kHA/edit?usp=sharing"",""แผน!FY75"")"),270)</f>
        <v>270</v>
      </c>
      <c r="J495" s="1012">
        <v>0</v>
      </c>
      <c r="K495" s="881">
        <f ca="1">IF(I495&gt;0,J495*100/I495,0)</f>
        <v>0</v>
      </c>
      <c r="L495" s="881"/>
      <c r="M495" s="881"/>
      <c r="N495" s="881"/>
      <c r="O495" s="881"/>
      <c r="P495" s="881"/>
      <c r="Q495" s="1302"/>
      <c r="R495" s="1302"/>
      <c r="S495" s="1302"/>
      <c r="T495" s="1302"/>
      <c r="U495" s="1302"/>
      <c r="V495" s="1302"/>
      <c r="W495" s="1302"/>
      <c r="X495" s="1302"/>
      <c r="Y495" s="1302"/>
      <c r="Z495" s="1302"/>
    </row>
    <row r="496" spans="1:26" ht="18.75">
      <c r="A496" s="1326"/>
      <c r="B496" s="1327"/>
      <c r="C496" s="1327"/>
      <c r="D496" s="1327"/>
      <c r="E496" s="1327"/>
      <c r="F496" s="1014" t="s">
        <v>217</v>
      </c>
      <c r="G496" s="1007"/>
      <c r="H496" s="622" t="s">
        <v>46</v>
      </c>
      <c r="I496" s="880"/>
      <c r="J496" s="1012">
        <v>0</v>
      </c>
      <c r="K496" s="881"/>
      <c r="L496" s="881"/>
      <c r="M496" s="881"/>
      <c r="N496" s="881"/>
      <c r="O496" s="881"/>
      <c r="P496" s="881"/>
      <c r="Q496" s="1302"/>
      <c r="R496" s="1302"/>
      <c r="S496" s="1302"/>
      <c r="T496" s="1302"/>
      <c r="U496" s="1302"/>
      <c r="V496" s="1302"/>
      <c r="W496" s="1302"/>
      <c r="X496" s="1302"/>
      <c r="Y496" s="1302"/>
      <c r="Z496" s="1302"/>
    </row>
    <row r="497" spans="1:26" ht="18.75">
      <c r="A497" s="1326"/>
      <c r="B497" s="1327"/>
      <c r="C497" s="1327"/>
      <c r="D497" s="1327"/>
      <c r="E497" s="1327" t="s">
        <v>62</v>
      </c>
      <c r="F497" s="1014"/>
      <c r="G497" s="1007"/>
      <c r="H497" s="1016"/>
      <c r="I497" s="880"/>
      <c r="J497" s="880"/>
      <c r="K497" s="881"/>
      <c r="L497" s="881"/>
      <c r="M497" s="881"/>
      <c r="N497" s="881"/>
      <c r="O497" s="881"/>
      <c r="P497" s="881"/>
      <c r="Q497" s="1302"/>
      <c r="R497" s="1302"/>
      <c r="S497" s="1302"/>
      <c r="T497" s="1302"/>
      <c r="U497" s="1302"/>
      <c r="V497" s="1302"/>
      <c r="W497" s="1302"/>
      <c r="X497" s="1302"/>
      <c r="Y497" s="1302"/>
      <c r="Z497" s="1302"/>
    </row>
    <row r="498" spans="1:26" ht="18.75">
      <c r="A498" s="1326"/>
      <c r="B498" s="1327"/>
      <c r="C498" s="1327"/>
      <c r="D498" s="1327"/>
      <c r="E498" s="1014"/>
      <c r="F498" s="1014" t="s">
        <v>218</v>
      </c>
      <c r="G498" s="1007"/>
      <c r="H498" s="622" t="s">
        <v>46</v>
      </c>
      <c r="I498" s="880">
        <f ca="1">IFERROR(__xludf.DUMMYFUNCTION("IMPORTRANGE(""https://docs.google.com/spreadsheets/d/1QqKyyYR6Q21VydFLVH3TRQUabQu_ym0Zz7PgGX0-kHA/edit?usp=sharing"",""แผน!GA75"")"),30)</f>
        <v>30</v>
      </c>
      <c r="J498" s="1012">
        <v>0</v>
      </c>
      <c r="K498" s="881">
        <f ca="1">IF(I498&gt;0,J498*100/I498,0)</f>
        <v>0</v>
      </c>
      <c r="L498" s="881"/>
      <c r="M498" s="881"/>
      <c r="N498" s="881"/>
      <c r="O498" s="881"/>
      <c r="P498" s="881"/>
      <c r="Q498" s="1302"/>
      <c r="R498" s="1302"/>
      <c r="S498" s="1302"/>
      <c r="T498" s="1302"/>
      <c r="U498" s="1302"/>
      <c r="V498" s="1302"/>
      <c r="W498" s="1302"/>
      <c r="X498" s="1302"/>
      <c r="Y498" s="1302"/>
      <c r="Z498" s="1302"/>
    </row>
    <row r="499" spans="1:26" ht="18.75">
      <c r="A499" s="1326"/>
      <c r="B499" s="1327"/>
      <c r="C499" s="1327"/>
      <c r="D499" s="1327"/>
      <c r="E499" s="1014"/>
      <c r="F499" s="1014" t="s">
        <v>219</v>
      </c>
      <c r="G499" s="1007"/>
      <c r="H499" s="622" t="s">
        <v>46</v>
      </c>
      <c r="I499" s="880"/>
      <c r="J499" s="1012">
        <v>0</v>
      </c>
      <c r="K499" s="881"/>
      <c r="L499" s="881"/>
      <c r="M499" s="881"/>
      <c r="N499" s="881"/>
      <c r="O499" s="881"/>
      <c r="P499" s="881"/>
      <c r="Q499" s="1302"/>
      <c r="R499" s="1302"/>
      <c r="S499" s="1302"/>
      <c r="T499" s="1302"/>
      <c r="U499" s="1302"/>
      <c r="V499" s="1302"/>
      <c r="W499" s="1302"/>
      <c r="X499" s="1302"/>
      <c r="Y499" s="1302"/>
      <c r="Z499" s="1302"/>
    </row>
    <row r="500" spans="1:26" ht="19.5" hidden="1">
      <c r="A500" s="626">
        <v>4</v>
      </c>
      <c r="B500" s="1337" t="s">
        <v>220</v>
      </c>
      <c r="C500" s="1338"/>
      <c r="D500" s="1339"/>
      <c r="E500" s="1339"/>
      <c r="F500" s="1339"/>
      <c r="G500" s="1340"/>
      <c r="H500" s="631" t="s">
        <v>109</v>
      </c>
      <c r="I500" s="1341"/>
      <c r="J500" s="1341">
        <f t="shared" ref="J500:J501" si="214">J516</f>
        <v>0</v>
      </c>
      <c r="K500" s="1342">
        <f t="shared" ref="K500:K501" si="215">IF(I500&gt;0,J500*100/I500,0)</f>
        <v>0</v>
      </c>
      <c r="L500" s="1343"/>
      <c r="M500" s="1343"/>
      <c r="N500" s="1343"/>
      <c r="O500" s="1343"/>
      <c r="P500" s="1343"/>
      <c r="Q500" s="1323"/>
      <c r="R500" s="1323"/>
      <c r="S500" s="1323"/>
      <c r="T500" s="1323"/>
      <c r="U500" s="1323"/>
      <c r="V500" s="1323"/>
      <c r="W500" s="1323"/>
      <c r="X500" s="1323"/>
      <c r="Y500" s="1323"/>
      <c r="Z500" s="1323"/>
    </row>
    <row r="501" spans="1:26" ht="19.5" hidden="1">
      <c r="A501" s="1344"/>
      <c r="B501" s="1345" t="s">
        <v>221</v>
      </c>
      <c r="C501" s="1345"/>
      <c r="D501" s="1346"/>
      <c r="E501" s="1346"/>
      <c r="F501" s="1346"/>
      <c r="G501" s="1347"/>
      <c r="H501" s="640" t="s">
        <v>35</v>
      </c>
      <c r="I501" s="1348"/>
      <c r="J501" s="1348">
        <f t="shared" si="214"/>
        <v>0</v>
      </c>
      <c r="K501" s="1349">
        <f t="shared" si="215"/>
        <v>0</v>
      </c>
      <c r="L501" s="1350"/>
      <c r="M501" s="1350"/>
      <c r="N501" s="1350"/>
      <c r="O501" s="1350"/>
      <c r="P501" s="1350"/>
      <c r="Q501" s="1323"/>
      <c r="R501" s="1323"/>
      <c r="S501" s="1323"/>
      <c r="T501" s="1323"/>
      <c r="U501" s="1323"/>
      <c r="V501" s="1323"/>
      <c r="W501" s="1323"/>
      <c r="X501" s="1323"/>
      <c r="Y501" s="1323"/>
      <c r="Z501" s="1323"/>
    </row>
    <row r="502" spans="1:26" ht="19.5" hidden="1">
      <c r="A502" s="1319"/>
      <c r="B502" s="1320"/>
      <c r="C502" s="1320" t="s">
        <v>16</v>
      </c>
      <c r="D502" s="1351" t="s">
        <v>17</v>
      </c>
      <c r="E502" s="841"/>
      <c r="F502" s="841"/>
      <c r="G502" s="1322"/>
      <c r="H502" s="644" t="s">
        <v>12</v>
      </c>
      <c r="I502" s="886"/>
      <c r="J502" s="886"/>
      <c r="K502" s="887"/>
      <c r="L502" s="1352">
        <f t="shared" ref="L502:N502" si="216">L503+L504</f>
        <v>0</v>
      </c>
      <c r="M502" s="1352">
        <f t="shared" si="216"/>
        <v>0</v>
      </c>
      <c r="N502" s="1352">
        <f t="shared" si="216"/>
        <v>0</v>
      </c>
      <c r="O502" s="1352">
        <f t="shared" ref="O502:O507" si="217">IF(L502&gt;0,N502*100/L502,0)</f>
        <v>0</v>
      </c>
      <c r="P502" s="1352">
        <f t="shared" ref="P502:P507" si="218">IF(M502&gt;0,N502*100/M502,0)</f>
        <v>0</v>
      </c>
      <c r="Q502" s="1323"/>
      <c r="R502" s="1323"/>
      <c r="S502" s="1323"/>
      <c r="T502" s="1323"/>
      <c r="U502" s="1323"/>
      <c r="V502" s="1323"/>
      <c r="W502" s="1323"/>
      <c r="X502" s="1323"/>
      <c r="Y502" s="1323"/>
      <c r="Z502" s="1323"/>
    </row>
    <row r="503" spans="1:26" ht="18.75" hidden="1">
      <c r="A503" s="1319"/>
      <c r="B503" s="1320"/>
      <c r="C503" s="1320"/>
      <c r="D503" s="1321"/>
      <c r="E503" s="1320" t="s">
        <v>185</v>
      </c>
      <c r="F503" s="1320"/>
      <c r="G503" s="1322"/>
      <c r="H503" s="165" t="s">
        <v>12</v>
      </c>
      <c r="I503" s="886"/>
      <c r="J503" s="886"/>
      <c r="K503" s="887"/>
      <c r="L503" s="887">
        <f t="shared" ref="L503:N504" si="219">L506+L513</f>
        <v>0</v>
      </c>
      <c r="M503" s="887">
        <f t="shared" si="219"/>
        <v>0</v>
      </c>
      <c r="N503" s="887">
        <f t="shared" si="219"/>
        <v>0</v>
      </c>
      <c r="O503" s="887">
        <f t="shared" si="217"/>
        <v>0</v>
      </c>
      <c r="P503" s="887">
        <f t="shared" si="218"/>
        <v>0</v>
      </c>
      <c r="Q503" s="1323"/>
      <c r="R503" s="1323"/>
      <c r="S503" s="1323"/>
      <c r="T503" s="1323"/>
      <c r="U503" s="1323"/>
      <c r="V503" s="1323"/>
      <c r="W503" s="1323"/>
      <c r="X503" s="1323"/>
      <c r="Y503" s="1323"/>
      <c r="Z503" s="1323"/>
    </row>
    <row r="504" spans="1:26" ht="18.75" hidden="1">
      <c r="A504" s="1319"/>
      <c r="B504" s="1324"/>
      <c r="C504" s="1320"/>
      <c r="D504" s="1321"/>
      <c r="E504" s="1320" t="s">
        <v>186</v>
      </c>
      <c r="F504" s="1320"/>
      <c r="G504" s="1322"/>
      <c r="H504" s="165" t="s">
        <v>12</v>
      </c>
      <c r="I504" s="886"/>
      <c r="J504" s="886"/>
      <c r="K504" s="887"/>
      <c r="L504" s="887">
        <f t="shared" si="219"/>
        <v>0</v>
      </c>
      <c r="M504" s="887">
        <f t="shared" si="219"/>
        <v>0</v>
      </c>
      <c r="N504" s="887">
        <f t="shared" si="219"/>
        <v>0</v>
      </c>
      <c r="O504" s="887">
        <f t="shared" si="217"/>
        <v>0</v>
      </c>
      <c r="P504" s="887">
        <f t="shared" si="218"/>
        <v>0</v>
      </c>
      <c r="Q504" s="1323"/>
      <c r="R504" s="1323"/>
      <c r="S504" s="1323"/>
      <c r="T504" s="1323"/>
      <c r="U504" s="1323"/>
      <c r="V504" s="1323"/>
      <c r="W504" s="1323"/>
      <c r="X504" s="1323"/>
      <c r="Y504" s="1323"/>
      <c r="Z504" s="1323"/>
    </row>
    <row r="505" spans="1:26" ht="18.75" hidden="1">
      <c r="A505" s="1319"/>
      <c r="B505" s="1324"/>
      <c r="C505" s="1320"/>
      <c r="D505" s="1353" t="s">
        <v>20</v>
      </c>
      <c r="E505" s="1320"/>
      <c r="F505" s="1320"/>
      <c r="G505" s="1322"/>
      <c r="H505" s="165" t="s">
        <v>12</v>
      </c>
      <c r="I505" s="1000"/>
      <c r="J505" s="1000"/>
      <c r="K505" s="1001"/>
      <c r="L505" s="887">
        <f t="shared" ref="L505:N505" si="220">L506+L507</f>
        <v>0</v>
      </c>
      <c r="M505" s="887">
        <f t="shared" si="220"/>
        <v>0</v>
      </c>
      <c r="N505" s="887">
        <f t="shared" si="220"/>
        <v>0</v>
      </c>
      <c r="O505" s="887">
        <f t="shared" si="217"/>
        <v>0</v>
      </c>
      <c r="P505" s="887">
        <f t="shared" si="218"/>
        <v>0</v>
      </c>
      <c r="Q505" s="1323"/>
      <c r="R505" s="1323"/>
      <c r="S505" s="1323"/>
      <c r="T505" s="1323"/>
      <c r="U505" s="1323"/>
      <c r="V505" s="1323"/>
      <c r="W505" s="1323"/>
      <c r="X505" s="1323"/>
      <c r="Y505" s="1323"/>
      <c r="Z505" s="1323"/>
    </row>
    <row r="506" spans="1:26" ht="18.75" hidden="1">
      <c r="A506" s="1319"/>
      <c r="B506" s="1324"/>
      <c r="C506" s="1320"/>
      <c r="D506" s="1321"/>
      <c r="E506" s="1320" t="s">
        <v>185</v>
      </c>
      <c r="F506" s="1320"/>
      <c r="G506" s="1322"/>
      <c r="H506" s="165" t="s">
        <v>12</v>
      </c>
      <c r="I506" s="886"/>
      <c r="J506" s="886"/>
      <c r="K506" s="887"/>
      <c r="L506" s="887">
        <v>0</v>
      </c>
      <c r="M506" s="887">
        <v>0</v>
      </c>
      <c r="N506" s="887">
        <v>0</v>
      </c>
      <c r="O506" s="887">
        <f t="shared" si="217"/>
        <v>0</v>
      </c>
      <c r="P506" s="887">
        <f t="shared" si="218"/>
        <v>0</v>
      </c>
      <c r="Q506" s="1323"/>
      <c r="R506" s="1323"/>
      <c r="S506" s="1323"/>
      <c r="T506" s="1323"/>
      <c r="U506" s="1323"/>
      <c r="V506" s="1323"/>
      <c r="W506" s="1323"/>
      <c r="X506" s="1323"/>
      <c r="Y506" s="1323"/>
      <c r="Z506" s="1323"/>
    </row>
    <row r="507" spans="1:26" ht="18.75" hidden="1">
      <c r="A507" s="1319"/>
      <c r="B507" s="1324"/>
      <c r="C507" s="1320"/>
      <c r="D507" s="1321"/>
      <c r="E507" s="1320" t="s">
        <v>186</v>
      </c>
      <c r="F507" s="1320"/>
      <c r="G507" s="1322"/>
      <c r="H507" s="165" t="s">
        <v>12</v>
      </c>
      <c r="I507" s="886"/>
      <c r="J507" s="886"/>
      <c r="K507" s="887"/>
      <c r="L507" s="887">
        <v>0</v>
      </c>
      <c r="M507" s="887">
        <v>0</v>
      </c>
      <c r="N507" s="887">
        <f>N508+N509+N510+N511</f>
        <v>0</v>
      </c>
      <c r="O507" s="887">
        <f t="shared" si="217"/>
        <v>0</v>
      </c>
      <c r="P507" s="887">
        <f t="shared" si="218"/>
        <v>0</v>
      </c>
      <c r="Q507" s="1323"/>
      <c r="R507" s="1323"/>
      <c r="S507" s="1323"/>
      <c r="T507" s="1323"/>
      <c r="U507" s="1323"/>
      <c r="V507" s="1323"/>
      <c r="W507" s="1323"/>
      <c r="X507" s="1323"/>
      <c r="Y507" s="1323"/>
      <c r="Z507" s="1323"/>
    </row>
    <row r="508" spans="1:26" ht="18.75" hidden="1">
      <c r="A508" s="1354"/>
      <c r="B508" s="1324"/>
      <c r="C508" s="1320"/>
      <c r="D508" s="1320"/>
      <c r="E508" s="1320"/>
      <c r="F508" s="1320" t="s">
        <v>187</v>
      </c>
      <c r="G508" s="1322"/>
      <c r="H508" s="165" t="s">
        <v>12</v>
      </c>
      <c r="I508" s="886"/>
      <c r="J508" s="886"/>
      <c r="K508" s="887"/>
      <c r="L508" s="887"/>
      <c r="M508" s="887"/>
      <c r="N508" s="887">
        <v>0</v>
      </c>
      <c r="O508" s="887"/>
      <c r="P508" s="887"/>
      <c r="Q508" s="1323"/>
      <c r="R508" s="1323"/>
      <c r="S508" s="1323"/>
      <c r="T508" s="1323"/>
      <c r="U508" s="1323"/>
      <c r="V508" s="1323"/>
      <c r="W508" s="1323"/>
      <c r="X508" s="1323"/>
      <c r="Y508" s="1323"/>
      <c r="Z508" s="1323"/>
    </row>
    <row r="509" spans="1:26" ht="18.75" hidden="1">
      <c r="A509" s="1354"/>
      <c r="B509" s="1324"/>
      <c r="C509" s="1320"/>
      <c r="D509" s="1320"/>
      <c r="E509" s="1320"/>
      <c r="F509" s="1320" t="s">
        <v>188</v>
      </c>
      <c r="G509" s="1322"/>
      <c r="H509" s="165" t="s">
        <v>12</v>
      </c>
      <c r="I509" s="886"/>
      <c r="J509" s="886"/>
      <c r="K509" s="887"/>
      <c r="L509" s="887"/>
      <c r="M509" s="887"/>
      <c r="N509" s="887">
        <v>0</v>
      </c>
      <c r="O509" s="887"/>
      <c r="P509" s="887"/>
      <c r="Q509" s="1323"/>
      <c r="R509" s="1323"/>
      <c r="S509" s="1323"/>
      <c r="T509" s="1323"/>
      <c r="U509" s="1323"/>
      <c r="V509" s="1323"/>
      <c r="W509" s="1323"/>
      <c r="X509" s="1323"/>
      <c r="Y509" s="1323"/>
      <c r="Z509" s="1323"/>
    </row>
    <row r="510" spans="1:26" ht="18.75" hidden="1">
      <c r="A510" s="1354"/>
      <c r="B510" s="1324"/>
      <c r="C510" s="1324"/>
      <c r="D510" s="1324"/>
      <c r="E510" s="1320"/>
      <c r="F510" s="1320" t="s">
        <v>189</v>
      </c>
      <c r="G510" s="1322"/>
      <c r="H510" s="165" t="s">
        <v>12</v>
      </c>
      <c r="I510" s="886"/>
      <c r="J510" s="886"/>
      <c r="K510" s="887"/>
      <c r="L510" s="887"/>
      <c r="M510" s="887"/>
      <c r="N510" s="887">
        <v>0</v>
      </c>
      <c r="O510" s="887"/>
      <c r="P510" s="887"/>
      <c r="Q510" s="1323"/>
      <c r="R510" s="1323"/>
      <c r="S510" s="1323"/>
      <c r="T510" s="1323"/>
      <c r="U510" s="1323"/>
      <c r="V510" s="1323"/>
      <c r="W510" s="1323"/>
      <c r="X510" s="1323"/>
      <c r="Y510" s="1323"/>
      <c r="Z510" s="1323"/>
    </row>
    <row r="511" spans="1:26" ht="18.75" hidden="1">
      <c r="A511" s="1354"/>
      <c r="B511" s="1324"/>
      <c r="C511" s="1324"/>
      <c r="D511" s="1324"/>
      <c r="E511" s="1320"/>
      <c r="F511" s="1320" t="s">
        <v>190</v>
      </c>
      <c r="G511" s="1322"/>
      <c r="H511" s="165" t="s">
        <v>12</v>
      </c>
      <c r="I511" s="886"/>
      <c r="J511" s="886"/>
      <c r="K511" s="887"/>
      <c r="L511" s="887"/>
      <c r="M511" s="887"/>
      <c r="N511" s="887">
        <v>0</v>
      </c>
      <c r="O511" s="887"/>
      <c r="P511" s="887"/>
      <c r="Q511" s="1323"/>
      <c r="R511" s="1323"/>
      <c r="S511" s="1323"/>
      <c r="T511" s="1323"/>
      <c r="U511" s="1323"/>
      <c r="V511" s="1323"/>
      <c r="W511" s="1323"/>
      <c r="X511" s="1323"/>
      <c r="Y511" s="1323"/>
      <c r="Z511" s="1323"/>
    </row>
    <row r="512" spans="1:26" ht="18.75" hidden="1">
      <c r="A512" s="1319"/>
      <c r="B512" s="1324"/>
      <c r="C512" s="1324"/>
      <c r="D512" s="1353" t="s">
        <v>21</v>
      </c>
      <c r="E512" s="1324"/>
      <c r="F512" s="1320"/>
      <c r="G512" s="1322"/>
      <c r="H512" s="169" t="s">
        <v>12</v>
      </c>
      <c r="I512" s="1000"/>
      <c r="J512" s="1000"/>
      <c r="K512" s="1001"/>
      <c r="L512" s="887">
        <f t="shared" ref="L512:N512" si="221">L513+L514</f>
        <v>0</v>
      </c>
      <c r="M512" s="887">
        <f t="shared" si="221"/>
        <v>0</v>
      </c>
      <c r="N512" s="887">
        <f t="shared" si="221"/>
        <v>0</v>
      </c>
      <c r="O512" s="887">
        <f t="shared" ref="O512:O514" si="222">IF(L512&gt;0,N512*100/L512,0)</f>
        <v>0</v>
      </c>
      <c r="P512" s="887">
        <f t="shared" ref="P512:P514" si="223">IF(M512&gt;0,N512*100/M512,0)</f>
        <v>0</v>
      </c>
      <c r="Q512" s="1323"/>
      <c r="R512" s="1323"/>
      <c r="S512" s="1323"/>
      <c r="T512" s="1323"/>
      <c r="U512" s="1323"/>
      <c r="V512" s="1323"/>
      <c r="W512" s="1323"/>
      <c r="X512" s="1323"/>
      <c r="Y512" s="1323"/>
      <c r="Z512" s="1323"/>
    </row>
    <row r="513" spans="1:26" ht="18.75" hidden="1">
      <c r="A513" s="1319"/>
      <c r="B513" s="1324"/>
      <c r="C513" s="1324"/>
      <c r="D513" s="1324"/>
      <c r="E513" s="1324" t="s">
        <v>18</v>
      </c>
      <c r="F513" s="1320"/>
      <c r="G513" s="1322"/>
      <c r="H513" s="165" t="s">
        <v>12</v>
      </c>
      <c r="I513" s="1000"/>
      <c r="J513" s="1000"/>
      <c r="K513" s="1001"/>
      <c r="L513" s="887">
        <v>0</v>
      </c>
      <c r="M513" s="887">
        <v>0</v>
      </c>
      <c r="N513" s="887">
        <v>0</v>
      </c>
      <c r="O513" s="887">
        <f t="shared" si="222"/>
        <v>0</v>
      </c>
      <c r="P513" s="887">
        <f t="shared" si="223"/>
        <v>0</v>
      </c>
      <c r="Q513" s="1323"/>
      <c r="R513" s="1323"/>
      <c r="S513" s="1323"/>
      <c r="T513" s="1323"/>
      <c r="U513" s="1323"/>
      <c r="V513" s="1323"/>
      <c r="W513" s="1323"/>
      <c r="X513" s="1323"/>
      <c r="Y513" s="1323"/>
      <c r="Z513" s="1323"/>
    </row>
    <row r="514" spans="1:26" ht="18.75" hidden="1">
      <c r="A514" s="1319"/>
      <c r="B514" s="1324"/>
      <c r="C514" s="1324"/>
      <c r="D514" s="1320"/>
      <c r="E514" s="1324" t="s">
        <v>19</v>
      </c>
      <c r="F514" s="1320"/>
      <c r="G514" s="1322"/>
      <c r="H514" s="169" t="s">
        <v>12</v>
      </c>
      <c r="I514" s="1000"/>
      <c r="J514" s="1000"/>
      <c r="K514" s="1001"/>
      <c r="L514" s="887">
        <v>0</v>
      </c>
      <c r="M514" s="887">
        <v>0</v>
      </c>
      <c r="N514" s="887">
        <v>0</v>
      </c>
      <c r="O514" s="887">
        <f t="shared" si="222"/>
        <v>0</v>
      </c>
      <c r="P514" s="887">
        <f t="shared" si="223"/>
        <v>0</v>
      </c>
      <c r="Q514" s="1323"/>
      <c r="R514" s="1323"/>
      <c r="S514" s="1323"/>
      <c r="T514" s="1323"/>
      <c r="U514" s="1323"/>
      <c r="V514" s="1323"/>
      <c r="W514" s="1323"/>
      <c r="X514" s="1323"/>
      <c r="Y514" s="1323"/>
      <c r="Z514" s="1323"/>
    </row>
    <row r="515" spans="1:26" ht="19.5" hidden="1">
      <c r="A515" s="1332"/>
      <c r="B515" s="1333"/>
      <c r="C515" s="1324" t="s">
        <v>16</v>
      </c>
      <c r="D515" s="1355" t="s">
        <v>38</v>
      </c>
      <c r="E515" s="1356"/>
      <c r="F515" s="1356"/>
      <c r="G515" s="1357"/>
      <c r="H515" s="1113"/>
      <c r="I515" s="1000"/>
      <c r="J515" s="1000"/>
      <c r="K515" s="1001"/>
      <c r="L515" s="1001"/>
      <c r="M515" s="1001"/>
      <c r="N515" s="1001"/>
      <c r="O515" s="1001"/>
      <c r="P515" s="1001"/>
      <c r="Q515" s="1323"/>
      <c r="R515" s="1323"/>
      <c r="S515" s="1323"/>
      <c r="T515" s="1323"/>
      <c r="U515" s="1323"/>
      <c r="V515" s="1323"/>
      <c r="W515" s="1323"/>
      <c r="X515" s="1323"/>
      <c r="Y515" s="1323"/>
      <c r="Z515" s="1323"/>
    </row>
    <row r="516" spans="1:26" ht="18.75" hidden="1">
      <c r="A516" s="1332"/>
      <c r="B516" s="1333"/>
      <c r="C516" s="1333"/>
      <c r="D516" s="1333" t="s">
        <v>222</v>
      </c>
      <c r="E516" s="1321"/>
      <c r="F516" s="1321"/>
      <c r="G516" s="1113"/>
      <c r="H516" s="651" t="s">
        <v>109</v>
      </c>
      <c r="I516" s="886"/>
      <c r="J516" s="886">
        <v>0</v>
      </c>
      <c r="K516" s="1001">
        <f t="shared" ref="K516:K517" si="224">IF(I516&gt;0,J516*100/I516,0)</f>
        <v>0</v>
      </c>
      <c r="L516" s="1001"/>
      <c r="M516" s="1001"/>
      <c r="N516" s="1001"/>
      <c r="O516" s="1001"/>
      <c r="P516" s="1001"/>
      <c r="Q516" s="1323"/>
      <c r="R516" s="1323"/>
      <c r="S516" s="1323"/>
      <c r="T516" s="1323"/>
      <c r="U516" s="1323"/>
      <c r="V516" s="1323"/>
      <c r="W516" s="1323"/>
      <c r="X516" s="1323"/>
      <c r="Y516" s="1323"/>
      <c r="Z516" s="1323"/>
    </row>
    <row r="517" spans="1:26" ht="19.5" hidden="1">
      <c r="A517" s="1332"/>
      <c r="B517" s="1333"/>
      <c r="C517" s="1333"/>
      <c r="D517" s="1333" t="s">
        <v>223</v>
      </c>
      <c r="E517" s="1321"/>
      <c r="F517" s="1321"/>
      <c r="G517" s="1113"/>
      <c r="H517" s="652" t="s">
        <v>35</v>
      </c>
      <c r="I517" s="1358"/>
      <c r="J517" s="1358">
        <f>J518+J519</f>
        <v>0</v>
      </c>
      <c r="K517" s="1359">
        <f t="shared" si="224"/>
        <v>0</v>
      </c>
      <c r="L517" s="1001"/>
      <c r="M517" s="1001"/>
      <c r="N517" s="1001"/>
      <c r="O517" s="1001"/>
      <c r="P517" s="1001"/>
      <c r="Q517" s="1323"/>
      <c r="R517" s="1323"/>
      <c r="S517" s="1323"/>
      <c r="T517" s="1323"/>
      <c r="U517" s="1323"/>
      <c r="V517" s="1323"/>
      <c r="W517" s="1323"/>
      <c r="X517" s="1323"/>
      <c r="Y517" s="1323"/>
      <c r="Z517" s="1323"/>
    </row>
    <row r="518" spans="1:26" ht="18.75" hidden="1">
      <c r="A518" s="1332"/>
      <c r="B518" s="1333"/>
      <c r="C518" s="1333"/>
      <c r="D518" s="1333"/>
      <c r="E518" s="1333" t="s">
        <v>224</v>
      </c>
      <c r="F518" s="1321"/>
      <c r="G518" s="1113"/>
      <c r="H518" s="370" t="s">
        <v>35</v>
      </c>
      <c r="I518" s="886"/>
      <c r="J518" s="886"/>
      <c r="K518" s="1001"/>
      <c r="L518" s="1001"/>
      <c r="M518" s="1001"/>
      <c r="N518" s="1001"/>
      <c r="O518" s="1001"/>
      <c r="P518" s="1001"/>
      <c r="Q518" s="1323"/>
      <c r="R518" s="1323"/>
      <c r="S518" s="1323"/>
      <c r="T518" s="1323"/>
      <c r="U518" s="1323"/>
      <c r="V518" s="1323"/>
      <c r="W518" s="1323"/>
      <c r="X518" s="1323"/>
      <c r="Y518" s="1323"/>
      <c r="Z518" s="1323"/>
    </row>
    <row r="519" spans="1:26" ht="18.75" hidden="1">
      <c r="A519" s="1332"/>
      <c r="B519" s="1333"/>
      <c r="C519" s="1333"/>
      <c r="D519" s="1333"/>
      <c r="E519" s="1333" t="s">
        <v>225</v>
      </c>
      <c r="F519" s="1321"/>
      <c r="G519" s="1113"/>
      <c r="H519" s="651" t="s">
        <v>35</v>
      </c>
      <c r="I519" s="886"/>
      <c r="J519" s="886"/>
      <c r="K519" s="1001"/>
      <c r="L519" s="1001"/>
      <c r="M519" s="1001"/>
      <c r="N519" s="1001"/>
      <c r="O519" s="1001"/>
      <c r="P519" s="1001"/>
      <c r="Q519" s="1323"/>
      <c r="R519" s="1323"/>
      <c r="S519" s="1323"/>
      <c r="T519" s="1323"/>
      <c r="U519" s="1323"/>
      <c r="V519" s="1323"/>
      <c r="W519" s="1323"/>
      <c r="X519" s="1323"/>
      <c r="Y519" s="1323"/>
      <c r="Z519" s="1323"/>
    </row>
    <row r="520" spans="1:26" ht="19.5">
      <c r="A520" s="1360" t="s">
        <v>137</v>
      </c>
      <c r="B520" s="1361"/>
      <c r="C520" s="1361"/>
      <c r="D520" s="1362"/>
      <c r="E520" s="1362"/>
      <c r="F520" s="1362"/>
      <c r="G520" s="1363"/>
      <c r="H520" s="1364"/>
      <c r="I520" s="1365"/>
      <c r="J520" s="1365"/>
      <c r="K520" s="1366"/>
      <c r="L520" s="1366"/>
      <c r="M520" s="1366"/>
      <c r="N520" s="1366"/>
      <c r="O520" s="1366"/>
      <c r="P520" s="1366"/>
    </row>
    <row r="521" spans="1:26" ht="19.5">
      <c r="A521" s="662">
        <v>5</v>
      </c>
      <c r="B521" s="1367" t="s">
        <v>226</v>
      </c>
      <c r="C521" s="1368"/>
      <c r="D521" s="1369"/>
      <c r="E521" s="1369"/>
      <c r="F521" s="1369"/>
      <c r="G521" s="1369"/>
      <c r="H521" s="1370"/>
      <c r="I521" s="1371"/>
      <c r="J521" s="1371"/>
      <c r="K521" s="1372"/>
      <c r="L521" s="1372"/>
      <c r="M521" s="1372"/>
      <c r="N521" s="1372"/>
      <c r="O521" s="1372"/>
      <c r="P521" s="1372"/>
      <c r="Q521" s="1302"/>
      <c r="R521" s="1302"/>
      <c r="S521" s="1302"/>
      <c r="T521" s="1302"/>
      <c r="U521" s="1302"/>
      <c r="V521" s="1302"/>
      <c r="W521" s="1302"/>
      <c r="X521" s="1302"/>
      <c r="Y521" s="1302"/>
      <c r="Z521" s="1302"/>
    </row>
    <row r="522" spans="1:26" ht="19.5">
      <c r="A522" s="1373"/>
      <c r="B522" s="1374" t="s">
        <v>227</v>
      </c>
      <c r="C522" s="1375"/>
      <c r="D522" s="1375"/>
      <c r="E522" s="1375"/>
      <c r="F522" s="1375"/>
      <c r="G522" s="1376"/>
      <c r="H522" s="673" t="s">
        <v>35</v>
      </c>
      <c r="I522" s="1377">
        <f t="shared" ref="I522:J522" ca="1" si="225">I537</f>
        <v>80</v>
      </c>
      <c r="J522" s="1377">
        <f t="shared" ca="1" si="225"/>
        <v>80</v>
      </c>
      <c r="K522" s="1378">
        <f ca="1">IF(I522&gt;0,J522*100/I522,0)</f>
        <v>100</v>
      </c>
      <c r="L522" s="1379"/>
      <c r="M522" s="1379"/>
      <c r="N522" s="1379"/>
      <c r="O522" s="1379"/>
      <c r="P522" s="1379"/>
      <c r="Q522" s="1302"/>
      <c r="R522" s="1302"/>
      <c r="S522" s="1302"/>
      <c r="T522" s="1302"/>
      <c r="U522" s="1302"/>
      <c r="V522" s="1302"/>
      <c r="W522" s="1302"/>
      <c r="X522" s="1302"/>
      <c r="Y522" s="1302"/>
      <c r="Z522" s="1302"/>
    </row>
    <row r="523" spans="1:26" ht="19.5">
      <c r="A523" s="1317"/>
      <c r="B523" s="1301"/>
      <c r="C523" s="1301" t="s">
        <v>16</v>
      </c>
      <c r="D523" s="1318" t="s">
        <v>17</v>
      </c>
      <c r="E523" s="841"/>
      <c r="F523" s="841"/>
      <c r="G523" s="1016"/>
      <c r="H523" s="597" t="s">
        <v>12</v>
      </c>
      <c r="I523" s="880"/>
      <c r="J523" s="880"/>
      <c r="K523" s="881"/>
      <c r="L523" s="1020">
        <f t="shared" ref="L523:N523" ca="1" si="226">L524+L525</f>
        <v>667960</v>
      </c>
      <c r="M523" s="1020">
        <f t="shared" ca="1" si="226"/>
        <v>667960</v>
      </c>
      <c r="N523" s="1020">
        <f t="shared" si="226"/>
        <v>130420</v>
      </c>
      <c r="O523" s="1020">
        <f t="shared" ref="O523:O528" ca="1" si="227">IF(L523&gt;0,N523*100/L523,0)</f>
        <v>19.525121264746392</v>
      </c>
      <c r="P523" s="1020">
        <f t="shared" ref="P523:P528" ca="1" si="228">IF(M523&gt;0,N523*100/M523,0)</f>
        <v>19.525121264746392</v>
      </c>
      <c r="Q523" s="1302"/>
      <c r="R523" s="1302"/>
      <c r="S523" s="1302"/>
      <c r="T523" s="1302"/>
      <c r="U523" s="1302"/>
      <c r="V523" s="1302"/>
      <c r="W523" s="1302"/>
      <c r="X523" s="1302"/>
      <c r="Y523" s="1302"/>
      <c r="Z523" s="1302"/>
    </row>
    <row r="524" spans="1:26" ht="18.75" hidden="1">
      <c r="A524" s="1319"/>
      <c r="B524" s="1320"/>
      <c r="C524" s="1320"/>
      <c r="D524" s="1321"/>
      <c r="E524" s="1320" t="s">
        <v>185</v>
      </c>
      <c r="F524" s="1320"/>
      <c r="G524" s="1322"/>
      <c r="H524" s="165" t="s">
        <v>12</v>
      </c>
      <c r="I524" s="886"/>
      <c r="J524" s="886"/>
      <c r="K524" s="887"/>
      <c r="L524" s="887">
        <f t="shared" ref="L524:N525" si="229">L527+L534</f>
        <v>0</v>
      </c>
      <c r="M524" s="887">
        <f t="shared" si="229"/>
        <v>0</v>
      </c>
      <c r="N524" s="887">
        <f t="shared" si="229"/>
        <v>0</v>
      </c>
      <c r="O524" s="887">
        <f t="shared" si="227"/>
        <v>0</v>
      </c>
      <c r="P524" s="887">
        <f t="shared" si="228"/>
        <v>0</v>
      </c>
      <c r="Q524" s="1323"/>
      <c r="R524" s="1323"/>
      <c r="S524" s="1323"/>
      <c r="T524" s="1323"/>
      <c r="U524" s="1323"/>
      <c r="V524" s="1323"/>
      <c r="W524" s="1323"/>
      <c r="X524" s="1323"/>
      <c r="Y524" s="1323"/>
      <c r="Z524" s="1323"/>
    </row>
    <row r="525" spans="1:26" ht="18.75" hidden="1">
      <c r="A525" s="1319"/>
      <c r="B525" s="1324"/>
      <c r="C525" s="1320"/>
      <c r="D525" s="1321"/>
      <c r="E525" s="1320" t="s">
        <v>186</v>
      </c>
      <c r="F525" s="1320"/>
      <c r="G525" s="1322"/>
      <c r="H525" s="165" t="s">
        <v>12</v>
      </c>
      <c r="I525" s="886"/>
      <c r="J525" s="886"/>
      <c r="K525" s="887"/>
      <c r="L525" s="887">
        <f t="shared" ca="1" si="229"/>
        <v>667960</v>
      </c>
      <c r="M525" s="887">
        <f t="shared" ca="1" si="229"/>
        <v>667960</v>
      </c>
      <c r="N525" s="887">
        <f t="shared" si="229"/>
        <v>130420</v>
      </c>
      <c r="O525" s="887">
        <f t="shared" ca="1" si="227"/>
        <v>19.525121264746392</v>
      </c>
      <c r="P525" s="887">
        <f t="shared" ca="1" si="228"/>
        <v>19.525121264746392</v>
      </c>
      <c r="Q525" s="1323"/>
      <c r="R525" s="1323"/>
      <c r="S525" s="1323"/>
      <c r="T525" s="1323"/>
      <c r="U525" s="1323"/>
      <c r="V525" s="1323"/>
      <c r="W525" s="1323"/>
      <c r="X525" s="1323"/>
      <c r="Y525" s="1323"/>
      <c r="Z525" s="1323"/>
    </row>
    <row r="526" spans="1:26" ht="18.75">
      <c r="A526" s="1317"/>
      <c r="B526" s="1300"/>
      <c r="C526" s="1301"/>
      <c r="D526" s="1325" t="s">
        <v>20</v>
      </c>
      <c r="E526" s="1301"/>
      <c r="F526" s="1301"/>
      <c r="G526" s="1016"/>
      <c r="H526" s="161" t="s">
        <v>12</v>
      </c>
      <c r="I526" s="997"/>
      <c r="J526" s="997"/>
      <c r="K526" s="998"/>
      <c r="L526" s="881">
        <f t="shared" ref="L526:N526" ca="1" si="230">L527+L528</f>
        <v>667960</v>
      </c>
      <c r="M526" s="881">
        <f t="shared" ca="1" si="230"/>
        <v>667960</v>
      </c>
      <c r="N526" s="881">
        <f t="shared" si="230"/>
        <v>130420</v>
      </c>
      <c r="O526" s="881">
        <f t="shared" ca="1" si="227"/>
        <v>19.525121264746392</v>
      </c>
      <c r="P526" s="881">
        <f t="shared" ca="1" si="228"/>
        <v>19.525121264746392</v>
      </c>
      <c r="Q526" s="1302"/>
      <c r="R526" s="1302"/>
      <c r="S526" s="1302"/>
      <c r="T526" s="1302"/>
      <c r="U526" s="1302"/>
      <c r="V526" s="1302"/>
      <c r="W526" s="1302"/>
      <c r="X526" s="1302"/>
      <c r="Y526" s="1302"/>
      <c r="Z526" s="1302"/>
    </row>
    <row r="527" spans="1:26" ht="18.75" hidden="1">
      <c r="A527" s="1319"/>
      <c r="B527" s="1324"/>
      <c r="C527" s="1320"/>
      <c r="D527" s="1321"/>
      <c r="E527" s="1320" t="s">
        <v>185</v>
      </c>
      <c r="F527" s="1320"/>
      <c r="G527" s="1322"/>
      <c r="H527" s="165" t="s">
        <v>12</v>
      </c>
      <c r="I527" s="886"/>
      <c r="J527" s="886"/>
      <c r="K527" s="887"/>
      <c r="L527" s="887">
        <v>0</v>
      </c>
      <c r="M527" s="887">
        <v>0</v>
      </c>
      <c r="N527" s="887">
        <v>0</v>
      </c>
      <c r="O527" s="887">
        <f t="shared" si="227"/>
        <v>0</v>
      </c>
      <c r="P527" s="887">
        <f t="shared" si="228"/>
        <v>0</v>
      </c>
      <c r="Q527" s="1323"/>
      <c r="R527" s="1323"/>
      <c r="S527" s="1323"/>
      <c r="T527" s="1323"/>
      <c r="U527" s="1323"/>
      <c r="V527" s="1323"/>
      <c r="W527" s="1323"/>
      <c r="X527" s="1323"/>
      <c r="Y527" s="1323"/>
      <c r="Z527" s="1323"/>
    </row>
    <row r="528" spans="1:26" ht="18.75" hidden="1">
      <c r="A528" s="1319"/>
      <c r="B528" s="1324"/>
      <c r="C528" s="1320"/>
      <c r="D528" s="1321"/>
      <c r="E528" s="1320" t="s">
        <v>186</v>
      </c>
      <c r="F528" s="1320"/>
      <c r="G528" s="1322"/>
      <c r="H528" s="165" t="s">
        <v>12</v>
      </c>
      <c r="I528" s="886"/>
      <c r="J528" s="886"/>
      <c r="K528" s="887"/>
      <c r="L528" s="887">
        <f ca="1">IFERROR(__xludf.DUMMYFUNCTION("IMPORTRANGE(""https://docs.google.com/spreadsheets/d/1QqKyyYR6Q21VydFLVH3TRQUabQu_ym0Zz7PgGX0-kHA/edit?usp=sharing"",""แผน!GQ75"")"),667960)</f>
        <v>667960</v>
      </c>
      <c r="M528" s="887">
        <f ca="1">L528</f>
        <v>667960</v>
      </c>
      <c r="N528" s="887">
        <f>N529+N530+N531+N532</f>
        <v>130420</v>
      </c>
      <c r="O528" s="887">
        <f t="shared" ca="1" si="227"/>
        <v>19.525121264746392</v>
      </c>
      <c r="P528" s="887">
        <f t="shared" ca="1" si="228"/>
        <v>19.525121264746392</v>
      </c>
      <c r="Q528" s="1323"/>
      <c r="R528" s="1323"/>
      <c r="S528" s="1323"/>
      <c r="T528" s="1323"/>
      <c r="U528" s="1323"/>
      <c r="V528" s="1323"/>
      <c r="W528" s="1323"/>
      <c r="X528" s="1323"/>
      <c r="Y528" s="1323"/>
      <c r="Z528" s="1323"/>
    </row>
    <row r="529" spans="1:26" ht="18.75">
      <c r="A529" s="1299"/>
      <c r="B529" s="1300"/>
      <c r="C529" s="1301"/>
      <c r="D529" s="1301"/>
      <c r="E529" s="1301"/>
      <c r="F529" s="1301" t="s">
        <v>187</v>
      </c>
      <c r="G529" s="1016"/>
      <c r="H529" s="161" t="s">
        <v>12</v>
      </c>
      <c r="I529" s="880"/>
      <c r="J529" s="880"/>
      <c r="K529" s="881"/>
      <c r="L529" s="881"/>
      <c r="M529" s="881"/>
      <c r="N529" s="1085">
        <v>102060</v>
      </c>
      <c r="O529" s="881"/>
      <c r="P529" s="881"/>
      <c r="Q529" s="1302"/>
      <c r="R529" s="1302"/>
      <c r="S529" s="1302"/>
      <c r="T529" s="1302"/>
      <c r="U529" s="1302"/>
      <c r="V529" s="1302"/>
      <c r="W529" s="1302"/>
      <c r="X529" s="1302"/>
      <c r="Y529" s="1302"/>
      <c r="Z529" s="1302"/>
    </row>
    <row r="530" spans="1:26" ht="18.75">
      <c r="A530" s="1299"/>
      <c r="B530" s="1300"/>
      <c r="C530" s="1301"/>
      <c r="D530" s="1301"/>
      <c r="E530" s="1301"/>
      <c r="F530" s="1301" t="s">
        <v>188</v>
      </c>
      <c r="G530" s="1016"/>
      <c r="H530" s="161" t="s">
        <v>12</v>
      </c>
      <c r="I530" s="880"/>
      <c r="J530" s="880"/>
      <c r="K530" s="881"/>
      <c r="L530" s="881"/>
      <c r="M530" s="881"/>
      <c r="N530" s="1085">
        <v>0</v>
      </c>
      <c r="O530" s="881"/>
      <c r="P530" s="881"/>
      <c r="Q530" s="1302"/>
      <c r="R530" s="1302"/>
      <c r="S530" s="1302"/>
      <c r="T530" s="1302"/>
      <c r="U530" s="1302"/>
      <c r="V530" s="1302"/>
      <c r="W530" s="1302"/>
      <c r="X530" s="1302"/>
      <c r="Y530" s="1302"/>
      <c r="Z530" s="1302"/>
    </row>
    <row r="531" spans="1:26" ht="18.75">
      <c r="A531" s="1299"/>
      <c r="B531" s="1300"/>
      <c r="C531" s="1301"/>
      <c r="D531" s="1301"/>
      <c r="E531" s="1301"/>
      <c r="F531" s="1301" t="s">
        <v>189</v>
      </c>
      <c r="G531" s="1016"/>
      <c r="H531" s="161" t="s">
        <v>12</v>
      </c>
      <c r="I531" s="880"/>
      <c r="J531" s="880"/>
      <c r="K531" s="881"/>
      <c r="L531" s="881"/>
      <c r="M531" s="881"/>
      <c r="N531" s="1085">
        <v>0</v>
      </c>
      <c r="O531" s="881"/>
      <c r="P531" s="881"/>
      <c r="Q531" s="1302"/>
      <c r="R531" s="1302"/>
      <c r="S531" s="1302"/>
      <c r="T531" s="1302"/>
      <c r="U531" s="1302"/>
      <c r="V531" s="1302"/>
      <c r="W531" s="1302"/>
      <c r="X531" s="1302"/>
      <c r="Y531" s="1302"/>
      <c r="Z531" s="1302"/>
    </row>
    <row r="532" spans="1:26" ht="18.75">
      <c r="A532" s="1299"/>
      <c r="B532" s="1300"/>
      <c r="C532" s="1301"/>
      <c r="D532" s="1301"/>
      <c r="E532" s="1301"/>
      <c r="F532" s="1301" t="s">
        <v>190</v>
      </c>
      <c r="G532" s="1016"/>
      <c r="H532" s="161" t="s">
        <v>12</v>
      </c>
      <c r="I532" s="880"/>
      <c r="J532" s="880"/>
      <c r="K532" s="881"/>
      <c r="L532" s="881"/>
      <c r="M532" s="881"/>
      <c r="N532" s="1085">
        <v>28360</v>
      </c>
      <c r="O532" s="881"/>
      <c r="P532" s="881"/>
      <c r="Q532" s="1302"/>
      <c r="R532" s="1302"/>
      <c r="S532" s="1302"/>
      <c r="T532" s="1302"/>
      <c r="U532" s="1302"/>
      <c r="V532" s="1302"/>
      <c r="W532" s="1302"/>
      <c r="X532" s="1302"/>
      <c r="Y532" s="1302"/>
      <c r="Z532" s="1302"/>
    </row>
    <row r="533" spans="1:26" ht="18.75">
      <c r="A533" s="1317"/>
      <c r="B533" s="1300"/>
      <c r="C533" s="1301"/>
      <c r="D533" s="1325" t="s">
        <v>21</v>
      </c>
      <c r="E533" s="1301"/>
      <c r="F533" s="1301"/>
      <c r="G533" s="1016"/>
      <c r="H533" s="168" t="s">
        <v>12</v>
      </c>
      <c r="I533" s="997"/>
      <c r="J533" s="997"/>
      <c r="K533" s="998"/>
      <c r="L533" s="881">
        <f t="shared" ref="L533:N533" ca="1" si="231">L534+L535</f>
        <v>0</v>
      </c>
      <c r="M533" s="881">
        <f t="shared" si="231"/>
        <v>0</v>
      </c>
      <c r="N533" s="881">
        <f t="shared" si="231"/>
        <v>0</v>
      </c>
      <c r="O533" s="881">
        <f t="shared" ref="O533:O535" ca="1" si="232">IF(L533&gt;0,N533*100/L533,0)</f>
        <v>0</v>
      </c>
      <c r="P533" s="881">
        <f t="shared" ref="P533:P535" si="233">IF(M533&gt;0,N533*100/M533,0)</f>
        <v>0</v>
      </c>
      <c r="Q533" s="1302"/>
      <c r="R533" s="1302"/>
      <c r="S533" s="1302"/>
      <c r="T533" s="1302"/>
      <c r="U533" s="1302"/>
      <c r="V533" s="1302"/>
      <c r="W533" s="1302"/>
      <c r="X533" s="1302"/>
      <c r="Y533" s="1302"/>
      <c r="Z533" s="1302"/>
    </row>
    <row r="534" spans="1:26" ht="18.75" hidden="1">
      <c r="A534" s="1319"/>
      <c r="B534" s="1324"/>
      <c r="C534" s="1320"/>
      <c r="D534" s="1320"/>
      <c r="E534" s="1320" t="s">
        <v>18</v>
      </c>
      <c r="F534" s="1320"/>
      <c r="G534" s="1322"/>
      <c r="H534" s="165" t="s">
        <v>12</v>
      </c>
      <c r="I534" s="1000"/>
      <c r="J534" s="1000"/>
      <c r="K534" s="1001"/>
      <c r="L534" s="887">
        <v>0</v>
      </c>
      <c r="M534" s="887">
        <v>0</v>
      </c>
      <c r="N534" s="887">
        <v>0</v>
      </c>
      <c r="O534" s="887">
        <f t="shared" si="232"/>
        <v>0</v>
      </c>
      <c r="P534" s="887">
        <f t="shared" si="233"/>
        <v>0</v>
      </c>
      <c r="Q534" s="1323"/>
      <c r="R534" s="1323"/>
      <c r="S534" s="1323"/>
      <c r="T534" s="1323"/>
      <c r="U534" s="1323"/>
      <c r="V534" s="1323"/>
      <c r="W534" s="1323"/>
      <c r="X534" s="1323"/>
      <c r="Y534" s="1323"/>
      <c r="Z534" s="1323"/>
    </row>
    <row r="535" spans="1:26" ht="18.75" hidden="1">
      <c r="A535" s="1319"/>
      <c r="B535" s="1324"/>
      <c r="C535" s="1320"/>
      <c r="D535" s="1320"/>
      <c r="E535" s="1320" t="s">
        <v>19</v>
      </c>
      <c r="F535" s="1320"/>
      <c r="G535" s="1322"/>
      <c r="H535" s="169" t="s">
        <v>12</v>
      </c>
      <c r="I535" s="1000"/>
      <c r="J535" s="1000"/>
      <c r="K535" s="1001"/>
      <c r="L535" s="887">
        <f ca="1">IFERROR(__xludf.DUMMYFUNCTION("IMPORTRANGE(""https://docs.google.com/spreadsheets/d/1QqKyyYR6Q21VydFLVH3TRQUabQu_ym0Zz7PgGX0-kHA/edit?usp=sharing"",""แผน!GT75"")"),0)</f>
        <v>0</v>
      </c>
      <c r="M535" s="887">
        <v>0</v>
      </c>
      <c r="N535" s="887">
        <v>0</v>
      </c>
      <c r="O535" s="887">
        <f t="shared" ca="1" si="232"/>
        <v>0</v>
      </c>
      <c r="P535" s="887">
        <f t="shared" si="233"/>
        <v>0</v>
      </c>
      <c r="Q535" s="1323"/>
      <c r="R535" s="1323"/>
      <c r="S535" s="1323"/>
      <c r="T535" s="1323"/>
      <c r="U535" s="1323"/>
      <c r="V535" s="1323"/>
      <c r="W535" s="1323"/>
      <c r="X535" s="1323"/>
      <c r="Y535" s="1323"/>
      <c r="Z535" s="1323"/>
    </row>
    <row r="536" spans="1:26" ht="19.5">
      <c r="A536" s="1326"/>
      <c r="B536" s="1327"/>
      <c r="C536" s="1301" t="s">
        <v>16</v>
      </c>
      <c r="D536" s="1380" t="s">
        <v>38</v>
      </c>
      <c r="E536" s="1330"/>
      <c r="F536" s="1330"/>
      <c r="G536" s="1331"/>
      <c r="H536" s="1007"/>
      <c r="I536" s="997"/>
      <c r="J536" s="997"/>
      <c r="K536" s="998"/>
      <c r="L536" s="998"/>
      <c r="M536" s="998"/>
      <c r="N536" s="998"/>
      <c r="O536" s="998"/>
      <c r="P536" s="998"/>
      <c r="Q536" s="1302"/>
      <c r="R536" s="1302"/>
      <c r="S536" s="1302"/>
      <c r="T536" s="1302"/>
      <c r="U536" s="1302"/>
      <c r="V536" s="1302"/>
      <c r="W536" s="1302"/>
      <c r="X536" s="1302"/>
      <c r="Y536" s="1302"/>
      <c r="Z536" s="1302"/>
    </row>
    <row r="537" spans="1:26" ht="19.5">
      <c r="A537" s="1299"/>
      <c r="B537" s="1300"/>
      <c r="C537" s="1301"/>
      <c r="D537" s="1301" t="s">
        <v>228</v>
      </c>
      <c r="E537" s="1301"/>
      <c r="F537" s="1301"/>
      <c r="G537" s="1016"/>
      <c r="H537" s="622" t="s">
        <v>35</v>
      </c>
      <c r="I537" s="1019">
        <f ca="1">IFERROR(__xludf.DUMMYFUNCTION("IMPORTRANGE(""https://docs.google.com/spreadsheets/d/1QqKyyYR6Q21VydFLVH3TRQUabQu_ym0Zz7PgGX0-kHA/edit?usp=sharing"",""แผน!GU75"")"),80)</f>
        <v>80</v>
      </c>
      <c r="J537" s="1019">
        <f ca="1">IF(AND(J538=I538,J539=I539,J540=I540,J541=I541),I537,0)</f>
        <v>80</v>
      </c>
      <c r="K537" s="881">
        <f t="shared" ref="K537:K543" ca="1" si="234">IF(I537&gt;0,J537*100/I537,0)</f>
        <v>100</v>
      </c>
      <c r="L537" s="881"/>
      <c r="M537" s="881"/>
      <c r="N537" s="881"/>
      <c r="O537" s="881"/>
      <c r="P537" s="881"/>
      <c r="Q537" s="1381"/>
      <c r="R537" s="1381"/>
      <c r="S537" s="1381"/>
      <c r="T537" s="1381"/>
      <c r="U537" s="1381"/>
      <c r="V537" s="1381"/>
      <c r="W537" s="1381"/>
      <c r="X537" s="1381"/>
      <c r="Y537" s="1381"/>
      <c r="Z537" s="1381"/>
    </row>
    <row r="538" spans="1:26" ht="18.75">
      <c r="A538" s="1299"/>
      <c r="B538" s="1300"/>
      <c r="C538" s="1301"/>
      <c r="D538" s="1301"/>
      <c r="E538" s="1301" t="s">
        <v>229</v>
      </c>
      <c r="F538" s="1301"/>
      <c r="G538" s="1016"/>
      <c r="H538" s="622" t="s">
        <v>35</v>
      </c>
      <c r="I538" s="880">
        <f ca="1">IFERROR(__xludf.DUMMYFUNCTION("IMPORTRANGE(""https://docs.google.com/spreadsheets/d/1QqKyyYR6Q21VydFLVH3TRQUabQu_ym0Zz7PgGX0-kHA/edit?usp=sharing"",""แผน!GV75"")"),80)</f>
        <v>80</v>
      </c>
      <c r="J538" s="1012">
        <v>80</v>
      </c>
      <c r="K538" s="881">
        <f t="shared" ca="1" si="234"/>
        <v>100</v>
      </c>
      <c r="L538" s="881"/>
      <c r="M538" s="881"/>
      <c r="N538" s="881"/>
      <c r="O538" s="881"/>
      <c r="P538" s="881"/>
      <c r="Q538" s="1381"/>
      <c r="R538" s="1381"/>
      <c r="S538" s="1381"/>
      <c r="T538" s="1381"/>
      <c r="U538" s="1381"/>
      <c r="V538" s="1381"/>
      <c r="W538" s="1381"/>
      <c r="X538" s="1381"/>
      <c r="Y538" s="1381"/>
      <c r="Z538" s="1381"/>
    </row>
    <row r="539" spans="1:26" ht="18.75">
      <c r="A539" s="1299"/>
      <c r="B539" s="1300"/>
      <c r="C539" s="1301"/>
      <c r="D539" s="1301"/>
      <c r="E539" s="1301" t="s">
        <v>230</v>
      </c>
      <c r="F539" s="1301"/>
      <c r="G539" s="1016"/>
      <c r="H539" s="622" t="s">
        <v>35</v>
      </c>
      <c r="I539" s="880">
        <f ca="1">IFERROR(__xludf.DUMMYFUNCTION("IMPORTRANGE(""https://docs.google.com/spreadsheets/d/1QqKyyYR6Q21VydFLVH3TRQUabQu_ym0Zz7PgGX0-kHA/edit?usp=sharing"",""แผน!GW75"")"),80)</f>
        <v>80</v>
      </c>
      <c r="J539" s="1012">
        <v>80</v>
      </c>
      <c r="K539" s="881">
        <f t="shared" ca="1" si="234"/>
        <v>100</v>
      </c>
      <c r="L539" s="881"/>
      <c r="M539" s="881"/>
      <c r="N539" s="881"/>
      <c r="O539" s="881"/>
      <c r="P539" s="881"/>
      <c r="Q539" s="1381"/>
      <c r="R539" s="1381"/>
      <c r="S539" s="1381"/>
      <c r="T539" s="1381"/>
      <c r="U539" s="1381"/>
      <c r="V539" s="1381"/>
      <c r="W539" s="1381"/>
      <c r="X539" s="1381"/>
      <c r="Y539" s="1381"/>
      <c r="Z539" s="1381"/>
    </row>
    <row r="540" spans="1:26" ht="18.75">
      <c r="A540" s="1299"/>
      <c r="B540" s="1300"/>
      <c r="C540" s="1301"/>
      <c r="D540" s="1301"/>
      <c r="E540" s="1301" t="s">
        <v>231</v>
      </c>
      <c r="F540" s="1301"/>
      <c r="G540" s="1016"/>
      <c r="H540" s="622" t="s">
        <v>35</v>
      </c>
      <c r="I540" s="880">
        <f ca="1">IFERROR(__xludf.DUMMYFUNCTION("IMPORTRANGE(""https://docs.google.com/spreadsheets/d/1QqKyyYR6Q21VydFLVH3TRQUabQu_ym0Zz7PgGX0-kHA/edit?usp=sharing"",""แผน!GX75"")"),80)</f>
        <v>80</v>
      </c>
      <c r="J540" s="1012">
        <v>80</v>
      </c>
      <c r="K540" s="881">
        <f t="shared" ca="1" si="234"/>
        <v>100</v>
      </c>
      <c r="L540" s="881"/>
      <c r="M540" s="881"/>
      <c r="N540" s="881"/>
      <c r="O540" s="881"/>
      <c r="P540" s="881"/>
      <c r="Q540" s="1381"/>
      <c r="R540" s="1381"/>
      <c r="S540" s="1381"/>
      <c r="T540" s="1381"/>
      <c r="U540" s="1381"/>
      <c r="V540" s="1381"/>
      <c r="W540" s="1381"/>
      <c r="X540" s="1381"/>
      <c r="Y540" s="1381"/>
      <c r="Z540" s="1381"/>
    </row>
    <row r="541" spans="1:26" ht="18.75">
      <c r="A541" s="1299"/>
      <c r="B541" s="1300"/>
      <c r="C541" s="1301"/>
      <c r="D541" s="1301"/>
      <c r="E541" s="1382" t="s">
        <v>232</v>
      </c>
      <c r="F541" s="1301"/>
      <c r="G541" s="1016"/>
      <c r="H541" s="622" t="s">
        <v>35</v>
      </c>
      <c r="I541" s="880">
        <f ca="1">IFERROR(__xludf.DUMMYFUNCTION("IMPORTRANGE(""https://docs.google.com/spreadsheets/d/1QqKyyYR6Q21VydFLVH3TRQUabQu_ym0Zz7PgGX0-kHA/edit?usp=sharing"",""แผน!GY75"")"),0)</f>
        <v>0</v>
      </c>
      <c r="J541" s="1012">
        <v>0</v>
      </c>
      <c r="K541" s="881">
        <f t="shared" ca="1" si="234"/>
        <v>0</v>
      </c>
      <c r="L541" s="881"/>
      <c r="M541" s="881"/>
      <c r="N541" s="881"/>
      <c r="O541" s="881"/>
      <c r="P541" s="881"/>
      <c r="Q541" s="1381"/>
      <c r="R541" s="1381"/>
      <c r="S541" s="1381"/>
      <c r="T541" s="1381"/>
      <c r="U541" s="1381"/>
      <c r="V541" s="1381"/>
      <c r="W541" s="1381"/>
      <c r="X541" s="1381"/>
      <c r="Y541" s="1381"/>
      <c r="Z541" s="1381"/>
    </row>
    <row r="542" spans="1:26" ht="18.75">
      <c r="A542" s="1299"/>
      <c r="B542" s="1300"/>
      <c r="C542" s="1301"/>
      <c r="D542" s="1301" t="s">
        <v>59</v>
      </c>
      <c r="E542" s="1301"/>
      <c r="F542" s="1301"/>
      <c r="G542" s="1016"/>
      <c r="H542" s="622" t="s">
        <v>35</v>
      </c>
      <c r="I542" s="880">
        <f ca="1">IFERROR(__xludf.DUMMYFUNCTION("IMPORTRANGE(""https://docs.google.com/spreadsheets/d/1QqKyyYR6Q21VydFLVH3TRQUabQu_ym0Zz7PgGX0-kHA/edit?usp=sharing"",""แผน!GZ75"")"),80)</f>
        <v>80</v>
      </c>
      <c r="J542" s="1012">
        <v>0</v>
      </c>
      <c r="K542" s="881">
        <f t="shared" ca="1" si="234"/>
        <v>0</v>
      </c>
      <c r="L542" s="881"/>
      <c r="M542" s="881"/>
      <c r="N542" s="881"/>
      <c r="O542" s="881"/>
      <c r="P542" s="881"/>
      <c r="Q542" s="1381"/>
      <c r="R542" s="1381"/>
      <c r="S542" s="1381"/>
      <c r="T542" s="1381"/>
      <c r="U542" s="1381"/>
      <c r="V542" s="1381"/>
      <c r="W542" s="1381"/>
      <c r="X542" s="1381"/>
      <c r="Y542" s="1381"/>
      <c r="Z542" s="1381"/>
    </row>
    <row r="543" spans="1:26" ht="19.5">
      <c r="A543" s="662">
        <v>6</v>
      </c>
      <c r="B543" s="1383" t="s">
        <v>233</v>
      </c>
      <c r="C543" s="1369"/>
      <c r="D543" s="1369"/>
      <c r="E543" s="1369"/>
      <c r="F543" s="1369"/>
      <c r="G543" s="1370"/>
      <c r="H543" s="684" t="s">
        <v>46</v>
      </c>
      <c r="I543" s="1384">
        <f t="shared" ref="I543:J543" ca="1" si="235">I559</f>
        <v>60297</v>
      </c>
      <c r="J543" s="1384">
        <f t="shared" si="235"/>
        <v>54686</v>
      </c>
      <c r="K543" s="1385">
        <f t="shared" ca="1" si="234"/>
        <v>90.694396072773102</v>
      </c>
      <c r="L543" s="1372"/>
      <c r="M543" s="1372"/>
      <c r="N543" s="1372"/>
      <c r="O543" s="1372"/>
      <c r="P543" s="1372"/>
      <c r="Q543" s="1302"/>
      <c r="R543" s="1302"/>
      <c r="S543" s="1302"/>
      <c r="T543" s="1302"/>
      <c r="U543" s="1302"/>
      <c r="V543" s="1302"/>
      <c r="W543" s="1302"/>
      <c r="X543" s="1302"/>
      <c r="Y543" s="1302"/>
      <c r="Z543" s="1302"/>
    </row>
    <row r="544" spans="1:26" ht="19.5">
      <c r="A544" s="1386"/>
      <c r="B544" s="1387"/>
      <c r="C544" s="1387" t="s">
        <v>16</v>
      </c>
      <c r="D544" s="1388" t="s">
        <v>17</v>
      </c>
      <c r="E544" s="846"/>
      <c r="F544" s="846"/>
      <c r="G544" s="1389"/>
      <c r="H544" s="275" t="s">
        <v>12</v>
      </c>
      <c r="I544" s="990"/>
      <c r="J544" s="990"/>
      <c r="K544" s="991"/>
      <c r="L544" s="992">
        <f t="shared" ref="L544:N544" ca="1" si="236">L545+L546</f>
        <v>482874</v>
      </c>
      <c r="M544" s="992">
        <f t="shared" ca="1" si="236"/>
        <v>482874</v>
      </c>
      <c r="N544" s="992">
        <f t="shared" si="236"/>
        <v>258920.34000000003</v>
      </c>
      <c r="O544" s="992">
        <f t="shared" ref="O544:O549" ca="1" si="237">IF(L544&gt;0,N544*100/L544,0)</f>
        <v>53.620683656606076</v>
      </c>
      <c r="P544" s="992">
        <f t="shared" ref="P544:P549" ca="1" si="238">IF(M544&gt;0,N544*100/M544,0)</f>
        <v>53.620683656606076</v>
      </c>
      <c r="Q544" s="1302"/>
      <c r="R544" s="1302"/>
      <c r="S544" s="1302"/>
      <c r="T544" s="1302"/>
      <c r="U544" s="1302"/>
      <c r="V544" s="1302"/>
      <c r="W544" s="1302"/>
      <c r="X544" s="1302"/>
      <c r="Y544" s="1302"/>
      <c r="Z544" s="1302"/>
    </row>
    <row r="545" spans="1:26" ht="18.75" hidden="1">
      <c r="A545" s="1319"/>
      <c r="B545" s="1320"/>
      <c r="C545" s="1320"/>
      <c r="D545" s="1320"/>
      <c r="E545" s="1320" t="s">
        <v>185</v>
      </c>
      <c r="F545" s="1320"/>
      <c r="G545" s="1322"/>
      <c r="H545" s="165" t="s">
        <v>12</v>
      </c>
      <c r="I545" s="886"/>
      <c r="J545" s="886"/>
      <c r="K545" s="887"/>
      <c r="L545" s="887">
        <f t="shared" ref="L545:L546" si="239">L548+L556</f>
        <v>0</v>
      </c>
      <c r="M545" s="887">
        <f t="shared" ref="M545:N546" si="240">M548+M555</f>
        <v>0</v>
      </c>
      <c r="N545" s="887">
        <f t="shared" si="240"/>
        <v>0</v>
      </c>
      <c r="O545" s="887">
        <f t="shared" si="237"/>
        <v>0</v>
      </c>
      <c r="P545" s="887">
        <f t="shared" si="238"/>
        <v>0</v>
      </c>
      <c r="Q545" s="1323"/>
      <c r="R545" s="1323"/>
      <c r="S545" s="1323"/>
      <c r="T545" s="1323"/>
      <c r="U545" s="1323"/>
      <c r="V545" s="1323"/>
      <c r="W545" s="1323"/>
      <c r="X545" s="1323"/>
      <c r="Y545" s="1323"/>
      <c r="Z545" s="1323"/>
    </row>
    <row r="546" spans="1:26" ht="18.75" hidden="1">
      <c r="A546" s="1319"/>
      <c r="B546" s="1324"/>
      <c r="C546" s="1320"/>
      <c r="D546" s="1320"/>
      <c r="E546" s="1320" t="s">
        <v>186</v>
      </c>
      <c r="F546" s="1320"/>
      <c r="G546" s="1322"/>
      <c r="H546" s="165" t="s">
        <v>12</v>
      </c>
      <c r="I546" s="886"/>
      <c r="J546" s="886"/>
      <c r="K546" s="887"/>
      <c r="L546" s="887">
        <f t="shared" ca="1" si="239"/>
        <v>482874</v>
      </c>
      <c r="M546" s="887">
        <f t="shared" ca="1" si="240"/>
        <v>482874</v>
      </c>
      <c r="N546" s="887">
        <f t="shared" si="240"/>
        <v>258920.34000000003</v>
      </c>
      <c r="O546" s="887">
        <f t="shared" ca="1" si="237"/>
        <v>53.620683656606076</v>
      </c>
      <c r="P546" s="887">
        <f t="shared" ca="1" si="238"/>
        <v>53.620683656606076</v>
      </c>
      <c r="Q546" s="1323"/>
      <c r="R546" s="1323"/>
      <c r="S546" s="1323"/>
      <c r="T546" s="1323"/>
      <c r="U546" s="1323"/>
      <c r="V546" s="1323"/>
      <c r="W546" s="1323"/>
      <c r="X546" s="1323"/>
      <c r="Y546" s="1323"/>
      <c r="Z546" s="1323"/>
    </row>
    <row r="547" spans="1:26" ht="18.75">
      <c r="A547" s="1317"/>
      <c r="B547" s="1300"/>
      <c r="C547" s="1301"/>
      <c r="D547" s="1325" t="s">
        <v>20</v>
      </c>
      <c r="E547" s="1301"/>
      <c r="F547" s="1301"/>
      <c r="G547" s="1016"/>
      <c r="H547" s="161" t="s">
        <v>12</v>
      </c>
      <c r="I547" s="997"/>
      <c r="J547" s="997"/>
      <c r="K547" s="998"/>
      <c r="L547" s="881">
        <f t="shared" ref="L547:N547" ca="1" si="241">L548+L549</f>
        <v>482874</v>
      </c>
      <c r="M547" s="881">
        <f t="shared" ca="1" si="241"/>
        <v>482874</v>
      </c>
      <c r="N547" s="881">
        <f t="shared" si="241"/>
        <v>258920.34000000003</v>
      </c>
      <c r="O547" s="881">
        <f t="shared" ca="1" si="237"/>
        <v>53.620683656606076</v>
      </c>
      <c r="P547" s="881">
        <f t="shared" ca="1" si="238"/>
        <v>53.620683656606076</v>
      </c>
      <c r="Q547" s="1302"/>
      <c r="R547" s="1302"/>
      <c r="S547" s="1302"/>
      <c r="T547" s="1302"/>
      <c r="U547" s="1302"/>
      <c r="V547" s="1302"/>
      <c r="W547" s="1302"/>
      <c r="X547" s="1302"/>
      <c r="Y547" s="1302"/>
      <c r="Z547" s="1302"/>
    </row>
    <row r="548" spans="1:26" ht="18.75" hidden="1">
      <c r="A548" s="1319"/>
      <c r="B548" s="1324"/>
      <c r="C548" s="1320"/>
      <c r="D548" s="1321"/>
      <c r="E548" s="1320" t="s">
        <v>185</v>
      </c>
      <c r="F548" s="1320"/>
      <c r="G548" s="1322"/>
      <c r="H548" s="165" t="s">
        <v>12</v>
      </c>
      <c r="I548" s="886"/>
      <c r="J548" s="886"/>
      <c r="K548" s="887"/>
      <c r="L548" s="887">
        <v>0</v>
      </c>
      <c r="M548" s="887">
        <v>0</v>
      </c>
      <c r="N548" s="887">
        <v>0</v>
      </c>
      <c r="O548" s="887">
        <f t="shared" si="237"/>
        <v>0</v>
      </c>
      <c r="P548" s="887">
        <f t="shared" si="238"/>
        <v>0</v>
      </c>
      <c r="Q548" s="1323"/>
      <c r="R548" s="1323"/>
      <c r="S548" s="1323"/>
      <c r="T548" s="1323"/>
      <c r="U548" s="1323"/>
      <c r="V548" s="1323"/>
      <c r="W548" s="1323"/>
      <c r="X548" s="1323"/>
      <c r="Y548" s="1323"/>
      <c r="Z548" s="1323"/>
    </row>
    <row r="549" spans="1:26" ht="18.75" hidden="1">
      <c r="A549" s="1319"/>
      <c r="B549" s="1324"/>
      <c r="C549" s="1320"/>
      <c r="D549" s="1321"/>
      <c r="E549" s="1320" t="s">
        <v>186</v>
      </c>
      <c r="F549" s="1320"/>
      <c r="G549" s="1322"/>
      <c r="H549" s="165" t="s">
        <v>12</v>
      </c>
      <c r="I549" s="886"/>
      <c r="J549" s="886"/>
      <c r="K549" s="887"/>
      <c r="L549" s="887">
        <f ca="1">IFERROR(__xludf.DUMMYFUNCTION("IMPORTRANGE(""https://docs.google.com/spreadsheets/d/1QqKyyYR6Q21VydFLVH3TRQUabQu_ym0Zz7PgGX0-kHA/edit?usp=sharing"",""แผน!HB75"")"),482874)</f>
        <v>482874</v>
      </c>
      <c r="M549" s="887">
        <f ca="1">L549</f>
        <v>482874</v>
      </c>
      <c r="N549" s="887">
        <f>N550+N551+N552+N553+N554</f>
        <v>258920.34000000003</v>
      </c>
      <c r="O549" s="887">
        <f t="shared" ca="1" si="237"/>
        <v>53.620683656606076</v>
      </c>
      <c r="P549" s="887">
        <f t="shared" ca="1" si="238"/>
        <v>53.620683656606076</v>
      </c>
      <c r="Q549" s="1323"/>
      <c r="R549" s="1323"/>
      <c r="S549" s="1323"/>
      <c r="T549" s="1323"/>
      <c r="U549" s="1323"/>
      <c r="V549" s="1323"/>
      <c r="W549" s="1323"/>
      <c r="X549" s="1323"/>
      <c r="Y549" s="1323"/>
      <c r="Z549" s="1323"/>
    </row>
    <row r="550" spans="1:26" ht="18.75">
      <c r="A550" s="1299"/>
      <c r="B550" s="1300"/>
      <c r="C550" s="1301"/>
      <c r="D550" s="1301"/>
      <c r="E550" s="1301"/>
      <c r="F550" s="1301" t="s">
        <v>187</v>
      </c>
      <c r="G550" s="1016"/>
      <c r="H550" s="161" t="s">
        <v>12</v>
      </c>
      <c r="I550" s="880"/>
      <c r="J550" s="880"/>
      <c r="K550" s="881"/>
      <c r="L550" s="881"/>
      <c r="M550" s="881"/>
      <c r="N550" s="1085">
        <v>0</v>
      </c>
      <c r="O550" s="881"/>
      <c r="P550" s="881"/>
      <c r="Q550" s="1302"/>
      <c r="R550" s="1302"/>
      <c r="S550" s="1302"/>
      <c r="T550" s="1302"/>
      <c r="U550" s="1302"/>
      <c r="V550" s="1302"/>
      <c r="W550" s="1302"/>
      <c r="X550" s="1302"/>
      <c r="Y550" s="1302"/>
      <c r="Z550" s="1302"/>
    </row>
    <row r="551" spans="1:26" ht="18.75">
      <c r="A551" s="1299"/>
      <c r="B551" s="1300"/>
      <c r="C551" s="1300"/>
      <c r="D551" s="1300"/>
      <c r="E551" s="1301"/>
      <c r="F551" s="1301" t="s">
        <v>188</v>
      </c>
      <c r="G551" s="1016"/>
      <c r="H551" s="161" t="s">
        <v>12</v>
      </c>
      <c r="I551" s="880"/>
      <c r="J551" s="880"/>
      <c r="K551" s="881"/>
      <c r="L551" s="881"/>
      <c r="M551" s="881"/>
      <c r="N551" s="1085">
        <v>0</v>
      </c>
      <c r="O551" s="881"/>
      <c r="P551" s="881"/>
      <c r="Q551" s="1302"/>
      <c r="R551" s="1302"/>
      <c r="S551" s="1302"/>
      <c r="T551" s="1302"/>
      <c r="U551" s="1302"/>
      <c r="V551" s="1302"/>
      <c r="W551" s="1302"/>
      <c r="X551" s="1302"/>
      <c r="Y551" s="1302"/>
      <c r="Z551" s="1302"/>
    </row>
    <row r="552" spans="1:26" ht="18.75">
      <c r="A552" s="1299"/>
      <c r="B552" s="1300"/>
      <c r="C552" s="1301"/>
      <c r="D552" s="1301"/>
      <c r="E552" s="1301"/>
      <c r="F552" s="1301" t="s">
        <v>189</v>
      </c>
      <c r="G552" s="1016"/>
      <c r="H552" s="161" t="s">
        <v>12</v>
      </c>
      <c r="I552" s="880"/>
      <c r="J552" s="880"/>
      <c r="K552" s="881"/>
      <c r="L552" s="881"/>
      <c r="M552" s="881"/>
      <c r="N552" s="1085">
        <v>51566.67</v>
      </c>
      <c r="O552" s="881"/>
      <c r="P552" s="881"/>
      <c r="Q552" s="1302"/>
      <c r="R552" s="1302"/>
      <c r="S552" s="1302"/>
      <c r="T552" s="1302"/>
      <c r="U552" s="1302"/>
      <c r="V552" s="1302"/>
      <c r="W552" s="1302"/>
      <c r="X552" s="1302"/>
      <c r="Y552" s="1302"/>
      <c r="Z552" s="1302"/>
    </row>
    <row r="553" spans="1:26" ht="18.75">
      <c r="A553" s="1299"/>
      <c r="B553" s="1300"/>
      <c r="C553" s="1300"/>
      <c r="D553" s="1300"/>
      <c r="E553" s="1301"/>
      <c r="F553" s="1301" t="s">
        <v>190</v>
      </c>
      <c r="G553" s="1016"/>
      <c r="H553" s="161" t="s">
        <v>12</v>
      </c>
      <c r="I553" s="880"/>
      <c r="J553" s="880"/>
      <c r="K553" s="881"/>
      <c r="L553" s="881"/>
      <c r="M553" s="881"/>
      <c r="N553" s="1085">
        <v>207353.67</v>
      </c>
      <c r="O553" s="881"/>
      <c r="P553" s="881"/>
      <c r="Q553" s="1302"/>
      <c r="R553" s="1302"/>
      <c r="S553" s="1302"/>
      <c r="T553" s="1302"/>
      <c r="U553" s="1302"/>
      <c r="V553" s="1302"/>
      <c r="W553" s="1302"/>
      <c r="X553" s="1302"/>
      <c r="Y553" s="1302"/>
      <c r="Z553" s="1302"/>
    </row>
    <row r="554" spans="1:26" ht="18.75">
      <c r="A554" s="1299"/>
      <c r="B554" s="1300"/>
      <c r="C554" s="1300"/>
      <c r="D554" s="1300"/>
      <c r="E554" s="1301"/>
      <c r="F554" s="1301" t="s">
        <v>234</v>
      </c>
      <c r="G554" s="1016"/>
      <c r="H554" s="161" t="s">
        <v>12</v>
      </c>
      <c r="I554" s="880"/>
      <c r="J554" s="880"/>
      <c r="K554" s="881"/>
      <c r="L554" s="881"/>
      <c r="M554" s="881"/>
      <c r="N554" s="1085"/>
      <c r="O554" s="881"/>
      <c r="P554" s="881"/>
      <c r="Q554" s="1302"/>
      <c r="R554" s="1302"/>
      <c r="S554" s="1302"/>
      <c r="T554" s="1302"/>
      <c r="U554" s="1302"/>
      <c r="V554" s="1302"/>
      <c r="W554" s="1302"/>
      <c r="X554" s="1302"/>
      <c r="Y554" s="1302"/>
      <c r="Z554" s="1302"/>
    </row>
    <row r="555" spans="1:26" ht="18.75">
      <c r="A555" s="1317"/>
      <c r="B555" s="1300"/>
      <c r="C555" s="1300"/>
      <c r="D555" s="1325" t="s">
        <v>21</v>
      </c>
      <c r="E555" s="1301"/>
      <c r="F555" s="1301"/>
      <c r="G555" s="1016"/>
      <c r="H555" s="168" t="s">
        <v>12</v>
      </c>
      <c r="I555" s="997"/>
      <c r="J555" s="997"/>
      <c r="K555" s="998"/>
      <c r="L555" s="881">
        <f t="shared" ref="L555:N555" ca="1" si="242">L556+L557</f>
        <v>0</v>
      </c>
      <c r="M555" s="881">
        <f t="shared" si="242"/>
        <v>0</v>
      </c>
      <c r="N555" s="881">
        <f t="shared" si="242"/>
        <v>0</v>
      </c>
      <c r="O555" s="881">
        <f t="shared" ref="O555:O557" ca="1" si="243">IF(L555&gt;0,N555*100/L555,0)</f>
        <v>0</v>
      </c>
      <c r="P555" s="881">
        <f t="shared" ref="P555:P557" si="244">IF(M555&gt;0,N555*100/M555,0)</f>
        <v>0</v>
      </c>
      <c r="Q555" s="1302"/>
      <c r="R555" s="1302"/>
      <c r="S555" s="1302"/>
      <c r="T555" s="1302"/>
      <c r="U555" s="1302"/>
      <c r="V555" s="1302"/>
      <c r="W555" s="1302"/>
      <c r="X555" s="1302"/>
      <c r="Y555" s="1302"/>
      <c r="Z555" s="1302"/>
    </row>
    <row r="556" spans="1:26" ht="18.75" hidden="1">
      <c r="A556" s="1319"/>
      <c r="B556" s="1324"/>
      <c r="C556" s="1324"/>
      <c r="D556" s="1320"/>
      <c r="E556" s="1320" t="s">
        <v>18</v>
      </c>
      <c r="F556" s="1320"/>
      <c r="G556" s="1322"/>
      <c r="H556" s="165" t="s">
        <v>12</v>
      </c>
      <c r="I556" s="1000"/>
      <c r="J556" s="1000"/>
      <c r="K556" s="1001"/>
      <c r="L556" s="887">
        <v>0</v>
      </c>
      <c r="M556" s="887">
        <v>0</v>
      </c>
      <c r="N556" s="887">
        <v>0</v>
      </c>
      <c r="O556" s="887">
        <f t="shared" si="243"/>
        <v>0</v>
      </c>
      <c r="P556" s="887">
        <f t="shared" si="244"/>
        <v>0</v>
      </c>
      <c r="Q556" s="1323"/>
      <c r="R556" s="1323"/>
      <c r="S556" s="1323"/>
      <c r="T556" s="1323"/>
      <c r="U556" s="1323"/>
      <c r="V556" s="1323"/>
      <c r="W556" s="1323"/>
      <c r="X556" s="1323"/>
      <c r="Y556" s="1323"/>
      <c r="Z556" s="1323"/>
    </row>
    <row r="557" spans="1:26" ht="18.75" hidden="1">
      <c r="A557" s="1319"/>
      <c r="B557" s="1324"/>
      <c r="C557" s="1324"/>
      <c r="D557" s="1320"/>
      <c r="E557" s="1320" t="s">
        <v>19</v>
      </c>
      <c r="F557" s="1320"/>
      <c r="G557" s="1322"/>
      <c r="H557" s="169" t="s">
        <v>12</v>
      </c>
      <c r="I557" s="1000"/>
      <c r="J557" s="1000"/>
      <c r="K557" s="1001"/>
      <c r="L557" s="887">
        <f ca="1">IFERROR(__xludf.DUMMYFUNCTION("IMPORTRANGE(""https://docs.google.com/spreadsheets/d/1QqKyyYR6Q21VydFLVH3TRQUabQu_ym0Zz7PgGX0-kHA/edit?usp=sharing"",""แผน!HF75"")"),0)</f>
        <v>0</v>
      </c>
      <c r="M557" s="887">
        <v>0</v>
      </c>
      <c r="N557" s="887">
        <v>0</v>
      </c>
      <c r="O557" s="887">
        <f t="shared" ca="1" si="243"/>
        <v>0</v>
      </c>
      <c r="P557" s="887">
        <f t="shared" si="244"/>
        <v>0</v>
      </c>
      <c r="Q557" s="1323"/>
      <c r="R557" s="1323"/>
      <c r="S557" s="1323"/>
      <c r="T557" s="1323"/>
      <c r="U557" s="1323"/>
      <c r="V557" s="1323"/>
      <c r="W557" s="1323"/>
      <c r="X557" s="1323"/>
      <c r="Y557" s="1323"/>
      <c r="Z557" s="1323"/>
    </row>
    <row r="558" spans="1:26" ht="19.5">
      <c r="A558" s="1326"/>
      <c r="B558" s="1327"/>
      <c r="C558" s="1300" t="s">
        <v>16</v>
      </c>
      <c r="D558" s="1380" t="s">
        <v>38</v>
      </c>
      <c r="E558" s="1330"/>
      <c r="F558" s="1330"/>
      <c r="G558" s="1331"/>
      <c r="H558" s="1007"/>
      <c r="I558" s="997"/>
      <c r="J558" s="997"/>
      <c r="K558" s="998"/>
      <c r="L558" s="998"/>
      <c r="M558" s="998"/>
      <c r="N558" s="998"/>
      <c r="O558" s="998"/>
      <c r="P558" s="998"/>
      <c r="Q558" s="1302"/>
      <c r="R558" s="1302"/>
      <c r="S558" s="1302"/>
      <c r="T558" s="1302"/>
      <c r="U558" s="1302"/>
      <c r="V558" s="1302"/>
      <c r="W558" s="1302"/>
      <c r="X558" s="1302"/>
      <c r="Y558" s="1302"/>
      <c r="Z558" s="1302"/>
    </row>
    <row r="559" spans="1:26" ht="19.5">
      <c r="A559" s="1390"/>
      <c r="B559" s="1391" t="s">
        <v>235</v>
      </c>
      <c r="C559" s="1392"/>
      <c r="D559" s="1392"/>
      <c r="E559" s="1375"/>
      <c r="F559" s="1375"/>
      <c r="G559" s="1376"/>
      <c r="H559" s="693" t="s">
        <v>46</v>
      </c>
      <c r="I559" s="1377">
        <f t="shared" ref="I559:J559" ca="1" si="245">I576</f>
        <v>60297</v>
      </c>
      <c r="J559" s="1377">
        <f t="shared" si="245"/>
        <v>54686</v>
      </c>
      <c r="K559" s="1378">
        <f t="shared" ref="K559:K561" ca="1" si="246">IF(I559&gt;0,J559*100/I559,0)</f>
        <v>90.694396072773102</v>
      </c>
      <c r="L559" s="1379"/>
      <c r="M559" s="1379"/>
      <c r="N559" s="1379"/>
      <c r="O559" s="1379"/>
      <c r="P559" s="1379"/>
      <c r="Q559" s="1302"/>
      <c r="R559" s="1302"/>
      <c r="S559" s="1302"/>
      <c r="T559" s="1302"/>
      <c r="U559" s="1302"/>
      <c r="V559" s="1302"/>
      <c r="W559" s="1302"/>
      <c r="X559" s="1302"/>
      <c r="Y559" s="1302"/>
      <c r="Z559" s="1302"/>
    </row>
    <row r="560" spans="1:26" ht="19.5">
      <c r="A560" s="1326"/>
      <c r="B560" s="1327"/>
      <c r="C560" s="1336" t="s">
        <v>236</v>
      </c>
      <c r="D560" s="1327"/>
      <c r="E560" s="1014"/>
      <c r="F560" s="1014"/>
      <c r="G560" s="1007"/>
      <c r="H560" s="765" t="s">
        <v>46</v>
      </c>
      <c r="I560" s="1018">
        <f ca="1">IFERROR(__xludf.DUMMYFUNCTION("IMPORTRANGE(""https://docs.google.com/spreadsheets/d/1QqKyyYR6Q21VydFLVH3TRQUabQu_ym0Zz7PgGX0-kHA/edit?usp=sharing"",""แผน!HH75"")"),60297)</f>
        <v>60297</v>
      </c>
      <c r="J560" s="1018">
        <f t="shared" ref="J560:J561" si="247">J562+J564+J566</f>
        <v>60294.057000000001</v>
      </c>
      <c r="K560" s="1162">
        <f t="shared" ca="1" si="246"/>
        <v>99.99511916015723</v>
      </c>
      <c r="L560" s="998"/>
      <c r="M560" s="998"/>
      <c r="N560" s="998"/>
      <c r="O560" s="998"/>
      <c r="P560" s="998"/>
      <c r="Q560" s="1302"/>
      <c r="R560" s="1302"/>
      <c r="S560" s="1302"/>
      <c r="T560" s="1302"/>
      <c r="U560" s="1302"/>
      <c r="V560" s="1302"/>
      <c r="W560" s="1302"/>
      <c r="X560" s="1302"/>
      <c r="Y560" s="1302"/>
      <c r="Z560" s="1302"/>
    </row>
    <row r="561" spans="1:26" ht="19.5">
      <c r="A561" s="1326"/>
      <c r="B561" s="1327"/>
      <c r="C561" s="1327"/>
      <c r="D561" s="1014"/>
      <c r="E561" s="1014"/>
      <c r="F561" s="1014"/>
      <c r="G561" s="1007"/>
      <c r="H561" s="765" t="s">
        <v>34</v>
      </c>
      <c r="I561" s="1018">
        <f ca="1">IFERROR(__xludf.DUMMYFUNCTION("IMPORTRANGE(""https://docs.google.com/spreadsheets/d/1QqKyyYR6Q21VydFLVH3TRQUabQu_ym0Zz7PgGX0-kHA/edit?usp=sharing"",""แผน!HG75"")"),5074)</f>
        <v>5074</v>
      </c>
      <c r="J561" s="1018">
        <f t="shared" si="247"/>
        <v>5074</v>
      </c>
      <c r="K561" s="1162">
        <f t="shared" ca="1" si="246"/>
        <v>100</v>
      </c>
      <c r="L561" s="998"/>
      <c r="M561" s="998"/>
      <c r="N561" s="998"/>
      <c r="O561" s="998"/>
      <c r="P561" s="998"/>
      <c r="Q561" s="1302"/>
      <c r="R561" s="1302"/>
      <c r="S561" s="1302"/>
      <c r="T561" s="1302"/>
      <c r="U561" s="1302"/>
      <c r="V561" s="1302"/>
      <c r="W561" s="1302"/>
      <c r="X561" s="1302"/>
      <c r="Y561" s="1302"/>
      <c r="Z561" s="1302"/>
    </row>
    <row r="562" spans="1:26" ht="18.75">
      <c r="A562" s="1326"/>
      <c r="B562" s="1327"/>
      <c r="C562" s="1327"/>
      <c r="D562" s="1014" t="s">
        <v>237</v>
      </c>
      <c r="E562" s="1014"/>
      <c r="F562" s="1014"/>
      <c r="G562" s="1007"/>
      <c r="H562" s="762" t="s">
        <v>46</v>
      </c>
      <c r="I562" s="997"/>
      <c r="J562" s="1012">
        <v>54374.938999999998</v>
      </c>
      <c r="K562" s="998"/>
      <c r="L562" s="998"/>
      <c r="M562" s="998"/>
      <c r="N562" s="998"/>
      <c r="O562" s="998"/>
      <c r="P562" s="998"/>
      <c r="Q562" s="1302"/>
      <c r="R562" s="1302"/>
      <c r="S562" s="1302"/>
      <c r="T562" s="1302"/>
      <c r="U562" s="1302"/>
      <c r="V562" s="1302"/>
      <c r="W562" s="1302"/>
      <c r="X562" s="1302"/>
      <c r="Y562" s="1302"/>
      <c r="Z562" s="1302"/>
    </row>
    <row r="563" spans="1:26" ht="18.75">
      <c r="A563" s="1326"/>
      <c r="B563" s="1327"/>
      <c r="C563" s="1327"/>
      <c r="D563" s="1327"/>
      <c r="E563" s="1014"/>
      <c r="F563" s="1014"/>
      <c r="G563" s="1007"/>
      <c r="H563" s="762" t="s">
        <v>34</v>
      </c>
      <c r="I563" s="997"/>
      <c r="J563" s="1012">
        <v>4674</v>
      </c>
      <c r="K563" s="998"/>
      <c r="L563" s="998"/>
      <c r="M563" s="998"/>
      <c r="N563" s="998"/>
      <c r="O563" s="998"/>
      <c r="P563" s="998"/>
      <c r="Q563" s="1302"/>
      <c r="R563" s="1302"/>
      <c r="S563" s="1302"/>
      <c r="T563" s="1302"/>
      <c r="U563" s="1302"/>
      <c r="V563" s="1302"/>
      <c r="W563" s="1302"/>
      <c r="X563" s="1302"/>
      <c r="Y563" s="1302"/>
      <c r="Z563" s="1302"/>
    </row>
    <row r="564" spans="1:26" ht="18.75">
      <c r="A564" s="1326"/>
      <c r="B564" s="1327"/>
      <c r="C564" s="1327"/>
      <c r="D564" s="1014" t="s">
        <v>238</v>
      </c>
      <c r="E564" s="1014"/>
      <c r="F564" s="1014"/>
      <c r="G564" s="1007"/>
      <c r="H564" s="762" t="s">
        <v>46</v>
      </c>
      <c r="I564" s="997"/>
      <c r="J564" s="1012">
        <v>4746.7479999999996</v>
      </c>
      <c r="K564" s="998"/>
      <c r="L564" s="998"/>
      <c r="M564" s="998"/>
      <c r="N564" s="998"/>
      <c r="O564" s="998"/>
      <c r="P564" s="998"/>
      <c r="Q564" s="1302"/>
      <c r="R564" s="1302"/>
      <c r="S564" s="1302"/>
      <c r="T564" s="1302"/>
      <c r="U564" s="1302"/>
      <c r="V564" s="1302"/>
      <c r="W564" s="1302"/>
      <c r="X564" s="1302"/>
      <c r="Y564" s="1302"/>
      <c r="Z564" s="1302"/>
    </row>
    <row r="565" spans="1:26" ht="18.75">
      <c r="A565" s="1326"/>
      <c r="B565" s="1327"/>
      <c r="C565" s="1327"/>
      <c r="D565" s="1014"/>
      <c r="E565" s="1014"/>
      <c r="F565" s="1014"/>
      <c r="G565" s="1007"/>
      <c r="H565" s="762" t="s">
        <v>34</v>
      </c>
      <c r="I565" s="997"/>
      <c r="J565" s="1012">
        <v>304</v>
      </c>
      <c r="K565" s="998"/>
      <c r="L565" s="998"/>
      <c r="M565" s="998"/>
      <c r="N565" s="998"/>
      <c r="O565" s="998"/>
      <c r="P565" s="998"/>
      <c r="Q565" s="1302"/>
      <c r="R565" s="1302"/>
      <c r="S565" s="1302"/>
      <c r="T565" s="1302"/>
      <c r="U565" s="1302"/>
      <c r="V565" s="1302"/>
      <c r="W565" s="1302"/>
      <c r="X565" s="1302"/>
      <c r="Y565" s="1302"/>
      <c r="Z565" s="1302"/>
    </row>
    <row r="566" spans="1:26" ht="18.75">
      <c r="A566" s="1326"/>
      <c r="B566" s="1327"/>
      <c r="C566" s="1327"/>
      <c r="D566" s="1014" t="s">
        <v>239</v>
      </c>
      <c r="E566" s="1014"/>
      <c r="F566" s="1014"/>
      <c r="G566" s="1007"/>
      <c r="H566" s="762" t="s">
        <v>46</v>
      </c>
      <c r="I566" s="997"/>
      <c r="J566" s="1012">
        <v>1172.3699999999999</v>
      </c>
      <c r="K566" s="998"/>
      <c r="L566" s="998"/>
      <c r="M566" s="998"/>
      <c r="N566" s="998"/>
      <c r="O566" s="998"/>
      <c r="P566" s="998"/>
      <c r="Q566" s="1302"/>
      <c r="R566" s="1302"/>
      <c r="S566" s="1302"/>
      <c r="T566" s="1302"/>
      <c r="U566" s="1302"/>
      <c r="V566" s="1302"/>
      <c r="W566" s="1302"/>
      <c r="X566" s="1302"/>
      <c r="Y566" s="1302"/>
      <c r="Z566" s="1302"/>
    </row>
    <row r="567" spans="1:26" ht="18.75">
      <c r="A567" s="1326"/>
      <c r="B567" s="1327"/>
      <c r="C567" s="1327"/>
      <c r="D567" s="1014"/>
      <c r="E567" s="1014"/>
      <c r="F567" s="1014"/>
      <c r="G567" s="1007"/>
      <c r="H567" s="762" t="s">
        <v>34</v>
      </c>
      <c r="I567" s="997"/>
      <c r="J567" s="1012">
        <v>96</v>
      </c>
      <c r="K567" s="998"/>
      <c r="L567" s="998"/>
      <c r="M567" s="998"/>
      <c r="N567" s="998"/>
      <c r="O567" s="998"/>
      <c r="P567" s="998"/>
      <c r="Q567" s="1302"/>
      <c r="R567" s="1302"/>
      <c r="S567" s="1302"/>
      <c r="T567" s="1302"/>
      <c r="U567" s="1302"/>
      <c r="V567" s="1302"/>
      <c r="W567" s="1302"/>
      <c r="X567" s="1302"/>
      <c r="Y567" s="1302"/>
      <c r="Z567" s="1302"/>
    </row>
    <row r="568" spans="1:26" ht="19.5">
      <c r="A568" s="1326"/>
      <c r="B568" s="1327"/>
      <c r="C568" s="1336" t="s">
        <v>240</v>
      </c>
      <c r="D568" s="1014"/>
      <c r="E568" s="1014"/>
      <c r="F568" s="1014"/>
      <c r="G568" s="1007"/>
      <c r="H568" s="765" t="s">
        <v>46</v>
      </c>
      <c r="I568" s="1018">
        <f ca="1">IFERROR(__xludf.DUMMYFUNCTION("IMPORTRANGE(""https://docs.google.com/spreadsheets/d/1QqKyyYR6Q21VydFLVH3TRQUabQu_ym0Zz7PgGX0-kHA/edit?usp=sharing"",""แผน!HH75"")"),60297)</f>
        <v>60297</v>
      </c>
      <c r="J568" s="1019">
        <f t="shared" ref="J568:J569" si="248">J570+J572+J574</f>
        <v>60298</v>
      </c>
      <c r="K568" s="1162">
        <f t="shared" ref="K568:K569" ca="1" si="249">IF(I568&gt;0,J568*100/I568,0)</f>
        <v>100.00165845730302</v>
      </c>
      <c r="L568" s="998"/>
      <c r="M568" s="998"/>
      <c r="N568" s="998"/>
      <c r="O568" s="998"/>
      <c r="P568" s="998"/>
      <c r="Q568" s="1302"/>
      <c r="R568" s="1302"/>
      <c r="S568" s="1302"/>
      <c r="T568" s="1302"/>
      <c r="U568" s="1302"/>
      <c r="V568" s="1302"/>
      <c r="W568" s="1302"/>
      <c r="X568" s="1302"/>
      <c r="Y568" s="1302"/>
      <c r="Z568" s="1302"/>
    </row>
    <row r="569" spans="1:26" ht="19.5">
      <c r="A569" s="1326"/>
      <c r="B569" s="1327"/>
      <c r="C569" s="1327"/>
      <c r="D569" s="1327"/>
      <c r="E569" s="1014"/>
      <c r="F569" s="1014"/>
      <c r="G569" s="1007"/>
      <c r="H569" s="765" t="s">
        <v>34</v>
      </c>
      <c r="I569" s="1018">
        <f ca="1">IFERROR(__xludf.DUMMYFUNCTION("IMPORTRANGE(""https://docs.google.com/spreadsheets/d/1QqKyyYR6Q21VydFLVH3TRQUabQu_ym0Zz7PgGX0-kHA/edit?usp=sharing"",""แผน!HG75"")"),5074)</f>
        <v>5074</v>
      </c>
      <c r="J569" s="1019">
        <f t="shared" si="248"/>
        <v>5074</v>
      </c>
      <c r="K569" s="1162">
        <f t="shared" ca="1" si="249"/>
        <v>100</v>
      </c>
      <c r="L569" s="998"/>
      <c r="M569" s="998"/>
      <c r="N569" s="998"/>
      <c r="O569" s="998"/>
      <c r="P569" s="998"/>
      <c r="Q569" s="1302"/>
      <c r="R569" s="1302"/>
      <c r="S569" s="1302"/>
      <c r="T569" s="1302"/>
      <c r="U569" s="1302"/>
      <c r="V569" s="1302"/>
      <c r="W569" s="1302"/>
      <c r="X569" s="1302"/>
      <c r="Y569" s="1302"/>
      <c r="Z569" s="1302"/>
    </row>
    <row r="570" spans="1:26" ht="18.75">
      <c r="A570" s="1326"/>
      <c r="B570" s="1327"/>
      <c r="C570" s="1327"/>
      <c r="D570" s="1014" t="s">
        <v>241</v>
      </c>
      <c r="E570" s="1327"/>
      <c r="F570" s="1014"/>
      <c r="G570" s="1007"/>
      <c r="H570" s="762" t="s">
        <v>46</v>
      </c>
      <c r="I570" s="997"/>
      <c r="J570" s="1012">
        <v>54686</v>
      </c>
      <c r="K570" s="998"/>
      <c r="L570" s="998"/>
      <c r="M570" s="998"/>
      <c r="N570" s="998"/>
      <c r="O570" s="998"/>
      <c r="P570" s="998"/>
      <c r="Q570" s="1302"/>
      <c r="R570" s="1302"/>
      <c r="S570" s="1302"/>
      <c r="T570" s="1302"/>
      <c r="U570" s="1302"/>
      <c r="V570" s="1302"/>
      <c r="W570" s="1302"/>
      <c r="X570" s="1302"/>
      <c r="Y570" s="1302"/>
      <c r="Z570" s="1302"/>
    </row>
    <row r="571" spans="1:26" ht="18.75">
      <c r="A571" s="1326"/>
      <c r="B571" s="1327"/>
      <c r="C571" s="1327"/>
      <c r="D571" s="1327"/>
      <c r="E571" s="1014"/>
      <c r="F571" s="1014"/>
      <c r="G571" s="1007"/>
      <c r="H571" s="762" t="s">
        <v>34</v>
      </c>
      <c r="I571" s="997"/>
      <c r="J571" s="1012">
        <v>4700</v>
      </c>
      <c r="K571" s="998"/>
      <c r="L571" s="998"/>
      <c r="M571" s="998"/>
      <c r="N571" s="998"/>
      <c r="O571" s="998"/>
      <c r="P571" s="998"/>
      <c r="Q571" s="1302"/>
      <c r="R571" s="1302"/>
      <c r="S571" s="1302"/>
      <c r="T571" s="1302"/>
      <c r="U571" s="1302"/>
      <c r="V571" s="1302"/>
      <c r="W571" s="1302"/>
      <c r="X571" s="1302"/>
      <c r="Y571" s="1302"/>
      <c r="Z571" s="1302"/>
    </row>
    <row r="572" spans="1:26" ht="18.75">
      <c r="A572" s="1326"/>
      <c r="B572" s="1327"/>
      <c r="C572" s="1327"/>
      <c r="D572" s="1014" t="s">
        <v>242</v>
      </c>
      <c r="E572" s="1014"/>
      <c r="F572" s="1014"/>
      <c r="G572" s="1007"/>
      <c r="H572" s="762" t="s">
        <v>46</v>
      </c>
      <c r="I572" s="997"/>
      <c r="J572" s="1012">
        <v>4461</v>
      </c>
      <c r="K572" s="998"/>
      <c r="L572" s="998"/>
      <c r="M572" s="998"/>
      <c r="N572" s="998"/>
      <c r="O572" s="998"/>
      <c r="P572" s="998"/>
      <c r="Q572" s="1302"/>
      <c r="R572" s="1302"/>
      <c r="S572" s="1302"/>
      <c r="T572" s="1302"/>
      <c r="U572" s="1302"/>
      <c r="V572" s="1302"/>
      <c r="W572" s="1302"/>
      <c r="X572" s="1302"/>
      <c r="Y572" s="1302"/>
      <c r="Z572" s="1302"/>
    </row>
    <row r="573" spans="1:26" ht="18.75">
      <c r="A573" s="1326"/>
      <c r="B573" s="1327"/>
      <c r="C573" s="1327"/>
      <c r="D573" s="1014"/>
      <c r="E573" s="1014"/>
      <c r="F573" s="1014"/>
      <c r="G573" s="1007"/>
      <c r="H573" s="762" t="s">
        <v>34</v>
      </c>
      <c r="I573" s="997"/>
      <c r="J573" s="1012">
        <v>277</v>
      </c>
      <c r="K573" s="998"/>
      <c r="L573" s="998"/>
      <c r="M573" s="998"/>
      <c r="N573" s="998"/>
      <c r="O573" s="998"/>
      <c r="P573" s="998"/>
      <c r="Q573" s="1302"/>
      <c r="R573" s="1302"/>
      <c r="S573" s="1302"/>
      <c r="T573" s="1302"/>
      <c r="U573" s="1302"/>
      <c r="V573" s="1302"/>
      <c r="W573" s="1302"/>
      <c r="X573" s="1302"/>
      <c r="Y573" s="1302"/>
      <c r="Z573" s="1302"/>
    </row>
    <row r="574" spans="1:26" ht="18.75">
      <c r="A574" s="1326"/>
      <c r="B574" s="1327"/>
      <c r="C574" s="1327"/>
      <c r="D574" s="1014" t="s">
        <v>243</v>
      </c>
      <c r="E574" s="1014"/>
      <c r="F574" s="1014"/>
      <c r="G574" s="1007"/>
      <c r="H574" s="762" t="s">
        <v>46</v>
      </c>
      <c r="I574" s="997"/>
      <c r="J574" s="1012">
        <v>1151</v>
      </c>
      <c r="K574" s="998"/>
      <c r="L574" s="998"/>
      <c r="M574" s="998"/>
      <c r="N574" s="998"/>
      <c r="O574" s="998"/>
      <c r="P574" s="998"/>
      <c r="Q574" s="1302"/>
      <c r="R574" s="1302"/>
      <c r="S574" s="1302"/>
      <c r="T574" s="1302"/>
      <c r="U574" s="1302"/>
      <c r="V574" s="1302"/>
      <c r="W574" s="1302"/>
      <c r="X574" s="1302"/>
      <c r="Y574" s="1302"/>
      <c r="Z574" s="1302"/>
    </row>
    <row r="575" spans="1:26" ht="18.75">
      <c r="A575" s="1326"/>
      <c r="B575" s="1327"/>
      <c r="C575" s="1327"/>
      <c r="D575" s="1327"/>
      <c r="E575" s="1014"/>
      <c r="F575" s="1014"/>
      <c r="G575" s="1007"/>
      <c r="H575" s="762" t="s">
        <v>34</v>
      </c>
      <c r="I575" s="997"/>
      <c r="J575" s="1012">
        <v>97</v>
      </c>
      <c r="K575" s="998"/>
      <c r="L575" s="998"/>
      <c r="M575" s="998"/>
      <c r="N575" s="998"/>
      <c r="O575" s="998"/>
      <c r="P575" s="998"/>
      <c r="Q575" s="1302"/>
      <c r="R575" s="1302"/>
      <c r="S575" s="1302"/>
      <c r="T575" s="1302"/>
      <c r="U575" s="1302"/>
      <c r="V575" s="1302"/>
      <c r="W575" s="1302"/>
      <c r="X575" s="1302"/>
      <c r="Y575" s="1302"/>
      <c r="Z575" s="1302"/>
    </row>
    <row r="576" spans="1:26" ht="19.5">
      <c r="A576" s="1326"/>
      <c r="B576" s="1327"/>
      <c r="C576" s="1336" t="s">
        <v>244</v>
      </c>
      <c r="D576" s="1327"/>
      <c r="E576" s="1327"/>
      <c r="F576" s="1014"/>
      <c r="G576" s="1007"/>
      <c r="H576" s="765" t="s">
        <v>46</v>
      </c>
      <c r="I576" s="1018">
        <f ca="1">IFERROR(__xludf.DUMMYFUNCTION("IMPORTRANGE(""https://docs.google.com/spreadsheets/d/1QqKyyYR6Q21VydFLVH3TRQUabQu_ym0Zz7PgGX0-kHA/edit?usp=sharing"",""แผน!HH75"")"),60297)</f>
        <v>60297</v>
      </c>
      <c r="J576" s="1019">
        <f t="shared" ref="J576:J577" si="250">J578+J580+J582+J588+J590</f>
        <v>54686</v>
      </c>
      <c r="K576" s="1162">
        <f t="shared" ref="K576:K577" ca="1" si="251">IF(I576&gt;0,J576*100/I576,0)</f>
        <v>90.694396072773102</v>
      </c>
      <c r="L576" s="998"/>
      <c r="M576" s="998"/>
      <c r="N576" s="998"/>
      <c r="O576" s="998"/>
      <c r="P576" s="998"/>
      <c r="Q576" s="1302"/>
      <c r="R576" s="1302"/>
      <c r="S576" s="1302"/>
      <c r="T576" s="1302"/>
      <c r="U576" s="1302"/>
      <c r="V576" s="1302"/>
      <c r="W576" s="1302"/>
      <c r="X576" s="1302"/>
      <c r="Y576" s="1302"/>
      <c r="Z576" s="1302"/>
    </row>
    <row r="577" spans="1:26" ht="19.5">
      <c r="A577" s="1326"/>
      <c r="B577" s="1327"/>
      <c r="C577" s="1327"/>
      <c r="D577" s="1327"/>
      <c r="E577" s="1014"/>
      <c r="F577" s="1014"/>
      <c r="G577" s="1007"/>
      <c r="H577" s="765" t="s">
        <v>34</v>
      </c>
      <c r="I577" s="1018">
        <f ca="1">IFERROR(__xludf.DUMMYFUNCTION("IMPORTRANGE(""https://docs.google.com/spreadsheets/d/1QqKyyYR6Q21VydFLVH3TRQUabQu_ym0Zz7PgGX0-kHA/edit?usp=sharing"",""แผน!HG75"")"),5074)</f>
        <v>5074</v>
      </c>
      <c r="J577" s="1019">
        <f t="shared" si="250"/>
        <v>4700</v>
      </c>
      <c r="K577" s="1162">
        <f t="shared" ca="1" si="251"/>
        <v>92.629089475758775</v>
      </c>
      <c r="L577" s="998"/>
      <c r="M577" s="998"/>
      <c r="N577" s="998"/>
      <c r="O577" s="998"/>
      <c r="P577" s="998"/>
      <c r="Q577" s="1302"/>
      <c r="R577" s="1302"/>
      <c r="S577" s="1302"/>
      <c r="T577" s="1302"/>
      <c r="U577" s="1302"/>
      <c r="V577" s="1302"/>
      <c r="W577" s="1302"/>
      <c r="X577" s="1302"/>
      <c r="Y577" s="1302"/>
      <c r="Z577" s="1302"/>
    </row>
    <row r="578" spans="1:26" ht="18.75">
      <c r="A578" s="1326"/>
      <c r="B578" s="1327"/>
      <c r="C578" s="1327"/>
      <c r="D578" s="1014" t="s">
        <v>245</v>
      </c>
      <c r="E578" s="1014"/>
      <c r="F578" s="1014"/>
      <c r="G578" s="1007"/>
      <c r="H578" s="762" t="s">
        <v>46</v>
      </c>
      <c r="I578" s="997"/>
      <c r="J578" s="1012">
        <v>54686</v>
      </c>
      <c r="K578" s="998"/>
      <c r="L578" s="998"/>
      <c r="M578" s="998"/>
      <c r="N578" s="998"/>
      <c r="O578" s="998"/>
      <c r="P578" s="998"/>
      <c r="Q578" s="1302"/>
      <c r="R578" s="1302"/>
      <c r="S578" s="1302"/>
      <c r="T578" s="1302"/>
      <c r="U578" s="1302"/>
      <c r="V578" s="1302"/>
      <c r="W578" s="1302"/>
      <c r="X578" s="1302"/>
      <c r="Y578" s="1302"/>
      <c r="Z578" s="1302"/>
    </row>
    <row r="579" spans="1:26" ht="18.75">
      <c r="A579" s="1326"/>
      <c r="B579" s="1327"/>
      <c r="C579" s="1327"/>
      <c r="D579" s="1327"/>
      <c r="E579" s="1014"/>
      <c r="F579" s="1014"/>
      <c r="G579" s="1007"/>
      <c r="H579" s="762" t="s">
        <v>34</v>
      </c>
      <c r="I579" s="997"/>
      <c r="J579" s="1012">
        <v>4700</v>
      </c>
      <c r="K579" s="998"/>
      <c r="L579" s="998"/>
      <c r="M579" s="998"/>
      <c r="N579" s="998"/>
      <c r="O579" s="998"/>
      <c r="P579" s="998"/>
      <c r="Q579" s="1302"/>
      <c r="R579" s="1302"/>
      <c r="S579" s="1302"/>
      <c r="T579" s="1302"/>
      <c r="U579" s="1302"/>
      <c r="V579" s="1302"/>
      <c r="W579" s="1302"/>
      <c r="X579" s="1302"/>
      <c r="Y579" s="1302"/>
      <c r="Z579" s="1302"/>
    </row>
    <row r="580" spans="1:26" ht="18.75">
      <c r="A580" s="1326"/>
      <c r="B580" s="1327"/>
      <c r="C580" s="1327"/>
      <c r="D580" s="1014" t="s">
        <v>246</v>
      </c>
      <c r="E580" s="1014"/>
      <c r="F580" s="1014"/>
      <c r="G580" s="1007"/>
      <c r="H580" s="762" t="s">
        <v>46</v>
      </c>
      <c r="I580" s="997"/>
      <c r="J580" s="1012"/>
      <c r="K580" s="998"/>
      <c r="L580" s="998"/>
      <c r="M580" s="998"/>
      <c r="N580" s="998"/>
      <c r="O580" s="998"/>
      <c r="P580" s="998"/>
      <c r="Q580" s="1302"/>
      <c r="R580" s="1302"/>
      <c r="S580" s="1302"/>
      <c r="T580" s="1302"/>
      <c r="U580" s="1302"/>
      <c r="V580" s="1302"/>
      <c r="W580" s="1302"/>
      <c r="X580" s="1302"/>
      <c r="Y580" s="1302"/>
      <c r="Z580" s="1302"/>
    </row>
    <row r="581" spans="1:26" ht="18.75">
      <c r="A581" s="1326"/>
      <c r="B581" s="1327"/>
      <c r="C581" s="1327"/>
      <c r="D581" s="1327"/>
      <c r="E581" s="1014"/>
      <c r="F581" s="1014"/>
      <c r="G581" s="1007"/>
      <c r="H581" s="762" t="s">
        <v>34</v>
      </c>
      <c r="I581" s="997"/>
      <c r="J581" s="1012"/>
      <c r="K581" s="998"/>
      <c r="L581" s="998"/>
      <c r="M581" s="998"/>
      <c r="N581" s="998"/>
      <c r="O581" s="998"/>
      <c r="P581" s="998"/>
      <c r="Q581" s="1302"/>
      <c r="R581" s="1302"/>
      <c r="S581" s="1302"/>
      <c r="T581" s="1302"/>
      <c r="U581" s="1302"/>
      <c r="V581" s="1302"/>
      <c r="W581" s="1302"/>
      <c r="X581" s="1302"/>
      <c r="Y581" s="1302"/>
      <c r="Z581" s="1302"/>
    </row>
    <row r="582" spans="1:26" ht="19.5">
      <c r="A582" s="1326"/>
      <c r="B582" s="1327"/>
      <c r="C582" s="1327"/>
      <c r="D582" s="1014" t="s">
        <v>247</v>
      </c>
      <c r="E582" s="1014"/>
      <c r="F582" s="1014"/>
      <c r="G582" s="1007"/>
      <c r="H582" s="762" t="s">
        <v>46</v>
      </c>
      <c r="I582" s="997"/>
      <c r="J582" s="1019">
        <f t="shared" ref="J582:J583" si="252">J584+J586</f>
        <v>0</v>
      </c>
      <c r="K582" s="1162"/>
      <c r="L582" s="998"/>
      <c r="M582" s="998"/>
      <c r="N582" s="998"/>
      <c r="O582" s="998"/>
      <c r="P582" s="998"/>
      <c r="Q582" s="1302"/>
      <c r="R582" s="1302"/>
      <c r="S582" s="1302"/>
      <c r="T582" s="1302"/>
      <c r="U582" s="1302"/>
      <c r="V582" s="1302"/>
      <c r="W582" s="1302"/>
      <c r="X582" s="1302"/>
      <c r="Y582" s="1302"/>
      <c r="Z582" s="1302"/>
    </row>
    <row r="583" spans="1:26" ht="19.5">
      <c r="A583" s="1326"/>
      <c r="B583" s="1327"/>
      <c r="C583" s="1327"/>
      <c r="D583" s="1327"/>
      <c r="E583" s="1014"/>
      <c r="F583" s="1014"/>
      <c r="G583" s="1007"/>
      <c r="H583" s="762" t="s">
        <v>34</v>
      </c>
      <c r="I583" s="997"/>
      <c r="J583" s="1019">
        <f t="shared" si="252"/>
        <v>0</v>
      </c>
      <c r="K583" s="1162"/>
      <c r="L583" s="998"/>
      <c r="M583" s="998"/>
      <c r="N583" s="998"/>
      <c r="O583" s="998"/>
      <c r="P583" s="998"/>
      <c r="Q583" s="1302"/>
      <c r="R583" s="1302"/>
      <c r="S583" s="1302"/>
      <c r="T583" s="1302"/>
      <c r="U583" s="1302"/>
      <c r="V583" s="1302"/>
      <c r="W583" s="1302"/>
      <c r="X583" s="1302"/>
      <c r="Y583" s="1302"/>
      <c r="Z583" s="1302"/>
    </row>
    <row r="584" spans="1:26" ht="18.75">
      <c r="A584" s="1326"/>
      <c r="B584" s="1327"/>
      <c r="C584" s="1327"/>
      <c r="D584" s="1327"/>
      <c r="E584" s="1014" t="s">
        <v>248</v>
      </c>
      <c r="F584" s="1014"/>
      <c r="G584" s="1007"/>
      <c r="H584" s="762" t="s">
        <v>46</v>
      </c>
      <c r="I584" s="997"/>
      <c r="J584" s="1012"/>
      <c r="K584" s="998"/>
      <c r="L584" s="998"/>
      <c r="M584" s="998"/>
      <c r="N584" s="998"/>
      <c r="O584" s="998"/>
      <c r="P584" s="998"/>
      <c r="Q584" s="1302"/>
      <c r="R584" s="1302"/>
      <c r="S584" s="1302"/>
      <c r="T584" s="1302"/>
      <c r="U584" s="1302"/>
      <c r="V584" s="1302"/>
      <c r="W584" s="1302"/>
      <c r="X584" s="1302"/>
      <c r="Y584" s="1302"/>
      <c r="Z584" s="1302"/>
    </row>
    <row r="585" spans="1:26" ht="18.75">
      <c r="A585" s="1326"/>
      <c r="B585" s="1327"/>
      <c r="C585" s="1327"/>
      <c r="D585" s="1327"/>
      <c r="E585" s="1014"/>
      <c r="F585" s="1014"/>
      <c r="G585" s="1007"/>
      <c r="H585" s="762" t="s">
        <v>34</v>
      </c>
      <c r="I585" s="997"/>
      <c r="J585" s="1012"/>
      <c r="K585" s="998"/>
      <c r="L585" s="998"/>
      <c r="M585" s="998"/>
      <c r="N585" s="998"/>
      <c r="O585" s="998"/>
      <c r="P585" s="998"/>
      <c r="Q585" s="1302"/>
      <c r="R585" s="1302"/>
      <c r="S585" s="1302"/>
      <c r="T585" s="1302"/>
      <c r="U585" s="1302"/>
      <c r="V585" s="1302"/>
      <c r="W585" s="1302"/>
      <c r="X585" s="1302"/>
      <c r="Y585" s="1302"/>
      <c r="Z585" s="1302"/>
    </row>
    <row r="586" spans="1:26" ht="18.75">
      <c r="A586" s="1326"/>
      <c r="B586" s="1327"/>
      <c r="C586" s="1327"/>
      <c r="D586" s="1327"/>
      <c r="E586" s="1014" t="s">
        <v>249</v>
      </c>
      <c r="F586" s="1014"/>
      <c r="G586" s="1007"/>
      <c r="H586" s="762" t="s">
        <v>46</v>
      </c>
      <c r="I586" s="997"/>
      <c r="J586" s="1012"/>
      <c r="K586" s="998"/>
      <c r="L586" s="998"/>
      <c r="M586" s="998"/>
      <c r="N586" s="998"/>
      <c r="O586" s="998"/>
      <c r="P586" s="998"/>
      <c r="Q586" s="1302"/>
      <c r="R586" s="1302"/>
      <c r="S586" s="1302"/>
      <c r="T586" s="1302"/>
      <c r="U586" s="1302"/>
      <c r="V586" s="1302"/>
      <c r="W586" s="1302"/>
      <c r="X586" s="1302"/>
      <c r="Y586" s="1302"/>
      <c r="Z586" s="1302"/>
    </row>
    <row r="587" spans="1:26" ht="18.75">
      <c r="A587" s="1326"/>
      <c r="B587" s="1327"/>
      <c r="C587" s="1327"/>
      <c r="D587" s="1327"/>
      <c r="E587" s="1327"/>
      <c r="F587" s="1014"/>
      <c r="G587" s="1007"/>
      <c r="H587" s="762" t="s">
        <v>34</v>
      </c>
      <c r="I587" s="997"/>
      <c r="J587" s="1012"/>
      <c r="K587" s="998"/>
      <c r="L587" s="998"/>
      <c r="M587" s="998"/>
      <c r="N587" s="998"/>
      <c r="O587" s="998"/>
      <c r="P587" s="998"/>
      <c r="Q587" s="1302"/>
      <c r="R587" s="1302"/>
      <c r="S587" s="1302"/>
      <c r="T587" s="1302"/>
      <c r="U587" s="1302"/>
      <c r="V587" s="1302"/>
      <c r="W587" s="1302"/>
      <c r="X587" s="1302"/>
      <c r="Y587" s="1302"/>
      <c r="Z587" s="1302"/>
    </row>
    <row r="588" spans="1:26" ht="18.75">
      <c r="A588" s="1326"/>
      <c r="B588" s="1327"/>
      <c r="C588" s="1327"/>
      <c r="D588" s="1014" t="s">
        <v>250</v>
      </c>
      <c r="E588" s="1014"/>
      <c r="F588" s="1014"/>
      <c r="G588" s="1007"/>
      <c r="H588" s="762" t="s">
        <v>46</v>
      </c>
      <c r="I588" s="997"/>
      <c r="J588" s="1012">
        <v>0</v>
      </c>
      <c r="K588" s="998"/>
      <c r="L588" s="998"/>
      <c r="M588" s="998"/>
      <c r="N588" s="998"/>
      <c r="O588" s="998"/>
      <c r="P588" s="998"/>
      <c r="Q588" s="1302"/>
      <c r="R588" s="1302"/>
      <c r="S588" s="1302"/>
      <c r="T588" s="1302"/>
      <c r="U588" s="1302"/>
      <c r="V588" s="1302"/>
      <c r="W588" s="1302"/>
      <c r="X588" s="1302"/>
      <c r="Y588" s="1302"/>
      <c r="Z588" s="1302"/>
    </row>
    <row r="589" spans="1:26" ht="18.75">
      <c r="A589" s="1326"/>
      <c r="B589" s="1327"/>
      <c r="C589" s="1327"/>
      <c r="D589" s="1327"/>
      <c r="E589" s="1327"/>
      <c r="F589" s="1014"/>
      <c r="G589" s="1007"/>
      <c r="H589" s="762" t="s">
        <v>34</v>
      </c>
      <c r="I589" s="997"/>
      <c r="J589" s="1012">
        <v>0</v>
      </c>
      <c r="K589" s="998"/>
      <c r="L589" s="998"/>
      <c r="M589" s="998"/>
      <c r="N589" s="998"/>
      <c r="O589" s="998"/>
      <c r="P589" s="998"/>
      <c r="Q589" s="1302"/>
      <c r="R589" s="1302"/>
      <c r="S589" s="1302"/>
      <c r="T589" s="1302"/>
      <c r="U589" s="1302"/>
      <c r="V589" s="1302"/>
      <c r="W589" s="1302"/>
      <c r="X589" s="1302"/>
      <c r="Y589" s="1302"/>
      <c r="Z589" s="1302"/>
    </row>
    <row r="590" spans="1:26" ht="18.75">
      <c r="A590" s="1326"/>
      <c r="B590" s="1327"/>
      <c r="C590" s="1327"/>
      <c r="D590" s="1014" t="s">
        <v>251</v>
      </c>
      <c r="E590" s="1014"/>
      <c r="F590" s="1014"/>
      <c r="G590" s="1007"/>
      <c r="H590" s="762" t="s">
        <v>46</v>
      </c>
      <c r="I590" s="997"/>
      <c r="J590" s="1012">
        <v>0</v>
      </c>
      <c r="K590" s="998"/>
      <c r="L590" s="998"/>
      <c r="M590" s="998"/>
      <c r="N590" s="998"/>
      <c r="O590" s="998"/>
      <c r="P590" s="998"/>
      <c r="Q590" s="1302"/>
      <c r="R590" s="1302"/>
      <c r="S590" s="1302"/>
      <c r="T590" s="1302"/>
      <c r="U590" s="1302"/>
      <c r="V590" s="1302"/>
      <c r="W590" s="1302"/>
      <c r="X590" s="1302"/>
      <c r="Y590" s="1302"/>
      <c r="Z590" s="1302"/>
    </row>
    <row r="591" spans="1:26" ht="18.75">
      <c r="A591" s="1393"/>
      <c r="B591" s="1394"/>
      <c r="C591" s="1394"/>
      <c r="D591" s="1394"/>
      <c r="E591" s="1302"/>
      <c r="F591" s="1302"/>
      <c r="G591" s="1395"/>
      <c r="H591" s="697" t="s">
        <v>34</v>
      </c>
      <c r="I591" s="1396"/>
      <c r="J591" s="1397">
        <v>0</v>
      </c>
      <c r="K591" s="1398"/>
      <c r="L591" s="1398"/>
      <c r="M591" s="1398"/>
      <c r="N591" s="1398"/>
      <c r="O591" s="1398"/>
      <c r="P591" s="1398"/>
      <c r="Q591" s="1302"/>
      <c r="R591" s="1302"/>
      <c r="S591" s="1302"/>
      <c r="T591" s="1302"/>
      <c r="U591" s="1302"/>
      <c r="V591" s="1302"/>
      <c r="W591" s="1302"/>
      <c r="X591" s="1302"/>
      <c r="Y591" s="1302"/>
      <c r="Z591" s="1302"/>
    </row>
    <row r="592" spans="1:26" ht="19.5">
      <c r="A592" s="1390"/>
      <c r="B592" s="1391" t="s">
        <v>252</v>
      </c>
      <c r="C592" s="1392"/>
      <c r="D592" s="1392"/>
      <c r="E592" s="1375"/>
      <c r="F592" s="1375"/>
      <c r="G592" s="1376"/>
      <c r="H592" s="693" t="s">
        <v>46</v>
      </c>
      <c r="I592" s="1399">
        <f t="shared" ref="I592:J592" ca="1" si="253">I593</f>
        <v>3453.6</v>
      </c>
      <c r="J592" s="1377">
        <f t="shared" si="253"/>
        <v>0</v>
      </c>
      <c r="K592" s="1378">
        <f t="shared" ref="K592:K594" ca="1" si="254">IF(I592&gt;0,J592*100/I592,0)</f>
        <v>0</v>
      </c>
      <c r="L592" s="1379"/>
      <c r="M592" s="1379"/>
      <c r="N592" s="1379"/>
      <c r="O592" s="1379"/>
      <c r="P592" s="1379"/>
      <c r="Q592" s="1302"/>
      <c r="R592" s="1302"/>
      <c r="S592" s="1302"/>
      <c r="T592" s="1302"/>
      <c r="U592" s="1302"/>
      <c r="V592" s="1302"/>
      <c r="W592" s="1302"/>
      <c r="X592" s="1302"/>
      <c r="Y592" s="1302"/>
      <c r="Z592" s="1302"/>
    </row>
    <row r="593" spans="1:26" ht="19.5">
      <c r="A593" s="1326"/>
      <c r="B593" s="1327"/>
      <c r="C593" s="1336" t="s">
        <v>253</v>
      </c>
      <c r="D593" s="1327"/>
      <c r="E593" s="1327"/>
      <c r="F593" s="1014"/>
      <c r="G593" s="1007"/>
      <c r="H593" s="765" t="s">
        <v>46</v>
      </c>
      <c r="I593" s="1400">
        <f ca="1">IFERROR(__xludf.DUMMYFUNCTION("IMPORTRANGE(""https://docs.google.com/spreadsheets/d/1QqKyyYR6Q21VydFLVH3TRQUabQu_ym0Zz7PgGX0-kHA/edit?usp=sharing"",""แผน!HJ75"")"),3453.6)</f>
        <v>3453.6</v>
      </c>
      <c r="J593" s="1018">
        <f t="shared" ref="J593:J594" si="255">J595+J603+J609</f>
        <v>0</v>
      </c>
      <c r="K593" s="1162">
        <f t="shared" ca="1" si="254"/>
        <v>0</v>
      </c>
      <c r="L593" s="998"/>
      <c r="M593" s="998"/>
      <c r="N593" s="998"/>
      <c r="O593" s="998"/>
      <c r="P593" s="998"/>
      <c r="Q593" s="1302"/>
      <c r="R593" s="1302"/>
      <c r="S593" s="1302"/>
      <c r="T593" s="1302"/>
      <c r="U593" s="1302"/>
      <c r="V593" s="1302"/>
      <c r="W593" s="1302"/>
      <c r="X593" s="1302"/>
      <c r="Y593" s="1302"/>
      <c r="Z593" s="1302"/>
    </row>
    <row r="594" spans="1:26" ht="19.5">
      <c r="A594" s="1326"/>
      <c r="B594" s="1327"/>
      <c r="C594" s="1327"/>
      <c r="D594" s="1327"/>
      <c r="E594" s="1014"/>
      <c r="F594" s="1014"/>
      <c r="G594" s="1007"/>
      <c r="H594" s="765" t="s">
        <v>34</v>
      </c>
      <c r="I594" s="1018">
        <f ca="1">IFERROR(__xludf.DUMMYFUNCTION("IMPORTRANGE(""https://docs.google.com/spreadsheets/d/1QqKyyYR6Q21VydFLVH3TRQUabQu_ym0Zz7PgGX0-kHA/edit?usp=sharing"",""แผน!HI75"")"),210)</f>
        <v>210</v>
      </c>
      <c r="J594" s="1018">
        <f t="shared" si="255"/>
        <v>0</v>
      </c>
      <c r="K594" s="1162">
        <f t="shared" ca="1" si="254"/>
        <v>0</v>
      </c>
      <c r="L594" s="998"/>
      <c r="M594" s="998"/>
      <c r="N594" s="998"/>
      <c r="O594" s="998"/>
      <c r="P594" s="998"/>
      <c r="Q594" s="1302"/>
      <c r="R594" s="1302"/>
      <c r="S594" s="1302"/>
      <c r="T594" s="1302"/>
      <c r="U594" s="1302"/>
      <c r="V594" s="1302"/>
      <c r="W594" s="1302"/>
      <c r="X594" s="1302"/>
      <c r="Y594" s="1302"/>
      <c r="Z594" s="1302"/>
    </row>
    <row r="595" spans="1:26" ht="18.75">
      <c r="A595" s="1326"/>
      <c r="B595" s="1327"/>
      <c r="C595" s="1327" t="s">
        <v>254</v>
      </c>
      <c r="D595" s="1327"/>
      <c r="E595" s="1327"/>
      <c r="F595" s="1014"/>
      <c r="G595" s="1007"/>
      <c r="H595" s="762" t="s">
        <v>46</v>
      </c>
      <c r="I595" s="997"/>
      <c r="J595" s="997">
        <f t="shared" ref="J595:J596" si="256">J597+J599</f>
        <v>0</v>
      </c>
      <c r="K595" s="998"/>
      <c r="L595" s="998"/>
      <c r="M595" s="998"/>
      <c r="N595" s="998"/>
      <c r="O595" s="998"/>
      <c r="P595" s="998"/>
      <c r="Q595" s="1302"/>
      <c r="R595" s="1302"/>
      <c r="S595" s="1302"/>
      <c r="T595" s="1302"/>
      <c r="U595" s="1302"/>
      <c r="V595" s="1302"/>
      <c r="W595" s="1302"/>
      <c r="X595" s="1302"/>
      <c r="Y595" s="1302"/>
      <c r="Z595" s="1302"/>
    </row>
    <row r="596" spans="1:26" ht="18.75">
      <c r="A596" s="1326"/>
      <c r="B596" s="1327"/>
      <c r="C596" s="1327"/>
      <c r="D596" s="1327"/>
      <c r="E596" s="1014"/>
      <c r="F596" s="1014"/>
      <c r="G596" s="1007"/>
      <c r="H596" s="762" t="s">
        <v>34</v>
      </c>
      <c r="I596" s="997"/>
      <c r="J596" s="997">
        <f t="shared" si="256"/>
        <v>0</v>
      </c>
      <c r="K596" s="998"/>
      <c r="L596" s="998"/>
      <c r="M596" s="998"/>
      <c r="N596" s="998"/>
      <c r="O596" s="998"/>
      <c r="P596" s="998"/>
      <c r="Q596" s="1302"/>
      <c r="R596" s="1302"/>
      <c r="S596" s="1302"/>
      <c r="T596" s="1302"/>
      <c r="U596" s="1302"/>
      <c r="V596" s="1302"/>
      <c r="W596" s="1302"/>
      <c r="X596" s="1302"/>
      <c r="Y596" s="1302"/>
      <c r="Z596" s="1302"/>
    </row>
    <row r="597" spans="1:26" ht="18.75">
      <c r="A597" s="1326"/>
      <c r="B597" s="1327"/>
      <c r="C597" s="1327"/>
      <c r="D597" s="1069" t="s">
        <v>255</v>
      </c>
      <c r="E597" s="1014"/>
      <c r="F597" s="1014"/>
      <c r="G597" s="1007"/>
      <c r="H597" s="762" t="s">
        <v>46</v>
      </c>
      <c r="I597" s="997"/>
      <c r="J597" s="1012">
        <v>0</v>
      </c>
      <c r="K597" s="998"/>
      <c r="L597" s="998"/>
      <c r="M597" s="998"/>
      <c r="N597" s="998"/>
      <c r="O597" s="998"/>
      <c r="P597" s="998"/>
      <c r="Q597" s="1302"/>
      <c r="R597" s="1302"/>
      <c r="S597" s="1302"/>
      <c r="T597" s="1302"/>
      <c r="U597" s="1302"/>
      <c r="V597" s="1302"/>
      <c r="W597" s="1302"/>
      <c r="X597" s="1302"/>
      <c r="Y597" s="1302"/>
      <c r="Z597" s="1302"/>
    </row>
    <row r="598" spans="1:26" ht="18.75">
      <c r="A598" s="1326"/>
      <c r="B598" s="1327"/>
      <c r="C598" s="1327"/>
      <c r="D598" s="1327"/>
      <c r="E598" s="1014"/>
      <c r="F598" s="1014"/>
      <c r="G598" s="1007"/>
      <c r="H598" s="762" t="s">
        <v>34</v>
      </c>
      <c r="I598" s="880"/>
      <c r="J598" s="1012">
        <v>0</v>
      </c>
      <c r="K598" s="998"/>
      <c r="L598" s="998"/>
      <c r="M598" s="998"/>
      <c r="N598" s="998"/>
      <c r="O598" s="998"/>
      <c r="P598" s="998"/>
      <c r="Q598" s="1302"/>
      <c r="R598" s="1302"/>
      <c r="S598" s="1302"/>
      <c r="T598" s="1302"/>
      <c r="U598" s="1302"/>
      <c r="V598" s="1302"/>
      <c r="W598" s="1302"/>
      <c r="X598" s="1302"/>
      <c r="Y598" s="1302"/>
      <c r="Z598" s="1302"/>
    </row>
    <row r="599" spans="1:26" ht="18.75">
      <c r="A599" s="1326"/>
      <c r="B599" s="1327"/>
      <c r="C599" s="1327"/>
      <c r="D599" s="1069" t="s">
        <v>256</v>
      </c>
      <c r="E599" s="1014"/>
      <c r="F599" s="1014"/>
      <c r="G599" s="1007"/>
      <c r="H599" s="762" t="s">
        <v>46</v>
      </c>
      <c r="I599" s="880"/>
      <c r="J599" s="1012">
        <v>0</v>
      </c>
      <c r="K599" s="998"/>
      <c r="L599" s="998"/>
      <c r="M599" s="998"/>
      <c r="N599" s="998"/>
      <c r="O599" s="998"/>
      <c r="P599" s="998"/>
      <c r="Q599" s="1302"/>
      <c r="R599" s="1302"/>
      <c r="S599" s="1302"/>
      <c r="T599" s="1302"/>
      <c r="U599" s="1302"/>
      <c r="V599" s="1302"/>
      <c r="W599" s="1302"/>
      <c r="X599" s="1302"/>
      <c r="Y599" s="1302"/>
      <c r="Z599" s="1302"/>
    </row>
    <row r="600" spans="1:26" ht="18.75">
      <c r="A600" s="1326"/>
      <c r="B600" s="1327"/>
      <c r="C600" s="1327"/>
      <c r="D600" s="1327"/>
      <c r="E600" s="1014"/>
      <c r="F600" s="1014"/>
      <c r="G600" s="1007"/>
      <c r="H600" s="762" t="s">
        <v>34</v>
      </c>
      <c r="I600" s="880"/>
      <c r="J600" s="1012">
        <v>0</v>
      </c>
      <c r="K600" s="998"/>
      <c r="L600" s="998"/>
      <c r="M600" s="998"/>
      <c r="N600" s="998"/>
      <c r="O600" s="998"/>
      <c r="P600" s="998"/>
      <c r="Q600" s="1302"/>
      <c r="R600" s="1302"/>
      <c r="S600" s="1302"/>
      <c r="T600" s="1302"/>
      <c r="U600" s="1302"/>
      <c r="V600" s="1302"/>
      <c r="W600" s="1302"/>
      <c r="X600" s="1302"/>
      <c r="Y600" s="1302"/>
      <c r="Z600" s="1302"/>
    </row>
    <row r="601" spans="1:26" ht="18.75">
      <c r="A601" s="1326"/>
      <c r="B601" s="1327"/>
      <c r="C601" s="1327"/>
      <c r="D601" s="1069" t="s">
        <v>257</v>
      </c>
      <c r="E601" s="1014"/>
      <c r="F601" s="1014"/>
      <c r="G601" s="1007"/>
      <c r="H601" s="762" t="s">
        <v>46</v>
      </c>
      <c r="I601" s="880"/>
      <c r="J601" s="1012">
        <v>0</v>
      </c>
      <c r="K601" s="998"/>
      <c r="L601" s="998"/>
      <c r="M601" s="998"/>
      <c r="N601" s="998"/>
      <c r="O601" s="998"/>
      <c r="P601" s="998"/>
      <c r="Q601" s="1302"/>
      <c r="R601" s="1302"/>
      <c r="S601" s="1302"/>
      <c r="T601" s="1302"/>
      <c r="U601" s="1302"/>
      <c r="V601" s="1302"/>
      <c r="W601" s="1302"/>
      <c r="X601" s="1302"/>
      <c r="Y601" s="1302"/>
      <c r="Z601" s="1302"/>
    </row>
    <row r="602" spans="1:26" ht="18.75">
      <c r="A602" s="1326"/>
      <c r="B602" s="1327"/>
      <c r="C602" s="1327"/>
      <c r="D602" s="1327"/>
      <c r="E602" s="1014"/>
      <c r="F602" s="1014"/>
      <c r="G602" s="1007"/>
      <c r="H602" s="762" t="s">
        <v>34</v>
      </c>
      <c r="I602" s="880"/>
      <c r="J602" s="1012">
        <v>0</v>
      </c>
      <c r="K602" s="998"/>
      <c r="L602" s="998"/>
      <c r="M602" s="998"/>
      <c r="N602" s="998"/>
      <c r="O602" s="998"/>
      <c r="P602" s="998"/>
      <c r="Q602" s="1302"/>
      <c r="R602" s="1302"/>
      <c r="S602" s="1302"/>
      <c r="T602" s="1302"/>
      <c r="U602" s="1302"/>
      <c r="V602" s="1302"/>
      <c r="W602" s="1302"/>
      <c r="X602" s="1302"/>
      <c r="Y602" s="1302"/>
      <c r="Z602" s="1302"/>
    </row>
    <row r="603" spans="1:26" ht="18.75">
      <c r="A603" s="1326"/>
      <c r="B603" s="1327"/>
      <c r="C603" s="1401" t="s">
        <v>258</v>
      </c>
      <c r="D603" s="1327"/>
      <c r="E603" s="1327"/>
      <c r="F603" s="1014"/>
      <c r="G603" s="1007"/>
      <c r="H603" s="762" t="s">
        <v>46</v>
      </c>
      <c r="I603" s="880"/>
      <c r="J603" s="880">
        <f t="shared" ref="J603:J604" si="257">J605+J607</f>
        <v>0</v>
      </c>
      <c r="K603" s="998"/>
      <c r="L603" s="998"/>
      <c r="M603" s="998"/>
      <c r="N603" s="998"/>
      <c r="O603" s="998"/>
      <c r="P603" s="998"/>
      <c r="Q603" s="1302"/>
      <c r="R603" s="1302"/>
      <c r="S603" s="1302"/>
      <c r="T603" s="1302"/>
      <c r="U603" s="1302"/>
      <c r="V603" s="1302"/>
      <c r="W603" s="1302"/>
      <c r="X603" s="1302"/>
      <c r="Y603" s="1302"/>
      <c r="Z603" s="1302"/>
    </row>
    <row r="604" spans="1:26" ht="18.75">
      <c r="A604" s="1326"/>
      <c r="B604" s="1327"/>
      <c r="C604" s="1327"/>
      <c r="D604" s="1327"/>
      <c r="E604" s="1014"/>
      <c r="F604" s="1014"/>
      <c r="G604" s="1007"/>
      <c r="H604" s="762" t="s">
        <v>34</v>
      </c>
      <c r="I604" s="880"/>
      <c r="J604" s="880">
        <f t="shared" si="257"/>
        <v>0</v>
      </c>
      <c r="K604" s="998"/>
      <c r="L604" s="998"/>
      <c r="M604" s="998"/>
      <c r="N604" s="998"/>
      <c r="O604" s="998"/>
      <c r="P604" s="998"/>
      <c r="Q604" s="1302"/>
      <c r="R604" s="1302"/>
      <c r="S604" s="1302"/>
      <c r="T604" s="1302"/>
      <c r="U604" s="1302"/>
      <c r="V604" s="1302"/>
      <c r="W604" s="1302"/>
      <c r="X604" s="1302"/>
      <c r="Y604" s="1302"/>
      <c r="Z604" s="1302"/>
    </row>
    <row r="605" spans="1:26" ht="18.75">
      <c r="A605" s="1326"/>
      <c r="B605" s="1327"/>
      <c r="C605" s="1327"/>
      <c r="D605" s="1401" t="s">
        <v>259</v>
      </c>
      <c r="E605" s="1014"/>
      <c r="F605" s="1014"/>
      <c r="G605" s="1007"/>
      <c r="H605" s="762" t="s">
        <v>46</v>
      </c>
      <c r="I605" s="880"/>
      <c r="J605" s="1012">
        <v>0</v>
      </c>
      <c r="K605" s="998"/>
      <c r="L605" s="998"/>
      <c r="M605" s="998"/>
      <c r="N605" s="998"/>
      <c r="O605" s="998"/>
      <c r="P605" s="998"/>
      <c r="Q605" s="1302"/>
      <c r="R605" s="1302"/>
      <c r="S605" s="1302"/>
      <c r="T605" s="1302"/>
      <c r="U605" s="1302"/>
      <c r="V605" s="1302"/>
      <c r="W605" s="1302"/>
      <c r="X605" s="1302"/>
      <c r="Y605" s="1302"/>
      <c r="Z605" s="1302"/>
    </row>
    <row r="606" spans="1:26" ht="18.75">
      <c r="A606" s="1326"/>
      <c r="B606" s="1327"/>
      <c r="C606" s="1327"/>
      <c r="D606" s="1327"/>
      <c r="E606" s="1327"/>
      <c r="F606" s="1014"/>
      <c r="G606" s="1007"/>
      <c r="H606" s="762" t="s">
        <v>34</v>
      </c>
      <c r="I606" s="880"/>
      <c r="J606" s="1012">
        <v>0</v>
      </c>
      <c r="K606" s="998"/>
      <c r="L606" s="998"/>
      <c r="M606" s="998"/>
      <c r="N606" s="998"/>
      <c r="O606" s="998"/>
      <c r="P606" s="998"/>
      <c r="Q606" s="1302"/>
      <c r="R606" s="1302"/>
      <c r="S606" s="1302"/>
      <c r="T606" s="1302"/>
      <c r="U606" s="1302"/>
      <c r="V606" s="1302"/>
      <c r="W606" s="1302"/>
      <c r="X606" s="1302"/>
      <c r="Y606" s="1302"/>
      <c r="Z606" s="1302"/>
    </row>
    <row r="607" spans="1:26" ht="18.75">
      <c r="A607" s="1326"/>
      <c r="B607" s="1327"/>
      <c r="C607" s="1327"/>
      <c r="D607" s="1401" t="s">
        <v>260</v>
      </c>
      <c r="E607" s="1327"/>
      <c r="F607" s="1014"/>
      <c r="G607" s="1007"/>
      <c r="H607" s="762" t="s">
        <v>46</v>
      </c>
      <c r="I607" s="880"/>
      <c r="J607" s="1012">
        <v>0</v>
      </c>
      <c r="K607" s="998"/>
      <c r="L607" s="998"/>
      <c r="M607" s="998"/>
      <c r="N607" s="998"/>
      <c r="O607" s="998"/>
      <c r="P607" s="998"/>
      <c r="Q607" s="1302"/>
      <c r="R607" s="1302"/>
      <c r="S607" s="1302"/>
      <c r="T607" s="1302"/>
      <c r="U607" s="1302"/>
      <c r="V607" s="1302"/>
      <c r="W607" s="1302"/>
      <c r="X607" s="1302"/>
      <c r="Y607" s="1302"/>
      <c r="Z607" s="1302"/>
    </row>
    <row r="608" spans="1:26" ht="18.75">
      <c r="A608" s="1326"/>
      <c r="B608" s="1327"/>
      <c r="C608" s="1327"/>
      <c r="D608" s="1327"/>
      <c r="E608" s="1014"/>
      <c r="F608" s="1014"/>
      <c r="G608" s="1007"/>
      <c r="H608" s="762" t="s">
        <v>34</v>
      </c>
      <c r="I608" s="880"/>
      <c r="J608" s="1012">
        <v>0</v>
      </c>
      <c r="K608" s="998"/>
      <c r="L608" s="998"/>
      <c r="M608" s="998"/>
      <c r="N608" s="998"/>
      <c r="O608" s="998"/>
      <c r="P608" s="998"/>
      <c r="Q608" s="1302"/>
      <c r="R608" s="1302"/>
      <c r="S608" s="1302"/>
      <c r="T608" s="1302"/>
      <c r="U608" s="1302"/>
      <c r="V608" s="1302"/>
      <c r="W608" s="1302"/>
      <c r="X608" s="1302"/>
      <c r="Y608" s="1302"/>
      <c r="Z608" s="1302"/>
    </row>
    <row r="609" spans="1:26" ht="18.75">
      <c r="A609" s="1326"/>
      <c r="B609" s="1327"/>
      <c r="C609" s="1327" t="s">
        <v>261</v>
      </c>
      <c r="D609" s="1327"/>
      <c r="E609" s="1327"/>
      <c r="F609" s="1014"/>
      <c r="G609" s="1007"/>
      <c r="H609" s="762" t="s">
        <v>46</v>
      </c>
      <c r="I609" s="880"/>
      <c r="J609" s="1012">
        <v>0</v>
      </c>
      <c r="K609" s="998"/>
      <c r="L609" s="998"/>
      <c r="M609" s="998"/>
      <c r="N609" s="998"/>
      <c r="O609" s="998"/>
      <c r="P609" s="998"/>
      <c r="Q609" s="1302"/>
      <c r="R609" s="1302"/>
      <c r="S609" s="1302"/>
      <c r="T609" s="1302"/>
      <c r="U609" s="1302"/>
      <c r="V609" s="1302"/>
      <c r="W609" s="1302"/>
      <c r="X609" s="1302"/>
      <c r="Y609" s="1302"/>
      <c r="Z609" s="1302"/>
    </row>
    <row r="610" spans="1:26" ht="18.75">
      <c r="A610" s="1326"/>
      <c r="B610" s="1327"/>
      <c r="C610" s="1327"/>
      <c r="D610" s="1327"/>
      <c r="E610" s="1014"/>
      <c r="F610" s="1014"/>
      <c r="G610" s="1007"/>
      <c r="H610" s="762" t="s">
        <v>34</v>
      </c>
      <c r="I610" s="880"/>
      <c r="J610" s="1012">
        <v>0</v>
      </c>
      <c r="K610" s="998"/>
      <c r="L610" s="998"/>
      <c r="M610" s="998"/>
      <c r="N610" s="998"/>
      <c r="O610" s="998"/>
      <c r="P610" s="998"/>
      <c r="Q610" s="1302"/>
      <c r="R610" s="1302"/>
      <c r="S610" s="1302"/>
      <c r="T610" s="1302"/>
      <c r="U610" s="1302"/>
      <c r="V610" s="1302"/>
      <c r="W610" s="1302"/>
      <c r="X610" s="1302"/>
      <c r="Y610" s="1302"/>
      <c r="Z610" s="1302"/>
    </row>
    <row r="611" spans="1:26" ht="19.5">
      <c r="A611" s="1390"/>
      <c r="B611" s="1402" t="s">
        <v>262</v>
      </c>
      <c r="C611" s="1392"/>
      <c r="D611" s="1392"/>
      <c r="E611" s="1375"/>
      <c r="F611" s="1375"/>
      <c r="G611" s="1376"/>
      <c r="H611" s="705" t="s">
        <v>46</v>
      </c>
      <c r="I611" s="1377">
        <v>0</v>
      </c>
      <c r="J611" s="1377">
        <f>J614+J616</f>
        <v>0</v>
      </c>
      <c r="K611" s="1378">
        <f t="shared" ref="K611:K613" si="258">IF(I611&gt;0,J611*100/I611,0)</f>
        <v>0</v>
      </c>
      <c r="L611" s="1379"/>
      <c r="M611" s="1379"/>
      <c r="N611" s="1379"/>
      <c r="O611" s="1379"/>
      <c r="P611" s="1379"/>
      <c r="Q611" s="1302"/>
      <c r="R611" s="1302"/>
      <c r="S611" s="1302"/>
      <c r="T611" s="1302"/>
      <c r="U611" s="1302"/>
      <c r="V611" s="1302"/>
      <c r="W611" s="1302"/>
      <c r="X611" s="1302"/>
      <c r="Y611" s="1302"/>
      <c r="Z611" s="1302"/>
    </row>
    <row r="612" spans="1:26" ht="19.5" hidden="1">
      <c r="A612" s="1403"/>
      <c r="B612" s="1404"/>
      <c r="C612" s="1405" t="s">
        <v>263</v>
      </c>
      <c r="D612" s="1404"/>
      <c r="E612" s="1404"/>
      <c r="F612" s="1406"/>
      <c r="G612" s="1407"/>
      <c r="H612" s="712" t="s">
        <v>46</v>
      </c>
      <c r="I612" s="1408">
        <v>0</v>
      </c>
      <c r="J612" s="1408">
        <f t="shared" ref="J612:J613" si="259">J614+J616</f>
        <v>0</v>
      </c>
      <c r="K612" s="1409">
        <f t="shared" si="258"/>
        <v>0</v>
      </c>
      <c r="L612" s="1410"/>
      <c r="M612" s="1410"/>
      <c r="N612" s="1410"/>
      <c r="O612" s="1410"/>
      <c r="P612" s="1410"/>
      <c r="Q612" s="1323"/>
      <c r="R612" s="1323"/>
      <c r="S612" s="1323"/>
      <c r="T612" s="1323"/>
      <c r="U612" s="1323"/>
      <c r="V612" s="1323"/>
      <c r="W612" s="1323"/>
      <c r="X612" s="1323"/>
      <c r="Y612" s="1323"/>
      <c r="Z612" s="1323"/>
    </row>
    <row r="613" spans="1:26" ht="19.5" hidden="1">
      <c r="A613" s="1403"/>
      <c r="B613" s="1404"/>
      <c r="C613" s="1404" t="s">
        <v>264</v>
      </c>
      <c r="D613" s="1404"/>
      <c r="E613" s="1404"/>
      <c r="F613" s="1406"/>
      <c r="G613" s="1407"/>
      <c r="H613" s="712" t="s">
        <v>34</v>
      </c>
      <c r="I613" s="1408">
        <v>0</v>
      </c>
      <c r="J613" s="1408">
        <f t="shared" si="259"/>
        <v>0</v>
      </c>
      <c r="K613" s="1409">
        <f t="shared" si="258"/>
        <v>0</v>
      </c>
      <c r="L613" s="1410"/>
      <c r="M613" s="1410"/>
      <c r="N613" s="1410"/>
      <c r="O613" s="1410"/>
      <c r="P613" s="1410"/>
      <c r="Q613" s="1323"/>
      <c r="R613" s="1323"/>
      <c r="S613" s="1323"/>
      <c r="T613" s="1323"/>
      <c r="U613" s="1323"/>
      <c r="V613" s="1323"/>
      <c r="W613" s="1323"/>
      <c r="X613" s="1323"/>
      <c r="Y613" s="1323"/>
      <c r="Z613" s="1323"/>
    </row>
    <row r="614" spans="1:26" ht="18.75" hidden="1">
      <c r="A614" s="1332"/>
      <c r="B614" s="1333"/>
      <c r="C614" s="1333"/>
      <c r="D614" s="1321" t="s">
        <v>265</v>
      </c>
      <c r="E614" s="1333"/>
      <c r="F614" s="1321"/>
      <c r="G614" s="1113"/>
      <c r="H614" s="370" t="s">
        <v>46</v>
      </c>
      <c r="I614" s="886"/>
      <c r="J614" s="886">
        <v>0</v>
      </c>
      <c r="K614" s="1001"/>
      <c r="L614" s="1001"/>
      <c r="M614" s="1001"/>
      <c r="N614" s="1001"/>
      <c r="O614" s="1001"/>
      <c r="P614" s="1001"/>
      <c r="Q614" s="1323"/>
      <c r="R614" s="1323"/>
      <c r="S614" s="1323"/>
      <c r="T614" s="1323"/>
      <c r="U614" s="1323"/>
      <c r="V614" s="1323"/>
      <c r="W614" s="1323"/>
      <c r="X614" s="1323"/>
      <c r="Y614" s="1323"/>
      <c r="Z614" s="1323"/>
    </row>
    <row r="615" spans="1:26" ht="18.75" hidden="1">
      <c r="A615" s="1332"/>
      <c r="B615" s="1333"/>
      <c r="C615" s="1333"/>
      <c r="D615" s="1333"/>
      <c r="E615" s="1333"/>
      <c r="F615" s="1321"/>
      <c r="G615" s="1113"/>
      <c r="H615" s="370" t="s">
        <v>34</v>
      </c>
      <c r="I615" s="886"/>
      <c r="J615" s="886">
        <v>0</v>
      </c>
      <c r="K615" s="1001"/>
      <c r="L615" s="1001"/>
      <c r="M615" s="1001"/>
      <c r="N615" s="1001"/>
      <c r="O615" s="1001"/>
      <c r="P615" s="1001"/>
      <c r="Q615" s="1323"/>
      <c r="R615" s="1323"/>
      <c r="S615" s="1323"/>
      <c r="T615" s="1323"/>
      <c r="U615" s="1323"/>
      <c r="V615" s="1323"/>
      <c r="W615" s="1323"/>
      <c r="X615" s="1323"/>
      <c r="Y615" s="1323"/>
      <c r="Z615" s="1323"/>
    </row>
    <row r="616" spans="1:26" ht="18.75" hidden="1">
      <c r="A616" s="1332"/>
      <c r="B616" s="1333"/>
      <c r="C616" s="1333"/>
      <c r="D616" s="1411" t="s">
        <v>265</v>
      </c>
      <c r="E616" s="1321"/>
      <c r="F616" s="1321"/>
      <c r="G616" s="1113"/>
      <c r="H616" s="370" t="s">
        <v>46</v>
      </c>
      <c r="I616" s="886"/>
      <c r="J616" s="886">
        <v>0</v>
      </c>
      <c r="K616" s="1001"/>
      <c r="L616" s="1001"/>
      <c r="M616" s="1001"/>
      <c r="N616" s="1001"/>
      <c r="O616" s="1001"/>
      <c r="P616" s="1001"/>
      <c r="Q616" s="1323"/>
      <c r="R616" s="1323"/>
      <c r="S616" s="1323"/>
      <c r="T616" s="1323"/>
      <c r="U616" s="1323"/>
      <c r="V616" s="1323"/>
      <c r="W616" s="1323"/>
      <c r="X616" s="1323"/>
      <c r="Y616" s="1323"/>
      <c r="Z616" s="1323"/>
    </row>
    <row r="617" spans="1:26" ht="18.75" hidden="1">
      <c r="A617" s="1332"/>
      <c r="B617" s="1333"/>
      <c r="C617" s="1333"/>
      <c r="D617" s="1333"/>
      <c r="E617" s="1321"/>
      <c r="F617" s="1321"/>
      <c r="G617" s="1113"/>
      <c r="H617" s="370" t="s">
        <v>34</v>
      </c>
      <c r="I617" s="886"/>
      <c r="J617" s="886">
        <v>0</v>
      </c>
      <c r="K617" s="1001"/>
      <c r="L617" s="1001"/>
      <c r="M617" s="1001"/>
      <c r="N617" s="1001"/>
      <c r="O617" s="1001"/>
      <c r="P617" s="1001"/>
      <c r="Q617" s="1323"/>
      <c r="R617" s="1323"/>
      <c r="S617" s="1323"/>
      <c r="T617" s="1323"/>
      <c r="U617" s="1323"/>
      <c r="V617" s="1323"/>
      <c r="W617" s="1323"/>
      <c r="X617" s="1323"/>
      <c r="Y617" s="1323"/>
      <c r="Z617" s="1323"/>
    </row>
    <row r="618" spans="1:26" ht="18.75" hidden="1">
      <c r="A618" s="1332"/>
      <c r="B618" s="1333"/>
      <c r="C618" s="1333"/>
      <c r="D618" s="1411" t="s">
        <v>266</v>
      </c>
      <c r="E618" s="1321"/>
      <c r="F618" s="1321"/>
      <c r="G618" s="1113"/>
      <c r="H618" s="370" t="s">
        <v>46</v>
      </c>
      <c r="I618" s="886"/>
      <c r="J618" s="886">
        <v>0</v>
      </c>
      <c r="K618" s="1001"/>
      <c r="L618" s="1001"/>
      <c r="M618" s="1001"/>
      <c r="N618" s="1001"/>
      <c r="O618" s="1001"/>
      <c r="P618" s="1001"/>
      <c r="Q618" s="1323"/>
      <c r="R618" s="1323"/>
      <c r="S618" s="1323"/>
      <c r="T618" s="1323"/>
      <c r="U618" s="1323"/>
      <c r="V618" s="1323"/>
      <c r="W618" s="1323"/>
      <c r="X618" s="1323"/>
      <c r="Y618" s="1323"/>
      <c r="Z618" s="1323"/>
    </row>
    <row r="619" spans="1:26" ht="18.75" hidden="1">
      <c r="A619" s="1332"/>
      <c r="B619" s="1333"/>
      <c r="C619" s="1333"/>
      <c r="D619" s="1333"/>
      <c r="E619" s="1321"/>
      <c r="F619" s="1321"/>
      <c r="G619" s="1113"/>
      <c r="H619" s="370" t="s">
        <v>34</v>
      </c>
      <c r="I619" s="886"/>
      <c r="J619" s="886">
        <v>0</v>
      </c>
      <c r="K619" s="1001"/>
      <c r="L619" s="1001"/>
      <c r="M619" s="1001"/>
      <c r="N619" s="1001"/>
      <c r="O619" s="1001"/>
      <c r="P619" s="1001"/>
      <c r="Q619" s="1323"/>
      <c r="R619" s="1323"/>
      <c r="S619" s="1323"/>
      <c r="T619" s="1323"/>
      <c r="U619" s="1323"/>
      <c r="V619" s="1323"/>
      <c r="W619" s="1323"/>
      <c r="X619" s="1323"/>
      <c r="Y619" s="1323"/>
      <c r="Z619" s="1323"/>
    </row>
    <row r="620" spans="1:26" ht="19.5">
      <c r="A620" s="1412"/>
      <c r="B620" s="1413"/>
      <c r="C620" s="1414" t="s">
        <v>267</v>
      </c>
      <c r="D620" s="1413"/>
      <c r="E620" s="1413"/>
      <c r="F620" s="1415"/>
      <c r="G620" s="1416"/>
      <c r="H620" s="725" t="s">
        <v>46</v>
      </c>
      <c r="I620" s="1417">
        <f ca="1">IFERROR(__xludf.DUMMYFUNCTION("IMPORTRANGE(""https://docs.google.com/spreadsheets/d/1QqKyyYR6Q21VydFLVH3TRQUabQu_ym0Zz7PgGX0-kHA/edit?usp=sharing"",""แผน!HL75"")"),61)</f>
        <v>61</v>
      </c>
      <c r="J620" s="1417">
        <f t="shared" ref="J620:J621" si="260">J622+J624+J626</f>
        <v>0</v>
      </c>
      <c r="K620" s="1418">
        <f t="shared" ref="K620:K621" ca="1" si="261">IF(I620&gt;0,J620*100/I620,0)</f>
        <v>0</v>
      </c>
      <c r="L620" s="1419"/>
      <c r="M620" s="1419"/>
      <c r="N620" s="1419"/>
      <c r="O620" s="1419"/>
      <c r="P620" s="1419"/>
      <c r="Q620" s="1302"/>
      <c r="R620" s="1302"/>
      <c r="S620" s="1302"/>
      <c r="T620" s="1302"/>
      <c r="U620" s="1302"/>
      <c r="V620" s="1302"/>
      <c r="W620" s="1302"/>
      <c r="X620" s="1302"/>
      <c r="Y620" s="1302"/>
      <c r="Z620" s="1302"/>
    </row>
    <row r="621" spans="1:26" ht="19.5">
      <c r="A621" s="1412"/>
      <c r="B621" s="1413"/>
      <c r="C621" s="1413" t="s">
        <v>268</v>
      </c>
      <c r="D621" s="1413"/>
      <c r="E621" s="1413"/>
      <c r="F621" s="1415"/>
      <c r="G621" s="1416"/>
      <c r="H621" s="725" t="s">
        <v>34</v>
      </c>
      <c r="I621" s="1417">
        <f ca="1">IFERROR(__xludf.DUMMYFUNCTION("IMPORTRANGE(""https://docs.google.com/spreadsheets/d/1QqKyyYR6Q21VydFLVH3TRQUabQu_ym0Zz7PgGX0-kHA/edit?usp=sharing"",""แผน!HK75"")"),9)</f>
        <v>9</v>
      </c>
      <c r="J621" s="1417">
        <f t="shared" si="260"/>
        <v>0</v>
      </c>
      <c r="K621" s="1418">
        <f t="shared" ca="1" si="261"/>
        <v>0</v>
      </c>
      <c r="L621" s="1419"/>
      <c r="M621" s="1419"/>
      <c r="N621" s="1419"/>
      <c r="O621" s="1419"/>
      <c r="P621" s="1419"/>
      <c r="Q621" s="1302"/>
      <c r="R621" s="1302"/>
      <c r="S621" s="1302"/>
      <c r="T621" s="1302"/>
      <c r="U621" s="1302"/>
      <c r="V621" s="1302"/>
      <c r="W621" s="1302"/>
      <c r="X621" s="1302"/>
      <c r="Y621" s="1302"/>
      <c r="Z621" s="1302"/>
    </row>
    <row r="622" spans="1:26" ht="18.75">
      <c r="A622" s="1326"/>
      <c r="B622" s="1327"/>
      <c r="C622" s="1327"/>
      <c r="D622" s="1069" t="s">
        <v>269</v>
      </c>
      <c r="E622" s="1014"/>
      <c r="F622" s="1014"/>
      <c r="G622" s="1007"/>
      <c r="H622" s="762" t="s">
        <v>46</v>
      </c>
      <c r="I622" s="880"/>
      <c r="J622" s="1012">
        <v>0</v>
      </c>
      <c r="K622" s="998"/>
      <c r="L622" s="998"/>
      <c r="M622" s="998"/>
      <c r="N622" s="998"/>
      <c r="O622" s="998"/>
      <c r="P622" s="998"/>
      <c r="Q622" s="1302"/>
      <c r="R622" s="1302"/>
      <c r="S622" s="1302"/>
      <c r="T622" s="1302"/>
      <c r="U622" s="1302"/>
      <c r="V622" s="1302"/>
      <c r="W622" s="1302"/>
      <c r="X622" s="1302"/>
      <c r="Y622" s="1302"/>
      <c r="Z622" s="1302"/>
    </row>
    <row r="623" spans="1:26" ht="18.75">
      <c r="A623" s="1326"/>
      <c r="B623" s="1327"/>
      <c r="C623" s="1327"/>
      <c r="D623" s="1327"/>
      <c r="E623" s="1014"/>
      <c r="F623" s="1014"/>
      <c r="G623" s="1007"/>
      <c r="H623" s="762" t="s">
        <v>34</v>
      </c>
      <c r="I623" s="880"/>
      <c r="J623" s="1012">
        <v>0</v>
      </c>
      <c r="K623" s="998"/>
      <c r="L623" s="998"/>
      <c r="M623" s="998"/>
      <c r="N623" s="998"/>
      <c r="O623" s="998"/>
      <c r="P623" s="998"/>
      <c r="Q623" s="1302"/>
      <c r="R623" s="1302"/>
      <c r="S623" s="1302"/>
      <c r="T623" s="1302"/>
      <c r="U623" s="1302"/>
      <c r="V623" s="1302"/>
      <c r="W623" s="1302"/>
      <c r="X623" s="1302"/>
      <c r="Y623" s="1302"/>
      <c r="Z623" s="1302"/>
    </row>
    <row r="624" spans="1:26" ht="18.75">
      <c r="A624" s="1326"/>
      <c r="B624" s="1327"/>
      <c r="C624" s="1327"/>
      <c r="D624" s="1069" t="s">
        <v>265</v>
      </c>
      <c r="E624" s="1014"/>
      <c r="F624" s="1014"/>
      <c r="G624" s="1007"/>
      <c r="H624" s="762" t="s">
        <v>46</v>
      </c>
      <c r="I624" s="880"/>
      <c r="J624" s="1012">
        <v>0</v>
      </c>
      <c r="K624" s="998"/>
      <c r="L624" s="998"/>
      <c r="M624" s="998"/>
      <c r="N624" s="998"/>
      <c r="O624" s="998"/>
      <c r="P624" s="998"/>
      <c r="Q624" s="1302"/>
      <c r="R624" s="1302"/>
      <c r="S624" s="1302"/>
      <c r="T624" s="1302"/>
      <c r="U624" s="1302"/>
      <c r="V624" s="1302"/>
      <c r="W624" s="1302"/>
      <c r="X624" s="1302"/>
      <c r="Y624" s="1302"/>
      <c r="Z624" s="1302"/>
    </row>
    <row r="625" spans="1:26" ht="18.75">
      <c r="A625" s="1326"/>
      <c r="B625" s="1327"/>
      <c r="C625" s="1327"/>
      <c r="D625" s="1327"/>
      <c r="E625" s="1014"/>
      <c r="F625" s="1014"/>
      <c r="G625" s="1007"/>
      <c r="H625" s="762" t="s">
        <v>34</v>
      </c>
      <c r="I625" s="880"/>
      <c r="J625" s="1012">
        <v>0</v>
      </c>
      <c r="K625" s="998"/>
      <c r="L625" s="998"/>
      <c r="M625" s="998"/>
      <c r="N625" s="998"/>
      <c r="O625" s="998"/>
      <c r="P625" s="998"/>
      <c r="Q625" s="1302"/>
      <c r="R625" s="1302"/>
      <c r="S625" s="1302"/>
      <c r="T625" s="1302"/>
      <c r="U625" s="1302"/>
      <c r="V625" s="1302"/>
      <c r="W625" s="1302"/>
      <c r="X625" s="1302"/>
      <c r="Y625" s="1302"/>
      <c r="Z625" s="1302"/>
    </row>
    <row r="626" spans="1:26" ht="18.75">
      <c r="A626" s="1326"/>
      <c r="B626" s="1327"/>
      <c r="C626" s="1327"/>
      <c r="D626" s="1069" t="s">
        <v>270</v>
      </c>
      <c r="E626" s="1014"/>
      <c r="F626" s="1014"/>
      <c r="G626" s="1007"/>
      <c r="H626" s="762" t="s">
        <v>46</v>
      </c>
      <c r="I626" s="880"/>
      <c r="J626" s="1012">
        <v>0</v>
      </c>
      <c r="K626" s="998"/>
      <c r="L626" s="998"/>
      <c r="M626" s="998"/>
      <c r="N626" s="998"/>
      <c r="O626" s="998"/>
      <c r="P626" s="998"/>
      <c r="Q626" s="1302"/>
      <c r="R626" s="1302"/>
      <c r="S626" s="1302"/>
      <c r="T626" s="1302"/>
      <c r="U626" s="1302"/>
      <c r="V626" s="1302"/>
      <c r="W626" s="1302"/>
      <c r="X626" s="1302"/>
      <c r="Y626" s="1302"/>
      <c r="Z626" s="1302"/>
    </row>
    <row r="627" spans="1:26" ht="18.75">
      <c r="A627" s="1420"/>
      <c r="B627" s="1421"/>
      <c r="C627" s="1421"/>
      <c r="D627" s="1421"/>
      <c r="E627" s="1169"/>
      <c r="F627" s="1169"/>
      <c r="G627" s="1422"/>
      <c r="H627" s="423" t="s">
        <v>34</v>
      </c>
      <c r="I627" s="1138"/>
      <c r="J627" s="1171">
        <v>0</v>
      </c>
      <c r="K627" s="1139"/>
      <c r="L627" s="1139"/>
      <c r="M627" s="1139"/>
      <c r="N627" s="1139"/>
      <c r="O627" s="1139"/>
      <c r="P627" s="1139"/>
      <c r="Q627" s="1302"/>
      <c r="R627" s="1302"/>
      <c r="S627" s="1302"/>
      <c r="T627" s="1302"/>
      <c r="U627" s="1302"/>
      <c r="V627" s="1302"/>
      <c r="W627" s="1302"/>
      <c r="X627" s="1302"/>
      <c r="Y627" s="1302"/>
      <c r="Z627" s="1302"/>
    </row>
    <row r="628" spans="1:26" ht="19.5">
      <c r="A628" s="734">
        <v>7</v>
      </c>
      <c r="B628" s="1423" t="s">
        <v>271</v>
      </c>
      <c r="C628" s="1424"/>
      <c r="D628" s="1424"/>
      <c r="E628" s="1424"/>
      <c r="F628" s="1424"/>
      <c r="G628" s="1425"/>
      <c r="H628" s="738" t="s">
        <v>35</v>
      </c>
      <c r="I628" s="1426">
        <f t="shared" ref="I628:J628" ca="1" si="262">I651</f>
        <v>50</v>
      </c>
      <c r="J628" s="1426">
        <f t="shared" ca="1" si="262"/>
        <v>0</v>
      </c>
      <c r="K628" s="1427">
        <f ca="1">IF(I628&gt;0,J628*100/I628,0)</f>
        <v>0</v>
      </c>
      <c r="L628" s="1428"/>
      <c r="M628" s="1428"/>
      <c r="N628" s="1428"/>
      <c r="O628" s="1428"/>
      <c r="P628" s="1428"/>
      <c r="Q628" s="1302"/>
      <c r="R628" s="1302"/>
      <c r="S628" s="1302"/>
      <c r="T628" s="1302"/>
      <c r="U628" s="1302"/>
      <c r="V628" s="1302"/>
      <c r="W628" s="1302"/>
      <c r="X628" s="1302"/>
      <c r="Y628" s="1302"/>
      <c r="Z628" s="1302"/>
    </row>
    <row r="629" spans="1:26" ht="19.5">
      <c r="A629" s="1317"/>
      <c r="B629" s="1301"/>
      <c r="C629" s="1301" t="s">
        <v>16</v>
      </c>
      <c r="D629" s="1318" t="s">
        <v>17</v>
      </c>
      <c r="E629" s="841"/>
      <c r="F629" s="841"/>
      <c r="G629" s="1016"/>
      <c r="H629" s="597" t="s">
        <v>12</v>
      </c>
      <c r="I629" s="880"/>
      <c r="J629" s="880"/>
      <c r="K629" s="881"/>
      <c r="L629" s="1020">
        <f t="shared" ref="L629:N629" ca="1" si="263">L630+L631</f>
        <v>252900</v>
      </c>
      <c r="M629" s="1020">
        <f t="shared" ca="1" si="263"/>
        <v>252900</v>
      </c>
      <c r="N629" s="1020">
        <f t="shared" si="263"/>
        <v>0</v>
      </c>
      <c r="O629" s="1020">
        <f t="shared" ref="O629:O634" ca="1" si="264">IF(L629&gt;0,N629*100/L629,0)</f>
        <v>0</v>
      </c>
      <c r="P629" s="1020">
        <f t="shared" ref="P629:P634" ca="1" si="265">IF(M629&gt;0,N629*100/M629,0)</f>
        <v>0</v>
      </c>
      <c r="Q629" s="1302"/>
      <c r="R629" s="1302"/>
      <c r="S629" s="1302"/>
      <c r="T629" s="1302"/>
      <c r="U629" s="1302"/>
      <c r="V629" s="1302"/>
      <c r="W629" s="1302"/>
      <c r="X629" s="1302"/>
      <c r="Y629" s="1302"/>
      <c r="Z629" s="1302"/>
    </row>
    <row r="630" spans="1:26" ht="18.75" hidden="1">
      <c r="A630" s="1319"/>
      <c r="B630" s="1320"/>
      <c r="C630" s="1320"/>
      <c r="D630" s="1321"/>
      <c r="E630" s="1320" t="s">
        <v>185</v>
      </c>
      <c r="F630" s="1320"/>
      <c r="G630" s="1322"/>
      <c r="H630" s="165" t="s">
        <v>12</v>
      </c>
      <c r="I630" s="886"/>
      <c r="J630" s="886"/>
      <c r="K630" s="887"/>
      <c r="L630" s="887">
        <f t="shared" ref="L630:N631" si="266">L633+L640</f>
        <v>0</v>
      </c>
      <c r="M630" s="887">
        <f t="shared" si="266"/>
        <v>0</v>
      </c>
      <c r="N630" s="887">
        <f t="shared" si="266"/>
        <v>0</v>
      </c>
      <c r="O630" s="887">
        <f t="shared" si="264"/>
        <v>0</v>
      </c>
      <c r="P630" s="887">
        <f t="shared" si="265"/>
        <v>0</v>
      </c>
      <c r="Q630" s="1323"/>
      <c r="R630" s="1323"/>
      <c r="S630" s="1323"/>
      <c r="T630" s="1323"/>
      <c r="U630" s="1323"/>
      <c r="V630" s="1323"/>
      <c r="W630" s="1323"/>
      <c r="X630" s="1323"/>
      <c r="Y630" s="1323"/>
      <c r="Z630" s="1323"/>
    </row>
    <row r="631" spans="1:26" ht="18.75" hidden="1">
      <c r="A631" s="1319"/>
      <c r="B631" s="1324"/>
      <c r="C631" s="1320"/>
      <c r="D631" s="1321"/>
      <c r="E631" s="1320" t="s">
        <v>186</v>
      </c>
      <c r="F631" s="1320"/>
      <c r="G631" s="1322"/>
      <c r="H631" s="165" t="s">
        <v>12</v>
      </c>
      <c r="I631" s="886"/>
      <c r="J631" s="886"/>
      <c r="K631" s="887"/>
      <c r="L631" s="887">
        <f t="shared" ca="1" si="266"/>
        <v>252900</v>
      </c>
      <c r="M631" s="887">
        <f t="shared" ca="1" si="266"/>
        <v>252900</v>
      </c>
      <c r="N631" s="887">
        <f t="shared" si="266"/>
        <v>0</v>
      </c>
      <c r="O631" s="887">
        <f t="shared" ca="1" si="264"/>
        <v>0</v>
      </c>
      <c r="P631" s="887">
        <f t="shared" ca="1" si="265"/>
        <v>0</v>
      </c>
      <c r="Q631" s="1323"/>
      <c r="R631" s="1323"/>
      <c r="S631" s="1323"/>
      <c r="T631" s="1323"/>
      <c r="U631" s="1323"/>
      <c r="V631" s="1323"/>
      <c r="W631" s="1323"/>
      <c r="X631" s="1323"/>
      <c r="Y631" s="1323"/>
      <c r="Z631" s="1323"/>
    </row>
    <row r="632" spans="1:26" ht="18.75">
      <c r="A632" s="1317"/>
      <c r="B632" s="1300"/>
      <c r="C632" s="1301"/>
      <c r="D632" s="1325" t="s">
        <v>20</v>
      </c>
      <c r="E632" s="1301"/>
      <c r="F632" s="1301"/>
      <c r="G632" s="1016"/>
      <c r="H632" s="161" t="s">
        <v>12</v>
      </c>
      <c r="I632" s="997"/>
      <c r="J632" s="997"/>
      <c r="K632" s="998"/>
      <c r="L632" s="881">
        <f t="shared" ref="L632:N632" ca="1" si="267">L633+L634</f>
        <v>252900</v>
      </c>
      <c r="M632" s="881">
        <f t="shared" ca="1" si="267"/>
        <v>252900</v>
      </c>
      <c r="N632" s="881">
        <f t="shared" si="267"/>
        <v>0</v>
      </c>
      <c r="O632" s="881">
        <f t="shared" ca="1" si="264"/>
        <v>0</v>
      </c>
      <c r="P632" s="881">
        <f t="shared" ca="1" si="265"/>
        <v>0</v>
      </c>
      <c r="Q632" s="1302"/>
      <c r="R632" s="1302"/>
      <c r="S632" s="1302"/>
      <c r="T632" s="1302"/>
      <c r="U632" s="1302"/>
      <c r="V632" s="1302"/>
      <c r="W632" s="1302"/>
      <c r="X632" s="1302"/>
      <c r="Y632" s="1302"/>
      <c r="Z632" s="1302"/>
    </row>
    <row r="633" spans="1:26" ht="18.75" hidden="1">
      <c r="A633" s="1319"/>
      <c r="B633" s="1324"/>
      <c r="C633" s="1320"/>
      <c r="D633" s="1321"/>
      <c r="E633" s="1320" t="s">
        <v>185</v>
      </c>
      <c r="F633" s="1320"/>
      <c r="G633" s="1322"/>
      <c r="H633" s="165" t="s">
        <v>12</v>
      </c>
      <c r="I633" s="886"/>
      <c r="J633" s="886"/>
      <c r="K633" s="887"/>
      <c r="L633" s="887">
        <v>0</v>
      </c>
      <c r="M633" s="887">
        <v>0</v>
      </c>
      <c r="N633" s="887">
        <v>0</v>
      </c>
      <c r="O633" s="887">
        <f t="shared" si="264"/>
        <v>0</v>
      </c>
      <c r="P633" s="887">
        <f t="shared" si="265"/>
        <v>0</v>
      </c>
      <c r="Q633" s="1323"/>
      <c r="R633" s="1323"/>
      <c r="S633" s="1323"/>
      <c r="T633" s="1323"/>
      <c r="U633" s="1323"/>
      <c r="V633" s="1323"/>
      <c r="W633" s="1323"/>
      <c r="X633" s="1323"/>
      <c r="Y633" s="1323"/>
      <c r="Z633" s="1323"/>
    </row>
    <row r="634" spans="1:26" ht="18.75" hidden="1">
      <c r="A634" s="1319"/>
      <c r="B634" s="1324"/>
      <c r="C634" s="1320"/>
      <c r="D634" s="1321"/>
      <c r="E634" s="1320" t="s">
        <v>186</v>
      </c>
      <c r="F634" s="1320"/>
      <c r="G634" s="1322"/>
      <c r="H634" s="165" t="s">
        <v>12</v>
      </c>
      <c r="I634" s="886"/>
      <c r="J634" s="886"/>
      <c r="K634" s="887"/>
      <c r="L634" s="887">
        <f ca="1">IFERROR(__xludf.DUMMYFUNCTION("IMPORTRANGE(""https://docs.google.com/spreadsheets/d/1QqKyyYR6Q21VydFLVH3TRQUabQu_ym0Zz7PgGX0-kHA/edit?usp=sharing"",""แผน!HN75"")"),252900)</f>
        <v>252900</v>
      </c>
      <c r="M634" s="887">
        <f ca="1">L634</f>
        <v>252900</v>
      </c>
      <c r="N634" s="887">
        <f>N635+N636+N637+N638</f>
        <v>0</v>
      </c>
      <c r="O634" s="887">
        <f t="shared" ca="1" si="264"/>
        <v>0</v>
      </c>
      <c r="P634" s="887">
        <f t="shared" ca="1" si="265"/>
        <v>0</v>
      </c>
      <c r="Q634" s="1323"/>
      <c r="R634" s="1323"/>
      <c r="S634" s="1323"/>
      <c r="T634" s="1323"/>
      <c r="U634" s="1323"/>
      <c r="V634" s="1323"/>
      <c r="W634" s="1323"/>
      <c r="X634" s="1323"/>
      <c r="Y634" s="1323"/>
      <c r="Z634" s="1323"/>
    </row>
    <row r="635" spans="1:26" ht="18.75">
      <c r="A635" s="1299"/>
      <c r="B635" s="1300"/>
      <c r="C635" s="1301"/>
      <c r="D635" s="1301"/>
      <c r="E635" s="1301"/>
      <c r="F635" s="1301" t="s">
        <v>187</v>
      </c>
      <c r="G635" s="1016"/>
      <c r="H635" s="161" t="s">
        <v>12</v>
      </c>
      <c r="I635" s="880"/>
      <c r="J635" s="880"/>
      <c r="K635" s="881"/>
      <c r="L635" s="881"/>
      <c r="M635" s="881"/>
      <c r="N635" s="1085">
        <v>0</v>
      </c>
      <c r="O635" s="881"/>
      <c r="P635" s="881"/>
      <c r="Q635" s="1302"/>
      <c r="R635" s="1302"/>
      <c r="S635" s="1302"/>
      <c r="T635" s="1302"/>
      <c r="U635" s="1302"/>
      <c r="V635" s="1302"/>
      <c r="W635" s="1302"/>
      <c r="X635" s="1302"/>
      <c r="Y635" s="1302"/>
      <c r="Z635" s="1302"/>
    </row>
    <row r="636" spans="1:26" ht="18.75">
      <c r="A636" s="1299"/>
      <c r="B636" s="1300"/>
      <c r="C636" s="1301"/>
      <c r="D636" s="1301"/>
      <c r="E636" s="1301"/>
      <c r="F636" s="1301" t="s">
        <v>188</v>
      </c>
      <c r="G636" s="1016"/>
      <c r="H636" s="161" t="s">
        <v>12</v>
      </c>
      <c r="I636" s="880"/>
      <c r="J636" s="880"/>
      <c r="K636" s="881"/>
      <c r="L636" s="881"/>
      <c r="M636" s="881"/>
      <c r="N636" s="1085">
        <v>0</v>
      </c>
      <c r="O636" s="881"/>
      <c r="P636" s="881"/>
      <c r="Q636" s="1302"/>
      <c r="R636" s="1302"/>
      <c r="S636" s="1302"/>
      <c r="T636" s="1302"/>
      <c r="U636" s="1302"/>
      <c r="V636" s="1302"/>
      <c r="W636" s="1302"/>
      <c r="X636" s="1302"/>
      <c r="Y636" s="1302"/>
      <c r="Z636" s="1302"/>
    </row>
    <row r="637" spans="1:26" ht="18.75">
      <c r="A637" s="1299"/>
      <c r="B637" s="1300"/>
      <c r="C637" s="1301"/>
      <c r="D637" s="1301"/>
      <c r="E637" s="1301"/>
      <c r="F637" s="1301" t="s">
        <v>189</v>
      </c>
      <c r="G637" s="1016"/>
      <c r="H637" s="161" t="s">
        <v>12</v>
      </c>
      <c r="I637" s="880"/>
      <c r="J637" s="880"/>
      <c r="K637" s="881"/>
      <c r="L637" s="881"/>
      <c r="M637" s="881"/>
      <c r="N637" s="1085">
        <v>0</v>
      </c>
      <c r="O637" s="881"/>
      <c r="P637" s="881"/>
      <c r="Q637" s="1302"/>
      <c r="R637" s="1302"/>
      <c r="S637" s="1302"/>
      <c r="T637" s="1302"/>
      <c r="U637" s="1302"/>
      <c r="V637" s="1302"/>
      <c r="W637" s="1302"/>
      <c r="X637" s="1302"/>
      <c r="Y637" s="1302"/>
      <c r="Z637" s="1302"/>
    </row>
    <row r="638" spans="1:26" ht="18.75">
      <c r="A638" s="1299"/>
      <c r="B638" s="1300"/>
      <c r="C638" s="1301"/>
      <c r="D638" s="1301"/>
      <c r="E638" s="1301"/>
      <c r="F638" s="1301" t="s">
        <v>190</v>
      </c>
      <c r="G638" s="1016"/>
      <c r="H638" s="161" t="s">
        <v>12</v>
      </c>
      <c r="I638" s="880"/>
      <c r="J638" s="880"/>
      <c r="K638" s="881"/>
      <c r="L638" s="881"/>
      <c r="M638" s="881"/>
      <c r="N638" s="1085">
        <v>0</v>
      </c>
      <c r="O638" s="881"/>
      <c r="P638" s="881"/>
      <c r="Q638" s="1302"/>
      <c r="R638" s="1302"/>
      <c r="S638" s="1302"/>
      <c r="T638" s="1302"/>
      <c r="U638" s="1302"/>
      <c r="V638" s="1302"/>
      <c r="W638" s="1302"/>
      <c r="X638" s="1302"/>
      <c r="Y638" s="1302"/>
      <c r="Z638" s="1302"/>
    </row>
    <row r="639" spans="1:26" ht="18.75">
      <c r="A639" s="1317"/>
      <c r="B639" s="1300"/>
      <c r="C639" s="1301"/>
      <c r="D639" s="1325" t="s">
        <v>21</v>
      </c>
      <c r="E639" s="1301"/>
      <c r="F639" s="1301"/>
      <c r="G639" s="1016"/>
      <c r="H639" s="168" t="s">
        <v>12</v>
      </c>
      <c r="I639" s="997"/>
      <c r="J639" s="997"/>
      <c r="K639" s="998"/>
      <c r="L639" s="881">
        <f t="shared" ref="L639:N639" ca="1" si="268">L640+L641</f>
        <v>0</v>
      </c>
      <c r="M639" s="881">
        <f t="shared" si="268"/>
        <v>0</v>
      </c>
      <c r="N639" s="881">
        <f t="shared" si="268"/>
        <v>0</v>
      </c>
      <c r="O639" s="881">
        <f t="shared" ref="O639:O641" ca="1" si="269">IF(L639&gt;0,N639*100/L639,0)</f>
        <v>0</v>
      </c>
      <c r="P639" s="881">
        <f t="shared" ref="P639:P641" si="270">IF(M639&gt;0,N639*100/M639,0)</f>
        <v>0</v>
      </c>
      <c r="Q639" s="1302"/>
      <c r="R639" s="1302"/>
      <c r="S639" s="1302"/>
      <c r="T639" s="1302"/>
      <c r="U639" s="1302"/>
      <c r="V639" s="1302"/>
      <c r="W639" s="1302"/>
      <c r="X639" s="1302"/>
      <c r="Y639" s="1302"/>
      <c r="Z639" s="1302"/>
    </row>
    <row r="640" spans="1:26" ht="18.75" hidden="1">
      <c r="A640" s="1319"/>
      <c r="B640" s="1324"/>
      <c r="C640" s="1320"/>
      <c r="D640" s="1320"/>
      <c r="E640" s="1320" t="s">
        <v>18</v>
      </c>
      <c r="F640" s="1320"/>
      <c r="G640" s="1322"/>
      <c r="H640" s="165" t="s">
        <v>12</v>
      </c>
      <c r="I640" s="1000"/>
      <c r="J640" s="1000"/>
      <c r="K640" s="1001"/>
      <c r="L640" s="887">
        <v>0</v>
      </c>
      <c r="M640" s="887">
        <v>0</v>
      </c>
      <c r="N640" s="887">
        <v>0</v>
      </c>
      <c r="O640" s="887">
        <f t="shared" si="269"/>
        <v>0</v>
      </c>
      <c r="P640" s="887">
        <f t="shared" si="270"/>
        <v>0</v>
      </c>
      <c r="Q640" s="1323"/>
      <c r="R640" s="1323"/>
      <c r="S640" s="1323"/>
      <c r="T640" s="1323"/>
      <c r="U640" s="1323"/>
      <c r="V640" s="1323"/>
      <c r="W640" s="1323"/>
      <c r="X640" s="1323"/>
      <c r="Y640" s="1323"/>
      <c r="Z640" s="1323"/>
    </row>
    <row r="641" spans="1:26" ht="18.75" hidden="1">
      <c r="A641" s="1319"/>
      <c r="B641" s="1324"/>
      <c r="C641" s="1320"/>
      <c r="D641" s="1320"/>
      <c r="E641" s="1320" t="s">
        <v>19</v>
      </c>
      <c r="F641" s="1320"/>
      <c r="G641" s="1322"/>
      <c r="H641" s="169" t="s">
        <v>12</v>
      </c>
      <c r="I641" s="1000"/>
      <c r="J641" s="1000"/>
      <c r="K641" s="1001"/>
      <c r="L641" s="887">
        <f ca="1">IFERROR(__xludf.DUMMYFUNCTION("IMPORTRANGE(""https://docs.google.com/spreadsheets/d/1QqKyyYR6Q21VydFLVH3TRQUabQu_ym0Zz7PgGX0-kHA/edit?usp=sharing"",""แผน!HQ75"")"),0)</f>
        <v>0</v>
      </c>
      <c r="M641" s="887">
        <v>0</v>
      </c>
      <c r="N641" s="887">
        <v>0</v>
      </c>
      <c r="O641" s="887">
        <f t="shared" ca="1" si="269"/>
        <v>0</v>
      </c>
      <c r="P641" s="887">
        <f t="shared" si="270"/>
        <v>0</v>
      </c>
      <c r="Q641" s="1323"/>
      <c r="R641" s="1323"/>
      <c r="S641" s="1323"/>
      <c r="T641" s="1323"/>
      <c r="U641" s="1323"/>
      <c r="V641" s="1323"/>
      <c r="W641" s="1323"/>
      <c r="X641" s="1323"/>
      <c r="Y641" s="1323"/>
      <c r="Z641" s="1323"/>
    </row>
    <row r="642" spans="1:26" ht="19.5">
      <c r="A642" s="1326"/>
      <c r="B642" s="1327"/>
      <c r="C642" s="1301" t="s">
        <v>16</v>
      </c>
      <c r="D642" s="1380" t="s">
        <v>38</v>
      </c>
      <c r="E642" s="1330"/>
      <c r="F642" s="1330"/>
      <c r="G642" s="1331"/>
      <c r="H642" s="1007"/>
      <c r="I642" s="997"/>
      <c r="J642" s="997"/>
      <c r="K642" s="998"/>
      <c r="L642" s="998"/>
      <c r="M642" s="998"/>
      <c r="N642" s="998"/>
      <c r="O642" s="998"/>
      <c r="P642" s="998"/>
      <c r="Q642" s="1302"/>
      <c r="R642" s="1302"/>
      <c r="S642" s="1302"/>
      <c r="T642" s="1302"/>
      <c r="U642" s="1302"/>
      <c r="V642" s="1302"/>
      <c r="W642" s="1302"/>
      <c r="X642" s="1302"/>
      <c r="Y642" s="1302"/>
      <c r="Z642" s="1302"/>
    </row>
    <row r="643" spans="1:26" ht="18.75">
      <c r="A643" s="1429"/>
      <c r="B643" s="1300"/>
      <c r="C643" s="1301"/>
      <c r="D643" s="1014"/>
      <c r="E643" s="1069" t="s">
        <v>272</v>
      </c>
      <c r="F643" s="1014"/>
      <c r="G643" s="1007"/>
      <c r="H643" s="762" t="s">
        <v>273</v>
      </c>
      <c r="I643" s="880">
        <f ca="1">IFERROR(__xludf.DUMMYFUNCTION("IMPORTRANGE(""https://docs.google.com/spreadsheets/d/1QqKyyYR6Q21VydFLVH3TRQUabQu_ym0Zz7PgGX0-kHA/edit?usp=sharing"",""แผน!HR75"")"),2)</f>
        <v>2</v>
      </c>
      <c r="J643" s="1012">
        <v>0</v>
      </c>
      <c r="K643" s="998">
        <f t="shared" ref="K643:K652" ca="1" si="271">IF(I643&gt;0,J643*100/I643,0)</f>
        <v>0</v>
      </c>
      <c r="L643" s="998"/>
      <c r="M643" s="998"/>
      <c r="N643" s="881"/>
      <c r="O643" s="998"/>
      <c r="P643" s="998"/>
      <c r="Q643" s="1302"/>
      <c r="R643" s="1302"/>
      <c r="S643" s="1302"/>
      <c r="T643" s="1302"/>
      <c r="U643" s="1302"/>
      <c r="V643" s="1302"/>
      <c r="W643" s="1302"/>
      <c r="X643" s="1302"/>
      <c r="Y643" s="1302"/>
      <c r="Z643" s="1302"/>
    </row>
    <row r="644" spans="1:26" ht="18.75">
      <c r="A644" s="1429"/>
      <c r="B644" s="1300"/>
      <c r="C644" s="1301"/>
      <c r="D644" s="1014"/>
      <c r="E644" s="1069" t="s">
        <v>274</v>
      </c>
      <c r="F644" s="1014"/>
      <c r="G644" s="1007"/>
      <c r="H644" s="762" t="s">
        <v>275</v>
      </c>
      <c r="I644" s="880">
        <f ca="1">IFERROR(__xludf.DUMMYFUNCTION("IMPORTRANGE(""https://docs.google.com/spreadsheets/d/1QqKyyYR6Q21VydFLVH3TRQUabQu_ym0Zz7PgGX0-kHA/edit?usp=sharing"",""แผน!HR75"")"),2)</f>
        <v>2</v>
      </c>
      <c r="J644" s="1012">
        <v>0</v>
      </c>
      <c r="K644" s="998">
        <f t="shared" ca="1" si="271"/>
        <v>0</v>
      </c>
      <c r="L644" s="998"/>
      <c r="M644" s="998"/>
      <c r="N644" s="881"/>
      <c r="O644" s="998"/>
      <c r="P644" s="998"/>
      <c r="Q644" s="1302"/>
      <c r="R644" s="1302"/>
      <c r="S644" s="1302"/>
      <c r="T644" s="1302"/>
      <c r="U644" s="1302"/>
      <c r="V644" s="1302"/>
      <c r="W644" s="1302"/>
      <c r="X644" s="1302"/>
      <c r="Y644" s="1302"/>
      <c r="Z644" s="1302"/>
    </row>
    <row r="645" spans="1:26" ht="18.75">
      <c r="A645" s="1429"/>
      <c r="B645" s="1300"/>
      <c r="C645" s="1301"/>
      <c r="D645" s="1014"/>
      <c r="E645" s="1069" t="s">
        <v>276</v>
      </c>
      <c r="F645" s="1014"/>
      <c r="G645" s="1007"/>
      <c r="H645" s="762" t="s">
        <v>34</v>
      </c>
      <c r="I645" s="880">
        <v>0</v>
      </c>
      <c r="J645" s="880">
        <f ca="1">IFERROR(__xludf.DUMMYFUNCTION("IMPORTRANGE(""https://docs.google.com/spreadsheets/d/1XWAQStnk-4SwqDmLtmXYiTMKHgktTP8We1SCoS47DrQ/edit?usp=sharing"",""จัดที่ดิน!AS75"")"),0)</f>
        <v>0</v>
      </c>
      <c r="K645" s="998">
        <f t="shared" si="271"/>
        <v>0</v>
      </c>
      <c r="L645" s="998"/>
      <c r="M645" s="998"/>
      <c r="N645" s="881"/>
      <c r="O645" s="998"/>
      <c r="P645" s="998"/>
      <c r="Q645" s="1302"/>
      <c r="R645" s="1302"/>
      <c r="S645" s="1302"/>
      <c r="T645" s="1302"/>
      <c r="U645" s="1302"/>
      <c r="V645" s="1302"/>
      <c r="W645" s="1302"/>
      <c r="X645" s="1302"/>
      <c r="Y645" s="1302"/>
      <c r="Z645" s="1302"/>
    </row>
    <row r="646" spans="1:26" ht="18.75">
      <c r="A646" s="1429"/>
      <c r="B646" s="1300"/>
      <c r="C646" s="1301"/>
      <c r="D646" s="1014"/>
      <c r="E646" s="1014"/>
      <c r="F646" s="1014"/>
      <c r="G646" s="1007"/>
      <c r="H646" s="762" t="s">
        <v>46</v>
      </c>
      <c r="I646" s="880">
        <v>0</v>
      </c>
      <c r="J646" s="880">
        <f ca="1">IFERROR(__xludf.DUMMYFUNCTION("IMPORTRANGE(""https://docs.google.com/spreadsheets/d/1XWAQStnk-4SwqDmLtmXYiTMKHgktTP8We1SCoS47DrQ/edit?usp=sharing"",""จัดที่ดิน!AT75"")"),0)</f>
        <v>0</v>
      </c>
      <c r="K646" s="881">
        <f t="shared" si="271"/>
        <v>0</v>
      </c>
      <c r="L646" s="998"/>
      <c r="M646" s="998"/>
      <c r="N646" s="881"/>
      <c r="O646" s="998"/>
      <c r="P646" s="998"/>
      <c r="Q646" s="1302"/>
      <c r="R646" s="1302"/>
      <c r="S646" s="1302"/>
      <c r="T646" s="1302"/>
      <c r="U646" s="1302"/>
      <c r="V646" s="1302"/>
      <c r="W646" s="1302"/>
      <c r="X646" s="1302"/>
      <c r="Y646" s="1302"/>
      <c r="Z646" s="1302"/>
    </row>
    <row r="647" spans="1:26" ht="18.75">
      <c r="A647" s="1429"/>
      <c r="B647" s="1300"/>
      <c r="C647" s="1301"/>
      <c r="D647" s="1014"/>
      <c r="E647" s="1069" t="s">
        <v>162</v>
      </c>
      <c r="F647" s="1014"/>
      <c r="G647" s="1007"/>
      <c r="H647" s="762" t="s">
        <v>35</v>
      </c>
      <c r="I647" s="880">
        <f ca="1">IFERROR(__xludf.DUMMYFUNCTION("IMPORTRANGE(""https://docs.google.com/spreadsheets/d/1QqKyyYR6Q21VydFLVH3TRQUabQu_ym0Zz7PgGX0-kHA/edit?usp=sharing"",""แผน!HS75"")"),50)</f>
        <v>50</v>
      </c>
      <c r="J647" s="880">
        <f ca="1">IFERROR(__xludf.DUMMYFUNCTION("IMPORTRANGE(""https://docs.google.com/spreadsheets/d/1XWAQStnk-4SwqDmLtmXYiTMKHgktTP8We1SCoS47DrQ/edit?usp=sharing"",""จัดที่ดิน!AU75"")"),0)</f>
        <v>0</v>
      </c>
      <c r="K647" s="998">
        <f t="shared" ca="1" si="271"/>
        <v>0</v>
      </c>
      <c r="L647" s="998"/>
      <c r="M647" s="998"/>
      <c r="N647" s="998"/>
      <c r="O647" s="998"/>
      <c r="P647" s="998"/>
      <c r="Q647" s="1302"/>
      <c r="R647" s="1302"/>
      <c r="S647" s="1302"/>
      <c r="T647" s="1302"/>
      <c r="U647" s="1302"/>
      <c r="V647" s="1302"/>
      <c r="W647" s="1302"/>
      <c r="X647" s="1302"/>
      <c r="Y647" s="1302"/>
      <c r="Z647" s="1302"/>
    </row>
    <row r="648" spans="1:26" ht="18.75">
      <c r="A648" s="1429"/>
      <c r="B648" s="1300"/>
      <c r="C648" s="1301"/>
      <c r="D648" s="1014"/>
      <c r="E648" s="1014"/>
      <c r="F648" s="1014"/>
      <c r="G648" s="1007"/>
      <c r="H648" s="762" t="s">
        <v>46</v>
      </c>
      <c r="I648" s="880">
        <v>0</v>
      </c>
      <c r="J648" s="880">
        <f ca="1">IFERROR(__xludf.DUMMYFUNCTION("IMPORTRANGE(""https://docs.google.com/spreadsheets/d/1XWAQStnk-4SwqDmLtmXYiTMKHgktTP8We1SCoS47DrQ/edit?usp=sharing"",""จัดที่ดิน!AV75"")"),0)</f>
        <v>0</v>
      </c>
      <c r="K648" s="881">
        <f t="shared" si="271"/>
        <v>0</v>
      </c>
      <c r="L648" s="998"/>
      <c r="M648" s="998"/>
      <c r="N648" s="998"/>
      <c r="O648" s="998"/>
      <c r="P648" s="998"/>
      <c r="Q648" s="1302"/>
      <c r="R648" s="1302"/>
      <c r="S648" s="1302"/>
      <c r="T648" s="1302"/>
      <c r="U648" s="1302"/>
      <c r="V648" s="1302"/>
      <c r="W648" s="1302"/>
      <c r="X648" s="1302"/>
      <c r="Y648" s="1302"/>
      <c r="Z648" s="1302"/>
    </row>
    <row r="649" spans="1:26" ht="18.75">
      <c r="A649" s="1429"/>
      <c r="B649" s="1300"/>
      <c r="C649" s="1301"/>
      <c r="D649" s="1014"/>
      <c r="E649" s="1069" t="s">
        <v>277</v>
      </c>
      <c r="F649" s="1014"/>
      <c r="G649" s="1007"/>
      <c r="H649" s="762" t="s">
        <v>35</v>
      </c>
      <c r="I649" s="880">
        <f ca="1">IFERROR(__xludf.DUMMYFUNCTION("IMPORTRANGE(""https://docs.google.com/spreadsheets/d/1QqKyyYR6Q21VydFLVH3TRQUabQu_ym0Zz7PgGX0-kHA/edit?usp=sharing"",""แผน!HS75"")"),50)</f>
        <v>50</v>
      </c>
      <c r="J649" s="880">
        <f ca="1">IFERROR(__xludf.DUMMYFUNCTION("IMPORTRANGE(""https://docs.google.com/spreadsheets/d/1XWAQStnk-4SwqDmLtmXYiTMKHgktTP8We1SCoS47DrQ/edit?usp=sharing"",""จัดที่ดิน!AW75"")"),0)</f>
        <v>0</v>
      </c>
      <c r="K649" s="998">
        <f t="shared" ca="1" si="271"/>
        <v>0</v>
      </c>
      <c r="L649" s="998"/>
      <c r="M649" s="998"/>
      <c r="N649" s="998"/>
      <c r="O649" s="998"/>
      <c r="P649" s="998"/>
      <c r="Q649" s="1302"/>
      <c r="R649" s="1302"/>
      <c r="S649" s="1302"/>
      <c r="T649" s="1302"/>
      <c r="U649" s="1302"/>
      <c r="V649" s="1302"/>
      <c r="W649" s="1302"/>
      <c r="X649" s="1302"/>
      <c r="Y649" s="1302"/>
      <c r="Z649" s="1302"/>
    </row>
    <row r="650" spans="1:26" ht="18.75">
      <c r="A650" s="1429"/>
      <c r="B650" s="1300"/>
      <c r="C650" s="1301"/>
      <c r="D650" s="1014"/>
      <c r="E650" s="1014"/>
      <c r="F650" s="1014"/>
      <c r="G650" s="1007"/>
      <c r="H650" s="762" t="s">
        <v>46</v>
      </c>
      <c r="I650" s="880">
        <v>0</v>
      </c>
      <c r="J650" s="880">
        <f ca="1">IFERROR(__xludf.DUMMYFUNCTION("IMPORTRANGE(""https://docs.google.com/spreadsheets/d/1XWAQStnk-4SwqDmLtmXYiTMKHgktTP8We1SCoS47DrQ/edit?usp=sharing"",""จัดที่ดิน!AX75"")"),0)</f>
        <v>0</v>
      </c>
      <c r="K650" s="881">
        <f t="shared" si="271"/>
        <v>0</v>
      </c>
      <c r="L650" s="998"/>
      <c r="M650" s="998"/>
      <c r="N650" s="998"/>
      <c r="O650" s="998"/>
      <c r="P650" s="998"/>
      <c r="Q650" s="1302"/>
      <c r="R650" s="1302"/>
      <c r="S650" s="1302"/>
      <c r="T650" s="1302"/>
      <c r="U650" s="1302"/>
      <c r="V650" s="1302"/>
      <c r="W650" s="1302"/>
      <c r="X650" s="1302"/>
      <c r="Y650" s="1302"/>
      <c r="Z650" s="1302"/>
    </row>
    <row r="651" spans="1:26" ht="18.75">
      <c r="A651" s="1429"/>
      <c r="B651" s="1300"/>
      <c r="C651" s="1301"/>
      <c r="D651" s="1014"/>
      <c r="E651" s="1069" t="s">
        <v>278</v>
      </c>
      <c r="F651" s="1014"/>
      <c r="G651" s="1007"/>
      <c r="H651" s="762" t="s">
        <v>35</v>
      </c>
      <c r="I651" s="880">
        <f ca="1">IFERROR(__xludf.DUMMYFUNCTION("IMPORTRANGE(""https://docs.google.com/spreadsheets/d/1QqKyyYR6Q21VydFLVH3TRQUabQu_ym0Zz7PgGX0-kHA/edit?usp=sharing"",""แผน!HS75"")"),50)</f>
        <v>50</v>
      </c>
      <c r="J651" s="880">
        <f ca="1">IFERROR(__xludf.DUMMYFUNCTION("IMPORTRANGE(""https://docs.google.com/spreadsheets/d/1XWAQStnk-4SwqDmLtmXYiTMKHgktTP8We1SCoS47DrQ/edit?usp=sharing"",""จัดที่ดิน!AY75"")"),0)</f>
        <v>0</v>
      </c>
      <c r="K651" s="998">
        <f t="shared" ca="1" si="271"/>
        <v>0</v>
      </c>
      <c r="L651" s="998"/>
      <c r="M651" s="998"/>
      <c r="N651" s="998"/>
      <c r="O651" s="998"/>
      <c r="P651" s="998"/>
      <c r="Q651" s="1302"/>
      <c r="R651" s="1302"/>
      <c r="S651" s="1302"/>
      <c r="T651" s="1302"/>
      <c r="U651" s="1302"/>
      <c r="V651" s="1302"/>
      <c r="W651" s="1302"/>
      <c r="X651" s="1302"/>
      <c r="Y651" s="1302"/>
      <c r="Z651" s="1302"/>
    </row>
    <row r="652" spans="1:26" ht="18.75">
      <c r="A652" s="1430"/>
      <c r="B652" s="1431"/>
      <c r="C652" s="1432"/>
      <c r="D652" s="1169"/>
      <c r="E652" s="1169"/>
      <c r="F652" s="1169"/>
      <c r="G652" s="1422"/>
      <c r="H652" s="504" t="s">
        <v>46</v>
      </c>
      <c r="I652" s="1138">
        <v>0</v>
      </c>
      <c r="J652" s="1138">
        <f ca="1">IFERROR(__xludf.DUMMYFUNCTION("IMPORTRANGE(""https://docs.google.com/spreadsheets/d/1XWAQStnk-4SwqDmLtmXYiTMKHgktTP8We1SCoS47DrQ/edit?usp=sharing"",""จัดที่ดิน!AZ75"")"),0)</f>
        <v>0</v>
      </c>
      <c r="K652" s="1239">
        <f t="shared" si="271"/>
        <v>0</v>
      </c>
      <c r="L652" s="1139"/>
      <c r="M652" s="1139"/>
      <c r="N652" s="1139"/>
      <c r="O652" s="1139"/>
      <c r="P652" s="1139"/>
      <c r="Q652" s="1302"/>
      <c r="R652" s="1302"/>
      <c r="S652" s="1302"/>
      <c r="T652" s="1302"/>
      <c r="U652" s="1302"/>
      <c r="V652" s="1302"/>
      <c r="W652" s="1302"/>
      <c r="X652" s="1302"/>
      <c r="Y652" s="1302"/>
      <c r="Z652" s="1302"/>
    </row>
    <row r="653" spans="1:26" ht="19.5" hidden="1">
      <c r="A653" s="748">
        <v>8</v>
      </c>
      <c r="B653" s="1423" t="s">
        <v>279</v>
      </c>
      <c r="C653" s="1424"/>
      <c r="D653" s="1424"/>
      <c r="E653" s="1424"/>
      <c r="F653" s="1424"/>
      <c r="G653" s="1425"/>
      <c r="H653" s="1425"/>
      <c r="I653" s="1433"/>
      <c r="J653" s="1433"/>
      <c r="K653" s="1428"/>
      <c r="L653" s="1428"/>
      <c r="M653" s="1428"/>
      <c r="N653" s="1428"/>
      <c r="O653" s="1428"/>
      <c r="P653" s="1428"/>
      <c r="Q653" s="1302"/>
      <c r="R653" s="1302"/>
      <c r="S653" s="1302"/>
      <c r="T653" s="1302"/>
      <c r="U653" s="1302"/>
      <c r="V653" s="1302"/>
      <c r="W653" s="1302"/>
      <c r="X653" s="1302"/>
      <c r="Y653" s="1302"/>
      <c r="Z653" s="1302"/>
    </row>
    <row r="654" spans="1:26" ht="19.5" hidden="1">
      <c r="A654" s="1375"/>
      <c r="B654" s="1374" t="s">
        <v>280</v>
      </c>
      <c r="C654" s="1375"/>
      <c r="D654" s="1375"/>
      <c r="E654" s="1375"/>
      <c r="F654" s="1375"/>
      <c r="G654" s="1376"/>
      <c r="H654" s="705" t="s">
        <v>46</v>
      </c>
      <c r="I654" s="1377">
        <f t="shared" ref="I654:J654" ca="1" si="272">I669</f>
        <v>0</v>
      </c>
      <c r="J654" s="1377">
        <f t="shared" si="272"/>
        <v>0</v>
      </c>
      <c r="K654" s="1378">
        <f ca="1">IF(I654&gt;0,J654*100/I654,0)</f>
        <v>0</v>
      </c>
      <c r="L654" s="1379"/>
      <c r="M654" s="1379"/>
      <c r="N654" s="1379"/>
      <c r="O654" s="1379"/>
      <c r="P654" s="1379"/>
      <c r="Q654" s="1302"/>
      <c r="R654" s="1302"/>
      <c r="S654" s="1302"/>
      <c r="T654" s="1302"/>
      <c r="U654" s="1302"/>
      <c r="V654" s="1302"/>
      <c r="W654" s="1302"/>
      <c r="X654" s="1302"/>
      <c r="Y654" s="1302"/>
      <c r="Z654" s="1302"/>
    </row>
    <row r="655" spans="1:26" ht="19.5" hidden="1">
      <c r="A655" s="1317"/>
      <c r="B655" s="1301"/>
      <c r="C655" s="1301" t="s">
        <v>16</v>
      </c>
      <c r="D655" s="1318" t="s">
        <v>17</v>
      </c>
      <c r="E655" s="841"/>
      <c r="F655" s="841"/>
      <c r="G655" s="1016"/>
      <c r="H655" s="597" t="s">
        <v>12</v>
      </c>
      <c r="I655" s="880"/>
      <c r="J655" s="880"/>
      <c r="K655" s="881"/>
      <c r="L655" s="1020">
        <f t="shared" ref="L655:N655" ca="1" si="273">L656+L657</f>
        <v>0</v>
      </c>
      <c r="M655" s="1020">
        <f t="shared" si="273"/>
        <v>0</v>
      </c>
      <c r="N655" s="1020">
        <f t="shared" si="273"/>
        <v>0</v>
      </c>
      <c r="O655" s="1020">
        <f t="shared" ref="O655:O660" ca="1" si="274">IF(L655&gt;0,N655*100/L655,0)</f>
        <v>0</v>
      </c>
      <c r="P655" s="1020">
        <f t="shared" ref="P655:P660" si="275">IF(M655&gt;0,N655*100/M655,0)</f>
        <v>0</v>
      </c>
      <c r="Q655" s="1302"/>
      <c r="R655" s="1302"/>
      <c r="S655" s="1302"/>
      <c r="T655" s="1302"/>
      <c r="U655" s="1302"/>
      <c r="V655" s="1302"/>
      <c r="W655" s="1302"/>
      <c r="X655" s="1302"/>
      <c r="Y655" s="1302"/>
      <c r="Z655" s="1302"/>
    </row>
    <row r="656" spans="1:26" ht="18.75" hidden="1">
      <c r="A656" s="1319"/>
      <c r="B656" s="1320"/>
      <c r="C656" s="1320"/>
      <c r="D656" s="1321"/>
      <c r="E656" s="1320" t="s">
        <v>185</v>
      </c>
      <c r="F656" s="1320"/>
      <c r="G656" s="1322"/>
      <c r="H656" s="165" t="s">
        <v>12</v>
      </c>
      <c r="I656" s="886"/>
      <c r="J656" s="886"/>
      <c r="K656" s="887"/>
      <c r="L656" s="887">
        <f t="shared" ref="L656:N657" si="276">L659+L666</f>
        <v>0</v>
      </c>
      <c r="M656" s="887">
        <f t="shared" si="276"/>
        <v>0</v>
      </c>
      <c r="N656" s="887">
        <f t="shared" si="276"/>
        <v>0</v>
      </c>
      <c r="O656" s="887">
        <f t="shared" si="274"/>
        <v>0</v>
      </c>
      <c r="P656" s="887">
        <f t="shared" si="275"/>
        <v>0</v>
      </c>
      <c r="Q656" s="1323"/>
      <c r="R656" s="1323"/>
      <c r="S656" s="1323"/>
      <c r="T656" s="1323"/>
      <c r="U656" s="1323"/>
      <c r="V656" s="1323"/>
      <c r="W656" s="1323"/>
      <c r="X656" s="1323"/>
      <c r="Y656" s="1323"/>
      <c r="Z656" s="1323"/>
    </row>
    <row r="657" spans="1:26" ht="18.75" hidden="1">
      <c r="A657" s="1319"/>
      <c r="B657" s="1324"/>
      <c r="C657" s="1320"/>
      <c r="D657" s="1321"/>
      <c r="E657" s="1320" t="s">
        <v>186</v>
      </c>
      <c r="F657" s="1320"/>
      <c r="G657" s="1322"/>
      <c r="H657" s="165" t="s">
        <v>12</v>
      </c>
      <c r="I657" s="886"/>
      <c r="J657" s="886"/>
      <c r="K657" s="887"/>
      <c r="L657" s="887">
        <f t="shared" ca="1" si="276"/>
        <v>0</v>
      </c>
      <c r="M657" s="887">
        <f t="shared" si="276"/>
        <v>0</v>
      </c>
      <c r="N657" s="887">
        <f t="shared" si="276"/>
        <v>0</v>
      </c>
      <c r="O657" s="887">
        <f t="shared" ca="1" si="274"/>
        <v>0</v>
      </c>
      <c r="P657" s="887">
        <f t="shared" si="275"/>
        <v>0</v>
      </c>
      <c r="Q657" s="1323"/>
      <c r="R657" s="1323"/>
      <c r="S657" s="1323"/>
      <c r="T657" s="1323"/>
      <c r="U657" s="1323"/>
      <c r="V657" s="1323"/>
      <c r="W657" s="1323"/>
      <c r="X657" s="1323"/>
      <c r="Y657" s="1323"/>
      <c r="Z657" s="1323"/>
    </row>
    <row r="658" spans="1:26" ht="18.75" hidden="1">
      <c r="A658" s="1317"/>
      <c r="B658" s="1300"/>
      <c r="C658" s="1301"/>
      <c r="D658" s="1325" t="s">
        <v>20</v>
      </c>
      <c r="E658" s="1301"/>
      <c r="F658" s="1301"/>
      <c r="G658" s="1016"/>
      <c r="H658" s="161" t="s">
        <v>12</v>
      </c>
      <c r="I658" s="997"/>
      <c r="J658" s="997"/>
      <c r="K658" s="998"/>
      <c r="L658" s="881">
        <f t="shared" ref="L658:N658" ca="1" si="277">L659+L660</f>
        <v>0</v>
      </c>
      <c r="M658" s="881">
        <f t="shared" si="277"/>
        <v>0</v>
      </c>
      <c r="N658" s="881">
        <f t="shared" si="277"/>
        <v>0</v>
      </c>
      <c r="O658" s="881">
        <f t="shared" ca="1" si="274"/>
        <v>0</v>
      </c>
      <c r="P658" s="881">
        <f t="shared" si="275"/>
        <v>0</v>
      </c>
      <c r="Q658" s="1302"/>
      <c r="R658" s="1302"/>
      <c r="S658" s="1302"/>
      <c r="T658" s="1302"/>
      <c r="U658" s="1302"/>
      <c r="V658" s="1302"/>
      <c r="W658" s="1302"/>
      <c r="X658" s="1302"/>
      <c r="Y658" s="1302"/>
      <c r="Z658" s="1302"/>
    </row>
    <row r="659" spans="1:26" ht="18.75" hidden="1">
      <c r="A659" s="1319"/>
      <c r="B659" s="1324"/>
      <c r="C659" s="1320"/>
      <c r="D659" s="1321"/>
      <c r="E659" s="1320" t="s">
        <v>185</v>
      </c>
      <c r="F659" s="1320"/>
      <c r="G659" s="1322"/>
      <c r="H659" s="165" t="s">
        <v>12</v>
      </c>
      <c r="I659" s="886"/>
      <c r="J659" s="886"/>
      <c r="K659" s="887"/>
      <c r="L659" s="887">
        <v>0</v>
      </c>
      <c r="M659" s="887">
        <v>0</v>
      </c>
      <c r="N659" s="887">
        <v>0</v>
      </c>
      <c r="O659" s="887">
        <f t="shared" si="274"/>
        <v>0</v>
      </c>
      <c r="P659" s="887">
        <f t="shared" si="275"/>
        <v>0</v>
      </c>
      <c r="Q659" s="1323"/>
      <c r="R659" s="1323"/>
      <c r="S659" s="1323"/>
      <c r="T659" s="1323"/>
      <c r="U659" s="1323"/>
      <c r="V659" s="1323"/>
      <c r="W659" s="1323"/>
      <c r="X659" s="1323"/>
      <c r="Y659" s="1323"/>
      <c r="Z659" s="1323"/>
    </row>
    <row r="660" spans="1:26" ht="18.75" hidden="1">
      <c r="A660" s="1319"/>
      <c r="B660" s="1324"/>
      <c r="C660" s="1320"/>
      <c r="D660" s="1321"/>
      <c r="E660" s="1320" t="s">
        <v>186</v>
      </c>
      <c r="F660" s="1320"/>
      <c r="G660" s="1322"/>
      <c r="H660" s="165" t="s">
        <v>12</v>
      </c>
      <c r="I660" s="886"/>
      <c r="J660" s="886"/>
      <c r="K660" s="887"/>
      <c r="L660" s="887">
        <f ca="1">IFERROR(__xludf.DUMMYFUNCTION("IMPORTRANGE(""https://docs.google.com/spreadsheets/d/1QqKyyYR6Q21VydFLVH3TRQUabQu_ym0Zz7PgGX0-kHA/edit?usp=sharing"",""แผน!HV75"")"),0)</f>
        <v>0</v>
      </c>
      <c r="M660" s="887">
        <v>0</v>
      </c>
      <c r="N660" s="887">
        <f>N661+N662+N663+N664</f>
        <v>0</v>
      </c>
      <c r="O660" s="887">
        <f t="shared" ca="1" si="274"/>
        <v>0</v>
      </c>
      <c r="P660" s="887">
        <f t="shared" si="275"/>
        <v>0</v>
      </c>
      <c r="Q660" s="1323"/>
      <c r="R660" s="1323"/>
      <c r="S660" s="1323"/>
      <c r="T660" s="1323"/>
      <c r="U660" s="1323"/>
      <c r="V660" s="1323"/>
      <c r="W660" s="1323"/>
      <c r="X660" s="1323"/>
      <c r="Y660" s="1323"/>
      <c r="Z660" s="1323"/>
    </row>
    <row r="661" spans="1:26" ht="18.75" hidden="1">
      <c r="A661" s="1299"/>
      <c r="B661" s="1300"/>
      <c r="C661" s="1301"/>
      <c r="D661" s="1301"/>
      <c r="E661" s="1301"/>
      <c r="F661" s="1301" t="s">
        <v>187</v>
      </c>
      <c r="G661" s="1016"/>
      <c r="H661" s="161" t="s">
        <v>12</v>
      </c>
      <c r="I661" s="880"/>
      <c r="J661" s="880"/>
      <c r="K661" s="881"/>
      <c r="L661" s="881"/>
      <c r="M661" s="881"/>
      <c r="N661" s="1085">
        <v>0</v>
      </c>
      <c r="O661" s="881"/>
      <c r="P661" s="881"/>
      <c r="Q661" s="1302"/>
      <c r="R661" s="1302"/>
      <c r="S661" s="1302"/>
      <c r="T661" s="1302"/>
      <c r="U661" s="1302"/>
      <c r="V661" s="1302"/>
      <c r="W661" s="1302"/>
      <c r="X661" s="1302"/>
      <c r="Y661" s="1302"/>
      <c r="Z661" s="1302"/>
    </row>
    <row r="662" spans="1:26" ht="18.75" hidden="1">
      <c r="A662" s="1299"/>
      <c r="B662" s="1300"/>
      <c r="C662" s="1301"/>
      <c r="D662" s="1301"/>
      <c r="E662" s="1301"/>
      <c r="F662" s="1301" t="s">
        <v>188</v>
      </c>
      <c r="G662" s="1016"/>
      <c r="H662" s="161" t="s">
        <v>12</v>
      </c>
      <c r="I662" s="880"/>
      <c r="J662" s="880"/>
      <c r="K662" s="881"/>
      <c r="L662" s="881"/>
      <c r="M662" s="881"/>
      <c r="N662" s="1085">
        <v>0</v>
      </c>
      <c r="O662" s="881"/>
      <c r="P662" s="881"/>
      <c r="Q662" s="1302"/>
      <c r="R662" s="1302"/>
      <c r="S662" s="1302"/>
      <c r="T662" s="1302"/>
      <c r="U662" s="1302"/>
      <c r="V662" s="1302"/>
      <c r="W662" s="1302"/>
      <c r="X662" s="1302"/>
      <c r="Y662" s="1302"/>
      <c r="Z662" s="1302"/>
    </row>
    <row r="663" spans="1:26" ht="18.75" hidden="1">
      <c r="A663" s="1299"/>
      <c r="B663" s="1300"/>
      <c r="C663" s="1300"/>
      <c r="D663" s="1301"/>
      <c r="E663" s="1301"/>
      <c r="F663" s="1301" t="s">
        <v>189</v>
      </c>
      <c r="G663" s="1016"/>
      <c r="H663" s="161" t="s">
        <v>12</v>
      </c>
      <c r="I663" s="880"/>
      <c r="J663" s="880"/>
      <c r="K663" s="881"/>
      <c r="L663" s="881"/>
      <c r="M663" s="881"/>
      <c r="N663" s="1085">
        <v>0</v>
      </c>
      <c r="O663" s="881"/>
      <c r="P663" s="881"/>
      <c r="Q663" s="1302"/>
      <c r="R663" s="1302"/>
      <c r="S663" s="1302"/>
      <c r="T663" s="1302"/>
      <c r="U663" s="1302"/>
      <c r="V663" s="1302"/>
      <c r="W663" s="1302"/>
      <c r="X663" s="1302"/>
      <c r="Y663" s="1302"/>
      <c r="Z663" s="1302"/>
    </row>
    <row r="664" spans="1:26" ht="18.75" hidden="1">
      <c r="A664" s="1299"/>
      <c r="B664" s="1300"/>
      <c r="C664" s="1300"/>
      <c r="D664" s="1300"/>
      <c r="E664" s="1301"/>
      <c r="F664" s="1301" t="s">
        <v>190</v>
      </c>
      <c r="G664" s="1016"/>
      <c r="H664" s="161" t="s">
        <v>12</v>
      </c>
      <c r="I664" s="880"/>
      <c r="J664" s="880"/>
      <c r="K664" s="881"/>
      <c r="L664" s="881"/>
      <c r="M664" s="881"/>
      <c r="N664" s="1085">
        <v>0</v>
      </c>
      <c r="O664" s="881"/>
      <c r="P664" s="881"/>
      <c r="Q664" s="1302"/>
      <c r="R664" s="1302"/>
      <c r="S664" s="1302"/>
      <c r="T664" s="1302"/>
      <c r="U664" s="1302"/>
      <c r="V664" s="1302"/>
      <c r="W664" s="1302"/>
      <c r="X664" s="1302"/>
      <c r="Y664" s="1302"/>
      <c r="Z664" s="1302"/>
    </row>
    <row r="665" spans="1:26" ht="18.75" hidden="1">
      <c r="A665" s="1317"/>
      <c r="B665" s="1300"/>
      <c r="C665" s="1300"/>
      <c r="D665" s="1325" t="s">
        <v>21</v>
      </c>
      <c r="E665" s="1301"/>
      <c r="F665" s="1301"/>
      <c r="G665" s="1016"/>
      <c r="H665" s="168" t="s">
        <v>12</v>
      </c>
      <c r="I665" s="997"/>
      <c r="J665" s="997"/>
      <c r="K665" s="998"/>
      <c r="L665" s="881">
        <f t="shared" ref="L665:N665" si="278">L666+L667</f>
        <v>0</v>
      </c>
      <c r="M665" s="881">
        <f t="shared" si="278"/>
        <v>0</v>
      </c>
      <c r="N665" s="881">
        <f t="shared" si="278"/>
        <v>0</v>
      </c>
      <c r="O665" s="881">
        <f t="shared" ref="O665:O667" si="279">IF(L665&gt;0,N665*100/L665,0)</f>
        <v>0</v>
      </c>
      <c r="P665" s="881">
        <f t="shared" ref="P665:P667" si="280">IF(M665&gt;0,N665*100/M665,0)</f>
        <v>0</v>
      </c>
      <c r="Q665" s="1302"/>
      <c r="R665" s="1302"/>
      <c r="S665" s="1302"/>
      <c r="T665" s="1302"/>
      <c r="U665" s="1302"/>
      <c r="V665" s="1302"/>
      <c r="W665" s="1302"/>
      <c r="X665" s="1302"/>
      <c r="Y665" s="1302"/>
      <c r="Z665" s="1302"/>
    </row>
    <row r="666" spans="1:26" ht="18.75" hidden="1">
      <c r="A666" s="1319"/>
      <c r="B666" s="1324"/>
      <c r="C666" s="1324"/>
      <c r="D666" s="1324"/>
      <c r="E666" s="1320" t="s">
        <v>18</v>
      </c>
      <c r="F666" s="1320"/>
      <c r="G666" s="1322"/>
      <c r="H666" s="165" t="s">
        <v>12</v>
      </c>
      <c r="I666" s="1000"/>
      <c r="J666" s="1000"/>
      <c r="K666" s="1001"/>
      <c r="L666" s="887">
        <v>0</v>
      </c>
      <c r="M666" s="887">
        <v>0</v>
      </c>
      <c r="N666" s="887">
        <v>0</v>
      </c>
      <c r="O666" s="887">
        <f t="shared" si="279"/>
        <v>0</v>
      </c>
      <c r="P666" s="887">
        <f t="shared" si="280"/>
        <v>0</v>
      </c>
      <c r="Q666" s="1323"/>
      <c r="R666" s="1323"/>
      <c r="S666" s="1323"/>
      <c r="T666" s="1323"/>
      <c r="U666" s="1323"/>
      <c r="V666" s="1323"/>
      <c r="W666" s="1323"/>
      <c r="X666" s="1323"/>
      <c r="Y666" s="1323"/>
      <c r="Z666" s="1323"/>
    </row>
    <row r="667" spans="1:26" ht="18.75" hidden="1">
      <c r="A667" s="1319"/>
      <c r="B667" s="1324"/>
      <c r="C667" s="1324"/>
      <c r="D667" s="1324"/>
      <c r="E667" s="1320" t="s">
        <v>19</v>
      </c>
      <c r="F667" s="1320"/>
      <c r="G667" s="1322"/>
      <c r="H667" s="169" t="s">
        <v>12</v>
      </c>
      <c r="I667" s="1000"/>
      <c r="J667" s="1000"/>
      <c r="K667" s="1001"/>
      <c r="L667" s="887">
        <v>0</v>
      </c>
      <c r="M667" s="887">
        <v>0</v>
      </c>
      <c r="N667" s="887">
        <v>0</v>
      </c>
      <c r="O667" s="887">
        <f t="shared" si="279"/>
        <v>0</v>
      </c>
      <c r="P667" s="887">
        <f t="shared" si="280"/>
        <v>0</v>
      </c>
      <c r="Q667" s="1323"/>
      <c r="R667" s="1323"/>
      <c r="S667" s="1323"/>
      <c r="T667" s="1323"/>
      <c r="U667" s="1323"/>
      <c r="V667" s="1323"/>
      <c r="W667" s="1323"/>
      <c r="X667" s="1323"/>
      <c r="Y667" s="1323"/>
      <c r="Z667" s="1323"/>
    </row>
    <row r="668" spans="1:26" ht="19.5" hidden="1">
      <c r="A668" s="1326"/>
      <c r="B668" s="1327"/>
      <c r="C668" s="1300" t="s">
        <v>16</v>
      </c>
      <c r="D668" s="1328" t="s">
        <v>38</v>
      </c>
      <c r="E668" s="1330"/>
      <c r="F668" s="1330"/>
      <c r="G668" s="1331"/>
      <c r="H668" s="1007"/>
      <c r="I668" s="997"/>
      <c r="J668" s="997"/>
      <c r="K668" s="998"/>
      <c r="L668" s="998"/>
      <c r="M668" s="998"/>
      <c r="N668" s="998"/>
      <c r="O668" s="998"/>
      <c r="P668" s="998"/>
      <c r="Q668" s="1302"/>
      <c r="R668" s="1302"/>
      <c r="S668" s="1302"/>
      <c r="T668" s="1302"/>
      <c r="U668" s="1302"/>
      <c r="V668" s="1302"/>
      <c r="W668" s="1302"/>
      <c r="X668" s="1302"/>
      <c r="Y668" s="1302"/>
      <c r="Z668" s="1302"/>
    </row>
    <row r="669" spans="1:26" ht="19.5" hidden="1">
      <c r="A669" s="1326"/>
      <c r="B669" s="1327"/>
      <c r="C669" s="1327"/>
      <c r="D669" s="1327" t="s">
        <v>281</v>
      </c>
      <c r="E669" s="1014"/>
      <c r="F669" s="1014"/>
      <c r="G669" s="1007"/>
      <c r="H669" s="765" t="s">
        <v>46</v>
      </c>
      <c r="I669" s="1019">
        <f ca="1">IFERROR(__xludf.DUMMYFUNCTION("IMPORTRANGE(""https://docs.google.com/spreadsheets/d/1QqKyyYR6Q21VydFLVH3TRQUabQu_ym0Zz7PgGX0-kHA/edit?usp=sharing"",""แผน!IA75"")"),0)</f>
        <v>0</v>
      </c>
      <c r="J669" s="1019">
        <f>J675</f>
        <v>0</v>
      </c>
      <c r="K669" s="1020">
        <f ca="1">IF(I669&gt;0,J669*100/I669,0)</f>
        <v>0</v>
      </c>
      <c r="L669" s="998"/>
      <c r="M669" s="998"/>
      <c r="N669" s="998"/>
      <c r="O669" s="998"/>
      <c r="P669" s="998"/>
      <c r="Q669" s="1302"/>
      <c r="R669" s="1302"/>
      <c r="S669" s="1302"/>
      <c r="T669" s="1302"/>
      <c r="U669" s="1302"/>
      <c r="V669" s="1302"/>
      <c r="W669" s="1302"/>
      <c r="X669" s="1302"/>
      <c r="Y669" s="1302"/>
      <c r="Z669" s="1302"/>
    </row>
    <row r="670" spans="1:26" ht="18.75" hidden="1">
      <c r="A670" s="1326"/>
      <c r="B670" s="1327"/>
      <c r="C670" s="1327"/>
      <c r="D670" s="1327"/>
      <c r="E670" s="1014" t="s">
        <v>282</v>
      </c>
      <c r="F670" s="1014"/>
      <c r="G670" s="1007"/>
      <c r="H670" s="762" t="s">
        <v>66</v>
      </c>
      <c r="I670" s="880">
        <f ca="1">IFERROR(__xludf.DUMMYFUNCTION("IMPORTRANGE(""https://docs.google.com/spreadsheets/d/1QqKyyYR6Q21VydFLVH3TRQUabQu_ym0Zz7PgGX0-kHA/edit?usp=sharing"",""แผน!HZ75"")"),0)</f>
        <v>0</v>
      </c>
      <c r="J670" s="1012">
        <v>0</v>
      </c>
      <c r="K670" s="881">
        <f ca="1">IF(I670&gt;0,(J670*100)/I670,0)</f>
        <v>0</v>
      </c>
      <c r="L670" s="998"/>
      <c r="M670" s="998"/>
      <c r="N670" s="998"/>
      <c r="O670" s="998"/>
      <c r="P670" s="998"/>
      <c r="Q670" s="1302"/>
      <c r="R670" s="1302"/>
      <c r="S670" s="1302"/>
      <c r="T670" s="1302"/>
      <c r="U670" s="1302"/>
      <c r="V670" s="1302"/>
      <c r="W670" s="1302"/>
      <c r="X670" s="1302"/>
      <c r="Y670" s="1302"/>
      <c r="Z670" s="1302"/>
    </row>
    <row r="671" spans="1:26" ht="18.75" hidden="1">
      <c r="A671" s="1326"/>
      <c r="B671" s="1327"/>
      <c r="C671" s="1327"/>
      <c r="D671" s="1327"/>
      <c r="E671" s="1014" t="s">
        <v>283</v>
      </c>
      <c r="F671" s="1014"/>
      <c r="G671" s="1007"/>
      <c r="H671" s="762" t="s">
        <v>66</v>
      </c>
      <c r="I671" s="880">
        <f ca="1">IFERROR(__xludf.DUMMYFUNCTION("IMPORTRANGE(""https://docs.google.com/spreadsheets/d/1QqKyyYR6Q21VydFLVH3TRQUabQu_ym0Zz7PgGX0-kHA/edit?usp=sharing"",""แผน!HZ75"")"),0)</f>
        <v>0</v>
      </c>
      <c r="J671" s="1012">
        <v>0</v>
      </c>
      <c r="K671" s="881">
        <f ca="1">IF(I$671&gt;0,J671*100/I$671,0)</f>
        <v>0</v>
      </c>
      <c r="L671" s="998"/>
      <c r="M671" s="998"/>
      <c r="N671" s="998"/>
      <c r="O671" s="998"/>
      <c r="P671" s="998"/>
      <c r="Q671" s="1302"/>
      <c r="R671" s="1302"/>
      <c r="S671" s="1302"/>
      <c r="T671" s="1302"/>
      <c r="U671" s="1302"/>
      <c r="V671" s="1302"/>
      <c r="W671" s="1302"/>
      <c r="X671" s="1302"/>
      <c r="Y671" s="1302"/>
      <c r="Z671" s="1302"/>
    </row>
    <row r="672" spans="1:26" ht="18.75" hidden="1">
      <c r="A672" s="1326"/>
      <c r="B672" s="1327"/>
      <c r="C672" s="1327"/>
      <c r="D672" s="1327"/>
      <c r="E672" s="1014" t="s">
        <v>284</v>
      </c>
      <c r="F672" s="1014"/>
      <c r="G672" s="1007"/>
      <c r="H672" s="762" t="s">
        <v>46</v>
      </c>
      <c r="I672" s="880"/>
      <c r="J672" s="1012">
        <v>0</v>
      </c>
      <c r="K672" s="881">
        <f t="shared" ref="K672:K675" ca="1" si="281">IF(I$669&gt;0,J672*100/I$669,0)</f>
        <v>0</v>
      </c>
      <c r="L672" s="998"/>
      <c r="M672" s="998"/>
      <c r="N672" s="998"/>
      <c r="O672" s="998"/>
      <c r="P672" s="998"/>
      <c r="Q672" s="1302"/>
      <c r="R672" s="1302"/>
      <c r="S672" s="1302"/>
      <c r="T672" s="1302"/>
      <c r="U672" s="1302"/>
      <c r="V672" s="1302"/>
      <c r="W672" s="1302"/>
      <c r="X672" s="1302"/>
      <c r="Y672" s="1302"/>
      <c r="Z672" s="1302"/>
    </row>
    <row r="673" spans="1:26" ht="18.75" hidden="1">
      <c r="A673" s="1326"/>
      <c r="B673" s="1327"/>
      <c r="C673" s="1327"/>
      <c r="D673" s="1327"/>
      <c r="E673" s="1014" t="s">
        <v>285</v>
      </c>
      <c r="F673" s="1014"/>
      <c r="G673" s="1007"/>
      <c r="H673" s="762" t="s">
        <v>46</v>
      </c>
      <c r="I673" s="880"/>
      <c r="J673" s="1012">
        <v>0</v>
      </c>
      <c r="K673" s="881">
        <f t="shared" ca="1" si="281"/>
        <v>0</v>
      </c>
      <c r="L673" s="998"/>
      <c r="M673" s="998"/>
      <c r="N673" s="998"/>
      <c r="O673" s="998"/>
      <c r="P673" s="998"/>
      <c r="Q673" s="1302"/>
      <c r="R673" s="1302"/>
      <c r="S673" s="1302"/>
      <c r="T673" s="1302"/>
      <c r="U673" s="1302"/>
      <c r="V673" s="1302"/>
      <c r="W673" s="1302"/>
      <c r="X673" s="1302"/>
      <c r="Y673" s="1302"/>
      <c r="Z673" s="1302"/>
    </row>
    <row r="674" spans="1:26" ht="18.75" hidden="1">
      <c r="A674" s="1326"/>
      <c r="B674" s="1327"/>
      <c r="C674" s="1327"/>
      <c r="D674" s="1327"/>
      <c r="E674" s="1014" t="s">
        <v>286</v>
      </c>
      <c r="F674" s="1014"/>
      <c r="G674" s="1007"/>
      <c r="H674" s="762" t="s">
        <v>46</v>
      </c>
      <c r="I674" s="880"/>
      <c r="J674" s="1012">
        <v>0</v>
      </c>
      <c r="K674" s="881">
        <f t="shared" ca="1" si="281"/>
        <v>0</v>
      </c>
      <c r="L674" s="998"/>
      <c r="M674" s="998"/>
      <c r="N674" s="998"/>
      <c r="O674" s="998"/>
      <c r="P674" s="998"/>
      <c r="Q674" s="1302"/>
      <c r="R674" s="1302"/>
      <c r="S674" s="1302"/>
      <c r="T674" s="1302"/>
      <c r="U674" s="1302"/>
      <c r="V674" s="1302"/>
      <c r="W674" s="1302"/>
      <c r="X674" s="1302"/>
      <c r="Y674" s="1302"/>
      <c r="Z674" s="1302"/>
    </row>
    <row r="675" spans="1:26" ht="19.5" hidden="1">
      <c r="A675" s="1326"/>
      <c r="B675" s="1327"/>
      <c r="C675" s="1327"/>
      <c r="D675" s="1327"/>
      <c r="E675" s="1014" t="s">
        <v>287</v>
      </c>
      <c r="F675" s="1014"/>
      <c r="G675" s="1007"/>
      <c r="H675" s="762" t="s">
        <v>46</v>
      </c>
      <c r="I675" s="880"/>
      <c r="J675" s="1019">
        <f>J676+J677</f>
        <v>0</v>
      </c>
      <c r="K675" s="1020">
        <f t="shared" ca="1" si="281"/>
        <v>0</v>
      </c>
      <c r="L675" s="998"/>
      <c r="M675" s="998"/>
      <c r="N675" s="998"/>
      <c r="O675" s="998"/>
      <c r="P675" s="998"/>
      <c r="Q675" s="1302"/>
      <c r="R675" s="1302"/>
      <c r="S675" s="1302"/>
      <c r="T675" s="1302"/>
      <c r="U675" s="1302"/>
      <c r="V675" s="1302"/>
      <c r="W675" s="1302"/>
      <c r="X675" s="1302"/>
      <c r="Y675" s="1302"/>
      <c r="Z675" s="1302"/>
    </row>
    <row r="676" spans="1:26" ht="18.75" hidden="1">
      <c r="A676" s="1326"/>
      <c r="B676" s="1327"/>
      <c r="C676" s="1327"/>
      <c r="D676" s="1327"/>
      <c r="E676" s="1014"/>
      <c r="F676" s="1014" t="s">
        <v>288</v>
      </c>
      <c r="G676" s="1007"/>
      <c r="H676" s="762" t="s">
        <v>46</v>
      </c>
      <c r="I676" s="880"/>
      <c r="J676" s="1012">
        <v>0</v>
      </c>
      <c r="K676" s="881"/>
      <c r="L676" s="998"/>
      <c r="M676" s="998"/>
      <c r="N676" s="998"/>
      <c r="O676" s="998"/>
      <c r="P676" s="998"/>
      <c r="Q676" s="1302"/>
      <c r="R676" s="1302"/>
      <c r="S676" s="1302"/>
      <c r="T676" s="1302"/>
      <c r="U676" s="1302"/>
      <c r="V676" s="1302"/>
      <c r="W676" s="1302"/>
      <c r="X676" s="1302"/>
      <c r="Y676" s="1302"/>
      <c r="Z676" s="1302"/>
    </row>
    <row r="677" spans="1:26" ht="18.75" hidden="1">
      <c r="A677" s="1326"/>
      <c r="B677" s="1327"/>
      <c r="C677" s="1327"/>
      <c r="D677" s="1327"/>
      <c r="E677" s="1014"/>
      <c r="F677" s="1014" t="s">
        <v>289</v>
      </c>
      <c r="G677" s="1007"/>
      <c r="H677" s="762" t="s">
        <v>46</v>
      </c>
      <c r="I677" s="880"/>
      <c r="J677" s="1012">
        <v>0</v>
      </c>
      <c r="K677" s="881"/>
      <c r="L677" s="998"/>
      <c r="M677" s="998"/>
      <c r="N677" s="998"/>
      <c r="O677" s="998"/>
      <c r="P677" s="998"/>
      <c r="Q677" s="1302"/>
      <c r="R677" s="1302"/>
      <c r="S677" s="1302"/>
      <c r="T677" s="1302"/>
      <c r="U677" s="1302"/>
      <c r="V677" s="1302"/>
      <c r="W677" s="1302"/>
      <c r="X677" s="1302"/>
      <c r="Y677" s="1302"/>
      <c r="Z677" s="1302"/>
    </row>
    <row r="678" spans="1:26" ht="19.5" hidden="1">
      <c r="A678" s="1326"/>
      <c r="B678" s="1327"/>
      <c r="C678" s="1327"/>
      <c r="D678" s="1327" t="s">
        <v>290</v>
      </c>
      <c r="E678" s="1014"/>
      <c r="F678" s="1014"/>
      <c r="G678" s="1007"/>
      <c r="H678" s="762" t="s">
        <v>46</v>
      </c>
      <c r="I678" s="1019">
        <f ca="1">IFERROR(__xludf.DUMMYFUNCTION("IMPORTRANGE(""https://docs.google.com/spreadsheets/d/1QqKyyYR6Q21VydFLVH3TRQUabQu_ym0Zz7PgGX0-kHA/edit?usp=sharing"",""แผน!IB75"")"),0)</f>
        <v>0</v>
      </c>
      <c r="J678" s="1019">
        <f>J679</f>
        <v>0</v>
      </c>
      <c r="K678" s="1020">
        <f ca="1">IF(I678&gt;0,J678*100/I678,0)</f>
        <v>0</v>
      </c>
      <c r="L678" s="998"/>
      <c r="M678" s="998"/>
      <c r="N678" s="998"/>
      <c r="O678" s="998"/>
      <c r="P678" s="998"/>
      <c r="Q678" s="1302"/>
      <c r="R678" s="1302"/>
      <c r="S678" s="1302"/>
      <c r="T678" s="1302"/>
      <c r="U678" s="1302"/>
      <c r="V678" s="1302"/>
      <c r="W678" s="1302"/>
      <c r="X678" s="1302"/>
      <c r="Y678" s="1302"/>
      <c r="Z678" s="1302"/>
    </row>
    <row r="679" spans="1:26" ht="18.75" hidden="1">
      <c r="A679" s="1326"/>
      <c r="B679" s="1327"/>
      <c r="C679" s="1327"/>
      <c r="D679" s="1327"/>
      <c r="E679" s="1014" t="s">
        <v>291</v>
      </c>
      <c r="F679" s="1014"/>
      <c r="G679" s="1007"/>
      <c r="H679" s="762" t="s">
        <v>46</v>
      </c>
      <c r="I679" s="880"/>
      <c r="J679" s="880">
        <f>J680+J681</f>
        <v>0</v>
      </c>
      <c r="K679" s="881"/>
      <c r="L679" s="998"/>
      <c r="M679" s="998"/>
      <c r="N679" s="998"/>
      <c r="O679" s="998"/>
      <c r="P679" s="998"/>
      <c r="Q679" s="1302"/>
      <c r="R679" s="1302"/>
      <c r="S679" s="1302"/>
      <c r="T679" s="1302"/>
      <c r="U679" s="1302"/>
      <c r="V679" s="1302"/>
      <c r="W679" s="1302"/>
      <c r="X679" s="1302"/>
      <c r="Y679" s="1302"/>
      <c r="Z679" s="1302"/>
    </row>
    <row r="680" spans="1:26" ht="18.75" hidden="1">
      <c r="A680" s="1326"/>
      <c r="B680" s="1327"/>
      <c r="C680" s="1327"/>
      <c r="D680" s="1327"/>
      <c r="E680" s="1014"/>
      <c r="F680" s="1014" t="s">
        <v>288</v>
      </c>
      <c r="G680" s="1007"/>
      <c r="H680" s="762" t="s">
        <v>46</v>
      </c>
      <c r="I680" s="880"/>
      <c r="J680" s="1012">
        <v>0</v>
      </c>
      <c r="K680" s="881"/>
      <c r="L680" s="998"/>
      <c r="M680" s="998"/>
      <c r="N680" s="998"/>
      <c r="O680" s="998"/>
      <c r="P680" s="998"/>
      <c r="Q680" s="1302"/>
      <c r="R680" s="1302"/>
      <c r="S680" s="1302"/>
      <c r="T680" s="1302"/>
      <c r="U680" s="1302"/>
      <c r="V680" s="1302"/>
      <c r="W680" s="1302"/>
      <c r="X680" s="1302"/>
      <c r="Y680" s="1302"/>
      <c r="Z680" s="1302"/>
    </row>
    <row r="681" spans="1:26" ht="18.75" hidden="1">
      <c r="A681" s="1326"/>
      <c r="B681" s="1327"/>
      <c r="C681" s="1327"/>
      <c r="D681" s="1327"/>
      <c r="E681" s="1014"/>
      <c r="F681" s="1014" t="s">
        <v>289</v>
      </c>
      <c r="G681" s="1007"/>
      <c r="H681" s="762" t="s">
        <v>46</v>
      </c>
      <c r="I681" s="880"/>
      <c r="J681" s="1012">
        <v>0</v>
      </c>
      <c r="K681" s="881"/>
      <c r="L681" s="998"/>
      <c r="M681" s="998"/>
      <c r="N681" s="998"/>
      <c r="O681" s="998"/>
      <c r="P681" s="998"/>
      <c r="Q681" s="1302"/>
      <c r="R681" s="1302"/>
      <c r="S681" s="1302"/>
      <c r="T681" s="1302"/>
      <c r="U681" s="1302"/>
      <c r="V681" s="1302"/>
      <c r="W681" s="1302"/>
      <c r="X681" s="1302"/>
      <c r="Y681" s="1302"/>
      <c r="Z681" s="1302"/>
    </row>
    <row r="682" spans="1:26" ht="18.75" hidden="1">
      <c r="A682" s="1326"/>
      <c r="B682" s="1327"/>
      <c r="C682" s="1327"/>
      <c r="D682" s="1327"/>
      <c r="E682" s="1014" t="s">
        <v>292</v>
      </c>
      <c r="F682" s="1014"/>
      <c r="G682" s="1007"/>
      <c r="H682" s="762" t="s">
        <v>46</v>
      </c>
      <c r="I682" s="880"/>
      <c r="J682" s="1012">
        <v>0</v>
      </c>
      <c r="K682" s="881"/>
      <c r="L682" s="998"/>
      <c r="M682" s="998"/>
      <c r="N682" s="998"/>
      <c r="O682" s="998"/>
      <c r="P682" s="998"/>
      <c r="Q682" s="1302"/>
      <c r="R682" s="1302"/>
      <c r="S682" s="1302"/>
      <c r="T682" s="1302"/>
      <c r="U682" s="1302"/>
      <c r="V682" s="1302"/>
      <c r="W682" s="1302"/>
      <c r="X682" s="1302"/>
      <c r="Y682" s="1302"/>
      <c r="Z682" s="1302"/>
    </row>
    <row r="683" spans="1:26" ht="18.75" hidden="1">
      <c r="A683" s="1326"/>
      <c r="B683" s="1327"/>
      <c r="C683" s="1327"/>
      <c r="D683" s="1327"/>
      <c r="E683" s="1014"/>
      <c r="F683" s="1014" t="s">
        <v>293</v>
      </c>
      <c r="G683" s="1007"/>
      <c r="H683" s="762" t="s">
        <v>46</v>
      </c>
      <c r="I683" s="880"/>
      <c r="J683" s="1012">
        <v>0</v>
      </c>
      <c r="K683" s="881"/>
      <c r="L683" s="998"/>
      <c r="M683" s="998"/>
      <c r="N683" s="998"/>
      <c r="O683" s="998"/>
      <c r="P683" s="998"/>
      <c r="Q683" s="1302"/>
      <c r="R683" s="1302"/>
      <c r="S683" s="1302"/>
      <c r="T683" s="1302"/>
      <c r="U683" s="1302"/>
      <c r="V683" s="1302"/>
      <c r="W683" s="1302"/>
      <c r="X683" s="1302"/>
      <c r="Y683" s="1302"/>
      <c r="Z683" s="1302"/>
    </row>
    <row r="684" spans="1:26" ht="19.5" hidden="1">
      <c r="A684" s="1434"/>
      <c r="B684" s="1435" t="s">
        <v>294</v>
      </c>
      <c r="C684" s="1434"/>
      <c r="D684" s="1434"/>
      <c r="E684" s="1434"/>
      <c r="F684" s="1434"/>
      <c r="G684" s="1436"/>
      <c r="H684" s="1436"/>
      <c r="I684" s="1437"/>
      <c r="J684" s="1437"/>
      <c r="K684" s="1438"/>
      <c r="L684" s="1438"/>
      <c r="M684" s="1438"/>
      <c r="N684" s="1438"/>
      <c r="O684" s="1438"/>
      <c r="P684" s="1438"/>
      <c r="Q684" s="1302"/>
      <c r="R684" s="1302"/>
      <c r="S684" s="1302"/>
      <c r="T684" s="1302"/>
      <c r="U684" s="1302"/>
      <c r="V684" s="1302"/>
      <c r="W684" s="1302"/>
      <c r="X684" s="1302"/>
      <c r="Y684" s="1302"/>
      <c r="Z684" s="1302"/>
    </row>
    <row r="685" spans="1:26" ht="19.5" hidden="1">
      <c r="A685" s="1317"/>
      <c r="B685" s="1301"/>
      <c r="C685" s="1301" t="s">
        <v>16</v>
      </c>
      <c r="D685" s="1318" t="s">
        <v>17</v>
      </c>
      <c r="E685" s="841"/>
      <c r="F685" s="841"/>
      <c r="G685" s="1016"/>
      <c r="H685" s="597" t="s">
        <v>12</v>
      </c>
      <c r="I685" s="880"/>
      <c r="J685" s="880"/>
      <c r="K685" s="881"/>
      <c r="L685" s="1020">
        <f t="shared" ref="L685:N685" ca="1" si="282">L686+L687</f>
        <v>0</v>
      </c>
      <c r="M685" s="1020">
        <f t="shared" si="282"/>
        <v>0</v>
      </c>
      <c r="N685" s="1020">
        <f t="shared" si="282"/>
        <v>0</v>
      </c>
      <c r="O685" s="1020">
        <f t="shared" ref="O685:O688" ca="1" si="283">IF(L685&gt;0,N685*100/L685,0)</f>
        <v>0</v>
      </c>
      <c r="P685" s="1020">
        <f t="shared" ref="P685:P688" si="284">IF(M685&gt;0,N685*100/M685,0)</f>
        <v>0</v>
      </c>
      <c r="Q685" s="1302"/>
      <c r="R685" s="1302"/>
      <c r="S685" s="1302"/>
      <c r="T685" s="1302"/>
      <c r="U685" s="1302"/>
      <c r="V685" s="1302"/>
      <c r="W685" s="1302"/>
      <c r="X685" s="1302"/>
      <c r="Y685" s="1302"/>
      <c r="Z685" s="1302"/>
    </row>
    <row r="686" spans="1:26" ht="18.75" hidden="1">
      <c r="A686" s="1319"/>
      <c r="B686" s="1320"/>
      <c r="C686" s="1320"/>
      <c r="D686" s="1321"/>
      <c r="E686" s="1320" t="s">
        <v>185</v>
      </c>
      <c r="F686" s="1320"/>
      <c r="G686" s="1322"/>
      <c r="H686" s="165" t="s">
        <v>12</v>
      </c>
      <c r="I686" s="886"/>
      <c r="J686" s="886"/>
      <c r="K686" s="887"/>
      <c r="L686" s="887">
        <f t="shared" ref="L686:N687" si="285">L689+L696</f>
        <v>0</v>
      </c>
      <c r="M686" s="887">
        <f t="shared" si="285"/>
        <v>0</v>
      </c>
      <c r="N686" s="887">
        <f t="shared" si="285"/>
        <v>0</v>
      </c>
      <c r="O686" s="887">
        <f t="shared" si="283"/>
        <v>0</v>
      </c>
      <c r="P686" s="887">
        <f t="shared" si="284"/>
        <v>0</v>
      </c>
      <c r="Q686" s="1323"/>
      <c r="R686" s="1323"/>
      <c r="S686" s="1323"/>
      <c r="T686" s="1323"/>
      <c r="U686" s="1323"/>
      <c r="V686" s="1323"/>
      <c r="W686" s="1323"/>
      <c r="X686" s="1323"/>
      <c r="Y686" s="1323"/>
      <c r="Z686" s="1323"/>
    </row>
    <row r="687" spans="1:26" ht="18.75" hidden="1">
      <c r="A687" s="1319"/>
      <c r="B687" s="1324"/>
      <c r="C687" s="1320"/>
      <c r="D687" s="1321"/>
      <c r="E687" s="1320" t="s">
        <v>186</v>
      </c>
      <c r="F687" s="1320"/>
      <c r="G687" s="1322"/>
      <c r="H687" s="165" t="s">
        <v>12</v>
      </c>
      <c r="I687" s="886"/>
      <c r="J687" s="886"/>
      <c r="K687" s="887"/>
      <c r="L687" s="887">
        <f t="shared" ca="1" si="285"/>
        <v>0</v>
      </c>
      <c r="M687" s="887">
        <f t="shared" si="285"/>
        <v>0</v>
      </c>
      <c r="N687" s="887">
        <f t="shared" si="285"/>
        <v>0</v>
      </c>
      <c r="O687" s="887">
        <f t="shared" ca="1" si="283"/>
        <v>0</v>
      </c>
      <c r="P687" s="887">
        <f t="shared" si="284"/>
        <v>0</v>
      </c>
      <c r="Q687" s="1323"/>
      <c r="R687" s="1323"/>
      <c r="S687" s="1323"/>
      <c r="T687" s="1323"/>
      <c r="U687" s="1323"/>
      <c r="V687" s="1323"/>
      <c r="W687" s="1323"/>
      <c r="X687" s="1323"/>
      <c r="Y687" s="1323"/>
      <c r="Z687" s="1323"/>
    </row>
    <row r="688" spans="1:26" ht="18.75" hidden="1">
      <c r="A688" s="1317"/>
      <c r="B688" s="1300"/>
      <c r="C688" s="1301"/>
      <c r="D688" s="1325" t="s">
        <v>20</v>
      </c>
      <c r="E688" s="1301"/>
      <c r="F688" s="1301"/>
      <c r="G688" s="1016"/>
      <c r="H688" s="161" t="s">
        <v>12</v>
      </c>
      <c r="I688" s="997"/>
      <c r="J688" s="997"/>
      <c r="K688" s="998"/>
      <c r="L688" s="881">
        <f t="shared" ref="L688:N688" ca="1" si="286">L689+L690</f>
        <v>0</v>
      </c>
      <c r="M688" s="881">
        <f t="shared" si="286"/>
        <v>0</v>
      </c>
      <c r="N688" s="881">
        <f t="shared" si="286"/>
        <v>0</v>
      </c>
      <c r="O688" s="881">
        <f t="shared" ca="1" si="283"/>
        <v>0</v>
      </c>
      <c r="P688" s="881">
        <f t="shared" si="284"/>
        <v>0</v>
      </c>
      <c r="Q688" s="1302"/>
      <c r="R688" s="1302"/>
      <c r="S688" s="1302"/>
      <c r="T688" s="1302"/>
      <c r="U688" s="1302"/>
      <c r="V688" s="1302"/>
      <c r="W688" s="1302"/>
      <c r="X688" s="1302"/>
      <c r="Y688" s="1302"/>
      <c r="Z688" s="1302"/>
    </row>
    <row r="689" spans="1:26" ht="18.75" hidden="1">
      <c r="A689" s="1319"/>
      <c r="B689" s="1324"/>
      <c r="C689" s="1320"/>
      <c r="D689" s="1321"/>
      <c r="E689" s="1320" t="s">
        <v>185</v>
      </c>
      <c r="F689" s="1320"/>
      <c r="G689" s="1322"/>
      <c r="H689" s="165" t="s">
        <v>12</v>
      </c>
      <c r="I689" s="886"/>
      <c r="J689" s="886"/>
      <c r="K689" s="887"/>
      <c r="L689" s="887">
        <v>0</v>
      </c>
      <c r="M689" s="887">
        <v>0</v>
      </c>
      <c r="N689" s="887">
        <v>0</v>
      </c>
      <c r="O689" s="887"/>
      <c r="P689" s="887"/>
      <c r="Q689" s="1323"/>
      <c r="R689" s="1323"/>
      <c r="S689" s="1323"/>
      <c r="T689" s="1323"/>
      <c r="U689" s="1323"/>
      <c r="V689" s="1323"/>
      <c r="W689" s="1323"/>
      <c r="X689" s="1323"/>
      <c r="Y689" s="1323"/>
      <c r="Z689" s="1323"/>
    </row>
    <row r="690" spans="1:26" ht="18.75" hidden="1">
      <c r="A690" s="1319"/>
      <c r="B690" s="1324"/>
      <c r="C690" s="1320"/>
      <c r="D690" s="1321"/>
      <c r="E690" s="1320" t="s">
        <v>186</v>
      </c>
      <c r="F690" s="1320"/>
      <c r="G690" s="1322"/>
      <c r="H690" s="165" t="s">
        <v>12</v>
      </c>
      <c r="I690" s="886"/>
      <c r="J690" s="886"/>
      <c r="K690" s="887"/>
      <c r="L690" s="887">
        <f ca="1">IFERROR(__xludf.DUMMYFUNCTION("IMPORTRANGE(""https://docs.google.com/spreadsheets/d/1QqKyyYR6Q21VydFLVH3TRQUabQu_ym0Zz7PgGX0-kHA/edit?usp=sharing"",""แผน!HW75"")"),0)</f>
        <v>0</v>
      </c>
      <c r="M690" s="887">
        <v>0</v>
      </c>
      <c r="N690" s="887">
        <f>N691+N692+N693+N694</f>
        <v>0</v>
      </c>
      <c r="O690" s="887">
        <f ca="1">IF(L690&gt;0,N690*100/L690,0)</f>
        <v>0</v>
      </c>
      <c r="P690" s="887">
        <f>IF(M690&gt;0,N690*100/M690,0)</f>
        <v>0</v>
      </c>
      <c r="Q690" s="1323"/>
      <c r="R690" s="1323"/>
      <c r="S690" s="1323"/>
      <c r="T690" s="1323"/>
      <c r="U690" s="1323"/>
      <c r="V690" s="1323"/>
      <c r="W690" s="1323"/>
      <c r="X690" s="1323"/>
      <c r="Y690" s="1323"/>
      <c r="Z690" s="1323"/>
    </row>
    <row r="691" spans="1:26" ht="18.75" hidden="1">
      <c r="A691" s="1299"/>
      <c r="B691" s="1300"/>
      <c r="C691" s="1301"/>
      <c r="D691" s="1301"/>
      <c r="E691" s="1301"/>
      <c r="F691" s="1301" t="s">
        <v>187</v>
      </c>
      <c r="G691" s="1016"/>
      <c r="H691" s="161" t="s">
        <v>12</v>
      </c>
      <c r="I691" s="880"/>
      <c r="J691" s="880"/>
      <c r="K691" s="881"/>
      <c r="L691" s="881"/>
      <c r="M691" s="881"/>
      <c r="N691" s="1085">
        <v>0</v>
      </c>
      <c r="O691" s="881"/>
      <c r="P691" s="881"/>
      <c r="Q691" s="1302"/>
      <c r="R691" s="1302"/>
      <c r="S691" s="1302"/>
      <c r="T691" s="1302"/>
      <c r="U691" s="1302"/>
      <c r="V691" s="1302"/>
      <c r="W691" s="1302"/>
      <c r="X691" s="1302"/>
      <c r="Y691" s="1302"/>
      <c r="Z691" s="1302"/>
    </row>
    <row r="692" spans="1:26" ht="18.75" hidden="1">
      <c r="A692" s="1299"/>
      <c r="B692" s="1300"/>
      <c r="C692" s="1301"/>
      <c r="D692" s="1301"/>
      <c r="E692" s="1301"/>
      <c r="F692" s="1301" t="s">
        <v>188</v>
      </c>
      <c r="G692" s="1016"/>
      <c r="H692" s="161" t="s">
        <v>12</v>
      </c>
      <c r="I692" s="880"/>
      <c r="J692" s="880"/>
      <c r="K692" s="881"/>
      <c r="L692" s="881"/>
      <c r="M692" s="881"/>
      <c r="N692" s="1085">
        <v>0</v>
      </c>
      <c r="O692" s="881"/>
      <c r="P692" s="881"/>
      <c r="Q692" s="1302"/>
      <c r="R692" s="1302"/>
      <c r="S692" s="1302"/>
      <c r="T692" s="1302"/>
      <c r="U692" s="1302"/>
      <c r="V692" s="1302"/>
      <c r="W692" s="1302"/>
      <c r="X692" s="1302"/>
      <c r="Y692" s="1302"/>
      <c r="Z692" s="1302"/>
    </row>
    <row r="693" spans="1:26" ht="18.75" hidden="1">
      <c r="A693" s="1299"/>
      <c r="B693" s="1300"/>
      <c r="C693" s="1301"/>
      <c r="D693" s="1301"/>
      <c r="E693" s="1301"/>
      <c r="F693" s="1301" t="s">
        <v>189</v>
      </c>
      <c r="G693" s="1016"/>
      <c r="H693" s="161" t="s">
        <v>12</v>
      </c>
      <c r="I693" s="880"/>
      <c r="J693" s="880"/>
      <c r="K693" s="881"/>
      <c r="L693" s="881"/>
      <c r="M693" s="881"/>
      <c r="N693" s="1085">
        <v>0</v>
      </c>
      <c r="O693" s="881"/>
      <c r="P693" s="881"/>
      <c r="Q693" s="1302"/>
      <c r="R693" s="1302"/>
      <c r="S693" s="1302"/>
      <c r="T693" s="1302"/>
      <c r="U693" s="1302"/>
      <c r="V693" s="1302"/>
      <c r="W693" s="1302"/>
      <c r="X693" s="1302"/>
      <c r="Y693" s="1302"/>
      <c r="Z693" s="1302"/>
    </row>
    <row r="694" spans="1:26" ht="18.75" hidden="1">
      <c r="A694" s="1299"/>
      <c r="B694" s="1300"/>
      <c r="C694" s="1301"/>
      <c r="D694" s="1301"/>
      <c r="E694" s="1301"/>
      <c r="F694" s="1301" t="s">
        <v>190</v>
      </c>
      <c r="G694" s="1016"/>
      <c r="H694" s="161" t="s">
        <v>12</v>
      </c>
      <c r="I694" s="880"/>
      <c r="J694" s="880"/>
      <c r="K694" s="881"/>
      <c r="L694" s="881"/>
      <c r="M694" s="881"/>
      <c r="N694" s="1085">
        <v>0</v>
      </c>
      <c r="O694" s="881"/>
      <c r="P694" s="881"/>
      <c r="Q694" s="1302"/>
      <c r="R694" s="1302"/>
      <c r="S694" s="1302"/>
      <c r="T694" s="1302"/>
      <c r="U694" s="1302"/>
      <c r="V694" s="1302"/>
      <c r="W694" s="1302"/>
      <c r="X694" s="1302"/>
      <c r="Y694" s="1302"/>
      <c r="Z694" s="1302"/>
    </row>
    <row r="695" spans="1:26" ht="18.75" hidden="1">
      <c r="A695" s="1317"/>
      <c r="B695" s="1300"/>
      <c r="C695" s="1301"/>
      <c r="D695" s="1325" t="s">
        <v>21</v>
      </c>
      <c r="E695" s="1301"/>
      <c r="F695" s="1301"/>
      <c r="G695" s="1016"/>
      <c r="H695" s="168" t="s">
        <v>12</v>
      </c>
      <c r="I695" s="997"/>
      <c r="J695" s="997"/>
      <c r="K695" s="998"/>
      <c r="L695" s="881">
        <f t="shared" ref="L695:N695" si="287">L696+L697</f>
        <v>0</v>
      </c>
      <c r="M695" s="881">
        <f t="shared" si="287"/>
        <v>0</v>
      </c>
      <c r="N695" s="881">
        <f t="shared" si="287"/>
        <v>0</v>
      </c>
      <c r="O695" s="881">
        <f t="shared" ref="O695:O697" si="288">IF(L695&gt;0,N695*100/L695,0)</f>
        <v>0</v>
      </c>
      <c r="P695" s="881">
        <f t="shared" ref="P695:P697" si="289">IF(M695&gt;0,N695*100/M695,0)</f>
        <v>0</v>
      </c>
      <c r="Q695" s="1302"/>
      <c r="R695" s="1302"/>
      <c r="S695" s="1302"/>
      <c r="T695" s="1302"/>
      <c r="U695" s="1302"/>
      <c r="V695" s="1302"/>
      <c r="W695" s="1302"/>
      <c r="X695" s="1302"/>
      <c r="Y695" s="1302"/>
      <c r="Z695" s="1302"/>
    </row>
    <row r="696" spans="1:26" ht="18.75" hidden="1">
      <c r="A696" s="1319"/>
      <c r="B696" s="1324"/>
      <c r="C696" s="1320"/>
      <c r="D696" s="1320"/>
      <c r="E696" s="1320" t="s">
        <v>18</v>
      </c>
      <c r="F696" s="1320"/>
      <c r="G696" s="1322"/>
      <c r="H696" s="165" t="s">
        <v>12</v>
      </c>
      <c r="I696" s="1000"/>
      <c r="J696" s="1000"/>
      <c r="K696" s="1001"/>
      <c r="L696" s="887">
        <v>0</v>
      </c>
      <c r="M696" s="887">
        <v>0</v>
      </c>
      <c r="N696" s="887">
        <v>0</v>
      </c>
      <c r="O696" s="887">
        <f t="shared" si="288"/>
        <v>0</v>
      </c>
      <c r="P696" s="887">
        <f t="shared" si="289"/>
        <v>0</v>
      </c>
      <c r="Q696" s="1323"/>
      <c r="R696" s="1323"/>
      <c r="S696" s="1323"/>
      <c r="T696" s="1323"/>
      <c r="U696" s="1323"/>
      <c r="V696" s="1323"/>
      <c r="W696" s="1323"/>
      <c r="X696" s="1323"/>
      <c r="Y696" s="1323"/>
      <c r="Z696" s="1323"/>
    </row>
    <row r="697" spans="1:26" ht="18.75" hidden="1">
      <c r="A697" s="1319"/>
      <c r="B697" s="1324"/>
      <c r="C697" s="1320"/>
      <c r="D697" s="1320"/>
      <c r="E697" s="1320" t="s">
        <v>19</v>
      </c>
      <c r="F697" s="1320"/>
      <c r="G697" s="1322"/>
      <c r="H697" s="169" t="s">
        <v>12</v>
      </c>
      <c r="I697" s="1000"/>
      <c r="J697" s="1000"/>
      <c r="K697" s="1001"/>
      <c r="L697" s="887">
        <v>0</v>
      </c>
      <c r="M697" s="887">
        <v>0</v>
      </c>
      <c r="N697" s="887">
        <v>0</v>
      </c>
      <c r="O697" s="887">
        <f t="shared" si="288"/>
        <v>0</v>
      </c>
      <c r="P697" s="887">
        <f t="shared" si="289"/>
        <v>0</v>
      </c>
      <c r="Q697" s="1323"/>
      <c r="R697" s="1323"/>
      <c r="S697" s="1323"/>
      <c r="T697" s="1323"/>
      <c r="U697" s="1323"/>
      <c r="V697" s="1323"/>
      <c r="W697" s="1323"/>
      <c r="X697" s="1323"/>
      <c r="Y697" s="1323"/>
      <c r="Z697" s="1323"/>
    </row>
    <row r="698" spans="1:26" ht="19.5" hidden="1">
      <c r="A698" s="1326"/>
      <c r="B698" s="1327"/>
      <c r="C698" s="1301" t="s">
        <v>16</v>
      </c>
      <c r="D698" s="1439" t="s">
        <v>38</v>
      </c>
      <c r="E698" s="1330"/>
      <c r="F698" s="1330"/>
      <c r="G698" s="1331"/>
      <c r="H698" s="1007"/>
      <c r="I698" s="997"/>
      <c r="J698" s="997"/>
      <c r="K698" s="998"/>
      <c r="L698" s="998"/>
      <c r="M698" s="998"/>
      <c r="N698" s="998"/>
      <c r="O698" s="998"/>
      <c r="P698" s="998"/>
      <c r="Q698" s="1302"/>
      <c r="R698" s="1302"/>
      <c r="S698" s="1302"/>
      <c r="T698" s="1302"/>
      <c r="U698" s="1302"/>
      <c r="V698" s="1302"/>
      <c r="W698" s="1302"/>
      <c r="X698" s="1302"/>
      <c r="Y698" s="1302"/>
      <c r="Z698" s="1302"/>
    </row>
    <row r="699" spans="1:26" ht="18.75" hidden="1">
      <c r="A699" s="1429"/>
      <c r="B699" s="1301"/>
      <c r="C699" s="1301"/>
      <c r="D699" s="1301" t="s">
        <v>295</v>
      </c>
      <c r="E699" s="1301"/>
      <c r="F699" s="1301"/>
      <c r="G699" s="1016"/>
      <c r="H699" s="762" t="s">
        <v>46</v>
      </c>
      <c r="I699" s="1440">
        <f ca="1">IFERROR(__xludf.DUMMYFUNCTION("IMPORTRANGE(""https://docs.google.com/spreadsheets/d/1QqKyyYR6Q21VydFLVH3TRQUabQu_ym0Zz7PgGX0-kHA/edit?usp=sharing"",""แผน!IC75"")"),0)</f>
        <v>0</v>
      </c>
      <c r="J699" s="880">
        <f ca="1">IFERROR(__xludf.DUMMYFUNCTION("IMPORTRANGE(""https://docs.google.com/spreadsheets/d/1XWAQStnk-4SwqDmLtmXYiTMKHgktTP8We1SCoS47DrQ/edit?usp=sharing"",""จัดที่ดิน!BB75"")"),0)</f>
        <v>0</v>
      </c>
      <c r="K699" s="881">
        <f t="shared" ref="K699:K701" ca="1" si="290">IF(I699&gt;0,J699*100/I699,0)</f>
        <v>0</v>
      </c>
      <c r="L699" s="881"/>
      <c r="M699" s="1016"/>
      <c r="N699" s="1441"/>
      <c r="O699" s="881"/>
      <c r="P699" s="881"/>
      <c r="Q699" s="1302"/>
      <c r="R699" s="1302"/>
      <c r="S699" s="1302"/>
      <c r="T699" s="1302"/>
      <c r="U699" s="1302"/>
      <c r="V699" s="1302"/>
      <c r="W699" s="1302"/>
      <c r="X699" s="1302"/>
      <c r="Y699" s="1302"/>
      <c r="Z699" s="1302"/>
    </row>
    <row r="700" spans="1:26" ht="18.75" hidden="1">
      <c r="A700" s="1429"/>
      <c r="B700" s="1301"/>
      <c r="C700" s="1301"/>
      <c r="D700" s="1301" t="s">
        <v>296</v>
      </c>
      <c r="E700" s="1301"/>
      <c r="F700" s="1301"/>
      <c r="G700" s="1016"/>
      <c r="H700" s="762" t="s">
        <v>35</v>
      </c>
      <c r="I700" s="1440">
        <f ca="1">IFERROR(__xludf.DUMMYFUNCTION("IMPORTRANGE(""https://docs.google.com/spreadsheets/d/1QqKyyYR6Q21VydFLVH3TRQUabQu_ym0Zz7PgGX0-kHA/edit?usp=sharing"",""แผน!ID75"")"),0)</f>
        <v>0</v>
      </c>
      <c r="J700" s="880">
        <f ca="1">IFERROR(__xludf.DUMMYFUNCTION("IMPORTRANGE(""https://docs.google.com/spreadsheets/d/1XWAQStnk-4SwqDmLtmXYiTMKHgktTP8We1SCoS47DrQ/edit?usp=sharing"",""จัดที่ดิน!BD75"")"),0)</f>
        <v>0</v>
      </c>
      <c r="K700" s="881">
        <f t="shared" ca="1" si="290"/>
        <v>0</v>
      </c>
      <c r="L700" s="881"/>
      <c r="M700" s="1016"/>
      <c r="N700" s="1441"/>
      <c r="O700" s="881"/>
      <c r="P700" s="881"/>
      <c r="Q700" s="1302"/>
      <c r="R700" s="1302"/>
      <c r="S700" s="1302"/>
      <c r="T700" s="1302"/>
      <c r="U700" s="1302"/>
      <c r="V700" s="1302"/>
      <c r="W700" s="1302"/>
      <c r="X700" s="1302"/>
      <c r="Y700" s="1302"/>
      <c r="Z700" s="1302"/>
    </row>
    <row r="701" spans="1:26" ht="19.5" hidden="1">
      <c r="A701" s="1429"/>
      <c r="B701" s="1301"/>
      <c r="C701" s="1301"/>
      <c r="D701" s="1301" t="s">
        <v>297</v>
      </c>
      <c r="E701" s="1301"/>
      <c r="F701" s="1301"/>
      <c r="G701" s="1016"/>
      <c r="H701" s="765" t="s">
        <v>46</v>
      </c>
      <c r="I701" s="1442">
        <f ca="1">IFERROR(__xludf.DUMMYFUNCTION("IMPORTRANGE(""https://docs.google.com/spreadsheets/d/1QqKyyYR6Q21VydFLVH3TRQUabQu_ym0Zz7PgGX0-kHA/edit?usp=sharing"",""แผน!IE75"")"),0)</f>
        <v>0</v>
      </c>
      <c r="J701" s="1019">
        <f>J704+J707</f>
        <v>0</v>
      </c>
      <c r="K701" s="1020">
        <f t="shared" ca="1" si="290"/>
        <v>0</v>
      </c>
      <c r="L701" s="881"/>
      <c r="M701" s="1016"/>
      <c r="N701" s="1441"/>
      <c r="O701" s="881"/>
      <c r="P701" s="881"/>
      <c r="Q701" s="1302"/>
      <c r="R701" s="1302"/>
      <c r="S701" s="1302"/>
      <c r="T701" s="1302"/>
      <c r="U701" s="1302"/>
      <c r="V701" s="1302"/>
      <c r="W701" s="1302"/>
      <c r="X701" s="1302"/>
      <c r="Y701" s="1302"/>
      <c r="Z701" s="1302"/>
    </row>
    <row r="702" spans="1:26" ht="18.75" hidden="1">
      <c r="A702" s="1429"/>
      <c r="B702" s="1301"/>
      <c r="C702" s="1301"/>
      <c r="D702" s="1301"/>
      <c r="E702" s="1301" t="s">
        <v>298</v>
      </c>
      <c r="F702" s="1301"/>
      <c r="G702" s="1016"/>
      <c r="H702" s="762" t="s">
        <v>35</v>
      </c>
      <c r="I702" s="1440"/>
      <c r="J702" s="1012">
        <v>0</v>
      </c>
      <c r="K702" s="881"/>
      <c r="L702" s="881"/>
      <c r="M702" s="1016"/>
      <c r="N702" s="1441"/>
      <c r="O702" s="881"/>
      <c r="P702" s="881"/>
      <c r="Q702" s="1302"/>
      <c r="R702" s="1302"/>
      <c r="S702" s="1302"/>
      <c r="T702" s="1302"/>
      <c r="U702" s="1302"/>
      <c r="V702" s="1302"/>
      <c r="W702" s="1302"/>
      <c r="X702" s="1302"/>
      <c r="Y702" s="1302"/>
      <c r="Z702" s="1302"/>
    </row>
    <row r="703" spans="1:26" ht="18.75" hidden="1">
      <c r="A703" s="1429"/>
      <c r="B703" s="1301"/>
      <c r="C703" s="1301"/>
      <c r="D703" s="1301"/>
      <c r="E703" s="1301"/>
      <c r="F703" s="1301"/>
      <c r="G703" s="1016"/>
      <c r="H703" s="762" t="s">
        <v>34</v>
      </c>
      <c r="I703" s="1440"/>
      <c r="J703" s="1012">
        <v>0</v>
      </c>
      <c r="K703" s="881"/>
      <c r="L703" s="881"/>
      <c r="M703" s="1016"/>
      <c r="N703" s="1441"/>
      <c r="O703" s="881"/>
      <c r="P703" s="881"/>
      <c r="Q703" s="1302"/>
      <c r="R703" s="1302"/>
      <c r="S703" s="1302"/>
      <c r="T703" s="1302"/>
      <c r="U703" s="1302"/>
      <c r="V703" s="1302"/>
      <c r="W703" s="1302"/>
      <c r="X703" s="1302"/>
      <c r="Y703" s="1302"/>
      <c r="Z703" s="1302"/>
    </row>
    <row r="704" spans="1:26" ht="18.75" hidden="1">
      <c r="A704" s="1429"/>
      <c r="B704" s="1301"/>
      <c r="C704" s="1301"/>
      <c r="D704" s="1301"/>
      <c r="E704" s="1301"/>
      <c r="F704" s="1301"/>
      <c r="G704" s="1016"/>
      <c r="H704" s="762" t="s">
        <v>46</v>
      </c>
      <c r="I704" s="1440">
        <f ca="1">IFERROR(__xludf.DUMMYFUNCTION("IMPORTRANGE(""https://docs.google.com/spreadsheets/d/1QqKyyYR6Q21VydFLVH3TRQUabQu_ym0Zz7PgGX0-kHA/edit?usp=sharing"",""แผน!IF75"")"),0)</f>
        <v>0</v>
      </c>
      <c r="J704" s="1012">
        <v>0</v>
      </c>
      <c r="K704" s="881"/>
      <c r="L704" s="881"/>
      <c r="M704" s="1016"/>
      <c r="N704" s="1441"/>
      <c r="O704" s="881"/>
      <c r="P704" s="881"/>
      <c r="Q704" s="1302"/>
      <c r="R704" s="1302"/>
      <c r="S704" s="1302"/>
      <c r="T704" s="1302"/>
      <c r="U704" s="1302"/>
      <c r="V704" s="1302"/>
      <c r="W704" s="1302"/>
      <c r="X704" s="1302"/>
      <c r="Y704" s="1302"/>
      <c r="Z704" s="1302"/>
    </row>
    <row r="705" spans="1:26" ht="18.75" hidden="1">
      <c r="A705" s="1429"/>
      <c r="B705" s="1301"/>
      <c r="C705" s="1301"/>
      <c r="D705" s="1301"/>
      <c r="E705" s="1301" t="s">
        <v>299</v>
      </c>
      <c r="F705" s="1301"/>
      <c r="G705" s="1016"/>
      <c r="H705" s="762" t="s">
        <v>35</v>
      </c>
      <c r="I705" s="1440"/>
      <c r="J705" s="1012">
        <v>0</v>
      </c>
      <c r="K705" s="881"/>
      <c r="L705" s="881"/>
      <c r="M705" s="1016"/>
      <c r="N705" s="1441"/>
      <c r="O705" s="881"/>
      <c r="P705" s="881"/>
      <c r="Q705" s="1302"/>
      <c r="R705" s="1302"/>
      <c r="S705" s="1302"/>
      <c r="T705" s="1302"/>
      <c r="U705" s="1302"/>
      <c r="V705" s="1302"/>
      <c r="W705" s="1302"/>
      <c r="X705" s="1302"/>
      <c r="Y705" s="1302"/>
      <c r="Z705" s="1302"/>
    </row>
    <row r="706" spans="1:26" ht="18.75" hidden="1">
      <c r="A706" s="1429"/>
      <c r="B706" s="1301"/>
      <c r="C706" s="1301"/>
      <c r="D706" s="1301"/>
      <c r="E706" s="1301"/>
      <c r="F706" s="1301"/>
      <c r="G706" s="1016"/>
      <c r="H706" s="762" t="s">
        <v>34</v>
      </c>
      <c r="I706" s="1440"/>
      <c r="J706" s="1012">
        <v>0</v>
      </c>
      <c r="K706" s="881"/>
      <c r="L706" s="881"/>
      <c r="M706" s="1016"/>
      <c r="N706" s="1441"/>
      <c r="O706" s="881"/>
      <c r="P706" s="881"/>
      <c r="Q706" s="1302"/>
      <c r="R706" s="1302"/>
      <c r="S706" s="1302"/>
      <c r="T706" s="1302"/>
      <c r="U706" s="1302"/>
      <c r="V706" s="1302"/>
      <c r="W706" s="1302"/>
      <c r="X706" s="1302"/>
      <c r="Y706" s="1302"/>
      <c r="Z706" s="1302"/>
    </row>
    <row r="707" spans="1:26" ht="18.75" hidden="1">
      <c r="A707" s="1429"/>
      <c r="B707" s="1301"/>
      <c r="C707" s="1301"/>
      <c r="D707" s="1301"/>
      <c r="E707" s="1301"/>
      <c r="F707" s="1301"/>
      <c r="G707" s="1016"/>
      <c r="H707" s="762" t="s">
        <v>46</v>
      </c>
      <c r="I707" s="1440">
        <f ca="1">IFERROR(__xludf.DUMMYFUNCTION("IMPORTRANGE(""https://docs.google.com/spreadsheets/d/1QqKyyYR6Q21VydFLVH3TRQUabQu_ym0Zz7PgGX0-kHA/edit?usp=sharing"",""แผน!IG75"")"),0)</f>
        <v>0</v>
      </c>
      <c r="J707" s="1012">
        <v>0</v>
      </c>
      <c r="K707" s="881"/>
      <c r="L707" s="881"/>
      <c r="M707" s="1016"/>
      <c r="N707" s="1441"/>
      <c r="O707" s="881"/>
      <c r="P707" s="881"/>
      <c r="Q707" s="1302"/>
      <c r="R707" s="1302"/>
      <c r="S707" s="1302"/>
      <c r="T707" s="1302"/>
      <c r="U707" s="1302"/>
      <c r="V707" s="1302"/>
      <c r="W707" s="1302"/>
      <c r="X707" s="1302"/>
      <c r="Y707" s="1302"/>
      <c r="Z707" s="1302"/>
    </row>
    <row r="708" spans="1:26" ht="19.5" hidden="1">
      <c r="A708" s="1429"/>
      <c r="B708" s="1301"/>
      <c r="C708" s="1301"/>
      <c r="D708" s="1382" t="s">
        <v>300</v>
      </c>
      <c r="E708" s="1301"/>
      <c r="F708" s="1301"/>
      <c r="G708" s="1016"/>
      <c r="H708" s="765" t="s">
        <v>46</v>
      </c>
      <c r="I708" s="1442">
        <f ca="1">IFERROR(__xludf.DUMMYFUNCTION("IMPORTRANGE(""https://docs.google.com/spreadsheets/d/1QqKyyYR6Q21VydFLVH3TRQUabQu_ym0Zz7PgGX0-kHA/edit?usp=sharing"",""แผน!IH75"")"),0)</f>
        <v>0</v>
      </c>
      <c r="J708" s="1019">
        <f>J714+J717</f>
        <v>0</v>
      </c>
      <c r="K708" s="1020">
        <f ca="1">IF(I708&gt;0,J708*100/I708,0)</f>
        <v>0</v>
      </c>
      <c r="L708" s="881"/>
      <c r="M708" s="1016"/>
      <c r="N708" s="1441"/>
      <c r="O708" s="881"/>
      <c r="P708" s="881"/>
      <c r="Q708" s="1302"/>
      <c r="R708" s="1302"/>
      <c r="S708" s="1302"/>
      <c r="T708" s="1302"/>
      <c r="U708" s="1302"/>
      <c r="V708" s="1302"/>
      <c r="W708" s="1302"/>
      <c r="X708" s="1302"/>
      <c r="Y708" s="1302"/>
      <c r="Z708" s="1302"/>
    </row>
    <row r="709" spans="1:26" ht="18.75" hidden="1">
      <c r="A709" s="1429"/>
      <c r="B709" s="1301"/>
      <c r="C709" s="1301"/>
      <c r="D709" s="1301"/>
      <c r="E709" s="1301" t="s">
        <v>301</v>
      </c>
      <c r="F709" s="1301"/>
      <c r="G709" s="1016"/>
      <c r="H709" s="762" t="s">
        <v>34</v>
      </c>
      <c r="I709" s="1440"/>
      <c r="J709" s="1012">
        <v>0</v>
      </c>
      <c r="K709" s="881"/>
      <c r="L709" s="1441"/>
      <c r="M709" s="1016"/>
      <c r="N709" s="1441"/>
      <c r="O709" s="881"/>
      <c r="P709" s="881"/>
      <c r="Q709" s="1302"/>
      <c r="R709" s="1302"/>
      <c r="S709" s="1302"/>
      <c r="T709" s="1302"/>
      <c r="U709" s="1302"/>
      <c r="V709" s="1302"/>
      <c r="W709" s="1302"/>
      <c r="X709" s="1302"/>
      <c r="Y709" s="1302"/>
      <c r="Z709" s="1302"/>
    </row>
    <row r="710" spans="1:26" ht="18.75" hidden="1">
      <c r="A710" s="1429"/>
      <c r="B710" s="1301"/>
      <c r="C710" s="1301"/>
      <c r="D710" s="1301"/>
      <c r="E710" s="1301"/>
      <c r="F710" s="1301"/>
      <c r="G710" s="1016"/>
      <c r="H710" s="762" t="s">
        <v>46</v>
      </c>
      <c r="I710" s="1440"/>
      <c r="J710" s="1012">
        <v>0</v>
      </c>
      <c r="K710" s="881"/>
      <c r="L710" s="1441"/>
      <c r="M710" s="1016"/>
      <c r="N710" s="1441"/>
      <c r="O710" s="881"/>
      <c r="P710" s="881"/>
      <c r="Q710" s="1302"/>
      <c r="R710" s="1302"/>
      <c r="S710" s="1302"/>
      <c r="T710" s="1302"/>
      <c r="U710" s="1302"/>
      <c r="V710" s="1302"/>
      <c r="W710" s="1302"/>
      <c r="X710" s="1302"/>
      <c r="Y710" s="1302"/>
      <c r="Z710" s="1302"/>
    </row>
    <row r="711" spans="1:26" ht="18.75" hidden="1">
      <c r="A711" s="1429"/>
      <c r="B711" s="1301"/>
      <c r="C711" s="1301"/>
      <c r="D711" s="1301"/>
      <c r="E711" s="1301" t="s">
        <v>302</v>
      </c>
      <c r="F711" s="1301"/>
      <c r="G711" s="1016"/>
      <c r="H711" s="1007"/>
      <c r="I711" s="1440"/>
      <c r="J711" s="880"/>
      <c r="K711" s="881"/>
      <c r="L711" s="1441"/>
      <c r="M711" s="1016"/>
      <c r="N711" s="1441"/>
      <c r="O711" s="881"/>
      <c r="P711" s="881"/>
      <c r="Q711" s="1302"/>
      <c r="R711" s="1302"/>
      <c r="S711" s="1302"/>
      <c r="T711" s="1302"/>
      <c r="U711" s="1302"/>
      <c r="V711" s="1302"/>
      <c r="W711" s="1302"/>
      <c r="X711" s="1302"/>
      <c r="Y711" s="1302"/>
      <c r="Z711" s="1302"/>
    </row>
    <row r="712" spans="1:26" ht="18.75" hidden="1">
      <c r="A712" s="1429"/>
      <c r="B712" s="1301"/>
      <c r="C712" s="1301"/>
      <c r="D712" s="1301"/>
      <c r="E712" s="1301"/>
      <c r="F712" s="1301" t="s">
        <v>303</v>
      </c>
      <c r="G712" s="1016"/>
      <c r="H712" s="762" t="s">
        <v>35</v>
      </c>
      <c r="I712" s="1440"/>
      <c r="J712" s="1012">
        <v>0</v>
      </c>
      <c r="K712" s="881"/>
      <c r="L712" s="1441"/>
      <c r="M712" s="1016"/>
      <c r="N712" s="1441"/>
      <c r="O712" s="881"/>
      <c r="P712" s="881"/>
      <c r="Q712" s="1302"/>
      <c r="R712" s="1302"/>
      <c r="S712" s="1302"/>
      <c r="T712" s="1302"/>
      <c r="U712" s="1302"/>
      <c r="V712" s="1302"/>
      <c r="W712" s="1302"/>
      <c r="X712" s="1302"/>
      <c r="Y712" s="1302"/>
      <c r="Z712" s="1302"/>
    </row>
    <row r="713" spans="1:26" ht="18.75" hidden="1">
      <c r="A713" s="1429"/>
      <c r="B713" s="1301"/>
      <c r="C713" s="1301"/>
      <c r="D713" s="1301"/>
      <c r="E713" s="1301"/>
      <c r="F713" s="1301"/>
      <c r="G713" s="1016"/>
      <c r="H713" s="762" t="s">
        <v>34</v>
      </c>
      <c r="I713" s="1440"/>
      <c r="J713" s="1012">
        <v>0</v>
      </c>
      <c r="K713" s="881"/>
      <c r="L713" s="1441"/>
      <c r="M713" s="1016"/>
      <c r="N713" s="1441"/>
      <c r="O713" s="881"/>
      <c r="P713" s="881"/>
      <c r="Q713" s="1302"/>
      <c r="R713" s="1302"/>
      <c r="S713" s="1302"/>
      <c r="T713" s="1302"/>
      <c r="U713" s="1302"/>
      <c r="V713" s="1302"/>
      <c r="W713" s="1302"/>
      <c r="X713" s="1302"/>
      <c r="Y713" s="1302"/>
      <c r="Z713" s="1302"/>
    </row>
    <row r="714" spans="1:26" ht="18.75" hidden="1">
      <c r="A714" s="1429"/>
      <c r="B714" s="1301"/>
      <c r="C714" s="1301"/>
      <c r="D714" s="1301"/>
      <c r="E714" s="1301"/>
      <c r="F714" s="1301"/>
      <c r="G714" s="1016"/>
      <c r="H714" s="762" t="s">
        <v>46</v>
      </c>
      <c r="I714" s="1440"/>
      <c r="J714" s="1012">
        <v>0</v>
      </c>
      <c r="K714" s="881"/>
      <c r="L714" s="1441"/>
      <c r="M714" s="1016"/>
      <c r="N714" s="1441"/>
      <c r="O714" s="881"/>
      <c r="P714" s="881"/>
      <c r="Q714" s="1302"/>
      <c r="R714" s="1302"/>
      <c r="S714" s="1302"/>
      <c r="T714" s="1302"/>
      <c r="U714" s="1302"/>
      <c r="V714" s="1302"/>
      <c r="W714" s="1302"/>
      <c r="X714" s="1302"/>
      <c r="Y714" s="1302"/>
      <c r="Z714" s="1302"/>
    </row>
    <row r="715" spans="1:26" ht="18.75" hidden="1">
      <c r="A715" s="1429"/>
      <c r="B715" s="1301"/>
      <c r="C715" s="1301"/>
      <c r="D715" s="1301"/>
      <c r="E715" s="1301"/>
      <c r="F715" s="1301" t="s">
        <v>304</v>
      </c>
      <c r="G715" s="1016"/>
      <c r="H715" s="762" t="s">
        <v>35</v>
      </c>
      <c r="I715" s="1440"/>
      <c r="J715" s="1012">
        <v>0</v>
      </c>
      <c r="K715" s="881"/>
      <c r="L715" s="1441"/>
      <c r="M715" s="1016"/>
      <c r="N715" s="1441"/>
      <c r="O715" s="881"/>
      <c r="P715" s="881"/>
      <c r="Q715" s="1302"/>
      <c r="R715" s="1302"/>
      <c r="S715" s="1302"/>
      <c r="T715" s="1302"/>
      <c r="U715" s="1302"/>
      <c r="V715" s="1302"/>
      <c r="W715" s="1302"/>
      <c r="X715" s="1302"/>
      <c r="Y715" s="1302"/>
      <c r="Z715" s="1302"/>
    </row>
    <row r="716" spans="1:26" ht="18.75" hidden="1">
      <c r="A716" s="1429"/>
      <c r="B716" s="1301"/>
      <c r="C716" s="1301"/>
      <c r="D716" s="1301"/>
      <c r="E716" s="1301"/>
      <c r="F716" s="1301"/>
      <c r="G716" s="1016"/>
      <c r="H716" s="762" t="s">
        <v>34</v>
      </c>
      <c r="I716" s="1440"/>
      <c r="J716" s="1012">
        <v>0</v>
      </c>
      <c r="K716" s="881"/>
      <c r="L716" s="1441"/>
      <c r="M716" s="1016"/>
      <c r="N716" s="1441"/>
      <c r="O716" s="881"/>
      <c r="P716" s="881"/>
      <c r="Q716" s="1302"/>
      <c r="R716" s="1302"/>
      <c r="S716" s="1302"/>
      <c r="T716" s="1302"/>
      <c r="U716" s="1302"/>
      <c r="V716" s="1302"/>
      <c r="W716" s="1302"/>
      <c r="X716" s="1302"/>
      <c r="Y716" s="1302"/>
      <c r="Z716" s="1302"/>
    </row>
    <row r="717" spans="1:26" ht="18.75" hidden="1">
      <c r="A717" s="1429"/>
      <c r="B717" s="1301"/>
      <c r="C717" s="1301"/>
      <c r="D717" s="1301"/>
      <c r="E717" s="1301"/>
      <c r="F717" s="1301"/>
      <c r="G717" s="1016"/>
      <c r="H717" s="762" t="s">
        <v>46</v>
      </c>
      <c r="I717" s="1440"/>
      <c r="J717" s="1012">
        <v>0</v>
      </c>
      <c r="K717" s="881"/>
      <c r="L717" s="1441"/>
      <c r="M717" s="1016"/>
      <c r="N717" s="1441"/>
      <c r="O717" s="881"/>
      <c r="P717" s="881"/>
      <c r="Q717" s="1302"/>
      <c r="R717" s="1302"/>
      <c r="S717" s="1302"/>
      <c r="T717" s="1302"/>
      <c r="U717" s="1302"/>
      <c r="V717" s="1302"/>
      <c r="W717" s="1302"/>
      <c r="X717" s="1302"/>
      <c r="Y717" s="1302"/>
      <c r="Z717" s="1302"/>
    </row>
    <row r="718" spans="1:26" ht="18.75" hidden="1">
      <c r="A718" s="1429"/>
      <c r="B718" s="1301"/>
      <c r="C718" s="1301"/>
      <c r="D718" s="1301" t="s">
        <v>305</v>
      </c>
      <c r="E718" s="1301"/>
      <c r="F718" s="1301"/>
      <c r="G718" s="1016"/>
      <c r="H718" s="762" t="s">
        <v>35</v>
      </c>
      <c r="I718" s="1440"/>
      <c r="J718" s="880">
        <f ca="1">IFERROR(__xludf.DUMMYFUNCTION("IMPORTRANGE(""https://docs.google.com/spreadsheets/d/1XWAQStnk-4SwqDmLtmXYiTMKHgktTP8We1SCoS47DrQ/edit?usp=sharing"",""จัดที่ดิน!BF75"")"),0)</f>
        <v>0</v>
      </c>
      <c r="K718" s="881"/>
      <c r="L718" s="881"/>
      <c r="M718" s="1016"/>
      <c r="N718" s="1441"/>
      <c r="O718" s="881"/>
      <c r="P718" s="881"/>
      <c r="Q718" s="1302"/>
      <c r="R718" s="1302"/>
      <c r="S718" s="1302"/>
      <c r="T718" s="1302"/>
      <c r="U718" s="1302"/>
      <c r="V718" s="1302"/>
      <c r="W718" s="1302"/>
      <c r="X718" s="1302"/>
      <c r="Y718" s="1302"/>
      <c r="Z718" s="1302"/>
    </row>
    <row r="719" spans="1:26" ht="18.75" hidden="1">
      <c r="A719" s="1429"/>
      <c r="B719" s="1301"/>
      <c r="C719" s="1301"/>
      <c r="D719" s="1301"/>
      <c r="E719" s="1301"/>
      <c r="F719" s="1301"/>
      <c r="G719" s="1016"/>
      <c r="H719" s="762" t="s">
        <v>34</v>
      </c>
      <c r="I719" s="1440"/>
      <c r="J719" s="880">
        <f ca="1">IFERROR(__xludf.DUMMYFUNCTION("IMPORTRANGE(""https://docs.google.com/spreadsheets/d/1XWAQStnk-4SwqDmLtmXYiTMKHgktTP8We1SCoS47DrQ/edit?usp=sharing"",""จัดที่ดิน!BG75"")"),0)</f>
        <v>0</v>
      </c>
      <c r="K719" s="881"/>
      <c r="L719" s="1441"/>
      <c r="M719" s="1016"/>
      <c r="N719" s="1441"/>
      <c r="O719" s="881"/>
      <c r="P719" s="881"/>
      <c r="Q719" s="1302"/>
      <c r="R719" s="1302"/>
      <c r="S719" s="1302"/>
      <c r="T719" s="1302"/>
      <c r="U719" s="1302"/>
      <c r="V719" s="1302"/>
      <c r="W719" s="1302"/>
      <c r="X719" s="1302"/>
      <c r="Y719" s="1302"/>
      <c r="Z719" s="1302"/>
    </row>
    <row r="720" spans="1:26" ht="18.75" hidden="1">
      <c r="A720" s="1429"/>
      <c r="B720" s="1301"/>
      <c r="C720" s="1301"/>
      <c r="D720" s="1301"/>
      <c r="E720" s="1301"/>
      <c r="F720" s="1301"/>
      <c r="G720" s="1016"/>
      <c r="H720" s="762" t="s">
        <v>46</v>
      </c>
      <c r="I720" s="1440">
        <f ca="1">IFERROR(__xludf.DUMMYFUNCTION("IMPORTRANGE(""https://docs.google.com/spreadsheets/d/1QqKyyYR6Q21VydFLVH3TRQUabQu_ym0Zz7PgGX0-kHA/edit?usp=sharing"",""แผน!II75"")"),0)</f>
        <v>0</v>
      </c>
      <c r="J720" s="880">
        <f ca="1">IFERROR(__xludf.DUMMYFUNCTION("IMPORTRANGE(""https://docs.google.com/spreadsheets/d/1XWAQStnk-4SwqDmLtmXYiTMKHgktTP8We1SCoS47DrQ/edit?usp=sharing"",""จัดที่ดิน!BH75"")"),0)</f>
        <v>0</v>
      </c>
      <c r="K720" s="881">
        <f t="shared" ref="K720:K723" ca="1" si="291">IF(I720&gt;0,J720*100/I720,0)</f>
        <v>0</v>
      </c>
      <c r="L720" s="1441"/>
      <c r="M720" s="1016"/>
      <c r="N720" s="1441"/>
      <c r="O720" s="881"/>
      <c r="P720" s="881"/>
      <c r="Q720" s="1302"/>
      <c r="R720" s="1302"/>
      <c r="S720" s="1302"/>
      <c r="T720" s="1302"/>
      <c r="U720" s="1302"/>
      <c r="V720" s="1302"/>
      <c r="W720" s="1302"/>
      <c r="X720" s="1302"/>
      <c r="Y720" s="1302"/>
      <c r="Z720" s="1302"/>
    </row>
    <row r="721" spans="1:26" ht="19.5" hidden="1">
      <c r="A721" s="1429"/>
      <c r="B721" s="1301"/>
      <c r="C721" s="1301"/>
      <c r="D721" s="1301" t="s">
        <v>306</v>
      </c>
      <c r="E721" s="1301"/>
      <c r="F721" s="1301"/>
      <c r="G721" s="1016"/>
      <c r="H721" s="765" t="s">
        <v>35</v>
      </c>
      <c r="I721" s="1442">
        <f ca="1">IFERROR(__xludf.DUMMYFUNCTION("IMPORTRANGE(""https://docs.google.com/spreadsheets/d/1QqKyyYR6Q21VydFLVH3TRQUabQu_ym0Zz7PgGX0-kHA/edit?usp=sharing"",""แผน!IJ75"")"),0)</f>
        <v>0</v>
      </c>
      <c r="J721" s="1019">
        <f ca="1">J723+J726</f>
        <v>0</v>
      </c>
      <c r="K721" s="1020">
        <f t="shared" ca="1" si="291"/>
        <v>0</v>
      </c>
      <c r="L721" s="1441"/>
      <c r="M721" s="1016"/>
      <c r="N721" s="1441"/>
      <c r="O721" s="881"/>
      <c r="P721" s="881"/>
      <c r="Q721" s="1302"/>
      <c r="R721" s="1302"/>
      <c r="S721" s="1302"/>
      <c r="T721" s="1302"/>
      <c r="U721" s="1302"/>
      <c r="V721" s="1302"/>
      <c r="W721" s="1302"/>
      <c r="X721" s="1302"/>
      <c r="Y721" s="1302"/>
      <c r="Z721" s="1302"/>
    </row>
    <row r="722" spans="1:26" ht="19.5" hidden="1">
      <c r="A722" s="1429"/>
      <c r="B722" s="1301"/>
      <c r="C722" s="1301"/>
      <c r="D722" s="1301"/>
      <c r="E722" s="1301"/>
      <c r="F722" s="1301"/>
      <c r="G722" s="1016"/>
      <c r="H722" s="765" t="s">
        <v>46</v>
      </c>
      <c r="I722" s="1442">
        <f ca="1">IFERROR(__xludf.DUMMYFUNCTION("IMPORTRANGE(""https://docs.google.com/spreadsheets/d/1QqKyyYR6Q21VydFLVH3TRQUabQu_ym0Zz7PgGX0-kHA/edit?usp=sharing"",""แผน!IK75"")"),0)</f>
        <v>0</v>
      </c>
      <c r="J722" s="1019">
        <f ca="1">J725+J728</f>
        <v>0</v>
      </c>
      <c r="K722" s="1020">
        <f t="shared" ca="1" si="291"/>
        <v>0</v>
      </c>
      <c r="L722" s="881"/>
      <c r="M722" s="1016"/>
      <c r="N722" s="1441"/>
      <c r="O722" s="881"/>
      <c r="P722" s="881"/>
      <c r="Q722" s="1302"/>
      <c r="R722" s="1302"/>
      <c r="S722" s="1302"/>
      <c r="T722" s="1302"/>
      <c r="U722" s="1302"/>
      <c r="V722" s="1302"/>
      <c r="W722" s="1302"/>
      <c r="X722" s="1302"/>
      <c r="Y722" s="1302"/>
      <c r="Z722" s="1302"/>
    </row>
    <row r="723" spans="1:26" ht="18.75" hidden="1">
      <c r="A723" s="1429"/>
      <c r="B723" s="1301"/>
      <c r="C723" s="1301"/>
      <c r="D723" s="1301"/>
      <c r="E723" s="1301" t="s">
        <v>307</v>
      </c>
      <c r="F723" s="1301"/>
      <c r="G723" s="1016"/>
      <c r="H723" s="762" t="s">
        <v>35</v>
      </c>
      <c r="I723" s="1440">
        <f ca="1">IFERROR(__xludf.DUMMYFUNCTION("IMPORTRANGE(""https://docs.google.com/spreadsheets/d/1QqKyyYR6Q21VydFLVH3TRQUabQu_ym0Zz7PgGX0-kHA/edit?usp=sharing"",""แผน!IL75"")"),0)</f>
        <v>0</v>
      </c>
      <c r="J723" s="880">
        <f ca="1">IFERROR(__xludf.DUMMYFUNCTION("IMPORTRANGE(""https://docs.google.com/spreadsheets/d/1XWAQStnk-4SwqDmLtmXYiTMKHgktTP8We1SCoS47DrQ/edit?usp=sharing"",""จัดที่ดิน!BM75"")"),0)</f>
        <v>0</v>
      </c>
      <c r="K723" s="881">
        <f t="shared" ca="1" si="291"/>
        <v>0</v>
      </c>
      <c r="L723" s="881"/>
      <c r="M723" s="1016"/>
      <c r="N723" s="1441"/>
      <c r="O723" s="881"/>
      <c r="P723" s="881"/>
      <c r="Q723" s="1302"/>
      <c r="R723" s="1302"/>
      <c r="S723" s="1302"/>
      <c r="T723" s="1302"/>
      <c r="U723" s="1302"/>
      <c r="V723" s="1302"/>
      <c r="W723" s="1302"/>
      <c r="X723" s="1302"/>
      <c r="Y723" s="1302"/>
      <c r="Z723" s="1302"/>
    </row>
    <row r="724" spans="1:26" ht="18.75" hidden="1">
      <c r="A724" s="1429"/>
      <c r="B724" s="1301"/>
      <c r="C724" s="1301"/>
      <c r="D724" s="1301"/>
      <c r="E724" s="1301"/>
      <c r="F724" s="1301"/>
      <c r="G724" s="1016"/>
      <c r="H724" s="762" t="s">
        <v>34</v>
      </c>
      <c r="I724" s="1440"/>
      <c r="J724" s="880">
        <f ca="1">IFERROR(__xludf.DUMMYFUNCTION("IMPORTRANGE(""https://docs.google.com/spreadsheets/d/1XWAQStnk-4SwqDmLtmXYiTMKHgktTP8We1SCoS47DrQ/edit?usp=sharing"",""จัดที่ดิน!BN75"")"),0)</f>
        <v>0</v>
      </c>
      <c r="K724" s="881"/>
      <c r="L724" s="1441"/>
      <c r="M724" s="1016"/>
      <c r="N724" s="1441"/>
      <c r="O724" s="881"/>
      <c r="P724" s="881"/>
      <c r="Q724" s="1302"/>
      <c r="R724" s="1302"/>
      <c r="S724" s="1302"/>
      <c r="T724" s="1302"/>
      <c r="U724" s="1302"/>
      <c r="V724" s="1302"/>
      <c r="W724" s="1302"/>
      <c r="X724" s="1302"/>
      <c r="Y724" s="1302"/>
      <c r="Z724" s="1302"/>
    </row>
    <row r="725" spans="1:26" ht="18.75" hidden="1">
      <c r="A725" s="1429"/>
      <c r="B725" s="1301"/>
      <c r="C725" s="1301"/>
      <c r="D725" s="1301"/>
      <c r="E725" s="1301"/>
      <c r="F725" s="1301"/>
      <c r="G725" s="1016"/>
      <c r="H725" s="762" t="s">
        <v>46</v>
      </c>
      <c r="I725" s="1440">
        <f ca="1">IFERROR(__xludf.DUMMYFUNCTION("IMPORTRANGE(""https://docs.google.com/spreadsheets/d/1QqKyyYR6Q21VydFLVH3TRQUabQu_ym0Zz7PgGX0-kHA/edit?usp=sharing"",""แผน!IM75"")"),0)</f>
        <v>0</v>
      </c>
      <c r="J725" s="880">
        <f ca="1">IFERROR(__xludf.DUMMYFUNCTION("IMPORTRANGE(""https://docs.google.com/spreadsheets/d/1XWAQStnk-4SwqDmLtmXYiTMKHgktTP8We1SCoS47DrQ/edit?usp=sharing"",""จัดที่ดิน!BO75"")"),0)</f>
        <v>0</v>
      </c>
      <c r="K725" s="881">
        <f t="shared" ref="K725:K726" ca="1" si="292">IF(I725&gt;0,J725*100/I725,0)</f>
        <v>0</v>
      </c>
      <c r="L725" s="1441"/>
      <c r="M725" s="1016"/>
      <c r="N725" s="1441"/>
      <c r="O725" s="881"/>
      <c r="P725" s="881"/>
      <c r="Q725" s="1302"/>
      <c r="R725" s="1302"/>
      <c r="S725" s="1302"/>
      <c r="T725" s="1302"/>
      <c r="U725" s="1302"/>
      <c r="V725" s="1302"/>
      <c r="W725" s="1302"/>
      <c r="X725" s="1302"/>
      <c r="Y725" s="1302"/>
      <c r="Z725" s="1302"/>
    </row>
    <row r="726" spans="1:26" ht="18.75" hidden="1">
      <c r="A726" s="1429"/>
      <c r="B726" s="1301"/>
      <c r="C726" s="1301"/>
      <c r="D726" s="1301"/>
      <c r="E726" s="1301" t="s">
        <v>308</v>
      </c>
      <c r="F726" s="1301"/>
      <c r="G726" s="1016"/>
      <c r="H726" s="762" t="s">
        <v>35</v>
      </c>
      <c r="I726" s="1440">
        <f ca="1">IFERROR(__xludf.DUMMYFUNCTION("IMPORTRANGE(""https://docs.google.com/spreadsheets/d/1QqKyyYR6Q21VydFLVH3TRQUabQu_ym0Zz7PgGX0-kHA/edit?usp=sharing"",""แผน!IN75"")"),0)</f>
        <v>0</v>
      </c>
      <c r="J726" s="880">
        <f ca="1">IFERROR(__xludf.DUMMYFUNCTION("IMPORTRANGE(""https://docs.google.com/spreadsheets/d/1XWAQStnk-4SwqDmLtmXYiTMKHgktTP8We1SCoS47DrQ/edit?usp=sharing"",""จัดที่ดิน!BR75"")"),0)</f>
        <v>0</v>
      </c>
      <c r="K726" s="881">
        <f t="shared" ca="1" si="292"/>
        <v>0</v>
      </c>
      <c r="L726" s="881"/>
      <c r="M726" s="1016"/>
      <c r="N726" s="1441"/>
      <c r="O726" s="881"/>
      <c r="P726" s="881"/>
      <c r="Q726" s="1302"/>
      <c r="R726" s="1302"/>
      <c r="S726" s="1302"/>
      <c r="T726" s="1302"/>
      <c r="U726" s="1302"/>
      <c r="V726" s="1302"/>
      <c r="W726" s="1302"/>
      <c r="X726" s="1302"/>
      <c r="Y726" s="1302"/>
      <c r="Z726" s="1302"/>
    </row>
    <row r="727" spans="1:26" ht="18.75" hidden="1">
      <c r="A727" s="1429"/>
      <c r="B727" s="1301"/>
      <c r="C727" s="1301"/>
      <c r="D727" s="1301"/>
      <c r="E727" s="1301"/>
      <c r="F727" s="1301"/>
      <c r="G727" s="1016"/>
      <c r="H727" s="762" t="s">
        <v>34</v>
      </c>
      <c r="I727" s="1440"/>
      <c r="J727" s="880">
        <f ca="1">IFERROR(__xludf.DUMMYFUNCTION("IMPORTRANGE(""https://docs.google.com/spreadsheets/d/1XWAQStnk-4SwqDmLtmXYiTMKHgktTP8We1SCoS47DrQ/edit?usp=sharing"",""จัดที่ดิน!BS75"")"),0)</f>
        <v>0</v>
      </c>
      <c r="K727" s="881"/>
      <c r="L727" s="1441"/>
      <c r="M727" s="1016"/>
      <c r="N727" s="1441"/>
      <c r="O727" s="881"/>
      <c r="P727" s="881"/>
      <c r="Q727" s="1302"/>
      <c r="R727" s="1302"/>
      <c r="S727" s="1302"/>
      <c r="T727" s="1302"/>
      <c r="U727" s="1302"/>
      <c r="V727" s="1302"/>
      <c r="W727" s="1302"/>
      <c r="X727" s="1302"/>
      <c r="Y727" s="1302"/>
      <c r="Z727" s="1302"/>
    </row>
    <row r="728" spans="1:26" ht="18.75" hidden="1">
      <c r="A728" s="1429"/>
      <c r="B728" s="1301"/>
      <c r="C728" s="1301"/>
      <c r="D728" s="1301"/>
      <c r="E728" s="1301"/>
      <c r="F728" s="1301"/>
      <c r="G728" s="1016"/>
      <c r="H728" s="762" t="s">
        <v>46</v>
      </c>
      <c r="I728" s="1440">
        <f ca="1">IFERROR(__xludf.DUMMYFUNCTION("IMPORTRANGE(""https://docs.google.com/spreadsheets/d/1QqKyyYR6Q21VydFLVH3TRQUabQu_ym0Zz7PgGX0-kHA/edit?usp=sharing"",""แผน!IO75"")"),0)</f>
        <v>0</v>
      </c>
      <c r="J728" s="880">
        <f ca="1">IFERROR(__xludf.DUMMYFUNCTION("IMPORTRANGE(""https://docs.google.com/spreadsheets/d/1XWAQStnk-4SwqDmLtmXYiTMKHgktTP8We1SCoS47DrQ/edit?usp=sharing"",""จัดที่ดิน!BT75"")"),0)</f>
        <v>0</v>
      </c>
      <c r="K728" s="881">
        <f t="shared" ref="K728:K729" ca="1" si="293">IF(I728&gt;0,J728*100/I728,0)</f>
        <v>0</v>
      </c>
      <c r="L728" s="1441"/>
      <c r="M728" s="1016"/>
      <c r="N728" s="1441"/>
      <c r="O728" s="881"/>
      <c r="P728" s="881"/>
      <c r="Q728" s="1302"/>
      <c r="R728" s="1302"/>
      <c r="S728" s="1302"/>
      <c r="T728" s="1302"/>
      <c r="U728" s="1302"/>
      <c r="V728" s="1302"/>
      <c r="W728" s="1302"/>
      <c r="X728" s="1302"/>
      <c r="Y728" s="1302"/>
      <c r="Z728" s="1302"/>
    </row>
    <row r="729" spans="1:26" ht="19.5" hidden="1">
      <c r="A729" s="1429"/>
      <c r="B729" s="1301"/>
      <c r="C729" s="1301"/>
      <c r="D729" s="1301" t="s">
        <v>309</v>
      </c>
      <c r="E729" s="1301"/>
      <c r="F729" s="1301"/>
      <c r="G729" s="1016"/>
      <c r="H729" s="765" t="s">
        <v>46</v>
      </c>
      <c r="I729" s="1442">
        <f ca="1">IFERROR(__xludf.DUMMYFUNCTION("IMPORTRANGE(""https://docs.google.com/spreadsheets/d/1QqKyyYR6Q21VydFLVH3TRQUabQu_ym0Zz7PgGX0-kHA/edit?usp=sharing"",""แผน!IP75"")"),0)</f>
        <v>0</v>
      </c>
      <c r="J729" s="1019">
        <f>J732+J735</f>
        <v>0</v>
      </c>
      <c r="K729" s="1020">
        <f t="shared" ca="1" si="293"/>
        <v>0</v>
      </c>
      <c r="L729" s="881"/>
      <c r="M729" s="1016"/>
      <c r="N729" s="1441"/>
      <c r="O729" s="881"/>
      <c r="P729" s="881"/>
      <c r="Q729" s="1302"/>
      <c r="R729" s="1302"/>
      <c r="S729" s="1302"/>
      <c r="T729" s="1302"/>
      <c r="U729" s="1302"/>
      <c r="V729" s="1302"/>
      <c r="W729" s="1302"/>
      <c r="X729" s="1302"/>
      <c r="Y729" s="1302"/>
      <c r="Z729" s="1302"/>
    </row>
    <row r="730" spans="1:26" ht="18.75" hidden="1">
      <c r="A730" s="1429"/>
      <c r="B730" s="1301"/>
      <c r="C730" s="1301"/>
      <c r="D730" s="1301"/>
      <c r="E730" s="1301" t="s">
        <v>310</v>
      </c>
      <c r="F730" s="1301"/>
      <c r="G730" s="1016"/>
      <c r="H730" s="762" t="s">
        <v>35</v>
      </c>
      <c r="I730" s="1440"/>
      <c r="J730" s="1012">
        <v>0</v>
      </c>
      <c r="K730" s="881"/>
      <c r="L730" s="1441"/>
      <c r="M730" s="881"/>
      <c r="N730" s="1441"/>
      <c r="O730" s="881"/>
      <c r="P730" s="881"/>
      <c r="Q730" s="1302"/>
      <c r="R730" s="1302"/>
      <c r="S730" s="1302"/>
      <c r="T730" s="1302"/>
      <c r="U730" s="1302"/>
      <c r="V730" s="1302"/>
      <c r="W730" s="1302"/>
      <c r="X730" s="1302"/>
      <c r="Y730" s="1302"/>
      <c r="Z730" s="1302"/>
    </row>
    <row r="731" spans="1:26" ht="18.75" hidden="1">
      <c r="A731" s="1429"/>
      <c r="B731" s="1301"/>
      <c r="C731" s="1301"/>
      <c r="D731" s="1301"/>
      <c r="E731" s="1301"/>
      <c r="F731" s="1301"/>
      <c r="G731" s="1016"/>
      <c r="H731" s="762" t="s">
        <v>34</v>
      </c>
      <c r="I731" s="1440"/>
      <c r="J731" s="1012">
        <v>0</v>
      </c>
      <c r="K731" s="881"/>
      <c r="L731" s="1441"/>
      <c r="M731" s="881"/>
      <c r="N731" s="1441"/>
      <c r="O731" s="881"/>
      <c r="P731" s="881"/>
      <c r="Q731" s="1302"/>
      <c r="R731" s="1302"/>
      <c r="S731" s="1302"/>
      <c r="T731" s="1302"/>
      <c r="U731" s="1302"/>
      <c r="V731" s="1302"/>
      <c r="W731" s="1302"/>
      <c r="X731" s="1302"/>
      <c r="Y731" s="1302"/>
      <c r="Z731" s="1302"/>
    </row>
    <row r="732" spans="1:26" ht="18.75" hidden="1">
      <c r="A732" s="1429"/>
      <c r="B732" s="1301"/>
      <c r="C732" s="1301"/>
      <c r="D732" s="1301"/>
      <c r="E732" s="1301"/>
      <c r="F732" s="1301"/>
      <c r="G732" s="1016"/>
      <c r="H732" s="762" t="s">
        <v>46</v>
      </c>
      <c r="I732" s="1440"/>
      <c r="J732" s="1012">
        <v>0</v>
      </c>
      <c r="K732" s="881"/>
      <c r="L732" s="1441"/>
      <c r="M732" s="881"/>
      <c r="N732" s="1441"/>
      <c r="O732" s="881"/>
      <c r="P732" s="881"/>
      <c r="Q732" s="1302"/>
      <c r="R732" s="1302"/>
      <c r="S732" s="1302"/>
      <c r="T732" s="1302"/>
      <c r="U732" s="1302"/>
      <c r="V732" s="1302"/>
      <c r="W732" s="1302"/>
      <c r="X732" s="1302"/>
      <c r="Y732" s="1302"/>
      <c r="Z732" s="1302"/>
    </row>
    <row r="733" spans="1:26" ht="18.75" hidden="1">
      <c r="A733" s="1429"/>
      <c r="B733" s="1301"/>
      <c r="C733" s="1301"/>
      <c r="D733" s="1301"/>
      <c r="E733" s="1301" t="s">
        <v>311</v>
      </c>
      <c r="F733" s="1301"/>
      <c r="G733" s="1016"/>
      <c r="H733" s="762" t="s">
        <v>35</v>
      </c>
      <c r="I733" s="1440"/>
      <c r="J733" s="1012">
        <v>0</v>
      </c>
      <c r="K733" s="881"/>
      <c r="L733" s="1441"/>
      <c r="M733" s="881"/>
      <c r="N733" s="1441"/>
      <c r="O733" s="881"/>
      <c r="P733" s="881"/>
      <c r="Q733" s="1302"/>
      <c r="R733" s="1302"/>
      <c r="S733" s="1302"/>
      <c r="T733" s="1302"/>
      <c r="U733" s="1302"/>
      <c r="V733" s="1302"/>
      <c r="W733" s="1302"/>
      <c r="X733" s="1302"/>
      <c r="Y733" s="1302"/>
      <c r="Z733" s="1302"/>
    </row>
    <row r="734" spans="1:26" ht="18.75" hidden="1">
      <c r="A734" s="1429"/>
      <c r="B734" s="1301"/>
      <c r="C734" s="1301"/>
      <c r="D734" s="1301"/>
      <c r="E734" s="1301"/>
      <c r="F734" s="1301"/>
      <c r="G734" s="1016"/>
      <c r="H734" s="762" t="s">
        <v>34</v>
      </c>
      <c r="I734" s="1440"/>
      <c r="J734" s="1012">
        <v>0</v>
      </c>
      <c r="K734" s="881"/>
      <c r="L734" s="1441"/>
      <c r="M734" s="881"/>
      <c r="N734" s="1441"/>
      <c r="O734" s="881"/>
      <c r="P734" s="881"/>
      <c r="Q734" s="1302"/>
      <c r="R734" s="1302"/>
      <c r="S734" s="1302"/>
      <c r="T734" s="1302"/>
      <c r="U734" s="1302"/>
      <c r="V734" s="1302"/>
      <c r="W734" s="1302"/>
      <c r="X734" s="1302"/>
      <c r="Y734" s="1302"/>
      <c r="Z734" s="1302"/>
    </row>
    <row r="735" spans="1:26" ht="19.5" hidden="1">
      <c r="A735" s="1443"/>
      <c r="B735" s="1444" t="s">
        <v>312</v>
      </c>
      <c r="C735" s="1169"/>
      <c r="D735" s="1169"/>
      <c r="E735" s="1169"/>
      <c r="F735" s="1169"/>
      <c r="G735" s="1422"/>
      <c r="H735" s="423" t="s">
        <v>46</v>
      </c>
      <c r="I735" s="1445"/>
      <c r="J735" s="1171">
        <v>0</v>
      </c>
      <c r="K735" s="1239"/>
      <c r="L735" s="1446"/>
      <c r="M735" s="1239"/>
      <c r="N735" s="1446"/>
      <c r="O735" s="1239"/>
      <c r="P735" s="1239"/>
      <c r="Q735" s="1302"/>
      <c r="R735" s="1302"/>
      <c r="S735" s="1302"/>
      <c r="T735" s="1302"/>
      <c r="U735" s="1302"/>
      <c r="V735" s="1302"/>
      <c r="W735" s="1302"/>
      <c r="X735" s="1302"/>
      <c r="Y735" s="1302"/>
      <c r="Z735" s="1302"/>
    </row>
    <row r="736" spans="1:26" ht="19.5" hidden="1">
      <c r="A736" s="772">
        <v>9</v>
      </c>
      <c r="B736" s="1447" t="s">
        <v>313</v>
      </c>
      <c r="C736" s="1448"/>
      <c r="D736" s="1448"/>
      <c r="E736" s="1448"/>
      <c r="F736" s="1448"/>
      <c r="G736" s="1449"/>
      <c r="H736" s="776" t="s">
        <v>46</v>
      </c>
      <c r="I736" s="1450"/>
      <c r="J736" s="1450">
        <f>J751</f>
        <v>0</v>
      </c>
      <c r="K736" s="1451">
        <f>IF(I736&gt;0,J736*100/I736,0)</f>
        <v>0</v>
      </c>
      <c r="L736" s="1452"/>
      <c r="M736" s="1452"/>
      <c r="N736" s="1452"/>
      <c r="O736" s="1452"/>
      <c r="P736" s="1452"/>
      <c r="Q736" s="1323"/>
      <c r="R736" s="1323"/>
      <c r="S736" s="1323"/>
      <c r="T736" s="1323"/>
      <c r="U736" s="1323"/>
      <c r="V736" s="1323"/>
      <c r="W736" s="1323"/>
      <c r="X736" s="1323"/>
      <c r="Y736" s="1323"/>
      <c r="Z736" s="1323"/>
    </row>
    <row r="737" spans="1:26" ht="19.5" hidden="1">
      <c r="A737" s="1319"/>
      <c r="B737" s="1320"/>
      <c r="C737" s="1320" t="s">
        <v>16</v>
      </c>
      <c r="D737" s="1351" t="s">
        <v>17</v>
      </c>
      <c r="E737" s="841"/>
      <c r="F737" s="841"/>
      <c r="G737" s="1322"/>
      <c r="H737" s="644" t="s">
        <v>12</v>
      </c>
      <c r="I737" s="886"/>
      <c r="J737" s="886"/>
      <c r="K737" s="887"/>
      <c r="L737" s="1352">
        <f t="shared" ref="L737:N737" si="294">L738+L739</f>
        <v>0</v>
      </c>
      <c r="M737" s="1352">
        <f t="shared" si="294"/>
        <v>0</v>
      </c>
      <c r="N737" s="1352">
        <f t="shared" si="294"/>
        <v>0</v>
      </c>
      <c r="O737" s="1352">
        <f t="shared" ref="O737:O742" si="295">IF(L737&gt;0,N737*100/L737,0)</f>
        <v>0</v>
      </c>
      <c r="P737" s="1352">
        <f t="shared" ref="P737:P742" si="296">IF(M737&gt;0,N737*100/M737,0)</f>
        <v>0</v>
      </c>
      <c r="Q737" s="1323"/>
      <c r="R737" s="1323"/>
      <c r="S737" s="1323"/>
      <c r="T737" s="1323"/>
      <c r="U737" s="1323"/>
      <c r="V737" s="1323"/>
      <c r="W737" s="1323"/>
      <c r="X737" s="1323"/>
      <c r="Y737" s="1323"/>
      <c r="Z737" s="1323"/>
    </row>
    <row r="738" spans="1:26" ht="18.75" hidden="1">
      <c r="A738" s="1319"/>
      <c r="B738" s="1320"/>
      <c r="C738" s="1320"/>
      <c r="D738" s="1321"/>
      <c r="E738" s="1320" t="s">
        <v>185</v>
      </c>
      <c r="F738" s="1320"/>
      <c r="G738" s="1322"/>
      <c r="H738" s="165" t="s">
        <v>12</v>
      </c>
      <c r="I738" s="886"/>
      <c r="J738" s="886"/>
      <c r="K738" s="887"/>
      <c r="L738" s="887">
        <f t="shared" ref="L738:N739" si="297">L741+L748</f>
        <v>0</v>
      </c>
      <c r="M738" s="887">
        <f t="shared" si="297"/>
        <v>0</v>
      </c>
      <c r="N738" s="887">
        <f t="shared" si="297"/>
        <v>0</v>
      </c>
      <c r="O738" s="887">
        <f t="shared" si="295"/>
        <v>0</v>
      </c>
      <c r="P738" s="887">
        <f t="shared" si="296"/>
        <v>0</v>
      </c>
      <c r="Q738" s="1323"/>
      <c r="R738" s="1323"/>
      <c r="S738" s="1323"/>
      <c r="T738" s="1323"/>
      <c r="U738" s="1323"/>
      <c r="V738" s="1323"/>
      <c r="W738" s="1323"/>
      <c r="X738" s="1323"/>
      <c r="Y738" s="1323"/>
      <c r="Z738" s="1323"/>
    </row>
    <row r="739" spans="1:26" ht="18.75" hidden="1">
      <c r="A739" s="1319"/>
      <c r="B739" s="1324"/>
      <c r="C739" s="1320"/>
      <c r="D739" s="1321"/>
      <c r="E739" s="1320" t="s">
        <v>186</v>
      </c>
      <c r="F739" s="1320"/>
      <c r="G739" s="1322"/>
      <c r="H739" s="165" t="s">
        <v>12</v>
      </c>
      <c r="I739" s="886"/>
      <c r="J739" s="886"/>
      <c r="K739" s="887"/>
      <c r="L739" s="887">
        <f t="shared" si="297"/>
        <v>0</v>
      </c>
      <c r="M739" s="887">
        <f t="shared" si="297"/>
        <v>0</v>
      </c>
      <c r="N739" s="887">
        <f t="shared" si="297"/>
        <v>0</v>
      </c>
      <c r="O739" s="887">
        <f t="shared" si="295"/>
        <v>0</v>
      </c>
      <c r="P739" s="887">
        <f t="shared" si="296"/>
        <v>0</v>
      </c>
      <c r="Q739" s="1323"/>
      <c r="R739" s="1323"/>
      <c r="S739" s="1323"/>
      <c r="T739" s="1323"/>
      <c r="U739" s="1323"/>
      <c r="V739" s="1323"/>
      <c r="W739" s="1323"/>
      <c r="X739" s="1323"/>
      <c r="Y739" s="1323"/>
      <c r="Z739" s="1323"/>
    </row>
    <row r="740" spans="1:26" ht="19.5" hidden="1">
      <c r="A740" s="1319"/>
      <c r="B740" s="1324"/>
      <c r="C740" s="1320"/>
      <c r="D740" s="1453" t="s">
        <v>20</v>
      </c>
      <c r="E740" s="1320"/>
      <c r="F740" s="1320"/>
      <c r="G740" s="1322"/>
      <c r="H740" s="644" t="s">
        <v>12</v>
      </c>
      <c r="I740" s="1000"/>
      <c r="J740" s="1000"/>
      <c r="K740" s="1001"/>
      <c r="L740" s="1352">
        <f t="shared" ref="L740:N740" si="298">L741+L742</f>
        <v>0</v>
      </c>
      <c r="M740" s="1352">
        <f t="shared" si="298"/>
        <v>0</v>
      </c>
      <c r="N740" s="1352">
        <f t="shared" si="298"/>
        <v>0</v>
      </c>
      <c r="O740" s="1352">
        <f t="shared" si="295"/>
        <v>0</v>
      </c>
      <c r="P740" s="1352">
        <f t="shared" si="296"/>
        <v>0</v>
      </c>
      <c r="Q740" s="1323"/>
      <c r="R740" s="1323"/>
      <c r="S740" s="1323"/>
      <c r="T740" s="1323"/>
      <c r="U740" s="1323"/>
      <c r="V740" s="1323"/>
      <c r="W740" s="1323"/>
      <c r="X740" s="1323"/>
      <c r="Y740" s="1323"/>
      <c r="Z740" s="1323"/>
    </row>
    <row r="741" spans="1:26" ht="18.75" hidden="1">
      <c r="A741" s="1319"/>
      <c r="B741" s="1324"/>
      <c r="C741" s="1320"/>
      <c r="D741" s="1321"/>
      <c r="E741" s="1320" t="s">
        <v>185</v>
      </c>
      <c r="F741" s="1320"/>
      <c r="G741" s="1322"/>
      <c r="H741" s="165" t="s">
        <v>12</v>
      </c>
      <c r="I741" s="886"/>
      <c r="J741" s="886"/>
      <c r="K741" s="887"/>
      <c r="L741" s="887">
        <v>0</v>
      </c>
      <c r="M741" s="887">
        <v>0</v>
      </c>
      <c r="N741" s="887">
        <v>0</v>
      </c>
      <c r="O741" s="887">
        <f t="shared" si="295"/>
        <v>0</v>
      </c>
      <c r="P741" s="887">
        <f t="shared" si="296"/>
        <v>0</v>
      </c>
      <c r="Q741" s="1323"/>
      <c r="R741" s="1323"/>
      <c r="S741" s="1323"/>
      <c r="T741" s="1323"/>
      <c r="U741" s="1323"/>
      <c r="V741" s="1323"/>
      <c r="W741" s="1323"/>
      <c r="X741" s="1323"/>
      <c r="Y741" s="1323"/>
      <c r="Z741" s="1323"/>
    </row>
    <row r="742" spans="1:26" ht="18.75" hidden="1">
      <c r="A742" s="1319"/>
      <c r="B742" s="1324"/>
      <c r="C742" s="1320"/>
      <c r="D742" s="1321"/>
      <c r="E742" s="1320" t="s">
        <v>186</v>
      </c>
      <c r="F742" s="1320"/>
      <c r="G742" s="1322"/>
      <c r="H742" s="165" t="s">
        <v>12</v>
      </c>
      <c r="I742" s="886"/>
      <c r="J742" s="886"/>
      <c r="K742" s="887"/>
      <c r="L742" s="887">
        <v>0</v>
      </c>
      <c r="M742" s="887">
        <v>0</v>
      </c>
      <c r="N742" s="887">
        <f>N743+N744+N745+N746</f>
        <v>0</v>
      </c>
      <c r="O742" s="887">
        <f t="shared" si="295"/>
        <v>0</v>
      </c>
      <c r="P742" s="887">
        <f t="shared" si="296"/>
        <v>0</v>
      </c>
      <c r="Q742" s="1323"/>
      <c r="R742" s="1323"/>
      <c r="S742" s="1323"/>
      <c r="T742" s="1323"/>
      <c r="U742" s="1323"/>
      <c r="V742" s="1323"/>
      <c r="W742" s="1323"/>
      <c r="X742" s="1323"/>
      <c r="Y742" s="1323"/>
      <c r="Z742" s="1323"/>
    </row>
    <row r="743" spans="1:26" ht="18.75" hidden="1">
      <c r="A743" s="1354"/>
      <c r="B743" s="1324"/>
      <c r="C743" s="1320"/>
      <c r="D743" s="1320"/>
      <c r="E743" s="1320"/>
      <c r="F743" s="1320" t="s">
        <v>187</v>
      </c>
      <c r="G743" s="1322"/>
      <c r="H743" s="165" t="s">
        <v>12</v>
      </c>
      <c r="I743" s="886"/>
      <c r="J743" s="886"/>
      <c r="K743" s="887"/>
      <c r="L743" s="887"/>
      <c r="M743" s="887"/>
      <c r="N743" s="887"/>
      <c r="O743" s="887"/>
      <c r="P743" s="887"/>
      <c r="Q743" s="1323"/>
      <c r="R743" s="1323"/>
      <c r="S743" s="1323"/>
      <c r="T743" s="1323"/>
      <c r="U743" s="1323"/>
      <c r="V743" s="1323"/>
      <c r="W743" s="1323"/>
      <c r="X743" s="1323"/>
      <c r="Y743" s="1323"/>
      <c r="Z743" s="1323"/>
    </row>
    <row r="744" spans="1:26" ht="18.75" hidden="1">
      <c r="A744" s="1354"/>
      <c r="B744" s="1324"/>
      <c r="C744" s="1320"/>
      <c r="D744" s="1320"/>
      <c r="E744" s="1320"/>
      <c r="F744" s="1320" t="s">
        <v>188</v>
      </c>
      <c r="G744" s="1322"/>
      <c r="H744" s="165" t="s">
        <v>12</v>
      </c>
      <c r="I744" s="886"/>
      <c r="J744" s="886"/>
      <c r="K744" s="887"/>
      <c r="L744" s="887"/>
      <c r="M744" s="887"/>
      <c r="N744" s="887"/>
      <c r="O744" s="887"/>
      <c r="P744" s="887"/>
      <c r="Q744" s="1323"/>
      <c r="R744" s="1323"/>
      <c r="S744" s="1323"/>
      <c r="T744" s="1323"/>
      <c r="U744" s="1323"/>
      <c r="V744" s="1323"/>
      <c r="W744" s="1323"/>
      <c r="X744" s="1323"/>
      <c r="Y744" s="1323"/>
      <c r="Z744" s="1323"/>
    </row>
    <row r="745" spans="1:26" ht="18.75" hidden="1">
      <c r="A745" s="1354"/>
      <c r="B745" s="1324"/>
      <c r="C745" s="1320"/>
      <c r="D745" s="1320"/>
      <c r="E745" s="1320"/>
      <c r="F745" s="1320" t="s">
        <v>189</v>
      </c>
      <c r="G745" s="1322"/>
      <c r="H745" s="165" t="s">
        <v>12</v>
      </c>
      <c r="I745" s="886"/>
      <c r="J745" s="886"/>
      <c r="K745" s="887"/>
      <c r="L745" s="887"/>
      <c r="M745" s="887"/>
      <c r="N745" s="887"/>
      <c r="O745" s="887"/>
      <c r="P745" s="887"/>
      <c r="Q745" s="1323"/>
      <c r="R745" s="1323"/>
      <c r="S745" s="1323"/>
      <c r="T745" s="1323"/>
      <c r="U745" s="1323"/>
      <c r="V745" s="1323"/>
      <c r="W745" s="1323"/>
      <c r="X745" s="1323"/>
      <c r="Y745" s="1323"/>
      <c r="Z745" s="1323"/>
    </row>
    <row r="746" spans="1:26" ht="18.75" hidden="1">
      <c r="A746" s="1354"/>
      <c r="B746" s="1324"/>
      <c r="C746" s="1320"/>
      <c r="D746" s="1320"/>
      <c r="E746" s="1320"/>
      <c r="F746" s="1320" t="s">
        <v>190</v>
      </c>
      <c r="G746" s="1322"/>
      <c r="H746" s="165" t="s">
        <v>12</v>
      </c>
      <c r="I746" s="886"/>
      <c r="J746" s="886"/>
      <c r="K746" s="887"/>
      <c r="L746" s="887"/>
      <c r="M746" s="887"/>
      <c r="N746" s="887"/>
      <c r="O746" s="887"/>
      <c r="P746" s="887"/>
      <c r="Q746" s="1323"/>
      <c r="R746" s="1323"/>
      <c r="S746" s="1323"/>
      <c r="T746" s="1323"/>
      <c r="U746" s="1323"/>
      <c r="V746" s="1323"/>
      <c r="W746" s="1323"/>
      <c r="X746" s="1323"/>
      <c r="Y746" s="1323"/>
      <c r="Z746" s="1323"/>
    </row>
    <row r="747" spans="1:26" ht="19.5" hidden="1">
      <c r="A747" s="1319"/>
      <c r="B747" s="1324"/>
      <c r="C747" s="1320"/>
      <c r="D747" s="1453" t="s">
        <v>21</v>
      </c>
      <c r="E747" s="1320"/>
      <c r="F747" s="1320"/>
      <c r="G747" s="1322"/>
      <c r="H747" s="781" t="s">
        <v>12</v>
      </c>
      <c r="I747" s="1000"/>
      <c r="J747" s="1000"/>
      <c r="K747" s="1001"/>
      <c r="L747" s="1352">
        <f t="shared" ref="L747:N747" si="299">L748+L749</f>
        <v>0</v>
      </c>
      <c r="M747" s="1352">
        <f t="shared" si="299"/>
        <v>0</v>
      </c>
      <c r="N747" s="1352">
        <f t="shared" si="299"/>
        <v>0</v>
      </c>
      <c r="O747" s="1352">
        <f t="shared" ref="O747:O749" si="300">IF(L747&gt;0,N747*100/L747,0)</f>
        <v>0</v>
      </c>
      <c r="P747" s="1352">
        <f t="shared" ref="P747:P749" si="301">IF(M747&gt;0,N747*100/M747,0)</f>
        <v>0</v>
      </c>
      <c r="Q747" s="1323"/>
      <c r="R747" s="1323"/>
      <c r="S747" s="1323"/>
      <c r="T747" s="1323"/>
      <c r="U747" s="1323"/>
      <c r="V747" s="1323"/>
      <c r="W747" s="1323"/>
      <c r="X747" s="1323"/>
      <c r="Y747" s="1323"/>
      <c r="Z747" s="1323"/>
    </row>
    <row r="748" spans="1:26" ht="18.75" hidden="1">
      <c r="A748" s="1319"/>
      <c r="B748" s="1324"/>
      <c r="C748" s="1320"/>
      <c r="D748" s="1320"/>
      <c r="E748" s="1320" t="s">
        <v>18</v>
      </c>
      <c r="F748" s="1320"/>
      <c r="G748" s="1322"/>
      <c r="H748" s="165" t="s">
        <v>12</v>
      </c>
      <c r="I748" s="1000"/>
      <c r="J748" s="1000"/>
      <c r="K748" s="1001"/>
      <c r="L748" s="887">
        <v>0</v>
      </c>
      <c r="M748" s="887">
        <v>0</v>
      </c>
      <c r="N748" s="887">
        <v>0</v>
      </c>
      <c r="O748" s="887">
        <f t="shared" si="300"/>
        <v>0</v>
      </c>
      <c r="P748" s="887">
        <f t="shared" si="301"/>
        <v>0</v>
      </c>
      <c r="Q748" s="1323"/>
      <c r="R748" s="1323"/>
      <c r="S748" s="1323"/>
      <c r="T748" s="1323"/>
      <c r="U748" s="1323"/>
      <c r="V748" s="1323"/>
      <c r="W748" s="1323"/>
      <c r="X748" s="1323"/>
      <c r="Y748" s="1323"/>
      <c r="Z748" s="1323"/>
    </row>
    <row r="749" spans="1:26" ht="18.75" hidden="1">
      <c r="A749" s="1319"/>
      <c r="B749" s="1324"/>
      <c r="C749" s="1320"/>
      <c r="D749" s="1320"/>
      <c r="E749" s="1320" t="s">
        <v>19</v>
      </c>
      <c r="F749" s="1320"/>
      <c r="G749" s="1322"/>
      <c r="H749" s="169" t="s">
        <v>12</v>
      </c>
      <c r="I749" s="1000"/>
      <c r="J749" s="1000"/>
      <c r="K749" s="1001"/>
      <c r="L749" s="887">
        <v>0</v>
      </c>
      <c r="M749" s="887">
        <v>0</v>
      </c>
      <c r="N749" s="887">
        <v>0</v>
      </c>
      <c r="O749" s="887">
        <f t="shared" si="300"/>
        <v>0</v>
      </c>
      <c r="P749" s="887">
        <f t="shared" si="301"/>
        <v>0</v>
      </c>
      <c r="Q749" s="1323"/>
      <c r="R749" s="1323"/>
      <c r="S749" s="1323"/>
      <c r="T749" s="1323"/>
      <c r="U749" s="1323"/>
      <c r="V749" s="1323"/>
      <c r="W749" s="1323"/>
      <c r="X749" s="1323"/>
      <c r="Y749" s="1323"/>
      <c r="Z749" s="1323"/>
    </row>
    <row r="750" spans="1:26" ht="19.5" hidden="1">
      <c r="A750" s="1332"/>
      <c r="B750" s="1333"/>
      <c r="C750" s="1320" t="s">
        <v>16</v>
      </c>
      <c r="D750" s="1454" t="s">
        <v>38</v>
      </c>
      <c r="E750" s="1356"/>
      <c r="F750" s="1356"/>
      <c r="G750" s="1357"/>
      <c r="H750" s="1113"/>
      <c r="I750" s="1000"/>
      <c r="J750" s="1000"/>
      <c r="K750" s="1001"/>
      <c r="L750" s="1001"/>
      <c r="M750" s="1001"/>
      <c r="N750" s="1001"/>
      <c r="O750" s="1001"/>
      <c r="P750" s="1001"/>
      <c r="Q750" s="1323"/>
      <c r="R750" s="1323"/>
      <c r="S750" s="1323"/>
      <c r="T750" s="1323"/>
      <c r="U750" s="1323"/>
      <c r="V750" s="1323"/>
      <c r="W750" s="1323"/>
      <c r="X750" s="1323"/>
      <c r="Y750" s="1323"/>
      <c r="Z750" s="1323"/>
    </row>
    <row r="751" spans="1:26" ht="18.75" hidden="1">
      <c r="A751" s="1354"/>
      <c r="B751" s="1324"/>
      <c r="C751" s="1320"/>
      <c r="D751" s="1320"/>
      <c r="E751" s="1320" t="s">
        <v>314</v>
      </c>
      <c r="F751" s="1320"/>
      <c r="G751" s="1322"/>
      <c r="H751" s="165" t="s">
        <v>46</v>
      </c>
      <c r="I751" s="886"/>
      <c r="J751" s="886"/>
      <c r="K751" s="887"/>
      <c r="L751" s="887"/>
      <c r="M751" s="887"/>
      <c r="N751" s="887"/>
      <c r="O751" s="887"/>
      <c r="P751" s="887"/>
      <c r="Q751" s="1323"/>
      <c r="R751" s="1323"/>
      <c r="S751" s="1323"/>
      <c r="T751" s="1323"/>
      <c r="U751" s="1323"/>
      <c r="V751" s="1323"/>
      <c r="W751" s="1323"/>
      <c r="X751" s="1323"/>
      <c r="Y751" s="1323"/>
      <c r="Z751" s="1323"/>
    </row>
    <row r="752" spans="1:26" ht="18.75" hidden="1">
      <c r="A752" s="1354"/>
      <c r="B752" s="1324"/>
      <c r="C752" s="1320"/>
      <c r="D752" s="1320"/>
      <c r="E752" s="1320"/>
      <c r="F752" s="1320"/>
      <c r="G752" s="1322"/>
      <c r="H752" s="165" t="s">
        <v>315</v>
      </c>
      <c r="I752" s="886"/>
      <c r="J752" s="886"/>
      <c r="K752" s="887"/>
      <c r="L752" s="887"/>
      <c r="M752" s="887"/>
      <c r="N752" s="887"/>
      <c r="O752" s="887"/>
      <c r="P752" s="887"/>
      <c r="Q752" s="1323"/>
      <c r="R752" s="1323"/>
      <c r="S752" s="1323"/>
      <c r="T752" s="1323"/>
      <c r="U752" s="1323"/>
      <c r="V752" s="1323"/>
      <c r="W752" s="1323"/>
      <c r="X752" s="1323"/>
      <c r="Y752" s="1323"/>
      <c r="Z752" s="1323"/>
    </row>
    <row r="753" spans="1:26" ht="19.5" hidden="1">
      <c r="A753" s="783">
        <v>10</v>
      </c>
      <c r="B753" s="1455" t="s">
        <v>316</v>
      </c>
      <c r="C753" s="1456"/>
      <c r="D753" s="1456"/>
      <c r="E753" s="1456"/>
      <c r="F753" s="1456"/>
      <c r="G753" s="1457"/>
      <c r="H753" s="787" t="s">
        <v>46</v>
      </c>
      <c r="I753" s="1458"/>
      <c r="J753" s="1458">
        <f>J768</f>
        <v>0</v>
      </c>
      <c r="K753" s="1459">
        <f>IF(I753&gt;0,J753*100/I753,0)</f>
        <v>0</v>
      </c>
      <c r="L753" s="1460"/>
      <c r="M753" s="1460"/>
      <c r="N753" s="1460"/>
      <c r="O753" s="1460"/>
      <c r="P753" s="1460"/>
      <c r="Q753" s="1323"/>
      <c r="R753" s="1323"/>
      <c r="S753" s="1323"/>
      <c r="T753" s="1323"/>
      <c r="U753" s="1323"/>
      <c r="V753" s="1323"/>
      <c r="W753" s="1323"/>
      <c r="X753" s="1323"/>
      <c r="Y753" s="1323"/>
      <c r="Z753" s="1323"/>
    </row>
    <row r="754" spans="1:26" ht="19.5" hidden="1">
      <c r="A754" s="1319"/>
      <c r="B754" s="1320"/>
      <c r="C754" s="1320" t="s">
        <v>16</v>
      </c>
      <c r="D754" s="1351" t="s">
        <v>17</v>
      </c>
      <c r="E754" s="841"/>
      <c r="F754" s="841"/>
      <c r="G754" s="1322"/>
      <c r="H754" s="644" t="s">
        <v>12</v>
      </c>
      <c r="I754" s="886"/>
      <c r="J754" s="886"/>
      <c r="K754" s="887"/>
      <c r="L754" s="1352">
        <f t="shared" ref="L754:N754" si="302">L755+L756</f>
        <v>0</v>
      </c>
      <c r="M754" s="1352">
        <f t="shared" si="302"/>
        <v>0</v>
      </c>
      <c r="N754" s="1352">
        <f t="shared" si="302"/>
        <v>0</v>
      </c>
      <c r="O754" s="1352">
        <f t="shared" ref="O754:O759" si="303">IF(L754&gt;0,N754*100/L754,0)</f>
        <v>0</v>
      </c>
      <c r="P754" s="1352">
        <f t="shared" ref="P754:P759" si="304">IF(M754&gt;0,N754*100/M754,0)</f>
        <v>0</v>
      </c>
      <c r="Q754" s="1323"/>
      <c r="R754" s="1323"/>
      <c r="S754" s="1323"/>
      <c r="T754" s="1323"/>
      <c r="U754" s="1323"/>
      <c r="V754" s="1323"/>
      <c r="W754" s="1323"/>
      <c r="X754" s="1323"/>
      <c r="Y754" s="1323"/>
      <c r="Z754" s="1323"/>
    </row>
    <row r="755" spans="1:26" ht="18.75" hidden="1">
      <c r="A755" s="1319"/>
      <c r="B755" s="1320"/>
      <c r="C755" s="1320"/>
      <c r="D755" s="1321"/>
      <c r="E755" s="1320" t="s">
        <v>185</v>
      </c>
      <c r="F755" s="1320"/>
      <c r="G755" s="1322"/>
      <c r="H755" s="165" t="s">
        <v>12</v>
      </c>
      <c r="I755" s="886"/>
      <c r="J755" s="886"/>
      <c r="K755" s="887"/>
      <c r="L755" s="887">
        <f t="shared" ref="L755:N756" si="305">L758+L765</f>
        <v>0</v>
      </c>
      <c r="M755" s="887">
        <f t="shared" si="305"/>
        <v>0</v>
      </c>
      <c r="N755" s="887">
        <f t="shared" si="305"/>
        <v>0</v>
      </c>
      <c r="O755" s="887">
        <f t="shared" si="303"/>
        <v>0</v>
      </c>
      <c r="P755" s="887">
        <f t="shared" si="304"/>
        <v>0</v>
      </c>
      <c r="Q755" s="1323"/>
      <c r="R755" s="1323"/>
      <c r="S755" s="1323"/>
      <c r="T755" s="1323"/>
      <c r="U755" s="1323"/>
      <c r="V755" s="1323"/>
      <c r="W755" s="1323"/>
      <c r="X755" s="1323"/>
      <c r="Y755" s="1323"/>
      <c r="Z755" s="1323"/>
    </row>
    <row r="756" spans="1:26" ht="18.75" hidden="1">
      <c r="A756" s="1319"/>
      <c r="B756" s="1324"/>
      <c r="C756" s="1320"/>
      <c r="D756" s="1321"/>
      <c r="E756" s="1320" t="s">
        <v>186</v>
      </c>
      <c r="F756" s="1320"/>
      <c r="G756" s="1322"/>
      <c r="H756" s="165" t="s">
        <v>12</v>
      </c>
      <c r="I756" s="886"/>
      <c r="J756" s="886"/>
      <c r="K756" s="887"/>
      <c r="L756" s="887">
        <f t="shared" si="305"/>
        <v>0</v>
      </c>
      <c r="M756" s="887">
        <f t="shared" si="305"/>
        <v>0</v>
      </c>
      <c r="N756" s="887">
        <f t="shared" si="305"/>
        <v>0</v>
      </c>
      <c r="O756" s="887">
        <f t="shared" si="303"/>
        <v>0</v>
      </c>
      <c r="P756" s="887">
        <f t="shared" si="304"/>
        <v>0</v>
      </c>
      <c r="Q756" s="1323"/>
      <c r="R756" s="1323"/>
      <c r="S756" s="1323"/>
      <c r="T756" s="1323"/>
      <c r="U756" s="1323"/>
      <c r="V756" s="1323"/>
      <c r="W756" s="1323"/>
      <c r="X756" s="1323"/>
      <c r="Y756" s="1323"/>
      <c r="Z756" s="1323"/>
    </row>
    <row r="757" spans="1:26" ht="19.5" hidden="1">
      <c r="A757" s="1319"/>
      <c r="B757" s="1324"/>
      <c r="C757" s="1320"/>
      <c r="D757" s="1453" t="s">
        <v>20</v>
      </c>
      <c r="E757" s="1320"/>
      <c r="F757" s="1320"/>
      <c r="G757" s="1322"/>
      <c r="H757" s="644" t="s">
        <v>12</v>
      </c>
      <c r="I757" s="1000"/>
      <c r="J757" s="1000"/>
      <c r="K757" s="1001"/>
      <c r="L757" s="1352">
        <f t="shared" ref="L757:N757" si="306">L758+L759</f>
        <v>0</v>
      </c>
      <c r="M757" s="1352">
        <f t="shared" si="306"/>
        <v>0</v>
      </c>
      <c r="N757" s="1352">
        <f t="shared" si="306"/>
        <v>0</v>
      </c>
      <c r="O757" s="1352">
        <f t="shared" si="303"/>
        <v>0</v>
      </c>
      <c r="P757" s="1352">
        <f t="shared" si="304"/>
        <v>0</v>
      </c>
      <c r="Q757" s="1323"/>
      <c r="R757" s="1323"/>
      <c r="S757" s="1323"/>
      <c r="T757" s="1323"/>
      <c r="U757" s="1323"/>
      <c r="V757" s="1323"/>
      <c r="W757" s="1323"/>
      <c r="X757" s="1323"/>
      <c r="Y757" s="1323"/>
      <c r="Z757" s="1323"/>
    </row>
    <row r="758" spans="1:26" ht="18.75" hidden="1">
      <c r="A758" s="1319"/>
      <c r="B758" s="1324"/>
      <c r="C758" s="1320"/>
      <c r="D758" s="1321"/>
      <c r="E758" s="1320" t="s">
        <v>185</v>
      </c>
      <c r="F758" s="1320"/>
      <c r="G758" s="1322"/>
      <c r="H758" s="165" t="s">
        <v>12</v>
      </c>
      <c r="I758" s="886"/>
      <c r="J758" s="886"/>
      <c r="K758" s="887"/>
      <c r="L758" s="887">
        <v>0</v>
      </c>
      <c r="M758" s="887">
        <v>0</v>
      </c>
      <c r="N758" s="887">
        <v>0</v>
      </c>
      <c r="O758" s="887">
        <f t="shared" si="303"/>
        <v>0</v>
      </c>
      <c r="P758" s="887">
        <f t="shared" si="304"/>
        <v>0</v>
      </c>
      <c r="Q758" s="1323"/>
      <c r="R758" s="1323"/>
      <c r="S758" s="1323"/>
      <c r="T758" s="1323"/>
      <c r="U758" s="1323"/>
      <c r="V758" s="1323"/>
      <c r="W758" s="1323"/>
      <c r="X758" s="1323"/>
      <c r="Y758" s="1323"/>
      <c r="Z758" s="1323"/>
    </row>
    <row r="759" spans="1:26" ht="18.75" hidden="1">
      <c r="A759" s="1319"/>
      <c r="B759" s="1324"/>
      <c r="C759" s="1320"/>
      <c r="D759" s="1321"/>
      <c r="E759" s="1320" t="s">
        <v>186</v>
      </c>
      <c r="F759" s="1320"/>
      <c r="G759" s="1322"/>
      <c r="H759" s="165" t="s">
        <v>12</v>
      </c>
      <c r="I759" s="886"/>
      <c r="J759" s="886"/>
      <c r="K759" s="887"/>
      <c r="L759" s="887">
        <v>0</v>
      </c>
      <c r="M759" s="887">
        <v>0</v>
      </c>
      <c r="N759" s="887">
        <f>N760+N761+N762+N763</f>
        <v>0</v>
      </c>
      <c r="O759" s="887">
        <f t="shared" si="303"/>
        <v>0</v>
      </c>
      <c r="P759" s="887">
        <f t="shared" si="304"/>
        <v>0</v>
      </c>
      <c r="Q759" s="1323"/>
      <c r="R759" s="1323"/>
      <c r="S759" s="1323"/>
      <c r="T759" s="1323"/>
      <c r="U759" s="1323"/>
      <c r="V759" s="1323"/>
      <c r="W759" s="1323"/>
      <c r="X759" s="1323"/>
      <c r="Y759" s="1323"/>
      <c r="Z759" s="1323"/>
    </row>
    <row r="760" spans="1:26" ht="18.75" hidden="1">
      <c r="A760" s="1354"/>
      <c r="B760" s="1324"/>
      <c r="C760" s="1320"/>
      <c r="D760" s="1320"/>
      <c r="E760" s="1320"/>
      <c r="F760" s="1320" t="s">
        <v>187</v>
      </c>
      <c r="G760" s="1322"/>
      <c r="H760" s="165" t="s">
        <v>12</v>
      </c>
      <c r="I760" s="886"/>
      <c r="J760" s="886"/>
      <c r="K760" s="887"/>
      <c r="L760" s="887"/>
      <c r="M760" s="887"/>
      <c r="N760" s="887"/>
      <c r="O760" s="887"/>
      <c r="P760" s="887"/>
      <c r="Q760" s="1323"/>
      <c r="R760" s="1323"/>
      <c r="S760" s="1323"/>
      <c r="T760" s="1323"/>
      <c r="U760" s="1323"/>
      <c r="V760" s="1323"/>
      <c r="W760" s="1323"/>
      <c r="X760" s="1323"/>
      <c r="Y760" s="1323"/>
      <c r="Z760" s="1323"/>
    </row>
    <row r="761" spans="1:26" ht="18.75" hidden="1">
      <c r="A761" s="1354"/>
      <c r="B761" s="1324"/>
      <c r="C761" s="1320"/>
      <c r="D761" s="1320"/>
      <c r="E761" s="1320"/>
      <c r="F761" s="1320" t="s">
        <v>188</v>
      </c>
      <c r="G761" s="1322"/>
      <c r="H761" s="165" t="s">
        <v>12</v>
      </c>
      <c r="I761" s="886"/>
      <c r="J761" s="886"/>
      <c r="K761" s="887"/>
      <c r="L761" s="887"/>
      <c r="M761" s="887"/>
      <c r="N761" s="887"/>
      <c r="O761" s="887"/>
      <c r="P761" s="887"/>
      <c r="Q761" s="1323"/>
      <c r="R761" s="1323"/>
      <c r="S761" s="1323"/>
      <c r="T761" s="1323"/>
      <c r="U761" s="1323"/>
      <c r="V761" s="1323"/>
      <c r="W761" s="1323"/>
      <c r="X761" s="1323"/>
      <c r="Y761" s="1323"/>
      <c r="Z761" s="1323"/>
    </row>
    <row r="762" spans="1:26" ht="18.75" hidden="1">
      <c r="A762" s="1354"/>
      <c r="B762" s="1324"/>
      <c r="C762" s="1320"/>
      <c r="D762" s="1320"/>
      <c r="E762" s="1320"/>
      <c r="F762" s="1320" t="s">
        <v>189</v>
      </c>
      <c r="G762" s="1322"/>
      <c r="H762" s="165" t="s">
        <v>12</v>
      </c>
      <c r="I762" s="886"/>
      <c r="J762" s="886"/>
      <c r="K762" s="887"/>
      <c r="L762" s="887"/>
      <c r="M762" s="887"/>
      <c r="N762" s="887"/>
      <c r="O762" s="887"/>
      <c r="P762" s="887"/>
      <c r="Q762" s="1323"/>
      <c r="R762" s="1323"/>
      <c r="S762" s="1323"/>
      <c r="T762" s="1323"/>
      <c r="U762" s="1323"/>
      <c r="V762" s="1323"/>
      <c r="W762" s="1323"/>
      <c r="X762" s="1323"/>
      <c r="Y762" s="1323"/>
      <c r="Z762" s="1323"/>
    </row>
    <row r="763" spans="1:26" ht="18.75" hidden="1">
      <c r="A763" s="1354"/>
      <c r="B763" s="1324"/>
      <c r="C763" s="1320"/>
      <c r="D763" s="1320"/>
      <c r="E763" s="1320"/>
      <c r="F763" s="1320" t="s">
        <v>190</v>
      </c>
      <c r="G763" s="1322"/>
      <c r="H763" s="165" t="s">
        <v>12</v>
      </c>
      <c r="I763" s="886"/>
      <c r="J763" s="886"/>
      <c r="K763" s="887"/>
      <c r="L763" s="887"/>
      <c r="M763" s="887"/>
      <c r="N763" s="887"/>
      <c r="O763" s="887"/>
      <c r="P763" s="887"/>
      <c r="Q763" s="1323"/>
      <c r="R763" s="1323"/>
      <c r="S763" s="1323"/>
      <c r="T763" s="1323"/>
      <c r="U763" s="1323"/>
      <c r="V763" s="1323"/>
      <c r="W763" s="1323"/>
      <c r="X763" s="1323"/>
      <c r="Y763" s="1323"/>
      <c r="Z763" s="1323"/>
    </row>
    <row r="764" spans="1:26" ht="19.5" hidden="1">
      <c r="A764" s="1319"/>
      <c r="B764" s="1324"/>
      <c r="C764" s="1320"/>
      <c r="D764" s="1453" t="s">
        <v>21</v>
      </c>
      <c r="E764" s="1320"/>
      <c r="F764" s="1320"/>
      <c r="G764" s="1322"/>
      <c r="H764" s="781" t="s">
        <v>12</v>
      </c>
      <c r="I764" s="1000"/>
      <c r="J764" s="1000"/>
      <c r="K764" s="1001"/>
      <c r="L764" s="1352">
        <f t="shared" ref="L764:N764" si="307">L765+L766</f>
        <v>0</v>
      </c>
      <c r="M764" s="1352">
        <f t="shared" si="307"/>
        <v>0</v>
      </c>
      <c r="N764" s="1352">
        <f t="shared" si="307"/>
        <v>0</v>
      </c>
      <c r="O764" s="1352">
        <f t="shared" ref="O764:O766" si="308">IF(L764&gt;0,N764*100/L764,0)</f>
        <v>0</v>
      </c>
      <c r="P764" s="1352">
        <f t="shared" ref="P764:P766" si="309">IF(M764&gt;0,N764*100/M764,0)</f>
        <v>0</v>
      </c>
      <c r="Q764" s="1323"/>
      <c r="R764" s="1323"/>
      <c r="S764" s="1323"/>
      <c r="T764" s="1323"/>
      <c r="U764" s="1323"/>
      <c r="V764" s="1323"/>
      <c r="W764" s="1323"/>
      <c r="X764" s="1323"/>
      <c r="Y764" s="1323"/>
      <c r="Z764" s="1323"/>
    </row>
    <row r="765" spans="1:26" ht="18.75" hidden="1">
      <c r="A765" s="1319"/>
      <c r="B765" s="1324"/>
      <c r="C765" s="1320"/>
      <c r="D765" s="1320"/>
      <c r="E765" s="1320" t="s">
        <v>18</v>
      </c>
      <c r="F765" s="1320"/>
      <c r="G765" s="1322"/>
      <c r="H765" s="165" t="s">
        <v>12</v>
      </c>
      <c r="I765" s="1000"/>
      <c r="J765" s="1000"/>
      <c r="K765" s="1001"/>
      <c r="L765" s="887">
        <v>0</v>
      </c>
      <c r="M765" s="887">
        <v>0</v>
      </c>
      <c r="N765" s="887">
        <v>0</v>
      </c>
      <c r="O765" s="887">
        <f t="shared" si="308"/>
        <v>0</v>
      </c>
      <c r="P765" s="887">
        <f t="shared" si="309"/>
        <v>0</v>
      </c>
      <c r="Q765" s="1323"/>
      <c r="R765" s="1323"/>
      <c r="S765" s="1323"/>
      <c r="T765" s="1323"/>
      <c r="U765" s="1323"/>
      <c r="V765" s="1323"/>
      <c r="W765" s="1323"/>
      <c r="X765" s="1323"/>
      <c r="Y765" s="1323"/>
      <c r="Z765" s="1323"/>
    </row>
    <row r="766" spans="1:26" ht="18.75" hidden="1">
      <c r="A766" s="1319"/>
      <c r="B766" s="1324"/>
      <c r="C766" s="1320"/>
      <c r="D766" s="1320"/>
      <c r="E766" s="1320" t="s">
        <v>19</v>
      </c>
      <c r="F766" s="1320"/>
      <c r="G766" s="1322"/>
      <c r="H766" s="169" t="s">
        <v>12</v>
      </c>
      <c r="I766" s="1000"/>
      <c r="J766" s="1000"/>
      <c r="K766" s="1001"/>
      <c r="L766" s="887">
        <v>0</v>
      </c>
      <c r="M766" s="887">
        <v>0</v>
      </c>
      <c r="N766" s="887">
        <v>0</v>
      </c>
      <c r="O766" s="887">
        <f t="shared" si="308"/>
        <v>0</v>
      </c>
      <c r="P766" s="887">
        <f t="shared" si="309"/>
        <v>0</v>
      </c>
      <c r="Q766" s="1323"/>
      <c r="R766" s="1323"/>
      <c r="S766" s="1323"/>
      <c r="T766" s="1323"/>
      <c r="U766" s="1323"/>
      <c r="V766" s="1323"/>
      <c r="W766" s="1323"/>
      <c r="X766" s="1323"/>
      <c r="Y766" s="1323"/>
      <c r="Z766" s="1323"/>
    </row>
    <row r="767" spans="1:26" ht="19.5" hidden="1">
      <c r="A767" s="1332"/>
      <c r="B767" s="1333"/>
      <c r="C767" s="1320" t="s">
        <v>16</v>
      </c>
      <c r="D767" s="1454" t="s">
        <v>38</v>
      </c>
      <c r="E767" s="1356"/>
      <c r="F767" s="1356"/>
      <c r="G767" s="1357"/>
      <c r="H767" s="1113"/>
      <c r="I767" s="1000"/>
      <c r="J767" s="1000"/>
      <c r="K767" s="1001"/>
      <c r="L767" s="1001"/>
      <c r="M767" s="1001"/>
      <c r="N767" s="1001"/>
      <c r="O767" s="1001"/>
      <c r="P767" s="1001"/>
      <c r="Q767" s="1323"/>
      <c r="R767" s="1323"/>
      <c r="S767" s="1323"/>
      <c r="T767" s="1323"/>
      <c r="U767" s="1323"/>
      <c r="V767" s="1323"/>
      <c r="W767" s="1323"/>
      <c r="X767" s="1323"/>
      <c r="Y767" s="1323"/>
      <c r="Z767" s="1323"/>
    </row>
    <row r="768" spans="1:26" ht="18.75" hidden="1">
      <c r="A768" s="1354"/>
      <c r="B768" s="1324"/>
      <c r="C768" s="1320"/>
      <c r="D768" s="1320"/>
      <c r="E768" s="1320" t="s">
        <v>317</v>
      </c>
      <c r="F768" s="1320"/>
      <c r="G768" s="1322"/>
      <c r="H768" s="165" t="s">
        <v>46</v>
      </c>
      <c r="I768" s="886"/>
      <c r="J768" s="886"/>
      <c r="K768" s="887"/>
      <c r="L768" s="887"/>
      <c r="M768" s="887"/>
      <c r="N768" s="887"/>
      <c r="O768" s="887"/>
      <c r="P768" s="887"/>
      <c r="Q768" s="1323"/>
      <c r="R768" s="1323"/>
      <c r="S768" s="1323"/>
      <c r="T768" s="1323"/>
      <c r="U768" s="1323"/>
      <c r="V768" s="1323"/>
      <c r="W768" s="1323"/>
      <c r="X768" s="1323"/>
      <c r="Y768" s="1323"/>
      <c r="Z768" s="1323"/>
    </row>
    <row r="769" spans="1:26" ht="19.5" hidden="1">
      <c r="A769" s="791">
        <v>11</v>
      </c>
      <c r="B769" s="1461" t="s">
        <v>318</v>
      </c>
      <c r="C769" s="1462"/>
      <c r="D769" s="1462"/>
      <c r="E769" s="1462"/>
      <c r="F769" s="1462"/>
      <c r="G769" s="1463"/>
      <c r="H769" s="795" t="s">
        <v>46</v>
      </c>
      <c r="I769" s="1464"/>
      <c r="J769" s="1464">
        <f>J784</f>
        <v>0</v>
      </c>
      <c r="K769" s="1465">
        <f>IF(I769&gt;0,J769*100/I769,0)</f>
        <v>0</v>
      </c>
      <c r="L769" s="1466"/>
      <c r="M769" s="1466"/>
      <c r="N769" s="1466"/>
      <c r="O769" s="1466"/>
      <c r="P769" s="1466"/>
      <c r="Q769" s="1323"/>
      <c r="R769" s="1323"/>
      <c r="S769" s="1323"/>
      <c r="T769" s="1323"/>
      <c r="U769" s="1323"/>
      <c r="V769" s="1323"/>
      <c r="W769" s="1323"/>
      <c r="X769" s="1323"/>
      <c r="Y769" s="1323"/>
      <c r="Z769" s="1323"/>
    </row>
    <row r="770" spans="1:26" ht="19.5" hidden="1">
      <c r="A770" s="1319"/>
      <c r="B770" s="1320"/>
      <c r="C770" s="1320" t="s">
        <v>16</v>
      </c>
      <c r="D770" s="1351" t="s">
        <v>17</v>
      </c>
      <c r="E770" s="841"/>
      <c r="F770" s="841"/>
      <c r="G770" s="1322"/>
      <c r="H770" s="644" t="s">
        <v>12</v>
      </c>
      <c r="I770" s="886"/>
      <c r="J770" s="886"/>
      <c r="K770" s="887"/>
      <c r="L770" s="1352">
        <f t="shared" ref="L770:N770" si="310">L771+L772</f>
        <v>0</v>
      </c>
      <c r="M770" s="1352">
        <f t="shared" si="310"/>
        <v>0</v>
      </c>
      <c r="N770" s="1352">
        <f t="shared" si="310"/>
        <v>0</v>
      </c>
      <c r="O770" s="1352">
        <f t="shared" ref="O770:O775" si="311">IF(L770&gt;0,N770*100/L770,0)</f>
        <v>0</v>
      </c>
      <c r="P770" s="1352">
        <f t="shared" ref="P770:P775" si="312">IF(M770&gt;0,N770*100/M770,0)</f>
        <v>0</v>
      </c>
      <c r="Q770" s="1323"/>
      <c r="R770" s="1323"/>
      <c r="S770" s="1323"/>
      <c r="T770" s="1323"/>
      <c r="U770" s="1323"/>
      <c r="V770" s="1323"/>
      <c r="W770" s="1323"/>
      <c r="X770" s="1323"/>
      <c r="Y770" s="1323"/>
      <c r="Z770" s="1323"/>
    </row>
    <row r="771" spans="1:26" ht="18.75" hidden="1">
      <c r="A771" s="1319"/>
      <c r="B771" s="1320"/>
      <c r="C771" s="1320"/>
      <c r="D771" s="1321"/>
      <c r="E771" s="1320" t="s">
        <v>185</v>
      </c>
      <c r="F771" s="1320"/>
      <c r="G771" s="1322"/>
      <c r="H771" s="165" t="s">
        <v>12</v>
      </c>
      <c r="I771" s="886"/>
      <c r="J771" s="886"/>
      <c r="K771" s="887"/>
      <c r="L771" s="887">
        <f t="shared" ref="L771:N772" si="313">L774+L781</f>
        <v>0</v>
      </c>
      <c r="M771" s="887">
        <f t="shared" si="313"/>
        <v>0</v>
      </c>
      <c r="N771" s="887">
        <f t="shared" si="313"/>
        <v>0</v>
      </c>
      <c r="O771" s="887">
        <f t="shared" si="311"/>
        <v>0</v>
      </c>
      <c r="P771" s="887">
        <f t="shared" si="312"/>
        <v>0</v>
      </c>
      <c r="Q771" s="1323"/>
      <c r="R771" s="1323"/>
      <c r="S771" s="1323"/>
      <c r="T771" s="1323"/>
      <c r="U771" s="1323"/>
      <c r="V771" s="1323"/>
      <c r="W771" s="1323"/>
      <c r="X771" s="1323"/>
      <c r="Y771" s="1323"/>
      <c r="Z771" s="1323"/>
    </row>
    <row r="772" spans="1:26" ht="18.75" hidden="1">
      <c r="A772" s="1319"/>
      <c r="B772" s="1324"/>
      <c r="C772" s="1320"/>
      <c r="D772" s="1321"/>
      <c r="E772" s="1320" t="s">
        <v>186</v>
      </c>
      <c r="F772" s="1320"/>
      <c r="G772" s="1322"/>
      <c r="H772" s="165" t="s">
        <v>12</v>
      </c>
      <c r="I772" s="886"/>
      <c r="J772" s="886"/>
      <c r="K772" s="887"/>
      <c r="L772" s="887">
        <f t="shared" si="313"/>
        <v>0</v>
      </c>
      <c r="M772" s="887">
        <f t="shared" si="313"/>
        <v>0</v>
      </c>
      <c r="N772" s="887">
        <f t="shared" si="313"/>
        <v>0</v>
      </c>
      <c r="O772" s="887">
        <f t="shared" si="311"/>
        <v>0</v>
      </c>
      <c r="P772" s="887">
        <f t="shared" si="312"/>
        <v>0</v>
      </c>
      <c r="Q772" s="1323"/>
      <c r="R772" s="1323"/>
      <c r="S772" s="1323"/>
      <c r="T772" s="1323"/>
      <c r="U772" s="1323"/>
      <c r="V772" s="1323"/>
      <c r="W772" s="1323"/>
      <c r="X772" s="1323"/>
      <c r="Y772" s="1323"/>
      <c r="Z772" s="1323"/>
    </row>
    <row r="773" spans="1:26" ht="19.5" hidden="1">
      <c r="A773" s="1319"/>
      <c r="B773" s="1324"/>
      <c r="C773" s="1320"/>
      <c r="D773" s="1453" t="s">
        <v>20</v>
      </c>
      <c r="E773" s="1320"/>
      <c r="F773" s="1320"/>
      <c r="G773" s="1322"/>
      <c r="H773" s="644" t="s">
        <v>12</v>
      </c>
      <c r="I773" s="1000"/>
      <c r="J773" s="1000"/>
      <c r="K773" s="1001"/>
      <c r="L773" s="1352">
        <f t="shared" ref="L773:N773" si="314">L774+L775</f>
        <v>0</v>
      </c>
      <c r="M773" s="1352">
        <f t="shared" si="314"/>
        <v>0</v>
      </c>
      <c r="N773" s="1352">
        <f t="shared" si="314"/>
        <v>0</v>
      </c>
      <c r="O773" s="1352">
        <f t="shared" si="311"/>
        <v>0</v>
      </c>
      <c r="P773" s="1352">
        <f t="shared" si="312"/>
        <v>0</v>
      </c>
      <c r="Q773" s="1323"/>
      <c r="R773" s="1323"/>
      <c r="S773" s="1323"/>
      <c r="T773" s="1323"/>
      <c r="U773" s="1323"/>
      <c r="V773" s="1323"/>
      <c r="W773" s="1323"/>
      <c r="X773" s="1323"/>
      <c r="Y773" s="1323"/>
      <c r="Z773" s="1323"/>
    </row>
    <row r="774" spans="1:26" ht="18.75" hidden="1">
      <c r="A774" s="1319"/>
      <c r="B774" s="1324"/>
      <c r="C774" s="1320"/>
      <c r="D774" s="1321"/>
      <c r="E774" s="1320" t="s">
        <v>185</v>
      </c>
      <c r="F774" s="1320"/>
      <c r="G774" s="1322"/>
      <c r="H774" s="165" t="s">
        <v>12</v>
      </c>
      <c r="I774" s="886"/>
      <c r="J774" s="886"/>
      <c r="K774" s="887"/>
      <c r="L774" s="887">
        <v>0</v>
      </c>
      <c r="M774" s="887">
        <v>0</v>
      </c>
      <c r="N774" s="887">
        <v>0</v>
      </c>
      <c r="O774" s="887">
        <f t="shared" si="311"/>
        <v>0</v>
      </c>
      <c r="P774" s="887">
        <f t="shared" si="312"/>
        <v>0</v>
      </c>
      <c r="Q774" s="1323"/>
      <c r="R774" s="1323"/>
      <c r="S774" s="1323"/>
      <c r="T774" s="1323"/>
      <c r="U774" s="1323"/>
      <c r="V774" s="1323"/>
      <c r="W774" s="1323"/>
      <c r="X774" s="1323"/>
      <c r="Y774" s="1323"/>
      <c r="Z774" s="1323"/>
    </row>
    <row r="775" spans="1:26" ht="18.75" hidden="1">
      <c r="A775" s="1319"/>
      <c r="B775" s="1324"/>
      <c r="C775" s="1320"/>
      <c r="D775" s="1321"/>
      <c r="E775" s="1320" t="s">
        <v>186</v>
      </c>
      <c r="F775" s="1320"/>
      <c r="G775" s="1322"/>
      <c r="H775" s="165" t="s">
        <v>12</v>
      </c>
      <c r="I775" s="886"/>
      <c r="J775" s="886"/>
      <c r="K775" s="887"/>
      <c r="L775" s="887">
        <v>0</v>
      </c>
      <c r="M775" s="887">
        <v>0</v>
      </c>
      <c r="N775" s="887">
        <f>N776+N777+N778+N779</f>
        <v>0</v>
      </c>
      <c r="O775" s="887">
        <f t="shared" si="311"/>
        <v>0</v>
      </c>
      <c r="P775" s="887">
        <f t="shared" si="312"/>
        <v>0</v>
      </c>
      <c r="Q775" s="1323"/>
      <c r="R775" s="1323"/>
      <c r="S775" s="1323"/>
      <c r="T775" s="1323"/>
      <c r="U775" s="1323"/>
      <c r="V775" s="1323"/>
      <c r="W775" s="1323"/>
      <c r="X775" s="1323"/>
      <c r="Y775" s="1323"/>
      <c r="Z775" s="1323"/>
    </row>
    <row r="776" spans="1:26" ht="18.75" hidden="1">
      <c r="A776" s="1354"/>
      <c r="B776" s="1324"/>
      <c r="C776" s="1320"/>
      <c r="D776" s="1320"/>
      <c r="E776" s="1320"/>
      <c r="F776" s="1320" t="s">
        <v>187</v>
      </c>
      <c r="G776" s="1322"/>
      <c r="H776" s="165" t="s">
        <v>12</v>
      </c>
      <c r="I776" s="886"/>
      <c r="J776" s="886"/>
      <c r="K776" s="887"/>
      <c r="L776" s="887"/>
      <c r="M776" s="887"/>
      <c r="N776" s="887"/>
      <c r="O776" s="887"/>
      <c r="P776" s="887"/>
      <c r="Q776" s="1323"/>
      <c r="R776" s="1323"/>
      <c r="S776" s="1323"/>
      <c r="T776" s="1323"/>
      <c r="U776" s="1323"/>
      <c r="V776" s="1323"/>
      <c r="W776" s="1323"/>
      <c r="X776" s="1323"/>
      <c r="Y776" s="1323"/>
      <c r="Z776" s="1323"/>
    </row>
    <row r="777" spans="1:26" ht="18.75" hidden="1">
      <c r="A777" s="1354"/>
      <c r="B777" s="1324"/>
      <c r="C777" s="1320"/>
      <c r="D777" s="1320"/>
      <c r="E777" s="1320"/>
      <c r="F777" s="1320" t="s">
        <v>188</v>
      </c>
      <c r="G777" s="1322"/>
      <c r="H777" s="165" t="s">
        <v>12</v>
      </c>
      <c r="I777" s="886"/>
      <c r="J777" s="886"/>
      <c r="K777" s="887"/>
      <c r="L777" s="887"/>
      <c r="M777" s="887"/>
      <c r="N777" s="887"/>
      <c r="O777" s="887"/>
      <c r="P777" s="887"/>
      <c r="Q777" s="1323"/>
      <c r="R777" s="1323"/>
      <c r="S777" s="1323"/>
      <c r="T777" s="1323"/>
      <c r="U777" s="1323"/>
      <c r="V777" s="1323"/>
      <c r="W777" s="1323"/>
      <c r="X777" s="1323"/>
      <c r="Y777" s="1323"/>
      <c r="Z777" s="1323"/>
    </row>
    <row r="778" spans="1:26" ht="18.75" hidden="1">
      <c r="A778" s="1354"/>
      <c r="B778" s="1324"/>
      <c r="C778" s="1320"/>
      <c r="D778" s="1320"/>
      <c r="E778" s="1320"/>
      <c r="F778" s="1320" t="s">
        <v>189</v>
      </c>
      <c r="G778" s="1322"/>
      <c r="H778" s="165" t="s">
        <v>12</v>
      </c>
      <c r="I778" s="886"/>
      <c r="J778" s="886"/>
      <c r="K778" s="887"/>
      <c r="L778" s="887"/>
      <c r="M778" s="887"/>
      <c r="N778" s="887"/>
      <c r="O778" s="887"/>
      <c r="P778" s="887"/>
      <c r="Q778" s="1323"/>
      <c r="R778" s="1323"/>
      <c r="S778" s="1323"/>
      <c r="T778" s="1323"/>
      <c r="U778" s="1323"/>
      <c r="V778" s="1323"/>
      <c r="W778" s="1323"/>
      <c r="X778" s="1323"/>
      <c r="Y778" s="1323"/>
      <c r="Z778" s="1323"/>
    </row>
    <row r="779" spans="1:26" ht="18.75" hidden="1">
      <c r="A779" s="1354"/>
      <c r="B779" s="1324"/>
      <c r="C779" s="1320"/>
      <c r="D779" s="1320"/>
      <c r="E779" s="1320"/>
      <c r="F779" s="1320" t="s">
        <v>190</v>
      </c>
      <c r="G779" s="1322"/>
      <c r="H779" s="165" t="s">
        <v>12</v>
      </c>
      <c r="I779" s="886"/>
      <c r="J779" s="886"/>
      <c r="K779" s="887"/>
      <c r="L779" s="887"/>
      <c r="M779" s="887"/>
      <c r="N779" s="887"/>
      <c r="O779" s="887"/>
      <c r="P779" s="887"/>
      <c r="Q779" s="1323"/>
      <c r="R779" s="1323"/>
      <c r="S779" s="1323"/>
      <c r="T779" s="1323"/>
      <c r="U779" s="1323"/>
      <c r="V779" s="1323"/>
      <c r="W779" s="1323"/>
      <c r="X779" s="1323"/>
      <c r="Y779" s="1323"/>
      <c r="Z779" s="1323"/>
    </row>
    <row r="780" spans="1:26" ht="19.5" hidden="1">
      <c r="A780" s="1319"/>
      <c r="B780" s="1324"/>
      <c r="C780" s="1320"/>
      <c r="D780" s="1453" t="s">
        <v>21</v>
      </c>
      <c r="E780" s="1320"/>
      <c r="F780" s="1320"/>
      <c r="G780" s="1322"/>
      <c r="H780" s="781" t="s">
        <v>12</v>
      </c>
      <c r="I780" s="1000"/>
      <c r="J780" s="1000"/>
      <c r="K780" s="1001"/>
      <c r="L780" s="1352">
        <f t="shared" ref="L780:N780" si="315">L781+L782</f>
        <v>0</v>
      </c>
      <c r="M780" s="1352">
        <f t="shared" si="315"/>
        <v>0</v>
      </c>
      <c r="N780" s="1352">
        <f t="shared" si="315"/>
        <v>0</v>
      </c>
      <c r="O780" s="1352">
        <f t="shared" ref="O780:O782" si="316">IF(L780&gt;0,N780*100/L780,0)</f>
        <v>0</v>
      </c>
      <c r="P780" s="1352">
        <f t="shared" ref="P780:P782" si="317">IF(M780&gt;0,N780*100/M780,0)</f>
        <v>0</v>
      </c>
      <c r="Q780" s="1323"/>
      <c r="R780" s="1323"/>
      <c r="S780" s="1323"/>
      <c r="T780" s="1323"/>
      <c r="U780" s="1323"/>
      <c r="V780" s="1323"/>
      <c r="W780" s="1323"/>
      <c r="X780" s="1323"/>
      <c r="Y780" s="1323"/>
      <c r="Z780" s="1323"/>
    </row>
    <row r="781" spans="1:26" ht="18.75" hidden="1">
      <c r="A781" s="1319"/>
      <c r="B781" s="1324"/>
      <c r="C781" s="1320"/>
      <c r="D781" s="1320"/>
      <c r="E781" s="1320" t="s">
        <v>18</v>
      </c>
      <c r="F781" s="1320"/>
      <c r="G781" s="1322"/>
      <c r="H781" s="165" t="s">
        <v>12</v>
      </c>
      <c r="I781" s="1000"/>
      <c r="J781" s="1000"/>
      <c r="K781" s="1001"/>
      <c r="L781" s="887">
        <v>0</v>
      </c>
      <c r="M781" s="887">
        <v>0</v>
      </c>
      <c r="N781" s="887">
        <v>0</v>
      </c>
      <c r="O781" s="887">
        <f t="shared" si="316"/>
        <v>0</v>
      </c>
      <c r="P781" s="887">
        <f t="shared" si="317"/>
        <v>0</v>
      </c>
      <c r="Q781" s="1323"/>
      <c r="R781" s="1323"/>
      <c r="S781" s="1323"/>
      <c r="T781" s="1323"/>
      <c r="U781" s="1323"/>
      <c r="V781" s="1323"/>
      <c r="W781" s="1323"/>
      <c r="X781" s="1323"/>
      <c r="Y781" s="1323"/>
      <c r="Z781" s="1323"/>
    </row>
    <row r="782" spans="1:26" ht="18.75" hidden="1">
      <c r="A782" s="1319"/>
      <c r="B782" s="1324"/>
      <c r="C782" s="1320"/>
      <c r="D782" s="1320"/>
      <c r="E782" s="1320" t="s">
        <v>19</v>
      </c>
      <c r="F782" s="1320"/>
      <c r="G782" s="1322"/>
      <c r="H782" s="169" t="s">
        <v>12</v>
      </c>
      <c r="I782" s="1000"/>
      <c r="J782" s="1000"/>
      <c r="K782" s="1001"/>
      <c r="L782" s="887">
        <v>0</v>
      </c>
      <c r="M782" s="887">
        <v>0</v>
      </c>
      <c r="N782" s="887">
        <v>0</v>
      </c>
      <c r="O782" s="887">
        <f t="shared" si="316"/>
        <v>0</v>
      </c>
      <c r="P782" s="887">
        <f t="shared" si="317"/>
        <v>0</v>
      </c>
      <c r="Q782" s="1323"/>
      <c r="R782" s="1323"/>
      <c r="S782" s="1323"/>
      <c r="T782" s="1323"/>
      <c r="U782" s="1323"/>
      <c r="V782" s="1323"/>
      <c r="W782" s="1323"/>
      <c r="X782" s="1323"/>
      <c r="Y782" s="1323"/>
      <c r="Z782" s="1323"/>
    </row>
    <row r="783" spans="1:26" ht="19.5" hidden="1">
      <c r="A783" s="1332"/>
      <c r="B783" s="1333"/>
      <c r="C783" s="1320" t="s">
        <v>16</v>
      </c>
      <c r="D783" s="1454" t="s">
        <v>38</v>
      </c>
      <c r="E783" s="1356"/>
      <c r="F783" s="1356"/>
      <c r="G783" s="1357"/>
      <c r="H783" s="1467"/>
      <c r="I783" s="1000"/>
      <c r="J783" s="1000"/>
      <c r="K783" s="1001"/>
      <c r="L783" s="1001"/>
      <c r="M783" s="1001"/>
      <c r="N783" s="1001"/>
      <c r="O783" s="1001"/>
      <c r="P783" s="1001"/>
      <c r="Q783" s="1323"/>
      <c r="R783" s="1323"/>
      <c r="S783" s="1323"/>
      <c r="T783" s="1323"/>
      <c r="U783" s="1323"/>
      <c r="V783" s="1323"/>
      <c r="W783" s="1323"/>
      <c r="X783" s="1323"/>
      <c r="Y783" s="1323"/>
      <c r="Z783" s="1323"/>
    </row>
    <row r="784" spans="1:26" ht="18.75" hidden="1">
      <c r="A784" s="1354"/>
      <c r="B784" s="1324"/>
      <c r="C784" s="1320"/>
      <c r="D784" s="1320"/>
      <c r="E784" s="1320" t="s">
        <v>319</v>
      </c>
      <c r="F784" s="1320"/>
      <c r="G784" s="1322"/>
      <c r="H784" s="165" t="s">
        <v>46</v>
      </c>
      <c r="I784" s="886"/>
      <c r="J784" s="886"/>
      <c r="K784" s="887"/>
      <c r="L784" s="887"/>
      <c r="M784" s="887"/>
      <c r="N784" s="887"/>
      <c r="O784" s="887"/>
      <c r="P784" s="887"/>
      <c r="Q784" s="1323"/>
      <c r="R784" s="1323"/>
      <c r="S784" s="1323"/>
      <c r="T784" s="1323"/>
      <c r="U784" s="1323"/>
      <c r="V784" s="1323"/>
      <c r="W784" s="1323"/>
      <c r="X784" s="1323"/>
      <c r="Y784" s="1323"/>
      <c r="Z784" s="1323"/>
    </row>
    <row r="785" spans="1:26" ht="19.5" hidden="1">
      <c r="A785" s="800">
        <v>12</v>
      </c>
      <c r="B785" s="1468" t="s">
        <v>320</v>
      </c>
      <c r="C785" s="1469"/>
      <c r="D785" s="1469"/>
      <c r="E785" s="1469"/>
      <c r="F785" s="1469"/>
      <c r="G785" s="1470"/>
      <c r="H785" s="804" t="s">
        <v>46</v>
      </c>
      <c r="I785" s="1471">
        <f t="shared" ref="I785:J785" ca="1" si="318">I800</f>
        <v>0</v>
      </c>
      <c r="J785" s="1472">
        <f t="shared" ca="1" si="318"/>
        <v>0</v>
      </c>
      <c r="K785" s="1473">
        <f ca="1">IF(I785&gt;0,J785*100/I785,0)</f>
        <v>0</v>
      </c>
      <c r="L785" s="1474"/>
      <c r="M785" s="1474"/>
      <c r="N785" s="1474"/>
      <c r="O785" s="1474"/>
      <c r="P785" s="1474"/>
      <c r="Q785" s="1302"/>
      <c r="R785" s="1302"/>
      <c r="S785" s="1302"/>
      <c r="T785" s="1302"/>
      <c r="U785" s="1302"/>
      <c r="V785" s="1302"/>
      <c r="W785" s="1302"/>
      <c r="X785" s="1302"/>
      <c r="Y785" s="1302"/>
      <c r="Z785" s="1302"/>
    </row>
    <row r="786" spans="1:26" ht="19.5" hidden="1">
      <c r="A786" s="1317"/>
      <c r="B786" s="1300"/>
      <c r="C786" s="1301" t="s">
        <v>16</v>
      </c>
      <c r="D786" s="1318" t="s">
        <v>17</v>
      </c>
      <c r="E786" s="841"/>
      <c r="F786" s="841"/>
      <c r="G786" s="1016"/>
      <c r="H786" s="597" t="s">
        <v>12</v>
      </c>
      <c r="I786" s="880"/>
      <c r="J786" s="880"/>
      <c r="K786" s="881"/>
      <c r="L786" s="1020">
        <f t="shared" ref="L786:N786" ca="1" si="319">L787+L788</f>
        <v>0</v>
      </c>
      <c r="M786" s="1020">
        <f t="shared" si="319"/>
        <v>0</v>
      </c>
      <c r="N786" s="1020">
        <f t="shared" si="319"/>
        <v>0</v>
      </c>
      <c r="O786" s="1020">
        <f t="shared" ref="O786:O791" ca="1" si="320">IF(L786&gt;0,N786*100/L786,0)</f>
        <v>0</v>
      </c>
      <c r="P786" s="1020">
        <f t="shared" ref="P786:P791" si="321">IF(M786&gt;0,N786*100/M786,0)</f>
        <v>0</v>
      </c>
      <c r="Q786" s="1302"/>
      <c r="R786" s="1302"/>
      <c r="S786" s="1302"/>
      <c r="T786" s="1302"/>
      <c r="U786" s="1302"/>
      <c r="V786" s="1302"/>
      <c r="W786" s="1302"/>
      <c r="X786" s="1302"/>
      <c r="Y786" s="1302"/>
      <c r="Z786" s="1302"/>
    </row>
    <row r="787" spans="1:26" ht="18.75" hidden="1">
      <c r="A787" s="1319"/>
      <c r="B787" s="1324"/>
      <c r="C787" s="1320"/>
      <c r="D787" s="1321"/>
      <c r="E787" s="1320" t="s">
        <v>185</v>
      </c>
      <c r="F787" s="1320"/>
      <c r="G787" s="1322"/>
      <c r="H787" s="165" t="s">
        <v>12</v>
      </c>
      <c r="I787" s="886"/>
      <c r="J787" s="886"/>
      <c r="K787" s="887"/>
      <c r="L787" s="887">
        <f t="shared" ref="L787:N788" si="322">L790+L797</f>
        <v>0</v>
      </c>
      <c r="M787" s="887">
        <f t="shared" si="322"/>
        <v>0</v>
      </c>
      <c r="N787" s="887">
        <f t="shared" si="322"/>
        <v>0</v>
      </c>
      <c r="O787" s="887">
        <f t="shared" si="320"/>
        <v>0</v>
      </c>
      <c r="P787" s="887">
        <f t="shared" si="321"/>
        <v>0</v>
      </c>
      <c r="Q787" s="1323"/>
      <c r="R787" s="1323"/>
      <c r="S787" s="1323"/>
      <c r="T787" s="1323"/>
      <c r="U787" s="1323"/>
      <c r="V787" s="1323"/>
      <c r="W787" s="1323"/>
      <c r="X787" s="1323"/>
      <c r="Y787" s="1323"/>
      <c r="Z787" s="1323"/>
    </row>
    <row r="788" spans="1:26" ht="18.75" hidden="1">
      <c r="A788" s="1319"/>
      <c r="B788" s="1324"/>
      <c r="C788" s="1324"/>
      <c r="D788" s="1333"/>
      <c r="E788" s="1320" t="s">
        <v>186</v>
      </c>
      <c r="F788" s="1320"/>
      <c r="G788" s="1322"/>
      <c r="H788" s="165" t="s">
        <v>12</v>
      </c>
      <c r="I788" s="886"/>
      <c r="J788" s="886"/>
      <c r="K788" s="887"/>
      <c r="L788" s="887">
        <f t="shared" ca="1" si="322"/>
        <v>0</v>
      </c>
      <c r="M788" s="887">
        <f t="shared" si="322"/>
        <v>0</v>
      </c>
      <c r="N788" s="887">
        <f t="shared" si="322"/>
        <v>0</v>
      </c>
      <c r="O788" s="887">
        <f t="shared" ca="1" si="320"/>
        <v>0</v>
      </c>
      <c r="P788" s="887">
        <f t="shared" si="321"/>
        <v>0</v>
      </c>
      <c r="Q788" s="1323"/>
      <c r="R788" s="1323"/>
      <c r="S788" s="1323"/>
      <c r="T788" s="1323"/>
      <c r="U788" s="1323"/>
      <c r="V788" s="1323"/>
      <c r="W788" s="1323"/>
      <c r="X788" s="1323"/>
      <c r="Y788" s="1323"/>
      <c r="Z788" s="1323"/>
    </row>
    <row r="789" spans="1:26" ht="18.75" hidden="1">
      <c r="A789" s="1317"/>
      <c r="B789" s="1300"/>
      <c r="C789" s="1300"/>
      <c r="D789" s="1325" t="s">
        <v>20</v>
      </c>
      <c r="E789" s="1301"/>
      <c r="F789" s="1301"/>
      <c r="G789" s="1016"/>
      <c r="H789" s="161" t="s">
        <v>12</v>
      </c>
      <c r="I789" s="997"/>
      <c r="J789" s="997"/>
      <c r="K789" s="998"/>
      <c r="L789" s="881">
        <f t="shared" ref="L789:N789" ca="1" si="323">L790+L791</f>
        <v>0</v>
      </c>
      <c r="M789" s="881">
        <f t="shared" si="323"/>
        <v>0</v>
      </c>
      <c r="N789" s="881">
        <f t="shared" si="323"/>
        <v>0</v>
      </c>
      <c r="O789" s="881">
        <f t="shared" ca="1" si="320"/>
        <v>0</v>
      </c>
      <c r="P789" s="881">
        <f t="shared" si="321"/>
        <v>0</v>
      </c>
      <c r="Q789" s="1302"/>
      <c r="R789" s="1302"/>
      <c r="S789" s="1302"/>
      <c r="T789" s="1302"/>
      <c r="U789" s="1302"/>
      <c r="V789" s="1302"/>
      <c r="W789" s="1302"/>
      <c r="X789" s="1302"/>
      <c r="Y789" s="1302"/>
      <c r="Z789" s="1302"/>
    </row>
    <row r="790" spans="1:26" ht="18.75" hidden="1">
      <c r="A790" s="1319"/>
      <c r="B790" s="1324"/>
      <c r="C790" s="1324"/>
      <c r="D790" s="1333"/>
      <c r="E790" s="1320" t="s">
        <v>185</v>
      </c>
      <c r="F790" s="1320"/>
      <c r="G790" s="1322"/>
      <c r="H790" s="165" t="s">
        <v>12</v>
      </c>
      <c r="I790" s="886"/>
      <c r="J790" s="886"/>
      <c r="K790" s="887"/>
      <c r="L790" s="887">
        <v>0</v>
      </c>
      <c r="M790" s="887">
        <v>0</v>
      </c>
      <c r="N790" s="887">
        <v>0</v>
      </c>
      <c r="O790" s="887">
        <f t="shared" si="320"/>
        <v>0</v>
      </c>
      <c r="P790" s="887">
        <f t="shared" si="321"/>
        <v>0</v>
      </c>
      <c r="Q790" s="1323"/>
      <c r="R790" s="1323"/>
      <c r="S790" s="1323"/>
      <c r="T790" s="1323"/>
      <c r="U790" s="1323"/>
      <c r="V790" s="1323"/>
      <c r="W790" s="1323"/>
      <c r="X790" s="1323"/>
      <c r="Y790" s="1323"/>
      <c r="Z790" s="1323"/>
    </row>
    <row r="791" spans="1:26" ht="18.75" hidden="1">
      <c r="A791" s="1319"/>
      <c r="B791" s="1324"/>
      <c r="C791" s="1324"/>
      <c r="D791" s="1333"/>
      <c r="E791" s="1320" t="s">
        <v>186</v>
      </c>
      <c r="F791" s="1320"/>
      <c r="G791" s="1322"/>
      <c r="H791" s="165" t="s">
        <v>12</v>
      </c>
      <c r="I791" s="886"/>
      <c r="J791" s="886"/>
      <c r="K791" s="887"/>
      <c r="L791" s="887">
        <f ca="1">IFERROR(__xludf.DUMMYFUNCTION("IMPORTRANGE(""https://docs.google.com/spreadsheets/d/1QqKyyYR6Q21VydFLVH3TRQUabQu_ym0Zz7PgGX0-kHA/edit?usp=sharing"",""แผน!JJ75"")"),0)</f>
        <v>0</v>
      </c>
      <c r="M791" s="887">
        <v>0</v>
      </c>
      <c r="N791" s="887">
        <f>N792+N793+N794+N795</f>
        <v>0</v>
      </c>
      <c r="O791" s="887">
        <f t="shared" ca="1" si="320"/>
        <v>0</v>
      </c>
      <c r="P791" s="887">
        <f t="shared" si="321"/>
        <v>0</v>
      </c>
      <c r="Q791" s="1323"/>
      <c r="R791" s="1323"/>
      <c r="S791" s="1323"/>
      <c r="T791" s="1323"/>
      <c r="U791" s="1323"/>
      <c r="V791" s="1323"/>
      <c r="W791" s="1323"/>
      <c r="X791" s="1323"/>
      <c r="Y791" s="1323"/>
      <c r="Z791" s="1323"/>
    </row>
    <row r="792" spans="1:26" ht="18.75" hidden="1">
      <c r="A792" s="1299"/>
      <c r="B792" s="1300"/>
      <c r="C792" s="1301"/>
      <c r="D792" s="1301"/>
      <c r="E792" s="1301"/>
      <c r="F792" s="1301" t="s">
        <v>187</v>
      </c>
      <c r="G792" s="1016"/>
      <c r="H792" s="161" t="s">
        <v>12</v>
      </c>
      <c r="I792" s="880"/>
      <c r="J792" s="880"/>
      <c r="K792" s="881"/>
      <c r="L792" s="881"/>
      <c r="M792" s="881"/>
      <c r="N792" s="1085">
        <v>0</v>
      </c>
      <c r="O792" s="881"/>
      <c r="P792" s="881"/>
      <c r="Q792" s="1302"/>
      <c r="R792" s="1302"/>
      <c r="S792" s="1302"/>
      <c r="T792" s="1302"/>
      <c r="U792" s="1302"/>
      <c r="V792" s="1302"/>
      <c r="W792" s="1302"/>
      <c r="X792" s="1302"/>
      <c r="Y792" s="1302"/>
      <c r="Z792" s="1302"/>
    </row>
    <row r="793" spans="1:26" ht="18.75" hidden="1">
      <c r="A793" s="1299"/>
      <c r="B793" s="1300"/>
      <c r="C793" s="1301"/>
      <c r="D793" s="1301"/>
      <c r="E793" s="1301"/>
      <c r="F793" s="1301" t="s">
        <v>188</v>
      </c>
      <c r="G793" s="1016"/>
      <c r="H793" s="161" t="s">
        <v>12</v>
      </c>
      <c r="I793" s="880"/>
      <c r="J793" s="880"/>
      <c r="K793" s="881"/>
      <c r="L793" s="881"/>
      <c r="M793" s="881"/>
      <c r="N793" s="1085">
        <v>0</v>
      </c>
      <c r="O793" s="881"/>
      <c r="P793" s="881"/>
      <c r="Q793" s="1302"/>
      <c r="R793" s="1302"/>
      <c r="S793" s="1302"/>
      <c r="T793" s="1302"/>
      <c r="U793" s="1302"/>
      <c r="V793" s="1302"/>
      <c r="W793" s="1302"/>
      <c r="X793" s="1302"/>
      <c r="Y793" s="1302"/>
      <c r="Z793" s="1302"/>
    </row>
    <row r="794" spans="1:26" ht="18.75" hidden="1">
      <c r="A794" s="1299"/>
      <c r="B794" s="1300"/>
      <c r="C794" s="1301"/>
      <c r="D794" s="1301"/>
      <c r="E794" s="1301"/>
      <c r="F794" s="1301" t="s">
        <v>189</v>
      </c>
      <c r="G794" s="1016"/>
      <c r="H794" s="161" t="s">
        <v>12</v>
      </c>
      <c r="I794" s="880"/>
      <c r="J794" s="880"/>
      <c r="K794" s="881"/>
      <c r="L794" s="881"/>
      <c r="M794" s="881"/>
      <c r="N794" s="1085">
        <v>0</v>
      </c>
      <c r="O794" s="881"/>
      <c r="P794" s="881"/>
      <c r="Q794" s="1302"/>
      <c r="R794" s="1302"/>
      <c r="S794" s="1302"/>
      <c r="T794" s="1302"/>
      <c r="U794" s="1302"/>
      <c r="V794" s="1302"/>
      <c r="W794" s="1302"/>
      <c r="X794" s="1302"/>
      <c r="Y794" s="1302"/>
      <c r="Z794" s="1302"/>
    </row>
    <row r="795" spans="1:26" ht="18.75" hidden="1">
      <c r="A795" s="1299"/>
      <c r="B795" s="1300"/>
      <c r="C795" s="1301"/>
      <c r="D795" s="1301"/>
      <c r="E795" s="1301"/>
      <c r="F795" s="1301" t="s">
        <v>190</v>
      </c>
      <c r="G795" s="1016"/>
      <c r="H795" s="161" t="s">
        <v>12</v>
      </c>
      <c r="I795" s="880"/>
      <c r="J795" s="880"/>
      <c r="K795" s="881"/>
      <c r="L795" s="881"/>
      <c r="M795" s="881"/>
      <c r="N795" s="1085">
        <v>0</v>
      </c>
      <c r="O795" s="881"/>
      <c r="P795" s="881"/>
      <c r="Q795" s="1302"/>
      <c r="R795" s="1302"/>
      <c r="S795" s="1302"/>
      <c r="T795" s="1302"/>
      <c r="U795" s="1302"/>
      <c r="V795" s="1302"/>
      <c r="W795" s="1302"/>
      <c r="X795" s="1302"/>
      <c r="Y795" s="1302"/>
      <c r="Z795" s="1302"/>
    </row>
    <row r="796" spans="1:26" ht="18.75" hidden="1">
      <c r="A796" s="1317"/>
      <c r="B796" s="1300"/>
      <c r="C796" s="1301"/>
      <c r="D796" s="1325" t="s">
        <v>21</v>
      </c>
      <c r="E796" s="1301"/>
      <c r="F796" s="1301"/>
      <c r="G796" s="1016"/>
      <c r="H796" s="168" t="s">
        <v>12</v>
      </c>
      <c r="I796" s="997"/>
      <c r="J796" s="997"/>
      <c r="K796" s="998"/>
      <c r="L796" s="881">
        <f t="shared" ref="L796:N796" si="324">L797+L798</f>
        <v>0</v>
      </c>
      <c r="M796" s="881">
        <f t="shared" si="324"/>
        <v>0</v>
      </c>
      <c r="N796" s="881">
        <f t="shared" si="324"/>
        <v>0</v>
      </c>
      <c r="O796" s="881">
        <f t="shared" ref="O796:O798" si="325">IF(L796&gt;0,N796*100/L796,0)</f>
        <v>0</v>
      </c>
      <c r="P796" s="881">
        <f t="shared" ref="P796:P798" si="326">IF(M796&gt;0,N796*100/M796,0)</f>
        <v>0</v>
      </c>
      <c r="Q796" s="1302"/>
      <c r="R796" s="1302"/>
      <c r="S796" s="1302"/>
      <c r="T796" s="1302"/>
      <c r="U796" s="1302"/>
      <c r="V796" s="1302"/>
      <c r="W796" s="1302"/>
      <c r="X796" s="1302"/>
      <c r="Y796" s="1302"/>
      <c r="Z796" s="1302"/>
    </row>
    <row r="797" spans="1:26" ht="18.75" hidden="1">
      <c r="A797" s="1319"/>
      <c r="B797" s="1324"/>
      <c r="C797" s="1320"/>
      <c r="D797" s="1320"/>
      <c r="E797" s="1320" t="s">
        <v>18</v>
      </c>
      <c r="F797" s="1320"/>
      <c r="G797" s="1322"/>
      <c r="H797" s="165" t="s">
        <v>12</v>
      </c>
      <c r="I797" s="1000"/>
      <c r="J797" s="1000"/>
      <c r="K797" s="1001"/>
      <c r="L797" s="887">
        <v>0</v>
      </c>
      <c r="M797" s="887">
        <v>0</v>
      </c>
      <c r="N797" s="887">
        <v>0</v>
      </c>
      <c r="O797" s="887">
        <f t="shared" si="325"/>
        <v>0</v>
      </c>
      <c r="P797" s="887">
        <f t="shared" si="326"/>
        <v>0</v>
      </c>
      <c r="Q797" s="1323"/>
      <c r="R797" s="1323"/>
      <c r="S797" s="1323"/>
      <c r="T797" s="1323"/>
      <c r="U797" s="1323"/>
      <c r="V797" s="1323"/>
      <c r="W797" s="1323"/>
      <c r="X797" s="1323"/>
      <c r="Y797" s="1323"/>
      <c r="Z797" s="1323"/>
    </row>
    <row r="798" spans="1:26" ht="18.75" hidden="1">
      <c r="A798" s="1319"/>
      <c r="B798" s="1324"/>
      <c r="C798" s="1320"/>
      <c r="D798" s="1320"/>
      <c r="E798" s="1320" t="s">
        <v>19</v>
      </c>
      <c r="F798" s="1320"/>
      <c r="G798" s="1322"/>
      <c r="H798" s="169" t="s">
        <v>12</v>
      </c>
      <c r="I798" s="1000"/>
      <c r="J798" s="1000"/>
      <c r="K798" s="1001"/>
      <c r="L798" s="887">
        <v>0</v>
      </c>
      <c r="M798" s="887">
        <v>0</v>
      </c>
      <c r="N798" s="887">
        <v>0</v>
      </c>
      <c r="O798" s="887">
        <f t="shared" si="325"/>
        <v>0</v>
      </c>
      <c r="P798" s="887">
        <f t="shared" si="326"/>
        <v>0</v>
      </c>
      <c r="Q798" s="1323"/>
      <c r="R798" s="1323"/>
      <c r="S798" s="1323"/>
      <c r="T798" s="1323"/>
      <c r="U798" s="1323"/>
      <c r="V798" s="1323"/>
      <c r="W798" s="1323"/>
      <c r="X798" s="1323"/>
      <c r="Y798" s="1323"/>
      <c r="Z798" s="1323"/>
    </row>
    <row r="799" spans="1:26" ht="19.5" hidden="1">
      <c r="A799" s="1326"/>
      <c r="B799" s="1327"/>
      <c r="C799" s="1301" t="s">
        <v>16</v>
      </c>
      <c r="D799" s="1439" t="s">
        <v>38</v>
      </c>
      <c r="E799" s="1330"/>
      <c r="F799" s="1330"/>
      <c r="G799" s="1331"/>
      <c r="H799" s="1475"/>
      <c r="I799" s="997"/>
      <c r="J799" s="997"/>
      <c r="K799" s="998"/>
      <c r="L799" s="998"/>
      <c r="M799" s="998"/>
      <c r="N799" s="998"/>
      <c r="O799" s="998"/>
      <c r="P799" s="998"/>
      <c r="Q799" s="1302"/>
      <c r="R799" s="1302"/>
      <c r="S799" s="1302"/>
      <c r="T799" s="1302"/>
      <c r="U799" s="1302"/>
      <c r="V799" s="1302"/>
      <c r="W799" s="1302"/>
      <c r="X799" s="1302"/>
      <c r="Y799" s="1302"/>
      <c r="Z799" s="1302"/>
    </row>
    <row r="800" spans="1:26" ht="18.75" hidden="1">
      <c r="A800" s="1326"/>
      <c r="B800" s="1327"/>
      <c r="C800" s="1327"/>
      <c r="D800" s="1327"/>
      <c r="E800" s="1014"/>
      <c r="F800" s="1014" t="s">
        <v>321</v>
      </c>
      <c r="G800" s="1007"/>
      <c r="H800" s="185" t="s">
        <v>46</v>
      </c>
      <c r="I800" s="997">
        <f ca="1">IFERROR(__xludf.DUMMYFUNCTION("IMPORTRANGE(""https://docs.google.com/spreadsheets/d/1QqKyyYR6Q21VydFLVH3TRQUabQu_ym0Zz7PgGX0-kHA/edit?usp=sharing"",""แผน!JN75"")"),0)</f>
        <v>0</v>
      </c>
      <c r="J800" s="997">
        <f ca="1">IFERROR(__xludf.DUMMYFUNCTION("IMPORTRANGE(""https://docs.google.com/spreadsheets/d/1MaWodYyGHDf7siQLGxnXhG4mBNTNIuy296niS2xXulU/edit?usp=sharing"",""RTK!H75"")"),0)</f>
        <v>0</v>
      </c>
      <c r="K800" s="881">
        <f ca="1">IF(I800&gt;0,J800*100/I800,0)</f>
        <v>0</v>
      </c>
      <c r="L800" s="881"/>
      <c r="M800" s="881"/>
      <c r="N800" s="881"/>
      <c r="O800" s="998"/>
      <c r="P800" s="998"/>
      <c r="Q800" s="1302"/>
      <c r="R800" s="1302"/>
      <c r="S800" s="1302"/>
      <c r="T800" s="1302"/>
      <c r="U800" s="1302"/>
      <c r="V800" s="1302"/>
      <c r="W800" s="1302"/>
      <c r="X800" s="1302"/>
      <c r="Y800" s="1302"/>
      <c r="Z800" s="1302"/>
    </row>
    <row r="801" spans="1:26" ht="18.75" hidden="1">
      <c r="A801" s="1326"/>
      <c r="B801" s="1327"/>
      <c r="C801" s="1327"/>
      <c r="D801" s="1327"/>
      <c r="E801" s="1014"/>
      <c r="F801" s="1014"/>
      <c r="G801" s="1007"/>
      <c r="H801" s="161" t="s">
        <v>34</v>
      </c>
      <c r="I801" s="997"/>
      <c r="J801" s="880">
        <f ca="1">IFERROR(__xludf.DUMMYFUNCTION("IMPORTRANGE(""https://docs.google.com/spreadsheets/d/1MaWodYyGHDf7siQLGxnXhG4mBNTNIuy296niS2xXulU/edit?usp=sharing"",""RTK!I75"")"),0)</f>
        <v>0</v>
      </c>
      <c r="K801" s="881"/>
      <c r="L801" s="881"/>
      <c r="M801" s="881"/>
      <c r="N801" s="881"/>
      <c r="O801" s="998"/>
      <c r="P801" s="998"/>
      <c r="Q801" s="1302"/>
      <c r="R801" s="1302"/>
      <c r="S801" s="1302"/>
      <c r="T801" s="1302"/>
      <c r="U801" s="1302"/>
      <c r="V801" s="1302"/>
      <c r="W801" s="1302"/>
      <c r="X801" s="1302"/>
      <c r="Y801" s="1302"/>
      <c r="Z801" s="1302"/>
    </row>
    <row r="802" spans="1:26" ht="18.75" hidden="1">
      <c r="A802" s="1332"/>
      <c r="B802" s="1333"/>
      <c r="C802" s="1333"/>
      <c r="D802" s="1333"/>
      <c r="E802" s="1321"/>
      <c r="F802" s="1321" t="s">
        <v>322</v>
      </c>
      <c r="G802" s="1113"/>
      <c r="H802" s="651" t="s">
        <v>46</v>
      </c>
      <c r="I802" s="1000"/>
      <c r="J802" s="886"/>
      <c r="K802" s="1001">
        <f>IF(I802&gt;0,J802*100/I802,0)</f>
        <v>0</v>
      </c>
      <c r="L802" s="1001"/>
      <c r="M802" s="1001"/>
      <c r="N802" s="1001"/>
      <c r="O802" s="1001"/>
      <c r="P802" s="1001"/>
      <c r="Q802" s="1323"/>
      <c r="R802" s="1323"/>
      <c r="S802" s="1323"/>
      <c r="T802" s="1323"/>
      <c r="U802" s="1323"/>
      <c r="V802" s="1323"/>
      <c r="W802" s="1323"/>
      <c r="X802" s="1323"/>
      <c r="Y802" s="1323"/>
      <c r="Z802" s="1323"/>
    </row>
    <row r="803" spans="1:26" ht="18.75" hidden="1">
      <c r="A803" s="1332"/>
      <c r="B803" s="1333"/>
      <c r="C803" s="1333"/>
      <c r="D803" s="1333"/>
      <c r="E803" s="1321"/>
      <c r="F803" s="1321"/>
      <c r="G803" s="1113"/>
      <c r="H803" s="651" t="s">
        <v>34</v>
      </c>
      <c r="I803" s="1000"/>
      <c r="J803" s="886"/>
      <c r="K803" s="1001"/>
      <c r="L803" s="1001"/>
      <c r="M803" s="1001"/>
      <c r="N803" s="1001"/>
      <c r="O803" s="1001"/>
      <c r="P803" s="1001"/>
      <c r="Q803" s="1323"/>
      <c r="R803" s="1323"/>
      <c r="S803" s="1323"/>
      <c r="T803" s="1323"/>
      <c r="U803" s="1323"/>
      <c r="V803" s="1323"/>
      <c r="W803" s="1323"/>
      <c r="X803" s="1323"/>
      <c r="Y803" s="1323"/>
      <c r="Z803" s="1323"/>
    </row>
    <row r="804" spans="1:26" ht="19.5" hidden="1">
      <c r="A804" s="791">
        <v>13</v>
      </c>
      <c r="B804" s="1461" t="s">
        <v>323</v>
      </c>
      <c r="C804" s="1462"/>
      <c r="D804" s="1476"/>
      <c r="E804" s="1462"/>
      <c r="F804" s="1462"/>
      <c r="G804" s="1463"/>
      <c r="H804" s="795" t="s">
        <v>46</v>
      </c>
      <c r="I804" s="1464"/>
      <c r="J804" s="1464">
        <f>J819</f>
        <v>0</v>
      </c>
      <c r="K804" s="1465">
        <f>IF(I804&gt;0,J804*100/I804,0)</f>
        <v>0</v>
      </c>
      <c r="L804" s="1466"/>
      <c r="M804" s="1466"/>
      <c r="N804" s="1466"/>
      <c r="O804" s="1466"/>
      <c r="P804" s="1466"/>
      <c r="Q804" s="1323"/>
      <c r="R804" s="1323"/>
      <c r="S804" s="1323"/>
      <c r="T804" s="1323"/>
      <c r="U804" s="1323"/>
      <c r="V804" s="1323"/>
      <c r="W804" s="1323"/>
      <c r="X804" s="1323"/>
      <c r="Y804" s="1323"/>
      <c r="Z804" s="1323"/>
    </row>
    <row r="805" spans="1:26" ht="19.5" hidden="1">
      <c r="A805" s="1319"/>
      <c r="B805" s="1320"/>
      <c r="C805" s="1320" t="s">
        <v>16</v>
      </c>
      <c r="D805" s="1351" t="s">
        <v>17</v>
      </c>
      <c r="E805" s="841"/>
      <c r="F805" s="841"/>
      <c r="G805" s="1322"/>
      <c r="H805" s="644" t="s">
        <v>12</v>
      </c>
      <c r="I805" s="886"/>
      <c r="J805" s="886"/>
      <c r="K805" s="887"/>
      <c r="L805" s="1352">
        <f t="shared" ref="L805:N805" si="327">L806+L807</f>
        <v>0</v>
      </c>
      <c r="M805" s="1352">
        <f t="shared" si="327"/>
        <v>0</v>
      </c>
      <c r="N805" s="1352">
        <f t="shared" si="327"/>
        <v>0</v>
      </c>
      <c r="O805" s="1352">
        <f t="shared" ref="O805:O810" si="328">IF(L805&gt;0,N805*100/L805,0)</f>
        <v>0</v>
      </c>
      <c r="P805" s="1352">
        <f t="shared" ref="P805:P810" si="329">IF(M805&gt;0,N805*100/M805,0)</f>
        <v>0</v>
      </c>
      <c r="Q805" s="1323"/>
      <c r="R805" s="1323"/>
      <c r="S805" s="1323"/>
      <c r="T805" s="1323"/>
      <c r="U805" s="1323"/>
      <c r="V805" s="1323"/>
      <c r="W805" s="1323"/>
      <c r="X805" s="1323"/>
      <c r="Y805" s="1323"/>
      <c r="Z805" s="1323"/>
    </row>
    <row r="806" spans="1:26" ht="18.75" hidden="1">
      <c r="A806" s="1319"/>
      <c r="B806" s="1320"/>
      <c r="C806" s="1320"/>
      <c r="D806" s="1333"/>
      <c r="E806" s="1320" t="s">
        <v>185</v>
      </c>
      <c r="F806" s="1320"/>
      <c r="G806" s="1322"/>
      <c r="H806" s="165" t="s">
        <v>12</v>
      </c>
      <c r="I806" s="886"/>
      <c r="J806" s="886"/>
      <c r="K806" s="887"/>
      <c r="L806" s="887">
        <f t="shared" ref="L806:N807" si="330">L809+L816</f>
        <v>0</v>
      </c>
      <c r="M806" s="887">
        <f t="shared" si="330"/>
        <v>0</v>
      </c>
      <c r="N806" s="887">
        <f t="shared" si="330"/>
        <v>0</v>
      </c>
      <c r="O806" s="887">
        <f t="shared" si="328"/>
        <v>0</v>
      </c>
      <c r="P806" s="887">
        <f t="shared" si="329"/>
        <v>0</v>
      </c>
      <c r="Q806" s="1323"/>
      <c r="R806" s="1323"/>
      <c r="S806" s="1323"/>
      <c r="T806" s="1323"/>
      <c r="U806" s="1323"/>
      <c r="V806" s="1323"/>
      <c r="W806" s="1323"/>
      <c r="X806" s="1323"/>
      <c r="Y806" s="1323"/>
      <c r="Z806" s="1323"/>
    </row>
    <row r="807" spans="1:26" ht="18.75" hidden="1">
      <c r="A807" s="1319"/>
      <c r="B807" s="1320"/>
      <c r="C807" s="1320"/>
      <c r="D807" s="1333"/>
      <c r="E807" s="1320" t="s">
        <v>186</v>
      </c>
      <c r="F807" s="1320"/>
      <c r="G807" s="1322"/>
      <c r="H807" s="165" t="s">
        <v>12</v>
      </c>
      <c r="I807" s="886"/>
      <c r="J807" s="886"/>
      <c r="K807" s="887"/>
      <c r="L807" s="887">
        <f t="shared" si="330"/>
        <v>0</v>
      </c>
      <c r="M807" s="887">
        <f t="shared" si="330"/>
        <v>0</v>
      </c>
      <c r="N807" s="887">
        <f t="shared" si="330"/>
        <v>0</v>
      </c>
      <c r="O807" s="887">
        <f t="shared" si="328"/>
        <v>0</v>
      </c>
      <c r="P807" s="887">
        <f t="shared" si="329"/>
        <v>0</v>
      </c>
      <c r="Q807" s="1323"/>
      <c r="R807" s="1323"/>
      <c r="S807" s="1323"/>
      <c r="T807" s="1323"/>
      <c r="U807" s="1323"/>
      <c r="V807" s="1323"/>
      <c r="W807" s="1323"/>
      <c r="X807" s="1323"/>
      <c r="Y807" s="1323"/>
      <c r="Z807" s="1323"/>
    </row>
    <row r="808" spans="1:26" ht="19.5" hidden="1">
      <c r="A808" s="1319"/>
      <c r="B808" s="1324"/>
      <c r="C808" s="1320"/>
      <c r="D808" s="1477" t="s">
        <v>20</v>
      </c>
      <c r="E808" s="841"/>
      <c r="F808" s="841"/>
      <c r="G808" s="1322"/>
      <c r="H808" s="644" t="s">
        <v>12</v>
      </c>
      <c r="I808" s="1000"/>
      <c r="J808" s="1000"/>
      <c r="K808" s="1001"/>
      <c r="L808" s="1352">
        <f t="shared" ref="L808:N808" si="331">L809+L810</f>
        <v>0</v>
      </c>
      <c r="M808" s="1352">
        <f t="shared" si="331"/>
        <v>0</v>
      </c>
      <c r="N808" s="1352">
        <f t="shared" si="331"/>
        <v>0</v>
      </c>
      <c r="O808" s="1352">
        <f t="shared" si="328"/>
        <v>0</v>
      </c>
      <c r="P808" s="1352">
        <f t="shared" si="329"/>
        <v>0</v>
      </c>
      <c r="Q808" s="1323"/>
      <c r="R808" s="1323"/>
      <c r="S808" s="1323"/>
      <c r="T808" s="1323"/>
      <c r="U808" s="1323"/>
      <c r="V808" s="1323"/>
      <c r="W808" s="1323"/>
      <c r="X808" s="1323"/>
      <c r="Y808" s="1323"/>
      <c r="Z808" s="1323"/>
    </row>
    <row r="809" spans="1:26" ht="18.75" hidden="1">
      <c r="A809" s="1319"/>
      <c r="B809" s="1320"/>
      <c r="C809" s="1320"/>
      <c r="D809" s="1333"/>
      <c r="E809" s="1320" t="s">
        <v>185</v>
      </c>
      <c r="F809" s="1320"/>
      <c r="G809" s="1322"/>
      <c r="H809" s="165" t="s">
        <v>12</v>
      </c>
      <c r="I809" s="886"/>
      <c r="J809" s="886"/>
      <c r="K809" s="887"/>
      <c r="L809" s="887">
        <v>0</v>
      </c>
      <c r="M809" s="887">
        <v>0</v>
      </c>
      <c r="N809" s="887">
        <v>0</v>
      </c>
      <c r="O809" s="887">
        <f t="shared" si="328"/>
        <v>0</v>
      </c>
      <c r="P809" s="887">
        <f t="shared" si="329"/>
        <v>0</v>
      </c>
      <c r="Q809" s="1323"/>
      <c r="R809" s="1323"/>
      <c r="S809" s="1323"/>
      <c r="T809" s="1323"/>
      <c r="U809" s="1323"/>
      <c r="V809" s="1323"/>
      <c r="W809" s="1323"/>
      <c r="X809" s="1323"/>
      <c r="Y809" s="1323"/>
      <c r="Z809" s="1323"/>
    </row>
    <row r="810" spans="1:26" ht="18.75" hidden="1">
      <c r="A810" s="1319"/>
      <c r="B810" s="1320"/>
      <c r="C810" s="1320"/>
      <c r="D810" s="1333"/>
      <c r="E810" s="1320" t="s">
        <v>186</v>
      </c>
      <c r="F810" s="1320"/>
      <c r="G810" s="1322"/>
      <c r="H810" s="165" t="s">
        <v>12</v>
      </c>
      <c r="I810" s="886"/>
      <c r="J810" s="886"/>
      <c r="K810" s="887"/>
      <c r="L810" s="887">
        <v>0</v>
      </c>
      <c r="M810" s="887">
        <v>0</v>
      </c>
      <c r="N810" s="887">
        <f>N811+N812+N813+N814</f>
        <v>0</v>
      </c>
      <c r="O810" s="887">
        <f t="shared" si="328"/>
        <v>0</v>
      </c>
      <c r="P810" s="887">
        <f t="shared" si="329"/>
        <v>0</v>
      </c>
      <c r="Q810" s="1323"/>
      <c r="R810" s="1323"/>
      <c r="S810" s="1323"/>
      <c r="T810" s="1323"/>
      <c r="U810" s="1323"/>
      <c r="V810" s="1323"/>
      <c r="W810" s="1323"/>
      <c r="X810" s="1323"/>
      <c r="Y810" s="1323"/>
      <c r="Z810" s="1323"/>
    </row>
    <row r="811" spans="1:26" ht="18.75" hidden="1">
      <c r="A811" s="1354"/>
      <c r="B811" s="1324"/>
      <c r="C811" s="1320"/>
      <c r="D811" s="1324"/>
      <c r="E811" s="1320"/>
      <c r="F811" s="1320" t="s">
        <v>187</v>
      </c>
      <c r="G811" s="1322"/>
      <c r="H811" s="165" t="s">
        <v>12</v>
      </c>
      <c r="I811" s="886"/>
      <c r="J811" s="886"/>
      <c r="K811" s="887"/>
      <c r="L811" s="887"/>
      <c r="M811" s="887"/>
      <c r="N811" s="887"/>
      <c r="O811" s="887"/>
      <c r="P811" s="887"/>
      <c r="Q811" s="1323"/>
      <c r="R811" s="1323"/>
      <c r="S811" s="1323"/>
      <c r="T811" s="1323"/>
      <c r="U811" s="1323"/>
      <c r="V811" s="1323"/>
      <c r="W811" s="1323"/>
      <c r="X811" s="1323"/>
      <c r="Y811" s="1323"/>
      <c r="Z811" s="1323"/>
    </row>
    <row r="812" spans="1:26" ht="18.75" hidden="1">
      <c r="A812" s="1354"/>
      <c r="B812" s="1324"/>
      <c r="C812" s="1320"/>
      <c r="D812" s="1324"/>
      <c r="E812" s="1320"/>
      <c r="F812" s="1320" t="s">
        <v>188</v>
      </c>
      <c r="G812" s="1322"/>
      <c r="H812" s="165" t="s">
        <v>12</v>
      </c>
      <c r="I812" s="886"/>
      <c r="J812" s="886"/>
      <c r="K812" s="887"/>
      <c r="L812" s="887"/>
      <c r="M812" s="887"/>
      <c r="N812" s="887"/>
      <c r="O812" s="887"/>
      <c r="P812" s="887"/>
      <c r="Q812" s="1323"/>
      <c r="R812" s="1323"/>
      <c r="S812" s="1323"/>
      <c r="T812" s="1323"/>
      <c r="U812" s="1323"/>
      <c r="V812" s="1323"/>
      <c r="W812" s="1323"/>
      <c r="X812" s="1323"/>
      <c r="Y812" s="1323"/>
      <c r="Z812" s="1323"/>
    </row>
    <row r="813" spans="1:26" ht="18.75" hidden="1">
      <c r="A813" s="1354"/>
      <c r="B813" s="1324"/>
      <c r="C813" s="1320"/>
      <c r="D813" s="1324"/>
      <c r="E813" s="1320"/>
      <c r="F813" s="1320" t="s">
        <v>189</v>
      </c>
      <c r="G813" s="1322"/>
      <c r="H813" s="165" t="s">
        <v>12</v>
      </c>
      <c r="I813" s="886"/>
      <c r="J813" s="886"/>
      <c r="K813" s="887"/>
      <c r="L813" s="887"/>
      <c r="M813" s="887"/>
      <c r="N813" s="887"/>
      <c r="O813" s="887"/>
      <c r="P813" s="887"/>
      <c r="Q813" s="1323"/>
      <c r="R813" s="1323"/>
      <c r="S813" s="1323"/>
      <c r="T813" s="1323"/>
      <c r="U813" s="1323"/>
      <c r="V813" s="1323"/>
      <c r="W813" s="1323"/>
      <c r="X813" s="1323"/>
      <c r="Y813" s="1323"/>
      <c r="Z813" s="1323"/>
    </row>
    <row r="814" spans="1:26" ht="18.75" hidden="1">
      <c r="A814" s="1354"/>
      <c r="B814" s="1324"/>
      <c r="C814" s="1320"/>
      <c r="D814" s="1324"/>
      <c r="E814" s="1320"/>
      <c r="F814" s="1320" t="s">
        <v>190</v>
      </c>
      <c r="G814" s="1322"/>
      <c r="H814" s="165" t="s">
        <v>12</v>
      </c>
      <c r="I814" s="886"/>
      <c r="J814" s="886"/>
      <c r="K814" s="887"/>
      <c r="L814" s="887"/>
      <c r="M814" s="887"/>
      <c r="N814" s="887"/>
      <c r="O814" s="887"/>
      <c r="P814" s="887"/>
      <c r="Q814" s="1323"/>
      <c r="R814" s="1323"/>
      <c r="S814" s="1323"/>
      <c r="T814" s="1323"/>
      <c r="U814" s="1323"/>
      <c r="V814" s="1323"/>
      <c r="W814" s="1323"/>
      <c r="X814" s="1323"/>
      <c r="Y814" s="1323"/>
      <c r="Z814" s="1323"/>
    </row>
    <row r="815" spans="1:26" ht="19.5" hidden="1">
      <c r="A815" s="1319"/>
      <c r="B815" s="1324"/>
      <c r="C815" s="1320"/>
      <c r="D815" s="1477" t="s">
        <v>21</v>
      </c>
      <c r="E815" s="841"/>
      <c r="F815" s="841"/>
      <c r="G815" s="1322"/>
      <c r="H815" s="781" t="s">
        <v>12</v>
      </c>
      <c r="I815" s="1000"/>
      <c r="J815" s="1000"/>
      <c r="K815" s="1001"/>
      <c r="L815" s="1352">
        <f t="shared" ref="L815:N815" si="332">L816+L817</f>
        <v>0</v>
      </c>
      <c r="M815" s="1352">
        <f t="shared" si="332"/>
        <v>0</v>
      </c>
      <c r="N815" s="1352">
        <f t="shared" si="332"/>
        <v>0</v>
      </c>
      <c r="O815" s="1352">
        <f t="shared" ref="O815:O817" si="333">IF(L815&gt;0,N815*100/L815,0)</f>
        <v>0</v>
      </c>
      <c r="P815" s="1352">
        <f t="shared" ref="P815:P817" si="334">IF(M815&gt;0,N815*100/M815,0)</f>
        <v>0</v>
      </c>
      <c r="Q815" s="1323"/>
      <c r="R815" s="1323"/>
      <c r="S815" s="1323"/>
      <c r="T815" s="1323"/>
      <c r="U815" s="1323"/>
      <c r="V815" s="1323"/>
      <c r="W815" s="1323"/>
      <c r="X815" s="1323"/>
      <c r="Y815" s="1323"/>
      <c r="Z815" s="1323"/>
    </row>
    <row r="816" spans="1:26" ht="18.75" hidden="1">
      <c r="A816" s="1319"/>
      <c r="B816" s="1324"/>
      <c r="C816" s="1320"/>
      <c r="D816" s="1324"/>
      <c r="E816" s="1320" t="s">
        <v>18</v>
      </c>
      <c r="F816" s="1320"/>
      <c r="G816" s="1322"/>
      <c r="H816" s="165" t="s">
        <v>12</v>
      </c>
      <c r="I816" s="1000"/>
      <c r="J816" s="1000"/>
      <c r="K816" s="1001"/>
      <c r="L816" s="887">
        <v>0</v>
      </c>
      <c r="M816" s="887">
        <v>0</v>
      </c>
      <c r="N816" s="887">
        <v>0</v>
      </c>
      <c r="O816" s="887">
        <f t="shared" si="333"/>
        <v>0</v>
      </c>
      <c r="P816" s="887">
        <f t="shared" si="334"/>
        <v>0</v>
      </c>
      <c r="Q816" s="1323"/>
      <c r="R816" s="1323"/>
      <c r="S816" s="1323"/>
      <c r="T816" s="1323"/>
      <c r="U816" s="1323"/>
      <c r="V816" s="1323"/>
      <c r="W816" s="1323"/>
      <c r="X816" s="1323"/>
      <c r="Y816" s="1323"/>
      <c r="Z816" s="1323"/>
    </row>
    <row r="817" spans="1:26" ht="18.75" hidden="1">
      <c r="A817" s="1319"/>
      <c r="B817" s="1324"/>
      <c r="C817" s="1320"/>
      <c r="D817" s="1324"/>
      <c r="E817" s="1320" t="s">
        <v>19</v>
      </c>
      <c r="F817" s="1320"/>
      <c r="G817" s="1322"/>
      <c r="H817" s="169" t="s">
        <v>12</v>
      </c>
      <c r="I817" s="1000"/>
      <c r="J817" s="1000"/>
      <c r="K817" s="1001"/>
      <c r="L817" s="887">
        <v>0</v>
      </c>
      <c r="M817" s="887">
        <v>0</v>
      </c>
      <c r="N817" s="887">
        <v>0</v>
      </c>
      <c r="O817" s="887">
        <f t="shared" si="333"/>
        <v>0</v>
      </c>
      <c r="P817" s="887">
        <f t="shared" si="334"/>
        <v>0</v>
      </c>
      <c r="Q817" s="1323"/>
      <c r="R817" s="1323"/>
      <c r="S817" s="1323"/>
      <c r="T817" s="1323"/>
      <c r="U817" s="1323"/>
      <c r="V817" s="1323"/>
      <c r="W817" s="1323"/>
      <c r="X817" s="1323"/>
      <c r="Y817" s="1323"/>
      <c r="Z817" s="1323"/>
    </row>
    <row r="818" spans="1:26" ht="19.5" hidden="1">
      <c r="A818" s="1332"/>
      <c r="B818" s="1333"/>
      <c r="C818" s="1320" t="s">
        <v>16</v>
      </c>
      <c r="D818" s="1478" t="s">
        <v>38</v>
      </c>
      <c r="E818" s="1356"/>
      <c r="F818" s="1356"/>
      <c r="G818" s="1357"/>
      <c r="H818" s="1113"/>
      <c r="I818" s="1000"/>
      <c r="J818" s="1000"/>
      <c r="K818" s="1001"/>
      <c r="L818" s="1001"/>
      <c r="M818" s="1001"/>
      <c r="N818" s="1001"/>
      <c r="O818" s="1001"/>
      <c r="P818" s="1001"/>
      <c r="Q818" s="1323"/>
      <c r="R818" s="1323"/>
      <c r="S818" s="1323"/>
      <c r="T818" s="1323"/>
      <c r="U818" s="1323"/>
      <c r="V818" s="1323"/>
      <c r="W818" s="1323"/>
      <c r="X818" s="1323"/>
      <c r="Y818" s="1323"/>
      <c r="Z818" s="1323"/>
    </row>
    <row r="819" spans="1:26" ht="19.5" hidden="1" thickBot="1">
      <c r="A819" s="1479"/>
      <c r="B819" s="1480"/>
      <c r="C819" s="1481"/>
      <c r="D819" s="1480"/>
      <c r="E819" s="1481" t="s">
        <v>324</v>
      </c>
      <c r="F819" s="1481"/>
      <c r="G819" s="1482"/>
      <c r="H819" s="817" t="s">
        <v>46</v>
      </c>
      <c r="I819" s="1483"/>
      <c r="J819" s="1483"/>
      <c r="K819" s="1484"/>
      <c r="L819" s="1484"/>
      <c r="M819" s="1484"/>
      <c r="N819" s="1484"/>
      <c r="O819" s="1484"/>
      <c r="P819" s="1484"/>
      <c r="Q819" s="1323"/>
      <c r="R819" s="1323"/>
      <c r="S819" s="1323"/>
      <c r="T819" s="1323"/>
      <c r="U819" s="1323"/>
      <c r="V819" s="1323"/>
      <c r="W819" s="1323"/>
      <c r="X819" s="1323"/>
      <c r="Y819" s="1323"/>
      <c r="Z819" s="1323"/>
    </row>
    <row r="820" spans="1:26" ht="19.5">
      <c r="A820" s="1485" t="s">
        <v>334</v>
      </c>
      <c r="B820" s="1486"/>
      <c r="C820" s="1486"/>
      <c r="D820" s="1487"/>
      <c r="E820" s="1486"/>
      <c r="F820" s="1486"/>
      <c r="G820" s="1488"/>
      <c r="H820" s="1489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0"/>
      <c r="J820" s="1490"/>
      <c r="K820" s="1491"/>
      <c r="L820" s="1491"/>
      <c r="M820" s="1491"/>
      <c r="N820" s="1491"/>
      <c r="O820" s="1491"/>
      <c r="P820" s="1491"/>
      <c r="Q820" s="1302"/>
      <c r="R820" s="1302"/>
      <c r="S820" s="1302"/>
      <c r="T820" s="1302"/>
      <c r="U820" s="1302"/>
      <c r="V820" s="1302"/>
      <c r="W820" s="1302"/>
      <c r="X820" s="1302"/>
      <c r="Y820" s="1302"/>
      <c r="Z820" s="1302"/>
    </row>
    <row r="821" spans="1:26" ht="18.75">
      <c r="A821" s="1429"/>
      <c r="B821" s="1301" t="s">
        <v>326</v>
      </c>
      <c r="C821" s="1301"/>
      <c r="D821" s="1300"/>
      <c r="E821" s="1301"/>
      <c r="F821" s="1301"/>
      <c r="G821" s="1016"/>
      <c r="H821" s="622" t="s">
        <v>12</v>
      </c>
      <c r="I821" s="880">
        <f ca="1">IFERROR(__xludf.DUMMYFUNCTION("IMPORTRANGE(""https://docs.google.com/spreadsheets/d/19vJNZY_5yjcGF2XGBMNZRCAIB0Kwfpjp8YEOfu-bneM/edit?usp=sharing"",""งานกองทุน!D75"")"),157301.8)</f>
        <v>157301.79999999999</v>
      </c>
      <c r="J821" s="880">
        <f ca="1">IFERROR(__xludf.DUMMYFUNCTION("IMPORTRANGE(""https://docs.google.com/spreadsheets/d/19vJNZY_5yjcGF2XGBMNZRCAIB0Kwfpjp8YEOfu-bneM/edit?usp=sharing"",""งานกองทุน!F75"")"),126347.46)</f>
        <v>126347.46</v>
      </c>
      <c r="K821" s="881">
        <f t="shared" ref="K821:K828" ca="1" si="335">IF(I821&gt;0,J821*100/I821,0)</f>
        <v>80.321687355135168</v>
      </c>
      <c r="L821" s="881"/>
      <c r="M821" s="881"/>
      <c r="N821" s="881"/>
      <c r="O821" s="881"/>
      <c r="P821" s="881"/>
      <c r="Q821" s="1302"/>
      <c r="R821" s="1302"/>
      <c r="S821" s="1302"/>
      <c r="T821" s="1302"/>
      <c r="U821" s="1302"/>
      <c r="V821" s="1302"/>
      <c r="W821" s="1302"/>
      <c r="X821" s="1302"/>
      <c r="Y821" s="1302"/>
      <c r="Z821" s="1302"/>
    </row>
    <row r="822" spans="1:26" ht="18.75">
      <c r="A822" s="1429"/>
      <c r="B822" s="1301"/>
      <c r="C822" s="1301"/>
      <c r="D822" s="1300"/>
      <c r="E822" s="1301"/>
      <c r="F822" s="1301"/>
      <c r="G822" s="1016"/>
      <c r="H822" s="622" t="s">
        <v>35</v>
      </c>
      <c r="I822" s="880">
        <f ca="1">IFERROR(__xludf.DUMMYFUNCTION("IMPORTRANGE(""https://docs.google.com/spreadsheets/d/19vJNZY_5yjcGF2XGBMNZRCAIB0Kwfpjp8YEOfu-bneM/edit?usp=sharing"",""งานกองทุน!C75"")"),18)</f>
        <v>18</v>
      </c>
      <c r="J822" s="880">
        <f ca="1">IFERROR(__xludf.DUMMYFUNCTION("IMPORTRANGE(""https://docs.google.com/spreadsheets/d/19vJNZY_5yjcGF2XGBMNZRCAIB0Kwfpjp8YEOfu-bneM/edit?usp=sharing"",""งานกองทุน!E75"")"),15)</f>
        <v>15</v>
      </c>
      <c r="K822" s="881">
        <f t="shared" ca="1" si="335"/>
        <v>83.333333333333329</v>
      </c>
      <c r="L822" s="881"/>
      <c r="M822" s="881"/>
      <c r="N822" s="881"/>
      <c r="O822" s="881"/>
      <c r="P822" s="881"/>
      <c r="Q822" s="1302"/>
      <c r="R822" s="1302"/>
      <c r="S822" s="1302"/>
      <c r="T822" s="1302"/>
      <c r="U822" s="1302"/>
      <c r="V822" s="1302"/>
      <c r="W822" s="1302"/>
      <c r="X822" s="1302"/>
      <c r="Y822" s="1302"/>
      <c r="Z822" s="1302"/>
    </row>
    <row r="823" spans="1:26" ht="18.75">
      <c r="A823" s="1429"/>
      <c r="B823" s="1301" t="s">
        <v>327</v>
      </c>
      <c r="C823" s="1301"/>
      <c r="D823" s="1300"/>
      <c r="E823" s="1301"/>
      <c r="F823" s="1301"/>
      <c r="G823" s="1016"/>
      <c r="H823" s="622" t="s">
        <v>12</v>
      </c>
      <c r="I823" s="880">
        <f ca="1">IFERROR(__xludf.DUMMYFUNCTION("IMPORTRANGE(""https://docs.google.com/spreadsheets/d/19vJNZY_5yjcGF2XGBMNZRCAIB0Kwfpjp8YEOfu-bneM/edit?usp=sharing"",""งานกองทุน!I75"")"),761858.64)</f>
        <v>761858.64</v>
      </c>
      <c r="J823" s="880">
        <f ca="1">IFERROR(__xludf.DUMMYFUNCTION("IMPORTRANGE(""https://docs.google.com/spreadsheets/d/19vJNZY_5yjcGF2XGBMNZRCAIB0Kwfpjp8YEOfu-bneM/edit?usp=sharing"",""งานกองทุน!K75"")"),419014.85)</f>
        <v>419014.85</v>
      </c>
      <c r="K823" s="881">
        <f t="shared" ca="1" si="335"/>
        <v>54.999028428685932</v>
      </c>
      <c r="L823" s="881"/>
      <c r="M823" s="881"/>
      <c r="N823" s="881"/>
      <c r="O823" s="881"/>
      <c r="P823" s="881"/>
      <c r="Q823" s="1302"/>
      <c r="R823" s="1302"/>
      <c r="S823" s="1302"/>
      <c r="T823" s="1302"/>
      <c r="U823" s="1302"/>
      <c r="V823" s="1302"/>
      <c r="W823" s="1302"/>
      <c r="X823" s="1302"/>
      <c r="Y823" s="1302"/>
      <c r="Z823" s="1302"/>
    </row>
    <row r="824" spans="1:26" ht="18.75">
      <c r="A824" s="1429"/>
      <c r="B824" s="1301"/>
      <c r="C824" s="1301"/>
      <c r="D824" s="1300"/>
      <c r="E824" s="1301"/>
      <c r="F824" s="1301"/>
      <c r="G824" s="1016"/>
      <c r="H824" s="622" t="s">
        <v>35</v>
      </c>
      <c r="I824" s="880">
        <f ca="1">IFERROR(__xludf.DUMMYFUNCTION("IMPORTRANGE(""https://docs.google.com/spreadsheets/d/19vJNZY_5yjcGF2XGBMNZRCAIB0Kwfpjp8YEOfu-bneM/edit?usp=sharing"",""งานกองทุน!H75"")"),26)</f>
        <v>26</v>
      </c>
      <c r="J824" s="880">
        <f ca="1">IFERROR(__xludf.DUMMYFUNCTION("IMPORTRANGE(""https://docs.google.com/spreadsheets/d/19vJNZY_5yjcGF2XGBMNZRCAIB0Kwfpjp8YEOfu-bneM/edit?usp=sharing"",""งานกองทุน!J75"")"),65)</f>
        <v>65</v>
      </c>
      <c r="K824" s="881">
        <f t="shared" ca="1" si="335"/>
        <v>250</v>
      </c>
      <c r="L824" s="881"/>
      <c r="M824" s="881"/>
      <c r="N824" s="881"/>
      <c r="O824" s="881"/>
      <c r="P824" s="881"/>
      <c r="Q824" s="1302"/>
      <c r="R824" s="1302"/>
      <c r="S824" s="1302"/>
      <c r="T824" s="1302"/>
      <c r="U824" s="1302"/>
      <c r="V824" s="1302"/>
      <c r="W824" s="1302"/>
      <c r="X824" s="1302"/>
      <c r="Y824" s="1302"/>
      <c r="Z824" s="1302"/>
    </row>
    <row r="825" spans="1:26" ht="18.75">
      <c r="A825" s="1429"/>
      <c r="B825" s="1301" t="s">
        <v>328</v>
      </c>
      <c r="C825" s="1301"/>
      <c r="D825" s="1300"/>
      <c r="E825" s="1301"/>
      <c r="F825" s="1301"/>
      <c r="G825" s="1016"/>
      <c r="H825" s="622" t="s">
        <v>12</v>
      </c>
      <c r="I825" s="880">
        <f ca="1">IFERROR(__xludf.DUMMYFUNCTION("IMPORTRANGE(""https://docs.google.com/spreadsheets/d/19vJNZY_5yjcGF2XGBMNZRCAIB0Kwfpjp8YEOfu-bneM/edit?usp=sharing"",""งานกองทุน!N75"")"),0)</f>
        <v>0</v>
      </c>
      <c r="J825" s="880">
        <f ca="1">IFERROR(__xludf.DUMMYFUNCTION("IMPORTRANGE(""https://docs.google.com/spreadsheets/d/19vJNZY_5yjcGF2XGBMNZRCAIB0Kwfpjp8YEOfu-bneM/edit?usp=sharing"",""งานกองทุน!P75"")"),13026.87)</f>
        <v>13026.87</v>
      </c>
      <c r="K825" s="881">
        <f t="shared" ca="1" si="335"/>
        <v>0</v>
      </c>
      <c r="L825" s="881"/>
      <c r="M825" s="881"/>
      <c r="N825" s="881"/>
      <c r="O825" s="881"/>
      <c r="P825" s="881"/>
      <c r="Q825" s="1302"/>
      <c r="R825" s="1302"/>
      <c r="S825" s="1302"/>
      <c r="T825" s="1302"/>
      <c r="U825" s="1302"/>
      <c r="V825" s="1302"/>
      <c r="W825" s="1302"/>
      <c r="X825" s="1302"/>
      <c r="Y825" s="1302"/>
      <c r="Z825" s="1302"/>
    </row>
    <row r="826" spans="1:26" ht="18.75">
      <c r="A826" s="1429"/>
      <c r="B826" s="1301"/>
      <c r="C826" s="1301"/>
      <c r="D826" s="1300"/>
      <c r="E826" s="1301"/>
      <c r="F826" s="1301"/>
      <c r="G826" s="1016"/>
      <c r="H826" s="622" t="s">
        <v>35</v>
      </c>
      <c r="I826" s="880">
        <f ca="1">IFERROR(__xludf.DUMMYFUNCTION("IMPORTRANGE(""https://docs.google.com/spreadsheets/d/19vJNZY_5yjcGF2XGBMNZRCAIB0Kwfpjp8YEOfu-bneM/edit?usp=sharing"",""งานกองทุน!M75"")"),0)</f>
        <v>0</v>
      </c>
      <c r="J826" s="880">
        <f ca="1">IFERROR(__xludf.DUMMYFUNCTION("IMPORTRANGE(""https://docs.google.com/spreadsheets/d/19vJNZY_5yjcGF2XGBMNZRCAIB0Kwfpjp8YEOfu-bneM/edit?usp=sharing"",""งานกองทุน!O75"")"),8)</f>
        <v>8</v>
      </c>
      <c r="K826" s="881">
        <f t="shared" ca="1" si="335"/>
        <v>0</v>
      </c>
      <c r="L826" s="881"/>
      <c r="M826" s="881"/>
      <c r="N826" s="881"/>
      <c r="O826" s="881"/>
      <c r="P826" s="881"/>
      <c r="Q826" s="1302"/>
      <c r="R826" s="1302"/>
      <c r="S826" s="1302"/>
      <c r="T826" s="1302"/>
      <c r="U826" s="1302"/>
      <c r="V826" s="1302"/>
      <c r="W826" s="1302"/>
      <c r="X826" s="1302"/>
      <c r="Y826" s="1302"/>
      <c r="Z826" s="1302"/>
    </row>
    <row r="827" spans="1:26" ht="18.75">
      <c r="A827" s="1429"/>
      <c r="B827" s="1301" t="s">
        <v>329</v>
      </c>
      <c r="C827" s="1301"/>
      <c r="D827" s="1300"/>
      <c r="E827" s="1301"/>
      <c r="F827" s="1301"/>
      <c r="G827" s="1016"/>
      <c r="H827" s="622" t="s">
        <v>12</v>
      </c>
      <c r="I827" s="880">
        <f ca="1">IFERROR(__xludf.DUMMYFUNCTION("IMPORTRANGE(""https://docs.google.com/spreadsheets/d/19vJNZY_5yjcGF2XGBMNZRCAIB0Kwfpjp8YEOfu-bneM/edit?usp=sharing"",""งานกองทุน!S75"")"),280000)</f>
        <v>280000</v>
      </c>
      <c r="J827" s="880">
        <f ca="1">IFERROR(__xludf.DUMMYFUNCTION("IMPORTRANGE(""https://docs.google.com/spreadsheets/d/19vJNZY_5yjcGF2XGBMNZRCAIB0Kwfpjp8YEOfu-bneM/edit?usp=sharing"",""งานกองทุน!U75"")"),0)</f>
        <v>0</v>
      </c>
      <c r="K827" s="881">
        <f t="shared" ca="1" si="335"/>
        <v>0</v>
      </c>
      <c r="L827" s="881"/>
      <c r="M827" s="881"/>
      <c r="N827" s="881"/>
      <c r="O827" s="881"/>
      <c r="P827" s="881"/>
      <c r="Q827" s="1302"/>
      <c r="R827" s="1302"/>
      <c r="S827" s="1302"/>
      <c r="T827" s="1302"/>
      <c r="U827" s="1302"/>
      <c r="V827" s="1302"/>
      <c r="W827" s="1302"/>
      <c r="X827" s="1302"/>
      <c r="Y827" s="1302"/>
      <c r="Z827" s="1302"/>
    </row>
    <row r="828" spans="1:26" ht="18.75">
      <c r="A828" s="1430"/>
      <c r="B828" s="1432"/>
      <c r="C828" s="1432"/>
      <c r="D828" s="1431"/>
      <c r="E828" s="1432"/>
      <c r="F828" s="1432"/>
      <c r="G828" s="1492"/>
      <c r="H828" s="827" t="s">
        <v>35</v>
      </c>
      <c r="I828" s="1138">
        <f ca="1">IFERROR(__xludf.DUMMYFUNCTION("IMPORTRANGE(""https://docs.google.com/spreadsheets/d/19vJNZY_5yjcGF2XGBMNZRCAIB0Kwfpjp8YEOfu-bneM/edit?usp=sharing"",""งานกองทุน!R75"")"),11)</f>
        <v>11</v>
      </c>
      <c r="J828" s="1138">
        <f ca="1">IFERROR(__xludf.DUMMYFUNCTION("IMPORTRANGE(""https://docs.google.com/spreadsheets/d/19vJNZY_5yjcGF2XGBMNZRCAIB0Kwfpjp8YEOfu-bneM/edit?usp=sharing"",""งานกองทุน!T75"")"),0)</f>
        <v>0</v>
      </c>
      <c r="K828" s="1239">
        <f t="shared" ca="1" si="335"/>
        <v>0</v>
      </c>
      <c r="L828" s="1239"/>
      <c r="M828" s="1239"/>
      <c r="N828" s="1239"/>
      <c r="O828" s="1239"/>
      <c r="P828" s="1239"/>
      <c r="Q828" s="1302"/>
      <c r="R828" s="1302"/>
      <c r="S828" s="1302"/>
      <c r="T828" s="1302"/>
      <c r="U828" s="1302"/>
      <c r="V828" s="1302"/>
      <c r="W828" s="1302"/>
      <c r="X828" s="1302"/>
      <c r="Y828" s="1302"/>
      <c r="Z828" s="130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0B593-A022-422D-AF90-3FE313D82AFC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52" customWidth="1"/>
    <col min="4" max="6" width="5.85546875" style="852" customWidth="1"/>
    <col min="7" max="7" width="56.42578125" style="852" customWidth="1"/>
    <col min="8" max="8" width="9.42578125" style="852" customWidth="1"/>
    <col min="9" max="9" width="16.140625" style="852" bestFit="1" customWidth="1"/>
    <col min="10" max="10" width="13.7109375" style="852" bestFit="1" customWidth="1"/>
    <col min="11" max="11" width="13.28515625" style="852" bestFit="1" customWidth="1"/>
    <col min="12" max="15" width="20.28515625" style="852" bestFit="1" customWidth="1"/>
    <col min="16" max="16" width="22.140625" style="852" bestFit="1" customWidth="1"/>
    <col min="17" max="16384" width="12.5703125" style="852"/>
  </cols>
  <sheetData>
    <row r="1" spans="1:26" ht="19.5">
      <c r="A1" s="828" t="s">
        <v>0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51"/>
    </row>
    <row r="2" spans="1:26" ht="19.5">
      <c r="A2" s="828" t="s">
        <v>335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</row>
    <row r="3" spans="1:26" ht="19.5">
      <c r="A3" s="828" t="s">
        <v>330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</row>
    <row r="4" spans="1:26" ht="12.75">
      <c r="A4" s="853"/>
      <c r="B4" s="853"/>
      <c r="C4" s="853"/>
      <c r="D4" s="853"/>
      <c r="E4" s="853"/>
      <c r="F4" s="853"/>
      <c r="G4" s="853"/>
      <c r="H4" s="853"/>
      <c r="I4" s="853"/>
      <c r="J4" s="854"/>
      <c r="K4" s="855"/>
      <c r="L4" s="854"/>
      <c r="M4" s="854"/>
      <c r="N4" s="854"/>
      <c r="O4" s="853"/>
      <c r="P4" s="853"/>
    </row>
    <row r="5" spans="1:26" ht="19.5">
      <c r="A5" s="836" t="s">
        <v>2</v>
      </c>
      <c r="B5" s="851"/>
      <c r="C5" s="851"/>
      <c r="D5" s="851"/>
      <c r="E5" s="851"/>
      <c r="F5" s="851"/>
      <c r="G5" s="837"/>
      <c r="H5" s="830" t="s">
        <v>3</v>
      </c>
      <c r="I5" s="832" t="s">
        <v>4</v>
      </c>
      <c r="J5" s="833"/>
      <c r="K5" s="831"/>
      <c r="L5" s="834" t="s">
        <v>5</v>
      </c>
      <c r="M5" s="831"/>
      <c r="N5" s="835" t="s">
        <v>6</v>
      </c>
      <c r="O5" s="833"/>
      <c r="P5" s="831"/>
    </row>
    <row r="6" spans="1:26" ht="19.5">
      <c r="A6" s="838"/>
      <c r="B6" s="833"/>
      <c r="C6" s="833"/>
      <c r="D6" s="833"/>
      <c r="E6" s="833"/>
      <c r="F6" s="833"/>
      <c r="G6" s="831"/>
      <c r="H6" s="83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6" t="s">
        <v>15</v>
      </c>
      <c r="B7" s="833"/>
      <c r="C7" s="833"/>
      <c r="D7" s="833"/>
      <c r="E7" s="833"/>
      <c r="F7" s="833"/>
      <c r="G7" s="831"/>
      <c r="H7" s="857"/>
      <c r="I7" s="858"/>
      <c r="J7" s="858"/>
      <c r="K7" s="859"/>
      <c r="L7" s="859"/>
      <c r="M7" s="859"/>
      <c r="N7" s="859"/>
      <c r="O7" s="859"/>
      <c r="P7" s="859"/>
    </row>
    <row r="8" spans="1:26" ht="19.5">
      <c r="A8" s="860"/>
      <c r="B8" s="861"/>
      <c r="C8" s="862" t="s">
        <v>16</v>
      </c>
      <c r="D8" s="863" t="s">
        <v>17</v>
      </c>
      <c r="E8" s="861"/>
      <c r="F8" s="861"/>
      <c r="G8" s="864"/>
      <c r="H8" s="19" t="s">
        <v>12</v>
      </c>
      <c r="I8" s="865"/>
      <c r="J8" s="865"/>
      <c r="K8" s="866"/>
      <c r="L8" s="867">
        <f t="shared" ref="L8:N8" ca="1" si="0">L9+L10</f>
        <v>5726081</v>
      </c>
      <c r="M8" s="867">
        <f t="shared" ca="1" si="0"/>
        <v>5560809</v>
      </c>
      <c r="N8" s="867">
        <f t="shared" ca="1" si="0"/>
        <v>3483324.79</v>
      </c>
      <c r="O8" s="867">
        <f t="shared" ref="O8:O16" ca="1" si="1">IF(L8&gt;0,N8*100/L8,0)</f>
        <v>60.832614662628771</v>
      </c>
      <c r="P8" s="867">
        <f t="shared" ref="P8:P16" ca="1" si="2">IF(M8&gt;0,N8*100/M8,0)</f>
        <v>62.640612004476324</v>
      </c>
      <c r="Q8" s="868"/>
      <c r="R8" s="868"/>
      <c r="S8" s="868"/>
      <c r="T8" s="868"/>
      <c r="U8" s="868"/>
      <c r="V8" s="868"/>
      <c r="W8" s="868"/>
      <c r="X8" s="868"/>
      <c r="Y8" s="868"/>
      <c r="Z8" s="868"/>
    </row>
    <row r="9" spans="1:26" ht="18.75" hidden="1">
      <c r="A9" s="869"/>
      <c r="B9" s="870"/>
      <c r="C9" s="870"/>
      <c r="D9" s="870"/>
      <c r="E9" s="871" t="s">
        <v>18</v>
      </c>
      <c r="F9" s="870"/>
      <c r="G9" s="872"/>
      <c r="H9" s="28" t="s">
        <v>12</v>
      </c>
      <c r="I9" s="873"/>
      <c r="J9" s="873"/>
      <c r="K9" s="874"/>
      <c r="L9" s="874">
        <f t="shared" ref="L9:N10" si="3">L12+L15</f>
        <v>0</v>
      </c>
      <c r="M9" s="874">
        <f t="shared" si="3"/>
        <v>0</v>
      </c>
      <c r="N9" s="874">
        <f t="shared" si="3"/>
        <v>0</v>
      </c>
      <c r="O9" s="874">
        <f t="shared" si="1"/>
        <v>0</v>
      </c>
      <c r="P9" s="874">
        <f t="shared" si="2"/>
        <v>0</v>
      </c>
      <c r="Q9" s="875"/>
      <c r="R9" s="875"/>
      <c r="S9" s="875"/>
      <c r="T9" s="875"/>
      <c r="U9" s="875"/>
      <c r="V9" s="875"/>
      <c r="W9" s="875"/>
      <c r="X9" s="875"/>
      <c r="Y9" s="875"/>
      <c r="Z9" s="875"/>
    </row>
    <row r="10" spans="1:26" ht="18.75" hidden="1">
      <c r="A10" s="869"/>
      <c r="B10" s="870"/>
      <c r="C10" s="870"/>
      <c r="D10" s="870"/>
      <c r="E10" s="871" t="s">
        <v>19</v>
      </c>
      <c r="F10" s="870"/>
      <c r="G10" s="872"/>
      <c r="H10" s="28" t="s">
        <v>12</v>
      </c>
      <c r="I10" s="873"/>
      <c r="J10" s="873"/>
      <c r="K10" s="874"/>
      <c r="L10" s="874">
        <f t="shared" ca="1" si="3"/>
        <v>5726081</v>
      </c>
      <c r="M10" s="874">
        <f t="shared" ca="1" si="3"/>
        <v>5560809</v>
      </c>
      <c r="N10" s="874">
        <f t="shared" ca="1" si="3"/>
        <v>3483324.79</v>
      </c>
      <c r="O10" s="874">
        <f t="shared" ca="1" si="1"/>
        <v>60.832614662628771</v>
      </c>
      <c r="P10" s="874">
        <f t="shared" ca="1" si="2"/>
        <v>62.640612004476324</v>
      </c>
      <c r="Q10" s="875"/>
      <c r="R10" s="875"/>
      <c r="S10" s="875"/>
      <c r="T10" s="875"/>
      <c r="U10" s="875"/>
      <c r="V10" s="875"/>
      <c r="W10" s="875"/>
      <c r="X10" s="875"/>
      <c r="Y10" s="875"/>
      <c r="Z10" s="875"/>
    </row>
    <row r="11" spans="1:26" ht="18.75">
      <c r="A11" s="876"/>
      <c r="B11" s="877"/>
      <c r="C11" s="877"/>
      <c r="D11" s="878" t="s">
        <v>20</v>
      </c>
      <c r="E11" s="877"/>
      <c r="F11" s="877"/>
      <c r="G11" s="879"/>
      <c r="H11" s="622" t="s">
        <v>12</v>
      </c>
      <c r="I11" s="880"/>
      <c r="J11" s="880"/>
      <c r="K11" s="881"/>
      <c r="L11" s="881">
        <f t="shared" ref="L11:N11" ca="1" si="4">L12+L13</f>
        <v>5381281</v>
      </c>
      <c r="M11" s="881">
        <f t="shared" ca="1" si="4"/>
        <v>5216009</v>
      </c>
      <c r="N11" s="881">
        <f t="shared" ca="1" si="4"/>
        <v>3138524.79</v>
      </c>
      <c r="O11" s="881">
        <f t="shared" ca="1" si="1"/>
        <v>58.323005061434259</v>
      </c>
      <c r="P11" s="881">
        <f t="shared" ca="1" si="2"/>
        <v>60.171000280099207</v>
      </c>
      <c r="Q11" s="868"/>
      <c r="R11" s="868"/>
      <c r="S11" s="868"/>
      <c r="T11" s="868"/>
      <c r="U11" s="868"/>
      <c r="V11" s="868"/>
      <c r="W11" s="868"/>
      <c r="X11" s="868"/>
      <c r="Y11" s="868"/>
      <c r="Z11" s="868"/>
    </row>
    <row r="12" spans="1:26" ht="18.75" hidden="1">
      <c r="A12" s="882"/>
      <c r="B12" s="883"/>
      <c r="C12" s="883"/>
      <c r="D12" s="883"/>
      <c r="E12" s="884" t="s">
        <v>18</v>
      </c>
      <c r="F12" s="883"/>
      <c r="G12" s="885"/>
      <c r="H12" s="43" t="s">
        <v>12</v>
      </c>
      <c r="I12" s="886"/>
      <c r="J12" s="886"/>
      <c r="K12" s="887"/>
      <c r="L12" s="887">
        <f t="shared" ref="L12:N13" si="5">L22+L32</f>
        <v>0</v>
      </c>
      <c r="M12" s="887">
        <f t="shared" si="5"/>
        <v>0</v>
      </c>
      <c r="N12" s="887">
        <f t="shared" si="5"/>
        <v>0</v>
      </c>
      <c r="O12" s="887">
        <f t="shared" si="1"/>
        <v>0</v>
      </c>
      <c r="P12" s="887">
        <f t="shared" si="2"/>
        <v>0</v>
      </c>
      <c r="Q12" s="875"/>
      <c r="R12" s="875"/>
      <c r="S12" s="875"/>
      <c r="T12" s="875"/>
      <c r="U12" s="875"/>
      <c r="V12" s="875"/>
      <c r="W12" s="875"/>
      <c r="X12" s="875"/>
      <c r="Y12" s="875"/>
      <c r="Z12" s="875"/>
    </row>
    <row r="13" spans="1:26" ht="18.75" hidden="1">
      <c r="A13" s="882"/>
      <c r="B13" s="883"/>
      <c r="C13" s="883"/>
      <c r="D13" s="883"/>
      <c r="E13" s="884" t="s">
        <v>19</v>
      </c>
      <c r="F13" s="883"/>
      <c r="G13" s="885"/>
      <c r="H13" s="43" t="s">
        <v>12</v>
      </c>
      <c r="I13" s="886"/>
      <c r="J13" s="886"/>
      <c r="K13" s="887"/>
      <c r="L13" s="887">
        <f t="shared" ca="1" si="5"/>
        <v>5381281</v>
      </c>
      <c r="M13" s="887">
        <f t="shared" ca="1" si="5"/>
        <v>5216009</v>
      </c>
      <c r="N13" s="887">
        <f t="shared" ca="1" si="5"/>
        <v>3138524.79</v>
      </c>
      <c r="O13" s="887">
        <f t="shared" ca="1" si="1"/>
        <v>58.323005061434259</v>
      </c>
      <c r="P13" s="887">
        <f t="shared" ca="1" si="2"/>
        <v>60.171000280099207</v>
      </c>
      <c r="Q13" s="875"/>
      <c r="R13" s="875"/>
      <c r="S13" s="875"/>
      <c r="T13" s="875"/>
      <c r="U13" s="875"/>
      <c r="V13" s="875"/>
      <c r="W13" s="875"/>
      <c r="X13" s="875"/>
      <c r="Y13" s="875"/>
      <c r="Z13" s="875"/>
    </row>
    <row r="14" spans="1:26" ht="18.75">
      <c r="A14" s="876"/>
      <c r="B14" s="877"/>
      <c r="C14" s="877"/>
      <c r="D14" s="878" t="s">
        <v>21</v>
      </c>
      <c r="E14" s="877"/>
      <c r="F14" s="877"/>
      <c r="G14" s="879"/>
      <c r="H14" s="622" t="s">
        <v>12</v>
      </c>
      <c r="I14" s="880"/>
      <c r="J14" s="880"/>
      <c r="K14" s="881"/>
      <c r="L14" s="881">
        <f t="shared" ref="L14:N14" ca="1" si="6">L15+L16</f>
        <v>344800</v>
      </c>
      <c r="M14" s="881">
        <f t="shared" ca="1" si="6"/>
        <v>344800</v>
      </c>
      <c r="N14" s="881">
        <f t="shared" ca="1" si="6"/>
        <v>344800</v>
      </c>
      <c r="O14" s="881">
        <f t="shared" ca="1" si="1"/>
        <v>100</v>
      </c>
      <c r="P14" s="881">
        <f t="shared" ca="1" si="2"/>
        <v>100</v>
      </c>
      <c r="Q14" s="868"/>
      <c r="R14" s="868"/>
      <c r="S14" s="868"/>
      <c r="T14" s="868"/>
      <c r="U14" s="868"/>
      <c r="V14" s="868"/>
      <c r="W14" s="868"/>
      <c r="X14" s="868"/>
      <c r="Y14" s="868"/>
      <c r="Z14" s="868"/>
    </row>
    <row r="15" spans="1:26" ht="18.75" hidden="1">
      <c r="A15" s="882"/>
      <c r="B15" s="883"/>
      <c r="C15" s="883"/>
      <c r="D15" s="883"/>
      <c r="E15" s="884" t="s">
        <v>18</v>
      </c>
      <c r="F15" s="883"/>
      <c r="G15" s="885"/>
      <c r="H15" s="43" t="s">
        <v>12</v>
      </c>
      <c r="I15" s="886"/>
      <c r="J15" s="886"/>
      <c r="K15" s="887"/>
      <c r="L15" s="887">
        <f t="shared" ref="L15:N16" si="7">L25+L35</f>
        <v>0</v>
      </c>
      <c r="M15" s="887">
        <f t="shared" si="7"/>
        <v>0</v>
      </c>
      <c r="N15" s="887">
        <f t="shared" si="7"/>
        <v>0</v>
      </c>
      <c r="O15" s="887">
        <f t="shared" si="1"/>
        <v>0</v>
      </c>
      <c r="P15" s="887">
        <f t="shared" si="2"/>
        <v>0</v>
      </c>
      <c r="Q15" s="875"/>
      <c r="R15" s="875"/>
      <c r="S15" s="875"/>
      <c r="T15" s="875"/>
      <c r="U15" s="875"/>
      <c r="V15" s="875"/>
      <c r="W15" s="875"/>
      <c r="X15" s="875"/>
      <c r="Y15" s="875"/>
      <c r="Z15" s="875"/>
    </row>
    <row r="16" spans="1:26" ht="18.75" hidden="1">
      <c r="A16" s="888"/>
      <c r="B16" s="889"/>
      <c r="C16" s="889"/>
      <c r="D16" s="889"/>
      <c r="E16" s="890" t="s">
        <v>19</v>
      </c>
      <c r="F16" s="889"/>
      <c r="G16" s="891"/>
      <c r="H16" s="50" t="s">
        <v>12</v>
      </c>
      <c r="I16" s="892"/>
      <c r="J16" s="892"/>
      <c r="K16" s="893"/>
      <c r="L16" s="893">
        <f t="shared" ca="1" si="7"/>
        <v>344800</v>
      </c>
      <c r="M16" s="893">
        <f t="shared" ca="1" si="7"/>
        <v>344800</v>
      </c>
      <c r="N16" s="893">
        <f t="shared" ca="1" si="7"/>
        <v>344800</v>
      </c>
      <c r="O16" s="893">
        <f t="shared" ca="1" si="1"/>
        <v>100</v>
      </c>
      <c r="P16" s="893">
        <f t="shared" ca="1" si="2"/>
        <v>100</v>
      </c>
      <c r="Q16" s="875"/>
      <c r="R16" s="875"/>
      <c r="S16" s="875"/>
      <c r="T16" s="875"/>
      <c r="U16" s="875"/>
      <c r="V16" s="875"/>
      <c r="W16" s="875"/>
      <c r="X16" s="875"/>
      <c r="Y16" s="875"/>
      <c r="Z16" s="875"/>
    </row>
    <row r="17" spans="1:26" ht="19.5">
      <c r="A17" s="856" t="s">
        <v>22</v>
      </c>
      <c r="B17" s="833"/>
      <c r="C17" s="833"/>
      <c r="D17" s="833"/>
      <c r="E17" s="833"/>
      <c r="F17" s="833"/>
      <c r="G17" s="831"/>
      <c r="H17" s="857"/>
      <c r="I17" s="858"/>
      <c r="J17" s="858"/>
      <c r="K17" s="859"/>
      <c r="L17" s="859"/>
      <c r="M17" s="859"/>
      <c r="N17" s="859"/>
      <c r="O17" s="859"/>
      <c r="P17" s="859"/>
    </row>
    <row r="18" spans="1:26" ht="19.5">
      <c r="A18" s="860"/>
      <c r="B18" s="861"/>
      <c r="C18" s="862" t="s">
        <v>16</v>
      </c>
      <c r="D18" s="863" t="s">
        <v>17</v>
      </c>
      <c r="E18" s="861"/>
      <c r="F18" s="861"/>
      <c r="G18" s="864"/>
      <c r="H18" s="19" t="s">
        <v>12</v>
      </c>
      <c r="I18" s="865"/>
      <c r="J18" s="865"/>
      <c r="K18" s="866"/>
      <c r="L18" s="867">
        <f t="shared" ref="L18:N18" ca="1" si="8">L19+L20</f>
        <v>3606245</v>
      </c>
      <c r="M18" s="867">
        <f t="shared" ca="1" si="8"/>
        <v>3440973</v>
      </c>
      <c r="N18" s="867">
        <f t="shared" ca="1" si="8"/>
        <v>2320172.2799999998</v>
      </c>
      <c r="O18" s="867">
        <f t="shared" ref="O18:O26" ca="1" si="9">IF(L18&gt;0,N18*100/L18,0)</f>
        <v>64.337622097223004</v>
      </c>
      <c r="P18" s="867">
        <f t="shared" ref="P18:P26" ca="1" si="10">IF(M18&gt;0,N18*100/M18,0)</f>
        <v>67.427796730750273</v>
      </c>
      <c r="Q18" s="868"/>
      <c r="R18" s="868"/>
      <c r="S18" s="868"/>
      <c r="T18" s="868"/>
      <c r="U18" s="868"/>
      <c r="V18" s="868"/>
      <c r="W18" s="868"/>
      <c r="X18" s="868"/>
      <c r="Y18" s="868"/>
      <c r="Z18" s="868"/>
    </row>
    <row r="19" spans="1:26" ht="18.75" hidden="1">
      <c r="A19" s="869"/>
      <c r="B19" s="870"/>
      <c r="C19" s="870"/>
      <c r="D19" s="870"/>
      <c r="E19" s="871" t="s">
        <v>18</v>
      </c>
      <c r="F19" s="870"/>
      <c r="G19" s="872"/>
      <c r="H19" s="28" t="s">
        <v>12</v>
      </c>
      <c r="I19" s="873"/>
      <c r="J19" s="873"/>
      <c r="K19" s="874"/>
      <c r="L19" s="874">
        <f t="shared" ref="L19:N20" si="11">L22+L25</f>
        <v>0</v>
      </c>
      <c r="M19" s="874">
        <f t="shared" si="11"/>
        <v>0</v>
      </c>
      <c r="N19" s="874">
        <f t="shared" si="11"/>
        <v>0</v>
      </c>
      <c r="O19" s="874">
        <f t="shared" si="9"/>
        <v>0</v>
      </c>
      <c r="P19" s="874">
        <f t="shared" si="10"/>
        <v>0</v>
      </c>
      <c r="Q19" s="875"/>
      <c r="R19" s="875"/>
      <c r="S19" s="875"/>
      <c r="T19" s="875"/>
      <c r="U19" s="875"/>
      <c r="V19" s="875"/>
      <c r="W19" s="875"/>
      <c r="X19" s="875"/>
      <c r="Y19" s="875"/>
      <c r="Z19" s="875"/>
    </row>
    <row r="20" spans="1:26" ht="18.75" hidden="1">
      <c r="A20" s="869"/>
      <c r="B20" s="870"/>
      <c r="C20" s="870"/>
      <c r="D20" s="870"/>
      <c r="E20" s="871" t="s">
        <v>19</v>
      </c>
      <c r="F20" s="870"/>
      <c r="G20" s="872"/>
      <c r="H20" s="28" t="s">
        <v>12</v>
      </c>
      <c r="I20" s="873"/>
      <c r="J20" s="873"/>
      <c r="K20" s="874"/>
      <c r="L20" s="874">
        <f t="shared" ca="1" si="11"/>
        <v>3606245</v>
      </c>
      <c r="M20" s="874">
        <f t="shared" ca="1" si="11"/>
        <v>3440973</v>
      </c>
      <c r="N20" s="874">
        <f t="shared" ca="1" si="11"/>
        <v>2320172.2799999998</v>
      </c>
      <c r="O20" s="874">
        <f t="shared" ca="1" si="9"/>
        <v>64.337622097223004</v>
      </c>
      <c r="P20" s="874">
        <f t="shared" ca="1" si="10"/>
        <v>67.427796730750273</v>
      </c>
      <c r="Q20" s="875"/>
      <c r="R20" s="875"/>
      <c r="S20" s="875"/>
      <c r="T20" s="875"/>
      <c r="U20" s="875"/>
      <c r="V20" s="875"/>
      <c r="W20" s="875"/>
      <c r="X20" s="875"/>
      <c r="Y20" s="875"/>
      <c r="Z20" s="875"/>
    </row>
    <row r="21" spans="1:26" ht="18.75">
      <c r="A21" s="876"/>
      <c r="B21" s="877"/>
      <c r="C21" s="877"/>
      <c r="D21" s="878" t="s">
        <v>20</v>
      </c>
      <c r="E21" s="877"/>
      <c r="F21" s="877"/>
      <c r="G21" s="879"/>
      <c r="H21" s="622" t="s">
        <v>12</v>
      </c>
      <c r="I21" s="880"/>
      <c r="J21" s="880"/>
      <c r="K21" s="881"/>
      <c r="L21" s="881">
        <f t="shared" ref="L21:N21" ca="1" si="12">L22+L23</f>
        <v>3261445</v>
      </c>
      <c r="M21" s="881">
        <f t="shared" ca="1" si="12"/>
        <v>3096173</v>
      </c>
      <c r="N21" s="881">
        <f t="shared" ca="1" si="12"/>
        <v>1975372.2799999998</v>
      </c>
      <c r="O21" s="881">
        <f t="shared" ca="1" si="9"/>
        <v>60.567395127006577</v>
      </c>
      <c r="P21" s="881">
        <f t="shared" ca="1" si="10"/>
        <v>63.800449135109687</v>
      </c>
      <c r="Q21" s="868"/>
      <c r="R21" s="868"/>
      <c r="S21" s="868"/>
      <c r="T21" s="868"/>
      <c r="U21" s="868"/>
      <c r="V21" s="868"/>
      <c r="W21" s="868"/>
      <c r="X21" s="868"/>
      <c r="Y21" s="868"/>
      <c r="Z21" s="868"/>
    </row>
    <row r="22" spans="1:26" ht="18.75" hidden="1">
      <c r="A22" s="882"/>
      <c r="B22" s="883"/>
      <c r="C22" s="883"/>
      <c r="D22" s="883"/>
      <c r="E22" s="884" t="s">
        <v>18</v>
      </c>
      <c r="F22" s="883"/>
      <c r="G22" s="885"/>
      <c r="H22" s="43" t="s">
        <v>12</v>
      </c>
      <c r="I22" s="886"/>
      <c r="J22" s="886"/>
      <c r="K22" s="887"/>
      <c r="L22" s="887">
        <f t="shared" ref="L22:N23" si="13">L45+L57+L70+L92+L123+L136+L153+L185+L169+L265+L281+L302+L319+L332+L349+L393+L406</f>
        <v>0</v>
      </c>
      <c r="M22" s="887">
        <f t="shared" si="13"/>
        <v>0</v>
      </c>
      <c r="N22" s="887">
        <f t="shared" si="13"/>
        <v>0</v>
      </c>
      <c r="O22" s="887">
        <f t="shared" si="9"/>
        <v>0</v>
      </c>
      <c r="P22" s="887">
        <f t="shared" si="10"/>
        <v>0</v>
      </c>
      <c r="Q22" s="875"/>
      <c r="R22" s="875"/>
      <c r="S22" s="875"/>
      <c r="T22" s="875"/>
      <c r="U22" s="875"/>
      <c r="V22" s="875"/>
      <c r="W22" s="875"/>
      <c r="X22" s="875"/>
      <c r="Y22" s="875"/>
      <c r="Z22" s="875"/>
    </row>
    <row r="23" spans="1:26" ht="18.75" hidden="1">
      <c r="A23" s="882"/>
      <c r="B23" s="883"/>
      <c r="C23" s="883"/>
      <c r="D23" s="883"/>
      <c r="E23" s="884" t="s">
        <v>19</v>
      </c>
      <c r="F23" s="883"/>
      <c r="G23" s="885"/>
      <c r="H23" s="43" t="s">
        <v>12</v>
      </c>
      <c r="I23" s="886"/>
      <c r="J23" s="886"/>
      <c r="K23" s="887"/>
      <c r="L23" s="887">
        <f t="shared" ca="1" si="13"/>
        <v>3261445</v>
      </c>
      <c r="M23" s="887">
        <f t="shared" ca="1" si="13"/>
        <v>3096173</v>
      </c>
      <c r="N23" s="887">
        <f t="shared" ca="1" si="13"/>
        <v>1975372.2799999998</v>
      </c>
      <c r="O23" s="887">
        <f t="shared" ca="1" si="9"/>
        <v>60.567395127006577</v>
      </c>
      <c r="P23" s="887">
        <f t="shared" ca="1" si="10"/>
        <v>63.800449135109687</v>
      </c>
      <c r="Q23" s="875"/>
      <c r="R23" s="875"/>
      <c r="S23" s="875"/>
      <c r="T23" s="875"/>
      <c r="U23" s="875"/>
      <c r="V23" s="875"/>
      <c r="W23" s="875"/>
      <c r="X23" s="875"/>
      <c r="Y23" s="875"/>
      <c r="Z23" s="875"/>
    </row>
    <row r="24" spans="1:26" ht="18.75">
      <c r="A24" s="876"/>
      <c r="B24" s="877"/>
      <c r="C24" s="877"/>
      <c r="D24" s="878" t="s">
        <v>21</v>
      </c>
      <c r="E24" s="877"/>
      <c r="F24" s="877"/>
      <c r="G24" s="879"/>
      <c r="H24" s="622" t="s">
        <v>12</v>
      </c>
      <c r="I24" s="880"/>
      <c r="J24" s="880"/>
      <c r="K24" s="881"/>
      <c r="L24" s="881">
        <f t="shared" ref="L24:N24" ca="1" si="14">L25+L26</f>
        <v>344800</v>
      </c>
      <c r="M24" s="881">
        <f t="shared" ca="1" si="14"/>
        <v>344800</v>
      </c>
      <c r="N24" s="881">
        <f t="shared" ca="1" si="14"/>
        <v>344800</v>
      </c>
      <c r="O24" s="881">
        <f t="shared" ca="1" si="9"/>
        <v>100</v>
      </c>
      <c r="P24" s="881">
        <f t="shared" ca="1" si="10"/>
        <v>100</v>
      </c>
      <c r="Q24" s="868"/>
      <c r="R24" s="868"/>
      <c r="S24" s="868"/>
      <c r="T24" s="868"/>
      <c r="U24" s="868"/>
      <c r="V24" s="868"/>
      <c r="W24" s="868"/>
      <c r="X24" s="868"/>
      <c r="Y24" s="868"/>
      <c r="Z24" s="868"/>
    </row>
    <row r="25" spans="1:26" ht="18.75" hidden="1">
      <c r="A25" s="882"/>
      <c r="B25" s="883"/>
      <c r="C25" s="883"/>
      <c r="D25" s="883"/>
      <c r="E25" s="884" t="s">
        <v>18</v>
      </c>
      <c r="F25" s="883"/>
      <c r="G25" s="885"/>
      <c r="H25" s="43" t="s">
        <v>12</v>
      </c>
      <c r="I25" s="886"/>
      <c r="J25" s="886"/>
      <c r="K25" s="887"/>
      <c r="L25" s="887">
        <f t="shared" ref="L25:N26" si="15">L48+L60+L73+L95+L126+L139+L156+L188+L172+L268+L284+L305+L322+L335+L352+L396+L409</f>
        <v>0</v>
      </c>
      <c r="M25" s="887">
        <f t="shared" si="15"/>
        <v>0</v>
      </c>
      <c r="N25" s="887">
        <f t="shared" si="15"/>
        <v>0</v>
      </c>
      <c r="O25" s="887">
        <f t="shared" si="9"/>
        <v>0</v>
      </c>
      <c r="P25" s="887">
        <f t="shared" si="10"/>
        <v>0</v>
      </c>
      <c r="Q25" s="875"/>
      <c r="R25" s="875"/>
      <c r="S25" s="875"/>
      <c r="T25" s="875"/>
      <c r="U25" s="875"/>
      <c r="V25" s="875"/>
      <c r="W25" s="875"/>
      <c r="X25" s="875"/>
      <c r="Y25" s="875"/>
      <c r="Z25" s="875"/>
    </row>
    <row r="26" spans="1:26" ht="18.75" hidden="1">
      <c r="A26" s="888"/>
      <c r="B26" s="889"/>
      <c r="C26" s="889"/>
      <c r="D26" s="889"/>
      <c r="E26" s="890" t="s">
        <v>19</v>
      </c>
      <c r="F26" s="889"/>
      <c r="G26" s="891"/>
      <c r="H26" s="50" t="s">
        <v>12</v>
      </c>
      <c r="I26" s="892"/>
      <c r="J26" s="892"/>
      <c r="K26" s="893"/>
      <c r="L26" s="893">
        <f t="shared" ca="1" si="15"/>
        <v>344800</v>
      </c>
      <c r="M26" s="893">
        <f t="shared" ca="1" si="15"/>
        <v>344800</v>
      </c>
      <c r="N26" s="893">
        <f t="shared" ca="1" si="15"/>
        <v>344800</v>
      </c>
      <c r="O26" s="893">
        <f t="shared" ca="1" si="9"/>
        <v>100</v>
      </c>
      <c r="P26" s="893">
        <f t="shared" ca="1" si="10"/>
        <v>100</v>
      </c>
      <c r="Q26" s="875"/>
      <c r="R26" s="875"/>
      <c r="S26" s="875"/>
      <c r="T26" s="875"/>
      <c r="U26" s="875"/>
      <c r="V26" s="875"/>
      <c r="W26" s="875"/>
      <c r="X26" s="875"/>
      <c r="Y26" s="875"/>
      <c r="Z26" s="875"/>
    </row>
    <row r="27" spans="1:26" ht="19.5">
      <c r="A27" s="856" t="s">
        <v>23</v>
      </c>
      <c r="B27" s="833"/>
      <c r="C27" s="833"/>
      <c r="D27" s="833"/>
      <c r="E27" s="833"/>
      <c r="F27" s="833"/>
      <c r="G27" s="831"/>
      <c r="H27" s="857"/>
      <c r="I27" s="858"/>
      <c r="J27" s="858"/>
      <c r="K27" s="859"/>
      <c r="L27" s="859"/>
      <c r="M27" s="859"/>
      <c r="N27" s="859"/>
      <c r="O27" s="859"/>
      <c r="P27" s="859"/>
    </row>
    <row r="28" spans="1:26" ht="19.5">
      <c r="A28" s="860"/>
      <c r="B28" s="861"/>
      <c r="C28" s="862" t="s">
        <v>16</v>
      </c>
      <c r="D28" s="863" t="s">
        <v>17</v>
      </c>
      <c r="E28" s="861"/>
      <c r="F28" s="861"/>
      <c r="G28" s="864"/>
      <c r="H28" s="19" t="s">
        <v>12</v>
      </c>
      <c r="I28" s="865"/>
      <c r="J28" s="865"/>
      <c r="K28" s="866"/>
      <c r="L28" s="867">
        <f t="shared" ref="L28:N28" ca="1" si="16">L29+L30</f>
        <v>2119836</v>
      </c>
      <c r="M28" s="867">
        <f t="shared" ca="1" si="16"/>
        <v>2119836</v>
      </c>
      <c r="N28" s="867">
        <f t="shared" si="16"/>
        <v>1163152.51</v>
      </c>
      <c r="O28" s="867">
        <f t="shared" ref="O28:O37" ca="1" si="17">IF(L28&gt;0,N28*100/L28,0)</f>
        <v>54.869929088854043</v>
      </c>
      <c r="P28" s="867">
        <f t="shared" ref="P28:P37" ca="1" si="18">IF(M28&gt;0,N28*100/M28,0)</f>
        <v>54.869929088854043</v>
      </c>
      <c r="Q28" s="868"/>
      <c r="R28" s="868"/>
      <c r="S28" s="868"/>
      <c r="T28" s="868"/>
      <c r="U28" s="868"/>
      <c r="V28" s="868"/>
      <c r="W28" s="868"/>
      <c r="X28" s="868"/>
      <c r="Y28" s="868"/>
      <c r="Z28" s="868"/>
    </row>
    <row r="29" spans="1:26" ht="18.75" hidden="1">
      <c r="A29" s="869"/>
      <c r="B29" s="870"/>
      <c r="C29" s="870"/>
      <c r="D29" s="870"/>
      <c r="E29" s="871" t="s">
        <v>18</v>
      </c>
      <c r="F29" s="870"/>
      <c r="G29" s="872"/>
      <c r="H29" s="28" t="s">
        <v>12</v>
      </c>
      <c r="I29" s="873"/>
      <c r="J29" s="873"/>
      <c r="K29" s="874"/>
      <c r="L29" s="874">
        <f t="shared" ref="L29:N30" si="19">L32+L35</f>
        <v>0</v>
      </c>
      <c r="M29" s="874">
        <f t="shared" si="19"/>
        <v>0</v>
      </c>
      <c r="N29" s="874">
        <f t="shared" si="19"/>
        <v>0</v>
      </c>
      <c r="O29" s="874">
        <f t="shared" si="17"/>
        <v>0</v>
      </c>
      <c r="P29" s="874">
        <f t="shared" si="18"/>
        <v>0</v>
      </c>
      <c r="Q29" s="875"/>
      <c r="R29" s="875"/>
      <c r="S29" s="875"/>
      <c r="T29" s="875"/>
      <c r="U29" s="875"/>
      <c r="V29" s="875"/>
      <c r="W29" s="875"/>
      <c r="X29" s="875"/>
      <c r="Y29" s="875"/>
      <c r="Z29" s="875"/>
    </row>
    <row r="30" spans="1:26" ht="18.75" hidden="1">
      <c r="A30" s="869"/>
      <c r="B30" s="870"/>
      <c r="C30" s="870"/>
      <c r="D30" s="870"/>
      <c r="E30" s="871" t="s">
        <v>19</v>
      </c>
      <c r="F30" s="870"/>
      <c r="G30" s="872"/>
      <c r="H30" s="28" t="s">
        <v>12</v>
      </c>
      <c r="I30" s="873"/>
      <c r="J30" s="873"/>
      <c r="K30" s="874"/>
      <c r="L30" s="874">
        <f t="shared" ca="1" si="19"/>
        <v>2119836</v>
      </c>
      <c r="M30" s="874">
        <f t="shared" ca="1" si="19"/>
        <v>2119836</v>
      </c>
      <c r="N30" s="874">
        <f t="shared" si="19"/>
        <v>1163152.51</v>
      </c>
      <c r="O30" s="874">
        <f t="shared" ca="1" si="17"/>
        <v>54.869929088854043</v>
      </c>
      <c r="P30" s="874">
        <f t="shared" ca="1" si="18"/>
        <v>54.869929088854043</v>
      </c>
      <c r="Q30" s="875"/>
      <c r="R30" s="875"/>
      <c r="S30" s="875"/>
      <c r="T30" s="875"/>
      <c r="U30" s="875"/>
      <c r="V30" s="875"/>
      <c r="W30" s="875"/>
      <c r="X30" s="875"/>
      <c r="Y30" s="875"/>
      <c r="Z30" s="875"/>
    </row>
    <row r="31" spans="1:26" ht="18.75">
      <c r="A31" s="876"/>
      <c r="B31" s="877"/>
      <c r="C31" s="877"/>
      <c r="D31" s="878" t="s">
        <v>20</v>
      </c>
      <c r="E31" s="877"/>
      <c r="F31" s="877"/>
      <c r="G31" s="879"/>
      <c r="H31" s="622" t="s">
        <v>12</v>
      </c>
      <c r="I31" s="880"/>
      <c r="J31" s="880"/>
      <c r="K31" s="881"/>
      <c r="L31" s="881">
        <f t="shared" ref="L31:N31" ca="1" si="20">L32+L33</f>
        <v>2119836</v>
      </c>
      <c r="M31" s="881">
        <f t="shared" ca="1" si="20"/>
        <v>2119836</v>
      </c>
      <c r="N31" s="881">
        <f t="shared" si="20"/>
        <v>1163152.51</v>
      </c>
      <c r="O31" s="881">
        <f t="shared" ca="1" si="17"/>
        <v>54.869929088854043</v>
      </c>
      <c r="P31" s="881">
        <f t="shared" ca="1" si="18"/>
        <v>54.869929088854043</v>
      </c>
      <c r="Q31" s="868"/>
      <c r="R31" s="868"/>
      <c r="S31" s="868"/>
      <c r="T31" s="868"/>
      <c r="U31" s="868"/>
      <c r="V31" s="868"/>
      <c r="W31" s="868"/>
      <c r="X31" s="868"/>
      <c r="Y31" s="868"/>
      <c r="Z31" s="868"/>
    </row>
    <row r="32" spans="1:26" ht="18.75" hidden="1">
      <c r="A32" s="882"/>
      <c r="B32" s="883"/>
      <c r="C32" s="883"/>
      <c r="D32" s="883"/>
      <c r="E32" s="884" t="s">
        <v>18</v>
      </c>
      <c r="F32" s="883"/>
      <c r="G32" s="885"/>
      <c r="H32" s="43" t="s">
        <v>12</v>
      </c>
      <c r="I32" s="886"/>
      <c r="J32" s="886"/>
      <c r="K32" s="887"/>
      <c r="L32" s="887">
        <f t="shared" ref="L32:N33" si="21">L423+L448+L471+L506+L527+L548+L633+L659+L689+L741+L758+L774+L790+L809</f>
        <v>0</v>
      </c>
      <c r="M32" s="887">
        <f t="shared" si="21"/>
        <v>0</v>
      </c>
      <c r="N32" s="887">
        <f t="shared" si="21"/>
        <v>0</v>
      </c>
      <c r="O32" s="887">
        <f t="shared" si="17"/>
        <v>0</v>
      </c>
      <c r="P32" s="887">
        <f t="shared" si="18"/>
        <v>0</v>
      </c>
      <c r="Q32" s="875"/>
      <c r="R32" s="875"/>
      <c r="S32" s="875"/>
      <c r="T32" s="875"/>
      <c r="U32" s="875"/>
      <c r="V32" s="875"/>
      <c r="W32" s="875"/>
      <c r="X32" s="875"/>
      <c r="Y32" s="875"/>
      <c r="Z32" s="875"/>
    </row>
    <row r="33" spans="1:26" ht="18.75" hidden="1">
      <c r="A33" s="882"/>
      <c r="B33" s="883"/>
      <c r="C33" s="883"/>
      <c r="D33" s="883"/>
      <c r="E33" s="884" t="s">
        <v>19</v>
      </c>
      <c r="F33" s="883"/>
      <c r="G33" s="885"/>
      <c r="H33" s="43" t="s">
        <v>12</v>
      </c>
      <c r="I33" s="886"/>
      <c r="J33" s="886"/>
      <c r="K33" s="887"/>
      <c r="L33" s="887">
        <f t="shared" ca="1" si="21"/>
        <v>2119836</v>
      </c>
      <c r="M33" s="887">
        <f t="shared" ca="1" si="21"/>
        <v>2119836</v>
      </c>
      <c r="N33" s="887">
        <f t="shared" si="21"/>
        <v>1163152.51</v>
      </c>
      <c r="O33" s="887">
        <f t="shared" ca="1" si="17"/>
        <v>54.869929088854043</v>
      </c>
      <c r="P33" s="887">
        <f t="shared" ca="1" si="18"/>
        <v>54.869929088854043</v>
      </c>
      <c r="Q33" s="875"/>
      <c r="R33" s="875"/>
      <c r="S33" s="875"/>
      <c r="T33" s="875"/>
      <c r="U33" s="875"/>
      <c r="V33" s="875"/>
      <c r="W33" s="875"/>
      <c r="X33" s="875"/>
      <c r="Y33" s="875"/>
      <c r="Z33" s="875"/>
    </row>
    <row r="34" spans="1:26" ht="18.75">
      <c r="A34" s="876"/>
      <c r="B34" s="877"/>
      <c r="C34" s="877"/>
      <c r="D34" s="878" t="s">
        <v>21</v>
      </c>
      <c r="E34" s="877"/>
      <c r="F34" s="877"/>
      <c r="G34" s="879"/>
      <c r="H34" s="622" t="s">
        <v>12</v>
      </c>
      <c r="I34" s="880"/>
      <c r="J34" s="880"/>
      <c r="K34" s="881"/>
      <c r="L34" s="881">
        <f t="shared" ref="L34:N34" ca="1" si="22">L35+L36</f>
        <v>0</v>
      </c>
      <c r="M34" s="881">
        <f t="shared" si="22"/>
        <v>0</v>
      </c>
      <c r="N34" s="881">
        <f t="shared" si="22"/>
        <v>0</v>
      </c>
      <c r="O34" s="881">
        <f t="shared" ca="1" si="17"/>
        <v>0</v>
      </c>
      <c r="P34" s="881">
        <f t="shared" si="18"/>
        <v>0</v>
      </c>
      <c r="Q34" s="868"/>
      <c r="R34" s="868"/>
      <c r="S34" s="868"/>
      <c r="T34" s="868"/>
      <c r="U34" s="868"/>
      <c r="V34" s="868"/>
      <c r="W34" s="868"/>
      <c r="X34" s="868"/>
      <c r="Y34" s="868"/>
      <c r="Z34" s="868"/>
    </row>
    <row r="35" spans="1:26" ht="18.75" hidden="1">
      <c r="A35" s="882"/>
      <c r="B35" s="883"/>
      <c r="C35" s="883"/>
      <c r="D35" s="883"/>
      <c r="E35" s="884" t="s">
        <v>18</v>
      </c>
      <c r="F35" s="883"/>
      <c r="G35" s="885"/>
      <c r="H35" s="43" t="s">
        <v>12</v>
      </c>
      <c r="I35" s="886"/>
      <c r="J35" s="886"/>
      <c r="K35" s="887"/>
      <c r="L35" s="887">
        <f t="shared" ref="L35:N36" si="23">L430+L455+L478+L513+L534+L556+L640+L666+L696+L748+L765+L781+L797+L816</f>
        <v>0</v>
      </c>
      <c r="M35" s="887">
        <f t="shared" si="23"/>
        <v>0</v>
      </c>
      <c r="N35" s="887">
        <f t="shared" si="23"/>
        <v>0</v>
      </c>
      <c r="O35" s="887">
        <f t="shared" si="17"/>
        <v>0</v>
      </c>
      <c r="P35" s="887">
        <f t="shared" si="18"/>
        <v>0</v>
      </c>
      <c r="Q35" s="875"/>
      <c r="R35" s="875"/>
      <c r="S35" s="875"/>
      <c r="T35" s="875"/>
      <c r="U35" s="875"/>
      <c r="V35" s="875"/>
      <c r="W35" s="875"/>
      <c r="X35" s="875"/>
      <c r="Y35" s="875"/>
      <c r="Z35" s="875"/>
    </row>
    <row r="36" spans="1:26" ht="18.75" hidden="1">
      <c r="A36" s="888"/>
      <c r="B36" s="889"/>
      <c r="C36" s="889"/>
      <c r="D36" s="889"/>
      <c r="E36" s="890" t="s">
        <v>19</v>
      </c>
      <c r="F36" s="889"/>
      <c r="G36" s="891"/>
      <c r="H36" s="50" t="s">
        <v>12</v>
      </c>
      <c r="I36" s="892"/>
      <c r="J36" s="892"/>
      <c r="K36" s="893"/>
      <c r="L36" s="893">
        <f t="shared" ca="1" si="23"/>
        <v>0</v>
      </c>
      <c r="M36" s="893">
        <f t="shared" si="23"/>
        <v>0</v>
      </c>
      <c r="N36" s="893">
        <f t="shared" si="23"/>
        <v>0</v>
      </c>
      <c r="O36" s="893">
        <f t="shared" ca="1" si="17"/>
        <v>0</v>
      </c>
      <c r="P36" s="893">
        <f t="shared" si="18"/>
        <v>0</v>
      </c>
      <c r="Q36" s="875"/>
      <c r="R36" s="875"/>
      <c r="S36" s="875"/>
      <c r="T36" s="875"/>
      <c r="U36" s="875"/>
      <c r="V36" s="875"/>
      <c r="W36" s="875"/>
      <c r="X36" s="875"/>
      <c r="Y36" s="875"/>
      <c r="Z36" s="875"/>
    </row>
    <row r="37" spans="1:26" ht="19.5">
      <c r="A37" s="894" t="s">
        <v>24</v>
      </c>
      <c r="B37" s="895"/>
      <c r="C37" s="895"/>
      <c r="D37" s="895"/>
      <c r="E37" s="895"/>
      <c r="F37" s="895"/>
      <c r="G37" s="896"/>
      <c r="H37" s="897"/>
      <c r="I37" s="898"/>
      <c r="J37" s="898"/>
      <c r="K37" s="899"/>
      <c r="L37" s="900">
        <f t="shared" ref="L37:N37" ca="1" si="24">L41+L53+L66+L88+L119+L132+L149+L165+L181+L261+L277+L298+L315+L328+L345+L389+L402</f>
        <v>3606245</v>
      </c>
      <c r="M37" s="900">
        <f t="shared" ca="1" si="24"/>
        <v>3440973</v>
      </c>
      <c r="N37" s="900">
        <f t="shared" ca="1" si="24"/>
        <v>2320172.2799999998</v>
      </c>
      <c r="O37" s="900">
        <f t="shared" ca="1" si="17"/>
        <v>64.337622097223004</v>
      </c>
      <c r="P37" s="900">
        <f t="shared" ca="1" si="18"/>
        <v>67.427796730750273</v>
      </c>
    </row>
    <row r="38" spans="1:26" ht="19.5">
      <c r="A38" s="901" t="s">
        <v>25</v>
      </c>
      <c r="B38" s="902"/>
      <c r="C38" s="902"/>
      <c r="D38" s="902"/>
      <c r="E38" s="902"/>
      <c r="F38" s="902"/>
      <c r="G38" s="903"/>
      <c r="H38" s="904"/>
      <c r="I38" s="905"/>
      <c r="J38" s="905"/>
      <c r="K38" s="906"/>
      <c r="L38" s="906"/>
      <c r="M38" s="906"/>
      <c r="N38" s="906"/>
      <c r="O38" s="906"/>
      <c r="P38" s="906"/>
    </row>
    <row r="39" spans="1:26" ht="19.5">
      <c r="A39" s="907"/>
      <c r="B39" s="908" t="s">
        <v>26</v>
      </c>
      <c r="C39" s="909"/>
      <c r="D39" s="909"/>
      <c r="E39" s="909"/>
      <c r="F39" s="909"/>
      <c r="G39" s="910"/>
      <c r="H39" s="911"/>
      <c r="I39" s="912"/>
      <c r="J39" s="912"/>
      <c r="K39" s="913"/>
      <c r="L39" s="913"/>
      <c r="M39" s="913"/>
      <c r="N39" s="913"/>
      <c r="O39" s="913"/>
      <c r="P39" s="913"/>
    </row>
    <row r="40" spans="1:26" ht="19.5">
      <c r="A40" s="914"/>
      <c r="B40" s="915" t="s">
        <v>27</v>
      </c>
      <c r="C40" s="841"/>
      <c r="D40" s="841"/>
      <c r="E40" s="841"/>
      <c r="F40" s="841"/>
      <c r="G40" s="842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82" t="s">
        <v>12</v>
      </c>
      <c r="I41" s="924"/>
      <c r="J41" s="924"/>
      <c r="K41" s="925"/>
      <c r="L41" s="926">
        <f t="shared" ref="L41:N41" ca="1" si="25">L42+L43</f>
        <v>599200</v>
      </c>
      <c r="M41" s="926">
        <f t="shared" ca="1" si="25"/>
        <v>619460</v>
      </c>
      <c r="N41" s="926">
        <f t="shared" ca="1" si="25"/>
        <v>315416.5</v>
      </c>
      <c r="O41" s="926">
        <f t="shared" ref="O41:O49" ca="1" si="26">IF(L41&gt;0,N41*100/L41,0)</f>
        <v>52.63960280373832</v>
      </c>
      <c r="P41" s="926">
        <f t="shared" ref="P41:P49" ca="1" si="27">IF(M41&gt;0,N41*100/M41,0)</f>
        <v>50.917976947664094</v>
      </c>
      <c r="Q41" s="868"/>
      <c r="R41" s="868"/>
      <c r="S41" s="868"/>
      <c r="T41" s="868"/>
      <c r="U41" s="868"/>
      <c r="V41" s="868"/>
      <c r="W41" s="868"/>
      <c r="X41" s="868"/>
      <c r="Y41" s="868"/>
      <c r="Z41" s="868"/>
    </row>
    <row r="42" spans="1:26" ht="18.75" hidden="1">
      <c r="A42" s="927"/>
      <c r="B42" s="928"/>
      <c r="C42" s="928"/>
      <c r="D42" s="928"/>
      <c r="E42" s="929" t="s">
        <v>18</v>
      </c>
      <c r="F42" s="928"/>
      <c r="G42" s="930"/>
      <c r="H42" s="90" t="s">
        <v>12</v>
      </c>
      <c r="I42" s="931"/>
      <c r="J42" s="931"/>
      <c r="K42" s="932"/>
      <c r="L42" s="932">
        <f t="shared" ref="L42:N43" si="28">L45+L48</f>
        <v>0</v>
      </c>
      <c r="M42" s="932">
        <f t="shared" si="28"/>
        <v>0</v>
      </c>
      <c r="N42" s="932">
        <f t="shared" si="28"/>
        <v>0</v>
      </c>
      <c r="O42" s="932">
        <f t="shared" si="26"/>
        <v>0</v>
      </c>
      <c r="P42" s="932">
        <f t="shared" si="27"/>
        <v>0</v>
      </c>
      <c r="Q42" s="875"/>
      <c r="R42" s="875"/>
      <c r="S42" s="875"/>
      <c r="T42" s="875"/>
      <c r="U42" s="875"/>
      <c r="V42" s="875"/>
      <c r="W42" s="875"/>
      <c r="X42" s="875"/>
      <c r="Y42" s="875"/>
      <c r="Z42" s="875"/>
    </row>
    <row r="43" spans="1:26" ht="18.75" hidden="1">
      <c r="A43" s="927"/>
      <c r="B43" s="928"/>
      <c r="C43" s="928"/>
      <c r="D43" s="928"/>
      <c r="E43" s="929" t="s">
        <v>19</v>
      </c>
      <c r="F43" s="928"/>
      <c r="G43" s="930"/>
      <c r="H43" s="90" t="s">
        <v>12</v>
      </c>
      <c r="I43" s="931"/>
      <c r="J43" s="931"/>
      <c r="K43" s="932"/>
      <c r="L43" s="932">
        <f t="shared" ca="1" si="28"/>
        <v>599200</v>
      </c>
      <c r="M43" s="932">
        <f t="shared" ca="1" si="28"/>
        <v>619460</v>
      </c>
      <c r="N43" s="932">
        <f t="shared" ca="1" si="28"/>
        <v>315416.5</v>
      </c>
      <c r="O43" s="932">
        <f t="shared" ca="1" si="26"/>
        <v>52.63960280373832</v>
      </c>
      <c r="P43" s="932">
        <f t="shared" ca="1" si="27"/>
        <v>50.917976947664094</v>
      </c>
      <c r="Q43" s="875"/>
      <c r="R43" s="875"/>
      <c r="S43" s="875"/>
      <c r="T43" s="875"/>
      <c r="U43" s="875"/>
      <c r="V43" s="875"/>
      <c r="W43" s="875"/>
      <c r="X43" s="875"/>
      <c r="Y43" s="875"/>
      <c r="Z43" s="875"/>
    </row>
    <row r="44" spans="1:26" ht="18.75">
      <c r="A44" s="876"/>
      <c r="B44" s="877"/>
      <c r="C44" s="877"/>
      <c r="D44" s="878" t="s">
        <v>20</v>
      </c>
      <c r="E44" s="877"/>
      <c r="F44" s="877"/>
      <c r="G44" s="879"/>
      <c r="H44" s="622" t="s">
        <v>12</v>
      </c>
      <c r="I44" s="880"/>
      <c r="J44" s="880"/>
      <c r="K44" s="881"/>
      <c r="L44" s="881">
        <f t="shared" ref="L44:N44" ca="1" si="29">L45+L46</f>
        <v>599200</v>
      </c>
      <c r="M44" s="881">
        <f t="shared" ca="1" si="29"/>
        <v>619460</v>
      </c>
      <c r="N44" s="881">
        <f t="shared" ca="1" si="29"/>
        <v>315416.5</v>
      </c>
      <c r="O44" s="881">
        <f t="shared" ca="1" si="26"/>
        <v>52.63960280373832</v>
      </c>
      <c r="P44" s="881">
        <f t="shared" ca="1" si="27"/>
        <v>50.917976947664094</v>
      </c>
      <c r="Q44" s="868"/>
      <c r="R44" s="868"/>
      <c r="S44" s="868"/>
      <c r="T44" s="868"/>
      <c r="U44" s="868"/>
      <c r="V44" s="868"/>
      <c r="W44" s="868"/>
      <c r="X44" s="868"/>
      <c r="Y44" s="868"/>
      <c r="Z44" s="868"/>
    </row>
    <row r="45" spans="1:26" ht="18.75" hidden="1">
      <c r="A45" s="882"/>
      <c r="B45" s="883"/>
      <c r="C45" s="883"/>
      <c r="D45" s="883"/>
      <c r="E45" s="884" t="s">
        <v>18</v>
      </c>
      <c r="F45" s="883"/>
      <c r="G45" s="885"/>
      <c r="H45" s="43" t="s">
        <v>12</v>
      </c>
      <c r="I45" s="886"/>
      <c r="J45" s="886"/>
      <c r="K45" s="887"/>
      <c r="L45" s="887">
        <v>0</v>
      </c>
      <c r="M45" s="887">
        <v>0</v>
      </c>
      <c r="N45" s="887">
        <v>0</v>
      </c>
      <c r="O45" s="887">
        <f t="shared" si="26"/>
        <v>0</v>
      </c>
      <c r="P45" s="887">
        <f t="shared" si="27"/>
        <v>0</v>
      </c>
      <c r="Q45" s="875"/>
      <c r="R45" s="875"/>
      <c r="S45" s="875"/>
      <c r="T45" s="875"/>
      <c r="U45" s="875"/>
      <c r="V45" s="875"/>
      <c r="W45" s="875"/>
      <c r="X45" s="875"/>
      <c r="Y45" s="875"/>
      <c r="Z45" s="875"/>
    </row>
    <row r="46" spans="1:26" ht="18.75" hidden="1">
      <c r="A46" s="882"/>
      <c r="B46" s="883"/>
      <c r="C46" s="883"/>
      <c r="D46" s="883"/>
      <c r="E46" s="884" t="s">
        <v>19</v>
      </c>
      <c r="F46" s="883"/>
      <c r="G46" s="885"/>
      <c r="H46" s="43" t="s">
        <v>12</v>
      </c>
      <c r="I46" s="886"/>
      <c r="J46" s="886"/>
      <c r="K46" s="887"/>
      <c r="L46" s="887">
        <f ca="1">IFERROR(__xludf.DUMMYFUNCTION("IMPORTRANGE(""https://docs.google.com/spreadsheets/d/1MeEWN-I1oV_STSDYn1IFDPWt_1FKiwhDph83XaGc0o0/edit?usp=sharing"",""งบพรบ!M76"")"),599200)</f>
        <v>599200</v>
      </c>
      <c r="M46" s="887">
        <f ca="1">IFERROR(__xludf.DUMMYFUNCTION("IMPORTRANGE(""https://docs.google.com/spreadsheets/d/1MeEWN-I1oV_STSDYn1IFDPWt_1FKiwhDph83XaGc0o0/edit?usp=sharing"",""งบพรบ!R76"")"),619460)</f>
        <v>619460</v>
      </c>
      <c r="N46" s="887">
        <f ca="1">IFERROR(__xludf.DUMMYFUNCTION("IMPORTRANGE(""https://docs.google.com/spreadsheets/d/1MeEWN-I1oV_STSDYn1IFDPWt_1FKiwhDph83XaGc0o0/edit?usp=sharing"",""งบพรบ!T76"")"),315416.5)</f>
        <v>315416.5</v>
      </c>
      <c r="O46" s="887">
        <f t="shared" ca="1" si="26"/>
        <v>52.63960280373832</v>
      </c>
      <c r="P46" s="887">
        <f t="shared" ca="1" si="27"/>
        <v>50.917976947664094</v>
      </c>
      <c r="Q46" s="875"/>
      <c r="R46" s="875"/>
      <c r="S46" s="875"/>
      <c r="T46" s="875"/>
      <c r="U46" s="875"/>
      <c r="V46" s="875"/>
      <c r="W46" s="875"/>
      <c r="X46" s="875"/>
      <c r="Y46" s="875"/>
      <c r="Z46" s="875"/>
    </row>
    <row r="47" spans="1:26" ht="18.75">
      <c r="A47" s="876"/>
      <c r="B47" s="877"/>
      <c r="C47" s="877"/>
      <c r="D47" s="878" t="s">
        <v>21</v>
      </c>
      <c r="E47" s="877"/>
      <c r="F47" s="877"/>
      <c r="G47" s="879"/>
      <c r="H47" s="622" t="s">
        <v>12</v>
      </c>
      <c r="I47" s="880"/>
      <c r="J47" s="880"/>
      <c r="K47" s="881"/>
      <c r="L47" s="881">
        <f t="shared" ref="L47:N47" ca="1" si="30">L48+L49</f>
        <v>0</v>
      </c>
      <c r="M47" s="881">
        <f t="shared" ca="1" si="30"/>
        <v>0</v>
      </c>
      <c r="N47" s="881">
        <f t="shared" ca="1" si="30"/>
        <v>0</v>
      </c>
      <c r="O47" s="881">
        <f t="shared" ca="1" si="26"/>
        <v>0</v>
      </c>
      <c r="P47" s="881">
        <f t="shared" ca="1" si="27"/>
        <v>0</v>
      </c>
      <c r="Q47" s="868"/>
      <c r="R47" s="868"/>
      <c r="S47" s="868"/>
      <c r="T47" s="868"/>
      <c r="U47" s="868"/>
      <c r="V47" s="868"/>
      <c r="W47" s="868"/>
      <c r="X47" s="868"/>
      <c r="Y47" s="868"/>
      <c r="Z47" s="868"/>
    </row>
    <row r="48" spans="1:26" ht="18.75" hidden="1">
      <c r="A48" s="882"/>
      <c r="B48" s="883"/>
      <c r="C48" s="883"/>
      <c r="D48" s="883"/>
      <c r="E48" s="884" t="s">
        <v>18</v>
      </c>
      <c r="F48" s="883"/>
      <c r="G48" s="885"/>
      <c r="H48" s="43" t="s">
        <v>12</v>
      </c>
      <c r="I48" s="886"/>
      <c r="J48" s="886"/>
      <c r="K48" s="887"/>
      <c r="L48" s="887">
        <v>0</v>
      </c>
      <c r="M48" s="887">
        <v>0</v>
      </c>
      <c r="N48" s="887">
        <v>0</v>
      </c>
      <c r="O48" s="887">
        <f t="shared" si="26"/>
        <v>0</v>
      </c>
      <c r="P48" s="887">
        <f t="shared" si="27"/>
        <v>0</v>
      </c>
      <c r="Q48" s="875"/>
      <c r="R48" s="875"/>
      <c r="S48" s="875"/>
      <c r="T48" s="875"/>
      <c r="U48" s="875"/>
      <c r="V48" s="875"/>
      <c r="W48" s="875"/>
      <c r="X48" s="875"/>
      <c r="Y48" s="875"/>
      <c r="Z48" s="875"/>
    </row>
    <row r="49" spans="1:26" ht="18.75" hidden="1">
      <c r="A49" s="888"/>
      <c r="B49" s="889"/>
      <c r="C49" s="889"/>
      <c r="D49" s="889"/>
      <c r="E49" s="890" t="s">
        <v>19</v>
      </c>
      <c r="F49" s="889"/>
      <c r="G49" s="891"/>
      <c r="H49" s="50" t="s">
        <v>12</v>
      </c>
      <c r="I49" s="892"/>
      <c r="J49" s="892"/>
      <c r="K49" s="893"/>
      <c r="L49" s="893">
        <f ca="1">IFERROR(__xludf.DUMMYFUNCTION("IMPORTRANGE(""https://docs.google.com/spreadsheets/d/1MeEWN-I1oV_STSDYn1IFDPWt_1FKiwhDph83XaGc0o0/edit?usp=sharing"",""งบพรบ!P76"")"),0)</f>
        <v>0</v>
      </c>
      <c r="M49" s="893">
        <f ca="1">IFERROR(__xludf.DUMMYFUNCTION("IMPORTRANGE(""https://docs.google.com/spreadsheets/d/1MeEWN-I1oV_STSDYn1IFDPWt_1FKiwhDph83XaGc0o0/edit?usp=sharing"",""งบพรบ!S76"")"),0)</f>
        <v>0</v>
      </c>
      <c r="N49" s="893">
        <f ca="1">IFERROR(__xludf.DUMMYFUNCTION("IMPORTRANGE(""https://docs.google.com/spreadsheets/d/1MeEWN-I1oV_STSDYn1IFDPWt_1FKiwhDph83XaGc0o0/edit?usp=sharing"",""งบพรบ!U76"")"),0)</f>
        <v>0</v>
      </c>
      <c r="O49" s="893">
        <f t="shared" ca="1" si="26"/>
        <v>0</v>
      </c>
      <c r="P49" s="893">
        <f t="shared" ca="1" si="27"/>
        <v>0</v>
      </c>
      <c r="Q49" s="875"/>
      <c r="R49" s="875"/>
      <c r="S49" s="875"/>
      <c r="T49" s="875"/>
      <c r="U49" s="875"/>
      <c r="V49" s="875"/>
      <c r="W49" s="875"/>
      <c r="X49" s="875"/>
      <c r="Y49" s="875"/>
      <c r="Z49" s="875"/>
    </row>
    <row r="50" spans="1:26" ht="19.5">
      <c r="A50" s="933" t="s">
        <v>28</v>
      </c>
      <c r="B50" s="833"/>
      <c r="C50" s="833"/>
      <c r="D50" s="833"/>
      <c r="E50" s="833"/>
      <c r="F50" s="833"/>
      <c r="G50" s="831"/>
      <c r="H50" s="934"/>
      <c r="I50" s="935"/>
      <c r="J50" s="935"/>
      <c r="K50" s="936"/>
      <c r="L50" s="936"/>
      <c r="M50" s="936"/>
      <c r="N50" s="936"/>
      <c r="O50" s="936"/>
      <c r="P50" s="936"/>
    </row>
    <row r="51" spans="1:26" ht="19.5">
      <c r="A51" s="937"/>
      <c r="B51" s="938" t="s">
        <v>29</v>
      </c>
      <c r="C51" s="841"/>
      <c r="D51" s="841"/>
      <c r="E51" s="841"/>
      <c r="F51" s="841"/>
      <c r="G51" s="842"/>
      <c r="H51" s="939"/>
      <c r="I51" s="940"/>
      <c r="J51" s="940"/>
      <c r="K51" s="941"/>
      <c r="L51" s="941"/>
      <c r="M51" s="941"/>
      <c r="N51" s="941"/>
      <c r="O51" s="941"/>
      <c r="P51" s="941"/>
    </row>
    <row r="52" spans="1:26" ht="19.5">
      <c r="A52" s="942"/>
      <c r="B52" s="943" t="s">
        <v>30</v>
      </c>
      <c r="C52" s="944"/>
      <c r="D52" s="944"/>
      <c r="E52" s="944"/>
      <c r="F52" s="944"/>
      <c r="G52" s="945"/>
      <c r="H52" s="946"/>
      <c r="I52" s="947"/>
      <c r="J52" s="947"/>
      <c r="K52" s="948"/>
      <c r="L52" s="948"/>
      <c r="M52" s="948"/>
      <c r="N52" s="948"/>
      <c r="O52" s="948"/>
      <c r="P52" s="948"/>
    </row>
    <row r="53" spans="1:26" ht="19.5">
      <c r="A53" s="949"/>
      <c r="B53" s="950"/>
      <c r="C53" s="951" t="s">
        <v>16</v>
      </c>
      <c r="D53" s="952" t="s">
        <v>17</v>
      </c>
      <c r="E53" s="950"/>
      <c r="F53" s="950"/>
      <c r="G53" s="953"/>
      <c r="H53" s="113" t="s">
        <v>12</v>
      </c>
      <c r="I53" s="954"/>
      <c r="J53" s="954"/>
      <c r="K53" s="955"/>
      <c r="L53" s="956">
        <f t="shared" ref="L53:N53" ca="1" si="31">L54+L55</f>
        <v>726500</v>
      </c>
      <c r="M53" s="956">
        <f t="shared" ca="1" si="31"/>
        <v>565083</v>
      </c>
      <c r="N53" s="956">
        <f t="shared" ca="1" si="31"/>
        <v>475705.38</v>
      </c>
      <c r="O53" s="956">
        <f t="shared" ref="O53:O61" ca="1" si="32">IF(L53&gt;0,N53*100/L53,0)</f>
        <v>65.479061252580863</v>
      </c>
      <c r="P53" s="956">
        <f t="shared" ref="P53:P61" ca="1" si="33">IF(M53&gt;0,N53*100/M53,0)</f>
        <v>84.183275731175769</v>
      </c>
      <c r="Q53" s="868"/>
      <c r="R53" s="868"/>
      <c r="S53" s="868"/>
      <c r="T53" s="868"/>
      <c r="U53" s="868"/>
      <c r="V53" s="868"/>
      <c r="W53" s="868"/>
      <c r="X53" s="868"/>
      <c r="Y53" s="868"/>
      <c r="Z53" s="868"/>
    </row>
    <row r="54" spans="1:26" ht="18.75" hidden="1">
      <c r="A54" s="957"/>
      <c r="B54" s="958"/>
      <c r="C54" s="958"/>
      <c r="D54" s="958"/>
      <c r="E54" s="959" t="s">
        <v>18</v>
      </c>
      <c r="F54" s="958"/>
      <c r="G54" s="960"/>
      <c r="H54" s="121" t="s">
        <v>12</v>
      </c>
      <c r="I54" s="961"/>
      <c r="J54" s="961"/>
      <c r="K54" s="962"/>
      <c r="L54" s="962">
        <f t="shared" ref="L54:N55" si="34">L57+L60</f>
        <v>0</v>
      </c>
      <c r="M54" s="962">
        <f t="shared" si="34"/>
        <v>0</v>
      </c>
      <c r="N54" s="962">
        <f t="shared" si="34"/>
        <v>0</v>
      </c>
      <c r="O54" s="962">
        <f t="shared" si="32"/>
        <v>0</v>
      </c>
      <c r="P54" s="962">
        <f t="shared" si="33"/>
        <v>0</v>
      </c>
      <c r="Q54" s="875"/>
      <c r="R54" s="875"/>
      <c r="S54" s="875"/>
      <c r="T54" s="875"/>
      <c r="U54" s="875"/>
      <c r="V54" s="875"/>
      <c r="W54" s="875"/>
      <c r="X54" s="875"/>
      <c r="Y54" s="875"/>
      <c r="Z54" s="875"/>
    </row>
    <row r="55" spans="1:26" ht="18.75" hidden="1">
      <c r="A55" s="957"/>
      <c r="B55" s="958"/>
      <c r="C55" s="958"/>
      <c r="D55" s="958"/>
      <c r="E55" s="959" t="s">
        <v>19</v>
      </c>
      <c r="F55" s="958"/>
      <c r="G55" s="960"/>
      <c r="H55" s="121" t="s">
        <v>12</v>
      </c>
      <c r="I55" s="961"/>
      <c r="J55" s="961"/>
      <c r="K55" s="962"/>
      <c r="L55" s="962">
        <f t="shared" ca="1" si="34"/>
        <v>726500</v>
      </c>
      <c r="M55" s="962">
        <f t="shared" ca="1" si="34"/>
        <v>565083</v>
      </c>
      <c r="N55" s="962">
        <f t="shared" ca="1" si="34"/>
        <v>475705.38</v>
      </c>
      <c r="O55" s="962">
        <f t="shared" ca="1" si="32"/>
        <v>65.479061252580863</v>
      </c>
      <c r="P55" s="962">
        <f t="shared" ca="1" si="33"/>
        <v>84.183275731175769</v>
      </c>
      <c r="Q55" s="875"/>
      <c r="R55" s="875"/>
      <c r="S55" s="875"/>
      <c r="T55" s="875"/>
      <c r="U55" s="875"/>
      <c r="V55" s="875"/>
      <c r="W55" s="875"/>
      <c r="X55" s="875"/>
      <c r="Y55" s="875"/>
      <c r="Z55" s="875"/>
    </row>
    <row r="56" spans="1:26" ht="18.75">
      <c r="A56" s="876"/>
      <c r="B56" s="877"/>
      <c r="C56" s="877"/>
      <c r="D56" s="878" t="s">
        <v>20</v>
      </c>
      <c r="E56" s="877"/>
      <c r="F56" s="877"/>
      <c r="G56" s="879"/>
      <c r="H56" s="622" t="s">
        <v>12</v>
      </c>
      <c r="I56" s="880"/>
      <c r="J56" s="880"/>
      <c r="K56" s="881"/>
      <c r="L56" s="881">
        <f t="shared" ref="L56:N56" ca="1" si="35">L57+L58</f>
        <v>686700</v>
      </c>
      <c r="M56" s="881">
        <f t="shared" ca="1" si="35"/>
        <v>525283</v>
      </c>
      <c r="N56" s="881">
        <f t="shared" ca="1" si="35"/>
        <v>435905.38</v>
      </c>
      <c r="O56" s="881">
        <f t="shared" ca="1" si="32"/>
        <v>63.478284549293726</v>
      </c>
      <c r="P56" s="881">
        <f t="shared" ca="1" si="33"/>
        <v>82.984863397444812</v>
      </c>
      <c r="Q56" s="868"/>
      <c r="R56" s="868"/>
      <c r="S56" s="868"/>
      <c r="T56" s="868"/>
      <c r="U56" s="868"/>
      <c r="V56" s="868"/>
      <c r="W56" s="868"/>
      <c r="X56" s="868"/>
      <c r="Y56" s="868"/>
      <c r="Z56" s="868"/>
    </row>
    <row r="57" spans="1:26" ht="18.75" hidden="1">
      <c r="A57" s="882"/>
      <c r="B57" s="883"/>
      <c r="C57" s="883"/>
      <c r="D57" s="883"/>
      <c r="E57" s="884" t="s">
        <v>18</v>
      </c>
      <c r="F57" s="883"/>
      <c r="G57" s="885"/>
      <c r="H57" s="43" t="s">
        <v>12</v>
      </c>
      <c r="I57" s="886"/>
      <c r="J57" s="886"/>
      <c r="K57" s="887"/>
      <c r="L57" s="887">
        <v>0</v>
      </c>
      <c r="M57" s="887">
        <v>0</v>
      </c>
      <c r="N57" s="887">
        <v>0</v>
      </c>
      <c r="O57" s="887">
        <f t="shared" si="32"/>
        <v>0</v>
      </c>
      <c r="P57" s="887">
        <f t="shared" si="33"/>
        <v>0</v>
      </c>
      <c r="Q57" s="875"/>
      <c r="R57" s="875"/>
      <c r="S57" s="875"/>
      <c r="T57" s="875"/>
      <c r="U57" s="875"/>
      <c r="V57" s="875"/>
      <c r="W57" s="875"/>
      <c r="X57" s="875"/>
      <c r="Y57" s="875"/>
      <c r="Z57" s="875"/>
    </row>
    <row r="58" spans="1:26" ht="18.75" hidden="1">
      <c r="A58" s="882"/>
      <c r="B58" s="883"/>
      <c r="C58" s="883"/>
      <c r="D58" s="883"/>
      <c r="E58" s="884" t="s">
        <v>19</v>
      </c>
      <c r="F58" s="883"/>
      <c r="G58" s="885"/>
      <c r="H58" s="43" t="s">
        <v>12</v>
      </c>
      <c r="I58" s="886"/>
      <c r="J58" s="886"/>
      <c r="K58" s="887"/>
      <c r="L58" s="887">
        <f ca="1">IFERROR(__xludf.DUMMYFUNCTION("IMPORTRANGE(""https://docs.google.com/spreadsheets/d/1MeEWN-I1oV_STSDYn1IFDPWt_1FKiwhDph83XaGc0o0/edit?usp=sharing"",""งบพรบ!W76"")"),686700)</f>
        <v>686700</v>
      </c>
      <c r="M58" s="887">
        <f ca="1">IFERROR(__xludf.DUMMYFUNCTION("IMPORTRANGE(""https://docs.google.com/spreadsheets/d/1MeEWN-I1oV_STSDYn1IFDPWt_1FKiwhDph83XaGc0o0/edit?usp=sharing"",""งบพรบ!AB76"")"),525283)</f>
        <v>525283</v>
      </c>
      <c r="N58" s="887">
        <f ca="1">IFERROR(__xludf.DUMMYFUNCTION("IMPORTRANGE(""https://docs.google.com/spreadsheets/d/1MeEWN-I1oV_STSDYn1IFDPWt_1FKiwhDph83XaGc0o0/edit?usp=sharing"",""งบพรบ!AD76"")"),435905.38)</f>
        <v>435905.38</v>
      </c>
      <c r="O58" s="887">
        <f t="shared" ca="1" si="32"/>
        <v>63.478284549293726</v>
      </c>
      <c r="P58" s="887">
        <f t="shared" ca="1" si="33"/>
        <v>82.984863397444812</v>
      </c>
      <c r="Q58" s="875"/>
      <c r="R58" s="875"/>
      <c r="S58" s="875"/>
      <c r="T58" s="875"/>
      <c r="U58" s="875"/>
      <c r="V58" s="875"/>
      <c r="W58" s="875"/>
      <c r="X58" s="875"/>
      <c r="Y58" s="875"/>
      <c r="Z58" s="875"/>
    </row>
    <row r="59" spans="1:26" ht="18.75">
      <c r="A59" s="876"/>
      <c r="B59" s="877"/>
      <c r="C59" s="877"/>
      <c r="D59" s="878" t="s">
        <v>21</v>
      </c>
      <c r="E59" s="877"/>
      <c r="F59" s="877"/>
      <c r="G59" s="879"/>
      <c r="H59" s="622" t="s">
        <v>12</v>
      </c>
      <c r="I59" s="880"/>
      <c r="J59" s="880"/>
      <c r="K59" s="881"/>
      <c r="L59" s="881">
        <f t="shared" ref="L59:N59" ca="1" si="36">L60+L61</f>
        <v>39800</v>
      </c>
      <c r="M59" s="881">
        <f t="shared" ca="1" si="36"/>
        <v>39800</v>
      </c>
      <c r="N59" s="881">
        <f t="shared" ca="1" si="36"/>
        <v>39800</v>
      </c>
      <c r="O59" s="881">
        <f t="shared" ca="1" si="32"/>
        <v>100</v>
      </c>
      <c r="P59" s="881">
        <f t="shared" ca="1" si="33"/>
        <v>100</v>
      </c>
      <c r="Q59" s="868"/>
      <c r="R59" s="868"/>
      <c r="S59" s="868"/>
      <c r="T59" s="868"/>
      <c r="U59" s="868"/>
      <c r="V59" s="868"/>
      <c r="W59" s="868"/>
      <c r="X59" s="868"/>
      <c r="Y59" s="868"/>
      <c r="Z59" s="868"/>
    </row>
    <row r="60" spans="1:26" ht="18.75" hidden="1">
      <c r="A60" s="882"/>
      <c r="B60" s="883"/>
      <c r="C60" s="883"/>
      <c r="D60" s="883"/>
      <c r="E60" s="884" t="s">
        <v>18</v>
      </c>
      <c r="F60" s="883"/>
      <c r="G60" s="885"/>
      <c r="H60" s="43" t="s">
        <v>12</v>
      </c>
      <c r="I60" s="886"/>
      <c r="J60" s="886"/>
      <c r="K60" s="887"/>
      <c r="L60" s="887">
        <v>0</v>
      </c>
      <c r="M60" s="887">
        <v>0</v>
      </c>
      <c r="N60" s="887">
        <v>0</v>
      </c>
      <c r="O60" s="887">
        <f t="shared" si="32"/>
        <v>0</v>
      </c>
      <c r="P60" s="887">
        <f t="shared" si="33"/>
        <v>0</v>
      </c>
      <c r="Q60" s="875"/>
      <c r="R60" s="875"/>
      <c r="S60" s="875"/>
      <c r="T60" s="875"/>
      <c r="U60" s="875"/>
      <c r="V60" s="875"/>
      <c r="W60" s="875"/>
      <c r="X60" s="875"/>
      <c r="Y60" s="875"/>
      <c r="Z60" s="875"/>
    </row>
    <row r="61" spans="1:26" ht="18.75" hidden="1">
      <c r="A61" s="888"/>
      <c r="B61" s="889"/>
      <c r="C61" s="889"/>
      <c r="D61" s="889"/>
      <c r="E61" s="890" t="s">
        <v>19</v>
      </c>
      <c r="F61" s="889"/>
      <c r="G61" s="891"/>
      <c r="H61" s="50" t="s">
        <v>12</v>
      </c>
      <c r="I61" s="892"/>
      <c r="J61" s="892"/>
      <c r="K61" s="893"/>
      <c r="L61" s="893">
        <f ca="1">IFERROR(__xludf.DUMMYFUNCTION("IMPORTRANGE(""https://docs.google.com/spreadsheets/d/1MeEWN-I1oV_STSDYn1IFDPWt_1FKiwhDph83XaGc0o0/edit?usp=sharing"",""งบพรบ!Z76"")"),39800)</f>
        <v>39800</v>
      </c>
      <c r="M61" s="893">
        <f ca="1">IFERROR(__xludf.DUMMYFUNCTION("IMPORTRANGE(""https://docs.google.com/spreadsheets/d/1MeEWN-I1oV_STSDYn1IFDPWt_1FKiwhDph83XaGc0o0/edit?usp=sharing"",""งบพรบ!AC76"")"),39800)</f>
        <v>39800</v>
      </c>
      <c r="N61" s="893">
        <f ca="1">IFERROR(__xludf.DUMMYFUNCTION("IMPORTRANGE(""https://docs.google.com/spreadsheets/d/1MeEWN-I1oV_STSDYn1IFDPWt_1FKiwhDph83XaGc0o0/edit?usp=sharing"",""งบพรบ!AE76"")"),39800)</f>
        <v>39800</v>
      </c>
      <c r="O61" s="893">
        <f t="shared" ca="1" si="32"/>
        <v>100</v>
      </c>
      <c r="P61" s="893">
        <f t="shared" ca="1" si="33"/>
        <v>100</v>
      </c>
      <c r="Q61" s="875"/>
      <c r="R61" s="875"/>
      <c r="S61" s="875"/>
      <c r="T61" s="875"/>
      <c r="U61" s="875"/>
      <c r="V61" s="875"/>
      <c r="W61" s="875"/>
      <c r="X61" s="875"/>
      <c r="Y61" s="875"/>
      <c r="Z61" s="875"/>
    </row>
    <row r="62" spans="1:26" ht="19.5">
      <c r="A62" s="963" t="s">
        <v>31</v>
      </c>
      <c r="B62" s="964"/>
      <c r="C62" s="964"/>
      <c r="D62" s="964"/>
      <c r="E62" s="965"/>
      <c r="F62" s="965"/>
      <c r="G62" s="966"/>
      <c r="H62" s="967"/>
      <c r="I62" s="968"/>
      <c r="J62" s="968"/>
      <c r="K62" s="969"/>
      <c r="L62" s="969"/>
      <c r="M62" s="969"/>
      <c r="N62" s="969"/>
      <c r="O62" s="969"/>
      <c r="P62" s="969"/>
    </row>
    <row r="63" spans="1:26" ht="19.5">
      <c r="A63" s="970" t="s">
        <v>32</v>
      </c>
      <c r="B63" s="971"/>
      <c r="C63" s="972"/>
      <c r="D63" s="971"/>
      <c r="E63" s="971"/>
      <c r="F63" s="971"/>
      <c r="G63" s="973"/>
      <c r="H63" s="974"/>
      <c r="I63" s="975"/>
      <c r="J63" s="975"/>
      <c r="K63" s="976"/>
      <c r="L63" s="976"/>
      <c r="M63" s="976"/>
      <c r="N63" s="976"/>
      <c r="O63" s="976"/>
      <c r="P63" s="976"/>
    </row>
    <row r="64" spans="1:26" ht="19.5">
      <c r="A64" s="977"/>
      <c r="B64" s="978" t="s">
        <v>33</v>
      </c>
      <c r="C64" s="979"/>
      <c r="D64" s="980"/>
      <c r="E64" s="979"/>
      <c r="F64" s="979"/>
      <c r="G64" s="981"/>
      <c r="H64" s="205" t="s">
        <v>34</v>
      </c>
      <c r="I64" s="982">
        <f t="shared" ref="I64:J65" ca="1" si="37">I76</f>
        <v>1</v>
      </c>
      <c r="J64" s="982">
        <f t="shared" si="37"/>
        <v>1</v>
      </c>
      <c r="K64" s="983">
        <f t="shared" ref="K64:K65" ca="1" si="38">IF(I64&gt;0,J64*100/I64,0)</f>
        <v>100</v>
      </c>
      <c r="L64" s="984"/>
      <c r="M64" s="984"/>
      <c r="N64" s="984"/>
      <c r="O64" s="984"/>
      <c r="P64" s="984"/>
    </row>
    <row r="65" spans="1:26" ht="19.5">
      <c r="A65" s="977"/>
      <c r="B65" s="979"/>
      <c r="C65" s="979"/>
      <c r="D65" s="980"/>
      <c r="E65" s="979"/>
      <c r="F65" s="979"/>
      <c r="G65" s="981"/>
      <c r="H65" s="205" t="s">
        <v>35</v>
      </c>
      <c r="I65" s="982">
        <f t="shared" ca="1" si="37"/>
        <v>30</v>
      </c>
      <c r="J65" s="982">
        <f t="shared" si="37"/>
        <v>30</v>
      </c>
      <c r="K65" s="983">
        <f t="shared" ca="1" si="38"/>
        <v>100</v>
      </c>
      <c r="L65" s="984"/>
      <c r="M65" s="984"/>
      <c r="N65" s="984"/>
      <c r="O65" s="984"/>
      <c r="P65" s="984"/>
    </row>
    <row r="66" spans="1:26" ht="19.5">
      <c r="A66" s="985"/>
      <c r="B66" s="986"/>
      <c r="C66" s="987" t="s">
        <v>16</v>
      </c>
      <c r="D66" s="988" t="s">
        <v>17</v>
      </c>
      <c r="E66" s="986"/>
      <c r="F66" s="986"/>
      <c r="G66" s="989"/>
      <c r="H66" s="152" t="s">
        <v>12</v>
      </c>
      <c r="I66" s="990"/>
      <c r="J66" s="990"/>
      <c r="K66" s="991"/>
      <c r="L66" s="992">
        <f t="shared" ref="L66:N66" ca="1" si="39">L67+L68</f>
        <v>795800</v>
      </c>
      <c r="M66" s="992">
        <f t="shared" ca="1" si="39"/>
        <v>870600</v>
      </c>
      <c r="N66" s="992">
        <f t="shared" ca="1" si="39"/>
        <v>514097</v>
      </c>
      <c r="O66" s="992">
        <f t="shared" ref="O66:O74" ca="1" si="40">IF(L66&gt;0,N66*100/L66,0)</f>
        <v>64.601281729077655</v>
      </c>
      <c r="P66" s="992">
        <f t="shared" ref="P66:P74" ca="1" si="41">IF(M66&gt;0,N66*100/M66,0)</f>
        <v>59.050884447507464</v>
      </c>
      <c r="Q66" s="868"/>
      <c r="R66" s="868"/>
      <c r="S66" s="868"/>
      <c r="T66" s="868"/>
      <c r="U66" s="868"/>
      <c r="V66" s="868"/>
      <c r="W66" s="868"/>
      <c r="X66" s="868"/>
      <c r="Y66" s="868"/>
      <c r="Z66" s="868"/>
    </row>
    <row r="67" spans="1:26" ht="18.75" hidden="1">
      <c r="A67" s="993"/>
      <c r="B67" s="883"/>
      <c r="C67" s="883"/>
      <c r="D67" s="883"/>
      <c r="E67" s="884" t="s">
        <v>18</v>
      </c>
      <c r="F67" s="883"/>
      <c r="G67" s="994"/>
      <c r="H67" s="158" t="s">
        <v>12</v>
      </c>
      <c r="I67" s="886"/>
      <c r="J67" s="886"/>
      <c r="K67" s="887"/>
      <c r="L67" s="887">
        <f t="shared" ref="L67:N68" si="42">L70+L73</f>
        <v>0</v>
      </c>
      <c r="M67" s="887">
        <f t="shared" si="42"/>
        <v>0</v>
      </c>
      <c r="N67" s="887">
        <f t="shared" si="42"/>
        <v>0</v>
      </c>
      <c r="O67" s="887">
        <f t="shared" si="40"/>
        <v>0</v>
      </c>
      <c r="P67" s="887">
        <f t="shared" si="41"/>
        <v>0</v>
      </c>
      <c r="Q67" s="875"/>
      <c r="R67" s="875"/>
      <c r="S67" s="875"/>
      <c r="T67" s="875"/>
      <c r="U67" s="875"/>
      <c r="V67" s="875"/>
      <c r="W67" s="875"/>
      <c r="X67" s="875"/>
      <c r="Y67" s="875"/>
      <c r="Z67" s="875"/>
    </row>
    <row r="68" spans="1:26" ht="18.75" hidden="1">
      <c r="A68" s="993"/>
      <c r="B68" s="883"/>
      <c r="C68" s="883"/>
      <c r="D68" s="883"/>
      <c r="E68" s="884" t="s">
        <v>19</v>
      </c>
      <c r="F68" s="883"/>
      <c r="G68" s="994"/>
      <c r="H68" s="158" t="s">
        <v>12</v>
      </c>
      <c r="I68" s="886"/>
      <c r="J68" s="886"/>
      <c r="K68" s="887"/>
      <c r="L68" s="887">
        <f t="shared" ca="1" si="42"/>
        <v>795800</v>
      </c>
      <c r="M68" s="887">
        <f t="shared" ca="1" si="42"/>
        <v>870600</v>
      </c>
      <c r="N68" s="887">
        <f t="shared" ca="1" si="42"/>
        <v>514097</v>
      </c>
      <c r="O68" s="887">
        <f t="shared" ca="1" si="40"/>
        <v>64.601281729077655</v>
      </c>
      <c r="P68" s="887">
        <f t="shared" ca="1" si="41"/>
        <v>59.050884447507464</v>
      </c>
      <c r="Q68" s="875"/>
      <c r="R68" s="875"/>
      <c r="S68" s="875"/>
      <c r="T68" s="875"/>
      <c r="U68" s="875"/>
      <c r="V68" s="875"/>
      <c r="W68" s="875"/>
      <c r="X68" s="875"/>
      <c r="Y68" s="875"/>
      <c r="Z68" s="875"/>
    </row>
    <row r="69" spans="1:26" ht="18.75">
      <c r="A69" s="995"/>
      <c r="B69" s="877"/>
      <c r="C69" s="996"/>
      <c r="D69" s="878" t="s">
        <v>20</v>
      </c>
      <c r="E69" s="877"/>
      <c r="F69" s="877"/>
      <c r="G69" s="879"/>
      <c r="H69" s="161" t="s">
        <v>12</v>
      </c>
      <c r="I69" s="997"/>
      <c r="J69" s="997"/>
      <c r="K69" s="998"/>
      <c r="L69" s="881">
        <f t="shared" ref="L69:N69" ca="1" si="43">L70+L71</f>
        <v>795800</v>
      </c>
      <c r="M69" s="881">
        <f t="shared" ca="1" si="43"/>
        <v>870600</v>
      </c>
      <c r="N69" s="881">
        <f t="shared" ca="1" si="43"/>
        <v>514097</v>
      </c>
      <c r="O69" s="881">
        <f t="shared" ca="1" si="40"/>
        <v>64.601281729077655</v>
      </c>
      <c r="P69" s="881">
        <f t="shared" ca="1" si="41"/>
        <v>59.050884447507464</v>
      </c>
      <c r="Q69" s="868"/>
      <c r="R69" s="868"/>
      <c r="S69" s="868"/>
      <c r="T69" s="868"/>
      <c r="U69" s="868"/>
      <c r="V69" s="868"/>
      <c r="W69" s="868"/>
      <c r="X69" s="868"/>
      <c r="Y69" s="868"/>
      <c r="Z69" s="868"/>
    </row>
    <row r="70" spans="1:26" ht="19.5" hidden="1">
      <c r="A70" s="993"/>
      <c r="B70" s="883"/>
      <c r="C70" s="999"/>
      <c r="D70" s="883"/>
      <c r="E70" s="884" t="s">
        <v>36</v>
      </c>
      <c r="F70" s="883"/>
      <c r="G70" s="994"/>
      <c r="H70" s="165" t="s">
        <v>12</v>
      </c>
      <c r="I70" s="1000"/>
      <c r="J70" s="1000"/>
      <c r="K70" s="1001"/>
      <c r="L70" s="887">
        <v>0</v>
      </c>
      <c r="M70" s="887">
        <v>0</v>
      </c>
      <c r="N70" s="887">
        <v>0</v>
      </c>
      <c r="O70" s="887">
        <f t="shared" si="40"/>
        <v>0</v>
      </c>
      <c r="P70" s="887">
        <f t="shared" si="41"/>
        <v>0</v>
      </c>
      <c r="Q70" s="875"/>
      <c r="R70" s="875"/>
      <c r="S70" s="875"/>
      <c r="T70" s="875"/>
      <c r="U70" s="875"/>
      <c r="V70" s="875"/>
      <c r="W70" s="875"/>
      <c r="X70" s="875"/>
      <c r="Y70" s="875"/>
      <c r="Z70" s="875"/>
    </row>
    <row r="71" spans="1:26" ht="19.5" hidden="1">
      <c r="A71" s="993"/>
      <c r="B71" s="883"/>
      <c r="C71" s="999"/>
      <c r="D71" s="883"/>
      <c r="E71" s="884" t="s">
        <v>37</v>
      </c>
      <c r="F71" s="883"/>
      <c r="G71" s="994"/>
      <c r="H71" s="165" t="s">
        <v>12</v>
      </c>
      <c r="I71" s="1000"/>
      <c r="J71" s="1000"/>
      <c r="K71" s="1001"/>
      <c r="L71" s="887">
        <f ca="1">IFERROR(__xludf.DUMMYFUNCTION("IMPORTRANGE(""https://docs.google.com/spreadsheets/d/1MeEWN-I1oV_STSDYn1IFDPWt_1FKiwhDph83XaGc0o0/edit?usp=sharing"",""งบพรบ!AG76"")"),795800)</f>
        <v>795800</v>
      </c>
      <c r="M71" s="887">
        <f ca="1">IFERROR(__xludf.DUMMYFUNCTION("IMPORTRANGE(""https://docs.google.com/spreadsheets/d/1MeEWN-I1oV_STSDYn1IFDPWt_1FKiwhDph83XaGc0o0/edit?usp=sharing"",""งบพรบ!AL76"")"),870600)</f>
        <v>870600</v>
      </c>
      <c r="N71" s="887">
        <f ca="1">IFERROR(__xludf.DUMMYFUNCTION("IMPORTRANGE(""https://docs.google.com/spreadsheets/d/1MeEWN-I1oV_STSDYn1IFDPWt_1FKiwhDph83XaGc0o0/edit?usp=sharing"",""งบพรบ!AN76"")"),514097)</f>
        <v>514097</v>
      </c>
      <c r="O71" s="887">
        <f t="shared" ca="1" si="40"/>
        <v>64.601281729077655</v>
      </c>
      <c r="P71" s="887">
        <f t="shared" ca="1" si="41"/>
        <v>59.050884447507464</v>
      </c>
      <c r="Q71" s="875"/>
      <c r="R71" s="875"/>
      <c r="S71" s="875"/>
      <c r="T71" s="875"/>
      <c r="U71" s="875"/>
      <c r="V71" s="875"/>
      <c r="W71" s="875"/>
      <c r="X71" s="875"/>
      <c r="Y71" s="875"/>
      <c r="Z71" s="875"/>
    </row>
    <row r="72" spans="1:26" ht="18.75">
      <c r="A72" s="995"/>
      <c r="B72" s="877"/>
      <c r="C72" s="996"/>
      <c r="D72" s="878" t="s">
        <v>21</v>
      </c>
      <c r="E72" s="877"/>
      <c r="F72" s="877"/>
      <c r="G72" s="879"/>
      <c r="H72" s="168" t="s">
        <v>12</v>
      </c>
      <c r="I72" s="997"/>
      <c r="J72" s="997"/>
      <c r="K72" s="998"/>
      <c r="L72" s="881">
        <f t="shared" ref="L72:N72" ca="1" si="44">L73+L74</f>
        <v>0</v>
      </c>
      <c r="M72" s="881">
        <f t="shared" ca="1" si="44"/>
        <v>0</v>
      </c>
      <c r="N72" s="881">
        <f t="shared" ca="1" si="44"/>
        <v>0</v>
      </c>
      <c r="O72" s="881">
        <f t="shared" ca="1" si="40"/>
        <v>0</v>
      </c>
      <c r="P72" s="881">
        <f t="shared" ca="1" si="41"/>
        <v>0</v>
      </c>
      <c r="Q72" s="868"/>
      <c r="R72" s="868"/>
      <c r="S72" s="868"/>
      <c r="T72" s="868"/>
      <c r="U72" s="868"/>
      <c r="V72" s="868"/>
      <c r="W72" s="868"/>
      <c r="X72" s="868"/>
      <c r="Y72" s="868"/>
      <c r="Z72" s="868"/>
    </row>
    <row r="73" spans="1:26" ht="19.5" hidden="1">
      <c r="A73" s="993"/>
      <c r="B73" s="883"/>
      <c r="C73" s="999"/>
      <c r="D73" s="883"/>
      <c r="E73" s="884" t="s">
        <v>18</v>
      </c>
      <c r="F73" s="883"/>
      <c r="G73" s="994"/>
      <c r="H73" s="165" t="s">
        <v>12</v>
      </c>
      <c r="I73" s="1000"/>
      <c r="J73" s="1000"/>
      <c r="K73" s="1001"/>
      <c r="L73" s="887">
        <v>0</v>
      </c>
      <c r="M73" s="887"/>
      <c r="N73" s="887"/>
      <c r="O73" s="887">
        <f t="shared" si="40"/>
        <v>0</v>
      </c>
      <c r="P73" s="887">
        <f t="shared" si="41"/>
        <v>0</v>
      </c>
      <c r="Q73" s="875"/>
      <c r="R73" s="875"/>
      <c r="S73" s="875"/>
      <c r="T73" s="875"/>
      <c r="U73" s="875"/>
      <c r="V73" s="875"/>
      <c r="W73" s="875"/>
      <c r="X73" s="875"/>
      <c r="Y73" s="875"/>
      <c r="Z73" s="875"/>
    </row>
    <row r="74" spans="1:26" ht="19.5" hidden="1">
      <c r="A74" s="993"/>
      <c r="B74" s="883"/>
      <c r="C74" s="999"/>
      <c r="D74" s="883"/>
      <c r="E74" s="884" t="s">
        <v>19</v>
      </c>
      <c r="F74" s="883"/>
      <c r="G74" s="994"/>
      <c r="H74" s="169" t="s">
        <v>12</v>
      </c>
      <c r="I74" s="1000"/>
      <c r="J74" s="1000"/>
      <c r="K74" s="1001"/>
      <c r="L74" s="887">
        <f ca="1">IFERROR(__xludf.DUMMYFUNCTION("IMPORTRANGE(""https://docs.google.com/spreadsheets/d/1MeEWN-I1oV_STSDYn1IFDPWt_1FKiwhDph83XaGc0o0/edit?usp=sharing"",""งบพรบ!AJ76"")"),0)</f>
        <v>0</v>
      </c>
      <c r="M74" s="887">
        <f ca="1">IFERROR(__xludf.DUMMYFUNCTION("IMPORTRANGE(""https://docs.google.com/spreadsheets/d/1MeEWN-I1oV_STSDYn1IFDPWt_1FKiwhDph83XaGc0o0/edit?usp=sharing"",""งบพรบ!AM76"")"),0)</f>
        <v>0</v>
      </c>
      <c r="N74" s="887">
        <f ca="1">IFERROR(__xludf.DUMMYFUNCTION("IMPORTRANGE(""https://docs.google.com/spreadsheets/d/1MeEWN-I1oV_STSDYn1IFDPWt_1FKiwhDph83XaGc0o0/edit?usp=sharing"",""งบพรบ!AO76"")"),0)</f>
        <v>0</v>
      </c>
      <c r="O74" s="887">
        <f t="shared" ca="1" si="40"/>
        <v>0</v>
      </c>
      <c r="P74" s="887">
        <f t="shared" ca="1" si="41"/>
        <v>0</v>
      </c>
      <c r="Q74" s="875"/>
      <c r="R74" s="875"/>
      <c r="S74" s="875"/>
      <c r="T74" s="875"/>
      <c r="U74" s="875"/>
      <c r="V74" s="875"/>
      <c r="W74" s="875"/>
      <c r="X74" s="875"/>
      <c r="Y74" s="875"/>
      <c r="Z74" s="875"/>
    </row>
    <row r="75" spans="1:26" ht="19.5">
      <c r="A75" s="1002"/>
      <c r="B75" s="1003"/>
      <c r="C75" s="999" t="s">
        <v>16</v>
      </c>
      <c r="D75" s="1004" t="s">
        <v>38</v>
      </c>
      <c r="E75" s="1005"/>
      <c r="F75" s="1005"/>
      <c r="G75" s="1006"/>
      <c r="H75" s="1007"/>
      <c r="I75" s="997"/>
      <c r="J75" s="997"/>
      <c r="K75" s="998"/>
      <c r="L75" s="998"/>
      <c r="M75" s="998"/>
      <c r="N75" s="998"/>
      <c r="O75" s="998"/>
      <c r="P75" s="998"/>
    </row>
    <row r="76" spans="1:26" ht="19.5">
      <c r="A76" s="1002"/>
      <c r="B76" s="1003"/>
      <c r="C76" s="1003"/>
      <c r="D76" s="1008" t="s">
        <v>39</v>
      </c>
      <c r="E76" s="1009"/>
      <c r="F76" s="1010"/>
      <c r="G76" s="1011"/>
      <c r="H76" s="180" t="s">
        <v>34</v>
      </c>
      <c r="I76" s="880">
        <f t="shared" ref="I76:J77" ca="1" si="45">I78+I80+I82</f>
        <v>1</v>
      </c>
      <c r="J76" s="880">
        <f t="shared" si="45"/>
        <v>1</v>
      </c>
      <c r="K76" s="998">
        <f t="shared" ref="K76:K84" ca="1" si="46">IF(I76&gt;0,J76*100/I76,0)</f>
        <v>100</v>
      </c>
      <c r="L76" s="998"/>
      <c r="M76" s="998"/>
      <c r="N76" s="998"/>
      <c r="O76" s="998"/>
      <c r="P76" s="998"/>
    </row>
    <row r="77" spans="1:26" ht="19.5">
      <c r="A77" s="1002"/>
      <c r="B77" s="1003"/>
      <c r="C77" s="1003"/>
      <c r="D77" s="1003"/>
      <c r="E77" s="1010"/>
      <c r="F77" s="1010"/>
      <c r="G77" s="1011"/>
      <c r="H77" s="180" t="s">
        <v>35</v>
      </c>
      <c r="I77" s="880">
        <f t="shared" ca="1" si="45"/>
        <v>30</v>
      </c>
      <c r="J77" s="880">
        <f t="shared" si="45"/>
        <v>30</v>
      </c>
      <c r="K77" s="998">
        <f t="shared" ca="1" si="46"/>
        <v>100</v>
      </c>
      <c r="L77" s="998"/>
      <c r="M77" s="998"/>
      <c r="N77" s="998"/>
      <c r="O77" s="998"/>
      <c r="P77" s="998"/>
    </row>
    <row r="78" spans="1:26" ht="18.75">
      <c r="A78" s="1002"/>
      <c r="B78" s="1003"/>
      <c r="C78" s="1003"/>
      <c r="D78" s="1003"/>
      <c r="E78" s="1009" t="s">
        <v>40</v>
      </c>
      <c r="F78" s="1009"/>
      <c r="G78" s="1011"/>
      <c r="H78" s="762" t="s">
        <v>34</v>
      </c>
      <c r="I78" s="997">
        <f ca="1">IFERROR(__xludf.DUMMYFUNCTION("IMPORTRANGE(""https://docs.google.com/spreadsheets/d/1QqKyyYR6Q21VydFLVH3TRQUabQu_ym0Zz7PgGX0-kHA/edit?usp=sharing"",""แผน!H76"")"),1)</f>
        <v>1</v>
      </c>
      <c r="J78" s="1012">
        <v>1</v>
      </c>
      <c r="K78" s="998">
        <f t="shared" ca="1" si="46"/>
        <v>100</v>
      </c>
      <c r="L78" s="998"/>
      <c r="M78" s="998"/>
      <c r="N78" s="998"/>
      <c r="O78" s="998"/>
      <c r="P78" s="998"/>
    </row>
    <row r="79" spans="1:26" ht="18.75">
      <c r="A79" s="1002"/>
      <c r="B79" s="1003"/>
      <c r="C79" s="1003"/>
      <c r="D79" s="1003"/>
      <c r="E79" s="1010"/>
      <c r="F79" s="1010"/>
      <c r="G79" s="1011"/>
      <c r="H79" s="762" t="s">
        <v>35</v>
      </c>
      <c r="I79" s="997">
        <f ca="1">IFERROR(__xludf.DUMMYFUNCTION("IMPORTRANGE(""https://docs.google.com/spreadsheets/d/1QqKyyYR6Q21VydFLVH3TRQUabQu_ym0Zz7PgGX0-kHA/edit?usp=sharing"",""แผน!I76"")"),30)</f>
        <v>30</v>
      </c>
      <c r="J79" s="1012">
        <v>30</v>
      </c>
      <c r="K79" s="998">
        <f t="shared" ca="1" si="46"/>
        <v>100</v>
      </c>
      <c r="L79" s="998"/>
      <c r="M79" s="998"/>
      <c r="N79" s="998"/>
      <c r="O79" s="998"/>
      <c r="P79" s="998"/>
    </row>
    <row r="80" spans="1:26" ht="18.75">
      <c r="A80" s="1002"/>
      <c r="B80" s="1003"/>
      <c r="C80" s="1003"/>
      <c r="D80" s="1003"/>
      <c r="E80" s="1009" t="s">
        <v>41</v>
      </c>
      <c r="F80" s="1009"/>
      <c r="G80" s="1011"/>
      <c r="H80" s="762" t="s">
        <v>34</v>
      </c>
      <c r="I80" s="997">
        <f ca="1">IFERROR(__xludf.DUMMYFUNCTION("IMPORTRANGE(""https://docs.google.com/spreadsheets/d/1QqKyyYR6Q21VydFLVH3TRQUabQu_ym0Zz7PgGX0-kHA/edit?usp=sharing"",""แผน!F76"")"),0)</f>
        <v>0</v>
      </c>
      <c r="J80" s="1012">
        <v>0</v>
      </c>
      <c r="K80" s="998">
        <f t="shared" ca="1" si="46"/>
        <v>0</v>
      </c>
      <c r="L80" s="998"/>
      <c r="M80" s="998"/>
      <c r="N80" s="998"/>
      <c r="O80" s="998"/>
      <c r="P80" s="998"/>
    </row>
    <row r="81" spans="1:26" ht="18.75">
      <c r="A81" s="1002"/>
      <c r="B81" s="1003"/>
      <c r="C81" s="1003"/>
      <c r="D81" s="1003"/>
      <c r="E81" s="1010"/>
      <c r="F81" s="1010"/>
      <c r="G81" s="1011"/>
      <c r="H81" s="762" t="s">
        <v>35</v>
      </c>
      <c r="I81" s="997">
        <f ca="1">IFERROR(__xludf.DUMMYFUNCTION("IMPORTRANGE(""https://docs.google.com/spreadsheets/d/1QqKyyYR6Q21VydFLVH3TRQUabQu_ym0Zz7PgGX0-kHA/edit?usp=sharing"",""แผน!G76"")"),0)</f>
        <v>0</v>
      </c>
      <c r="J81" s="1012">
        <v>0</v>
      </c>
      <c r="K81" s="998">
        <f t="shared" ca="1" si="46"/>
        <v>0</v>
      </c>
      <c r="L81" s="998"/>
      <c r="M81" s="998"/>
      <c r="N81" s="998"/>
      <c r="O81" s="998"/>
      <c r="P81" s="998"/>
    </row>
    <row r="82" spans="1:26" ht="18.75">
      <c r="A82" s="1002"/>
      <c r="B82" s="1003"/>
      <c r="C82" s="1003"/>
      <c r="D82" s="1003"/>
      <c r="E82" s="1009" t="s">
        <v>42</v>
      </c>
      <c r="F82" s="1009"/>
      <c r="G82" s="1011"/>
      <c r="H82" s="762" t="s">
        <v>34</v>
      </c>
      <c r="I82" s="997">
        <f ca="1">IFERROR(__xludf.DUMMYFUNCTION("IMPORTRANGE(""https://docs.google.com/spreadsheets/d/1QqKyyYR6Q21VydFLVH3TRQUabQu_ym0Zz7PgGX0-kHA/edit?usp=sharing"",""แผน!D76"")"),0)</f>
        <v>0</v>
      </c>
      <c r="J82" s="1012">
        <v>0</v>
      </c>
      <c r="K82" s="998">
        <f t="shared" ca="1" si="46"/>
        <v>0</v>
      </c>
      <c r="L82" s="998"/>
      <c r="M82" s="998"/>
      <c r="N82" s="998"/>
      <c r="O82" s="998"/>
      <c r="P82" s="998"/>
    </row>
    <row r="83" spans="1:26" ht="18.75">
      <c r="A83" s="1002"/>
      <c r="B83" s="1003"/>
      <c r="C83" s="1003"/>
      <c r="D83" s="1003"/>
      <c r="E83" s="1010"/>
      <c r="F83" s="1010"/>
      <c r="G83" s="1011"/>
      <c r="H83" s="762" t="s">
        <v>35</v>
      </c>
      <c r="I83" s="997">
        <f ca="1">IFERROR(__xludf.DUMMYFUNCTION("IMPORTRANGE(""https://docs.google.com/spreadsheets/d/1QqKyyYR6Q21VydFLVH3TRQUabQu_ym0Zz7PgGX0-kHA/edit?usp=sharing"",""แผน!E76"")"),0)</f>
        <v>0</v>
      </c>
      <c r="J83" s="1012">
        <v>0</v>
      </c>
      <c r="K83" s="998">
        <f t="shared" ca="1" si="46"/>
        <v>0</v>
      </c>
      <c r="L83" s="998"/>
      <c r="M83" s="998"/>
      <c r="N83" s="998"/>
      <c r="O83" s="998"/>
      <c r="P83" s="998"/>
    </row>
    <row r="84" spans="1:26" ht="18.75">
      <c r="A84" s="1002"/>
      <c r="B84" s="1003"/>
      <c r="C84" s="1003"/>
      <c r="D84" s="1008" t="s">
        <v>43</v>
      </c>
      <c r="E84" s="1009"/>
      <c r="F84" s="1010"/>
      <c r="G84" s="1011"/>
      <c r="H84" s="185" t="s">
        <v>34</v>
      </c>
      <c r="I84" s="997">
        <f ca="1">IFERROR(__xludf.DUMMYFUNCTION("IMPORTRANGE(""https://docs.google.com/spreadsheets/d/1QqKyyYR6Q21VydFLVH3TRQUabQu_ym0Zz7PgGX0-kHA/edit?usp=sharing"",""แผน!J76"")"),1)</f>
        <v>1</v>
      </c>
      <c r="J84" s="1012">
        <v>0</v>
      </c>
      <c r="K84" s="998">
        <f t="shared" ca="1" si="46"/>
        <v>0</v>
      </c>
      <c r="L84" s="998"/>
      <c r="M84" s="998"/>
      <c r="N84" s="998"/>
      <c r="O84" s="998"/>
      <c r="P84" s="998"/>
    </row>
    <row r="85" spans="1:26" ht="19.5">
      <c r="A85" s="970" t="s">
        <v>44</v>
      </c>
      <c r="B85" s="971"/>
      <c r="C85" s="972"/>
      <c r="D85" s="971"/>
      <c r="E85" s="971"/>
      <c r="F85" s="971"/>
      <c r="G85" s="973"/>
      <c r="H85" s="974"/>
      <c r="I85" s="975"/>
      <c r="J85" s="975"/>
      <c r="K85" s="976"/>
      <c r="L85" s="976"/>
      <c r="M85" s="976"/>
      <c r="N85" s="976"/>
      <c r="O85" s="976"/>
      <c r="P85" s="976"/>
    </row>
    <row r="86" spans="1:26" ht="19.5">
      <c r="A86" s="977"/>
      <c r="B86" s="978" t="s">
        <v>45</v>
      </c>
      <c r="C86" s="979"/>
      <c r="D86" s="980"/>
      <c r="E86" s="979"/>
      <c r="F86" s="979"/>
      <c r="G86" s="981"/>
      <c r="H86" s="205" t="s">
        <v>46</v>
      </c>
      <c r="I86" s="982">
        <f t="shared" ref="I86:J87" ca="1" si="47">I98</f>
        <v>0</v>
      </c>
      <c r="J86" s="982">
        <f t="shared" si="47"/>
        <v>0</v>
      </c>
      <c r="K86" s="983">
        <f t="shared" ref="K86:K87" ca="1" si="48">IF(I86&gt;0,J86*100/I86,0)</f>
        <v>0</v>
      </c>
      <c r="L86" s="984"/>
      <c r="M86" s="984"/>
      <c r="N86" s="984"/>
      <c r="O86" s="984"/>
      <c r="P86" s="984"/>
    </row>
    <row r="87" spans="1:26" ht="19.5">
      <c r="A87" s="977"/>
      <c r="B87" s="979"/>
      <c r="C87" s="979"/>
      <c r="D87" s="980"/>
      <c r="E87" s="979"/>
      <c r="F87" s="979"/>
      <c r="G87" s="981"/>
      <c r="H87" s="205" t="s">
        <v>35</v>
      </c>
      <c r="I87" s="982">
        <f t="shared" ca="1" si="47"/>
        <v>0</v>
      </c>
      <c r="J87" s="982">
        <f t="shared" si="47"/>
        <v>0</v>
      </c>
      <c r="K87" s="983">
        <f t="shared" ca="1" si="48"/>
        <v>0</v>
      </c>
      <c r="L87" s="984"/>
      <c r="M87" s="984"/>
      <c r="N87" s="984"/>
      <c r="O87" s="984"/>
      <c r="P87" s="984"/>
    </row>
    <row r="88" spans="1:26" ht="19.5">
      <c r="A88" s="985"/>
      <c r="B88" s="986"/>
      <c r="C88" s="987" t="s">
        <v>16</v>
      </c>
      <c r="D88" s="988" t="s">
        <v>17</v>
      </c>
      <c r="E88" s="986"/>
      <c r="F88" s="986"/>
      <c r="G88" s="989"/>
      <c r="H88" s="152" t="s">
        <v>12</v>
      </c>
      <c r="I88" s="990"/>
      <c r="J88" s="990"/>
      <c r="K88" s="991"/>
      <c r="L88" s="992">
        <f t="shared" ref="L88:N88" ca="1" si="49">L89+L90</f>
        <v>31200</v>
      </c>
      <c r="M88" s="992">
        <f t="shared" ca="1" si="49"/>
        <v>29350</v>
      </c>
      <c r="N88" s="992">
        <f t="shared" ca="1" si="49"/>
        <v>26285</v>
      </c>
      <c r="O88" s="992">
        <f t="shared" ref="O88:O96" ca="1" si="50">IF(L88&gt;0,N88*100/L88,0)</f>
        <v>84.246794871794876</v>
      </c>
      <c r="P88" s="992">
        <f t="shared" ref="P88:P96" ca="1" si="51">IF(M88&gt;0,N88*100/M88,0)</f>
        <v>89.557069846678019</v>
      </c>
      <c r="Q88" s="868"/>
      <c r="R88" s="868"/>
      <c r="S88" s="868"/>
      <c r="T88" s="868"/>
      <c r="U88" s="868"/>
      <c r="V88" s="868"/>
      <c r="W88" s="868"/>
      <c r="X88" s="868"/>
      <c r="Y88" s="868"/>
      <c r="Z88" s="868"/>
    </row>
    <row r="89" spans="1:26" ht="18.75" hidden="1">
      <c r="A89" s="993"/>
      <c r="B89" s="883"/>
      <c r="C89" s="883"/>
      <c r="D89" s="883"/>
      <c r="E89" s="884" t="s">
        <v>18</v>
      </c>
      <c r="F89" s="883"/>
      <c r="G89" s="994"/>
      <c r="H89" s="158" t="s">
        <v>12</v>
      </c>
      <c r="I89" s="886"/>
      <c r="J89" s="886"/>
      <c r="K89" s="887"/>
      <c r="L89" s="887">
        <f t="shared" ref="L89:N90" si="52">L92+L95</f>
        <v>0</v>
      </c>
      <c r="M89" s="887">
        <f t="shared" si="52"/>
        <v>0</v>
      </c>
      <c r="N89" s="887">
        <f t="shared" si="52"/>
        <v>0</v>
      </c>
      <c r="O89" s="887">
        <f t="shared" si="50"/>
        <v>0</v>
      </c>
      <c r="P89" s="887">
        <f t="shared" si="51"/>
        <v>0</v>
      </c>
      <c r="Q89" s="875"/>
      <c r="R89" s="875"/>
      <c r="S89" s="875"/>
      <c r="T89" s="875"/>
      <c r="U89" s="875"/>
      <c r="V89" s="875"/>
      <c r="W89" s="875"/>
      <c r="X89" s="875"/>
      <c r="Y89" s="875"/>
      <c r="Z89" s="875"/>
    </row>
    <row r="90" spans="1:26" ht="18.75" hidden="1">
      <c r="A90" s="993"/>
      <c r="B90" s="883"/>
      <c r="C90" s="883"/>
      <c r="D90" s="883"/>
      <c r="E90" s="884" t="s">
        <v>19</v>
      </c>
      <c r="F90" s="883"/>
      <c r="G90" s="994"/>
      <c r="H90" s="158" t="s">
        <v>12</v>
      </c>
      <c r="I90" s="886"/>
      <c r="J90" s="886"/>
      <c r="K90" s="887"/>
      <c r="L90" s="887">
        <f t="shared" ca="1" si="52"/>
        <v>31200</v>
      </c>
      <c r="M90" s="887">
        <f t="shared" ca="1" si="52"/>
        <v>29350</v>
      </c>
      <c r="N90" s="887">
        <f t="shared" ca="1" si="52"/>
        <v>26285</v>
      </c>
      <c r="O90" s="887">
        <f t="shared" ca="1" si="50"/>
        <v>84.246794871794876</v>
      </c>
      <c r="P90" s="887">
        <f t="shared" ca="1" si="51"/>
        <v>89.557069846678019</v>
      </c>
      <c r="Q90" s="875"/>
      <c r="R90" s="875"/>
      <c r="S90" s="875"/>
      <c r="T90" s="875"/>
      <c r="U90" s="875"/>
      <c r="V90" s="875"/>
      <c r="W90" s="875"/>
      <c r="X90" s="875"/>
      <c r="Y90" s="875"/>
      <c r="Z90" s="875"/>
    </row>
    <row r="91" spans="1:26" ht="18.75">
      <c r="A91" s="995"/>
      <c r="B91" s="877"/>
      <c r="C91" s="996"/>
      <c r="D91" s="878" t="s">
        <v>20</v>
      </c>
      <c r="E91" s="877"/>
      <c r="F91" s="877"/>
      <c r="G91" s="879"/>
      <c r="H91" s="161" t="s">
        <v>12</v>
      </c>
      <c r="I91" s="997"/>
      <c r="J91" s="997"/>
      <c r="K91" s="998"/>
      <c r="L91" s="881">
        <f t="shared" ref="L91:N91" ca="1" si="53">L92+L93</f>
        <v>31200</v>
      </c>
      <c r="M91" s="881">
        <f t="shared" ca="1" si="53"/>
        <v>29350</v>
      </c>
      <c r="N91" s="881">
        <f t="shared" ca="1" si="53"/>
        <v>26285</v>
      </c>
      <c r="O91" s="881">
        <f t="shared" ca="1" si="50"/>
        <v>84.246794871794876</v>
      </c>
      <c r="P91" s="881">
        <f t="shared" ca="1" si="51"/>
        <v>89.557069846678019</v>
      </c>
      <c r="Q91" s="868"/>
      <c r="R91" s="868"/>
      <c r="S91" s="868"/>
      <c r="T91" s="868"/>
      <c r="U91" s="868"/>
      <c r="V91" s="868"/>
      <c r="W91" s="868"/>
      <c r="X91" s="868"/>
      <c r="Y91" s="868"/>
      <c r="Z91" s="868"/>
    </row>
    <row r="92" spans="1:26" ht="19.5" hidden="1">
      <c r="A92" s="993"/>
      <c r="B92" s="883"/>
      <c r="C92" s="999"/>
      <c r="D92" s="883"/>
      <c r="E92" s="884" t="s">
        <v>36</v>
      </c>
      <c r="F92" s="883"/>
      <c r="G92" s="994"/>
      <c r="H92" s="165" t="s">
        <v>12</v>
      </c>
      <c r="I92" s="1000"/>
      <c r="J92" s="1000"/>
      <c r="K92" s="1001"/>
      <c r="L92" s="887">
        <v>0</v>
      </c>
      <c r="M92" s="887">
        <v>0</v>
      </c>
      <c r="N92" s="887">
        <v>0</v>
      </c>
      <c r="O92" s="887">
        <f t="shared" si="50"/>
        <v>0</v>
      </c>
      <c r="P92" s="887">
        <f t="shared" si="51"/>
        <v>0</v>
      </c>
      <c r="Q92" s="875"/>
      <c r="R92" s="875"/>
      <c r="S92" s="875"/>
      <c r="T92" s="875"/>
      <c r="U92" s="875"/>
      <c r="V92" s="875"/>
      <c r="W92" s="875"/>
      <c r="X92" s="875"/>
      <c r="Y92" s="875"/>
      <c r="Z92" s="875"/>
    </row>
    <row r="93" spans="1:26" ht="19.5" hidden="1">
      <c r="A93" s="993"/>
      <c r="B93" s="883"/>
      <c r="C93" s="999"/>
      <c r="D93" s="883"/>
      <c r="E93" s="884" t="s">
        <v>37</v>
      </c>
      <c r="F93" s="883"/>
      <c r="G93" s="994"/>
      <c r="H93" s="165" t="s">
        <v>12</v>
      </c>
      <c r="I93" s="1000"/>
      <c r="J93" s="1000"/>
      <c r="K93" s="1001"/>
      <c r="L93" s="887">
        <f ca="1">IFERROR(__xludf.DUMMYFUNCTION("IMPORTRANGE(""https://docs.google.com/spreadsheets/d/1MeEWN-I1oV_STSDYn1IFDPWt_1FKiwhDph83XaGc0o0/edit?usp=sharing"",""งบพรบ!AQ76"")"),31200)</f>
        <v>31200</v>
      </c>
      <c r="M93" s="887">
        <f ca="1">IFERROR(__xludf.DUMMYFUNCTION("IMPORTRANGE(""https://docs.google.com/spreadsheets/d/1MeEWN-I1oV_STSDYn1IFDPWt_1FKiwhDph83XaGc0o0/edit?usp=sharing"",""งบพรบ!AV76"")"),29350)</f>
        <v>29350</v>
      </c>
      <c r="N93" s="887">
        <f ca="1">IFERROR(__xludf.DUMMYFUNCTION("IMPORTRANGE(""https://docs.google.com/spreadsheets/d/1MeEWN-I1oV_STSDYn1IFDPWt_1FKiwhDph83XaGc0o0/edit?usp=sharing"",""งบพรบ!AX76"")"),26285)</f>
        <v>26285</v>
      </c>
      <c r="O93" s="887">
        <f t="shared" ca="1" si="50"/>
        <v>84.246794871794876</v>
      </c>
      <c r="P93" s="887">
        <f t="shared" ca="1" si="51"/>
        <v>89.557069846678019</v>
      </c>
      <c r="Q93" s="875"/>
      <c r="R93" s="875"/>
      <c r="S93" s="875"/>
      <c r="T93" s="875"/>
      <c r="U93" s="875"/>
      <c r="V93" s="875"/>
      <c r="W93" s="875"/>
      <c r="X93" s="875"/>
      <c r="Y93" s="875"/>
      <c r="Z93" s="875"/>
    </row>
    <row r="94" spans="1:26" ht="18.75">
      <c r="A94" s="995"/>
      <c r="B94" s="877"/>
      <c r="C94" s="996"/>
      <c r="D94" s="878" t="s">
        <v>21</v>
      </c>
      <c r="E94" s="877"/>
      <c r="F94" s="877"/>
      <c r="G94" s="879"/>
      <c r="H94" s="168" t="s">
        <v>12</v>
      </c>
      <c r="I94" s="997"/>
      <c r="J94" s="997"/>
      <c r="K94" s="998"/>
      <c r="L94" s="881">
        <f t="shared" ref="L94:N94" ca="1" si="54">L95+L96</f>
        <v>0</v>
      </c>
      <c r="M94" s="881">
        <f t="shared" ca="1" si="54"/>
        <v>0</v>
      </c>
      <c r="N94" s="881">
        <f t="shared" ca="1" si="54"/>
        <v>0</v>
      </c>
      <c r="O94" s="881">
        <f t="shared" ca="1" si="50"/>
        <v>0</v>
      </c>
      <c r="P94" s="881">
        <f t="shared" ca="1" si="51"/>
        <v>0</v>
      </c>
      <c r="Q94" s="868"/>
      <c r="R94" s="868"/>
      <c r="S94" s="868"/>
      <c r="T94" s="868"/>
      <c r="U94" s="868"/>
      <c r="V94" s="868"/>
      <c r="W94" s="868"/>
      <c r="X94" s="868"/>
      <c r="Y94" s="868"/>
      <c r="Z94" s="868"/>
    </row>
    <row r="95" spans="1:26" ht="19.5" hidden="1">
      <c r="A95" s="993"/>
      <c r="B95" s="883"/>
      <c r="C95" s="999"/>
      <c r="D95" s="883"/>
      <c r="E95" s="884" t="s">
        <v>18</v>
      </c>
      <c r="F95" s="883"/>
      <c r="G95" s="994"/>
      <c r="H95" s="165" t="s">
        <v>12</v>
      </c>
      <c r="I95" s="1000"/>
      <c r="J95" s="1000"/>
      <c r="K95" s="1001"/>
      <c r="L95" s="887">
        <v>0</v>
      </c>
      <c r="M95" s="887">
        <v>0</v>
      </c>
      <c r="N95" s="887">
        <v>0</v>
      </c>
      <c r="O95" s="887">
        <f t="shared" si="50"/>
        <v>0</v>
      </c>
      <c r="P95" s="887">
        <f t="shared" si="51"/>
        <v>0</v>
      </c>
      <c r="Q95" s="875"/>
      <c r="R95" s="875"/>
      <c r="S95" s="875"/>
      <c r="T95" s="875"/>
      <c r="U95" s="875"/>
      <c r="V95" s="875"/>
      <c r="W95" s="875"/>
      <c r="X95" s="875"/>
      <c r="Y95" s="875"/>
      <c r="Z95" s="875"/>
    </row>
    <row r="96" spans="1:26" ht="19.5" hidden="1">
      <c r="A96" s="993"/>
      <c r="B96" s="883"/>
      <c r="C96" s="999"/>
      <c r="D96" s="883"/>
      <c r="E96" s="884" t="s">
        <v>19</v>
      </c>
      <c r="F96" s="883"/>
      <c r="G96" s="994"/>
      <c r="H96" s="169" t="s">
        <v>12</v>
      </c>
      <c r="I96" s="1000"/>
      <c r="J96" s="1000"/>
      <c r="K96" s="1001"/>
      <c r="L96" s="887">
        <f ca="1">IFERROR(__xludf.DUMMYFUNCTION("IMPORTRANGE(""https://docs.google.com/spreadsheets/d/1MeEWN-I1oV_STSDYn1IFDPWt_1FKiwhDph83XaGc0o0/edit?usp=sharing"",""งบพรบ!AT76"")"),0)</f>
        <v>0</v>
      </c>
      <c r="M96" s="887">
        <f ca="1">IFERROR(__xludf.DUMMYFUNCTION("IMPORTRANGE(""https://docs.google.com/spreadsheets/d/1MeEWN-I1oV_STSDYn1IFDPWt_1FKiwhDph83XaGc0o0/edit?usp=sharing"",""งบพรบ!AW76"")"),0)</f>
        <v>0</v>
      </c>
      <c r="N96" s="887">
        <f ca="1">IFERROR(__xludf.DUMMYFUNCTION("IMPORTRANGE(""https://docs.google.com/spreadsheets/d/1MeEWN-I1oV_STSDYn1IFDPWt_1FKiwhDph83XaGc0o0/edit?usp=sharing"",""งบพรบ!AY76"")"),0)</f>
        <v>0</v>
      </c>
      <c r="O96" s="887">
        <f t="shared" ca="1" si="50"/>
        <v>0</v>
      </c>
      <c r="P96" s="887">
        <f t="shared" ca="1" si="51"/>
        <v>0</v>
      </c>
      <c r="Q96" s="875"/>
      <c r="R96" s="875"/>
      <c r="S96" s="875"/>
      <c r="T96" s="875"/>
      <c r="U96" s="875"/>
      <c r="V96" s="875"/>
      <c r="W96" s="875"/>
      <c r="X96" s="875"/>
      <c r="Y96" s="875"/>
      <c r="Z96" s="875"/>
    </row>
    <row r="97" spans="1:16" ht="19.5">
      <c r="A97" s="1002"/>
      <c r="B97" s="1003"/>
      <c r="C97" s="999" t="s">
        <v>16</v>
      </c>
      <c r="D97" s="1004" t="s">
        <v>38</v>
      </c>
      <c r="E97" s="1005"/>
      <c r="F97" s="1005"/>
      <c r="G97" s="1006"/>
      <c r="H97" s="1007"/>
      <c r="I97" s="997"/>
      <c r="J97" s="880"/>
      <c r="K97" s="881"/>
      <c r="L97" s="881"/>
      <c r="M97" s="881"/>
      <c r="N97" s="881"/>
      <c r="O97" s="998"/>
      <c r="P97" s="998"/>
    </row>
    <row r="98" spans="1:16" ht="18.75">
      <c r="A98" s="1002"/>
      <c r="B98" s="1003"/>
      <c r="C98" s="1003"/>
      <c r="D98" s="1009" t="s">
        <v>47</v>
      </c>
      <c r="E98" s="1009"/>
      <c r="F98" s="1010"/>
      <c r="G98" s="1011"/>
      <c r="H98" s="622" t="s">
        <v>46</v>
      </c>
      <c r="I98" s="880">
        <f ca="1">IFERROR(__xludf.DUMMYFUNCTION("IMPORTRANGE(""https://docs.google.com/spreadsheets/d/1QqKyyYR6Q21VydFLVH3TRQUabQu_ym0Zz7PgGX0-kHA/edit?usp=sharing"",""แผน!K76"")"),0)</f>
        <v>0</v>
      </c>
      <c r="J98" s="880">
        <f>J102</f>
        <v>0</v>
      </c>
      <c r="K98" s="881">
        <f t="shared" ref="K98:K100" ca="1" si="55">IF(I98&gt;0,J98*100/I98,0)</f>
        <v>0</v>
      </c>
      <c r="L98" s="881"/>
      <c r="M98" s="881"/>
      <c r="N98" s="881"/>
      <c r="O98" s="998"/>
      <c r="P98" s="998"/>
    </row>
    <row r="99" spans="1:16" ht="18.75">
      <c r="A99" s="1002"/>
      <c r="B99" s="1003"/>
      <c r="C99" s="1003"/>
      <c r="D99" s="1009" t="s">
        <v>48</v>
      </c>
      <c r="E99" s="1009"/>
      <c r="F99" s="1010"/>
      <c r="G99" s="1011"/>
      <c r="H99" s="622" t="s">
        <v>35</v>
      </c>
      <c r="I99" s="880">
        <f ca="1">IFERROR(__xludf.DUMMYFUNCTION("IMPORTRANGE(""https://docs.google.com/spreadsheets/d/1QqKyyYR6Q21VydFLVH3TRQUabQu_ym0Zz7PgGX0-kHA/edit?usp=sharing"",""แผน!L76"")"),0)</f>
        <v>0</v>
      </c>
      <c r="J99" s="880">
        <f>J104</f>
        <v>0</v>
      </c>
      <c r="K99" s="881">
        <f t="shared" ca="1" si="55"/>
        <v>0</v>
      </c>
      <c r="L99" s="881"/>
      <c r="M99" s="881"/>
      <c r="N99" s="881"/>
      <c r="O99" s="998"/>
      <c r="P99" s="998"/>
    </row>
    <row r="100" spans="1:16" ht="18.75">
      <c r="A100" s="1002"/>
      <c r="B100" s="1003"/>
      <c r="C100" s="1003"/>
      <c r="D100" s="1003"/>
      <c r="E100" s="1010"/>
      <c r="F100" s="1010"/>
      <c r="G100" s="1011"/>
      <c r="H100" s="622" t="s">
        <v>49</v>
      </c>
      <c r="I100" s="880">
        <f ca="1">IFERROR(__xludf.DUMMYFUNCTION("IMPORTRANGE(""https://docs.google.com/spreadsheets/d/1QqKyyYR6Q21VydFLVH3TRQUabQu_ym0Zz7PgGX0-kHA/edit?usp=sharing"",""แผน!M76"")"),1)</f>
        <v>1</v>
      </c>
      <c r="J100" s="880">
        <f>J107+J110</f>
        <v>1</v>
      </c>
      <c r="K100" s="881">
        <f t="shared" ca="1" si="55"/>
        <v>100</v>
      </c>
      <c r="L100" s="881"/>
      <c r="M100" s="881"/>
      <c r="N100" s="881"/>
      <c r="O100" s="998"/>
      <c r="P100" s="998"/>
    </row>
    <row r="101" spans="1:16" ht="19.5">
      <c r="A101" s="1002"/>
      <c r="B101" s="1003"/>
      <c r="C101" s="1003"/>
      <c r="D101" s="1010"/>
      <c r="E101" s="1013" t="s">
        <v>50</v>
      </c>
      <c r="F101" s="1010"/>
      <c r="G101" s="1011"/>
      <c r="H101" s="622"/>
      <c r="I101" s="880"/>
      <c r="J101" s="880"/>
      <c r="K101" s="881"/>
      <c r="L101" s="881"/>
      <c r="M101" s="881"/>
      <c r="N101" s="881"/>
      <c r="O101" s="998"/>
      <c r="P101" s="998"/>
    </row>
    <row r="102" spans="1:16" ht="18.75">
      <c r="A102" s="1002"/>
      <c r="B102" s="1003"/>
      <c r="C102" s="1003"/>
      <c r="D102" s="1010"/>
      <c r="E102" s="1014" t="s">
        <v>47</v>
      </c>
      <c r="F102" s="1010"/>
      <c r="G102" s="1011"/>
      <c r="H102" s="622" t="s">
        <v>46</v>
      </c>
      <c r="I102" s="880">
        <f ca="1">IFERROR(__xludf.DUMMYFUNCTION("IMPORTRANGE(""https://docs.google.com/spreadsheets/d/1QqKyyYR6Q21VydFLVH3TRQUabQu_ym0Zz7PgGX0-kHA/edit?usp=sharing"",""แผน!N76"")"),0)</f>
        <v>0</v>
      </c>
      <c r="J102" s="1012">
        <v>0</v>
      </c>
      <c r="K102" s="881">
        <f t="shared" ref="K102:K104" ca="1" si="56">IF(I102&gt;0,J102*100/I102,0)</f>
        <v>0</v>
      </c>
      <c r="L102" s="881"/>
      <c r="M102" s="881"/>
      <c r="N102" s="881"/>
      <c r="O102" s="998"/>
      <c r="P102" s="998"/>
    </row>
    <row r="103" spans="1:16" ht="19.5">
      <c r="A103" s="1002"/>
      <c r="B103" s="1003"/>
      <c r="C103" s="1003"/>
      <c r="D103" s="1010"/>
      <c r="E103" s="1009" t="s">
        <v>51</v>
      </c>
      <c r="F103" s="1010"/>
      <c r="G103" s="1011"/>
      <c r="H103" s="622" t="s">
        <v>35</v>
      </c>
      <c r="I103" s="880">
        <f ca="1">IFERROR(__xludf.DUMMYFUNCTION("IMPORTRANGE(""https://docs.google.com/spreadsheets/d/1QqKyyYR6Q21VydFLVH3TRQUabQu_ym0Zz7PgGX0-kHA/edit?usp=sharing"",""แผน!O76"")"),0)</f>
        <v>0</v>
      </c>
      <c r="J103" s="1012">
        <v>0</v>
      </c>
      <c r="K103" s="881">
        <f t="shared" ca="1" si="56"/>
        <v>0</v>
      </c>
      <c r="L103" s="881"/>
      <c r="M103" s="881"/>
      <c r="N103" s="881"/>
      <c r="O103" s="998"/>
      <c r="P103" s="998"/>
    </row>
    <row r="104" spans="1:16" ht="18.75">
      <c r="A104" s="1002"/>
      <c r="B104" s="1003"/>
      <c r="C104" s="1003"/>
      <c r="D104" s="1010"/>
      <c r="E104" s="1015" t="s">
        <v>52</v>
      </c>
      <c r="F104" s="1010"/>
      <c r="G104" s="1011"/>
      <c r="H104" s="622" t="s">
        <v>35</v>
      </c>
      <c r="I104" s="880">
        <f ca="1">IFERROR(__xludf.DUMMYFUNCTION("IMPORTRANGE(""https://docs.google.com/spreadsheets/d/1QqKyyYR6Q21VydFLVH3TRQUabQu_ym0Zz7PgGX0-kHA/edit?usp=sharing"",""แผน!O76"")"),0)</f>
        <v>0</v>
      </c>
      <c r="J104" s="1012">
        <v>0</v>
      </c>
      <c r="K104" s="881">
        <f t="shared" ca="1" si="56"/>
        <v>0</v>
      </c>
      <c r="L104" s="881"/>
      <c r="M104" s="881"/>
      <c r="N104" s="881"/>
      <c r="O104" s="998"/>
      <c r="P104" s="998"/>
    </row>
    <row r="105" spans="1:16" ht="19.5">
      <c r="A105" s="1002"/>
      <c r="B105" s="1003"/>
      <c r="C105" s="1003"/>
      <c r="D105" s="1010"/>
      <c r="E105" s="1013" t="s">
        <v>53</v>
      </c>
      <c r="F105" s="1010"/>
      <c r="G105" s="1011"/>
      <c r="H105" s="1016"/>
      <c r="I105" s="880"/>
      <c r="J105" s="880"/>
      <c r="K105" s="881"/>
      <c r="L105" s="881"/>
      <c r="M105" s="881"/>
      <c r="N105" s="881"/>
      <c r="O105" s="998"/>
      <c r="P105" s="998"/>
    </row>
    <row r="106" spans="1:16" ht="19.5">
      <c r="A106" s="1002"/>
      <c r="B106" s="1003"/>
      <c r="C106" s="1003"/>
      <c r="D106" s="1010"/>
      <c r="E106" s="1009" t="s">
        <v>54</v>
      </c>
      <c r="F106" s="1010"/>
      <c r="G106" s="1011"/>
      <c r="H106" s="622" t="s">
        <v>49</v>
      </c>
      <c r="I106" s="880">
        <f ca="1">IFERROR(__xludf.DUMMYFUNCTION("IMPORTRANGE(""https://docs.google.com/spreadsheets/d/1QqKyyYR6Q21VydFLVH3TRQUabQu_ym0Zz7PgGX0-kHA/edit?usp=sharing"",""แผน!P76"")"),1)</f>
        <v>1</v>
      </c>
      <c r="J106" s="1012">
        <v>1</v>
      </c>
      <c r="K106" s="881">
        <f t="shared" ref="K106:K107" ca="1" si="57">IF(I106&gt;0,J106*100/I106,0)</f>
        <v>100</v>
      </c>
      <c r="L106" s="881"/>
      <c r="M106" s="881"/>
      <c r="N106" s="881"/>
      <c r="O106" s="998"/>
      <c r="P106" s="998"/>
    </row>
    <row r="107" spans="1:16" ht="18.75">
      <c r="A107" s="1002"/>
      <c r="B107" s="1003"/>
      <c r="C107" s="1003"/>
      <c r="D107" s="1010"/>
      <c r="E107" s="1015" t="s">
        <v>55</v>
      </c>
      <c r="F107" s="1010"/>
      <c r="G107" s="1011"/>
      <c r="H107" s="622" t="s">
        <v>49</v>
      </c>
      <c r="I107" s="880">
        <f ca="1">IFERROR(__xludf.DUMMYFUNCTION("IMPORTRANGE(""https://docs.google.com/spreadsheets/d/1QqKyyYR6Q21VydFLVH3TRQUabQu_ym0Zz7PgGX0-kHA/edit?usp=sharing"",""แผน!P76"")"),1)</f>
        <v>1</v>
      </c>
      <c r="J107" s="1012">
        <v>1</v>
      </c>
      <c r="K107" s="881">
        <f t="shared" ca="1" si="57"/>
        <v>100</v>
      </c>
      <c r="L107" s="881"/>
      <c r="M107" s="881"/>
      <c r="N107" s="881"/>
      <c r="O107" s="998"/>
      <c r="P107" s="998"/>
    </row>
    <row r="108" spans="1:16" ht="19.5">
      <c r="A108" s="1002"/>
      <c r="B108" s="1003"/>
      <c r="C108" s="1003"/>
      <c r="D108" s="1010"/>
      <c r="E108" s="1013" t="s">
        <v>56</v>
      </c>
      <c r="F108" s="1010"/>
      <c r="G108" s="1011"/>
      <c r="H108" s="1016"/>
      <c r="I108" s="880"/>
      <c r="J108" s="880"/>
      <c r="K108" s="881"/>
      <c r="L108" s="881"/>
      <c r="M108" s="881"/>
      <c r="N108" s="881"/>
      <c r="O108" s="998"/>
      <c r="P108" s="998"/>
    </row>
    <row r="109" spans="1:16" ht="19.5">
      <c r="A109" s="1002"/>
      <c r="B109" s="1003"/>
      <c r="C109" s="1003"/>
      <c r="D109" s="1010"/>
      <c r="E109" s="1009" t="s">
        <v>57</v>
      </c>
      <c r="F109" s="1010"/>
      <c r="G109" s="1011"/>
      <c r="H109" s="622" t="s">
        <v>49</v>
      </c>
      <c r="I109" s="880">
        <f ca="1">IFERROR(__xludf.DUMMYFUNCTION("IMPORTRANGE(""https://docs.google.com/spreadsheets/d/1QqKyyYR6Q21VydFLVH3TRQUabQu_ym0Zz7PgGX0-kHA/edit?usp=sharing"",""แผน!Q76"")"),0)</f>
        <v>0</v>
      </c>
      <c r="J109" s="1012">
        <v>0</v>
      </c>
      <c r="K109" s="881">
        <f t="shared" ref="K109:K116" ca="1" si="58">IF(I109&gt;0,J109*100/I109,0)</f>
        <v>0</v>
      </c>
      <c r="L109" s="881"/>
      <c r="M109" s="881"/>
      <c r="N109" s="881"/>
      <c r="O109" s="998"/>
      <c r="P109" s="998"/>
    </row>
    <row r="110" spans="1:16" ht="18.75">
      <c r="A110" s="1002"/>
      <c r="B110" s="1003"/>
      <c r="C110" s="1003"/>
      <c r="D110" s="1010"/>
      <c r="E110" s="1017" t="s">
        <v>58</v>
      </c>
      <c r="F110" s="1010"/>
      <c r="G110" s="1011"/>
      <c r="H110" s="622" t="s">
        <v>49</v>
      </c>
      <c r="I110" s="880">
        <f ca="1">IFERROR(__xludf.DUMMYFUNCTION("IMPORTRANGE(""https://docs.google.com/spreadsheets/d/1QqKyyYR6Q21VydFLVH3TRQUabQu_ym0Zz7PgGX0-kHA/edit?usp=sharing"",""แผน!Q76"")"),0)</f>
        <v>0</v>
      </c>
      <c r="J110" s="1012">
        <v>0</v>
      </c>
      <c r="K110" s="881">
        <f t="shared" ca="1" si="58"/>
        <v>0</v>
      </c>
      <c r="L110" s="881"/>
      <c r="M110" s="881"/>
      <c r="N110" s="881"/>
      <c r="O110" s="998"/>
      <c r="P110" s="998"/>
    </row>
    <row r="111" spans="1:16" ht="19.5">
      <c r="A111" s="1002"/>
      <c r="B111" s="1003"/>
      <c r="C111" s="1003"/>
      <c r="D111" s="1013" t="s">
        <v>59</v>
      </c>
      <c r="E111" s="1013"/>
      <c r="F111" s="1010"/>
      <c r="G111" s="1011"/>
      <c r="H111" s="765" t="s">
        <v>35</v>
      </c>
      <c r="I111" s="1018">
        <f ca="1">IFERROR(__xludf.DUMMYFUNCTION("IMPORTRANGE(""https://docs.google.com/spreadsheets/d/1QqKyyYR6Q21VydFLVH3TRQUabQu_ym0Zz7PgGX0-kHA/edit?usp=sharing"",""แผน!R76"")"),0)</f>
        <v>0</v>
      </c>
      <c r="J111" s="1019">
        <f>J114</f>
        <v>0</v>
      </c>
      <c r="K111" s="1020">
        <f t="shared" ca="1" si="58"/>
        <v>0</v>
      </c>
      <c r="L111" s="881"/>
      <c r="M111" s="881"/>
      <c r="N111" s="881"/>
      <c r="O111" s="998"/>
      <c r="P111" s="998"/>
    </row>
    <row r="112" spans="1:16" ht="19.5">
      <c r="A112" s="1002"/>
      <c r="B112" s="1003"/>
      <c r="C112" s="1003"/>
      <c r="D112" s="1003"/>
      <c r="E112" s="1010"/>
      <c r="F112" s="1010"/>
      <c r="G112" s="1011"/>
      <c r="H112" s="196" t="s">
        <v>49</v>
      </c>
      <c r="I112" s="1018">
        <f t="shared" ref="I112:J112" ca="1" si="59">I115+I116</f>
        <v>1</v>
      </c>
      <c r="J112" s="1019">
        <f t="shared" si="59"/>
        <v>1</v>
      </c>
      <c r="K112" s="1020">
        <f t="shared" ca="1" si="58"/>
        <v>100</v>
      </c>
      <c r="L112" s="881"/>
      <c r="M112" s="881"/>
      <c r="N112" s="881"/>
      <c r="O112" s="998"/>
      <c r="P112" s="998"/>
    </row>
    <row r="113" spans="1:26" ht="19.5">
      <c r="A113" s="1002"/>
      <c r="B113" s="1003"/>
      <c r="C113" s="1003"/>
      <c r="D113" s="1003"/>
      <c r="E113" s="1021" t="s">
        <v>60</v>
      </c>
      <c r="F113" s="1010"/>
      <c r="G113" s="1011"/>
      <c r="H113" s="198" t="s">
        <v>35</v>
      </c>
      <c r="I113" s="997">
        <f ca="1">IFERROR(__xludf.DUMMYFUNCTION("IMPORTRANGE(""https://docs.google.com/spreadsheets/d/1QqKyyYR6Q21VydFLVH3TRQUabQu_ym0Zz7PgGX0-kHA/edit?usp=sharing"",""แผน!R76"")"),0)</f>
        <v>0</v>
      </c>
      <c r="J113" s="1012">
        <v>0</v>
      </c>
      <c r="K113" s="881">
        <f t="shared" ca="1" si="58"/>
        <v>0</v>
      </c>
      <c r="L113" s="881"/>
      <c r="M113" s="881"/>
      <c r="N113" s="881"/>
      <c r="O113" s="998"/>
      <c r="P113" s="998"/>
    </row>
    <row r="114" spans="1:26" ht="19.5">
      <c r="A114" s="1002"/>
      <c r="B114" s="1003"/>
      <c r="C114" s="1003"/>
      <c r="D114" s="1003"/>
      <c r="E114" s="1009" t="s">
        <v>61</v>
      </c>
      <c r="F114" s="1010"/>
      <c r="G114" s="1011"/>
      <c r="H114" s="199" t="s">
        <v>35</v>
      </c>
      <c r="I114" s="997">
        <f ca="1">IFERROR(__xludf.DUMMYFUNCTION("IMPORTRANGE(""https://docs.google.com/spreadsheets/d/1QqKyyYR6Q21VydFLVH3TRQUabQu_ym0Zz7PgGX0-kHA/edit?usp=sharing"",""แผน!R76"")"),0)</f>
        <v>0</v>
      </c>
      <c r="J114" s="1012">
        <v>0</v>
      </c>
      <c r="K114" s="881">
        <f t="shared" ca="1" si="58"/>
        <v>0</v>
      </c>
      <c r="L114" s="881"/>
      <c r="M114" s="881"/>
      <c r="N114" s="881"/>
      <c r="O114" s="998"/>
      <c r="P114" s="998"/>
    </row>
    <row r="115" spans="1:26" ht="18.75">
      <c r="A115" s="1002"/>
      <c r="B115" s="1003"/>
      <c r="C115" s="1003"/>
      <c r="D115" s="1003"/>
      <c r="E115" s="1009" t="s">
        <v>62</v>
      </c>
      <c r="F115" s="1010"/>
      <c r="G115" s="1011"/>
      <c r="H115" s="199" t="s">
        <v>49</v>
      </c>
      <c r="I115" s="997">
        <f ca="1">IFERROR(__xludf.DUMMYFUNCTION("IMPORTRANGE(""https://docs.google.com/spreadsheets/d/1QqKyyYR6Q21VydFLVH3TRQUabQu_ym0Zz7PgGX0-kHA/edit?usp=sharing"",""แผน!S76"")"),1)</f>
        <v>1</v>
      </c>
      <c r="J115" s="1012">
        <v>1</v>
      </c>
      <c r="K115" s="881">
        <f t="shared" ca="1" si="58"/>
        <v>100</v>
      </c>
      <c r="L115" s="881"/>
      <c r="M115" s="881"/>
      <c r="N115" s="881"/>
      <c r="O115" s="998"/>
      <c r="P115" s="998"/>
    </row>
    <row r="116" spans="1:26" ht="18.75">
      <c r="A116" s="1002"/>
      <c r="B116" s="1003"/>
      <c r="C116" s="1003"/>
      <c r="D116" s="1003"/>
      <c r="E116" s="1009" t="s">
        <v>63</v>
      </c>
      <c r="F116" s="1010"/>
      <c r="G116" s="1011"/>
      <c r="H116" s="199" t="s">
        <v>49</v>
      </c>
      <c r="I116" s="997">
        <f ca="1">IFERROR(__xludf.DUMMYFUNCTION("IMPORTRANGE(""https://docs.google.com/spreadsheets/d/1QqKyyYR6Q21VydFLVH3TRQUabQu_ym0Zz7PgGX0-kHA/edit?usp=sharing"",""แผน!T76"")"),0)</f>
        <v>0</v>
      </c>
      <c r="J116" s="1012">
        <v>0</v>
      </c>
      <c r="K116" s="881">
        <f t="shared" ca="1" si="58"/>
        <v>0</v>
      </c>
      <c r="L116" s="881"/>
      <c r="M116" s="881"/>
      <c r="N116" s="881"/>
      <c r="O116" s="998"/>
      <c r="P116" s="998"/>
    </row>
    <row r="117" spans="1:26" ht="19.5">
      <c r="A117" s="970" t="s">
        <v>64</v>
      </c>
      <c r="B117" s="971"/>
      <c r="C117" s="1022"/>
      <c r="D117" s="971"/>
      <c r="E117" s="971"/>
      <c r="F117" s="971"/>
      <c r="G117" s="971"/>
      <c r="H117" s="1023"/>
      <c r="I117" s="1024"/>
      <c r="J117" s="1024"/>
      <c r="K117" s="1025"/>
      <c r="L117" s="976"/>
      <c r="M117" s="976"/>
      <c r="N117" s="976"/>
      <c r="O117" s="976"/>
      <c r="P117" s="976"/>
    </row>
    <row r="118" spans="1:26" ht="19.5">
      <c r="A118" s="977"/>
      <c r="B118" s="978" t="s">
        <v>65</v>
      </c>
      <c r="C118" s="1026"/>
      <c r="D118" s="980"/>
      <c r="E118" s="979"/>
      <c r="F118" s="979"/>
      <c r="G118" s="981"/>
      <c r="H118" s="205" t="s">
        <v>66</v>
      </c>
      <c r="I118" s="1027">
        <v>1</v>
      </c>
      <c r="J118" s="1027">
        <f>J440</f>
        <v>1</v>
      </c>
      <c r="K118" s="984">
        <f>IF(I118&gt;0,J118*100/I118,0)</f>
        <v>100</v>
      </c>
      <c r="L118" s="984"/>
      <c r="M118" s="984"/>
      <c r="N118" s="984"/>
      <c r="O118" s="984"/>
      <c r="P118" s="984"/>
    </row>
    <row r="119" spans="1:26" ht="19.5">
      <c r="A119" s="985"/>
      <c r="B119" s="986"/>
      <c r="C119" s="987" t="s">
        <v>16</v>
      </c>
      <c r="D119" s="988" t="s">
        <v>17</v>
      </c>
      <c r="E119" s="986"/>
      <c r="F119" s="986"/>
      <c r="G119" s="989"/>
      <c r="H119" s="152" t="s">
        <v>12</v>
      </c>
      <c r="I119" s="990"/>
      <c r="J119" s="990"/>
      <c r="K119" s="991"/>
      <c r="L119" s="992">
        <f t="shared" ref="L119:N119" ca="1" si="60">L120+L121</f>
        <v>0</v>
      </c>
      <c r="M119" s="992">
        <f t="shared" ca="1" si="60"/>
        <v>0</v>
      </c>
      <c r="N119" s="992">
        <f t="shared" ca="1" si="60"/>
        <v>0</v>
      </c>
      <c r="O119" s="992">
        <f t="shared" ref="O119:O127" ca="1" si="61">IF(L119&gt;0,N119*100/L119,0)</f>
        <v>0</v>
      </c>
      <c r="P119" s="992">
        <f t="shared" ref="P119:P127" ca="1" si="62">IF(M119&gt;0,N119*100/M119,0)</f>
        <v>0</v>
      </c>
      <c r="Q119" s="868"/>
      <c r="R119" s="868"/>
      <c r="S119" s="868"/>
      <c r="T119" s="868"/>
      <c r="U119" s="868"/>
      <c r="V119" s="868"/>
      <c r="W119" s="868"/>
      <c r="X119" s="868"/>
      <c r="Y119" s="868"/>
      <c r="Z119" s="868"/>
    </row>
    <row r="120" spans="1:26" ht="18.75" hidden="1">
      <c r="A120" s="993"/>
      <c r="B120" s="883"/>
      <c r="C120" s="883"/>
      <c r="D120" s="883"/>
      <c r="E120" s="884" t="s">
        <v>18</v>
      </c>
      <c r="F120" s="883"/>
      <c r="G120" s="994"/>
      <c r="H120" s="158" t="s">
        <v>12</v>
      </c>
      <c r="I120" s="886"/>
      <c r="J120" s="886"/>
      <c r="K120" s="887"/>
      <c r="L120" s="887">
        <f t="shared" ref="L120:N121" si="63">L123+L126</f>
        <v>0</v>
      </c>
      <c r="M120" s="887">
        <f t="shared" si="63"/>
        <v>0</v>
      </c>
      <c r="N120" s="887">
        <f t="shared" si="63"/>
        <v>0</v>
      </c>
      <c r="O120" s="887">
        <f t="shared" si="61"/>
        <v>0</v>
      </c>
      <c r="P120" s="887">
        <f t="shared" si="62"/>
        <v>0</v>
      </c>
      <c r="Q120" s="875"/>
      <c r="R120" s="875"/>
      <c r="S120" s="875"/>
      <c r="T120" s="875"/>
      <c r="U120" s="875"/>
      <c r="V120" s="875"/>
      <c r="W120" s="875"/>
      <c r="X120" s="875"/>
      <c r="Y120" s="875"/>
      <c r="Z120" s="875"/>
    </row>
    <row r="121" spans="1:26" ht="18.75" hidden="1">
      <c r="A121" s="993"/>
      <c r="B121" s="883"/>
      <c r="C121" s="883"/>
      <c r="D121" s="883"/>
      <c r="E121" s="884" t="s">
        <v>19</v>
      </c>
      <c r="F121" s="883"/>
      <c r="G121" s="994"/>
      <c r="H121" s="158" t="s">
        <v>12</v>
      </c>
      <c r="I121" s="886"/>
      <c r="J121" s="886"/>
      <c r="K121" s="887"/>
      <c r="L121" s="887">
        <f t="shared" ca="1" si="63"/>
        <v>0</v>
      </c>
      <c r="M121" s="887">
        <f t="shared" ca="1" si="63"/>
        <v>0</v>
      </c>
      <c r="N121" s="887">
        <f t="shared" ca="1" si="63"/>
        <v>0</v>
      </c>
      <c r="O121" s="887">
        <f t="shared" ca="1" si="61"/>
        <v>0</v>
      </c>
      <c r="P121" s="887">
        <f t="shared" ca="1" si="62"/>
        <v>0</v>
      </c>
      <c r="Q121" s="875"/>
      <c r="R121" s="875"/>
      <c r="S121" s="875"/>
      <c r="T121" s="875"/>
      <c r="U121" s="875"/>
      <c r="V121" s="875"/>
      <c r="W121" s="875"/>
      <c r="X121" s="875"/>
      <c r="Y121" s="875"/>
      <c r="Z121" s="875"/>
    </row>
    <row r="122" spans="1:26" ht="18.75" hidden="1">
      <c r="A122" s="995"/>
      <c r="B122" s="877"/>
      <c r="C122" s="996"/>
      <c r="D122" s="878" t="s">
        <v>20</v>
      </c>
      <c r="E122" s="877"/>
      <c r="F122" s="877"/>
      <c r="G122" s="879"/>
      <c r="H122" s="161" t="s">
        <v>12</v>
      </c>
      <c r="I122" s="997"/>
      <c r="J122" s="997"/>
      <c r="K122" s="998"/>
      <c r="L122" s="881">
        <f t="shared" ref="L122:N122" ca="1" si="64">L123+L124</f>
        <v>0</v>
      </c>
      <c r="M122" s="881">
        <f t="shared" ca="1" si="64"/>
        <v>0</v>
      </c>
      <c r="N122" s="881">
        <f t="shared" ca="1" si="64"/>
        <v>0</v>
      </c>
      <c r="O122" s="881">
        <f t="shared" ca="1" si="61"/>
        <v>0</v>
      </c>
      <c r="P122" s="881">
        <f t="shared" ca="1" si="62"/>
        <v>0</v>
      </c>
      <c r="Q122" s="868"/>
      <c r="R122" s="868"/>
      <c r="S122" s="868"/>
      <c r="T122" s="868"/>
      <c r="U122" s="868"/>
      <c r="V122" s="868"/>
      <c r="W122" s="868"/>
      <c r="X122" s="868"/>
      <c r="Y122" s="868"/>
      <c r="Z122" s="868"/>
    </row>
    <row r="123" spans="1:26" ht="18.75" hidden="1">
      <c r="A123" s="993"/>
      <c r="B123" s="883"/>
      <c r="C123" s="884"/>
      <c r="D123" s="883"/>
      <c r="E123" s="884" t="s">
        <v>36</v>
      </c>
      <c r="F123" s="883"/>
      <c r="G123" s="994"/>
      <c r="H123" s="165" t="s">
        <v>12</v>
      </c>
      <c r="I123" s="1000"/>
      <c r="J123" s="1000"/>
      <c r="K123" s="1001"/>
      <c r="L123" s="887">
        <v>0</v>
      </c>
      <c r="M123" s="887">
        <v>0</v>
      </c>
      <c r="N123" s="887">
        <v>0</v>
      </c>
      <c r="O123" s="887">
        <f t="shared" si="61"/>
        <v>0</v>
      </c>
      <c r="P123" s="887">
        <f t="shared" si="62"/>
        <v>0</v>
      </c>
      <c r="Q123" s="875"/>
      <c r="R123" s="875"/>
      <c r="S123" s="875"/>
      <c r="T123" s="875"/>
      <c r="U123" s="875"/>
      <c r="V123" s="875"/>
      <c r="W123" s="875"/>
      <c r="X123" s="875"/>
      <c r="Y123" s="875"/>
      <c r="Z123" s="875"/>
    </row>
    <row r="124" spans="1:26" ht="18.75" hidden="1">
      <c r="A124" s="993"/>
      <c r="B124" s="883"/>
      <c r="C124" s="884"/>
      <c r="D124" s="883"/>
      <c r="E124" s="884" t="s">
        <v>37</v>
      </c>
      <c r="F124" s="883"/>
      <c r="G124" s="994"/>
      <c r="H124" s="165" t="s">
        <v>12</v>
      </c>
      <c r="I124" s="1000"/>
      <c r="J124" s="1000"/>
      <c r="K124" s="1001"/>
      <c r="L124" s="887">
        <f ca="1">IFERROR(__xludf.DUMMYFUNCTION("IMPORTRANGE(""https://docs.google.com/spreadsheets/d/1MeEWN-I1oV_STSDYn1IFDPWt_1FKiwhDph83XaGc0o0/edit?usp=sharing"",""งบพรบ!BA76"")"),0)</f>
        <v>0</v>
      </c>
      <c r="M124" s="887">
        <f ca="1">IFERROR(__xludf.DUMMYFUNCTION("IMPORTRANGE(""https://docs.google.com/spreadsheets/d/1MeEWN-I1oV_STSDYn1IFDPWt_1FKiwhDph83XaGc0o0/edit?usp=sharing"",""งบพรบ!BF76"")"),0)</f>
        <v>0</v>
      </c>
      <c r="N124" s="887">
        <f ca="1">IFERROR(__xludf.DUMMYFUNCTION("IMPORTRANGE(""https://docs.google.com/spreadsheets/d/1MeEWN-I1oV_STSDYn1IFDPWt_1FKiwhDph83XaGc0o0/edit?usp=sharing"",""งบพรบ!BH76"")"),0)</f>
        <v>0</v>
      </c>
      <c r="O124" s="887">
        <f t="shared" ca="1" si="61"/>
        <v>0</v>
      </c>
      <c r="P124" s="887">
        <f t="shared" ca="1" si="62"/>
        <v>0</v>
      </c>
      <c r="Q124" s="875"/>
      <c r="R124" s="875"/>
      <c r="S124" s="875"/>
      <c r="T124" s="875"/>
      <c r="U124" s="875"/>
      <c r="V124" s="875"/>
      <c r="W124" s="875"/>
      <c r="X124" s="875"/>
      <c r="Y124" s="875"/>
      <c r="Z124" s="875"/>
    </row>
    <row r="125" spans="1:26" ht="18.75" hidden="1">
      <c r="A125" s="995"/>
      <c r="B125" s="877"/>
      <c r="C125" s="996"/>
      <c r="D125" s="878" t="s">
        <v>21</v>
      </c>
      <c r="E125" s="877"/>
      <c r="F125" s="877"/>
      <c r="G125" s="879"/>
      <c r="H125" s="168" t="s">
        <v>12</v>
      </c>
      <c r="I125" s="997"/>
      <c r="J125" s="997"/>
      <c r="K125" s="998"/>
      <c r="L125" s="881">
        <f t="shared" ref="L125:N125" ca="1" si="65">L126+L127</f>
        <v>0</v>
      </c>
      <c r="M125" s="881">
        <f t="shared" ca="1" si="65"/>
        <v>0</v>
      </c>
      <c r="N125" s="881">
        <f t="shared" ca="1" si="65"/>
        <v>0</v>
      </c>
      <c r="O125" s="881">
        <f t="shared" ca="1" si="61"/>
        <v>0</v>
      </c>
      <c r="P125" s="881">
        <f t="shared" ca="1" si="62"/>
        <v>0</v>
      </c>
      <c r="Q125" s="868"/>
      <c r="R125" s="868"/>
      <c r="S125" s="868"/>
      <c r="T125" s="868"/>
      <c r="U125" s="868"/>
      <c r="V125" s="868"/>
      <c r="W125" s="868"/>
      <c r="X125" s="868"/>
      <c r="Y125" s="868"/>
      <c r="Z125" s="868"/>
    </row>
    <row r="126" spans="1:26" ht="19.5" hidden="1">
      <c r="A126" s="993"/>
      <c r="B126" s="883"/>
      <c r="C126" s="999"/>
      <c r="D126" s="883"/>
      <c r="E126" s="884" t="s">
        <v>18</v>
      </c>
      <c r="F126" s="883"/>
      <c r="G126" s="994"/>
      <c r="H126" s="165" t="s">
        <v>12</v>
      </c>
      <c r="I126" s="1000"/>
      <c r="J126" s="1000"/>
      <c r="K126" s="1001"/>
      <c r="L126" s="887">
        <v>0</v>
      </c>
      <c r="M126" s="887">
        <v>0</v>
      </c>
      <c r="N126" s="887">
        <v>0</v>
      </c>
      <c r="O126" s="887">
        <f t="shared" si="61"/>
        <v>0</v>
      </c>
      <c r="P126" s="887">
        <f t="shared" si="62"/>
        <v>0</v>
      </c>
      <c r="Q126" s="875"/>
      <c r="R126" s="875"/>
      <c r="S126" s="875"/>
      <c r="T126" s="875"/>
      <c r="U126" s="875"/>
      <c r="V126" s="875"/>
      <c r="W126" s="875"/>
      <c r="X126" s="875"/>
      <c r="Y126" s="875"/>
      <c r="Z126" s="875"/>
    </row>
    <row r="127" spans="1:26" ht="19.5" hidden="1">
      <c r="A127" s="993"/>
      <c r="B127" s="883"/>
      <c r="C127" s="999"/>
      <c r="D127" s="883"/>
      <c r="E127" s="884" t="s">
        <v>19</v>
      </c>
      <c r="F127" s="883"/>
      <c r="G127" s="994"/>
      <c r="H127" s="169" t="s">
        <v>12</v>
      </c>
      <c r="I127" s="1000"/>
      <c r="J127" s="1000"/>
      <c r="K127" s="1001"/>
      <c r="L127" s="887">
        <f ca="1">IFERROR(__xludf.DUMMYFUNCTION("IMPORTRANGE(""https://docs.google.com/spreadsheets/d/1MeEWN-I1oV_STSDYn1IFDPWt_1FKiwhDph83XaGc0o0/edit?usp=sharing"",""งบพรบ!BD76"")"),0)</f>
        <v>0</v>
      </c>
      <c r="M127" s="887">
        <f ca="1">IFERROR(__xludf.DUMMYFUNCTION("IMPORTRANGE(""https://docs.google.com/spreadsheets/d/1MeEWN-I1oV_STSDYn1IFDPWt_1FKiwhDph83XaGc0o0/edit?usp=sharing"",""งบพรบ!BG76"")"),0)</f>
        <v>0</v>
      </c>
      <c r="N127" s="887">
        <f ca="1">IFERROR(__xludf.DUMMYFUNCTION("IMPORTRANGE(""https://docs.google.com/spreadsheets/d/1MeEWN-I1oV_STSDYn1IFDPWt_1FKiwhDph83XaGc0o0/edit?usp=sharing"",""งบพรบ!BI76"")"),0)</f>
        <v>0</v>
      </c>
      <c r="O127" s="887">
        <f t="shared" ca="1" si="61"/>
        <v>0</v>
      </c>
      <c r="P127" s="887">
        <f t="shared" ca="1" si="62"/>
        <v>0</v>
      </c>
      <c r="Q127" s="875"/>
      <c r="R127" s="875"/>
      <c r="S127" s="875"/>
      <c r="T127" s="875"/>
      <c r="U127" s="875"/>
      <c r="V127" s="875"/>
      <c r="W127" s="875"/>
      <c r="X127" s="875"/>
      <c r="Y127" s="875"/>
      <c r="Z127" s="875"/>
    </row>
    <row r="128" spans="1:26" ht="19.5">
      <c r="A128" s="970" t="s">
        <v>67</v>
      </c>
      <c r="B128" s="971"/>
      <c r="C128" s="1022"/>
      <c r="D128" s="971"/>
      <c r="E128" s="971"/>
      <c r="F128" s="971"/>
      <c r="G128" s="971"/>
      <c r="H128" s="1023"/>
      <c r="I128" s="1024"/>
      <c r="J128" s="1024"/>
      <c r="K128" s="1025"/>
      <c r="L128" s="976"/>
      <c r="M128" s="976"/>
      <c r="N128" s="976"/>
      <c r="O128" s="976"/>
      <c r="P128" s="976"/>
    </row>
    <row r="129" spans="1:26" ht="19.5">
      <c r="A129" s="977"/>
      <c r="B129" s="978" t="s">
        <v>68</v>
      </c>
      <c r="C129" s="1026"/>
      <c r="D129" s="980"/>
      <c r="E129" s="979"/>
      <c r="F129" s="979"/>
      <c r="G129" s="979"/>
      <c r="H129" s="207"/>
      <c r="I129" s="1027"/>
      <c r="J129" s="1027"/>
      <c r="K129" s="984"/>
      <c r="L129" s="984"/>
      <c r="M129" s="984"/>
      <c r="N129" s="984"/>
      <c r="O129" s="984"/>
      <c r="P129" s="984"/>
    </row>
    <row r="130" spans="1:26" ht="19.5">
      <c r="A130" s="977"/>
      <c r="B130" s="978"/>
      <c r="C130" s="1028" t="s">
        <v>69</v>
      </c>
      <c r="D130" s="980"/>
      <c r="E130" s="979"/>
      <c r="F130" s="979"/>
      <c r="G130" s="981"/>
      <c r="H130" s="205" t="s">
        <v>66</v>
      </c>
      <c r="I130" s="982">
        <f t="shared" ref="I130:J130" ca="1" si="66">I146</f>
        <v>1</v>
      </c>
      <c r="J130" s="982">
        <f t="shared" si="66"/>
        <v>1</v>
      </c>
      <c r="K130" s="983">
        <f t="shared" ref="K130:K131" ca="1" si="67">IF(I130&gt;0,J130*100/I130,0)</f>
        <v>100</v>
      </c>
      <c r="L130" s="984"/>
      <c r="M130" s="984"/>
      <c r="N130" s="984"/>
      <c r="O130" s="984"/>
      <c r="P130" s="984"/>
    </row>
    <row r="131" spans="1:26" ht="19.5">
      <c r="A131" s="977"/>
      <c r="B131" s="978"/>
      <c r="C131" s="1028" t="s">
        <v>70</v>
      </c>
      <c r="D131" s="980"/>
      <c r="E131" s="979"/>
      <c r="F131" s="979"/>
      <c r="G131" s="981"/>
      <c r="H131" s="205" t="s">
        <v>35</v>
      </c>
      <c r="I131" s="982">
        <f t="shared" ref="I131:J131" ca="1" si="68">I143</f>
        <v>10</v>
      </c>
      <c r="J131" s="982">
        <f t="shared" ca="1" si="68"/>
        <v>10</v>
      </c>
      <c r="K131" s="983">
        <f t="shared" ca="1" si="67"/>
        <v>100</v>
      </c>
      <c r="L131" s="984"/>
      <c r="M131" s="984"/>
      <c r="N131" s="984"/>
      <c r="O131" s="984"/>
      <c r="P131" s="984"/>
    </row>
    <row r="132" spans="1:26" ht="19.5">
      <c r="A132" s="985"/>
      <c r="B132" s="986"/>
      <c r="C132" s="987" t="s">
        <v>16</v>
      </c>
      <c r="D132" s="988" t="s">
        <v>17</v>
      </c>
      <c r="E132" s="986"/>
      <c r="F132" s="986"/>
      <c r="G132" s="989"/>
      <c r="H132" s="152" t="s">
        <v>12</v>
      </c>
      <c r="I132" s="990"/>
      <c r="J132" s="990"/>
      <c r="K132" s="991"/>
      <c r="L132" s="992">
        <f t="shared" ref="L132:N132" ca="1" si="69">L133+L134</f>
        <v>151655</v>
      </c>
      <c r="M132" s="992">
        <f t="shared" ca="1" si="69"/>
        <v>146900</v>
      </c>
      <c r="N132" s="992">
        <f t="shared" ca="1" si="69"/>
        <v>120945</v>
      </c>
      <c r="O132" s="992">
        <f t="shared" ref="O132:O140" ca="1" si="70">IF(L132&gt;0,N132*100/L132,0)</f>
        <v>79.750090666314989</v>
      </c>
      <c r="P132" s="992">
        <f t="shared" ref="P132:P140" ca="1" si="71">IF(M132&gt;0,N132*100/M132,0)</f>
        <v>82.331518039482646</v>
      </c>
      <c r="Q132" s="868"/>
      <c r="R132" s="868"/>
      <c r="S132" s="868"/>
      <c r="T132" s="868"/>
      <c r="U132" s="868"/>
      <c r="V132" s="868"/>
      <c r="W132" s="868"/>
      <c r="X132" s="868"/>
      <c r="Y132" s="868"/>
      <c r="Z132" s="868"/>
    </row>
    <row r="133" spans="1:26" ht="18.75" hidden="1">
      <c r="A133" s="993"/>
      <c r="B133" s="883"/>
      <c r="C133" s="883"/>
      <c r="D133" s="883"/>
      <c r="E133" s="884" t="s">
        <v>18</v>
      </c>
      <c r="F133" s="883"/>
      <c r="G133" s="994"/>
      <c r="H133" s="158" t="s">
        <v>12</v>
      </c>
      <c r="I133" s="886"/>
      <c r="J133" s="886"/>
      <c r="K133" s="887"/>
      <c r="L133" s="887">
        <f t="shared" ref="L133:N134" si="72">L136+L139</f>
        <v>0</v>
      </c>
      <c r="M133" s="887">
        <f t="shared" si="72"/>
        <v>0</v>
      </c>
      <c r="N133" s="887">
        <f t="shared" si="72"/>
        <v>0</v>
      </c>
      <c r="O133" s="887">
        <f t="shared" si="70"/>
        <v>0</v>
      </c>
      <c r="P133" s="887">
        <f t="shared" si="71"/>
        <v>0</v>
      </c>
      <c r="Q133" s="875"/>
      <c r="R133" s="875"/>
      <c r="S133" s="875"/>
      <c r="T133" s="875"/>
      <c r="U133" s="875"/>
      <c r="V133" s="875"/>
      <c r="W133" s="875"/>
      <c r="X133" s="875"/>
      <c r="Y133" s="875"/>
      <c r="Z133" s="875"/>
    </row>
    <row r="134" spans="1:26" ht="18.75" hidden="1">
      <c r="A134" s="993"/>
      <c r="B134" s="883"/>
      <c r="C134" s="883"/>
      <c r="D134" s="883"/>
      <c r="E134" s="884" t="s">
        <v>19</v>
      </c>
      <c r="F134" s="883"/>
      <c r="G134" s="994"/>
      <c r="H134" s="158" t="s">
        <v>12</v>
      </c>
      <c r="I134" s="886"/>
      <c r="J134" s="886"/>
      <c r="K134" s="887"/>
      <c r="L134" s="887">
        <f t="shared" ca="1" si="72"/>
        <v>151655</v>
      </c>
      <c r="M134" s="887">
        <f t="shared" ca="1" si="72"/>
        <v>146900</v>
      </c>
      <c r="N134" s="887">
        <f t="shared" ca="1" si="72"/>
        <v>120945</v>
      </c>
      <c r="O134" s="887">
        <f t="shared" ca="1" si="70"/>
        <v>79.750090666314989</v>
      </c>
      <c r="P134" s="887">
        <f t="shared" ca="1" si="71"/>
        <v>82.331518039482646</v>
      </c>
      <c r="Q134" s="875"/>
      <c r="R134" s="875"/>
      <c r="S134" s="875"/>
      <c r="T134" s="875"/>
      <c r="U134" s="875"/>
      <c r="V134" s="875"/>
      <c r="W134" s="875"/>
      <c r="X134" s="875"/>
      <c r="Y134" s="875"/>
      <c r="Z134" s="875"/>
    </row>
    <row r="135" spans="1:26" ht="18.75">
      <c r="A135" s="995"/>
      <c r="B135" s="877"/>
      <c r="C135" s="996"/>
      <c r="D135" s="878" t="s">
        <v>20</v>
      </c>
      <c r="E135" s="877"/>
      <c r="F135" s="877"/>
      <c r="G135" s="879"/>
      <c r="H135" s="161" t="s">
        <v>12</v>
      </c>
      <c r="I135" s="997"/>
      <c r="J135" s="997"/>
      <c r="K135" s="998"/>
      <c r="L135" s="881">
        <f t="shared" ref="L135:N135" ca="1" si="73">L136+L137</f>
        <v>48655</v>
      </c>
      <c r="M135" s="881">
        <f t="shared" ca="1" si="73"/>
        <v>43900</v>
      </c>
      <c r="N135" s="881">
        <f t="shared" ca="1" si="73"/>
        <v>17945</v>
      </c>
      <c r="O135" s="881">
        <f t="shared" ca="1" si="70"/>
        <v>36.882129277566541</v>
      </c>
      <c r="P135" s="881">
        <f t="shared" ca="1" si="71"/>
        <v>40.876993166287015</v>
      </c>
      <c r="Q135" s="868"/>
      <c r="R135" s="868"/>
      <c r="S135" s="868"/>
      <c r="T135" s="868"/>
      <c r="U135" s="868"/>
      <c r="V135" s="868"/>
      <c r="W135" s="868"/>
      <c r="X135" s="868"/>
      <c r="Y135" s="868"/>
      <c r="Z135" s="868"/>
    </row>
    <row r="136" spans="1:26" ht="19.5" hidden="1">
      <c r="A136" s="993"/>
      <c r="B136" s="883"/>
      <c r="C136" s="999"/>
      <c r="D136" s="883"/>
      <c r="E136" s="884" t="s">
        <v>36</v>
      </c>
      <c r="F136" s="883"/>
      <c r="G136" s="994"/>
      <c r="H136" s="165" t="s">
        <v>12</v>
      </c>
      <c r="I136" s="1000"/>
      <c r="J136" s="1000"/>
      <c r="K136" s="1001"/>
      <c r="L136" s="887">
        <v>0</v>
      </c>
      <c r="M136" s="887">
        <v>0</v>
      </c>
      <c r="N136" s="887">
        <v>0</v>
      </c>
      <c r="O136" s="887">
        <f t="shared" si="70"/>
        <v>0</v>
      </c>
      <c r="P136" s="887">
        <f t="shared" si="71"/>
        <v>0</v>
      </c>
      <c r="Q136" s="875"/>
      <c r="R136" s="875"/>
      <c r="S136" s="875"/>
      <c r="T136" s="875"/>
      <c r="U136" s="875"/>
      <c r="V136" s="875"/>
      <c r="W136" s="875"/>
      <c r="X136" s="875"/>
      <c r="Y136" s="875"/>
      <c r="Z136" s="875"/>
    </row>
    <row r="137" spans="1:26" ht="19.5" hidden="1">
      <c r="A137" s="993"/>
      <c r="B137" s="883"/>
      <c r="C137" s="999"/>
      <c r="D137" s="883"/>
      <c r="E137" s="884" t="s">
        <v>37</v>
      </c>
      <c r="F137" s="883"/>
      <c r="G137" s="994"/>
      <c r="H137" s="165" t="s">
        <v>12</v>
      </c>
      <c r="I137" s="1000"/>
      <c r="J137" s="1000"/>
      <c r="K137" s="1001"/>
      <c r="L137" s="887">
        <f ca="1">IFERROR(__xludf.DUMMYFUNCTION("IMPORTRANGE(""https://docs.google.com/spreadsheets/d/1MeEWN-I1oV_STSDYn1IFDPWt_1FKiwhDph83XaGc0o0/edit?usp=sharing"",""งบพรบ!BK76"")"),48655)</f>
        <v>48655</v>
      </c>
      <c r="M137" s="887">
        <f ca="1">IFERROR(__xludf.DUMMYFUNCTION("IMPORTRANGE(""https://docs.google.com/spreadsheets/d/1MeEWN-I1oV_STSDYn1IFDPWt_1FKiwhDph83XaGc0o0/edit?usp=sharing"",""งบพรบ!BP76"")"),43900)</f>
        <v>43900</v>
      </c>
      <c r="N137" s="887">
        <f ca="1">IFERROR(__xludf.DUMMYFUNCTION("IMPORTRANGE(""https://docs.google.com/spreadsheets/d/1MeEWN-I1oV_STSDYn1IFDPWt_1FKiwhDph83XaGc0o0/edit?usp=sharing"",""งบพรบ!BR76"")"),17945)</f>
        <v>17945</v>
      </c>
      <c r="O137" s="887">
        <f t="shared" ca="1" si="70"/>
        <v>36.882129277566541</v>
      </c>
      <c r="P137" s="887">
        <f t="shared" ca="1" si="71"/>
        <v>40.876993166287015</v>
      </c>
      <c r="Q137" s="875"/>
      <c r="R137" s="875"/>
      <c r="S137" s="875"/>
      <c r="T137" s="875"/>
      <c r="U137" s="875"/>
      <c r="V137" s="875"/>
      <c r="W137" s="875"/>
      <c r="X137" s="875"/>
      <c r="Y137" s="875"/>
      <c r="Z137" s="875"/>
    </row>
    <row r="138" spans="1:26" ht="18.75">
      <c r="A138" s="995"/>
      <c r="B138" s="877"/>
      <c r="C138" s="996"/>
      <c r="D138" s="878" t="s">
        <v>21</v>
      </c>
      <c r="E138" s="877"/>
      <c r="F138" s="877"/>
      <c r="G138" s="879"/>
      <c r="H138" s="168" t="s">
        <v>12</v>
      </c>
      <c r="I138" s="997"/>
      <c r="J138" s="997"/>
      <c r="K138" s="998"/>
      <c r="L138" s="881">
        <f t="shared" ref="L138:N138" ca="1" si="74">L139+L140</f>
        <v>103000</v>
      </c>
      <c r="M138" s="881">
        <f t="shared" ca="1" si="74"/>
        <v>103000</v>
      </c>
      <c r="N138" s="881">
        <f t="shared" ca="1" si="74"/>
        <v>103000</v>
      </c>
      <c r="O138" s="881">
        <f t="shared" ca="1" si="70"/>
        <v>100</v>
      </c>
      <c r="P138" s="881">
        <f t="shared" ca="1" si="71"/>
        <v>100</v>
      </c>
      <c r="Q138" s="868"/>
      <c r="R138" s="868"/>
      <c r="S138" s="868"/>
      <c r="T138" s="868"/>
      <c r="U138" s="868"/>
      <c r="V138" s="868"/>
      <c r="W138" s="868"/>
      <c r="X138" s="868"/>
      <c r="Y138" s="868"/>
      <c r="Z138" s="868"/>
    </row>
    <row r="139" spans="1:26" ht="19.5" hidden="1">
      <c r="A139" s="993"/>
      <c r="B139" s="883"/>
      <c r="C139" s="999"/>
      <c r="D139" s="883"/>
      <c r="E139" s="884" t="s">
        <v>18</v>
      </c>
      <c r="F139" s="883"/>
      <c r="G139" s="994"/>
      <c r="H139" s="165" t="s">
        <v>12</v>
      </c>
      <c r="I139" s="1000"/>
      <c r="J139" s="1000"/>
      <c r="K139" s="1001"/>
      <c r="L139" s="887">
        <v>0</v>
      </c>
      <c r="M139" s="887">
        <v>0</v>
      </c>
      <c r="N139" s="887">
        <v>0</v>
      </c>
      <c r="O139" s="887">
        <f t="shared" si="70"/>
        <v>0</v>
      </c>
      <c r="P139" s="887">
        <f t="shared" si="71"/>
        <v>0</v>
      </c>
      <c r="Q139" s="875"/>
      <c r="R139" s="875"/>
      <c r="S139" s="875"/>
      <c r="T139" s="875"/>
      <c r="U139" s="875"/>
      <c r="V139" s="875"/>
      <c r="W139" s="875"/>
      <c r="X139" s="875"/>
      <c r="Y139" s="875"/>
      <c r="Z139" s="875"/>
    </row>
    <row r="140" spans="1:26" ht="19.5" hidden="1">
      <c r="A140" s="993"/>
      <c r="B140" s="883"/>
      <c r="C140" s="999"/>
      <c r="D140" s="883"/>
      <c r="E140" s="884" t="s">
        <v>19</v>
      </c>
      <c r="F140" s="883"/>
      <c r="G140" s="994"/>
      <c r="H140" s="169" t="s">
        <v>12</v>
      </c>
      <c r="I140" s="1000"/>
      <c r="J140" s="1000"/>
      <c r="K140" s="1001"/>
      <c r="L140" s="887">
        <f ca="1">IFERROR(__xludf.DUMMYFUNCTION("IMPORTRANGE(""https://docs.google.com/spreadsheets/d/1MeEWN-I1oV_STSDYn1IFDPWt_1FKiwhDph83XaGc0o0/edit?usp=sharing"",""งบพรบ!BN76"")"),103000)</f>
        <v>103000</v>
      </c>
      <c r="M140" s="887">
        <f ca="1">IFERROR(__xludf.DUMMYFUNCTION("IMPORTRANGE(""https://docs.google.com/spreadsheets/d/1MeEWN-I1oV_STSDYn1IFDPWt_1FKiwhDph83XaGc0o0/edit?usp=sharing"",""งบพรบ!BQ76"")"),103000)</f>
        <v>103000</v>
      </c>
      <c r="N140" s="887">
        <f ca="1">IFERROR(__xludf.DUMMYFUNCTION("IMPORTRANGE(""https://docs.google.com/spreadsheets/d/1MeEWN-I1oV_STSDYn1IFDPWt_1FKiwhDph83XaGc0o0/edit?usp=sharing"",""งบพรบ!BS76"")"),103000)</f>
        <v>103000</v>
      </c>
      <c r="O140" s="887">
        <f t="shared" ca="1" si="70"/>
        <v>100</v>
      </c>
      <c r="P140" s="887">
        <f t="shared" ca="1" si="71"/>
        <v>100</v>
      </c>
      <c r="Q140" s="875"/>
      <c r="R140" s="875"/>
      <c r="S140" s="875"/>
      <c r="T140" s="875"/>
      <c r="U140" s="875"/>
      <c r="V140" s="875"/>
      <c r="W140" s="875"/>
      <c r="X140" s="875"/>
      <c r="Y140" s="875"/>
      <c r="Z140" s="875"/>
    </row>
    <row r="141" spans="1:26" ht="19.5">
      <c r="A141" s="1002"/>
      <c r="B141" s="1003"/>
      <c r="C141" s="987" t="s">
        <v>16</v>
      </c>
      <c r="D141" s="1004" t="s">
        <v>38</v>
      </c>
      <c r="E141" s="1005"/>
      <c r="F141" s="1005"/>
      <c r="G141" s="1006"/>
      <c r="H141" s="168"/>
      <c r="I141" s="880"/>
      <c r="J141" s="880"/>
      <c r="K141" s="881"/>
      <c r="L141" s="881"/>
      <c r="M141" s="881"/>
      <c r="N141" s="881"/>
      <c r="O141" s="881"/>
      <c r="P141" s="881"/>
    </row>
    <row r="142" spans="1:26" ht="19.5">
      <c r="A142" s="995"/>
      <c r="B142" s="877"/>
      <c r="C142" s="1029"/>
      <c r="D142" s="996" t="s">
        <v>71</v>
      </c>
      <c r="E142" s="878"/>
      <c r="F142" s="877"/>
      <c r="G142" s="1030"/>
      <c r="H142" s="168"/>
      <c r="I142" s="880"/>
      <c r="J142" s="1012">
        <v>0</v>
      </c>
      <c r="K142" s="881"/>
      <c r="L142" s="881"/>
      <c r="M142" s="881"/>
      <c r="N142" s="881"/>
      <c r="O142" s="881"/>
      <c r="P142" s="881"/>
    </row>
    <row r="143" spans="1:26" ht="19.5">
      <c r="A143" s="995"/>
      <c r="B143" s="877"/>
      <c r="C143" s="1029"/>
      <c r="D143" s="996" t="s">
        <v>72</v>
      </c>
      <c r="E143" s="878"/>
      <c r="F143" s="877"/>
      <c r="G143" s="1030"/>
      <c r="H143" s="168" t="s">
        <v>35</v>
      </c>
      <c r="I143" s="880">
        <f ca="1">I145</f>
        <v>10</v>
      </c>
      <c r="J143" s="880">
        <f ca="1">IF(AND(J144&gt;=I144,J145&gt;=I145),J145,0)</f>
        <v>10</v>
      </c>
      <c r="K143" s="881">
        <f t="shared" ref="K143:K146" ca="1" si="75">IF(I143&gt;0,J143*100/I143,0)</f>
        <v>100</v>
      </c>
      <c r="L143" s="881"/>
      <c r="M143" s="881"/>
      <c r="N143" s="881"/>
      <c r="O143" s="881"/>
      <c r="P143" s="881"/>
    </row>
    <row r="144" spans="1:26" ht="19.5">
      <c r="A144" s="995"/>
      <c r="B144" s="877"/>
      <c r="C144" s="1029"/>
      <c r="D144" s="1010"/>
      <c r="E144" s="996" t="s">
        <v>73</v>
      </c>
      <c r="F144" s="877"/>
      <c r="G144" s="1030"/>
      <c r="H144" s="168" t="s">
        <v>35</v>
      </c>
      <c r="I144" s="880">
        <f ca="1">IFERROR(__xludf.DUMMYFUNCTION("IMPORTRANGE(""https://docs.google.com/spreadsheets/d/1QqKyyYR6Q21VydFLVH3TRQUabQu_ym0Zz7PgGX0-kHA/edit?usp=sharing"",""แผน!U76"")"),5)</f>
        <v>5</v>
      </c>
      <c r="J144" s="1012">
        <v>5</v>
      </c>
      <c r="K144" s="881">
        <f t="shared" ca="1" si="75"/>
        <v>100</v>
      </c>
      <c r="L144" s="881"/>
      <c r="M144" s="881"/>
      <c r="N144" s="881"/>
      <c r="O144" s="881"/>
      <c r="P144" s="881"/>
    </row>
    <row r="145" spans="1:26" ht="19.5">
      <c r="A145" s="995"/>
      <c r="B145" s="877"/>
      <c r="C145" s="1029"/>
      <c r="D145" s="1010"/>
      <c r="E145" s="996" t="s">
        <v>74</v>
      </c>
      <c r="F145" s="877"/>
      <c r="G145" s="1030"/>
      <c r="H145" s="168" t="s">
        <v>35</v>
      </c>
      <c r="I145" s="880">
        <f ca="1">IFERROR(__xludf.DUMMYFUNCTION("IMPORTRANGE(""https://docs.google.com/spreadsheets/d/1QqKyyYR6Q21VydFLVH3TRQUabQu_ym0Zz7PgGX0-kHA/edit?usp=sharing"",""แผน!V76"")"),10)</f>
        <v>10</v>
      </c>
      <c r="J145" s="1012">
        <v>10</v>
      </c>
      <c r="K145" s="881">
        <f t="shared" ca="1" si="75"/>
        <v>100</v>
      </c>
      <c r="L145" s="881"/>
      <c r="M145" s="881"/>
      <c r="N145" s="881"/>
      <c r="O145" s="881"/>
      <c r="P145" s="881"/>
    </row>
    <row r="146" spans="1:26" ht="19.5">
      <c r="A146" s="995"/>
      <c r="B146" s="877"/>
      <c r="C146" s="1029"/>
      <c r="D146" s="996" t="s">
        <v>75</v>
      </c>
      <c r="E146" s="878"/>
      <c r="F146" s="877"/>
      <c r="G146" s="1030"/>
      <c r="H146" s="168" t="s">
        <v>66</v>
      </c>
      <c r="I146" s="880">
        <f ca="1">IFERROR(__xludf.DUMMYFUNCTION("IMPORTRANGE(""https://docs.google.com/spreadsheets/d/1QqKyyYR6Q21VydFLVH3TRQUabQu_ym0Zz7PgGX0-kHA/edit?usp=sharing"",""แผน!W76"")"),1)</f>
        <v>1</v>
      </c>
      <c r="J146" s="1012">
        <v>1</v>
      </c>
      <c r="K146" s="881">
        <f t="shared" ca="1" si="75"/>
        <v>100</v>
      </c>
      <c r="L146" s="881"/>
      <c r="M146" s="881"/>
      <c r="N146" s="881"/>
      <c r="O146" s="881"/>
      <c r="P146" s="881"/>
    </row>
    <row r="147" spans="1:26" ht="19.5">
      <c r="A147" s="970" t="s">
        <v>76</v>
      </c>
      <c r="B147" s="971"/>
      <c r="C147" s="1022"/>
      <c r="D147" s="971"/>
      <c r="E147" s="971"/>
      <c r="F147" s="971"/>
      <c r="G147" s="971"/>
      <c r="H147" s="1023"/>
      <c r="I147" s="1024"/>
      <c r="J147" s="1024"/>
      <c r="K147" s="1025"/>
      <c r="L147" s="976"/>
      <c r="M147" s="976"/>
      <c r="N147" s="976"/>
      <c r="O147" s="976"/>
      <c r="P147" s="976"/>
    </row>
    <row r="148" spans="1:26" ht="19.5">
      <c r="A148" s="1031"/>
      <c r="B148" s="978" t="s">
        <v>77</v>
      </c>
      <c r="C148" s="978"/>
      <c r="D148" s="978"/>
      <c r="E148" s="1032"/>
      <c r="F148" s="1033"/>
      <c r="G148" s="1034"/>
      <c r="H148" s="221" t="s">
        <v>35</v>
      </c>
      <c r="I148" s="982">
        <f t="shared" ref="I148:J148" ca="1" si="76">I159</f>
        <v>20</v>
      </c>
      <c r="J148" s="982">
        <f t="shared" si="76"/>
        <v>0</v>
      </c>
      <c r="K148" s="983">
        <f ca="1">IF(I148&gt;0,J148*100/I148,0)</f>
        <v>0</v>
      </c>
      <c r="L148" s="983"/>
      <c r="M148" s="983"/>
      <c r="N148" s="983"/>
      <c r="O148" s="983"/>
      <c r="P148" s="98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85"/>
      <c r="B149" s="986"/>
      <c r="C149" s="987" t="s">
        <v>16</v>
      </c>
      <c r="D149" s="988" t="s">
        <v>17</v>
      </c>
      <c r="E149" s="986"/>
      <c r="F149" s="986"/>
      <c r="G149" s="989"/>
      <c r="H149" s="152" t="s">
        <v>12</v>
      </c>
      <c r="I149" s="990"/>
      <c r="J149" s="990"/>
      <c r="K149" s="991"/>
      <c r="L149" s="992">
        <f t="shared" ref="L149:N149" ca="1" si="77">L150+L151</f>
        <v>10000</v>
      </c>
      <c r="M149" s="992">
        <f t="shared" ca="1" si="77"/>
        <v>17380</v>
      </c>
      <c r="N149" s="992">
        <f t="shared" ca="1" si="77"/>
        <v>3450</v>
      </c>
      <c r="O149" s="992">
        <f t="shared" ref="O149:O157" ca="1" si="78">IF(L149&gt;0,N149*100/L149,0)</f>
        <v>34.5</v>
      </c>
      <c r="P149" s="992">
        <f t="shared" ref="P149:P157" ca="1" si="79">IF(M149&gt;0,N149*100/M149,0)</f>
        <v>19.850402761795166</v>
      </c>
      <c r="Q149" s="868"/>
      <c r="R149" s="868"/>
      <c r="S149" s="868"/>
      <c r="T149" s="868"/>
      <c r="U149" s="868"/>
      <c r="V149" s="868"/>
      <c r="W149" s="868"/>
      <c r="X149" s="868"/>
      <c r="Y149" s="868"/>
      <c r="Z149" s="868"/>
    </row>
    <row r="150" spans="1:26" ht="18.75" hidden="1">
      <c r="A150" s="993"/>
      <c r="B150" s="883"/>
      <c r="C150" s="883"/>
      <c r="D150" s="883"/>
      <c r="E150" s="884" t="s">
        <v>18</v>
      </c>
      <c r="F150" s="883"/>
      <c r="G150" s="994"/>
      <c r="H150" s="158" t="s">
        <v>12</v>
      </c>
      <c r="I150" s="886"/>
      <c r="J150" s="886"/>
      <c r="K150" s="887"/>
      <c r="L150" s="887">
        <f t="shared" ref="L150:N151" si="80">L153+L156</f>
        <v>0</v>
      </c>
      <c r="M150" s="887">
        <f t="shared" si="80"/>
        <v>0</v>
      </c>
      <c r="N150" s="887">
        <f t="shared" si="80"/>
        <v>0</v>
      </c>
      <c r="O150" s="887">
        <f t="shared" si="78"/>
        <v>0</v>
      </c>
      <c r="P150" s="887">
        <f t="shared" si="79"/>
        <v>0</v>
      </c>
      <c r="Q150" s="875"/>
      <c r="R150" s="875"/>
      <c r="S150" s="875"/>
      <c r="T150" s="875"/>
      <c r="U150" s="875"/>
      <c r="V150" s="875"/>
      <c r="W150" s="875"/>
      <c r="X150" s="875"/>
      <c r="Y150" s="875"/>
      <c r="Z150" s="875"/>
    </row>
    <row r="151" spans="1:26" ht="18.75" hidden="1">
      <c r="A151" s="993"/>
      <c r="B151" s="883"/>
      <c r="C151" s="883"/>
      <c r="D151" s="883"/>
      <c r="E151" s="884" t="s">
        <v>19</v>
      </c>
      <c r="F151" s="883"/>
      <c r="G151" s="994"/>
      <c r="H151" s="158" t="s">
        <v>12</v>
      </c>
      <c r="I151" s="886"/>
      <c r="J151" s="886"/>
      <c r="K151" s="887"/>
      <c r="L151" s="887">
        <f t="shared" ca="1" si="80"/>
        <v>10000</v>
      </c>
      <c r="M151" s="887">
        <f t="shared" ca="1" si="80"/>
        <v>17380</v>
      </c>
      <c r="N151" s="887">
        <f t="shared" ca="1" si="80"/>
        <v>3450</v>
      </c>
      <c r="O151" s="887">
        <f t="shared" ca="1" si="78"/>
        <v>34.5</v>
      </c>
      <c r="P151" s="887">
        <f t="shared" ca="1" si="79"/>
        <v>19.850402761795166</v>
      </c>
      <c r="Q151" s="875"/>
      <c r="R151" s="875"/>
      <c r="S151" s="875"/>
      <c r="T151" s="875"/>
      <c r="U151" s="875"/>
      <c r="V151" s="875"/>
      <c r="W151" s="875"/>
      <c r="X151" s="875"/>
      <c r="Y151" s="875"/>
      <c r="Z151" s="875"/>
    </row>
    <row r="152" spans="1:26" ht="18.75">
      <c r="A152" s="995"/>
      <c r="B152" s="877"/>
      <c r="C152" s="996"/>
      <c r="D152" s="878" t="s">
        <v>20</v>
      </c>
      <c r="E152" s="877"/>
      <c r="F152" s="877"/>
      <c r="G152" s="879"/>
      <c r="H152" s="161" t="s">
        <v>12</v>
      </c>
      <c r="I152" s="997"/>
      <c r="J152" s="997"/>
      <c r="K152" s="998"/>
      <c r="L152" s="881">
        <f t="shared" ref="L152:N152" ca="1" si="81">L153+L154</f>
        <v>10000</v>
      </c>
      <c r="M152" s="881">
        <f t="shared" ca="1" si="81"/>
        <v>17380</v>
      </c>
      <c r="N152" s="881">
        <f t="shared" ca="1" si="81"/>
        <v>3450</v>
      </c>
      <c r="O152" s="881">
        <f t="shared" ca="1" si="78"/>
        <v>34.5</v>
      </c>
      <c r="P152" s="881">
        <f t="shared" ca="1" si="79"/>
        <v>19.850402761795166</v>
      </c>
      <c r="Q152" s="868"/>
      <c r="R152" s="868"/>
      <c r="S152" s="868"/>
      <c r="T152" s="868"/>
      <c r="U152" s="868"/>
      <c r="V152" s="868"/>
      <c r="W152" s="868"/>
      <c r="X152" s="868"/>
      <c r="Y152" s="868"/>
      <c r="Z152" s="868"/>
    </row>
    <row r="153" spans="1:26" ht="19.5" hidden="1">
      <c r="A153" s="993"/>
      <c r="B153" s="883"/>
      <c r="C153" s="999"/>
      <c r="D153" s="883"/>
      <c r="E153" s="884" t="s">
        <v>36</v>
      </c>
      <c r="F153" s="883"/>
      <c r="G153" s="994"/>
      <c r="H153" s="165" t="s">
        <v>12</v>
      </c>
      <c r="I153" s="1000"/>
      <c r="J153" s="1000"/>
      <c r="K153" s="1001"/>
      <c r="L153" s="887">
        <v>0</v>
      </c>
      <c r="M153" s="887">
        <v>0</v>
      </c>
      <c r="N153" s="887">
        <v>0</v>
      </c>
      <c r="O153" s="887">
        <f t="shared" si="78"/>
        <v>0</v>
      </c>
      <c r="P153" s="887">
        <f t="shared" si="79"/>
        <v>0</v>
      </c>
      <c r="Q153" s="875"/>
      <c r="R153" s="875"/>
      <c r="S153" s="875"/>
      <c r="T153" s="875"/>
      <c r="U153" s="875"/>
      <c r="V153" s="875"/>
      <c r="W153" s="875"/>
      <c r="X153" s="875"/>
      <c r="Y153" s="875"/>
      <c r="Z153" s="875"/>
    </row>
    <row r="154" spans="1:26" ht="19.5" hidden="1">
      <c r="A154" s="993"/>
      <c r="B154" s="883"/>
      <c r="C154" s="999"/>
      <c r="D154" s="883"/>
      <c r="E154" s="884" t="s">
        <v>37</v>
      </c>
      <c r="F154" s="883"/>
      <c r="G154" s="994"/>
      <c r="H154" s="165" t="s">
        <v>12</v>
      </c>
      <c r="I154" s="1000"/>
      <c r="J154" s="1000"/>
      <c r="K154" s="1001"/>
      <c r="L154" s="887">
        <f ca="1">IFERROR(__xludf.DUMMYFUNCTION("IMPORTRANGE(""https://docs.google.com/spreadsheets/d/1MeEWN-I1oV_STSDYn1IFDPWt_1FKiwhDph83XaGc0o0/edit?usp=sharing"",""งบพรบ!BU76"")"),10000)</f>
        <v>10000</v>
      </c>
      <c r="M154" s="887">
        <f ca="1">IFERROR(__xludf.DUMMYFUNCTION("IMPORTRANGE(""https://docs.google.com/spreadsheets/d/1MeEWN-I1oV_STSDYn1IFDPWt_1FKiwhDph83XaGc0o0/edit?usp=sharing"",""งบพรบ!BZ76"")"),17380)</f>
        <v>17380</v>
      </c>
      <c r="N154" s="887">
        <f ca="1">IFERROR(__xludf.DUMMYFUNCTION("IMPORTRANGE(""https://docs.google.com/spreadsheets/d/1MeEWN-I1oV_STSDYn1IFDPWt_1FKiwhDph83XaGc0o0/edit?usp=sharing"",""งบพรบ!CB76"")"),3450)</f>
        <v>3450</v>
      </c>
      <c r="O154" s="887">
        <f t="shared" ca="1" si="78"/>
        <v>34.5</v>
      </c>
      <c r="P154" s="887">
        <f t="shared" ca="1" si="79"/>
        <v>19.850402761795166</v>
      </c>
      <c r="Q154" s="875"/>
      <c r="R154" s="875"/>
      <c r="S154" s="875"/>
      <c r="T154" s="875"/>
      <c r="U154" s="875"/>
      <c r="V154" s="875"/>
      <c r="W154" s="875"/>
      <c r="X154" s="875"/>
      <c r="Y154" s="875"/>
      <c r="Z154" s="875"/>
    </row>
    <row r="155" spans="1:26" ht="18.75">
      <c r="A155" s="995"/>
      <c r="B155" s="877"/>
      <c r="C155" s="996"/>
      <c r="D155" s="878" t="s">
        <v>21</v>
      </c>
      <c r="E155" s="877"/>
      <c r="F155" s="877"/>
      <c r="G155" s="879"/>
      <c r="H155" s="168" t="s">
        <v>12</v>
      </c>
      <c r="I155" s="997"/>
      <c r="J155" s="997"/>
      <c r="K155" s="998"/>
      <c r="L155" s="881">
        <f t="shared" ref="L155:N155" ca="1" si="82">L156+L157</f>
        <v>0</v>
      </c>
      <c r="M155" s="881">
        <f t="shared" ca="1" si="82"/>
        <v>0</v>
      </c>
      <c r="N155" s="881">
        <f t="shared" ca="1" si="82"/>
        <v>0</v>
      </c>
      <c r="O155" s="881">
        <f t="shared" ca="1" si="78"/>
        <v>0</v>
      </c>
      <c r="P155" s="881">
        <f t="shared" ca="1" si="79"/>
        <v>0</v>
      </c>
      <c r="Q155" s="868"/>
      <c r="R155" s="868"/>
      <c r="S155" s="868"/>
      <c r="T155" s="868"/>
      <c r="U155" s="868"/>
      <c r="V155" s="868"/>
      <c r="W155" s="868"/>
      <c r="X155" s="868"/>
      <c r="Y155" s="868"/>
      <c r="Z155" s="868"/>
    </row>
    <row r="156" spans="1:26" ht="19.5" hidden="1">
      <c r="A156" s="993"/>
      <c r="B156" s="883"/>
      <c r="C156" s="999"/>
      <c r="D156" s="883"/>
      <c r="E156" s="884" t="s">
        <v>18</v>
      </c>
      <c r="F156" s="883"/>
      <c r="G156" s="994"/>
      <c r="H156" s="165" t="s">
        <v>12</v>
      </c>
      <c r="I156" s="1000"/>
      <c r="J156" s="1000"/>
      <c r="K156" s="1001"/>
      <c r="L156" s="887">
        <v>0</v>
      </c>
      <c r="M156" s="887">
        <v>0</v>
      </c>
      <c r="N156" s="887">
        <v>0</v>
      </c>
      <c r="O156" s="887">
        <f t="shared" si="78"/>
        <v>0</v>
      </c>
      <c r="P156" s="887">
        <f t="shared" si="79"/>
        <v>0</v>
      </c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</row>
    <row r="157" spans="1:26" ht="19.5" hidden="1">
      <c r="A157" s="993"/>
      <c r="B157" s="883"/>
      <c r="C157" s="999"/>
      <c r="D157" s="883"/>
      <c r="E157" s="884" t="s">
        <v>19</v>
      </c>
      <c r="F157" s="883"/>
      <c r="G157" s="994"/>
      <c r="H157" s="169" t="s">
        <v>12</v>
      </c>
      <c r="I157" s="1000"/>
      <c r="J157" s="1000"/>
      <c r="K157" s="1001"/>
      <c r="L157" s="887">
        <f ca="1">IFERROR(__xludf.DUMMYFUNCTION("IMPORTRANGE(""https://docs.google.com/spreadsheets/d/1MeEWN-I1oV_STSDYn1IFDPWt_1FKiwhDph83XaGc0o0/edit?usp=sharing"",""งบพรบ!BX76"")"),0)</f>
        <v>0</v>
      </c>
      <c r="M157" s="887">
        <f ca="1">IFERROR(__xludf.DUMMYFUNCTION("IMPORTRANGE(""https://docs.google.com/spreadsheets/d/1MeEWN-I1oV_STSDYn1IFDPWt_1FKiwhDph83XaGc0o0/edit?usp=sharing"",""งบพรบ!CA76"")"),0)</f>
        <v>0</v>
      </c>
      <c r="N157" s="887">
        <f ca="1">IFERROR(__xludf.DUMMYFUNCTION("IMPORTRANGE(""https://docs.google.com/spreadsheets/d/1MeEWN-I1oV_STSDYn1IFDPWt_1FKiwhDph83XaGc0o0/edit?usp=sharing"",""งบพรบ!CC76"")"),0)</f>
        <v>0</v>
      </c>
      <c r="O157" s="887">
        <f t="shared" ca="1" si="78"/>
        <v>0</v>
      </c>
      <c r="P157" s="887">
        <f t="shared" ca="1" si="79"/>
        <v>0</v>
      </c>
      <c r="Q157" s="875"/>
      <c r="R157" s="875"/>
      <c r="S157" s="875"/>
      <c r="T157" s="875"/>
      <c r="U157" s="875"/>
      <c r="V157" s="875"/>
      <c r="W157" s="875"/>
      <c r="X157" s="875"/>
      <c r="Y157" s="875"/>
      <c r="Z157" s="875"/>
    </row>
    <row r="158" spans="1:26" ht="19.5">
      <c r="A158" s="1002"/>
      <c r="B158" s="1003"/>
      <c r="C158" s="999" t="s">
        <v>16</v>
      </c>
      <c r="D158" s="1004" t="s">
        <v>38</v>
      </c>
      <c r="E158" s="1005"/>
      <c r="F158" s="1005"/>
      <c r="G158" s="1006"/>
      <c r="H158" s="168"/>
      <c r="I158" s="880"/>
      <c r="J158" s="880"/>
      <c r="K158" s="881"/>
      <c r="L158" s="881"/>
      <c r="M158" s="881"/>
      <c r="N158" s="881"/>
      <c r="O158" s="881"/>
      <c r="P158" s="881"/>
    </row>
    <row r="159" spans="1:26" ht="19.5">
      <c r="A159" s="995"/>
      <c r="B159" s="877"/>
      <c r="C159" s="1029"/>
      <c r="D159" s="996" t="s">
        <v>78</v>
      </c>
      <c r="E159" s="878"/>
      <c r="F159" s="877"/>
      <c r="G159" s="1030"/>
      <c r="H159" s="168" t="s">
        <v>35</v>
      </c>
      <c r="I159" s="880">
        <f ca="1">IFERROR(__xludf.DUMMYFUNCTION("IMPORTRANGE(""https://docs.google.com/spreadsheets/d/1QqKyyYR6Q21VydFLVH3TRQUabQu_ym0Zz7PgGX0-kHA/edit?usp=sharing"",""แผน!X76"")"),20)</f>
        <v>20</v>
      </c>
      <c r="J159" s="1012">
        <v>0</v>
      </c>
      <c r="K159" s="881">
        <f ca="1">IF(I159&gt;0,J159*100/I159,0)</f>
        <v>0</v>
      </c>
      <c r="L159" s="881"/>
      <c r="M159" s="881"/>
      <c r="N159" s="881"/>
      <c r="O159" s="881"/>
      <c r="P159" s="881"/>
    </row>
    <row r="160" spans="1:26" ht="19.5" hidden="1">
      <c r="A160" s="993"/>
      <c r="B160" s="883"/>
      <c r="C160" s="999"/>
      <c r="D160" s="884" t="s">
        <v>79</v>
      </c>
      <c r="E160" s="1035"/>
      <c r="F160" s="883"/>
      <c r="G160" s="994"/>
      <c r="H160" s="169" t="s">
        <v>35</v>
      </c>
      <c r="I160" s="886"/>
      <c r="J160" s="886"/>
      <c r="K160" s="887"/>
      <c r="L160" s="887"/>
      <c r="M160" s="887"/>
      <c r="N160" s="887"/>
      <c r="O160" s="887"/>
      <c r="P160" s="88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232" t="s">
        <v>35</v>
      </c>
      <c r="I161" s="1042"/>
      <c r="J161" s="1042"/>
      <c r="K161" s="1043"/>
      <c r="L161" s="1043"/>
      <c r="M161" s="1043"/>
      <c r="N161" s="1043"/>
      <c r="O161" s="1043"/>
      <c r="P161" s="104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44" t="s">
        <v>81</v>
      </c>
      <c r="B162" s="1045"/>
      <c r="C162" s="1045"/>
      <c r="D162" s="1045"/>
      <c r="E162" s="1046"/>
      <c r="F162" s="1046"/>
      <c r="G162" s="1047"/>
      <c r="H162" s="1048"/>
      <c r="I162" s="1049"/>
      <c r="J162" s="1049"/>
      <c r="K162" s="1050"/>
      <c r="L162" s="1050"/>
      <c r="M162" s="1050"/>
      <c r="N162" s="1050"/>
      <c r="O162" s="1050"/>
      <c r="P162" s="1050"/>
    </row>
    <row r="163" spans="1:26" ht="19.5">
      <c r="A163" s="1051" t="s">
        <v>82</v>
      </c>
      <c r="B163" s="1052"/>
      <c r="C163" s="1052"/>
      <c r="D163" s="1053"/>
      <c r="E163" s="1053"/>
      <c r="F163" s="1053"/>
      <c r="G163" s="1054"/>
      <c r="H163" s="1055"/>
      <c r="I163" s="1056"/>
      <c r="J163" s="1056"/>
      <c r="K163" s="1057"/>
      <c r="L163" s="1057"/>
      <c r="M163" s="1057"/>
      <c r="N163" s="1057"/>
      <c r="O163" s="1057"/>
      <c r="P163" s="1057"/>
    </row>
    <row r="164" spans="1:26" ht="19.5" hidden="1">
      <c r="A164" s="1058"/>
      <c r="B164" s="1059" t="s">
        <v>83</v>
      </c>
      <c r="C164" s="1060"/>
      <c r="D164" s="1005"/>
      <c r="E164" s="1005"/>
      <c r="F164" s="1005"/>
      <c r="G164" s="1006"/>
      <c r="H164" s="252" t="s">
        <v>35</v>
      </c>
      <c r="I164" s="1061">
        <f t="shared" ref="I164:J164" ca="1" si="83">I174+I177</f>
        <v>0</v>
      </c>
      <c r="J164" s="1061">
        <f t="shared" si="83"/>
        <v>0</v>
      </c>
      <c r="K164" s="1062">
        <f ca="1">IF(I164&gt;0,J164*100/I164,0)</f>
        <v>0</v>
      </c>
      <c r="L164" s="1062"/>
      <c r="M164" s="1062"/>
      <c r="N164" s="1062"/>
      <c r="O164" s="1062"/>
      <c r="P164" s="1062"/>
    </row>
    <row r="165" spans="1:26" ht="19.5" hidden="1">
      <c r="A165" s="985"/>
      <c r="B165" s="986"/>
      <c r="C165" s="987" t="s">
        <v>16</v>
      </c>
      <c r="D165" s="988" t="s">
        <v>17</v>
      </c>
      <c r="E165" s="986"/>
      <c r="F165" s="986"/>
      <c r="G165" s="989"/>
      <c r="H165" s="152" t="s">
        <v>12</v>
      </c>
      <c r="I165" s="990"/>
      <c r="J165" s="990"/>
      <c r="K165" s="991"/>
      <c r="L165" s="991">
        <f t="shared" ref="L165:N165" ca="1" si="84">L166+L167</f>
        <v>0</v>
      </c>
      <c r="M165" s="991">
        <f t="shared" ca="1" si="84"/>
        <v>0</v>
      </c>
      <c r="N165" s="991">
        <f t="shared" ca="1" si="84"/>
        <v>0</v>
      </c>
      <c r="O165" s="991">
        <f t="shared" ref="O165:O173" ca="1" si="85">IF(L165&gt;0,N165*100/L165,0)</f>
        <v>0</v>
      </c>
      <c r="P165" s="991">
        <f t="shared" ref="P165:P173" ca="1" si="86">IF(M165&gt;0,N165*100/M165,0)</f>
        <v>0</v>
      </c>
      <c r="Q165" s="868"/>
      <c r="R165" s="868"/>
      <c r="S165" s="868"/>
      <c r="T165" s="868"/>
      <c r="U165" s="868"/>
      <c r="V165" s="868"/>
      <c r="W165" s="868"/>
      <c r="X165" s="868"/>
      <c r="Y165" s="868"/>
      <c r="Z165" s="868"/>
    </row>
    <row r="166" spans="1:26" ht="18.75" hidden="1">
      <c r="A166" s="993"/>
      <c r="B166" s="883"/>
      <c r="C166" s="883"/>
      <c r="D166" s="883"/>
      <c r="E166" s="884" t="s">
        <v>18</v>
      </c>
      <c r="F166" s="883"/>
      <c r="G166" s="994"/>
      <c r="H166" s="158" t="s">
        <v>12</v>
      </c>
      <c r="I166" s="886"/>
      <c r="J166" s="886"/>
      <c r="K166" s="887"/>
      <c r="L166" s="887">
        <f t="shared" ref="L166:N167" si="87">L169+L172</f>
        <v>0</v>
      </c>
      <c r="M166" s="887">
        <f t="shared" si="87"/>
        <v>0</v>
      </c>
      <c r="N166" s="887">
        <f t="shared" si="87"/>
        <v>0</v>
      </c>
      <c r="O166" s="887">
        <f t="shared" si="85"/>
        <v>0</v>
      </c>
      <c r="P166" s="887">
        <f t="shared" si="86"/>
        <v>0</v>
      </c>
      <c r="Q166" s="875"/>
      <c r="R166" s="875"/>
      <c r="S166" s="875"/>
      <c r="T166" s="875"/>
      <c r="U166" s="875"/>
      <c r="V166" s="875"/>
      <c r="W166" s="875"/>
      <c r="X166" s="875"/>
      <c r="Y166" s="875"/>
      <c r="Z166" s="875"/>
    </row>
    <row r="167" spans="1:26" ht="18.75" hidden="1">
      <c r="A167" s="993"/>
      <c r="B167" s="883"/>
      <c r="C167" s="883"/>
      <c r="D167" s="883"/>
      <c r="E167" s="884" t="s">
        <v>19</v>
      </c>
      <c r="F167" s="883"/>
      <c r="G167" s="994"/>
      <c r="H167" s="158" t="s">
        <v>12</v>
      </c>
      <c r="I167" s="886"/>
      <c r="J167" s="886"/>
      <c r="K167" s="887"/>
      <c r="L167" s="887">
        <f t="shared" ca="1" si="87"/>
        <v>0</v>
      </c>
      <c r="M167" s="887">
        <f t="shared" ca="1" si="87"/>
        <v>0</v>
      </c>
      <c r="N167" s="887">
        <f t="shared" ca="1" si="87"/>
        <v>0</v>
      </c>
      <c r="O167" s="887">
        <f t="shared" ca="1" si="85"/>
        <v>0</v>
      </c>
      <c r="P167" s="887">
        <f t="shared" ca="1" si="86"/>
        <v>0</v>
      </c>
      <c r="Q167" s="875"/>
      <c r="R167" s="875"/>
      <c r="S167" s="875"/>
      <c r="T167" s="875"/>
      <c r="U167" s="875"/>
      <c r="V167" s="875"/>
      <c r="W167" s="875"/>
      <c r="X167" s="875"/>
      <c r="Y167" s="875"/>
      <c r="Z167" s="875"/>
    </row>
    <row r="168" spans="1:26" ht="18.75" hidden="1">
      <c r="A168" s="995"/>
      <c r="B168" s="877"/>
      <c r="C168" s="996"/>
      <c r="D168" s="878" t="s">
        <v>20</v>
      </c>
      <c r="E168" s="877"/>
      <c r="F168" s="877"/>
      <c r="G168" s="879"/>
      <c r="H168" s="161" t="s">
        <v>12</v>
      </c>
      <c r="I168" s="997"/>
      <c r="J168" s="997"/>
      <c r="K168" s="998"/>
      <c r="L168" s="881">
        <f t="shared" ref="L168:N168" ca="1" si="88">L169+L170</f>
        <v>0</v>
      </c>
      <c r="M168" s="881">
        <f t="shared" ca="1" si="88"/>
        <v>0</v>
      </c>
      <c r="N168" s="881">
        <f t="shared" ca="1" si="88"/>
        <v>0</v>
      </c>
      <c r="O168" s="881">
        <f t="shared" ca="1" si="85"/>
        <v>0</v>
      </c>
      <c r="P168" s="881">
        <f t="shared" ca="1" si="86"/>
        <v>0</v>
      </c>
      <c r="Q168" s="868"/>
      <c r="R168" s="868"/>
      <c r="S168" s="868"/>
      <c r="T168" s="868"/>
      <c r="U168" s="868"/>
      <c r="V168" s="868"/>
      <c r="W168" s="868"/>
      <c r="X168" s="868"/>
      <c r="Y168" s="868"/>
      <c r="Z168" s="868"/>
    </row>
    <row r="169" spans="1:26" ht="19.5" hidden="1">
      <c r="A169" s="993"/>
      <c r="B169" s="883"/>
      <c r="C169" s="999"/>
      <c r="D169" s="883"/>
      <c r="E169" s="884" t="s">
        <v>36</v>
      </c>
      <c r="F169" s="883"/>
      <c r="G169" s="994"/>
      <c r="H169" s="165" t="s">
        <v>12</v>
      </c>
      <c r="I169" s="1000"/>
      <c r="J169" s="1000"/>
      <c r="K169" s="1001"/>
      <c r="L169" s="887">
        <v>0</v>
      </c>
      <c r="M169" s="887">
        <v>0</v>
      </c>
      <c r="N169" s="887">
        <v>0</v>
      </c>
      <c r="O169" s="887">
        <f t="shared" si="85"/>
        <v>0</v>
      </c>
      <c r="P169" s="887">
        <f t="shared" si="86"/>
        <v>0</v>
      </c>
      <c r="Q169" s="875"/>
      <c r="R169" s="875"/>
      <c r="S169" s="875"/>
      <c r="T169" s="875"/>
      <c r="U169" s="875"/>
      <c r="V169" s="875"/>
      <c r="W169" s="875"/>
      <c r="X169" s="875"/>
      <c r="Y169" s="875"/>
      <c r="Z169" s="875"/>
    </row>
    <row r="170" spans="1:26" ht="19.5" hidden="1">
      <c r="A170" s="993"/>
      <c r="B170" s="883"/>
      <c r="C170" s="999"/>
      <c r="D170" s="883"/>
      <c r="E170" s="884" t="s">
        <v>37</v>
      </c>
      <c r="F170" s="883"/>
      <c r="G170" s="994"/>
      <c r="H170" s="165" t="s">
        <v>12</v>
      </c>
      <c r="I170" s="1000"/>
      <c r="J170" s="1000"/>
      <c r="K170" s="1001"/>
      <c r="L170" s="887">
        <f ca="1">IFERROR(__xludf.DUMMYFUNCTION("IMPORTRANGE(""https://docs.google.com/spreadsheets/d/1MeEWN-I1oV_STSDYn1IFDPWt_1FKiwhDph83XaGc0o0/edit?usp=sharing"",""งบพรบ!CE76"")"),0)</f>
        <v>0</v>
      </c>
      <c r="M170" s="887">
        <f ca="1">IFERROR(__xludf.DUMMYFUNCTION("IMPORTRANGE(""https://docs.google.com/spreadsheets/d/1MeEWN-I1oV_STSDYn1IFDPWt_1FKiwhDph83XaGc0o0/edit?usp=sharing"",""งบพรบ!CJ76"")"),0)</f>
        <v>0</v>
      </c>
      <c r="N170" s="887">
        <f ca="1">IFERROR(__xludf.DUMMYFUNCTION("IMPORTRANGE(""https://docs.google.com/spreadsheets/d/1MeEWN-I1oV_STSDYn1IFDPWt_1FKiwhDph83XaGc0o0/edit?usp=sharing"",""งบพรบ!CL76"")"),0)</f>
        <v>0</v>
      </c>
      <c r="O170" s="887">
        <f t="shared" ca="1" si="85"/>
        <v>0</v>
      </c>
      <c r="P170" s="887">
        <f t="shared" ca="1" si="86"/>
        <v>0</v>
      </c>
      <c r="Q170" s="875"/>
      <c r="R170" s="875"/>
      <c r="S170" s="875"/>
      <c r="T170" s="875"/>
      <c r="U170" s="875"/>
      <c r="V170" s="875"/>
      <c r="W170" s="875"/>
      <c r="X170" s="875"/>
      <c r="Y170" s="875"/>
      <c r="Z170" s="875"/>
    </row>
    <row r="171" spans="1:26" ht="18.75" hidden="1">
      <c r="A171" s="995"/>
      <c r="B171" s="877"/>
      <c r="C171" s="996"/>
      <c r="D171" s="878" t="s">
        <v>21</v>
      </c>
      <c r="E171" s="877"/>
      <c r="F171" s="877"/>
      <c r="G171" s="879"/>
      <c r="H171" s="168" t="s">
        <v>12</v>
      </c>
      <c r="I171" s="997"/>
      <c r="J171" s="997"/>
      <c r="K171" s="998"/>
      <c r="L171" s="881">
        <f t="shared" ref="L171:N171" ca="1" si="89">L172+L173</f>
        <v>0</v>
      </c>
      <c r="M171" s="881">
        <f t="shared" ca="1" si="89"/>
        <v>0</v>
      </c>
      <c r="N171" s="881">
        <f t="shared" ca="1" si="89"/>
        <v>0</v>
      </c>
      <c r="O171" s="881">
        <f t="shared" ca="1" si="85"/>
        <v>0</v>
      </c>
      <c r="P171" s="881">
        <f t="shared" ca="1" si="86"/>
        <v>0</v>
      </c>
      <c r="Q171" s="868"/>
      <c r="R171" s="868"/>
      <c r="S171" s="868"/>
      <c r="T171" s="868"/>
      <c r="U171" s="868"/>
      <c r="V171" s="868"/>
      <c r="W171" s="868"/>
      <c r="X171" s="868"/>
      <c r="Y171" s="868"/>
      <c r="Z171" s="868"/>
    </row>
    <row r="172" spans="1:26" ht="19.5" hidden="1">
      <c r="A172" s="993"/>
      <c r="B172" s="883"/>
      <c r="C172" s="999"/>
      <c r="D172" s="883"/>
      <c r="E172" s="884" t="s">
        <v>18</v>
      </c>
      <c r="F172" s="883"/>
      <c r="G172" s="994"/>
      <c r="H172" s="165" t="s">
        <v>12</v>
      </c>
      <c r="I172" s="1000"/>
      <c r="J172" s="1000"/>
      <c r="K172" s="1001"/>
      <c r="L172" s="887">
        <v>0</v>
      </c>
      <c r="M172" s="887">
        <v>0</v>
      </c>
      <c r="N172" s="887">
        <v>0</v>
      </c>
      <c r="O172" s="887">
        <f t="shared" si="85"/>
        <v>0</v>
      </c>
      <c r="P172" s="887">
        <f t="shared" si="86"/>
        <v>0</v>
      </c>
      <c r="Q172" s="875"/>
      <c r="R172" s="875"/>
      <c r="S172" s="875"/>
      <c r="T172" s="875"/>
      <c r="U172" s="875"/>
      <c r="V172" s="875"/>
      <c r="W172" s="875"/>
      <c r="X172" s="875"/>
      <c r="Y172" s="875"/>
      <c r="Z172" s="875"/>
    </row>
    <row r="173" spans="1:26" ht="19.5" hidden="1">
      <c r="A173" s="993"/>
      <c r="B173" s="883"/>
      <c r="C173" s="999"/>
      <c r="D173" s="883"/>
      <c r="E173" s="884" t="s">
        <v>19</v>
      </c>
      <c r="F173" s="883"/>
      <c r="G173" s="994"/>
      <c r="H173" s="169" t="s">
        <v>12</v>
      </c>
      <c r="I173" s="1000"/>
      <c r="J173" s="1000"/>
      <c r="K173" s="1001"/>
      <c r="L173" s="887">
        <f ca="1">IFERROR(__xludf.DUMMYFUNCTION("IMPORTRANGE(""https://docs.google.com/spreadsheets/d/1MeEWN-I1oV_STSDYn1IFDPWt_1FKiwhDph83XaGc0o0/edit?usp=sharing"",""งบพรบ!CH76"")"),0)</f>
        <v>0</v>
      </c>
      <c r="M173" s="887">
        <f ca="1">IFERROR(__xludf.DUMMYFUNCTION("IMPORTRANGE(""https://docs.google.com/spreadsheets/d/1MeEWN-I1oV_STSDYn1IFDPWt_1FKiwhDph83XaGc0o0/edit?usp=sharing"",""งบพรบ!CK76"")"),0)</f>
        <v>0</v>
      </c>
      <c r="N173" s="887">
        <f ca="1">IFERROR(__xludf.DUMMYFUNCTION("IMPORTRANGE(""https://docs.google.com/spreadsheets/d/1MeEWN-I1oV_STSDYn1IFDPWt_1FKiwhDph83XaGc0o0/edit?usp=sharing"",""งบพรบ!CM76"")"),0)</f>
        <v>0</v>
      </c>
      <c r="O173" s="887">
        <f t="shared" ca="1" si="85"/>
        <v>0</v>
      </c>
      <c r="P173" s="887">
        <f t="shared" ca="1" si="86"/>
        <v>0</v>
      </c>
      <c r="Q173" s="875"/>
      <c r="R173" s="875"/>
      <c r="S173" s="875"/>
      <c r="T173" s="875"/>
      <c r="U173" s="875"/>
      <c r="V173" s="875"/>
      <c r="W173" s="875"/>
      <c r="X173" s="875"/>
      <c r="Y173" s="875"/>
      <c r="Z173" s="875"/>
    </row>
    <row r="174" spans="1:26" ht="19.5" hidden="1">
      <c r="A174" s="1063"/>
      <c r="B174" s="1064"/>
      <c r="C174" s="1065" t="s">
        <v>84</v>
      </c>
      <c r="D174" s="1064"/>
      <c r="E174" s="1064"/>
      <c r="F174" s="1064"/>
      <c r="G174" s="1066"/>
      <c r="H174" s="260" t="s">
        <v>35</v>
      </c>
      <c r="I174" s="1067">
        <f t="shared" ref="I174:J174" ca="1" si="90">I176</f>
        <v>0</v>
      </c>
      <c r="J174" s="1067">
        <f t="shared" si="90"/>
        <v>0</v>
      </c>
      <c r="K174" s="1068">
        <f ca="1">IF(I174&gt;0,J174*100/I174,0)</f>
        <v>0</v>
      </c>
      <c r="L174" s="1068"/>
      <c r="M174" s="1068"/>
      <c r="N174" s="1068"/>
      <c r="O174" s="1068"/>
      <c r="P174" s="1068"/>
    </row>
    <row r="175" spans="1:26" ht="19.5" hidden="1">
      <c r="A175" s="1002"/>
      <c r="B175" s="1003"/>
      <c r="C175" s="999" t="s">
        <v>16</v>
      </c>
      <c r="D175" s="1004" t="s">
        <v>38</v>
      </c>
      <c r="E175" s="1005"/>
      <c r="F175" s="1005"/>
      <c r="G175" s="1006"/>
      <c r="H175" s="1007"/>
      <c r="I175" s="997"/>
      <c r="J175" s="997"/>
      <c r="K175" s="998"/>
      <c r="L175" s="998"/>
      <c r="M175" s="998"/>
      <c r="N175" s="998"/>
      <c r="O175" s="998"/>
      <c r="P175" s="998"/>
    </row>
    <row r="176" spans="1:26" ht="18.75" hidden="1">
      <c r="A176" s="1002"/>
      <c r="B176" s="1003"/>
      <c r="C176" s="1003"/>
      <c r="D176" s="1069" t="s">
        <v>85</v>
      </c>
      <c r="E176" s="1010"/>
      <c r="F176" s="1010"/>
      <c r="G176" s="1011"/>
      <c r="H176" s="622" t="s">
        <v>35</v>
      </c>
      <c r="I176" s="880">
        <f ca="1">IFERROR(__xludf.DUMMYFUNCTION("IMPORTRANGE(""https://docs.google.com/spreadsheets/d/1QqKyyYR6Q21VydFLVH3TRQUabQu_ym0Zz7PgGX0-kHA/edit?usp=sharing"",""แผน!Y76"")"),0)</f>
        <v>0</v>
      </c>
      <c r="J176" s="1012">
        <v>0</v>
      </c>
      <c r="K176" s="998">
        <f ca="1">IF(I176&gt;0,J176*100/I176,0)</f>
        <v>0</v>
      </c>
      <c r="L176" s="998"/>
      <c r="M176" s="998"/>
      <c r="N176" s="998"/>
      <c r="O176" s="998"/>
      <c r="P176" s="998"/>
    </row>
    <row r="177" spans="1:26" ht="19.5" hidden="1">
      <c r="A177" s="1063"/>
      <c r="B177" s="1070"/>
      <c r="C177" s="1071" t="s">
        <v>86</v>
      </c>
      <c r="D177" s="1070"/>
      <c r="E177" s="1064"/>
      <c r="F177" s="1064"/>
      <c r="G177" s="1066"/>
      <c r="H177" s="266" t="s">
        <v>35</v>
      </c>
      <c r="I177" s="1067"/>
      <c r="J177" s="1067">
        <f>J179</f>
        <v>0</v>
      </c>
      <c r="K177" s="1068"/>
      <c r="L177" s="1068"/>
      <c r="M177" s="1068"/>
      <c r="N177" s="1068"/>
      <c r="O177" s="1068"/>
      <c r="P177" s="1068"/>
    </row>
    <row r="178" spans="1:26" ht="19.5" hidden="1">
      <c r="A178" s="1002"/>
      <c r="B178" s="1003"/>
      <c r="C178" s="999" t="s">
        <v>16</v>
      </c>
      <c r="D178" s="1072" t="s">
        <v>38</v>
      </c>
      <c r="E178" s="1005"/>
      <c r="F178" s="1005"/>
      <c r="G178" s="1006"/>
      <c r="H178" s="1007"/>
      <c r="I178" s="997"/>
      <c r="J178" s="997"/>
      <c r="K178" s="998"/>
      <c r="L178" s="998"/>
      <c r="M178" s="998"/>
      <c r="N178" s="998"/>
      <c r="O178" s="998"/>
      <c r="P178" s="998"/>
    </row>
    <row r="179" spans="1:26" ht="18.75" hidden="1">
      <c r="A179" s="1002"/>
      <c r="B179" s="1003"/>
      <c r="C179" s="1003"/>
      <c r="D179" s="1073" t="s">
        <v>87</v>
      </c>
      <c r="E179" s="1010"/>
      <c r="F179" s="1074"/>
      <c r="G179" s="1011"/>
      <c r="H179" s="43" t="s">
        <v>35</v>
      </c>
      <c r="I179" s="880"/>
      <c r="J179" s="880"/>
      <c r="K179" s="998"/>
      <c r="L179" s="998"/>
      <c r="M179" s="998"/>
      <c r="N179" s="998"/>
      <c r="O179" s="998"/>
      <c r="P179" s="998"/>
    </row>
    <row r="180" spans="1:26" ht="19.5">
      <c r="A180" s="1058"/>
      <c r="B180" s="1059" t="s">
        <v>88</v>
      </c>
      <c r="C180" s="1060"/>
      <c r="D180" s="1005"/>
      <c r="E180" s="1005"/>
      <c r="F180" s="1005"/>
      <c r="G180" s="1006"/>
      <c r="H180" s="252" t="s">
        <v>35</v>
      </c>
      <c r="I180" s="1075" t="e">
        <f t="shared" ref="I180:J180" ca="1" si="91">I225+I226</f>
        <v>#VALUE!</v>
      </c>
      <c r="J180" s="1075">
        <f t="shared" si="91"/>
        <v>10</v>
      </c>
      <c r="K180" s="1076" t="e">
        <f ca="1">IF(I180&gt;0,J180*100/I180,0)</f>
        <v>#VALUE!</v>
      </c>
      <c r="L180" s="1062"/>
      <c r="M180" s="1062"/>
      <c r="N180" s="1062"/>
      <c r="O180" s="1062"/>
      <c r="P180" s="1062"/>
    </row>
    <row r="181" spans="1:26" ht="19.5">
      <c r="A181" s="985"/>
      <c r="B181" s="986"/>
      <c r="C181" s="987" t="s">
        <v>16</v>
      </c>
      <c r="D181" s="988" t="s">
        <v>17</v>
      </c>
      <c r="E181" s="986"/>
      <c r="F181" s="986"/>
      <c r="G181" s="989"/>
      <c r="H181" s="152" t="s">
        <v>12</v>
      </c>
      <c r="I181" s="990"/>
      <c r="J181" s="990"/>
      <c r="K181" s="991"/>
      <c r="L181" s="992">
        <f t="shared" ref="L181:N181" ca="1" si="92">L182+L183</f>
        <v>64000</v>
      </c>
      <c r="M181" s="992">
        <f t="shared" ca="1" si="92"/>
        <v>72370</v>
      </c>
      <c r="N181" s="992">
        <f t="shared" ca="1" si="92"/>
        <v>41720</v>
      </c>
      <c r="O181" s="992">
        <f t="shared" ref="O181:O189" ca="1" si="93">IF(L181&gt;0,N181*100/L181,0)</f>
        <v>65.1875</v>
      </c>
      <c r="P181" s="992">
        <f t="shared" ref="P181:P189" ca="1" si="94">IF(M181&gt;0,N181*100/M181,0)</f>
        <v>57.648196766616003</v>
      </c>
      <c r="Q181" s="868"/>
      <c r="R181" s="868"/>
      <c r="S181" s="868"/>
      <c r="T181" s="868"/>
      <c r="U181" s="868"/>
      <c r="V181" s="868"/>
      <c r="W181" s="868"/>
      <c r="X181" s="868"/>
      <c r="Y181" s="868"/>
      <c r="Z181" s="868"/>
    </row>
    <row r="182" spans="1:26" ht="18.75" hidden="1">
      <c r="A182" s="993"/>
      <c r="B182" s="883"/>
      <c r="C182" s="883"/>
      <c r="D182" s="883"/>
      <c r="E182" s="884" t="s">
        <v>18</v>
      </c>
      <c r="F182" s="883"/>
      <c r="G182" s="994"/>
      <c r="H182" s="158" t="s">
        <v>12</v>
      </c>
      <c r="I182" s="886"/>
      <c r="J182" s="886"/>
      <c r="K182" s="887"/>
      <c r="L182" s="887">
        <f t="shared" ref="L182:N183" si="95">L185+L188</f>
        <v>0</v>
      </c>
      <c r="M182" s="887">
        <f t="shared" si="95"/>
        <v>0</v>
      </c>
      <c r="N182" s="887">
        <f t="shared" si="95"/>
        <v>0</v>
      </c>
      <c r="O182" s="887">
        <f t="shared" si="93"/>
        <v>0</v>
      </c>
      <c r="P182" s="887">
        <f t="shared" si="94"/>
        <v>0</v>
      </c>
      <c r="Q182" s="875"/>
      <c r="R182" s="875"/>
      <c r="S182" s="875"/>
      <c r="T182" s="875"/>
      <c r="U182" s="875"/>
      <c r="V182" s="875"/>
      <c r="W182" s="875"/>
      <c r="X182" s="875"/>
      <c r="Y182" s="875"/>
      <c r="Z182" s="875"/>
    </row>
    <row r="183" spans="1:26" ht="18.75" hidden="1">
      <c r="A183" s="993"/>
      <c r="B183" s="883"/>
      <c r="C183" s="883"/>
      <c r="D183" s="883"/>
      <c r="E183" s="884" t="s">
        <v>19</v>
      </c>
      <c r="F183" s="883"/>
      <c r="G183" s="994"/>
      <c r="H183" s="158" t="s">
        <v>12</v>
      </c>
      <c r="I183" s="886"/>
      <c r="J183" s="886"/>
      <c r="K183" s="887"/>
      <c r="L183" s="887">
        <f t="shared" ca="1" si="95"/>
        <v>64000</v>
      </c>
      <c r="M183" s="887">
        <f t="shared" ca="1" si="95"/>
        <v>72370</v>
      </c>
      <c r="N183" s="887">
        <f t="shared" ca="1" si="95"/>
        <v>41720</v>
      </c>
      <c r="O183" s="887">
        <f t="shared" ca="1" si="93"/>
        <v>65.1875</v>
      </c>
      <c r="P183" s="887">
        <f t="shared" ca="1" si="94"/>
        <v>57.648196766616003</v>
      </c>
      <c r="Q183" s="875"/>
      <c r="R183" s="875"/>
      <c r="S183" s="875"/>
      <c r="T183" s="875"/>
      <c r="U183" s="875"/>
      <c r="V183" s="875"/>
      <c r="W183" s="875"/>
      <c r="X183" s="875"/>
      <c r="Y183" s="875"/>
      <c r="Z183" s="875"/>
    </row>
    <row r="184" spans="1:26" ht="18.75">
      <c r="A184" s="995"/>
      <c r="B184" s="877"/>
      <c r="C184" s="996"/>
      <c r="D184" s="878" t="s">
        <v>20</v>
      </c>
      <c r="E184" s="877"/>
      <c r="F184" s="877"/>
      <c r="G184" s="879"/>
      <c r="H184" s="161" t="s">
        <v>12</v>
      </c>
      <c r="I184" s="997"/>
      <c r="J184" s="997"/>
      <c r="K184" s="998"/>
      <c r="L184" s="881">
        <f t="shared" ref="L184:N184" ca="1" si="96">L185+L186</f>
        <v>64000</v>
      </c>
      <c r="M184" s="881">
        <f t="shared" ca="1" si="96"/>
        <v>72370</v>
      </c>
      <c r="N184" s="881">
        <f t="shared" ca="1" si="96"/>
        <v>41720</v>
      </c>
      <c r="O184" s="881">
        <f t="shared" ca="1" si="93"/>
        <v>65.1875</v>
      </c>
      <c r="P184" s="881">
        <f t="shared" ca="1" si="94"/>
        <v>57.648196766616003</v>
      </c>
      <c r="Q184" s="868"/>
      <c r="R184" s="868"/>
      <c r="S184" s="868"/>
      <c r="T184" s="868"/>
      <c r="U184" s="868"/>
      <c r="V184" s="868"/>
      <c r="W184" s="868"/>
      <c r="X184" s="868"/>
      <c r="Y184" s="868"/>
      <c r="Z184" s="868"/>
    </row>
    <row r="185" spans="1:26" ht="19.5" hidden="1">
      <c r="A185" s="993"/>
      <c r="B185" s="883"/>
      <c r="C185" s="999"/>
      <c r="D185" s="883"/>
      <c r="E185" s="884" t="s">
        <v>36</v>
      </c>
      <c r="F185" s="883"/>
      <c r="G185" s="994"/>
      <c r="H185" s="165" t="s">
        <v>12</v>
      </c>
      <c r="I185" s="1000"/>
      <c r="J185" s="1000"/>
      <c r="K185" s="1001"/>
      <c r="L185" s="887">
        <v>0</v>
      </c>
      <c r="M185" s="887">
        <v>0</v>
      </c>
      <c r="N185" s="887">
        <v>0</v>
      </c>
      <c r="O185" s="887">
        <f t="shared" si="93"/>
        <v>0</v>
      </c>
      <c r="P185" s="887">
        <f t="shared" si="94"/>
        <v>0</v>
      </c>
      <c r="Q185" s="875"/>
      <c r="R185" s="875"/>
      <c r="S185" s="875"/>
      <c r="T185" s="875"/>
      <c r="U185" s="875"/>
      <c r="V185" s="875"/>
      <c r="W185" s="875"/>
      <c r="X185" s="875"/>
      <c r="Y185" s="875"/>
      <c r="Z185" s="875"/>
    </row>
    <row r="186" spans="1:26" ht="19.5" hidden="1">
      <c r="A186" s="993"/>
      <c r="B186" s="883"/>
      <c r="C186" s="999"/>
      <c r="D186" s="883"/>
      <c r="E186" s="884" t="s">
        <v>37</v>
      </c>
      <c r="F186" s="883"/>
      <c r="G186" s="994"/>
      <c r="H186" s="165" t="s">
        <v>12</v>
      </c>
      <c r="I186" s="1000"/>
      <c r="J186" s="1000"/>
      <c r="K186" s="1001"/>
      <c r="L186" s="887">
        <f ca="1">IFERROR(__xludf.DUMMYFUNCTION("IMPORTRANGE(""https://docs.google.com/spreadsheets/d/1MeEWN-I1oV_STSDYn1IFDPWt_1FKiwhDph83XaGc0o0/edit?usp=sharing"",""งบพรบ!CO76"")"),64000)</f>
        <v>64000</v>
      </c>
      <c r="M186" s="887">
        <f ca="1">IFERROR(__xludf.DUMMYFUNCTION("IMPORTRANGE(""https://docs.google.com/spreadsheets/d/1MeEWN-I1oV_STSDYn1IFDPWt_1FKiwhDph83XaGc0o0/edit?usp=sharing"",""งบพรบ!CT76"")"),72370)</f>
        <v>72370</v>
      </c>
      <c r="N186" s="887">
        <f ca="1">IFERROR(__xludf.DUMMYFUNCTION("IMPORTRANGE(""https://docs.google.com/spreadsheets/d/1MeEWN-I1oV_STSDYn1IFDPWt_1FKiwhDph83XaGc0o0/edit?usp=sharing"",""งบพรบ!CV76"")"),41720)</f>
        <v>41720</v>
      </c>
      <c r="O186" s="887">
        <f t="shared" ca="1" si="93"/>
        <v>65.1875</v>
      </c>
      <c r="P186" s="887">
        <f t="shared" ca="1" si="94"/>
        <v>57.648196766616003</v>
      </c>
      <c r="Q186" s="875"/>
      <c r="R186" s="875"/>
      <c r="S186" s="875"/>
      <c r="T186" s="875"/>
      <c r="U186" s="875"/>
      <c r="V186" s="875"/>
      <c r="W186" s="875"/>
      <c r="X186" s="875"/>
      <c r="Y186" s="875"/>
      <c r="Z186" s="875"/>
    </row>
    <row r="187" spans="1:26" ht="18.75">
      <c r="A187" s="995"/>
      <c r="B187" s="877"/>
      <c r="C187" s="996"/>
      <c r="D187" s="878" t="s">
        <v>21</v>
      </c>
      <c r="E187" s="877"/>
      <c r="F187" s="877"/>
      <c r="G187" s="879"/>
      <c r="H187" s="168" t="s">
        <v>12</v>
      </c>
      <c r="I187" s="997"/>
      <c r="J187" s="997"/>
      <c r="K187" s="998"/>
      <c r="L187" s="881">
        <f t="shared" ref="L187:N187" ca="1" si="97">L188+L189</f>
        <v>0</v>
      </c>
      <c r="M187" s="881">
        <f t="shared" ca="1" si="97"/>
        <v>0</v>
      </c>
      <c r="N187" s="881">
        <f t="shared" ca="1" si="97"/>
        <v>0</v>
      </c>
      <c r="O187" s="881">
        <f t="shared" ca="1" si="93"/>
        <v>0</v>
      </c>
      <c r="P187" s="881">
        <f t="shared" ca="1" si="94"/>
        <v>0</v>
      </c>
      <c r="Q187" s="868"/>
      <c r="R187" s="868"/>
      <c r="S187" s="868"/>
      <c r="T187" s="868"/>
      <c r="U187" s="868"/>
      <c r="V187" s="868"/>
      <c r="W187" s="868"/>
      <c r="X187" s="868"/>
      <c r="Y187" s="868"/>
      <c r="Z187" s="868"/>
    </row>
    <row r="188" spans="1:26" ht="19.5" hidden="1">
      <c r="A188" s="993"/>
      <c r="B188" s="883"/>
      <c r="C188" s="999"/>
      <c r="D188" s="883"/>
      <c r="E188" s="884" t="s">
        <v>18</v>
      </c>
      <c r="F188" s="883"/>
      <c r="G188" s="994"/>
      <c r="H188" s="165" t="s">
        <v>12</v>
      </c>
      <c r="I188" s="1000"/>
      <c r="J188" s="1000"/>
      <c r="K188" s="1001"/>
      <c r="L188" s="887">
        <v>0</v>
      </c>
      <c r="M188" s="887">
        <v>0</v>
      </c>
      <c r="N188" s="887">
        <v>0</v>
      </c>
      <c r="O188" s="887">
        <f t="shared" si="93"/>
        <v>0</v>
      </c>
      <c r="P188" s="887">
        <f t="shared" si="94"/>
        <v>0</v>
      </c>
      <c r="Q188" s="875"/>
      <c r="R188" s="875"/>
      <c r="S188" s="875"/>
      <c r="T188" s="875"/>
      <c r="U188" s="875"/>
      <c r="V188" s="875"/>
      <c r="W188" s="875"/>
      <c r="X188" s="875"/>
      <c r="Y188" s="875"/>
      <c r="Z188" s="875"/>
    </row>
    <row r="189" spans="1:26" ht="19.5" hidden="1">
      <c r="A189" s="993"/>
      <c r="B189" s="883"/>
      <c r="C189" s="999"/>
      <c r="D189" s="883"/>
      <c r="E189" s="884" t="s">
        <v>19</v>
      </c>
      <c r="F189" s="883"/>
      <c r="G189" s="994"/>
      <c r="H189" s="169" t="s">
        <v>12</v>
      </c>
      <c r="I189" s="1000"/>
      <c r="J189" s="1000"/>
      <c r="K189" s="1001"/>
      <c r="L189" s="887">
        <f ca="1">IFERROR(__xludf.DUMMYFUNCTION("IMPORTRANGE(""https://docs.google.com/spreadsheets/d/1MeEWN-I1oV_STSDYn1IFDPWt_1FKiwhDph83XaGc0o0/edit?usp=sharing"",""งบพรบ!CR76"")"),0)</f>
        <v>0</v>
      </c>
      <c r="M189" s="887">
        <f ca="1">IFERROR(__xludf.DUMMYFUNCTION("IMPORTRANGE(""https://docs.google.com/spreadsheets/d/1MeEWN-I1oV_STSDYn1IFDPWt_1FKiwhDph83XaGc0o0/edit?usp=sharing"",""งบพรบ!CU76"")"),0)</f>
        <v>0</v>
      </c>
      <c r="N189" s="887">
        <f ca="1">IFERROR(__xludf.DUMMYFUNCTION("IMPORTRANGE(""https://docs.google.com/spreadsheets/d/1MeEWN-I1oV_STSDYn1IFDPWt_1FKiwhDph83XaGc0o0/edit?usp=sharing"",""งบพรบ!CW76"")"),0)</f>
        <v>0</v>
      </c>
      <c r="O189" s="887">
        <f t="shared" ca="1" si="93"/>
        <v>0</v>
      </c>
      <c r="P189" s="887">
        <f t="shared" ca="1" si="94"/>
        <v>0</v>
      </c>
      <c r="Q189" s="875"/>
      <c r="R189" s="875"/>
      <c r="S189" s="875"/>
      <c r="T189" s="875"/>
      <c r="U189" s="875"/>
      <c r="V189" s="875"/>
      <c r="W189" s="875"/>
      <c r="X189" s="875"/>
      <c r="Y189" s="875"/>
      <c r="Z189" s="875"/>
    </row>
    <row r="190" spans="1:26" ht="19.5">
      <c r="A190" s="1063"/>
      <c r="B190" s="1070"/>
      <c r="C190" s="1077" t="s">
        <v>89</v>
      </c>
      <c r="D190" s="1064"/>
      <c r="E190" s="1064"/>
      <c r="F190" s="1064"/>
      <c r="G190" s="1066"/>
      <c r="H190" s="260" t="s">
        <v>90</v>
      </c>
      <c r="I190" s="1078">
        <f t="shared" ref="I190:J190" ca="1" si="98">I193</f>
        <v>4</v>
      </c>
      <c r="J190" s="1078">
        <f t="shared" si="98"/>
        <v>2</v>
      </c>
      <c r="K190" s="1079">
        <f ca="1">IF(I190&gt;0,J190*100/I190,0)</f>
        <v>50</v>
      </c>
      <c r="L190" s="1068"/>
      <c r="M190" s="1068"/>
      <c r="N190" s="1068"/>
      <c r="O190" s="1068"/>
      <c r="P190" s="1068"/>
    </row>
    <row r="191" spans="1:26" ht="19.5">
      <c r="A191" s="985"/>
      <c r="B191" s="986"/>
      <c r="C191" s="987" t="s">
        <v>16</v>
      </c>
      <c r="D191" s="1080" t="s">
        <v>17</v>
      </c>
      <c r="E191" s="986"/>
      <c r="F191" s="986"/>
      <c r="G191" s="989"/>
      <c r="H191" s="275" t="s">
        <v>12</v>
      </c>
      <c r="I191" s="990"/>
      <c r="J191" s="990"/>
      <c r="K191" s="991"/>
      <c r="L191" s="992">
        <f ca="1">IFERROR(__xludf.DUMMYFUNCTION("IMPORTRANGE(""https://docs.google.com/spreadsheets/d/1QqKyyYR6Q21VydFLVH3TRQUabQu_ym0Zz7PgGX0-kHA/edit?usp=sharing"",""แผน!Z76"")"),6000)</f>
        <v>6000</v>
      </c>
      <c r="M191" s="992"/>
      <c r="N191" s="1081">
        <v>2450</v>
      </c>
      <c r="O191" s="992">
        <f ca="1">IF(L191&gt;0,N191*100/L191,0)</f>
        <v>40.833333333333336</v>
      </c>
      <c r="P191" s="992">
        <f>IF(M191&gt;0,N191*100/M191,0)</f>
        <v>0</v>
      </c>
      <c r="Q191" s="868"/>
      <c r="R191" s="868"/>
      <c r="S191" s="868"/>
      <c r="T191" s="868"/>
      <c r="U191" s="868"/>
      <c r="V191" s="868"/>
      <c r="W191" s="868"/>
      <c r="X191" s="868"/>
      <c r="Y191" s="868"/>
      <c r="Z191" s="868"/>
    </row>
    <row r="192" spans="1:26" ht="19.5">
      <c r="A192" s="1002"/>
      <c r="B192" s="1003"/>
      <c r="C192" s="1029" t="s">
        <v>16</v>
      </c>
      <c r="D192" s="1004" t="s">
        <v>38</v>
      </c>
      <c r="E192" s="1005"/>
      <c r="F192" s="1005"/>
      <c r="G192" s="1006"/>
      <c r="H192" s="1007"/>
      <c r="I192" s="880"/>
      <c r="J192" s="880"/>
      <c r="K192" s="881"/>
      <c r="L192" s="881"/>
      <c r="M192" s="881"/>
      <c r="N192" s="881"/>
      <c r="O192" s="881"/>
      <c r="P192" s="881"/>
      <c r="Q192" s="868"/>
      <c r="R192" s="868"/>
      <c r="S192" s="868"/>
      <c r="T192" s="868"/>
      <c r="U192" s="868"/>
      <c r="V192" s="868"/>
      <c r="W192" s="868"/>
      <c r="X192" s="868"/>
      <c r="Y192" s="868"/>
      <c r="Z192" s="868"/>
    </row>
    <row r="193" spans="1:26" ht="18.75">
      <c r="A193" s="1002"/>
      <c r="B193" s="1003"/>
      <c r="C193" s="1003"/>
      <c r="D193" s="1009" t="s">
        <v>91</v>
      </c>
      <c r="E193" s="1010"/>
      <c r="F193" s="1010"/>
      <c r="G193" s="1011"/>
      <c r="H193" s="762" t="s">
        <v>90</v>
      </c>
      <c r="I193" s="880">
        <f ca="1">IFERROR(__xludf.DUMMYFUNCTION("IMPORTRANGE(""https://docs.google.com/spreadsheets/d/1QqKyyYR6Q21VydFLVH3TRQUabQu_ym0Zz7PgGX0-kHA/edit?usp=sharing"",""แผน!AC76"")"),4)</f>
        <v>4</v>
      </c>
      <c r="J193" s="1012">
        <v>2</v>
      </c>
      <c r="K193" s="881">
        <f ca="1">IF(I193&gt;0,J193*100/I193,0)</f>
        <v>50</v>
      </c>
      <c r="L193" s="881"/>
      <c r="M193" s="881"/>
      <c r="N193" s="881"/>
      <c r="O193" s="881"/>
      <c r="P193" s="881"/>
      <c r="Q193" s="868"/>
      <c r="R193" s="868"/>
      <c r="S193" s="868"/>
      <c r="T193" s="868"/>
      <c r="U193" s="868"/>
      <c r="V193" s="868"/>
      <c r="W193" s="868"/>
      <c r="X193" s="868"/>
      <c r="Y193" s="868"/>
      <c r="Z193" s="868"/>
    </row>
    <row r="194" spans="1:26" ht="18.75">
      <c r="A194" s="1002"/>
      <c r="B194" s="1003"/>
      <c r="C194" s="1003"/>
      <c r="D194" s="1009" t="s">
        <v>92</v>
      </c>
      <c r="E194" s="1010"/>
      <c r="F194" s="1010"/>
      <c r="G194" s="1011"/>
      <c r="H194" s="277" t="s">
        <v>35</v>
      </c>
      <c r="I194" s="880"/>
      <c r="J194" s="880">
        <f>J195+J196</f>
        <v>0</v>
      </c>
      <c r="K194" s="881"/>
      <c r="L194" s="881"/>
      <c r="M194" s="881"/>
      <c r="N194" s="881"/>
      <c r="O194" s="881"/>
      <c r="P194" s="881"/>
      <c r="Q194" s="868"/>
      <c r="R194" s="868"/>
      <c r="S194" s="868"/>
      <c r="T194" s="868"/>
      <c r="U194" s="868"/>
      <c r="V194" s="868"/>
      <c r="W194" s="868"/>
      <c r="X194" s="868"/>
      <c r="Y194" s="868"/>
      <c r="Z194" s="868"/>
    </row>
    <row r="195" spans="1:26" ht="18.75">
      <c r="A195" s="1002"/>
      <c r="B195" s="1003"/>
      <c r="C195" s="1003"/>
      <c r="D195" s="1003"/>
      <c r="E195" s="1009" t="s">
        <v>93</v>
      </c>
      <c r="F195" s="1010"/>
      <c r="G195" s="1011"/>
      <c r="H195" s="277" t="s">
        <v>35</v>
      </c>
      <c r="I195" s="880"/>
      <c r="J195" s="1012">
        <v>0</v>
      </c>
      <c r="K195" s="881"/>
      <c r="L195" s="881"/>
      <c r="M195" s="881"/>
      <c r="N195" s="881"/>
      <c r="O195" s="881"/>
      <c r="P195" s="881"/>
      <c r="Q195" s="868"/>
      <c r="R195" s="868"/>
      <c r="S195" s="868"/>
      <c r="T195" s="868"/>
      <c r="U195" s="868"/>
      <c r="V195" s="868"/>
      <c r="W195" s="868"/>
      <c r="X195" s="868"/>
      <c r="Y195" s="868"/>
      <c r="Z195" s="868"/>
    </row>
    <row r="196" spans="1:26" ht="18.75">
      <c r="A196" s="1002"/>
      <c r="B196" s="1003"/>
      <c r="C196" s="1003"/>
      <c r="D196" s="1003"/>
      <c r="E196" s="1009" t="s">
        <v>94</v>
      </c>
      <c r="F196" s="1010"/>
      <c r="G196" s="1011"/>
      <c r="H196" s="277" t="s">
        <v>35</v>
      </c>
      <c r="I196" s="880"/>
      <c r="J196" s="1012">
        <v>0</v>
      </c>
      <c r="K196" s="881"/>
      <c r="L196" s="881"/>
      <c r="M196" s="881"/>
      <c r="N196" s="881"/>
      <c r="O196" s="881"/>
      <c r="P196" s="881"/>
      <c r="Q196" s="868"/>
      <c r="R196" s="868"/>
      <c r="S196" s="868"/>
      <c r="T196" s="868"/>
      <c r="U196" s="868"/>
      <c r="V196" s="868"/>
      <c r="W196" s="868"/>
      <c r="X196" s="868"/>
      <c r="Y196" s="868"/>
      <c r="Z196" s="868"/>
    </row>
    <row r="197" spans="1:26" ht="19.5">
      <c r="A197" s="1063"/>
      <c r="B197" s="1070"/>
      <c r="C197" s="1077" t="s">
        <v>95</v>
      </c>
      <c r="D197" s="1064"/>
      <c r="E197" s="1064"/>
      <c r="F197" s="1064"/>
      <c r="G197" s="1066"/>
      <c r="H197" s="278" t="s">
        <v>96</v>
      </c>
      <c r="I197" s="1078">
        <f t="shared" ref="I197:J197" ca="1" si="99">I204</f>
        <v>2</v>
      </c>
      <c r="J197" s="1078">
        <f t="shared" si="99"/>
        <v>2</v>
      </c>
      <c r="K197" s="1079">
        <f ca="1">IF(I197&gt;0,J197*100/I197,0)</f>
        <v>100</v>
      </c>
      <c r="L197" s="1068"/>
      <c r="M197" s="1068"/>
      <c r="N197" s="1068"/>
      <c r="O197" s="1068"/>
      <c r="P197" s="1068"/>
    </row>
    <row r="198" spans="1:26" ht="19.5">
      <c r="A198" s="985"/>
      <c r="B198" s="986"/>
      <c r="C198" s="987" t="s">
        <v>16</v>
      </c>
      <c r="D198" s="1080" t="s">
        <v>17</v>
      </c>
      <c r="E198" s="986"/>
      <c r="F198" s="986"/>
      <c r="G198" s="989"/>
      <c r="H198" s="275" t="s">
        <v>12</v>
      </c>
      <c r="I198" s="1082"/>
      <c r="J198" s="1082"/>
      <c r="K198" s="1083"/>
      <c r="L198" s="992">
        <f ca="1">L199+L200+L201+L202</f>
        <v>26000</v>
      </c>
      <c r="M198" s="992"/>
      <c r="N198" s="992">
        <f>N199+N200+N201+N202</f>
        <v>10000</v>
      </c>
      <c r="O198" s="992">
        <f ca="1">IF(L198&gt;0,N198*100/L198,0)</f>
        <v>38.46153846153846</v>
      </c>
      <c r="P198" s="992">
        <f>IF(M198&gt;0,N198*100/M198,0)</f>
        <v>0</v>
      </c>
      <c r="Q198" s="868"/>
      <c r="R198" s="868"/>
      <c r="S198" s="868"/>
      <c r="T198" s="868"/>
      <c r="U198" s="868"/>
      <c r="V198" s="868"/>
      <c r="W198" s="868"/>
      <c r="X198" s="868"/>
      <c r="Y198" s="868"/>
      <c r="Z198" s="868"/>
    </row>
    <row r="199" spans="1:26" ht="18.75">
      <c r="A199" s="995"/>
      <c r="B199" s="1084"/>
      <c r="C199" s="877"/>
      <c r="D199" s="996" t="s">
        <v>97</v>
      </c>
      <c r="E199" s="877"/>
      <c r="F199" s="877"/>
      <c r="G199" s="879"/>
      <c r="H199" s="161" t="s">
        <v>12</v>
      </c>
      <c r="I199" s="997"/>
      <c r="J199" s="997"/>
      <c r="K199" s="998"/>
      <c r="L199" s="881">
        <f ca="1">IFERROR(__xludf.DUMMYFUNCTION("IMPORTRANGE(""https://docs.google.com/spreadsheets/d/1QqKyyYR6Q21VydFLVH3TRQUabQu_ym0Zz7PgGX0-kHA/edit?usp=sharing"",""แผน!AE76"")"),2000)</f>
        <v>2000</v>
      </c>
      <c r="M199" s="881"/>
      <c r="N199" s="1085">
        <v>0</v>
      </c>
      <c r="O199" s="881"/>
      <c r="P199" s="881"/>
      <c r="Q199" s="868"/>
      <c r="R199" s="868"/>
      <c r="S199" s="868"/>
      <c r="T199" s="868"/>
      <c r="U199" s="868"/>
      <c r="V199" s="868"/>
      <c r="W199" s="868"/>
      <c r="X199" s="868"/>
      <c r="Y199" s="868"/>
      <c r="Z199" s="868"/>
    </row>
    <row r="200" spans="1:26" ht="19.5">
      <c r="A200" s="1086"/>
      <c r="B200" s="1084"/>
      <c r="C200" s="1029"/>
      <c r="D200" s="996" t="s">
        <v>98</v>
      </c>
      <c r="E200" s="877"/>
      <c r="F200" s="877"/>
      <c r="G200" s="879"/>
      <c r="H200" s="622" t="s">
        <v>12</v>
      </c>
      <c r="I200" s="880"/>
      <c r="J200" s="880"/>
      <c r="K200" s="881"/>
      <c r="L200" s="881">
        <f ca="1">IFERROR(__xludf.DUMMYFUNCTION("IMPORTRANGE(""https://docs.google.com/spreadsheets/d/1QqKyyYR6Q21VydFLVH3TRQUabQu_ym0Zz7PgGX0-kHA/edit?usp=sharing"",""แผน!AF76"")"),16000)</f>
        <v>16000</v>
      </c>
      <c r="M200" s="881"/>
      <c r="N200" s="1085">
        <v>10000</v>
      </c>
      <c r="O200" s="881"/>
      <c r="P200" s="881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</row>
    <row r="201" spans="1:26" ht="19.5">
      <c r="A201" s="1086"/>
      <c r="B201" s="1084"/>
      <c r="C201" s="1029"/>
      <c r="D201" s="996" t="s">
        <v>99</v>
      </c>
      <c r="E201" s="877"/>
      <c r="F201" s="877"/>
      <c r="G201" s="879"/>
      <c r="H201" s="622" t="s">
        <v>12</v>
      </c>
      <c r="I201" s="880"/>
      <c r="J201" s="880"/>
      <c r="K201" s="881"/>
      <c r="L201" s="881">
        <f ca="1">IFERROR(__xludf.DUMMYFUNCTION("IMPORTRANGE(""https://docs.google.com/spreadsheets/d/1QqKyyYR6Q21VydFLVH3TRQUabQu_ym0Zz7PgGX0-kHA/edit?usp=sharing"",""แผน!AG76"")"),8000)</f>
        <v>8000</v>
      </c>
      <c r="M201" s="881"/>
      <c r="N201" s="1085"/>
      <c r="O201" s="881"/>
      <c r="P201" s="881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</row>
    <row r="202" spans="1:26" ht="19.5">
      <c r="A202" s="1086"/>
      <c r="B202" s="1084"/>
      <c r="C202" s="1029"/>
      <c r="D202" s="996" t="s">
        <v>100</v>
      </c>
      <c r="E202" s="877"/>
      <c r="F202" s="877"/>
      <c r="G202" s="879"/>
      <c r="H202" s="622" t="s">
        <v>12</v>
      </c>
      <c r="I202" s="880"/>
      <c r="J202" s="880"/>
      <c r="K202" s="881"/>
      <c r="L202" s="881">
        <f ca="1">IFERROR(__xludf.DUMMYFUNCTION("IMPORTRANGE(""https://docs.google.com/spreadsheets/d/1QqKyyYR6Q21VydFLVH3TRQUabQu_ym0Zz7PgGX0-kHA/edit?usp=sharing"",""แผน!AH76"")"),0)</f>
        <v>0</v>
      </c>
      <c r="M202" s="881"/>
      <c r="N202" s="1085">
        <v>0</v>
      </c>
      <c r="O202" s="881"/>
      <c r="P202" s="881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</row>
    <row r="203" spans="1:26" ht="19.5">
      <c r="A203" s="1002"/>
      <c r="B203" s="1003"/>
      <c r="C203" s="1029" t="s">
        <v>16</v>
      </c>
      <c r="D203" s="1004" t="s">
        <v>38</v>
      </c>
      <c r="E203" s="1005"/>
      <c r="F203" s="1005"/>
      <c r="G203" s="1006"/>
      <c r="H203" s="1007"/>
      <c r="I203" s="997"/>
      <c r="J203" s="997"/>
      <c r="K203" s="998"/>
      <c r="L203" s="998"/>
      <c r="M203" s="998"/>
      <c r="N203" s="998"/>
      <c r="O203" s="998"/>
      <c r="P203" s="99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</row>
    <row r="204" spans="1:26" ht="18.75">
      <c r="A204" s="1002"/>
      <c r="B204" s="1003"/>
      <c r="C204" s="1003"/>
      <c r="D204" s="1008" t="s">
        <v>101</v>
      </c>
      <c r="E204" s="1010"/>
      <c r="F204" s="1010"/>
      <c r="G204" s="1011"/>
      <c r="H204" s="1007" t="s">
        <v>96</v>
      </c>
      <c r="I204" s="880">
        <f ca="1">IFERROR(__xludf.DUMMYFUNCTION("IMPORTRANGE(""https://docs.google.com/spreadsheets/d/1QqKyyYR6Q21VydFLVH3TRQUabQu_ym0Zz7PgGX0-kHA/edit?usp=sharing"",""แผน!AI76"")"),2)</f>
        <v>2</v>
      </c>
      <c r="J204" s="1012">
        <v>2</v>
      </c>
      <c r="K204" s="998">
        <f ca="1">IF(I204&gt;0,J204*100/I204,0)</f>
        <v>100</v>
      </c>
      <c r="L204" s="881"/>
      <c r="M204" s="881"/>
      <c r="N204" s="881"/>
      <c r="O204" s="881"/>
      <c r="P204" s="881"/>
      <c r="Q204" s="868"/>
      <c r="R204" s="868"/>
      <c r="S204" s="868"/>
      <c r="T204" s="868"/>
      <c r="U204" s="868"/>
      <c r="V204" s="868"/>
      <c r="W204" s="868"/>
      <c r="X204" s="868"/>
      <c r="Y204" s="868"/>
      <c r="Z204" s="868"/>
    </row>
    <row r="205" spans="1:26" ht="18.75">
      <c r="A205" s="1002"/>
      <c r="B205" s="1003"/>
      <c r="C205" s="1003"/>
      <c r="D205" s="1009" t="s">
        <v>59</v>
      </c>
      <c r="E205" s="1010"/>
      <c r="F205" s="1010"/>
      <c r="G205" s="1011"/>
      <c r="H205" s="1007"/>
      <c r="I205" s="880"/>
      <c r="J205" s="880"/>
      <c r="K205" s="998"/>
      <c r="L205" s="881"/>
      <c r="M205" s="881"/>
      <c r="N205" s="881"/>
      <c r="O205" s="881"/>
      <c r="P205" s="881"/>
      <c r="Q205" s="868"/>
      <c r="R205" s="868"/>
      <c r="S205" s="868"/>
      <c r="T205" s="868"/>
      <c r="U205" s="868"/>
      <c r="V205" s="868"/>
      <c r="W205" s="868"/>
      <c r="X205" s="868"/>
      <c r="Y205" s="868"/>
      <c r="Z205" s="868"/>
    </row>
    <row r="206" spans="1:26" ht="18.75">
      <c r="A206" s="1002"/>
      <c r="B206" s="1003"/>
      <c r="C206" s="1003"/>
      <c r="D206" s="1010"/>
      <c r="E206" s="1021" t="s">
        <v>102</v>
      </c>
      <c r="F206" s="1088"/>
      <c r="G206" s="1089"/>
      <c r="H206" s="1090" t="s">
        <v>96</v>
      </c>
      <c r="I206" s="880">
        <v>2</v>
      </c>
      <c r="J206" s="1012">
        <v>2</v>
      </c>
      <c r="K206" s="998">
        <f t="shared" ref="K206:K208" si="100">IF(I206&gt;0,J206*100/I206,0)</f>
        <v>100</v>
      </c>
      <c r="L206" s="881"/>
      <c r="M206" s="881"/>
      <c r="N206" s="881"/>
      <c r="O206" s="881"/>
      <c r="P206" s="881"/>
      <c r="Q206" s="868"/>
      <c r="R206" s="868"/>
      <c r="S206" s="868"/>
      <c r="T206" s="868"/>
      <c r="U206" s="868"/>
      <c r="V206" s="868"/>
      <c r="W206" s="868"/>
      <c r="X206" s="868"/>
      <c r="Y206" s="868"/>
      <c r="Z206" s="868"/>
    </row>
    <row r="207" spans="1:26" ht="18.75">
      <c r="A207" s="1002"/>
      <c r="B207" s="1003"/>
      <c r="C207" s="1003"/>
      <c r="D207" s="1009"/>
      <c r="E207" s="1009" t="s">
        <v>103</v>
      </c>
      <c r="F207" s="1010"/>
      <c r="G207" s="1010"/>
      <c r="H207" s="290" t="s">
        <v>104</v>
      </c>
      <c r="I207" s="880">
        <v>0</v>
      </c>
      <c r="J207" s="1012">
        <v>0</v>
      </c>
      <c r="K207" s="998">
        <f t="shared" si="100"/>
        <v>0</v>
      </c>
      <c r="L207" s="881"/>
      <c r="M207" s="881"/>
      <c r="N207" s="881"/>
      <c r="O207" s="881"/>
      <c r="P207" s="881"/>
      <c r="Q207" s="868"/>
      <c r="R207" s="868"/>
      <c r="S207" s="868"/>
      <c r="T207" s="868"/>
      <c r="U207" s="868"/>
      <c r="V207" s="868"/>
      <c r="W207" s="868"/>
      <c r="X207" s="868"/>
      <c r="Y207" s="868"/>
      <c r="Z207" s="868"/>
    </row>
    <row r="208" spans="1:26" ht="19.5">
      <c r="A208" s="1063"/>
      <c r="B208" s="1070"/>
      <c r="C208" s="1077" t="s">
        <v>105</v>
      </c>
      <c r="D208" s="1064"/>
      <c r="E208" s="1064"/>
      <c r="F208" s="1091"/>
      <c r="G208" s="1066"/>
      <c r="H208" s="278" t="s">
        <v>96</v>
      </c>
      <c r="I208" s="1078">
        <f t="shared" ref="I208:J208" ca="1" si="101">I215</f>
        <v>1</v>
      </c>
      <c r="J208" s="1078">
        <f t="shared" si="101"/>
        <v>1</v>
      </c>
      <c r="K208" s="1079">
        <f t="shared" ca="1" si="100"/>
        <v>100</v>
      </c>
      <c r="L208" s="1068"/>
      <c r="M208" s="1068"/>
      <c r="N208" s="1068"/>
      <c r="O208" s="1068"/>
      <c r="P208" s="1068"/>
    </row>
    <row r="209" spans="1:26" ht="19.5">
      <c r="A209" s="985"/>
      <c r="B209" s="986"/>
      <c r="C209" s="987" t="s">
        <v>16</v>
      </c>
      <c r="D209" s="1080" t="s">
        <v>17</v>
      </c>
      <c r="E209" s="986"/>
      <c r="F209" s="986"/>
      <c r="G209" s="989"/>
      <c r="H209" s="275" t="s">
        <v>12</v>
      </c>
      <c r="I209" s="1082"/>
      <c r="J209" s="1082"/>
      <c r="K209" s="1083"/>
      <c r="L209" s="992">
        <f ca="1">L210+L211+L212</f>
        <v>14000</v>
      </c>
      <c r="M209" s="992"/>
      <c r="N209" s="992">
        <f>N210+N211+N212</f>
        <v>9000</v>
      </c>
      <c r="O209" s="992">
        <f ca="1">IF(L209&gt;0,N209*100/L209,0)</f>
        <v>64.285714285714292</v>
      </c>
      <c r="P209" s="992">
        <f>IF(M209&gt;0,N209*100/M209,0)</f>
        <v>0</v>
      </c>
      <c r="Q209" s="868"/>
      <c r="R209" s="868"/>
      <c r="S209" s="868"/>
      <c r="T209" s="868"/>
      <c r="U209" s="868"/>
      <c r="V209" s="868"/>
      <c r="W209" s="868"/>
      <c r="X209" s="868"/>
      <c r="Y209" s="868"/>
      <c r="Z209" s="868"/>
    </row>
    <row r="210" spans="1:26" ht="18.75">
      <c r="A210" s="995"/>
      <c r="B210" s="1084"/>
      <c r="C210" s="877"/>
      <c r="D210" s="996" t="s">
        <v>97</v>
      </c>
      <c r="E210" s="877"/>
      <c r="F210" s="877"/>
      <c r="G210" s="879"/>
      <c r="H210" s="161" t="s">
        <v>12</v>
      </c>
      <c r="I210" s="997"/>
      <c r="J210" s="997"/>
      <c r="K210" s="998"/>
      <c r="L210" s="881">
        <f ca="1">IFERROR(__xludf.DUMMYFUNCTION("IMPORTRANGE(""https://docs.google.com/spreadsheets/d/1QqKyyYR6Q21VydFLVH3TRQUabQu_ym0Zz7PgGX0-kHA/edit?usp=sharing"",""แผน!AK76"")"),1000)</f>
        <v>1000</v>
      </c>
      <c r="M210" s="881"/>
      <c r="N210" s="1085">
        <v>1000</v>
      </c>
      <c r="O210" s="881"/>
      <c r="P210" s="881"/>
      <c r="Q210" s="868"/>
      <c r="R210" s="868"/>
      <c r="S210" s="868"/>
      <c r="T210" s="868"/>
      <c r="U210" s="868"/>
      <c r="V210" s="868"/>
      <c r="W210" s="868"/>
      <c r="X210" s="868"/>
      <c r="Y210" s="868"/>
      <c r="Z210" s="868"/>
    </row>
    <row r="211" spans="1:26" ht="19.5">
      <c r="A211" s="1086"/>
      <c r="B211" s="1084"/>
      <c r="C211" s="1092"/>
      <c r="D211" s="996" t="s">
        <v>99</v>
      </c>
      <c r="E211" s="877"/>
      <c r="F211" s="877"/>
      <c r="G211" s="879"/>
      <c r="H211" s="161" t="s">
        <v>12</v>
      </c>
      <c r="I211" s="880"/>
      <c r="J211" s="880"/>
      <c r="K211" s="881"/>
      <c r="L211" s="881">
        <f ca="1">IFERROR(__xludf.DUMMYFUNCTION("IMPORTRANGE(""https://docs.google.com/spreadsheets/d/1QqKyyYR6Q21VydFLVH3TRQUabQu_ym0Zz7PgGX0-kHA/edit?usp=sharing"",""แผน!AL76"")"),5000)</f>
        <v>5000</v>
      </c>
      <c r="M211" s="881"/>
      <c r="N211" s="1085">
        <v>0</v>
      </c>
      <c r="O211" s="881"/>
      <c r="P211" s="881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</row>
    <row r="212" spans="1:26" ht="19.5">
      <c r="A212" s="1086"/>
      <c r="B212" s="1084"/>
      <c r="C212" s="1092"/>
      <c r="D212" s="996" t="s">
        <v>98</v>
      </c>
      <c r="E212" s="877"/>
      <c r="F212" s="877"/>
      <c r="G212" s="879"/>
      <c r="H212" s="161" t="s">
        <v>12</v>
      </c>
      <c r="I212" s="880"/>
      <c r="J212" s="880"/>
      <c r="K212" s="881"/>
      <c r="L212" s="881">
        <f ca="1">IFERROR(__xludf.DUMMYFUNCTION("IMPORTRANGE(""https://docs.google.com/spreadsheets/d/1QqKyyYR6Q21VydFLVH3TRQUabQu_ym0Zz7PgGX0-kHA/edit?usp=sharing"",""แผน!AM76"")"),8000)</f>
        <v>8000</v>
      </c>
      <c r="M212" s="881"/>
      <c r="N212" s="1085">
        <v>8000</v>
      </c>
      <c r="O212" s="881"/>
      <c r="P212" s="881"/>
      <c r="Q212" s="1087"/>
      <c r="R212" s="1087"/>
      <c r="S212" s="1087"/>
      <c r="T212" s="1087"/>
      <c r="U212" s="1087"/>
      <c r="V212" s="1087"/>
      <c r="W212" s="1087"/>
      <c r="X212" s="1087"/>
      <c r="Y212" s="1087"/>
      <c r="Z212" s="1087"/>
    </row>
    <row r="213" spans="1:26" ht="19.5">
      <c r="A213" s="1002"/>
      <c r="B213" s="1003"/>
      <c r="C213" s="1092" t="s">
        <v>16</v>
      </c>
      <c r="D213" s="1004" t="s">
        <v>38</v>
      </c>
      <c r="E213" s="1005"/>
      <c r="F213" s="1005"/>
      <c r="G213" s="1006"/>
      <c r="H213" s="1007"/>
      <c r="I213" s="997"/>
      <c r="J213" s="880"/>
      <c r="K213" s="881"/>
      <c r="L213" s="881"/>
      <c r="M213" s="881"/>
      <c r="N213" s="881"/>
      <c r="O213" s="998"/>
      <c r="P213" s="998"/>
      <c r="Q213" s="868"/>
      <c r="R213" s="868"/>
      <c r="S213" s="868"/>
      <c r="T213" s="868"/>
      <c r="U213" s="868"/>
      <c r="V213" s="868"/>
      <c r="W213" s="868"/>
      <c r="X213" s="868"/>
      <c r="Y213" s="868"/>
      <c r="Z213" s="868"/>
    </row>
    <row r="214" spans="1:26" ht="18.75">
      <c r="A214" s="1002"/>
      <c r="B214" s="1003"/>
      <c r="C214" s="1003"/>
      <c r="D214" s="1008" t="s">
        <v>106</v>
      </c>
      <c r="E214" s="1010"/>
      <c r="F214" s="1010"/>
      <c r="G214" s="1011"/>
      <c r="H214" s="1007" t="s">
        <v>96</v>
      </c>
      <c r="I214" s="880">
        <f ca="1">IFERROR(__xludf.DUMMYFUNCTION("IMPORTRANGE(""https://docs.google.com/spreadsheets/d/1QqKyyYR6Q21VydFLVH3TRQUabQu_ym0Zz7PgGX0-kHA/edit?usp=sharing"",""แผน!AN76"")"),1)</f>
        <v>1</v>
      </c>
      <c r="J214" s="1012">
        <v>1</v>
      </c>
      <c r="K214" s="881">
        <f t="shared" ref="K214:K216" ca="1" si="102">IF(I214&gt;0,J214*100/I214,0)</f>
        <v>100</v>
      </c>
      <c r="L214" s="881"/>
      <c r="M214" s="881"/>
      <c r="N214" s="881"/>
      <c r="O214" s="881"/>
      <c r="P214" s="881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</row>
    <row r="215" spans="1:26" ht="18.75">
      <c r="A215" s="1002"/>
      <c r="B215" s="1003"/>
      <c r="C215" s="1003"/>
      <c r="D215" s="1008" t="s">
        <v>107</v>
      </c>
      <c r="E215" s="1010"/>
      <c r="F215" s="1010"/>
      <c r="G215" s="1011"/>
      <c r="H215" s="1007" t="s">
        <v>96</v>
      </c>
      <c r="I215" s="880">
        <f ca="1">IFERROR(__xludf.DUMMYFUNCTION("IMPORTRANGE(""https://docs.google.com/spreadsheets/d/1QqKyyYR6Q21VydFLVH3TRQUabQu_ym0Zz7PgGX0-kHA/edit?usp=sharing"",""แผน!AN76"")"),1)</f>
        <v>1</v>
      </c>
      <c r="J215" s="1012">
        <v>1</v>
      </c>
      <c r="K215" s="881">
        <f t="shared" ca="1" si="102"/>
        <v>100</v>
      </c>
      <c r="L215" s="881"/>
      <c r="M215" s="881"/>
      <c r="N215" s="881"/>
      <c r="O215" s="881"/>
      <c r="P215" s="881"/>
      <c r="Q215" s="868"/>
      <c r="R215" s="868"/>
      <c r="S215" s="868"/>
      <c r="T215" s="868"/>
      <c r="U215" s="868"/>
      <c r="V215" s="868"/>
      <c r="W215" s="868"/>
      <c r="X215" s="868"/>
      <c r="Y215" s="868"/>
      <c r="Z215" s="868"/>
    </row>
    <row r="216" spans="1:26" ht="19.5">
      <c r="A216" s="1063"/>
      <c r="B216" s="1070"/>
      <c r="C216" s="1077" t="s">
        <v>108</v>
      </c>
      <c r="D216" s="1064"/>
      <c r="E216" s="1064"/>
      <c r="F216" s="1091"/>
      <c r="G216" s="1066"/>
      <c r="H216" s="260" t="s">
        <v>109</v>
      </c>
      <c r="I216" s="1078">
        <f t="shared" ref="I216:J216" ca="1" si="103">I224</f>
        <v>20000</v>
      </c>
      <c r="J216" s="1078">
        <f t="shared" si="103"/>
        <v>0</v>
      </c>
      <c r="K216" s="1079">
        <f t="shared" ca="1" si="102"/>
        <v>0</v>
      </c>
      <c r="L216" s="1068"/>
      <c r="M216" s="1068"/>
      <c r="N216" s="1068"/>
      <c r="O216" s="1068"/>
      <c r="P216" s="1068"/>
    </row>
    <row r="217" spans="1:26" ht="19.5">
      <c r="A217" s="985"/>
      <c r="B217" s="986"/>
      <c r="C217" s="987" t="s">
        <v>16</v>
      </c>
      <c r="D217" s="1080" t="s">
        <v>17</v>
      </c>
      <c r="E217" s="986"/>
      <c r="F217" s="986"/>
      <c r="G217" s="989"/>
      <c r="H217" s="275" t="s">
        <v>12</v>
      </c>
      <c r="I217" s="1082"/>
      <c r="J217" s="1082"/>
      <c r="K217" s="1083"/>
      <c r="L217" s="992">
        <f ca="1">L218+L219+L220</f>
        <v>18000</v>
      </c>
      <c r="M217" s="992"/>
      <c r="N217" s="992">
        <f>N218+N219+N220</f>
        <v>8390</v>
      </c>
      <c r="O217" s="992">
        <f ca="1">IF(L217&gt;0,N217*100/L217,0)</f>
        <v>46.611111111111114</v>
      </c>
      <c r="P217" s="992">
        <f>IF(M217&gt;0,N217*100/M217,0)</f>
        <v>0</v>
      </c>
      <c r="Q217" s="868"/>
      <c r="R217" s="868"/>
      <c r="S217" s="868"/>
      <c r="T217" s="868"/>
      <c r="U217" s="868"/>
      <c r="V217" s="868"/>
      <c r="W217" s="868"/>
      <c r="X217" s="868"/>
      <c r="Y217" s="868"/>
      <c r="Z217" s="868"/>
    </row>
    <row r="218" spans="1:26" ht="18.75">
      <c r="A218" s="995"/>
      <c r="B218" s="1084"/>
      <c r="C218" s="877"/>
      <c r="D218" s="996" t="s">
        <v>97</v>
      </c>
      <c r="E218" s="877"/>
      <c r="F218" s="877"/>
      <c r="G218" s="879"/>
      <c r="H218" s="161" t="s">
        <v>12</v>
      </c>
      <c r="I218" s="997"/>
      <c r="J218" s="997"/>
      <c r="K218" s="998"/>
      <c r="L218" s="881">
        <f ca="1">IFERROR(__xludf.DUMMYFUNCTION("IMPORTRANGE(""https://docs.google.com/spreadsheets/d/1QqKyyYR6Q21VydFLVH3TRQUabQu_ym0Zz7PgGX0-kHA/edit?usp=sharing"",""แผน!AP76"")"),3000)</f>
        <v>3000</v>
      </c>
      <c r="M218" s="881"/>
      <c r="N218" s="1085">
        <v>1030</v>
      </c>
      <c r="O218" s="881"/>
      <c r="P218" s="881"/>
      <c r="Q218" s="868"/>
      <c r="R218" s="868"/>
      <c r="S218" s="868"/>
      <c r="T218" s="868"/>
      <c r="U218" s="868"/>
      <c r="V218" s="868"/>
      <c r="W218" s="868"/>
      <c r="X218" s="868"/>
      <c r="Y218" s="868"/>
      <c r="Z218" s="868"/>
    </row>
    <row r="219" spans="1:26" ht="19.5">
      <c r="A219" s="1086"/>
      <c r="B219" s="1084"/>
      <c r="C219" s="1092"/>
      <c r="D219" s="996" t="s">
        <v>110</v>
      </c>
      <c r="E219" s="877"/>
      <c r="F219" s="877"/>
      <c r="G219" s="879"/>
      <c r="H219" s="161" t="s">
        <v>12</v>
      </c>
      <c r="I219" s="880"/>
      <c r="J219" s="880"/>
      <c r="K219" s="881"/>
      <c r="L219" s="881">
        <f ca="1">IFERROR(__xludf.DUMMYFUNCTION("IMPORTRANGE(""https://docs.google.com/spreadsheets/d/1QqKyyYR6Q21VydFLVH3TRQUabQu_ym0Zz7PgGX0-kHA/edit?usp=sharing"",""แผน!AQ76"")"),5000)</f>
        <v>5000</v>
      </c>
      <c r="M219" s="881"/>
      <c r="N219" s="1085">
        <v>0</v>
      </c>
      <c r="O219" s="881"/>
      <c r="P219" s="881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</row>
    <row r="220" spans="1:26" ht="19.5">
      <c r="A220" s="1086"/>
      <c r="B220" s="1084"/>
      <c r="C220" s="1092"/>
      <c r="D220" s="996" t="s">
        <v>98</v>
      </c>
      <c r="E220" s="877"/>
      <c r="F220" s="877"/>
      <c r="G220" s="879"/>
      <c r="H220" s="161" t="s">
        <v>12</v>
      </c>
      <c r="I220" s="880"/>
      <c r="J220" s="880"/>
      <c r="K220" s="881"/>
      <c r="L220" s="881">
        <f ca="1">IFERROR(__xludf.DUMMYFUNCTION("IMPORTRANGE(""https://docs.google.com/spreadsheets/d/1QqKyyYR6Q21VydFLVH3TRQUabQu_ym0Zz7PgGX0-kHA/edit?usp=sharing"",""แผน!AR76"")"),10000)</f>
        <v>10000</v>
      </c>
      <c r="M220" s="881"/>
      <c r="N220" s="1085">
        <v>7360</v>
      </c>
      <c r="O220" s="881"/>
      <c r="P220" s="881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</row>
    <row r="221" spans="1:26" ht="19.5">
      <c r="A221" s="1002"/>
      <c r="B221" s="1003"/>
      <c r="C221" s="1092" t="s">
        <v>16</v>
      </c>
      <c r="D221" s="1004" t="s">
        <v>38</v>
      </c>
      <c r="E221" s="1005"/>
      <c r="F221" s="1005"/>
      <c r="G221" s="1006"/>
      <c r="H221" s="1007"/>
      <c r="I221" s="997"/>
      <c r="J221" s="997"/>
      <c r="K221" s="998"/>
      <c r="L221" s="998"/>
      <c r="M221" s="998"/>
      <c r="N221" s="998"/>
      <c r="O221" s="998"/>
      <c r="P221" s="99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8"/>
    </row>
    <row r="222" spans="1:26" ht="18.75">
      <c r="A222" s="1002"/>
      <c r="B222" s="1003"/>
      <c r="C222" s="1003"/>
      <c r="D222" s="996" t="s">
        <v>111</v>
      </c>
      <c r="E222" s="1010"/>
      <c r="F222" s="1010"/>
      <c r="G222" s="1011"/>
      <c r="H222" s="1007"/>
      <c r="I222" s="880"/>
      <c r="J222" s="880"/>
      <c r="K222" s="998"/>
      <c r="L222" s="998"/>
      <c r="M222" s="998"/>
      <c r="N222" s="998"/>
      <c r="O222" s="998"/>
      <c r="P222" s="998"/>
      <c r="Q222" s="868"/>
      <c r="R222" s="868"/>
      <c r="S222" s="868"/>
      <c r="T222" s="868"/>
      <c r="U222" s="868"/>
      <c r="V222" s="868"/>
      <c r="W222" s="868"/>
      <c r="X222" s="868"/>
      <c r="Y222" s="868"/>
      <c r="Z222" s="868"/>
    </row>
    <row r="223" spans="1:26" ht="18.75">
      <c r="A223" s="1002"/>
      <c r="B223" s="1003"/>
      <c r="C223" s="1003"/>
      <c r="D223" s="1003"/>
      <c r="E223" s="1008" t="s">
        <v>112</v>
      </c>
      <c r="F223" s="1010"/>
      <c r="G223" s="1011"/>
      <c r="H223" s="762" t="s">
        <v>109</v>
      </c>
      <c r="I223" s="880">
        <f ca="1">IFERROR(__xludf.DUMMYFUNCTION("IMPORTRANGE(""https://docs.google.com/spreadsheets/d/1QqKyyYR6Q21VydFLVH3TRQUabQu_ym0Zz7PgGX0-kHA/edit?usp=sharing"",""แผน!AT76"")"),20000)</f>
        <v>20000</v>
      </c>
      <c r="J223" s="1012">
        <v>0</v>
      </c>
      <c r="K223" s="998">
        <f t="shared" ref="K223:K226" ca="1" si="104">IF(I223&gt;0,J223*100/I223,0)</f>
        <v>0</v>
      </c>
      <c r="L223" s="998"/>
      <c r="M223" s="998"/>
      <c r="N223" s="998"/>
      <c r="O223" s="998"/>
      <c r="P223" s="998"/>
      <c r="Q223" s="868"/>
      <c r="R223" s="868"/>
      <c r="S223" s="868"/>
      <c r="T223" s="868"/>
      <c r="U223" s="868"/>
      <c r="V223" s="868"/>
      <c r="W223" s="868"/>
      <c r="X223" s="868"/>
      <c r="Y223" s="868"/>
      <c r="Z223" s="868"/>
    </row>
    <row r="224" spans="1:26" ht="18.75">
      <c r="A224" s="1002"/>
      <c r="B224" s="1003"/>
      <c r="C224" s="1003"/>
      <c r="D224" s="1003"/>
      <c r="E224" s="1008" t="s">
        <v>113</v>
      </c>
      <c r="F224" s="1010"/>
      <c r="G224" s="1011"/>
      <c r="H224" s="762" t="s">
        <v>109</v>
      </c>
      <c r="I224" s="880">
        <f ca="1">IFERROR(__xludf.DUMMYFUNCTION("IMPORTRANGE(""https://docs.google.com/spreadsheets/d/1QqKyyYR6Q21VydFLVH3TRQUabQu_ym0Zz7PgGX0-kHA/edit?usp=sharing"",""แผน!AT76"")"),20000)</f>
        <v>20000</v>
      </c>
      <c r="J224" s="1012">
        <v>0</v>
      </c>
      <c r="K224" s="998">
        <f t="shared" ca="1" si="104"/>
        <v>0</v>
      </c>
      <c r="L224" s="881"/>
      <c r="M224" s="881"/>
      <c r="N224" s="881"/>
      <c r="O224" s="881"/>
      <c r="P224" s="881"/>
      <c r="Q224" s="868"/>
      <c r="R224" s="868"/>
      <c r="S224" s="868"/>
      <c r="T224" s="868"/>
      <c r="U224" s="868"/>
      <c r="V224" s="868"/>
      <c r="W224" s="868"/>
      <c r="X224" s="868"/>
      <c r="Y224" s="868"/>
      <c r="Z224" s="868"/>
    </row>
    <row r="225" spans="1:26" ht="18.75">
      <c r="A225" s="1002"/>
      <c r="B225" s="1003"/>
      <c r="C225" s="1003"/>
      <c r="D225" s="996" t="s">
        <v>114</v>
      </c>
      <c r="E225" s="1010"/>
      <c r="F225" s="1010"/>
      <c r="G225" s="1011"/>
      <c r="H225" s="762" t="s">
        <v>35</v>
      </c>
      <c r="I225" s="880">
        <f ca="1">IFERROR(__xludf.DUMMYFUNCTION("IMPORTRANGE(""https://docs.google.com/spreadsheets/d/1QqKyyYR6Q21VydFLVH3TRQUabQu_ym0Zz7PgGX0-kHA/edit?usp=sharing"",""แผน!AS76"")"),10)</f>
        <v>10</v>
      </c>
      <c r="J225" s="1012">
        <v>10</v>
      </c>
      <c r="K225" s="998">
        <f t="shared" ca="1" si="104"/>
        <v>100</v>
      </c>
      <c r="L225" s="881"/>
      <c r="M225" s="881"/>
      <c r="N225" s="881"/>
      <c r="O225" s="881"/>
      <c r="P225" s="881"/>
      <c r="Q225" s="868"/>
      <c r="R225" s="868"/>
      <c r="S225" s="868"/>
      <c r="T225" s="868"/>
      <c r="U225" s="868"/>
      <c r="V225" s="868"/>
      <c r="W225" s="868"/>
      <c r="X225" s="868"/>
      <c r="Y225" s="868"/>
      <c r="Z225" s="868"/>
    </row>
    <row r="226" spans="1:26" ht="19.5" hidden="1">
      <c r="A226" s="1063"/>
      <c r="B226" s="1070"/>
      <c r="C226" s="1093" t="s">
        <v>115</v>
      </c>
      <c r="D226" s="1064"/>
      <c r="E226" s="1064"/>
      <c r="F226" s="1064"/>
      <c r="G226" s="1066"/>
      <c r="H226" s="266" t="s">
        <v>35</v>
      </c>
      <c r="I226" s="1094" t="e">
        <f t="shared" ref="I226:J226" ca="1" si="105">I237+I248</f>
        <v>#VALUE!</v>
      </c>
      <c r="J226" s="1094">
        <f t="shared" si="105"/>
        <v>0</v>
      </c>
      <c r="K226" s="1095" t="e">
        <f t="shared" ca="1" si="104"/>
        <v>#VALUE!</v>
      </c>
      <c r="L226" s="1068"/>
      <c r="M226" s="1068"/>
      <c r="N226" s="1068"/>
      <c r="O226" s="1068"/>
      <c r="P226" s="1068"/>
    </row>
    <row r="227" spans="1:26" ht="19.5" hidden="1">
      <c r="A227" s="1096"/>
      <c r="B227" s="1097"/>
      <c r="C227" s="1098" t="s">
        <v>16</v>
      </c>
      <c r="D227" s="1099" t="s">
        <v>17</v>
      </c>
      <c r="E227" s="1097"/>
      <c r="F227" s="1097"/>
      <c r="G227" s="1100"/>
      <c r="H227" s="353" t="s">
        <v>12</v>
      </c>
      <c r="I227" s="1101"/>
      <c r="J227" s="1101"/>
      <c r="K227" s="1102"/>
      <c r="L227" s="1103">
        <f t="shared" ref="L227:L231" ca="1" si="106">L238+L249</f>
        <v>0</v>
      </c>
      <c r="M227" s="1103"/>
      <c r="N227" s="1103">
        <f t="shared" ref="N227:N231" si="107">N238+N249</f>
        <v>0</v>
      </c>
      <c r="O227" s="1104"/>
      <c r="P227" s="1104"/>
      <c r="Q227" s="875"/>
      <c r="R227" s="875"/>
      <c r="S227" s="875"/>
      <c r="T227" s="875"/>
      <c r="U227" s="875"/>
      <c r="V227" s="875"/>
      <c r="W227" s="875"/>
      <c r="X227" s="875"/>
      <c r="Y227" s="875"/>
      <c r="Z227" s="875"/>
    </row>
    <row r="228" spans="1:26" ht="18.75" hidden="1">
      <c r="A228" s="993"/>
      <c r="B228" s="1105"/>
      <c r="C228" s="883"/>
      <c r="D228" s="884" t="s">
        <v>97</v>
      </c>
      <c r="E228" s="883"/>
      <c r="F228" s="883"/>
      <c r="G228" s="885"/>
      <c r="H228" s="165" t="s">
        <v>12</v>
      </c>
      <c r="I228" s="1000"/>
      <c r="J228" s="1000"/>
      <c r="K228" s="1001"/>
      <c r="L228" s="887">
        <f t="shared" ca="1" si="106"/>
        <v>0</v>
      </c>
      <c r="M228" s="887"/>
      <c r="N228" s="887">
        <f t="shared" si="107"/>
        <v>0</v>
      </c>
      <c r="O228" s="887"/>
      <c r="P228" s="887"/>
      <c r="Q228" s="875"/>
      <c r="R228" s="875"/>
      <c r="S228" s="875"/>
      <c r="T228" s="875"/>
      <c r="U228" s="875"/>
      <c r="V228" s="875"/>
      <c r="W228" s="875"/>
      <c r="X228" s="875"/>
      <c r="Y228" s="875"/>
      <c r="Z228" s="875"/>
    </row>
    <row r="229" spans="1:26" ht="19.5" hidden="1">
      <c r="A229" s="1106"/>
      <c r="B229" s="1105"/>
      <c r="C229" s="1107"/>
      <c r="D229" s="884" t="s">
        <v>98</v>
      </c>
      <c r="E229" s="883"/>
      <c r="F229" s="883"/>
      <c r="G229" s="885"/>
      <c r="H229" s="165" t="s">
        <v>12</v>
      </c>
      <c r="I229" s="886"/>
      <c r="J229" s="886"/>
      <c r="K229" s="887"/>
      <c r="L229" s="887">
        <f t="shared" ca="1" si="106"/>
        <v>0</v>
      </c>
      <c r="M229" s="887"/>
      <c r="N229" s="887">
        <f t="shared" si="107"/>
        <v>0</v>
      </c>
      <c r="O229" s="887"/>
      <c r="P229" s="887"/>
      <c r="Q229" s="1108"/>
      <c r="R229" s="1108"/>
      <c r="S229" s="1108"/>
      <c r="T229" s="1108"/>
      <c r="U229" s="1108"/>
      <c r="V229" s="1108"/>
      <c r="W229" s="1108"/>
      <c r="X229" s="1108"/>
      <c r="Y229" s="1108"/>
      <c r="Z229" s="1108"/>
    </row>
    <row r="230" spans="1:26" ht="19.5" hidden="1">
      <c r="A230" s="1106"/>
      <c r="B230" s="1105"/>
      <c r="C230" s="1107"/>
      <c r="D230" s="884" t="s">
        <v>116</v>
      </c>
      <c r="E230" s="883"/>
      <c r="F230" s="883"/>
      <c r="G230" s="885"/>
      <c r="H230" s="165" t="s">
        <v>12</v>
      </c>
      <c r="I230" s="886"/>
      <c r="J230" s="886"/>
      <c r="K230" s="887"/>
      <c r="L230" s="887">
        <f t="shared" ca="1" si="106"/>
        <v>0</v>
      </c>
      <c r="M230" s="887"/>
      <c r="N230" s="887">
        <f t="shared" si="107"/>
        <v>0</v>
      </c>
      <c r="O230" s="887"/>
      <c r="P230" s="887"/>
      <c r="Q230" s="1108"/>
      <c r="R230" s="1108"/>
      <c r="S230" s="1108"/>
      <c r="T230" s="1108"/>
      <c r="U230" s="1108"/>
      <c r="V230" s="1108"/>
      <c r="W230" s="1108"/>
      <c r="X230" s="1108"/>
      <c r="Y230" s="1108"/>
      <c r="Z230" s="1108"/>
    </row>
    <row r="231" spans="1:26" ht="19.5" hidden="1">
      <c r="A231" s="1106"/>
      <c r="B231" s="1105"/>
      <c r="C231" s="1107"/>
      <c r="D231" s="884" t="s">
        <v>100</v>
      </c>
      <c r="E231" s="883"/>
      <c r="F231" s="883"/>
      <c r="G231" s="885"/>
      <c r="H231" s="165" t="s">
        <v>12</v>
      </c>
      <c r="I231" s="886"/>
      <c r="J231" s="886"/>
      <c r="K231" s="887"/>
      <c r="L231" s="887">
        <f t="shared" ca="1" si="106"/>
        <v>0</v>
      </c>
      <c r="M231" s="887"/>
      <c r="N231" s="887">
        <f t="shared" si="107"/>
        <v>0</v>
      </c>
      <c r="O231" s="887"/>
      <c r="P231" s="887"/>
      <c r="Q231" s="1108"/>
      <c r="R231" s="1108"/>
      <c r="S231" s="1108"/>
      <c r="T231" s="1108"/>
      <c r="U231" s="1108"/>
      <c r="V231" s="1108"/>
      <c r="W231" s="1108"/>
      <c r="X231" s="1108"/>
      <c r="Y231" s="1108"/>
      <c r="Z231" s="1108"/>
    </row>
    <row r="232" spans="1:26" ht="19.5" hidden="1">
      <c r="A232" s="1109"/>
      <c r="B232" s="1110"/>
      <c r="C232" s="1107" t="s">
        <v>16</v>
      </c>
      <c r="D232" s="1072" t="s">
        <v>38</v>
      </c>
      <c r="E232" s="1111"/>
      <c r="F232" s="1111"/>
      <c r="G232" s="1112"/>
      <c r="H232" s="1113"/>
      <c r="I232" s="1000"/>
      <c r="J232" s="886"/>
      <c r="K232" s="887"/>
      <c r="L232" s="887"/>
      <c r="M232" s="887"/>
      <c r="N232" s="887"/>
      <c r="O232" s="1001"/>
      <c r="P232" s="1001"/>
      <c r="Q232" s="875"/>
      <c r="R232" s="875"/>
      <c r="S232" s="875"/>
      <c r="T232" s="875"/>
      <c r="U232" s="875"/>
      <c r="V232" s="875"/>
      <c r="W232" s="875"/>
      <c r="X232" s="875"/>
      <c r="Y232" s="875"/>
      <c r="Z232" s="875"/>
    </row>
    <row r="233" spans="1:26" ht="18.75" hidden="1">
      <c r="A233" s="1109"/>
      <c r="B233" s="1110"/>
      <c r="C233" s="1110"/>
      <c r="D233" s="1074" t="s">
        <v>117</v>
      </c>
      <c r="E233" s="1114"/>
      <c r="F233" s="1114"/>
      <c r="G233" s="1115"/>
      <c r="H233" s="370" t="s">
        <v>35</v>
      </c>
      <c r="I233" s="886" t="e">
        <f t="shared" ref="I233:J233" ca="1" si="108">I244+I255</f>
        <v>#VALUE!</v>
      </c>
      <c r="J233" s="886">
        <f t="shared" si="108"/>
        <v>0</v>
      </c>
      <c r="K233" s="887" t="e">
        <f ca="1">IF(I233&gt;0,J233*100/I233,0)</f>
        <v>#VALUE!</v>
      </c>
      <c r="L233" s="887"/>
      <c r="M233" s="887"/>
      <c r="N233" s="887"/>
      <c r="O233" s="887"/>
      <c r="P233" s="887"/>
      <c r="Q233" s="875"/>
      <c r="R233" s="875"/>
      <c r="S233" s="875"/>
      <c r="T233" s="875"/>
      <c r="U233" s="875"/>
      <c r="V233" s="875"/>
      <c r="W233" s="875"/>
      <c r="X233" s="875"/>
      <c r="Y233" s="875"/>
      <c r="Z233" s="875"/>
    </row>
    <row r="234" spans="1:26" ht="18.75" hidden="1">
      <c r="A234" s="1109"/>
      <c r="B234" s="1110"/>
      <c r="C234" s="1110"/>
      <c r="D234" s="1116" t="s">
        <v>43</v>
      </c>
      <c r="E234" s="1114"/>
      <c r="F234" s="1114"/>
      <c r="G234" s="1115"/>
      <c r="H234" s="370"/>
      <c r="I234" s="886"/>
      <c r="J234" s="886"/>
      <c r="K234" s="887"/>
      <c r="L234" s="887"/>
      <c r="M234" s="887"/>
      <c r="N234" s="887"/>
      <c r="O234" s="1001"/>
      <c r="P234" s="1001"/>
      <c r="Q234" s="875"/>
      <c r="R234" s="875"/>
      <c r="S234" s="875"/>
      <c r="T234" s="875"/>
      <c r="U234" s="875"/>
      <c r="V234" s="875"/>
      <c r="W234" s="875"/>
      <c r="X234" s="875"/>
      <c r="Y234" s="875"/>
      <c r="Z234" s="875"/>
    </row>
    <row r="235" spans="1:26" ht="18.75" hidden="1">
      <c r="A235" s="1109"/>
      <c r="B235" s="1110"/>
      <c r="C235" s="1110"/>
      <c r="D235" s="1110"/>
      <c r="E235" s="1073" t="s">
        <v>118</v>
      </c>
      <c r="F235" s="1114"/>
      <c r="G235" s="1115"/>
      <c r="H235" s="370" t="s">
        <v>35</v>
      </c>
      <c r="I235" s="886">
        <f t="shared" ref="I235:J236" si="109">I246+I257</f>
        <v>0</v>
      </c>
      <c r="J235" s="886">
        <f t="shared" si="109"/>
        <v>0</v>
      </c>
      <c r="K235" s="887">
        <f t="shared" ref="K235:K237" si="110">IF(I235&gt;0,J235*100/I235,0)</f>
        <v>0</v>
      </c>
      <c r="L235" s="887"/>
      <c r="M235" s="887"/>
      <c r="N235" s="887"/>
      <c r="O235" s="887"/>
      <c r="P235" s="887"/>
      <c r="Q235" s="875"/>
      <c r="R235" s="875"/>
      <c r="S235" s="875"/>
      <c r="T235" s="875"/>
      <c r="U235" s="875"/>
      <c r="V235" s="875"/>
      <c r="W235" s="875"/>
      <c r="X235" s="875"/>
      <c r="Y235" s="875"/>
      <c r="Z235" s="875"/>
    </row>
    <row r="236" spans="1:26" ht="18.75" hidden="1">
      <c r="A236" s="1109"/>
      <c r="B236" s="1110"/>
      <c r="C236" s="1110"/>
      <c r="D236" s="1110"/>
      <c r="E236" s="1073" t="s">
        <v>119</v>
      </c>
      <c r="F236" s="1114"/>
      <c r="G236" s="1115"/>
      <c r="H236" s="370" t="s">
        <v>66</v>
      </c>
      <c r="I236" s="886">
        <f t="shared" si="109"/>
        <v>0</v>
      </c>
      <c r="J236" s="886">
        <f t="shared" si="109"/>
        <v>0</v>
      </c>
      <c r="K236" s="887">
        <f t="shared" si="110"/>
        <v>0</v>
      </c>
      <c r="L236" s="887"/>
      <c r="M236" s="887"/>
      <c r="N236" s="887"/>
      <c r="O236" s="887"/>
      <c r="P236" s="887"/>
      <c r="Q236" s="875"/>
      <c r="R236" s="875"/>
      <c r="S236" s="875"/>
      <c r="T236" s="875"/>
      <c r="U236" s="875"/>
      <c r="V236" s="875"/>
      <c r="W236" s="875"/>
      <c r="X236" s="875"/>
      <c r="Y236" s="875"/>
      <c r="Z236" s="875"/>
    </row>
    <row r="237" spans="1:26" ht="19.5" hidden="1">
      <c r="A237" s="1063"/>
      <c r="B237" s="1070"/>
      <c r="C237" s="1077" t="s">
        <v>332</v>
      </c>
      <c r="D237" s="1064"/>
      <c r="E237" s="1064"/>
      <c r="F237" s="1064"/>
      <c r="G237" s="1066"/>
      <c r="H237" s="260" t="s">
        <v>35</v>
      </c>
      <c r="I237" s="1078">
        <f t="shared" ref="I237:J237" ca="1" si="111">I244</f>
        <v>0</v>
      </c>
      <c r="J237" s="1078">
        <f t="shared" si="111"/>
        <v>0</v>
      </c>
      <c r="K237" s="1079">
        <f t="shared" ca="1" si="110"/>
        <v>0</v>
      </c>
      <c r="L237" s="1068"/>
      <c r="M237" s="1068"/>
      <c r="N237" s="1068"/>
      <c r="O237" s="1068"/>
      <c r="P237" s="1068"/>
    </row>
    <row r="238" spans="1:26" ht="19.5" hidden="1">
      <c r="A238" s="985"/>
      <c r="B238" s="986"/>
      <c r="C238" s="987" t="s">
        <v>16</v>
      </c>
      <c r="D238" s="988" t="s">
        <v>17</v>
      </c>
      <c r="E238" s="986"/>
      <c r="F238" s="986"/>
      <c r="G238" s="989"/>
      <c r="H238" s="275" t="s">
        <v>12</v>
      </c>
      <c r="I238" s="1082"/>
      <c r="J238" s="1082"/>
      <c r="K238" s="1083"/>
      <c r="L238" s="992">
        <f ca="1">L239+L240+L241+L242</f>
        <v>0</v>
      </c>
      <c r="M238" s="992"/>
      <c r="N238" s="992">
        <f>N239+N240+N241+N242</f>
        <v>0</v>
      </c>
      <c r="O238" s="992">
        <f ca="1">IF(L238&gt;0,N238*100/L238,0)</f>
        <v>0</v>
      </c>
      <c r="P238" s="992">
        <f>IF(M238&gt;0,N238*100/M238,0)</f>
        <v>0</v>
      </c>
      <c r="Q238" s="868"/>
      <c r="R238" s="868"/>
      <c r="S238" s="868"/>
      <c r="T238" s="868"/>
      <c r="U238" s="868"/>
      <c r="V238" s="868"/>
      <c r="W238" s="868"/>
      <c r="X238" s="868"/>
      <c r="Y238" s="868"/>
      <c r="Z238" s="868"/>
    </row>
    <row r="239" spans="1:26" ht="18.75" hidden="1">
      <c r="A239" s="1117"/>
      <c r="B239" s="1118"/>
      <c r="C239" s="1119"/>
      <c r="D239" s="1120" t="s">
        <v>97</v>
      </c>
      <c r="E239" s="1119"/>
      <c r="F239" s="1119"/>
      <c r="G239" s="1121"/>
      <c r="H239" s="319" t="s">
        <v>12</v>
      </c>
      <c r="I239" s="1122"/>
      <c r="J239" s="1122"/>
      <c r="K239" s="1123"/>
      <c r="L239" s="1124">
        <f ca="1">IFERROR(__xludf.DUMMYFUNCTION("IMPORTRANGE(""https://docs.google.com/spreadsheets/d/1QqKyyYR6Q21VydFLVH3TRQUabQu_ym0Zz7PgGX0-kHA/edit?usp=sharing"",""แผน!AV76"")"),0)</f>
        <v>0</v>
      </c>
      <c r="M239" s="1124"/>
      <c r="N239" s="1125">
        <v>0</v>
      </c>
      <c r="O239" s="1124"/>
      <c r="P239" s="1124"/>
      <c r="Q239" s="1126"/>
      <c r="R239" s="1126"/>
      <c r="S239" s="1126"/>
      <c r="T239" s="1126"/>
      <c r="U239" s="1126"/>
      <c r="V239" s="1126"/>
      <c r="W239" s="1126"/>
      <c r="X239" s="1126"/>
      <c r="Y239" s="1126"/>
      <c r="Z239" s="1126"/>
    </row>
    <row r="240" spans="1:26" ht="19.5" hidden="1">
      <c r="A240" s="1127"/>
      <c r="B240" s="1118"/>
      <c r="C240" s="1128"/>
      <c r="D240" s="1120" t="s">
        <v>98</v>
      </c>
      <c r="E240" s="1119"/>
      <c r="F240" s="1119"/>
      <c r="G240" s="1121"/>
      <c r="H240" s="319" t="s">
        <v>12</v>
      </c>
      <c r="I240" s="1129"/>
      <c r="J240" s="1129"/>
      <c r="K240" s="1124"/>
      <c r="L240" s="1124">
        <f ca="1">IFERROR(__xludf.DUMMYFUNCTION("IMPORTRANGE(""https://docs.google.com/spreadsheets/d/1QqKyyYR6Q21VydFLVH3TRQUabQu_ym0Zz7PgGX0-kHA/edit?usp=sharing"",""แผน!AW76"")"),0)</f>
        <v>0</v>
      </c>
      <c r="M240" s="1124"/>
      <c r="N240" s="1125">
        <v>0</v>
      </c>
      <c r="O240" s="1124"/>
      <c r="P240" s="1124"/>
      <c r="Q240" s="1130"/>
      <c r="R240" s="1130"/>
      <c r="S240" s="1130"/>
      <c r="T240" s="1130"/>
      <c r="U240" s="1130"/>
      <c r="V240" s="1130"/>
      <c r="W240" s="1130"/>
      <c r="X240" s="1130"/>
      <c r="Y240" s="1130"/>
      <c r="Z240" s="1130"/>
    </row>
    <row r="241" spans="1:26" ht="19.5" hidden="1">
      <c r="A241" s="1127"/>
      <c r="B241" s="1118"/>
      <c r="C241" s="1128"/>
      <c r="D241" s="1120" t="s">
        <v>116</v>
      </c>
      <c r="E241" s="1119"/>
      <c r="F241" s="1119"/>
      <c r="G241" s="1121"/>
      <c r="H241" s="319" t="s">
        <v>12</v>
      </c>
      <c r="I241" s="1129"/>
      <c r="J241" s="1129"/>
      <c r="K241" s="1124"/>
      <c r="L241" s="1124">
        <f ca="1">IFERROR(__xludf.DUMMYFUNCTION("IMPORTRANGE(""https://docs.google.com/spreadsheets/d/1QqKyyYR6Q21VydFLVH3TRQUabQu_ym0Zz7PgGX0-kHA/edit?usp=sharing"",""แผน!AX76"")"),0)</f>
        <v>0</v>
      </c>
      <c r="M241" s="1124"/>
      <c r="N241" s="1125">
        <v>0</v>
      </c>
      <c r="O241" s="1124"/>
      <c r="P241" s="1124"/>
      <c r="Q241" s="1130"/>
      <c r="R241" s="1130"/>
      <c r="S241" s="1130"/>
      <c r="T241" s="1130"/>
      <c r="U241" s="1130"/>
      <c r="V241" s="1130"/>
      <c r="W241" s="1130"/>
      <c r="X241" s="1130"/>
      <c r="Y241" s="1130"/>
      <c r="Z241" s="1130"/>
    </row>
    <row r="242" spans="1:26" ht="19.5" hidden="1">
      <c r="A242" s="1127"/>
      <c r="B242" s="1118"/>
      <c r="C242" s="1128"/>
      <c r="D242" s="1120" t="s">
        <v>100</v>
      </c>
      <c r="E242" s="1119"/>
      <c r="F242" s="1119"/>
      <c r="G242" s="1121"/>
      <c r="H242" s="319" t="s">
        <v>12</v>
      </c>
      <c r="I242" s="1129"/>
      <c r="J242" s="1129"/>
      <c r="K242" s="1124"/>
      <c r="L242" s="1124">
        <f ca="1">IFERROR(__xludf.DUMMYFUNCTION("IMPORTRANGE(""https://docs.google.com/spreadsheets/d/1QqKyyYR6Q21VydFLVH3TRQUabQu_ym0Zz7PgGX0-kHA/edit?usp=sharing"",""แผน!AY76"")"),0)</f>
        <v>0</v>
      </c>
      <c r="M242" s="1124"/>
      <c r="N242" s="1125">
        <v>0</v>
      </c>
      <c r="O242" s="1124"/>
      <c r="P242" s="1124"/>
      <c r="Q242" s="1130"/>
      <c r="R242" s="1130"/>
      <c r="S242" s="1130"/>
      <c r="T242" s="1130"/>
      <c r="U242" s="1130"/>
      <c r="V242" s="1130"/>
      <c r="W242" s="1130"/>
      <c r="X242" s="1130"/>
      <c r="Y242" s="1130"/>
      <c r="Z242" s="1130"/>
    </row>
    <row r="243" spans="1:26" ht="19.5" hidden="1">
      <c r="A243" s="1002"/>
      <c r="B243" s="1003"/>
      <c r="C243" s="1092" t="s">
        <v>16</v>
      </c>
      <c r="D243" s="1004" t="s">
        <v>38</v>
      </c>
      <c r="E243" s="1005"/>
      <c r="F243" s="1005"/>
      <c r="G243" s="1006"/>
      <c r="H243" s="1007"/>
      <c r="I243" s="997"/>
      <c r="J243" s="880"/>
      <c r="K243" s="881"/>
      <c r="L243" s="881"/>
      <c r="M243" s="881"/>
      <c r="N243" s="881"/>
      <c r="O243" s="998"/>
      <c r="P243" s="998"/>
      <c r="Q243" s="868"/>
      <c r="R243" s="868"/>
      <c r="S243" s="868"/>
      <c r="T243" s="868"/>
      <c r="U243" s="868"/>
      <c r="V243" s="868"/>
      <c r="W243" s="868"/>
      <c r="X243" s="868"/>
      <c r="Y243" s="868"/>
      <c r="Z243" s="868"/>
    </row>
    <row r="244" spans="1:26" ht="18.75" hidden="1">
      <c r="A244" s="1002"/>
      <c r="B244" s="1003"/>
      <c r="C244" s="1003"/>
      <c r="D244" s="1009" t="s">
        <v>117</v>
      </c>
      <c r="E244" s="1010"/>
      <c r="F244" s="1010"/>
      <c r="G244" s="1011"/>
      <c r="H244" s="762" t="s">
        <v>35</v>
      </c>
      <c r="I244" s="880">
        <f ca="1">IFERROR(__xludf.DUMMYFUNCTION("IMPORTRANGE(""https://docs.google.com/spreadsheets/d/1QqKyyYR6Q21VydFLVH3TRQUabQu_ym0Zz7PgGX0-kHA/edit?usp=sharing"",""แผน!BE76"")"),0)</f>
        <v>0</v>
      </c>
      <c r="J244" s="1012">
        <v>0</v>
      </c>
      <c r="K244" s="881">
        <f ca="1">IF(I244&gt;0,J244*100/I244,0)</f>
        <v>0</v>
      </c>
      <c r="L244" s="881"/>
      <c r="M244" s="881"/>
      <c r="N244" s="881"/>
      <c r="O244" s="881"/>
      <c r="P244" s="881"/>
      <c r="Q244" s="868"/>
      <c r="R244" s="868"/>
      <c r="S244" s="868"/>
      <c r="T244" s="868"/>
      <c r="U244" s="868"/>
      <c r="V244" s="868"/>
      <c r="W244" s="868"/>
      <c r="X244" s="868"/>
      <c r="Y244" s="868"/>
      <c r="Z244" s="868"/>
    </row>
    <row r="245" spans="1:26" ht="18.75" hidden="1">
      <c r="A245" s="1002"/>
      <c r="B245" s="1003"/>
      <c r="C245" s="1003"/>
      <c r="D245" s="1131" t="s">
        <v>43</v>
      </c>
      <c r="E245" s="1010"/>
      <c r="F245" s="1010"/>
      <c r="G245" s="1011"/>
      <c r="H245" s="762"/>
      <c r="I245" s="880"/>
      <c r="J245" s="880"/>
      <c r="K245" s="881"/>
      <c r="L245" s="881"/>
      <c r="M245" s="881"/>
      <c r="N245" s="881"/>
      <c r="O245" s="998"/>
      <c r="P245" s="998"/>
      <c r="Q245" s="868"/>
      <c r="R245" s="868"/>
      <c r="S245" s="868"/>
      <c r="T245" s="868"/>
      <c r="U245" s="868"/>
      <c r="V245" s="868"/>
      <c r="W245" s="868"/>
      <c r="X245" s="868"/>
      <c r="Y245" s="868"/>
      <c r="Z245" s="868"/>
    </row>
    <row r="246" spans="1:26" ht="18.75" hidden="1">
      <c r="A246" s="1002"/>
      <c r="B246" s="1003"/>
      <c r="C246" s="1003"/>
      <c r="D246" s="1003"/>
      <c r="E246" s="1008" t="s">
        <v>118</v>
      </c>
      <c r="F246" s="1010"/>
      <c r="G246" s="1011"/>
      <c r="H246" s="762" t="s">
        <v>35</v>
      </c>
      <c r="I246" s="880"/>
      <c r="J246" s="1012">
        <v>0</v>
      </c>
      <c r="K246" s="881">
        <f t="shared" ref="K246:K248" si="112">IF(I246&gt;0,J246*100/I246,0)</f>
        <v>0</v>
      </c>
      <c r="L246" s="881"/>
      <c r="M246" s="881"/>
      <c r="N246" s="881"/>
      <c r="O246" s="881"/>
      <c r="P246" s="881"/>
      <c r="Q246" s="868"/>
      <c r="R246" s="868"/>
      <c r="S246" s="868"/>
      <c r="T246" s="868"/>
      <c r="U246" s="868"/>
      <c r="V246" s="868"/>
      <c r="W246" s="868"/>
      <c r="X246" s="868"/>
      <c r="Y246" s="868"/>
      <c r="Z246" s="868"/>
    </row>
    <row r="247" spans="1:26" ht="18.75" hidden="1">
      <c r="A247" s="1002"/>
      <c r="B247" s="1003"/>
      <c r="C247" s="1003"/>
      <c r="D247" s="1003"/>
      <c r="E247" s="1008" t="s">
        <v>119</v>
      </c>
      <c r="F247" s="1010"/>
      <c r="G247" s="1011"/>
      <c r="H247" s="762" t="s">
        <v>66</v>
      </c>
      <c r="I247" s="880"/>
      <c r="J247" s="1012">
        <v>0</v>
      </c>
      <c r="K247" s="881">
        <f t="shared" si="112"/>
        <v>0</v>
      </c>
      <c r="L247" s="881"/>
      <c r="M247" s="881"/>
      <c r="N247" s="881"/>
      <c r="O247" s="881"/>
      <c r="P247" s="881"/>
      <c r="Q247" s="868"/>
      <c r="R247" s="868"/>
      <c r="S247" s="868"/>
      <c r="T247" s="868"/>
      <c r="U247" s="868"/>
      <c r="V247" s="868"/>
      <c r="W247" s="868"/>
      <c r="X247" s="868"/>
      <c r="Y247" s="868"/>
      <c r="Z247" s="868"/>
    </row>
    <row r="248" spans="1:26" ht="19.5" hidden="1">
      <c r="A248" s="1063"/>
      <c r="B248" s="1070"/>
      <c r="C248" s="1077" t="s">
        <v>333</v>
      </c>
      <c r="D248" s="1064"/>
      <c r="E248" s="1064"/>
      <c r="F248" s="1064"/>
      <c r="G248" s="1066"/>
      <c r="H248" s="260" t="s">
        <v>35</v>
      </c>
      <c r="I248" s="1078" t="str">
        <f t="shared" ref="I248:J248" ca="1" si="113">I255</f>
        <v/>
      </c>
      <c r="J248" s="1078">
        <f t="shared" si="113"/>
        <v>0</v>
      </c>
      <c r="K248" s="1079" t="e">
        <f t="shared" ca="1" si="112"/>
        <v>#VALUE!</v>
      </c>
      <c r="L248" s="1068"/>
      <c r="M248" s="1068"/>
      <c r="N248" s="1068"/>
      <c r="O248" s="1068"/>
      <c r="P248" s="1068"/>
    </row>
    <row r="249" spans="1:26" ht="19.5" hidden="1">
      <c r="A249" s="985"/>
      <c r="B249" s="986"/>
      <c r="C249" s="987" t="s">
        <v>16</v>
      </c>
      <c r="D249" s="1080" t="s">
        <v>17</v>
      </c>
      <c r="E249" s="986"/>
      <c r="F249" s="986"/>
      <c r="G249" s="989"/>
      <c r="H249" s="275" t="s">
        <v>12</v>
      </c>
      <c r="I249" s="1082"/>
      <c r="J249" s="1082"/>
      <c r="K249" s="1083"/>
      <c r="L249" s="992">
        <f ca="1">L250+L251+L252+L253</f>
        <v>0</v>
      </c>
      <c r="M249" s="992"/>
      <c r="N249" s="992">
        <f>N250+N251+N252+N253</f>
        <v>0</v>
      </c>
      <c r="O249" s="992">
        <f ca="1">IF(L249&gt;0,N249*100/L249,0)</f>
        <v>0</v>
      </c>
      <c r="P249" s="992">
        <f>IF(M249&gt;0,N249*100/M249,0)</f>
        <v>0</v>
      </c>
      <c r="Q249" s="868"/>
      <c r="R249" s="868"/>
      <c r="S249" s="868"/>
      <c r="T249" s="868"/>
      <c r="U249" s="868"/>
      <c r="V249" s="868"/>
      <c r="W249" s="868"/>
      <c r="X249" s="868"/>
      <c r="Y249" s="868"/>
      <c r="Z249" s="868"/>
    </row>
    <row r="250" spans="1:26" ht="18.75" hidden="1">
      <c r="A250" s="1117"/>
      <c r="B250" s="1118"/>
      <c r="C250" s="1119"/>
      <c r="D250" s="1120" t="s">
        <v>97</v>
      </c>
      <c r="E250" s="1119"/>
      <c r="F250" s="1119"/>
      <c r="G250" s="1121"/>
      <c r="H250" s="319" t="s">
        <v>12</v>
      </c>
      <c r="I250" s="1122"/>
      <c r="J250" s="1122"/>
      <c r="K250" s="1123"/>
      <c r="L250" s="1124">
        <f ca="1">IFERROR(__xludf.DUMMYFUNCTION("IMPORTRANGE(""https://docs.google.com/spreadsheets/d/1QqKyyYR6Q21VydFLVH3TRQUabQu_ym0Zz7PgGX0-kHA/edit?usp=sharing"",""แผน!AZ76"")"),0)</f>
        <v>0</v>
      </c>
      <c r="M250" s="1124"/>
      <c r="N250" s="1125">
        <v>0</v>
      </c>
      <c r="O250" s="1124"/>
      <c r="P250" s="1124"/>
      <c r="Q250" s="1126"/>
      <c r="R250" s="1126"/>
      <c r="S250" s="1126"/>
      <c r="T250" s="1126"/>
      <c r="U250" s="1126"/>
      <c r="V250" s="1126"/>
      <c r="W250" s="1126"/>
      <c r="X250" s="1126"/>
      <c r="Y250" s="1126"/>
      <c r="Z250" s="1126"/>
    </row>
    <row r="251" spans="1:26" ht="19.5" hidden="1">
      <c r="A251" s="1127"/>
      <c r="B251" s="1118"/>
      <c r="C251" s="1128"/>
      <c r="D251" s="1120" t="s">
        <v>98</v>
      </c>
      <c r="E251" s="1119"/>
      <c r="F251" s="1119"/>
      <c r="G251" s="1121"/>
      <c r="H251" s="319" t="s">
        <v>12</v>
      </c>
      <c r="I251" s="1129"/>
      <c r="J251" s="1129"/>
      <c r="K251" s="1124"/>
      <c r="L251" s="1124">
        <f ca="1">IFERROR(__xludf.DUMMYFUNCTION("IMPORTRANGE(""https://docs.google.com/spreadsheets/d/1QqKyyYR6Q21VydFLVH3TRQUabQu_ym0Zz7PgGX0-kHA/edit?usp=sharing"",""แผน!BA76"")"),0)</f>
        <v>0</v>
      </c>
      <c r="M251" s="1124"/>
      <c r="N251" s="1125">
        <v>0</v>
      </c>
      <c r="O251" s="1124"/>
      <c r="P251" s="1124"/>
      <c r="Q251" s="1130"/>
      <c r="R251" s="1130"/>
      <c r="S251" s="1130"/>
      <c r="T251" s="1130"/>
      <c r="U251" s="1130"/>
      <c r="V251" s="1130"/>
      <c r="W251" s="1130"/>
      <c r="X251" s="1130"/>
      <c r="Y251" s="1130"/>
      <c r="Z251" s="1130"/>
    </row>
    <row r="252" spans="1:26" ht="19.5" hidden="1">
      <c r="A252" s="1127"/>
      <c r="B252" s="1118"/>
      <c r="C252" s="1128"/>
      <c r="D252" s="1120" t="s">
        <v>116</v>
      </c>
      <c r="E252" s="1119"/>
      <c r="F252" s="1119"/>
      <c r="G252" s="1121"/>
      <c r="H252" s="319" t="s">
        <v>12</v>
      </c>
      <c r="I252" s="1129"/>
      <c r="J252" s="1129"/>
      <c r="K252" s="1124"/>
      <c r="L252" s="1124">
        <f ca="1">IFERROR(__xludf.DUMMYFUNCTION("IMPORTRANGE(""https://docs.google.com/spreadsheets/d/1QqKyyYR6Q21VydFLVH3TRQUabQu_ym0Zz7PgGX0-kHA/edit?usp=sharing"",""แผน!BB76"")"),0)</f>
        <v>0</v>
      </c>
      <c r="M252" s="1124"/>
      <c r="N252" s="1125">
        <v>0</v>
      </c>
      <c r="O252" s="1124"/>
      <c r="P252" s="1124"/>
      <c r="Q252" s="1130"/>
      <c r="R252" s="1130"/>
      <c r="S252" s="1130"/>
      <c r="T252" s="1130"/>
      <c r="U252" s="1130"/>
      <c r="V252" s="1130"/>
      <c r="W252" s="1130"/>
      <c r="X252" s="1130"/>
      <c r="Y252" s="1130"/>
      <c r="Z252" s="1130"/>
    </row>
    <row r="253" spans="1:26" ht="19.5" hidden="1">
      <c r="A253" s="1127"/>
      <c r="B253" s="1118"/>
      <c r="C253" s="1128"/>
      <c r="D253" s="1120" t="s">
        <v>100</v>
      </c>
      <c r="E253" s="1119"/>
      <c r="F253" s="1119"/>
      <c r="G253" s="1121"/>
      <c r="H253" s="319" t="s">
        <v>12</v>
      </c>
      <c r="I253" s="1129"/>
      <c r="J253" s="1129"/>
      <c r="K253" s="1124"/>
      <c r="L253" s="1124">
        <f ca="1">IFERROR(__xludf.DUMMYFUNCTION("IMPORTRANGE(""https://docs.google.com/spreadsheets/d/1QqKyyYR6Q21VydFLVH3TRQUabQu_ym0Zz7PgGX0-kHA/edit?usp=sharing"",""แผน!BC76"")"),0)</f>
        <v>0</v>
      </c>
      <c r="M253" s="1124"/>
      <c r="N253" s="1125">
        <v>0</v>
      </c>
      <c r="O253" s="1124"/>
      <c r="P253" s="1124"/>
      <c r="Q253" s="1130"/>
      <c r="R253" s="1130"/>
      <c r="S253" s="1130"/>
      <c r="T253" s="1130"/>
      <c r="U253" s="1130"/>
      <c r="V253" s="1130"/>
      <c r="W253" s="1130"/>
      <c r="X253" s="1130"/>
      <c r="Y253" s="1130"/>
      <c r="Z253" s="1130"/>
    </row>
    <row r="254" spans="1:26" ht="19.5" hidden="1">
      <c r="A254" s="1002"/>
      <c r="B254" s="1003"/>
      <c r="C254" s="1092" t="s">
        <v>16</v>
      </c>
      <c r="D254" s="1004" t="s">
        <v>38</v>
      </c>
      <c r="E254" s="1005"/>
      <c r="F254" s="1005"/>
      <c r="G254" s="1006"/>
      <c r="H254" s="1007"/>
      <c r="I254" s="997"/>
      <c r="J254" s="880"/>
      <c r="K254" s="881"/>
      <c r="L254" s="881"/>
      <c r="M254" s="881"/>
      <c r="N254" s="881"/>
      <c r="O254" s="998"/>
      <c r="P254" s="998"/>
      <c r="Q254" s="868"/>
      <c r="R254" s="868"/>
      <c r="S254" s="868"/>
      <c r="T254" s="868"/>
      <c r="U254" s="868"/>
      <c r="V254" s="868"/>
      <c r="W254" s="868"/>
      <c r="X254" s="868"/>
      <c r="Y254" s="868"/>
      <c r="Z254" s="868"/>
    </row>
    <row r="255" spans="1:26" ht="18.75" hidden="1">
      <c r="A255" s="1002"/>
      <c r="B255" s="1003"/>
      <c r="C255" s="1003"/>
      <c r="D255" s="1009" t="s">
        <v>117</v>
      </c>
      <c r="E255" s="1010"/>
      <c r="F255" s="1010"/>
      <c r="G255" s="1011"/>
      <c r="H255" s="762" t="s">
        <v>35</v>
      </c>
      <c r="I255" s="880" t="str">
        <f ca="1">IFERROR(__xludf.DUMMYFUNCTION("IMPORTRANGE(""https://docs.google.com/spreadsheets/d/1QqKyyYR6Q21VydFLVH3TRQUabQu_ym0Zz7PgGX0-kHA/edit?usp=sharing"",""แผน!BF76"")"),"")</f>
        <v/>
      </c>
      <c r="J255" s="1012">
        <v>0</v>
      </c>
      <c r="K255" s="881" t="e">
        <f ca="1">IF(I255&gt;0,J255*100/I255,0)</f>
        <v>#VALUE!</v>
      </c>
      <c r="L255" s="881"/>
      <c r="M255" s="881"/>
      <c r="N255" s="881"/>
      <c r="O255" s="881"/>
      <c r="P255" s="881"/>
      <c r="Q255" s="868"/>
      <c r="R255" s="868"/>
      <c r="S255" s="868"/>
      <c r="T255" s="868"/>
      <c r="U255" s="868"/>
      <c r="V255" s="868"/>
      <c r="W255" s="868"/>
      <c r="X255" s="868"/>
      <c r="Y255" s="868"/>
      <c r="Z255" s="868"/>
    </row>
    <row r="256" spans="1:26" ht="18.75" hidden="1">
      <c r="A256" s="1002"/>
      <c r="B256" s="1003"/>
      <c r="C256" s="1003"/>
      <c r="D256" s="1131" t="s">
        <v>43</v>
      </c>
      <c r="E256" s="1010"/>
      <c r="F256" s="1010"/>
      <c r="G256" s="1011"/>
      <c r="H256" s="762"/>
      <c r="I256" s="880"/>
      <c r="J256" s="880"/>
      <c r="K256" s="881"/>
      <c r="L256" s="881"/>
      <c r="M256" s="881"/>
      <c r="N256" s="881"/>
      <c r="O256" s="998"/>
      <c r="P256" s="998"/>
      <c r="Q256" s="868"/>
      <c r="R256" s="868"/>
      <c r="S256" s="868"/>
      <c r="T256" s="868"/>
      <c r="U256" s="868"/>
      <c r="V256" s="868"/>
      <c r="W256" s="868"/>
      <c r="X256" s="868"/>
      <c r="Y256" s="868"/>
      <c r="Z256" s="868"/>
    </row>
    <row r="257" spans="1:26" ht="18.75" hidden="1">
      <c r="A257" s="1002"/>
      <c r="B257" s="1003"/>
      <c r="C257" s="1003"/>
      <c r="D257" s="1003"/>
      <c r="E257" s="1008" t="s">
        <v>118</v>
      </c>
      <c r="F257" s="1010"/>
      <c r="G257" s="1011"/>
      <c r="H257" s="762" t="s">
        <v>35</v>
      </c>
      <c r="I257" s="880"/>
      <c r="J257" s="1012">
        <v>0</v>
      </c>
      <c r="K257" s="881">
        <f t="shared" ref="K257:K258" si="114">IF(I257&gt;0,J257*100/I257,0)</f>
        <v>0</v>
      </c>
      <c r="L257" s="881"/>
      <c r="M257" s="881"/>
      <c r="N257" s="881"/>
      <c r="O257" s="881"/>
      <c r="P257" s="881"/>
      <c r="Q257" s="868"/>
      <c r="R257" s="868"/>
      <c r="S257" s="868"/>
      <c r="T257" s="868"/>
      <c r="U257" s="868"/>
      <c r="V257" s="868"/>
      <c r="W257" s="868"/>
      <c r="X257" s="868"/>
      <c r="Y257" s="868"/>
      <c r="Z257" s="868"/>
    </row>
    <row r="258" spans="1:26" ht="18.75" hidden="1">
      <c r="A258" s="1002"/>
      <c r="B258" s="1003"/>
      <c r="C258" s="1003"/>
      <c r="D258" s="1003"/>
      <c r="E258" s="1008" t="s">
        <v>119</v>
      </c>
      <c r="F258" s="1010"/>
      <c r="G258" s="1011"/>
      <c r="H258" s="762" t="s">
        <v>66</v>
      </c>
      <c r="I258" s="880"/>
      <c r="J258" s="1012">
        <v>0</v>
      </c>
      <c r="K258" s="881">
        <f t="shared" si="114"/>
        <v>0</v>
      </c>
      <c r="L258" s="881"/>
      <c r="M258" s="881"/>
      <c r="N258" s="881"/>
      <c r="O258" s="881"/>
      <c r="P258" s="881"/>
      <c r="Q258" s="868"/>
      <c r="R258" s="868"/>
      <c r="S258" s="868"/>
      <c r="T258" s="868"/>
      <c r="U258" s="868"/>
      <c r="V258" s="868"/>
      <c r="W258" s="868"/>
      <c r="X258" s="868"/>
      <c r="Y258" s="868"/>
      <c r="Z258" s="868"/>
    </row>
    <row r="259" spans="1:26" ht="19.5">
      <c r="A259" s="1051" t="s">
        <v>122</v>
      </c>
      <c r="B259" s="1052"/>
      <c r="C259" s="1052"/>
      <c r="D259" s="1053"/>
      <c r="E259" s="1053"/>
      <c r="F259" s="1053"/>
      <c r="G259" s="1054"/>
      <c r="H259" s="1055"/>
      <c r="I259" s="1056"/>
      <c r="J259" s="1056"/>
      <c r="K259" s="1057"/>
      <c r="L259" s="1057"/>
      <c r="M259" s="1057"/>
      <c r="N259" s="1057"/>
      <c r="O259" s="1057"/>
      <c r="P259" s="1057"/>
    </row>
    <row r="260" spans="1:26" ht="19.5">
      <c r="A260" s="1058"/>
      <c r="B260" s="1059" t="s">
        <v>123</v>
      </c>
      <c r="C260" s="1060"/>
      <c r="D260" s="1005"/>
      <c r="E260" s="1005"/>
      <c r="F260" s="1005"/>
      <c r="G260" s="1006"/>
      <c r="H260" s="252" t="s">
        <v>35</v>
      </c>
      <c r="I260" s="1075">
        <f t="shared" ref="I260:J260" ca="1" si="115">I271</f>
        <v>24</v>
      </c>
      <c r="J260" s="1075">
        <f t="shared" si="115"/>
        <v>0</v>
      </c>
      <c r="K260" s="1076">
        <f ca="1">IF(I260&gt;0,J260*100/I260,0)</f>
        <v>0</v>
      </c>
      <c r="L260" s="1062"/>
      <c r="M260" s="1062"/>
      <c r="N260" s="1062"/>
      <c r="O260" s="1062"/>
      <c r="P260" s="1062"/>
    </row>
    <row r="261" spans="1:26" ht="19.5">
      <c r="A261" s="985"/>
      <c r="B261" s="986"/>
      <c r="C261" s="987" t="s">
        <v>16</v>
      </c>
      <c r="D261" s="988" t="s">
        <v>17</v>
      </c>
      <c r="E261" s="986"/>
      <c r="F261" s="986"/>
      <c r="G261" s="989"/>
      <c r="H261" s="152" t="s">
        <v>12</v>
      </c>
      <c r="I261" s="990"/>
      <c r="J261" s="990"/>
      <c r="K261" s="991"/>
      <c r="L261" s="992">
        <f t="shared" ref="L261:N261" ca="1" si="116">L262+L263</f>
        <v>28800</v>
      </c>
      <c r="M261" s="992">
        <f t="shared" ca="1" si="116"/>
        <v>0</v>
      </c>
      <c r="N261" s="992">
        <f t="shared" ca="1" si="116"/>
        <v>0</v>
      </c>
      <c r="O261" s="992">
        <f t="shared" ref="O261:O269" ca="1" si="117">IF(L261&gt;0,N261*100/L261,0)</f>
        <v>0</v>
      </c>
      <c r="P261" s="992">
        <f t="shared" ref="P261:P269" ca="1" si="118">IF(M261&gt;0,N261*100/M261,0)</f>
        <v>0</v>
      </c>
      <c r="Q261" s="868"/>
      <c r="R261" s="868"/>
      <c r="S261" s="868"/>
      <c r="T261" s="868"/>
      <c r="U261" s="868"/>
      <c r="V261" s="868"/>
      <c r="W261" s="868"/>
      <c r="X261" s="868"/>
      <c r="Y261" s="868"/>
      <c r="Z261" s="868"/>
    </row>
    <row r="262" spans="1:26" ht="18.75" hidden="1">
      <c r="A262" s="993"/>
      <c r="B262" s="883"/>
      <c r="C262" s="883"/>
      <c r="D262" s="883"/>
      <c r="E262" s="884" t="s">
        <v>18</v>
      </c>
      <c r="F262" s="883"/>
      <c r="G262" s="994"/>
      <c r="H262" s="158" t="s">
        <v>12</v>
      </c>
      <c r="I262" s="886"/>
      <c r="J262" s="886"/>
      <c r="K262" s="887"/>
      <c r="L262" s="887">
        <f t="shared" ref="L262:N263" si="119">L265+L268</f>
        <v>0</v>
      </c>
      <c r="M262" s="887">
        <f t="shared" si="119"/>
        <v>0</v>
      </c>
      <c r="N262" s="887">
        <f t="shared" si="119"/>
        <v>0</v>
      </c>
      <c r="O262" s="887">
        <f t="shared" si="117"/>
        <v>0</v>
      </c>
      <c r="P262" s="887">
        <f t="shared" si="118"/>
        <v>0</v>
      </c>
      <c r="Q262" s="875"/>
      <c r="R262" s="875"/>
      <c r="S262" s="875"/>
      <c r="T262" s="875"/>
      <c r="U262" s="875"/>
      <c r="V262" s="875"/>
      <c r="W262" s="875"/>
      <c r="X262" s="875"/>
      <c r="Y262" s="875"/>
      <c r="Z262" s="875"/>
    </row>
    <row r="263" spans="1:26" ht="18.75" hidden="1">
      <c r="A263" s="993"/>
      <c r="B263" s="883"/>
      <c r="C263" s="883"/>
      <c r="D263" s="883"/>
      <c r="E263" s="884" t="s">
        <v>19</v>
      </c>
      <c r="F263" s="883"/>
      <c r="G263" s="994"/>
      <c r="H263" s="158" t="s">
        <v>12</v>
      </c>
      <c r="I263" s="886"/>
      <c r="J263" s="886"/>
      <c r="K263" s="887"/>
      <c r="L263" s="887">
        <f t="shared" ca="1" si="119"/>
        <v>28800</v>
      </c>
      <c r="M263" s="887">
        <f t="shared" ca="1" si="119"/>
        <v>0</v>
      </c>
      <c r="N263" s="887">
        <f t="shared" ca="1" si="119"/>
        <v>0</v>
      </c>
      <c r="O263" s="887">
        <f t="shared" ca="1" si="117"/>
        <v>0</v>
      </c>
      <c r="P263" s="887">
        <f t="shared" ca="1" si="118"/>
        <v>0</v>
      </c>
      <c r="Q263" s="875"/>
      <c r="R263" s="875"/>
      <c r="S263" s="875"/>
      <c r="T263" s="875"/>
      <c r="U263" s="875"/>
      <c r="V263" s="875"/>
      <c r="W263" s="875"/>
      <c r="X263" s="875"/>
      <c r="Y263" s="875"/>
      <c r="Z263" s="875"/>
    </row>
    <row r="264" spans="1:26" ht="18.75">
      <c r="A264" s="995"/>
      <c r="B264" s="877"/>
      <c r="C264" s="996"/>
      <c r="D264" s="878" t="s">
        <v>20</v>
      </c>
      <c r="E264" s="877"/>
      <c r="F264" s="877"/>
      <c r="G264" s="879"/>
      <c r="H264" s="161" t="s">
        <v>12</v>
      </c>
      <c r="I264" s="997"/>
      <c r="J264" s="997"/>
      <c r="K264" s="998"/>
      <c r="L264" s="881">
        <f t="shared" ref="L264:N264" ca="1" si="120">L265+L266</f>
        <v>28800</v>
      </c>
      <c r="M264" s="881">
        <f t="shared" ca="1" si="120"/>
        <v>0</v>
      </c>
      <c r="N264" s="881">
        <f t="shared" ca="1" si="120"/>
        <v>0</v>
      </c>
      <c r="O264" s="881">
        <f t="shared" ca="1" si="117"/>
        <v>0</v>
      </c>
      <c r="P264" s="881">
        <f t="shared" ca="1" si="118"/>
        <v>0</v>
      </c>
      <c r="Q264" s="868"/>
      <c r="R264" s="868"/>
      <c r="S264" s="868"/>
      <c r="T264" s="868"/>
      <c r="U264" s="868"/>
      <c r="V264" s="868"/>
      <c r="W264" s="868"/>
      <c r="X264" s="868"/>
      <c r="Y264" s="868"/>
      <c r="Z264" s="868"/>
    </row>
    <row r="265" spans="1:26" ht="19.5" hidden="1">
      <c r="A265" s="993"/>
      <c r="B265" s="883"/>
      <c r="C265" s="999"/>
      <c r="D265" s="883"/>
      <c r="E265" s="884" t="s">
        <v>36</v>
      </c>
      <c r="F265" s="883"/>
      <c r="G265" s="994"/>
      <c r="H265" s="165" t="s">
        <v>12</v>
      </c>
      <c r="I265" s="1000"/>
      <c r="J265" s="1000"/>
      <c r="K265" s="1001"/>
      <c r="L265" s="887">
        <v>0</v>
      </c>
      <c r="M265" s="887">
        <v>0</v>
      </c>
      <c r="N265" s="887">
        <v>0</v>
      </c>
      <c r="O265" s="887">
        <f t="shared" si="117"/>
        <v>0</v>
      </c>
      <c r="P265" s="887">
        <f t="shared" si="118"/>
        <v>0</v>
      </c>
      <c r="Q265" s="875"/>
      <c r="R265" s="875"/>
      <c r="S265" s="875"/>
      <c r="T265" s="875"/>
      <c r="U265" s="875"/>
      <c r="V265" s="875"/>
      <c r="W265" s="875"/>
      <c r="X265" s="875"/>
      <c r="Y265" s="875"/>
      <c r="Z265" s="875"/>
    </row>
    <row r="266" spans="1:26" ht="19.5" hidden="1">
      <c r="A266" s="993"/>
      <c r="B266" s="883"/>
      <c r="C266" s="999"/>
      <c r="D266" s="883"/>
      <c r="E266" s="884" t="s">
        <v>37</v>
      </c>
      <c r="F266" s="883"/>
      <c r="G266" s="994"/>
      <c r="H266" s="165" t="s">
        <v>12</v>
      </c>
      <c r="I266" s="1000"/>
      <c r="J266" s="1000"/>
      <c r="K266" s="1001"/>
      <c r="L266" s="887">
        <f ca="1">IFERROR(__xludf.DUMMYFUNCTION("IMPORTRANGE(""https://docs.google.com/spreadsheets/d/1MeEWN-I1oV_STSDYn1IFDPWt_1FKiwhDph83XaGc0o0/edit?usp=sharing"",""งบพรบ!CY76"")"),28800)</f>
        <v>28800</v>
      </c>
      <c r="M266" s="887">
        <f ca="1">IFERROR(__xludf.DUMMYFUNCTION("IMPORTRANGE(""https://docs.google.com/spreadsheets/d/1MeEWN-I1oV_STSDYn1IFDPWt_1FKiwhDph83XaGc0o0/edit?usp=sharing"",""งบพรบ!DD76"")"),0)</f>
        <v>0</v>
      </c>
      <c r="N266" s="887">
        <f ca="1">IFERROR(__xludf.DUMMYFUNCTION("IMPORTRANGE(""https://docs.google.com/spreadsheets/d/1MeEWN-I1oV_STSDYn1IFDPWt_1FKiwhDph83XaGc0o0/edit?usp=sharing"",""งบพรบ!DF76"")"),0)</f>
        <v>0</v>
      </c>
      <c r="O266" s="887">
        <f t="shared" ca="1" si="117"/>
        <v>0</v>
      </c>
      <c r="P266" s="887">
        <f t="shared" ca="1" si="118"/>
        <v>0</v>
      </c>
      <c r="Q266" s="875"/>
      <c r="R266" s="875"/>
      <c r="S266" s="875"/>
      <c r="T266" s="875"/>
      <c r="U266" s="875"/>
      <c r="V266" s="875"/>
      <c r="W266" s="875"/>
      <c r="X266" s="875"/>
      <c r="Y266" s="875"/>
      <c r="Z266" s="875"/>
    </row>
    <row r="267" spans="1:26" ht="18.75">
      <c r="A267" s="995"/>
      <c r="B267" s="877"/>
      <c r="C267" s="996"/>
      <c r="D267" s="878" t="s">
        <v>21</v>
      </c>
      <c r="E267" s="877"/>
      <c r="F267" s="877"/>
      <c r="G267" s="879"/>
      <c r="H267" s="168" t="s">
        <v>12</v>
      </c>
      <c r="I267" s="997"/>
      <c r="J267" s="997"/>
      <c r="K267" s="998"/>
      <c r="L267" s="881">
        <f t="shared" ref="L267:N267" ca="1" si="121">L268+L269</f>
        <v>0</v>
      </c>
      <c r="M267" s="881">
        <f t="shared" ca="1" si="121"/>
        <v>0</v>
      </c>
      <c r="N267" s="881">
        <f t="shared" ca="1" si="121"/>
        <v>0</v>
      </c>
      <c r="O267" s="881">
        <f t="shared" ca="1" si="117"/>
        <v>0</v>
      </c>
      <c r="P267" s="881">
        <f t="shared" ca="1" si="118"/>
        <v>0</v>
      </c>
      <c r="Q267" s="868"/>
      <c r="R267" s="868"/>
      <c r="S267" s="868"/>
      <c r="T267" s="868"/>
      <c r="U267" s="868"/>
      <c r="V267" s="868"/>
      <c r="W267" s="868"/>
      <c r="X267" s="868"/>
      <c r="Y267" s="868"/>
      <c r="Z267" s="868"/>
    </row>
    <row r="268" spans="1:26" ht="19.5" hidden="1">
      <c r="A268" s="993"/>
      <c r="B268" s="883"/>
      <c r="C268" s="999"/>
      <c r="D268" s="883"/>
      <c r="E268" s="884" t="s">
        <v>18</v>
      </c>
      <c r="F268" s="883"/>
      <c r="G268" s="994"/>
      <c r="H268" s="165" t="s">
        <v>12</v>
      </c>
      <c r="I268" s="1000"/>
      <c r="J268" s="1000"/>
      <c r="K268" s="1001"/>
      <c r="L268" s="887">
        <v>0</v>
      </c>
      <c r="M268" s="887">
        <v>0</v>
      </c>
      <c r="N268" s="887">
        <v>0</v>
      </c>
      <c r="O268" s="887">
        <f t="shared" si="117"/>
        <v>0</v>
      </c>
      <c r="P268" s="887">
        <f t="shared" si="118"/>
        <v>0</v>
      </c>
      <c r="Q268" s="875"/>
      <c r="R268" s="875"/>
      <c r="S268" s="875"/>
      <c r="T268" s="875"/>
      <c r="U268" s="875"/>
      <c r="V268" s="875"/>
      <c r="W268" s="875"/>
      <c r="X268" s="875"/>
      <c r="Y268" s="875"/>
      <c r="Z268" s="875"/>
    </row>
    <row r="269" spans="1:26" ht="19.5" hidden="1">
      <c r="A269" s="993"/>
      <c r="B269" s="883"/>
      <c r="C269" s="999"/>
      <c r="D269" s="883"/>
      <c r="E269" s="884" t="s">
        <v>19</v>
      </c>
      <c r="F269" s="883"/>
      <c r="G269" s="994"/>
      <c r="H269" s="169" t="s">
        <v>12</v>
      </c>
      <c r="I269" s="1000"/>
      <c r="J269" s="1000"/>
      <c r="K269" s="1001"/>
      <c r="L269" s="887">
        <f ca="1">IFERROR(__xludf.DUMMYFUNCTION("IMPORTRANGE(""https://docs.google.com/spreadsheets/d/1MeEWN-I1oV_STSDYn1IFDPWt_1FKiwhDph83XaGc0o0/edit?usp=sharing"",""งบพรบ!DB76"")"),0)</f>
        <v>0</v>
      </c>
      <c r="M269" s="887">
        <f ca="1">IFERROR(__xludf.DUMMYFUNCTION("IMPORTRANGE(""https://docs.google.com/spreadsheets/d/1MeEWN-I1oV_STSDYn1IFDPWt_1FKiwhDph83XaGc0o0/edit?usp=sharing"",""งบพรบ!DE76"")"),0)</f>
        <v>0</v>
      </c>
      <c r="N269" s="887">
        <f ca="1">IFERROR(__xludf.DUMMYFUNCTION("IMPORTRANGE(""https://docs.google.com/spreadsheets/d/1MeEWN-I1oV_STSDYn1IFDPWt_1FKiwhDph83XaGc0o0/edit?usp=sharing"",""งบพรบ!DG76"")"),0)</f>
        <v>0</v>
      </c>
      <c r="O269" s="887">
        <f t="shared" ca="1" si="117"/>
        <v>0</v>
      </c>
      <c r="P269" s="887">
        <f t="shared" ca="1" si="118"/>
        <v>0</v>
      </c>
      <c r="Q269" s="875"/>
      <c r="R269" s="875"/>
      <c r="S269" s="875"/>
      <c r="T269" s="875"/>
      <c r="U269" s="875"/>
      <c r="V269" s="875"/>
      <c r="W269" s="875"/>
      <c r="X269" s="875"/>
      <c r="Y269" s="875"/>
      <c r="Z269" s="875"/>
    </row>
    <row r="270" spans="1:26" ht="19.5">
      <c r="A270" s="1002"/>
      <c r="B270" s="1003"/>
      <c r="C270" s="996" t="s">
        <v>16</v>
      </c>
      <c r="D270" s="1004" t="s">
        <v>38</v>
      </c>
      <c r="E270" s="1005"/>
      <c r="F270" s="1005"/>
      <c r="G270" s="1006"/>
      <c r="H270" s="1007"/>
      <c r="I270" s="997"/>
      <c r="J270" s="997"/>
      <c r="K270" s="998"/>
      <c r="L270" s="998"/>
      <c r="M270" s="998"/>
      <c r="N270" s="998"/>
      <c r="O270" s="998"/>
      <c r="P270" s="998"/>
    </row>
    <row r="271" spans="1:26" ht="18.75">
      <c r="A271" s="1002"/>
      <c r="B271" s="1003"/>
      <c r="C271" s="1003"/>
      <c r="D271" s="1132" t="s">
        <v>124</v>
      </c>
      <c r="E271" s="1010"/>
      <c r="F271" s="1074"/>
      <c r="G271" s="1011"/>
      <c r="H271" s="377" t="s">
        <v>35</v>
      </c>
      <c r="I271" s="880">
        <f ca="1">IFERROR(__xludf.DUMMYFUNCTION("IMPORTRANGE(""https://docs.google.com/spreadsheets/d/1QqKyyYR6Q21VydFLVH3TRQUabQu_ym0Zz7PgGX0-kHA/edit?usp=sharing"",""แผน!EA76"")"),24)</f>
        <v>24</v>
      </c>
      <c r="J271" s="1012">
        <v>0</v>
      </c>
      <c r="K271" s="998">
        <f ca="1">IF(I271&gt;0,J271*100/I271,0)</f>
        <v>0</v>
      </c>
      <c r="L271" s="998"/>
      <c r="M271" s="998"/>
      <c r="N271" s="998"/>
      <c r="O271" s="998"/>
      <c r="P271" s="998"/>
    </row>
    <row r="272" spans="1:26" ht="18.75" hidden="1">
      <c r="A272" s="1133"/>
      <c r="B272" s="1134"/>
      <c r="C272" s="1134"/>
      <c r="D272" s="1135" t="s">
        <v>125</v>
      </c>
      <c r="E272" s="1136"/>
      <c r="F272" s="1136"/>
      <c r="G272" s="1137"/>
      <c r="H272" s="50" t="s">
        <v>35</v>
      </c>
      <c r="I272" s="1138">
        <v>0</v>
      </c>
      <c r="J272" s="1138">
        <v>0</v>
      </c>
      <c r="K272" s="1139">
        <v>0</v>
      </c>
      <c r="L272" s="1139"/>
      <c r="M272" s="1139"/>
      <c r="N272" s="1139"/>
      <c r="O272" s="1139"/>
      <c r="P272" s="1139"/>
    </row>
    <row r="273" spans="1:26" ht="19.5">
      <c r="A273" s="1140" t="s">
        <v>126</v>
      </c>
      <c r="B273" s="1141"/>
      <c r="C273" s="1141"/>
      <c r="D273" s="1141"/>
      <c r="E273" s="1142"/>
      <c r="F273" s="1142"/>
      <c r="G273" s="1143"/>
      <c r="H273" s="1144"/>
      <c r="I273" s="1145"/>
      <c r="J273" s="1145"/>
      <c r="K273" s="1146"/>
      <c r="L273" s="1146"/>
      <c r="M273" s="1146"/>
      <c r="N273" s="1146"/>
      <c r="O273" s="1146"/>
      <c r="P273" s="1146"/>
    </row>
    <row r="274" spans="1:26" ht="19.5">
      <c r="A274" s="1147" t="s">
        <v>127</v>
      </c>
      <c r="B274" s="1148"/>
      <c r="C274" s="1149"/>
      <c r="D274" s="1148"/>
      <c r="E274" s="1148"/>
      <c r="F274" s="1148"/>
      <c r="G274" s="1148"/>
      <c r="H274" s="1150"/>
      <c r="I274" s="1151"/>
      <c r="J274" s="1152"/>
      <c r="K274" s="1153"/>
      <c r="L274" s="1153"/>
      <c r="M274" s="1153"/>
      <c r="N274" s="1153"/>
      <c r="O274" s="1153"/>
      <c r="P274" s="1153"/>
    </row>
    <row r="275" spans="1:26" ht="19.5">
      <c r="A275" s="1154"/>
      <c r="B275" s="1155" t="s">
        <v>128</v>
      </c>
      <c r="C275" s="1156"/>
      <c r="D275" s="1157"/>
      <c r="E275" s="1156"/>
      <c r="F275" s="1156"/>
      <c r="G275" s="1158"/>
      <c r="H275" s="405" t="s">
        <v>35</v>
      </c>
      <c r="I275" s="1159">
        <f t="shared" ref="I275:J275" ca="1" si="122">I288</f>
        <v>5</v>
      </c>
      <c r="J275" s="1159">
        <f t="shared" ca="1" si="122"/>
        <v>5</v>
      </c>
      <c r="K275" s="1160">
        <f t="shared" ref="K275:K276" ca="1" si="123">IF(I275&gt;0,J275*100/I275,0)</f>
        <v>100</v>
      </c>
      <c r="L275" s="1161"/>
      <c r="M275" s="1161"/>
      <c r="N275" s="1161"/>
      <c r="O275" s="1161"/>
      <c r="P275" s="1161"/>
    </row>
    <row r="276" spans="1:26" ht="19.5">
      <c r="A276" s="1154"/>
      <c r="B276" s="1155"/>
      <c r="C276" s="1156"/>
      <c r="D276" s="1157"/>
      <c r="E276" s="1156"/>
      <c r="F276" s="1156"/>
      <c r="G276" s="1158"/>
      <c r="H276" s="405" t="s">
        <v>46</v>
      </c>
      <c r="I276" s="1493">
        <f t="shared" ref="I276:J276" ca="1" si="124">I287</f>
        <v>50</v>
      </c>
      <c r="J276" s="1493">
        <f t="shared" si="124"/>
        <v>50</v>
      </c>
      <c r="K276" s="1161">
        <f t="shared" ca="1" si="123"/>
        <v>100</v>
      </c>
      <c r="L276" s="1161"/>
      <c r="M276" s="1161"/>
      <c r="N276" s="1161"/>
      <c r="O276" s="1161"/>
      <c r="P276" s="1161"/>
    </row>
    <row r="277" spans="1:26" ht="19.5">
      <c r="A277" s="985"/>
      <c r="B277" s="986"/>
      <c r="C277" s="987" t="s">
        <v>16</v>
      </c>
      <c r="D277" s="988" t="s">
        <v>17</v>
      </c>
      <c r="E277" s="986"/>
      <c r="F277" s="986"/>
      <c r="G277" s="989"/>
      <c r="H277" s="152" t="s">
        <v>12</v>
      </c>
      <c r="I277" s="990"/>
      <c r="J277" s="990"/>
      <c r="K277" s="991"/>
      <c r="L277" s="992">
        <f t="shared" ref="L277:N277" ca="1" si="125">L278+L279</f>
        <v>22630</v>
      </c>
      <c r="M277" s="992">
        <f t="shared" ca="1" si="125"/>
        <v>22630</v>
      </c>
      <c r="N277" s="992">
        <f t="shared" ca="1" si="125"/>
        <v>3520</v>
      </c>
      <c r="O277" s="992">
        <f t="shared" ref="O277:O285" ca="1" si="126">IF(L277&gt;0,N277*100/L277,0)</f>
        <v>15.554573574900575</v>
      </c>
      <c r="P277" s="992">
        <f t="shared" ref="P277:P285" ca="1" si="127">IF(M277&gt;0,N277*100/M277,0)</f>
        <v>15.554573574900575</v>
      </c>
      <c r="Q277" s="868"/>
      <c r="R277" s="868"/>
      <c r="S277" s="868"/>
      <c r="T277" s="868"/>
      <c r="U277" s="868"/>
      <c r="V277" s="868"/>
      <c r="W277" s="868"/>
      <c r="X277" s="868"/>
      <c r="Y277" s="868"/>
      <c r="Z277" s="868"/>
    </row>
    <row r="278" spans="1:26" ht="18.75" hidden="1">
      <c r="A278" s="993"/>
      <c r="B278" s="883"/>
      <c r="C278" s="883"/>
      <c r="D278" s="883"/>
      <c r="E278" s="884" t="s">
        <v>18</v>
      </c>
      <c r="F278" s="883"/>
      <c r="G278" s="994"/>
      <c r="H278" s="158" t="s">
        <v>12</v>
      </c>
      <c r="I278" s="886"/>
      <c r="J278" s="886"/>
      <c r="K278" s="887"/>
      <c r="L278" s="887">
        <f t="shared" ref="L278:N279" si="128">L281+L284</f>
        <v>0</v>
      </c>
      <c r="M278" s="887">
        <f t="shared" si="128"/>
        <v>0</v>
      </c>
      <c r="N278" s="887">
        <f t="shared" si="128"/>
        <v>0</v>
      </c>
      <c r="O278" s="887">
        <f t="shared" si="126"/>
        <v>0</v>
      </c>
      <c r="P278" s="887">
        <f t="shared" si="127"/>
        <v>0</v>
      </c>
      <c r="Q278" s="875"/>
      <c r="R278" s="875"/>
      <c r="S278" s="875"/>
      <c r="T278" s="875"/>
      <c r="U278" s="875"/>
      <c r="V278" s="875"/>
      <c r="W278" s="875"/>
      <c r="X278" s="875"/>
      <c r="Y278" s="875"/>
      <c r="Z278" s="875"/>
    </row>
    <row r="279" spans="1:26" ht="18.75" hidden="1">
      <c r="A279" s="993"/>
      <c r="B279" s="883"/>
      <c r="C279" s="883"/>
      <c r="D279" s="883"/>
      <c r="E279" s="884" t="s">
        <v>19</v>
      </c>
      <c r="F279" s="883"/>
      <c r="G279" s="994"/>
      <c r="H279" s="158" t="s">
        <v>12</v>
      </c>
      <c r="I279" s="886"/>
      <c r="J279" s="886"/>
      <c r="K279" s="887"/>
      <c r="L279" s="887">
        <f t="shared" ca="1" si="128"/>
        <v>22630</v>
      </c>
      <c r="M279" s="887">
        <f t="shared" ca="1" si="128"/>
        <v>22630</v>
      </c>
      <c r="N279" s="887">
        <f t="shared" ca="1" si="128"/>
        <v>3520</v>
      </c>
      <c r="O279" s="887">
        <f t="shared" ca="1" si="126"/>
        <v>15.554573574900575</v>
      </c>
      <c r="P279" s="887">
        <f t="shared" ca="1" si="127"/>
        <v>15.554573574900575</v>
      </c>
      <c r="Q279" s="875"/>
      <c r="R279" s="875"/>
      <c r="S279" s="875"/>
      <c r="T279" s="875"/>
      <c r="U279" s="875"/>
      <c r="V279" s="875"/>
      <c r="W279" s="875"/>
      <c r="X279" s="875"/>
      <c r="Y279" s="875"/>
      <c r="Z279" s="875"/>
    </row>
    <row r="280" spans="1:26" ht="18.75">
      <c r="A280" s="995"/>
      <c r="B280" s="877"/>
      <c r="C280" s="996"/>
      <c r="D280" s="878" t="s">
        <v>20</v>
      </c>
      <c r="E280" s="877"/>
      <c r="F280" s="877"/>
      <c r="G280" s="879"/>
      <c r="H280" s="161" t="s">
        <v>12</v>
      </c>
      <c r="I280" s="997"/>
      <c r="J280" s="997"/>
      <c r="K280" s="998"/>
      <c r="L280" s="881">
        <f t="shared" ref="L280:N280" ca="1" si="129">L281+L282</f>
        <v>22630</v>
      </c>
      <c r="M280" s="881">
        <f t="shared" ca="1" si="129"/>
        <v>22630</v>
      </c>
      <c r="N280" s="881">
        <f t="shared" ca="1" si="129"/>
        <v>3520</v>
      </c>
      <c r="O280" s="881">
        <f t="shared" ca="1" si="126"/>
        <v>15.554573574900575</v>
      </c>
      <c r="P280" s="881">
        <f t="shared" ca="1" si="127"/>
        <v>15.554573574900575</v>
      </c>
      <c r="Q280" s="868"/>
      <c r="R280" s="868"/>
      <c r="S280" s="868"/>
      <c r="T280" s="868"/>
      <c r="U280" s="868"/>
      <c r="V280" s="868"/>
      <c r="W280" s="868"/>
      <c r="X280" s="868"/>
      <c r="Y280" s="868"/>
      <c r="Z280" s="868"/>
    </row>
    <row r="281" spans="1:26" ht="19.5" hidden="1">
      <c r="A281" s="993"/>
      <c r="B281" s="883"/>
      <c r="C281" s="999"/>
      <c r="D281" s="883"/>
      <c r="E281" s="884" t="s">
        <v>36</v>
      </c>
      <c r="F281" s="883"/>
      <c r="G281" s="994"/>
      <c r="H281" s="165" t="s">
        <v>12</v>
      </c>
      <c r="I281" s="1000"/>
      <c r="J281" s="1000"/>
      <c r="K281" s="1001"/>
      <c r="L281" s="887">
        <v>0</v>
      </c>
      <c r="M281" s="887">
        <v>0</v>
      </c>
      <c r="N281" s="887">
        <v>0</v>
      </c>
      <c r="O281" s="887">
        <f t="shared" si="126"/>
        <v>0</v>
      </c>
      <c r="P281" s="887">
        <f t="shared" si="127"/>
        <v>0</v>
      </c>
      <c r="Q281" s="875"/>
      <c r="R281" s="875"/>
      <c r="S281" s="875"/>
      <c r="T281" s="875"/>
      <c r="U281" s="875"/>
      <c r="V281" s="875"/>
      <c r="W281" s="875"/>
      <c r="X281" s="875"/>
      <c r="Y281" s="875"/>
      <c r="Z281" s="875"/>
    </row>
    <row r="282" spans="1:26" ht="19.5" hidden="1">
      <c r="A282" s="993"/>
      <c r="B282" s="883"/>
      <c r="C282" s="999"/>
      <c r="D282" s="883"/>
      <c r="E282" s="884" t="s">
        <v>37</v>
      </c>
      <c r="F282" s="883"/>
      <c r="G282" s="994"/>
      <c r="H282" s="165" t="s">
        <v>12</v>
      </c>
      <c r="I282" s="1000"/>
      <c r="J282" s="1000"/>
      <c r="K282" s="1001"/>
      <c r="L282" s="887">
        <f ca="1">IFERROR(__xludf.DUMMYFUNCTION("IMPORTRANGE(""https://docs.google.com/spreadsheets/d/1MeEWN-I1oV_STSDYn1IFDPWt_1FKiwhDph83XaGc0o0/edit?usp=sharing"",""งบพรบ!DI76"")"),22630)</f>
        <v>22630</v>
      </c>
      <c r="M282" s="887">
        <f ca="1">IFERROR(__xludf.DUMMYFUNCTION("IMPORTRANGE(""https://docs.google.com/spreadsheets/d/1MeEWN-I1oV_STSDYn1IFDPWt_1FKiwhDph83XaGc0o0/edit?usp=sharing"",""งบพรบ!DN76"")"),22630)</f>
        <v>22630</v>
      </c>
      <c r="N282" s="887">
        <f ca="1">IFERROR(__xludf.DUMMYFUNCTION("IMPORTRANGE(""https://docs.google.com/spreadsheets/d/1MeEWN-I1oV_STSDYn1IFDPWt_1FKiwhDph83XaGc0o0/edit?usp=sharing"",""งบพรบ!DP76"")"),3520)</f>
        <v>3520</v>
      </c>
      <c r="O282" s="887">
        <f t="shared" ca="1" si="126"/>
        <v>15.554573574900575</v>
      </c>
      <c r="P282" s="887">
        <f t="shared" ca="1" si="127"/>
        <v>15.554573574900575</v>
      </c>
      <c r="Q282" s="875"/>
      <c r="R282" s="875"/>
      <c r="S282" s="875"/>
      <c r="T282" s="875"/>
      <c r="U282" s="875"/>
      <c r="V282" s="875"/>
      <c r="W282" s="875"/>
      <c r="X282" s="875"/>
      <c r="Y282" s="875"/>
      <c r="Z282" s="875"/>
    </row>
    <row r="283" spans="1:26" ht="18.75">
      <c r="A283" s="995"/>
      <c r="B283" s="877"/>
      <c r="C283" s="996"/>
      <c r="D283" s="878" t="s">
        <v>21</v>
      </c>
      <c r="E283" s="877"/>
      <c r="F283" s="877"/>
      <c r="G283" s="879"/>
      <c r="H283" s="168" t="s">
        <v>12</v>
      </c>
      <c r="I283" s="997"/>
      <c r="J283" s="997"/>
      <c r="K283" s="998"/>
      <c r="L283" s="881">
        <f t="shared" ref="L283:N283" ca="1" si="130">L284+L285</f>
        <v>0</v>
      </c>
      <c r="M283" s="881">
        <f t="shared" ca="1" si="130"/>
        <v>0</v>
      </c>
      <c r="N283" s="881">
        <f t="shared" ca="1" si="130"/>
        <v>0</v>
      </c>
      <c r="O283" s="881">
        <f t="shared" ca="1" si="126"/>
        <v>0</v>
      </c>
      <c r="P283" s="881">
        <f t="shared" ca="1" si="127"/>
        <v>0</v>
      </c>
      <c r="Q283" s="868"/>
      <c r="R283" s="868"/>
      <c r="S283" s="868"/>
      <c r="T283" s="868"/>
      <c r="U283" s="868"/>
      <c r="V283" s="868"/>
      <c r="W283" s="868"/>
      <c r="X283" s="868"/>
      <c r="Y283" s="868"/>
      <c r="Z283" s="868"/>
    </row>
    <row r="284" spans="1:26" ht="19.5" hidden="1">
      <c r="A284" s="993"/>
      <c r="B284" s="883"/>
      <c r="C284" s="999"/>
      <c r="D284" s="883"/>
      <c r="E284" s="884" t="s">
        <v>18</v>
      </c>
      <c r="F284" s="883"/>
      <c r="G284" s="994"/>
      <c r="H284" s="165" t="s">
        <v>12</v>
      </c>
      <c r="I284" s="1000"/>
      <c r="J284" s="1000"/>
      <c r="K284" s="1001"/>
      <c r="L284" s="887">
        <v>0</v>
      </c>
      <c r="M284" s="887">
        <v>0</v>
      </c>
      <c r="N284" s="887">
        <v>0</v>
      </c>
      <c r="O284" s="887">
        <f t="shared" si="126"/>
        <v>0</v>
      </c>
      <c r="P284" s="887">
        <f t="shared" si="127"/>
        <v>0</v>
      </c>
      <c r="Q284" s="875"/>
      <c r="R284" s="875"/>
      <c r="S284" s="875"/>
      <c r="T284" s="875"/>
      <c r="U284" s="875"/>
      <c r="V284" s="875"/>
      <c r="W284" s="875"/>
      <c r="X284" s="875"/>
      <c r="Y284" s="875"/>
      <c r="Z284" s="875"/>
    </row>
    <row r="285" spans="1:26" ht="19.5" hidden="1">
      <c r="A285" s="993"/>
      <c r="B285" s="883"/>
      <c r="C285" s="999"/>
      <c r="D285" s="883"/>
      <c r="E285" s="884" t="s">
        <v>19</v>
      </c>
      <c r="F285" s="883"/>
      <c r="G285" s="994"/>
      <c r="H285" s="169" t="s">
        <v>12</v>
      </c>
      <c r="I285" s="1000"/>
      <c r="J285" s="1000"/>
      <c r="K285" s="1001"/>
      <c r="L285" s="887">
        <f ca="1">IFERROR(__xludf.DUMMYFUNCTION("IMPORTRANGE(""https://docs.google.com/spreadsheets/d/1MeEWN-I1oV_STSDYn1IFDPWt_1FKiwhDph83XaGc0o0/edit?usp=sharing"",""งบพรบ!DL76"")"),0)</f>
        <v>0</v>
      </c>
      <c r="M285" s="887">
        <f ca="1">IFERROR(__xludf.DUMMYFUNCTION("IMPORTRANGE(""https://docs.google.com/spreadsheets/d/1MeEWN-I1oV_STSDYn1IFDPWt_1FKiwhDph83XaGc0o0/edit?usp=sharing"",""งบพรบ!DO76"")"),0)</f>
        <v>0</v>
      </c>
      <c r="N285" s="887">
        <f ca="1">IFERROR(__xludf.DUMMYFUNCTION("IMPORTRANGE(""https://docs.google.com/spreadsheets/d/1MeEWN-I1oV_STSDYn1IFDPWt_1FKiwhDph83XaGc0o0/edit?usp=sharing"",""งบพรบ!DQ76"")"),0)</f>
        <v>0</v>
      </c>
      <c r="O285" s="887">
        <f t="shared" ca="1" si="126"/>
        <v>0</v>
      </c>
      <c r="P285" s="887">
        <f t="shared" ca="1" si="127"/>
        <v>0</v>
      </c>
      <c r="Q285" s="875"/>
      <c r="R285" s="875"/>
      <c r="S285" s="875"/>
      <c r="T285" s="875"/>
      <c r="U285" s="875"/>
      <c r="V285" s="875"/>
      <c r="W285" s="875"/>
      <c r="X285" s="875"/>
      <c r="Y285" s="875"/>
      <c r="Z285" s="875"/>
    </row>
    <row r="286" spans="1:26" ht="19.5">
      <c r="A286" s="1002"/>
      <c r="B286" s="1003"/>
      <c r="C286" s="999" t="s">
        <v>16</v>
      </c>
      <c r="D286" s="1004" t="s">
        <v>38</v>
      </c>
      <c r="E286" s="1005"/>
      <c r="F286" s="1005"/>
      <c r="G286" s="1006"/>
      <c r="H286" s="1007"/>
      <c r="I286" s="997"/>
      <c r="J286" s="997"/>
      <c r="K286" s="998"/>
      <c r="L286" s="998"/>
      <c r="M286" s="998"/>
      <c r="N286" s="998"/>
      <c r="O286" s="998"/>
      <c r="P286" s="998"/>
    </row>
    <row r="287" spans="1:26" ht="18.75">
      <c r="A287" s="1002"/>
      <c r="B287" s="1003"/>
      <c r="C287" s="1003"/>
      <c r="D287" s="1014" t="s">
        <v>129</v>
      </c>
      <c r="E287" s="1003"/>
      <c r="F287" s="1010"/>
      <c r="G287" s="1011"/>
      <c r="H287" s="185" t="s">
        <v>46</v>
      </c>
      <c r="I287" s="880">
        <f ca="1">IFERROR(__xludf.DUMMYFUNCTION("IMPORTRANGE(""https://docs.google.com/spreadsheets/d/1QqKyyYR6Q21VydFLVH3TRQUabQu_ym0Zz7PgGX0-kHA/edit?usp=sharing"",""แผน!EC76"")"),50)</f>
        <v>50</v>
      </c>
      <c r="J287" s="1012">
        <v>50</v>
      </c>
      <c r="K287" s="998">
        <f t="shared" ref="K287:K288" ca="1" si="131">IF(I287&gt;0,J287*100/I287,0)</f>
        <v>100</v>
      </c>
      <c r="L287" s="998"/>
      <c r="M287" s="998"/>
      <c r="N287" s="998"/>
      <c r="O287" s="998"/>
      <c r="P287" s="998"/>
    </row>
    <row r="288" spans="1:26" ht="19.5">
      <c r="A288" s="1002"/>
      <c r="B288" s="1003"/>
      <c r="C288" s="1003"/>
      <c r="D288" s="1014" t="s">
        <v>130</v>
      </c>
      <c r="E288" s="1003"/>
      <c r="F288" s="1010"/>
      <c r="G288" s="1011"/>
      <c r="H288" s="180" t="s">
        <v>35</v>
      </c>
      <c r="I288" s="1019">
        <f ca="1">IFERROR(__xludf.DUMMYFUNCTION("IMPORTRANGE(""https://docs.google.com/spreadsheets/d/1QqKyyYR6Q21VydFLVH3TRQUabQu_ym0Zz7PgGX0-kHA/edit?usp=sharing"",""แผน!EB76"")"),5)</f>
        <v>5</v>
      </c>
      <c r="J288" s="1019">
        <f ca="1">IF(AND(J291&gt;=I288,J294&gt;=I288),J294,0)</f>
        <v>5</v>
      </c>
      <c r="K288" s="1162">
        <f t="shared" ca="1" si="131"/>
        <v>100</v>
      </c>
      <c r="L288" s="998"/>
      <c r="M288" s="998"/>
      <c r="N288" s="998"/>
      <c r="O288" s="998"/>
      <c r="P288" s="998"/>
    </row>
    <row r="289" spans="1:26" ht="19.5">
      <c r="A289" s="1002"/>
      <c r="B289" s="1003"/>
      <c r="C289" s="1003"/>
      <c r="D289" s="1163"/>
      <c r="E289" s="1164" t="s">
        <v>131</v>
      </c>
      <c r="F289" s="1010"/>
      <c r="G289" s="1011"/>
      <c r="H289" s="762"/>
      <c r="I289" s="997"/>
      <c r="J289" s="880"/>
      <c r="K289" s="998"/>
      <c r="L289" s="998"/>
      <c r="M289" s="998"/>
      <c r="N289" s="998"/>
      <c r="O289" s="998"/>
      <c r="P289" s="998"/>
    </row>
    <row r="290" spans="1:26" ht="19.5">
      <c r="A290" s="1002"/>
      <c r="B290" s="1003"/>
      <c r="C290" s="1003"/>
      <c r="D290" s="1163"/>
      <c r="E290" s="1014" t="s">
        <v>132</v>
      </c>
      <c r="F290" s="1010"/>
      <c r="G290" s="1011"/>
      <c r="H290" s="762" t="s">
        <v>35</v>
      </c>
      <c r="I290" s="997">
        <f ca="1">IFERROR(__xludf.DUMMYFUNCTION("IMPORTRANGE(""https://docs.google.com/spreadsheets/d/1QqKyyYR6Q21VydFLVH3TRQUabQu_ym0Zz7PgGX0-kHA/edit?usp=sharing"",""แผน!EB76"")"),5)</f>
        <v>5</v>
      </c>
      <c r="J290" s="1012">
        <v>5</v>
      </c>
      <c r="K290" s="998">
        <f t="shared" ref="K290:K291" ca="1" si="132">IF(I290&gt;0,J290*100/I290,0)</f>
        <v>100</v>
      </c>
      <c r="L290" s="998"/>
      <c r="M290" s="998"/>
      <c r="N290" s="998"/>
      <c r="O290" s="998"/>
      <c r="P290" s="998"/>
    </row>
    <row r="291" spans="1:26" ht="19.5">
      <c r="A291" s="1002"/>
      <c r="B291" s="1003"/>
      <c r="C291" s="1003"/>
      <c r="D291" s="1010"/>
      <c r="E291" s="1014" t="s">
        <v>133</v>
      </c>
      <c r="F291" s="1010"/>
      <c r="G291" s="1011"/>
      <c r="H291" s="762" t="s">
        <v>35</v>
      </c>
      <c r="I291" s="997">
        <f ca="1">IFERROR(__xludf.DUMMYFUNCTION("IMPORTRANGE(""https://docs.google.com/spreadsheets/d/1QqKyyYR6Q21VydFLVH3TRQUabQu_ym0Zz7PgGX0-kHA/edit?usp=sharing"",""แผน!EB76"")"),5)</f>
        <v>5</v>
      </c>
      <c r="J291" s="1012">
        <v>5</v>
      </c>
      <c r="K291" s="998">
        <f t="shared" ca="1" si="132"/>
        <v>100</v>
      </c>
      <c r="L291" s="998"/>
      <c r="M291" s="998"/>
      <c r="N291" s="998"/>
      <c r="O291" s="998"/>
      <c r="P291" s="998"/>
    </row>
    <row r="292" spans="1:26" ht="19.5">
      <c r="A292" s="1165"/>
      <c r="B292" s="1166"/>
      <c r="C292" s="1166"/>
      <c r="D292" s="1167"/>
      <c r="E292" s="1168" t="s">
        <v>134</v>
      </c>
      <c r="F292" s="1088"/>
      <c r="G292" s="1089"/>
      <c r="H292" s="419"/>
      <c r="I292" s="1082"/>
      <c r="J292" s="990"/>
      <c r="K292" s="1083"/>
      <c r="L292" s="1083"/>
      <c r="M292" s="1083"/>
      <c r="N292" s="1083"/>
      <c r="O292" s="1083"/>
      <c r="P292" s="1083"/>
    </row>
    <row r="293" spans="1:26" ht="19.5">
      <c r="A293" s="1002"/>
      <c r="B293" s="1003"/>
      <c r="C293" s="1003"/>
      <c r="D293" s="1163"/>
      <c r="E293" s="1014" t="s">
        <v>132</v>
      </c>
      <c r="F293" s="1010"/>
      <c r="G293" s="1011"/>
      <c r="H293" s="762" t="s">
        <v>35</v>
      </c>
      <c r="I293" s="997">
        <f ca="1">IFERROR(__xludf.DUMMYFUNCTION("IMPORTRANGE(""https://docs.google.com/spreadsheets/d/1QqKyyYR6Q21VydFLVH3TRQUabQu_ym0Zz7PgGX0-kHA/edit?usp=sharing"",""แผน!EB76"")"),5)</f>
        <v>5</v>
      </c>
      <c r="J293" s="1012">
        <v>5</v>
      </c>
      <c r="K293" s="998">
        <f t="shared" ref="K293:K294" ca="1" si="133">IF(I293&gt;0,J293*100/I293,0)</f>
        <v>100</v>
      </c>
      <c r="L293" s="998"/>
      <c r="M293" s="998"/>
      <c r="N293" s="998"/>
      <c r="O293" s="998"/>
      <c r="P293" s="998"/>
    </row>
    <row r="294" spans="1:26" ht="19.5">
      <c r="A294" s="1133"/>
      <c r="B294" s="1134"/>
      <c r="C294" s="1134"/>
      <c r="D294" s="1136"/>
      <c r="E294" s="1169" t="s">
        <v>136</v>
      </c>
      <c r="F294" s="1136"/>
      <c r="G294" s="1137"/>
      <c r="H294" s="423" t="s">
        <v>35</v>
      </c>
      <c r="I294" s="1170">
        <f ca="1">IFERROR(__xludf.DUMMYFUNCTION("IMPORTRANGE(""https://docs.google.com/spreadsheets/d/1QqKyyYR6Q21VydFLVH3TRQUabQu_ym0Zz7PgGX0-kHA/edit?usp=sharing"",""แผน!EB76"")"),5)</f>
        <v>5</v>
      </c>
      <c r="J294" s="1171">
        <v>5</v>
      </c>
      <c r="K294" s="1139">
        <f t="shared" ca="1" si="133"/>
        <v>100</v>
      </c>
      <c r="L294" s="1139"/>
      <c r="M294" s="1139"/>
      <c r="N294" s="1139"/>
      <c r="O294" s="1139"/>
      <c r="P294" s="1139"/>
    </row>
    <row r="295" spans="1:26" ht="19.5">
      <c r="A295" s="1172" t="s">
        <v>137</v>
      </c>
      <c r="B295" s="1173"/>
      <c r="C295" s="1173"/>
      <c r="D295" s="1173"/>
      <c r="E295" s="1174"/>
      <c r="F295" s="1174"/>
      <c r="G295" s="1175"/>
      <c r="H295" s="1176"/>
      <c r="I295" s="1177"/>
      <c r="J295" s="1177"/>
      <c r="K295" s="1178"/>
      <c r="L295" s="1178"/>
      <c r="M295" s="1178"/>
      <c r="N295" s="1178"/>
      <c r="O295" s="1178"/>
      <c r="P295" s="1178"/>
    </row>
    <row r="296" spans="1:26" ht="19.5">
      <c r="A296" s="1179" t="s">
        <v>138</v>
      </c>
      <c r="B296" s="1180"/>
      <c r="C296" s="1180"/>
      <c r="D296" s="1181"/>
      <c r="E296" s="1181"/>
      <c r="F296" s="1181"/>
      <c r="G296" s="1182"/>
      <c r="H296" s="1183"/>
      <c r="I296" s="1184"/>
      <c r="J296" s="1184"/>
      <c r="K296" s="1185"/>
      <c r="L296" s="1185"/>
      <c r="M296" s="1185"/>
      <c r="N296" s="1185"/>
      <c r="O296" s="1185"/>
      <c r="P296" s="1185"/>
    </row>
    <row r="297" spans="1:26" ht="19.5">
      <c r="A297" s="1186"/>
      <c r="B297" s="1187" t="s">
        <v>139</v>
      </c>
      <c r="C297" s="1188"/>
      <c r="D297" s="1188"/>
      <c r="E297" s="1188"/>
      <c r="F297" s="1188"/>
      <c r="G297" s="1189"/>
      <c r="H297" s="444" t="s">
        <v>35</v>
      </c>
      <c r="I297" s="1190">
        <f t="shared" ref="I297:J297" ca="1" si="134">I309</f>
        <v>20</v>
      </c>
      <c r="J297" s="1190">
        <f t="shared" si="134"/>
        <v>20</v>
      </c>
      <c r="K297" s="1191">
        <f ca="1">IF(I297&gt;0,J297*100/I297,0)</f>
        <v>100</v>
      </c>
      <c r="L297" s="1192"/>
      <c r="M297" s="1192"/>
      <c r="N297" s="1192"/>
      <c r="O297" s="1192"/>
      <c r="P297" s="1192"/>
    </row>
    <row r="298" spans="1:26" ht="19.5">
      <c r="A298" s="985"/>
      <c r="B298" s="986"/>
      <c r="C298" s="987" t="s">
        <v>16</v>
      </c>
      <c r="D298" s="988" t="s">
        <v>17</v>
      </c>
      <c r="E298" s="986"/>
      <c r="F298" s="986"/>
      <c r="G298" s="989"/>
      <c r="H298" s="152" t="s">
        <v>12</v>
      </c>
      <c r="I298" s="990"/>
      <c r="J298" s="990"/>
      <c r="K298" s="991"/>
      <c r="L298" s="992">
        <f t="shared" ref="L298:N298" ca="1" si="135">L299+L300</f>
        <v>82400</v>
      </c>
      <c r="M298" s="992">
        <f t="shared" ca="1" si="135"/>
        <v>64400</v>
      </c>
      <c r="N298" s="992">
        <f t="shared" ca="1" si="135"/>
        <v>33300</v>
      </c>
      <c r="O298" s="992">
        <f t="shared" ref="O298:O306" ca="1" si="136">IF(L298&gt;0,N298*100/L298,0)</f>
        <v>40.412621359223301</v>
      </c>
      <c r="P298" s="992">
        <f t="shared" ref="P298:P306" ca="1" si="137">IF(M298&gt;0,N298*100/M298,0)</f>
        <v>51.70807453416149</v>
      </c>
      <c r="Q298" s="868"/>
      <c r="R298" s="868"/>
      <c r="S298" s="868"/>
      <c r="T298" s="868"/>
      <c r="U298" s="868"/>
      <c r="V298" s="868"/>
      <c r="W298" s="868"/>
      <c r="X298" s="868"/>
      <c r="Y298" s="868"/>
      <c r="Z298" s="868"/>
    </row>
    <row r="299" spans="1:26" ht="18.75" hidden="1">
      <c r="A299" s="993"/>
      <c r="B299" s="883"/>
      <c r="C299" s="883"/>
      <c r="D299" s="883"/>
      <c r="E299" s="884" t="s">
        <v>18</v>
      </c>
      <c r="F299" s="883"/>
      <c r="G299" s="994"/>
      <c r="H299" s="158" t="s">
        <v>12</v>
      </c>
      <c r="I299" s="886"/>
      <c r="J299" s="886"/>
      <c r="K299" s="887"/>
      <c r="L299" s="887">
        <f t="shared" ref="L299:N300" si="138">L302+L305</f>
        <v>0</v>
      </c>
      <c r="M299" s="887">
        <f t="shared" si="138"/>
        <v>0</v>
      </c>
      <c r="N299" s="887">
        <f t="shared" si="138"/>
        <v>0</v>
      </c>
      <c r="O299" s="887">
        <f t="shared" si="136"/>
        <v>0</v>
      </c>
      <c r="P299" s="887">
        <f t="shared" si="137"/>
        <v>0</v>
      </c>
      <c r="Q299" s="875"/>
      <c r="R299" s="875"/>
      <c r="S299" s="875"/>
      <c r="T299" s="875"/>
      <c r="U299" s="875"/>
      <c r="V299" s="875"/>
      <c r="W299" s="875"/>
      <c r="X299" s="875"/>
      <c r="Y299" s="875"/>
      <c r="Z299" s="875"/>
    </row>
    <row r="300" spans="1:26" ht="18.75" hidden="1">
      <c r="A300" s="993"/>
      <c r="B300" s="883"/>
      <c r="C300" s="883"/>
      <c r="D300" s="883"/>
      <c r="E300" s="884" t="s">
        <v>19</v>
      </c>
      <c r="F300" s="883"/>
      <c r="G300" s="994"/>
      <c r="H300" s="158" t="s">
        <v>12</v>
      </c>
      <c r="I300" s="886"/>
      <c r="J300" s="886"/>
      <c r="K300" s="887"/>
      <c r="L300" s="887">
        <f t="shared" ca="1" si="138"/>
        <v>82400</v>
      </c>
      <c r="M300" s="887">
        <f t="shared" ca="1" si="138"/>
        <v>64400</v>
      </c>
      <c r="N300" s="887">
        <f t="shared" ca="1" si="138"/>
        <v>33300</v>
      </c>
      <c r="O300" s="887">
        <f t="shared" ca="1" si="136"/>
        <v>40.412621359223301</v>
      </c>
      <c r="P300" s="887">
        <f t="shared" ca="1" si="137"/>
        <v>51.70807453416149</v>
      </c>
      <c r="Q300" s="875"/>
      <c r="R300" s="875"/>
      <c r="S300" s="875"/>
      <c r="T300" s="875"/>
      <c r="U300" s="875"/>
      <c r="V300" s="875"/>
      <c r="W300" s="875"/>
      <c r="X300" s="875"/>
      <c r="Y300" s="875"/>
      <c r="Z300" s="875"/>
    </row>
    <row r="301" spans="1:26" ht="18.75">
      <c r="A301" s="995"/>
      <c r="B301" s="877"/>
      <c r="C301" s="996"/>
      <c r="D301" s="878" t="s">
        <v>20</v>
      </c>
      <c r="E301" s="877"/>
      <c r="F301" s="877"/>
      <c r="G301" s="879"/>
      <c r="H301" s="161" t="s">
        <v>12</v>
      </c>
      <c r="I301" s="997"/>
      <c r="J301" s="997"/>
      <c r="K301" s="998"/>
      <c r="L301" s="881">
        <f t="shared" ref="L301:N301" ca="1" si="139">L302+L303</f>
        <v>82400</v>
      </c>
      <c r="M301" s="881">
        <f t="shared" ca="1" si="139"/>
        <v>64400</v>
      </c>
      <c r="N301" s="881">
        <f t="shared" ca="1" si="139"/>
        <v>33300</v>
      </c>
      <c r="O301" s="881">
        <f t="shared" ca="1" si="136"/>
        <v>40.412621359223301</v>
      </c>
      <c r="P301" s="881">
        <f t="shared" ca="1" si="137"/>
        <v>51.70807453416149</v>
      </c>
      <c r="Q301" s="868"/>
      <c r="R301" s="868"/>
      <c r="S301" s="868"/>
      <c r="T301" s="868"/>
      <c r="U301" s="868"/>
      <c r="V301" s="868"/>
      <c r="W301" s="868"/>
      <c r="X301" s="868"/>
      <c r="Y301" s="868"/>
      <c r="Z301" s="868"/>
    </row>
    <row r="302" spans="1:26" ht="19.5" hidden="1">
      <c r="A302" s="993"/>
      <c r="B302" s="883"/>
      <c r="C302" s="999"/>
      <c r="D302" s="883"/>
      <c r="E302" s="884" t="s">
        <v>36</v>
      </c>
      <c r="F302" s="883"/>
      <c r="G302" s="994"/>
      <c r="H302" s="165" t="s">
        <v>12</v>
      </c>
      <c r="I302" s="1000"/>
      <c r="J302" s="1000"/>
      <c r="K302" s="1001"/>
      <c r="L302" s="887">
        <v>0</v>
      </c>
      <c r="M302" s="887">
        <v>0</v>
      </c>
      <c r="N302" s="887">
        <v>0</v>
      </c>
      <c r="O302" s="887">
        <f t="shared" si="136"/>
        <v>0</v>
      </c>
      <c r="P302" s="887">
        <f t="shared" si="137"/>
        <v>0</v>
      </c>
      <c r="Q302" s="875"/>
      <c r="R302" s="875"/>
      <c r="S302" s="875"/>
      <c r="T302" s="875"/>
      <c r="U302" s="875"/>
      <c r="V302" s="875"/>
      <c r="W302" s="875"/>
      <c r="X302" s="875"/>
      <c r="Y302" s="875"/>
      <c r="Z302" s="875"/>
    </row>
    <row r="303" spans="1:26" ht="19.5" hidden="1">
      <c r="A303" s="993"/>
      <c r="B303" s="883"/>
      <c r="C303" s="999"/>
      <c r="D303" s="883"/>
      <c r="E303" s="884" t="s">
        <v>37</v>
      </c>
      <c r="F303" s="883"/>
      <c r="G303" s="994"/>
      <c r="H303" s="165" t="s">
        <v>12</v>
      </c>
      <c r="I303" s="1000"/>
      <c r="J303" s="1000"/>
      <c r="K303" s="1001"/>
      <c r="L303" s="887">
        <f ca="1">IFERROR(__xludf.DUMMYFUNCTION("IMPORTRANGE(""https://docs.google.com/spreadsheets/d/1MeEWN-I1oV_STSDYn1IFDPWt_1FKiwhDph83XaGc0o0/edit?usp=sharing"",""งบพรบ!DS76"")"),82400)</f>
        <v>82400</v>
      </c>
      <c r="M303" s="887">
        <f ca="1">IFERROR(__xludf.DUMMYFUNCTION("IMPORTRANGE(""https://docs.google.com/spreadsheets/d/1MeEWN-I1oV_STSDYn1IFDPWt_1FKiwhDph83XaGc0o0/edit?usp=sharing"",""งบพรบ!DX76"")"),64400)</f>
        <v>64400</v>
      </c>
      <c r="N303" s="887">
        <f ca="1">IFERROR(__xludf.DUMMYFUNCTION("IMPORTRANGE(""https://docs.google.com/spreadsheets/d/1MeEWN-I1oV_STSDYn1IFDPWt_1FKiwhDph83XaGc0o0/edit?usp=sharing"",""งบพรบ!DZ76"")"),33300)</f>
        <v>33300</v>
      </c>
      <c r="O303" s="887">
        <f t="shared" ca="1" si="136"/>
        <v>40.412621359223301</v>
      </c>
      <c r="P303" s="887">
        <f t="shared" ca="1" si="137"/>
        <v>51.70807453416149</v>
      </c>
      <c r="Q303" s="875"/>
      <c r="R303" s="875"/>
      <c r="S303" s="875"/>
      <c r="T303" s="875"/>
      <c r="U303" s="875"/>
      <c r="V303" s="875"/>
      <c r="W303" s="875"/>
      <c r="X303" s="875"/>
      <c r="Y303" s="875"/>
      <c r="Z303" s="875"/>
    </row>
    <row r="304" spans="1:26" ht="18.75">
      <c r="A304" s="995"/>
      <c r="B304" s="877"/>
      <c r="C304" s="996"/>
      <c r="D304" s="878" t="s">
        <v>21</v>
      </c>
      <c r="E304" s="877"/>
      <c r="F304" s="877"/>
      <c r="G304" s="879"/>
      <c r="H304" s="168" t="s">
        <v>12</v>
      </c>
      <c r="I304" s="997"/>
      <c r="J304" s="997"/>
      <c r="K304" s="998"/>
      <c r="L304" s="881">
        <f t="shared" ref="L304:N304" ca="1" si="140">L305+L306</f>
        <v>0</v>
      </c>
      <c r="M304" s="881">
        <f t="shared" ca="1" si="140"/>
        <v>0</v>
      </c>
      <c r="N304" s="881">
        <f t="shared" ca="1" si="140"/>
        <v>0</v>
      </c>
      <c r="O304" s="881">
        <f t="shared" ca="1" si="136"/>
        <v>0</v>
      </c>
      <c r="P304" s="881">
        <f t="shared" ca="1" si="137"/>
        <v>0</v>
      </c>
      <c r="Q304" s="868"/>
      <c r="R304" s="868"/>
      <c r="S304" s="868"/>
      <c r="T304" s="868"/>
      <c r="U304" s="868"/>
      <c r="V304" s="868"/>
      <c r="W304" s="868"/>
      <c r="X304" s="868"/>
      <c r="Y304" s="868"/>
      <c r="Z304" s="868"/>
    </row>
    <row r="305" spans="1:26" ht="19.5" hidden="1">
      <c r="A305" s="993"/>
      <c r="B305" s="883"/>
      <c r="C305" s="999"/>
      <c r="D305" s="883"/>
      <c r="E305" s="884" t="s">
        <v>18</v>
      </c>
      <c r="F305" s="883"/>
      <c r="G305" s="994"/>
      <c r="H305" s="165" t="s">
        <v>12</v>
      </c>
      <c r="I305" s="1000"/>
      <c r="J305" s="1000"/>
      <c r="K305" s="1001"/>
      <c r="L305" s="887">
        <v>0</v>
      </c>
      <c r="M305" s="887">
        <v>0</v>
      </c>
      <c r="N305" s="887">
        <v>0</v>
      </c>
      <c r="O305" s="887">
        <f t="shared" si="136"/>
        <v>0</v>
      </c>
      <c r="P305" s="887">
        <f t="shared" si="137"/>
        <v>0</v>
      </c>
      <c r="Q305" s="875"/>
      <c r="R305" s="875"/>
      <c r="S305" s="875"/>
      <c r="T305" s="875"/>
      <c r="U305" s="875"/>
      <c r="V305" s="875"/>
      <c r="W305" s="875"/>
      <c r="X305" s="875"/>
      <c r="Y305" s="875"/>
      <c r="Z305" s="875"/>
    </row>
    <row r="306" spans="1:26" ht="19.5" hidden="1">
      <c r="A306" s="993"/>
      <c r="B306" s="883"/>
      <c r="C306" s="999"/>
      <c r="D306" s="883"/>
      <c r="E306" s="884" t="s">
        <v>19</v>
      </c>
      <c r="F306" s="883"/>
      <c r="G306" s="994"/>
      <c r="H306" s="169" t="s">
        <v>12</v>
      </c>
      <c r="I306" s="1000"/>
      <c r="J306" s="1000"/>
      <c r="K306" s="1001"/>
      <c r="L306" s="887">
        <f ca="1">IFERROR(__xludf.DUMMYFUNCTION("IMPORTRANGE(""https://docs.google.com/spreadsheets/d/1MeEWN-I1oV_STSDYn1IFDPWt_1FKiwhDph83XaGc0o0/edit?usp=sharing"",""งบพรบ!DV76"")"),0)</f>
        <v>0</v>
      </c>
      <c r="M306" s="887">
        <f ca="1">IFERROR(__xludf.DUMMYFUNCTION("IMPORTRANGE(""https://docs.google.com/spreadsheets/d/1MeEWN-I1oV_STSDYn1IFDPWt_1FKiwhDph83XaGc0o0/edit?usp=sharing"",""งบพรบ!DY76"")"),0)</f>
        <v>0</v>
      </c>
      <c r="N306" s="887">
        <f ca="1">IFERROR(__xludf.DUMMYFUNCTION("IMPORTRANGE(""https://docs.google.com/spreadsheets/d/1MeEWN-I1oV_STSDYn1IFDPWt_1FKiwhDph83XaGc0o0/edit?usp=sharing"",""งบพรบ!EA76"")"),0)</f>
        <v>0</v>
      </c>
      <c r="O306" s="887">
        <f t="shared" ca="1" si="136"/>
        <v>0</v>
      </c>
      <c r="P306" s="887">
        <f t="shared" ca="1" si="137"/>
        <v>0</v>
      </c>
      <c r="Q306" s="875"/>
      <c r="R306" s="875"/>
      <c r="S306" s="875"/>
      <c r="T306" s="875"/>
      <c r="U306" s="875"/>
      <c r="V306" s="875"/>
      <c r="W306" s="875"/>
      <c r="X306" s="875"/>
      <c r="Y306" s="875"/>
      <c r="Z306" s="875"/>
    </row>
    <row r="307" spans="1:26" ht="19.5">
      <c r="A307" s="1002"/>
      <c r="B307" s="1003"/>
      <c r="C307" s="999" t="s">
        <v>16</v>
      </c>
      <c r="D307" s="1004" t="s">
        <v>38</v>
      </c>
      <c r="E307" s="1005"/>
      <c r="F307" s="1005"/>
      <c r="G307" s="1006"/>
      <c r="H307" s="1007"/>
      <c r="I307" s="880"/>
      <c r="J307" s="880"/>
      <c r="K307" s="881"/>
      <c r="L307" s="881"/>
      <c r="M307" s="881"/>
      <c r="N307" s="881"/>
      <c r="O307" s="881"/>
      <c r="P307" s="881"/>
    </row>
    <row r="308" spans="1:26" ht="18.75">
      <c r="A308" s="1002"/>
      <c r="B308" s="1003"/>
      <c r="C308" s="1003"/>
      <c r="D308" s="1009" t="s">
        <v>140</v>
      </c>
      <c r="E308" s="1009"/>
      <c r="F308" s="1009"/>
      <c r="G308" s="1011"/>
      <c r="H308" s="762"/>
      <c r="I308" s="880"/>
      <c r="J308" s="1012">
        <v>1</v>
      </c>
      <c r="K308" s="881"/>
      <c r="L308" s="881"/>
      <c r="M308" s="881"/>
      <c r="N308" s="881"/>
      <c r="O308" s="881"/>
      <c r="P308" s="881"/>
    </row>
    <row r="309" spans="1:26" ht="18.75">
      <c r="A309" s="1002"/>
      <c r="B309" s="1003"/>
      <c r="C309" s="1003"/>
      <c r="D309" s="1009" t="s">
        <v>141</v>
      </c>
      <c r="E309" s="1009"/>
      <c r="F309" s="1009"/>
      <c r="G309" s="1011"/>
      <c r="H309" s="762" t="s">
        <v>35</v>
      </c>
      <c r="I309" s="880">
        <f ca="1">IFERROR(__xludf.DUMMYFUNCTION("IMPORTRANGE(""https://docs.google.com/spreadsheets/d/1QqKyyYR6Q21VydFLVH3TRQUabQu_ym0Zz7PgGX0-kHA/edit?usp=sharing"",""แผน!ED76"")"),20)</f>
        <v>20</v>
      </c>
      <c r="J309" s="1012">
        <v>20</v>
      </c>
      <c r="K309" s="881">
        <f t="shared" ref="K309:K312" ca="1" si="141">IF(I309&gt;0,J309*100/I309,0)</f>
        <v>100</v>
      </c>
      <c r="L309" s="881"/>
      <c r="M309" s="881"/>
      <c r="N309" s="881"/>
      <c r="O309" s="881"/>
      <c r="P309" s="881"/>
    </row>
    <row r="310" spans="1:26" ht="18.75">
      <c r="A310" s="1002"/>
      <c r="B310" s="1003"/>
      <c r="C310" s="1003"/>
      <c r="D310" s="1009" t="s">
        <v>142</v>
      </c>
      <c r="E310" s="1009"/>
      <c r="F310" s="1009"/>
      <c r="G310" s="1011"/>
      <c r="H310" s="762" t="s">
        <v>35</v>
      </c>
      <c r="I310" s="880">
        <f ca="1">IFERROR(__xludf.DUMMYFUNCTION("IMPORTRANGE(""https://docs.google.com/spreadsheets/d/1QqKyyYR6Q21VydFLVH3TRQUabQu_ym0Zz7PgGX0-kHA/edit?usp=sharing"",""แผน!ED76"")"),20)</f>
        <v>20</v>
      </c>
      <c r="J310" s="1012">
        <v>0</v>
      </c>
      <c r="K310" s="881">
        <f t="shared" ca="1" si="141"/>
        <v>0</v>
      </c>
      <c r="L310" s="881"/>
      <c r="M310" s="881"/>
      <c r="N310" s="881"/>
      <c r="O310" s="881"/>
      <c r="P310" s="881"/>
    </row>
    <row r="311" spans="1:26" ht="18.75">
      <c r="A311" s="1002"/>
      <c r="B311" s="1003"/>
      <c r="C311" s="1003"/>
      <c r="D311" s="1009" t="s">
        <v>59</v>
      </c>
      <c r="E311" s="1009"/>
      <c r="F311" s="1009"/>
      <c r="G311" s="1011"/>
      <c r="H311" s="762" t="s">
        <v>35</v>
      </c>
      <c r="I311" s="880">
        <f ca="1">IFERROR(__xludf.DUMMYFUNCTION("IMPORTRANGE(""https://docs.google.com/spreadsheets/d/1QqKyyYR6Q21VydFLVH3TRQUabQu_ym0Zz7PgGX0-kHA/edit?usp=sharing"",""แผน!ED76"")"),20)</f>
        <v>20</v>
      </c>
      <c r="J311" s="1012">
        <v>0</v>
      </c>
      <c r="K311" s="881">
        <f t="shared" ca="1" si="141"/>
        <v>0</v>
      </c>
      <c r="L311" s="881"/>
      <c r="M311" s="881"/>
      <c r="N311" s="881"/>
      <c r="O311" s="881"/>
      <c r="P311" s="881"/>
    </row>
    <row r="312" spans="1:26" ht="18.75">
      <c r="A312" s="1002"/>
      <c r="B312" s="1003"/>
      <c r="C312" s="1003"/>
      <c r="D312" s="1009" t="s">
        <v>143</v>
      </c>
      <c r="E312" s="1009"/>
      <c r="F312" s="1009"/>
      <c r="G312" s="1011"/>
      <c r="H312" s="762" t="s">
        <v>35</v>
      </c>
      <c r="I312" s="880">
        <f ca="1">IFERROR(__xludf.DUMMYFUNCTION("IMPORTRANGE(""https://docs.google.com/spreadsheets/d/1QqKyyYR6Q21VydFLVH3TRQUabQu_ym0Zz7PgGX0-kHA/edit?usp=sharing"",""แผน!EE76"")"),4)</f>
        <v>4</v>
      </c>
      <c r="J312" s="1012">
        <v>0</v>
      </c>
      <c r="K312" s="881">
        <f t="shared" ca="1" si="141"/>
        <v>0</v>
      </c>
      <c r="L312" s="881"/>
      <c r="M312" s="881"/>
      <c r="N312" s="881"/>
      <c r="O312" s="881"/>
      <c r="P312" s="881"/>
    </row>
    <row r="313" spans="1:26" ht="19.5">
      <c r="A313" s="1179" t="s">
        <v>144</v>
      </c>
      <c r="B313" s="1180"/>
      <c r="C313" s="1180"/>
      <c r="D313" s="1181"/>
      <c r="E313" s="1180"/>
      <c r="F313" s="1180"/>
      <c r="G313" s="1180"/>
      <c r="H313" s="1193"/>
      <c r="I313" s="1184"/>
      <c r="J313" s="1184"/>
      <c r="K313" s="1185"/>
      <c r="L313" s="1185"/>
      <c r="M313" s="1185"/>
      <c r="N313" s="1185"/>
      <c r="O313" s="1185"/>
      <c r="P313" s="1185"/>
    </row>
    <row r="314" spans="1:26" ht="19.5">
      <c r="A314" s="1194"/>
      <c r="B314" s="1187" t="s">
        <v>145</v>
      </c>
      <c r="C314" s="1195"/>
      <c r="D314" s="1196"/>
      <c r="E314" s="1188"/>
      <c r="F314" s="1188"/>
      <c r="G314" s="1189"/>
      <c r="H314" s="444" t="s">
        <v>146</v>
      </c>
      <c r="I314" s="1190">
        <f t="shared" ref="I314:J314" ca="1" si="142">I325</f>
        <v>1</v>
      </c>
      <c r="J314" s="1190">
        <f t="shared" si="142"/>
        <v>1</v>
      </c>
      <c r="K314" s="1191">
        <f ca="1">IF(I314&gt;0,J314*100/I314,0)</f>
        <v>100</v>
      </c>
      <c r="L314" s="1192"/>
      <c r="M314" s="1192"/>
      <c r="N314" s="1192"/>
      <c r="O314" s="1192"/>
      <c r="P314" s="1192"/>
    </row>
    <row r="315" spans="1:26" ht="19.5">
      <c r="A315" s="985"/>
      <c r="B315" s="986"/>
      <c r="C315" s="987" t="s">
        <v>16</v>
      </c>
      <c r="D315" s="988" t="s">
        <v>17</v>
      </c>
      <c r="E315" s="986"/>
      <c r="F315" s="986"/>
      <c r="G315" s="989"/>
      <c r="H315" s="152" t="s">
        <v>12</v>
      </c>
      <c r="I315" s="990"/>
      <c r="J315" s="990"/>
      <c r="K315" s="991"/>
      <c r="L315" s="992">
        <f t="shared" ref="L315:N315" ca="1" si="143">L316+L317</f>
        <v>153000</v>
      </c>
      <c r="M315" s="992">
        <f t="shared" ca="1" si="143"/>
        <v>114500</v>
      </c>
      <c r="N315" s="992">
        <f t="shared" ca="1" si="143"/>
        <v>83985.2</v>
      </c>
      <c r="O315" s="992">
        <f t="shared" ref="O315:O323" ca="1" si="144">IF(L315&gt;0,N315*100/L315,0)</f>
        <v>54.89228758169935</v>
      </c>
      <c r="P315" s="992">
        <f t="shared" ref="P315:P323" ca="1" si="145">IF(M315&gt;0,N315*100/M315,0)</f>
        <v>73.349519650655026</v>
      </c>
      <c r="Q315" s="868"/>
      <c r="R315" s="868"/>
      <c r="S315" s="868"/>
      <c r="T315" s="868"/>
      <c r="U315" s="868"/>
      <c r="V315" s="868"/>
      <c r="W315" s="868"/>
      <c r="X315" s="868"/>
      <c r="Y315" s="868"/>
      <c r="Z315" s="868"/>
    </row>
    <row r="316" spans="1:26" ht="18.75" hidden="1">
      <c r="A316" s="993"/>
      <c r="B316" s="883"/>
      <c r="C316" s="883"/>
      <c r="D316" s="883"/>
      <c r="E316" s="884" t="s">
        <v>18</v>
      </c>
      <c r="F316" s="883"/>
      <c r="G316" s="994"/>
      <c r="H316" s="158" t="s">
        <v>12</v>
      </c>
      <c r="I316" s="886"/>
      <c r="J316" s="886"/>
      <c r="K316" s="887"/>
      <c r="L316" s="887">
        <f t="shared" ref="L316:N317" si="146">L319+L322</f>
        <v>0</v>
      </c>
      <c r="M316" s="887">
        <f t="shared" si="146"/>
        <v>0</v>
      </c>
      <c r="N316" s="887">
        <f t="shared" si="146"/>
        <v>0</v>
      </c>
      <c r="O316" s="887">
        <f t="shared" si="144"/>
        <v>0</v>
      </c>
      <c r="P316" s="887">
        <f t="shared" si="145"/>
        <v>0</v>
      </c>
      <c r="Q316" s="875"/>
      <c r="R316" s="875"/>
      <c r="S316" s="875"/>
      <c r="T316" s="875"/>
      <c r="U316" s="875"/>
      <c r="V316" s="875"/>
      <c r="W316" s="875"/>
      <c r="X316" s="875"/>
      <c r="Y316" s="875"/>
      <c r="Z316" s="875"/>
    </row>
    <row r="317" spans="1:26" ht="18.75" hidden="1">
      <c r="A317" s="993"/>
      <c r="B317" s="883"/>
      <c r="C317" s="883"/>
      <c r="D317" s="883"/>
      <c r="E317" s="884" t="s">
        <v>19</v>
      </c>
      <c r="F317" s="883"/>
      <c r="G317" s="994"/>
      <c r="H317" s="158" t="s">
        <v>12</v>
      </c>
      <c r="I317" s="886"/>
      <c r="J317" s="886"/>
      <c r="K317" s="887"/>
      <c r="L317" s="887">
        <f t="shared" ca="1" si="146"/>
        <v>153000</v>
      </c>
      <c r="M317" s="887">
        <f t="shared" ca="1" si="146"/>
        <v>114500</v>
      </c>
      <c r="N317" s="887">
        <f t="shared" ca="1" si="146"/>
        <v>83985.2</v>
      </c>
      <c r="O317" s="887">
        <f t="shared" ca="1" si="144"/>
        <v>54.89228758169935</v>
      </c>
      <c r="P317" s="887">
        <f t="shared" ca="1" si="145"/>
        <v>73.349519650655026</v>
      </c>
      <c r="Q317" s="875"/>
      <c r="R317" s="875"/>
      <c r="S317" s="875"/>
      <c r="T317" s="875"/>
      <c r="U317" s="875"/>
      <c r="V317" s="875"/>
      <c r="W317" s="875"/>
      <c r="X317" s="875"/>
      <c r="Y317" s="875"/>
      <c r="Z317" s="875"/>
    </row>
    <row r="318" spans="1:26" ht="18.75">
      <c r="A318" s="995"/>
      <c r="B318" s="877"/>
      <c r="C318" s="996"/>
      <c r="D318" s="878" t="s">
        <v>20</v>
      </c>
      <c r="E318" s="877"/>
      <c r="F318" s="877"/>
      <c r="G318" s="879"/>
      <c r="H318" s="161" t="s">
        <v>12</v>
      </c>
      <c r="I318" s="997"/>
      <c r="J318" s="997"/>
      <c r="K318" s="998"/>
      <c r="L318" s="881">
        <f t="shared" ref="L318:N318" ca="1" si="147">L319+L320</f>
        <v>153000</v>
      </c>
      <c r="M318" s="881">
        <f t="shared" ca="1" si="147"/>
        <v>114500</v>
      </c>
      <c r="N318" s="881">
        <f t="shared" ca="1" si="147"/>
        <v>83985.2</v>
      </c>
      <c r="O318" s="881">
        <f t="shared" ca="1" si="144"/>
        <v>54.89228758169935</v>
      </c>
      <c r="P318" s="881">
        <f t="shared" ca="1" si="145"/>
        <v>73.349519650655026</v>
      </c>
      <c r="Q318" s="868"/>
      <c r="R318" s="868"/>
      <c r="S318" s="868"/>
      <c r="T318" s="868"/>
      <c r="U318" s="868"/>
      <c r="V318" s="868"/>
      <c r="W318" s="868"/>
      <c r="X318" s="868"/>
      <c r="Y318" s="868"/>
      <c r="Z318" s="868"/>
    </row>
    <row r="319" spans="1:26" ht="19.5" hidden="1">
      <c r="A319" s="993"/>
      <c r="B319" s="883"/>
      <c r="C319" s="999"/>
      <c r="D319" s="883"/>
      <c r="E319" s="884" t="s">
        <v>36</v>
      </c>
      <c r="F319" s="883"/>
      <c r="G319" s="994"/>
      <c r="H319" s="165" t="s">
        <v>12</v>
      </c>
      <c r="I319" s="1000"/>
      <c r="J319" s="1000"/>
      <c r="K319" s="1001"/>
      <c r="L319" s="887">
        <v>0</v>
      </c>
      <c r="M319" s="887">
        <v>0</v>
      </c>
      <c r="N319" s="887">
        <v>0</v>
      </c>
      <c r="O319" s="887">
        <f t="shared" si="144"/>
        <v>0</v>
      </c>
      <c r="P319" s="887">
        <f t="shared" si="145"/>
        <v>0</v>
      </c>
      <c r="Q319" s="875"/>
      <c r="R319" s="875"/>
      <c r="S319" s="875"/>
      <c r="T319" s="875"/>
      <c r="U319" s="875"/>
      <c r="V319" s="875"/>
      <c r="W319" s="875"/>
      <c r="X319" s="875"/>
      <c r="Y319" s="875"/>
      <c r="Z319" s="875"/>
    </row>
    <row r="320" spans="1:26" ht="19.5" hidden="1">
      <c r="A320" s="993"/>
      <c r="B320" s="883"/>
      <c r="C320" s="999"/>
      <c r="D320" s="883"/>
      <c r="E320" s="884" t="s">
        <v>37</v>
      </c>
      <c r="F320" s="883"/>
      <c r="G320" s="994"/>
      <c r="H320" s="165" t="s">
        <v>12</v>
      </c>
      <c r="I320" s="1000"/>
      <c r="J320" s="1000"/>
      <c r="K320" s="1001"/>
      <c r="L320" s="887">
        <f ca="1">IFERROR(__xludf.DUMMYFUNCTION("IMPORTRANGE(""https://docs.google.com/spreadsheets/d/1MeEWN-I1oV_STSDYn1IFDPWt_1FKiwhDph83XaGc0o0/edit?usp=sharing"",""งบพรบ!EC76"")"),153000)</f>
        <v>153000</v>
      </c>
      <c r="M320" s="887">
        <f ca="1">IFERROR(__xludf.DUMMYFUNCTION("IMPORTRANGE(""https://docs.google.com/spreadsheets/d/1MeEWN-I1oV_STSDYn1IFDPWt_1FKiwhDph83XaGc0o0/edit?usp=sharing"",""งบพรบ!EH76"")"),114500)</f>
        <v>114500</v>
      </c>
      <c r="N320" s="887">
        <f ca="1">IFERROR(__xludf.DUMMYFUNCTION("IMPORTRANGE(""https://docs.google.com/spreadsheets/d/1MeEWN-I1oV_STSDYn1IFDPWt_1FKiwhDph83XaGc0o0/edit?usp=sharing"",""งบพรบ!EJ76"")"),83985.2)</f>
        <v>83985.2</v>
      </c>
      <c r="O320" s="887">
        <f t="shared" ca="1" si="144"/>
        <v>54.89228758169935</v>
      </c>
      <c r="P320" s="887">
        <f t="shared" ca="1" si="145"/>
        <v>73.349519650655026</v>
      </c>
      <c r="Q320" s="875"/>
      <c r="R320" s="875"/>
      <c r="S320" s="875"/>
      <c r="T320" s="875"/>
      <c r="U320" s="875"/>
      <c r="V320" s="875"/>
      <c r="W320" s="875"/>
      <c r="X320" s="875"/>
      <c r="Y320" s="875"/>
      <c r="Z320" s="875"/>
    </row>
    <row r="321" spans="1:26" ht="18.75">
      <c r="A321" s="995"/>
      <c r="B321" s="877"/>
      <c r="C321" s="996"/>
      <c r="D321" s="878" t="s">
        <v>21</v>
      </c>
      <c r="E321" s="877"/>
      <c r="F321" s="877"/>
      <c r="G321" s="879"/>
      <c r="H321" s="168" t="s">
        <v>12</v>
      </c>
      <c r="I321" s="997"/>
      <c r="J321" s="997"/>
      <c r="K321" s="998"/>
      <c r="L321" s="881">
        <f t="shared" ref="L321:N321" ca="1" si="148">L322+L323</f>
        <v>0</v>
      </c>
      <c r="M321" s="881">
        <f t="shared" ca="1" si="148"/>
        <v>0</v>
      </c>
      <c r="N321" s="881">
        <f t="shared" ca="1" si="148"/>
        <v>0</v>
      </c>
      <c r="O321" s="881">
        <f t="shared" ca="1" si="144"/>
        <v>0</v>
      </c>
      <c r="P321" s="881">
        <f t="shared" ca="1" si="145"/>
        <v>0</v>
      </c>
      <c r="Q321" s="868"/>
      <c r="R321" s="868"/>
      <c r="S321" s="868"/>
      <c r="T321" s="868"/>
      <c r="U321" s="868"/>
      <c r="V321" s="868"/>
      <c r="W321" s="868"/>
      <c r="X321" s="868"/>
      <c r="Y321" s="868"/>
      <c r="Z321" s="868"/>
    </row>
    <row r="322" spans="1:26" ht="19.5" hidden="1">
      <c r="A322" s="993"/>
      <c r="B322" s="883"/>
      <c r="C322" s="999"/>
      <c r="D322" s="883"/>
      <c r="E322" s="884" t="s">
        <v>18</v>
      </c>
      <c r="F322" s="883"/>
      <c r="G322" s="994"/>
      <c r="H322" s="165" t="s">
        <v>12</v>
      </c>
      <c r="I322" s="1000"/>
      <c r="J322" s="1000"/>
      <c r="K322" s="1001"/>
      <c r="L322" s="887">
        <v>0</v>
      </c>
      <c r="M322" s="887">
        <v>0</v>
      </c>
      <c r="N322" s="887">
        <v>0</v>
      </c>
      <c r="O322" s="887">
        <f t="shared" si="144"/>
        <v>0</v>
      </c>
      <c r="P322" s="887">
        <f t="shared" si="145"/>
        <v>0</v>
      </c>
      <c r="Q322" s="875"/>
      <c r="R322" s="875"/>
      <c r="S322" s="875"/>
      <c r="T322" s="875"/>
      <c r="U322" s="875"/>
      <c r="V322" s="875"/>
      <c r="W322" s="875"/>
      <c r="X322" s="875"/>
      <c r="Y322" s="875"/>
      <c r="Z322" s="875"/>
    </row>
    <row r="323" spans="1:26" ht="19.5" hidden="1">
      <c r="A323" s="993"/>
      <c r="B323" s="883"/>
      <c r="C323" s="999"/>
      <c r="D323" s="883"/>
      <c r="E323" s="884" t="s">
        <v>19</v>
      </c>
      <c r="F323" s="883"/>
      <c r="G323" s="994"/>
      <c r="H323" s="169" t="s">
        <v>12</v>
      </c>
      <c r="I323" s="1000"/>
      <c r="J323" s="1000"/>
      <c r="K323" s="1001"/>
      <c r="L323" s="887">
        <f ca="1">IFERROR(__xludf.DUMMYFUNCTION("IMPORTRANGE(""https://docs.google.com/spreadsheets/d/1MeEWN-I1oV_STSDYn1IFDPWt_1FKiwhDph83XaGc0o0/edit?usp=sharing"",""งบพรบ!EF76"")"),0)</f>
        <v>0</v>
      </c>
      <c r="M323" s="887">
        <f ca="1">IFERROR(__xludf.DUMMYFUNCTION("IMPORTRANGE(""https://docs.google.com/spreadsheets/d/1MeEWN-I1oV_STSDYn1IFDPWt_1FKiwhDph83XaGc0o0/edit?usp=sharing"",""งบพรบ!EI76"")"),0)</f>
        <v>0</v>
      </c>
      <c r="N323" s="887">
        <f ca="1">IFERROR(__xludf.DUMMYFUNCTION("IMPORTRANGE(""https://docs.google.com/spreadsheets/d/1MeEWN-I1oV_STSDYn1IFDPWt_1FKiwhDph83XaGc0o0/edit?usp=sharing"",""งบพรบ!EK76"")"),0)</f>
        <v>0</v>
      </c>
      <c r="O323" s="887">
        <f t="shared" ca="1" si="144"/>
        <v>0</v>
      </c>
      <c r="P323" s="887">
        <f t="shared" ca="1" si="145"/>
        <v>0</v>
      </c>
      <c r="Q323" s="875"/>
      <c r="R323" s="875"/>
      <c r="S323" s="875"/>
      <c r="T323" s="875"/>
      <c r="U323" s="875"/>
      <c r="V323" s="875"/>
      <c r="W323" s="875"/>
      <c r="X323" s="875"/>
      <c r="Y323" s="875"/>
      <c r="Z323" s="875"/>
    </row>
    <row r="324" spans="1:26" ht="19.5">
      <c r="A324" s="1002"/>
      <c r="B324" s="1003"/>
      <c r="C324" s="999" t="s">
        <v>16</v>
      </c>
      <c r="D324" s="1004" t="s">
        <v>38</v>
      </c>
      <c r="E324" s="1005"/>
      <c r="F324" s="1005"/>
      <c r="G324" s="1006"/>
      <c r="H324" s="1007"/>
      <c r="I324" s="997"/>
      <c r="J324" s="880"/>
      <c r="K324" s="881"/>
      <c r="L324" s="881"/>
      <c r="M324" s="881"/>
      <c r="N324" s="881"/>
      <c r="O324" s="998"/>
      <c r="P324" s="998"/>
    </row>
    <row r="325" spans="1:26" ht="18.75">
      <c r="A325" s="1002"/>
      <c r="B325" s="1003"/>
      <c r="C325" s="1003"/>
      <c r="D325" s="1008" t="s">
        <v>147</v>
      </c>
      <c r="E325" s="1010"/>
      <c r="F325" s="1009"/>
      <c r="G325" s="1011"/>
      <c r="H325" s="622" t="s">
        <v>146</v>
      </c>
      <c r="I325" s="880">
        <f ca="1">IFERROR(__xludf.DUMMYFUNCTION("IMPORTRANGE(""https://docs.google.com/spreadsheets/d/1QqKyyYR6Q21VydFLVH3TRQUabQu_ym0Zz7PgGX0-kHA/edit?usp=sharing"",""แผน!EF76"")"),1)</f>
        <v>1</v>
      </c>
      <c r="J325" s="1012">
        <v>1</v>
      </c>
      <c r="K325" s="881">
        <f ca="1">IF(I325&gt;0,J325*100/I325,0)</f>
        <v>100</v>
      </c>
      <c r="L325" s="881"/>
      <c r="M325" s="881"/>
      <c r="N325" s="881"/>
      <c r="O325" s="998"/>
      <c r="P325" s="998"/>
    </row>
    <row r="326" spans="1:26" ht="19.5">
      <c r="A326" s="1179" t="s">
        <v>148</v>
      </c>
      <c r="B326" s="1180"/>
      <c r="C326" s="1180"/>
      <c r="D326" s="1181"/>
      <c r="E326" s="1180"/>
      <c r="F326" s="1180"/>
      <c r="G326" s="1180"/>
      <c r="H326" s="1193"/>
      <c r="I326" s="1184"/>
      <c r="J326" s="1184"/>
      <c r="K326" s="1185"/>
      <c r="L326" s="1185"/>
      <c r="M326" s="1185"/>
      <c r="N326" s="1185"/>
      <c r="O326" s="1185"/>
      <c r="P326" s="1185"/>
    </row>
    <row r="327" spans="1:26" ht="19.5">
      <c r="A327" s="1186"/>
      <c r="B327" s="1187" t="s">
        <v>149</v>
      </c>
      <c r="C327" s="1196"/>
      <c r="D327" s="1188"/>
      <c r="E327" s="1188"/>
      <c r="F327" s="1188"/>
      <c r="G327" s="1189"/>
      <c r="H327" s="444" t="s">
        <v>35</v>
      </c>
      <c r="I327" s="1190">
        <f ca="1">IFERROR(__xludf.DUMMYFUNCTION("IMPORTRANGE(""https://docs.google.com/spreadsheets/d/1QqKyyYR6Q21VydFLVH3TRQUabQu_ym0Zz7PgGX0-kHA/edit?usp=sharing"",""แผน!EG76"")"),3100)</f>
        <v>3100</v>
      </c>
      <c r="J327" s="1190">
        <f ca="1">J338+J341+J342+J343</f>
        <v>2424</v>
      </c>
      <c r="K327" s="1191">
        <f ca="1">IF(I327&gt;0,J327*100/I327,0)</f>
        <v>78.193548387096769</v>
      </c>
      <c r="L327" s="1192"/>
      <c r="M327" s="1192"/>
      <c r="N327" s="1192"/>
      <c r="O327" s="1192"/>
      <c r="P327" s="1192"/>
    </row>
    <row r="328" spans="1:26" ht="19.5">
      <c r="A328" s="985"/>
      <c r="B328" s="986"/>
      <c r="C328" s="987" t="s">
        <v>16</v>
      </c>
      <c r="D328" s="988" t="s">
        <v>17</v>
      </c>
      <c r="E328" s="986"/>
      <c r="F328" s="986"/>
      <c r="G328" s="989"/>
      <c r="H328" s="152" t="s">
        <v>12</v>
      </c>
      <c r="I328" s="990"/>
      <c r="J328" s="990"/>
      <c r="K328" s="991"/>
      <c r="L328" s="992">
        <f t="shared" ref="L328:N328" ca="1" si="149">L329+L330</f>
        <v>173000</v>
      </c>
      <c r="M328" s="992">
        <f t="shared" ca="1" si="149"/>
        <v>132250</v>
      </c>
      <c r="N328" s="992">
        <f t="shared" ca="1" si="149"/>
        <v>75848</v>
      </c>
      <c r="O328" s="992">
        <f t="shared" ref="O328:O336" ca="1" si="150">IF(L328&gt;0,N328*100/L328,0)</f>
        <v>43.842774566473992</v>
      </c>
      <c r="P328" s="992">
        <f t="shared" ref="P328:P336" ca="1" si="151">IF(M328&gt;0,N328*100/M328,0)</f>
        <v>57.351984877126654</v>
      </c>
      <c r="Q328" s="868"/>
      <c r="R328" s="868"/>
      <c r="S328" s="868"/>
      <c r="T328" s="868"/>
      <c r="U328" s="868"/>
      <c r="V328" s="868"/>
      <c r="W328" s="868"/>
      <c r="X328" s="868"/>
      <c r="Y328" s="868"/>
      <c r="Z328" s="868"/>
    </row>
    <row r="329" spans="1:26" ht="18.75" hidden="1">
      <c r="A329" s="993"/>
      <c r="B329" s="883"/>
      <c r="C329" s="883"/>
      <c r="D329" s="883"/>
      <c r="E329" s="884" t="s">
        <v>18</v>
      </c>
      <c r="F329" s="883"/>
      <c r="G329" s="994"/>
      <c r="H329" s="158" t="s">
        <v>12</v>
      </c>
      <c r="I329" s="886"/>
      <c r="J329" s="886"/>
      <c r="K329" s="887"/>
      <c r="L329" s="887">
        <f t="shared" ref="L329:N330" si="152">L332+L335</f>
        <v>0</v>
      </c>
      <c r="M329" s="887">
        <f t="shared" si="152"/>
        <v>0</v>
      </c>
      <c r="N329" s="887">
        <f t="shared" si="152"/>
        <v>0</v>
      </c>
      <c r="O329" s="887">
        <f t="shared" si="150"/>
        <v>0</v>
      </c>
      <c r="P329" s="887">
        <f t="shared" si="151"/>
        <v>0</v>
      </c>
      <c r="Q329" s="875"/>
      <c r="R329" s="875"/>
      <c r="S329" s="875"/>
      <c r="T329" s="875"/>
      <c r="U329" s="875"/>
      <c r="V329" s="875"/>
      <c r="W329" s="875"/>
      <c r="X329" s="875"/>
      <c r="Y329" s="875"/>
      <c r="Z329" s="875"/>
    </row>
    <row r="330" spans="1:26" ht="18.75" hidden="1">
      <c r="A330" s="993"/>
      <c r="B330" s="883"/>
      <c r="C330" s="883"/>
      <c r="D330" s="883"/>
      <c r="E330" s="884" t="s">
        <v>19</v>
      </c>
      <c r="F330" s="883"/>
      <c r="G330" s="994"/>
      <c r="H330" s="158" t="s">
        <v>12</v>
      </c>
      <c r="I330" s="886"/>
      <c r="J330" s="886"/>
      <c r="K330" s="887"/>
      <c r="L330" s="887">
        <f t="shared" ca="1" si="152"/>
        <v>173000</v>
      </c>
      <c r="M330" s="887">
        <f t="shared" ca="1" si="152"/>
        <v>132250</v>
      </c>
      <c r="N330" s="887">
        <f t="shared" ca="1" si="152"/>
        <v>75848</v>
      </c>
      <c r="O330" s="887">
        <f t="shared" ca="1" si="150"/>
        <v>43.842774566473992</v>
      </c>
      <c r="P330" s="887">
        <f t="shared" ca="1" si="151"/>
        <v>57.351984877126654</v>
      </c>
      <c r="Q330" s="875"/>
      <c r="R330" s="875"/>
      <c r="S330" s="875"/>
      <c r="T330" s="875"/>
      <c r="U330" s="875"/>
      <c r="V330" s="875"/>
      <c r="W330" s="875"/>
      <c r="X330" s="875"/>
      <c r="Y330" s="875"/>
      <c r="Z330" s="875"/>
    </row>
    <row r="331" spans="1:26" ht="18.75">
      <c r="A331" s="995"/>
      <c r="B331" s="877"/>
      <c r="C331" s="996"/>
      <c r="D331" s="878" t="s">
        <v>20</v>
      </c>
      <c r="E331" s="877"/>
      <c r="F331" s="877"/>
      <c r="G331" s="879"/>
      <c r="H331" s="161" t="s">
        <v>12</v>
      </c>
      <c r="I331" s="997"/>
      <c r="J331" s="997"/>
      <c r="K331" s="998"/>
      <c r="L331" s="881">
        <f t="shared" ref="L331:N331" ca="1" si="153">L332+L333</f>
        <v>173000</v>
      </c>
      <c r="M331" s="881">
        <f t="shared" ca="1" si="153"/>
        <v>132250</v>
      </c>
      <c r="N331" s="881">
        <f t="shared" ca="1" si="153"/>
        <v>75848</v>
      </c>
      <c r="O331" s="881">
        <f t="shared" ca="1" si="150"/>
        <v>43.842774566473992</v>
      </c>
      <c r="P331" s="881">
        <f t="shared" ca="1" si="151"/>
        <v>57.351984877126654</v>
      </c>
      <c r="Q331" s="868"/>
      <c r="R331" s="868"/>
      <c r="S331" s="868"/>
      <c r="T331" s="868"/>
      <c r="U331" s="868"/>
      <c r="V331" s="868"/>
      <c r="W331" s="868"/>
      <c r="X331" s="868"/>
      <c r="Y331" s="868"/>
      <c r="Z331" s="868"/>
    </row>
    <row r="332" spans="1:26" ht="19.5" hidden="1">
      <c r="A332" s="993"/>
      <c r="B332" s="883"/>
      <c r="C332" s="999"/>
      <c r="D332" s="883"/>
      <c r="E332" s="884" t="s">
        <v>36</v>
      </c>
      <c r="F332" s="883"/>
      <c r="G332" s="994"/>
      <c r="H332" s="165" t="s">
        <v>12</v>
      </c>
      <c r="I332" s="1000"/>
      <c r="J332" s="1000"/>
      <c r="K332" s="1001"/>
      <c r="L332" s="887">
        <v>0</v>
      </c>
      <c r="M332" s="887">
        <v>0</v>
      </c>
      <c r="N332" s="887">
        <v>0</v>
      </c>
      <c r="O332" s="887">
        <f t="shared" si="150"/>
        <v>0</v>
      </c>
      <c r="P332" s="887">
        <f t="shared" si="151"/>
        <v>0</v>
      </c>
      <c r="Q332" s="875"/>
      <c r="R332" s="875"/>
      <c r="S332" s="875"/>
      <c r="T332" s="875"/>
      <c r="U332" s="875"/>
      <c r="V332" s="875"/>
      <c r="W332" s="875"/>
      <c r="X332" s="875"/>
      <c r="Y332" s="875"/>
      <c r="Z332" s="875"/>
    </row>
    <row r="333" spans="1:26" ht="19.5" hidden="1">
      <c r="A333" s="993"/>
      <c r="B333" s="883"/>
      <c r="C333" s="999"/>
      <c r="D333" s="883"/>
      <c r="E333" s="884" t="s">
        <v>37</v>
      </c>
      <c r="F333" s="883"/>
      <c r="G333" s="994"/>
      <c r="H333" s="165" t="s">
        <v>12</v>
      </c>
      <c r="I333" s="1000"/>
      <c r="J333" s="1000"/>
      <c r="K333" s="1001"/>
      <c r="L333" s="887">
        <f ca="1">IFERROR(__xludf.DUMMYFUNCTION("IMPORTRANGE(""https://docs.google.com/spreadsheets/d/1MeEWN-I1oV_STSDYn1IFDPWt_1FKiwhDph83XaGc0o0/edit?usp=sharing"",""งบพรบ!EM76"")"),173000)</f>
        <v>173000</v>
      </c>
      <c r="M333" s="887">
        <f ca="1">IFERROR(__xludf.DUMMYFUNCTION("IMPORTRANGE(""https://docs.google.com/spreadsheets/d/1MeEWN-I1oV_STSDYn1IFDPWt_1FKiwhDph83XaGc0o0/edit?usp=sharing"",""งบพรบ!ER76"")"),132250)</f>
        <v>132250</v>
      </c>
      <c r="N333" s="887">
        <f ca="1">IFERROR(__xludf.DUMMYFUNCTION("IMPORTRANGE(""https://docs.google.com/spreadsheets/d/1MeEWN-I1oV_STSDYn1IFDPWt_1FKiwhDph83XaGc0o0/edit?usp=sharing"",""งบพรบ!ET76"")"),75848)</f>
        <v>75848</v>
      </c>
      <c r="O333" s="887">
        <f t="shared" ca="1" si="150"/>
        <v>43.842774566473992</v>
      </c>
      <c r="P333" s="887">
        <f t="shared" ca="1" si="151"/>
        <v>57.351984877126654</v>
      </c>
      <c r="Q333" s="875"/>
      <c r="R333" s="875"/>
      <c r="S333" s="875"/>
      <c r="T333" s="875"/>
      <c r="U333" s="875"/>
      <c r="V333" s="875"/>
      <c r="W333" s="875"/>
      <c r="X333" s="875"/>
      <c r="Y333" s="875"/>
      <c r="Z333" s="875"/>
    </row>
    <row r="334" spans="1:26" ht="18.75">
      <c r="A334" s="995"/>
      <c r="B334" s="877"/>
      <c r="C334" s="996"/>
      <c r="D334" s="878" t="s">
        <v>21</v>
      </c>
      <c r="E334" s="877"/>
      <c r="F334" s="877"/>
      <c r="G334" s="879"/>
      <c r="H334" s="168" t="s">
        <v>12</v>
      </c>
      <c r="I334" s="997"/>
      <c r="J334" s="997"/>
      <c r="K334" s="998"/>
      <c r="L334" s="881">
        <f t="shared" ref="L334:N334" ca="1" si="154">L335+L336</f>
        <v>0</v>
      </c>
      <c r="M334" s="881">
        <f t="shared" ca="1" si="154"/>
        <v>0</v>
      </c>
      <c r="N334" s="881">
        <f t="shared" ca="1" si="154"/>
        <v>0</v>
      </c>
      <c r="O334" s="881">
        <f t="shared" ca="1" si="150"/>
        <v>0</v>
      </c>
      <c r="P334" s="881">
        <f t="shared" ca="1" si="151"/>
        <v>0</v>
      </c>
      <c r="Q334" s="868"/>
      <c r="R334" s="868"/>
      <c r="S334" s="868"/>
      <c r="T334" s="868"/>
      <c r="U334" s="868"/>
      <c r="V334" s="868"/>
      <c r="W334" s="868"/>
      <c r="X334" s="868"/>
      <c r="Y334" s="868"/>
      <c r="Z334" s="868"/>
    </row>
    <row r="335" spans="1:26" ht="19.5" hidden="1">
      <c r="A335" s="993"/>
      <c r="B335" s="883"/>
      <c r="C335" s="999"/>
      <c r="D335" s="883"/>
      <c r="E335" s="884" t="s">
        <v>18</v>
      </c>
      <c r="F335" s="883"/>
      <c r="G335" s="994"/>
      <c r="H335" s="165" t="s">
        <v>12</v>
      </c>
      <c r="I335" s="1000"/>
      <c r="J335" s="1000"/>
      <c r="K335" s="1001"/>
      <c r="L335" s="887">
        <v>0</v>
      </c>
      <c r="M335" s="887">
        <v>0</v>
      </c>
      <c r="N335" s="887">
        <v>0</v>
      </c>
      <c r="O335" s="887">
        <f t="shared" si="150"/>
        <v>0</v>
      </c>
      <c r="P335" s="887">
        <f t="shared" si="151"/>
        <v>0</v>
      </c>
      <c r="Q335" s="875"/>
      <c r="R335" s="875"/>
      <c r="S335" s="875"/>
      <c r="T335" s="875"/>
      <c r="U335" s="875"/>
      <c r="V335" s="875"/>
      <c r="W335" s="875"/>
      <c r="X335" s="875"/>
      <c r="Y335" s="875"/>
      <c r="Z335" s="875"/>
    </row>
    <row r="336" spans="1:26" ht="19.5" hidden="1">
      <c r="A336" s="993"/>
      <c r="B336" s="883"/>
      <c r="C336" s="999"/>
      <c r="D336" s="883"/>
      <c r="E336" s="884" t="s">
        <v>19</v>
      </c>
      <c r="F336" s="883"/>
      <c r="G336" s="994"/>
      <c r="H336" s="169" t="s">
        <v>12</v>
      </c>
      <c r="I336" s="1000"/>
      <c r="J336" s="1000"/>
      <c r="K336" s="1001"/>
      <c r="L336" s="887">
        <f ca="1">IFERROR(__xludf.DUMMYFUNCTION("IMPORTRANGE(""https://docs.google.com/spreadsheets/d/1MeEWN-I1oV_STSDYn1IFDPWt_1FKiwhDph83XaGc0o0/edit?usp=sharing"",""งบพรบ!EP76"")"),0)</f>
        <v>0</v>
      </c>
      <c r="M336" s="887">
        <f ca="1">IFERROR(__xludf.DUMMYFUNCTION("IMPORTRANGE(""https://docs.google.com/spreadsheets/d/1MeEWN-I1oV_STSDYn1IFDPWt_1FKiwhDph83XaGc0o0/edit?usp=sharing"",""งบพรบ!ES76"")"),0)</f>
        <v>0</v>
      </c>
      <c r="N336" s="887">
        <f ca="1">IFERROR(__xludf.DUMMYFUNCTION("IMPORTRANGE(""https://docs.google.com/spreadsheets/d/1MeEWN-I1oV_STSDYn1IFDPWt_1FKiwhDph83XaGc0o0/edit?usp=sharing"",""งบพรบ!EU76"")"),0)</f>
        <v>0</v>
      </c>
      <c r="O336" s="887">
        <f t="shared" ca="1" si="150"/>
        <v>0</v>
      </c>
      <c r="P336" s="887">
        <f t="shared" ca="1" si="151"/>
        <v>0</v>
      </c>
      <c r="Q336" s="875"/>
      <c r="R336" s="875"/>
      <c r="S336" s="875"/>
      <c r="T336" s="875"/>
      <c r="U336" s="875"/>
      <c r="V336" s="875"/>
      <c r="W336" s="875"/>
      <c r="X336" s="875"/>
      <c r="Y336" s="875"/>
      <c r="Z336" s="875"/>
    </row>
    <row r="337" spans="1:26" ht="19.5">
      <c r="A337" s="1002"/>
      <c r="B337" s="1003"/>
      <c r="C337" s="999" t="s">
        <v>16</v>
      </c>
      <c r="D337" s="1004" t="s">
        <v>38</v>
      </c>
      <c r="E337" s="1005"/>
      <c r="F337" s="1005"/>
      <c r="G337" s="1006"/>
      <c r="H337" s="1007"/>
      <c r="I337" s="997"/>
      <c r="J337" s="880"/>
      <c r="K337" s="881"/>
      <c r="L337" s="881"/>
      <c r="M337" s="881"/>
      <c r="N337" s="881"/>
      <c r="O337" s="998"/>
      <c r="P337" s="998"/>
    </row>
    <row r="338" spans="1:26" ht="18.75">
      <c r="A338" s="1086"/>
      <c r="B338" s="877"/>
      <c r="C338" s="1084"/>
      <c r="D338" s="1009" t="s">
        <v>150</v>
      </c>
      <c r="E338" s="1003"/>
      <c r="F338" s="877"/>
      <c r="G338" s="879"/>
      <c r="H338" s="277" t="s">
        <v>35</v>
      </c>
      <c r="I338" s="880">
        <f ca="1">IFERROR(__xludf.DUMMYFUNCTION("IMPORTRANGE(""https://docs.google.com/spreadsheets/d/1QqKyyYR6Q21VydFLVH3TRQUabQu_ym0Zz7PgGX0-kHA/edit?usp=sharing"",""แผน!EG76"")"),3100)</f>
        <v>3100</v>
      </c>
      <c r="J338" s="880">
        <f ca="1">IFERROR(__xludf.DUMMYFUNCTION("IMPORTRANGE(""https://docs.google.com/spreadsheets/d/1kVcqe37tkHyjCSG3S0O1AXqVkqjo8mSIZil3BcpIysc/edit?usp=sharing"",""ศูนย์!D76"")"),2361)</f>
        <v>2361</v>
      </c>
      <c r="K338" s="881">
        <f ca="1">IF(I338&gt;0,J338*100/I338,0)</f>
        <v>76.161290322580641</v>
      </c>
      <c r="L338" s="881"/>
      <c r="M338" s="881"/>
      <c r="N338" s="881"/>
      <c r="O338" s="881"/>
      <c r="P338" s="881"/>
    </row>
    <row r="339" spans="1:26" ht="18.75">
      <c r="A339" s="1086"/>
      <c r="B339" s="877"/>
      <c r="C339" s="1084"/>
      <c r="D339" s="1009" t="s">
        <v>151</v>
      </c>
      <c r="E339" s="1003"/>
      <c r="F339" s="877"/>
      <c r="G339" s="879"/>
      <c r="H339" s="277"/>
      <c r="I339" s="880"/>
      <c r="J339" s="880"/>
      <c r="K339" s="881"/>
      <c r="L339" s="881"/>
      <c r="M339" s="881"/>
      <c r="N339" s="881"/>
      <c r="O339" s="881"/>
      <c r="P339" s="881"/>
    </row>
    <row r="340" spans="1:26" ht="18.75">
      <c r="A340" s="1086"/>
      <c r="B340" s="877"/>
      <c r="C340" s="1084"/>
      <c r="D340" s="1010"/>
      <c r="E340" s="1009" t="s">
        <v>152</v>
      </c>
      <c r="F340" s="877"/>
      <c r="G340" s="879"/>
      <c r="H340" s="277" t="s">
        <v>153</v>
      </c>
      <c r="I340" s="880">
        <f ca="1">IFERROR(__xludf.DUMMYFUNCTION("IMPORTRANGE(""https://docs.google.com/spreadsheets/d/1QqKyyYR6Q21VydFLVH3TRQUabQu_ym0Zz7PgGX0-kHA/edit?usp=sharing"",""แผน!EH76"")"),5)</f>
        <v>5</v>
      </c>
      <c r="J340" s="880">
        <f ca="1">IFERROR(__xludf.DUMMYFUNCTION("IMPORTRANGE(""https://docs.google.com/spreadsheets/d/1kVcqe37tkHyjCSG3S0O1AXqVkqjo8mSIZil3BcpIysc/edit?usp=sharing"",""ศูนย์!E76"")"),1)</f>
        <v>1</v>
      </c>
      <c r="K340" s="881">
        <f ca="1">IF(I340&gt;0,J340*100/I340,0)</f>
        <v>20</v>
      </c>
      <c r="L340" s="881"/>
      <c r="M340" s="881"/>
      <c r="N340" s="881"/>
      <c r="O340" s="881"/>
      <c r="P340" s="881"/>
    </row>
    <row r="341" spans="1:26" ht="18.75">
      <c r="A341" s="1086"/>
      <c r="B341" s="877"/>
      <c r="C341" s="1084"/>
      <c r="D341" s="1010"/>
      <c r="E341" s="1009" t="s">
        <v>154</v>
      </c>
      <c r="F341" s="877"/>
      <c r="G341" s="879"/>
      <c r="H341" s="277" t="s">
        <v>35</v>
      </c>
      <c r="I341" s="880"/>
      <c r="J341" s="880">
        <f ca="1">IFERROR(__xludf.DUMMYFUNCTION("IMPORTRANGE(""https://docs.google.com/spreadsheets/d/1kVcqe37tkHyjCSG3S0O1AXqVkqjo8mSIZil3BcpIysc/edit?usp=sharing"",""ศูนย์!F76"")"),63)</f>
        <v>63</v>
      </c>
      <c r="K341" s="881"/>
      <c r="L341" s="881"/>
      <c r="M341" s="881"/>
      <c r="N341" s="881"/>
      <c r="O341" s="881"/>
      <c r="P341" s="881"/>
    </row>
    <row r="342" spans="1:26" ht="18.75">
      <c r="A342" s="1086"/>
      <c r="B342" s="877"/>
      <c r="C342" s="1084"/>
      <c r="D342" s="1009" t="s">
        <v>155</v>
      </c>
      <c r="E342" s="1010"/>
      <c r="F342" s="1010"/>
      <c r="G342" s="879"/>
      <c r="H342" s="277" t="s">
        <v>35</v>
      </c>
      <c r="I342" s="880"/>
      <c r="J342" s="880">
        <f ca="1">IFERROR(__xludf.DUMMYFUNCTION("IMPORTRANGE(""https://docs.google.com/spreadsheets/d/1kVcqe37tkHyjCSG3S0O1AXqVkqjo8mSIZil3BcpIysc/edit?usp=sharing"",""ศูนย์!G76"")"),0)</f>
        <v>0</v>
      </c>
      <c r="K342" s="881"/>
      <c r="L342" s="881"/>
      <c r="M342" s="881"/>
      <c r="N342" s="881"/>
      <c r="O342" s="881"/>
      <c r="P342" s="881"/>
    </row>
    <row r="343" spans="1:26" ht="18.75">
      <c r="A343" s="1086"/>
      <c r="B343" s="877"/>
      <c r="C343" s="1084"/>
      <c r="D343" s="1009" t="s">
        <v>156</v>
      </c>
      <c r="E343" s="1010"/>
      <c r="F343" s="1010"/>
      <c r="G343" s="879"/>
      <c r="H343" s="277" t="s">
        <v>35</v>
      </c>
      <c r="I343" s="880"/>
      <c r="J343" s="880">
        <f ca="1">IFERROR(__xludf.DUMMYFUNCTION("IMPORTRANGE(""https://docs.google.com/spreadsheets/d/1kVcqe37tkHyjCSG3S0O1AXqVkqjo8mSIZil3BcpIysc/edit?usp=sharing"",""ศูนย์!H76"")"),0)</f>
        <v>0</v>
      </c>
      <c r="K343" s="881"/>
      <c r="L343" s="881"/>
      <c r="M343" s="881"/>
      <c r="N343" s="881"/>
      <c r="O343" s="881"/>
      <c r="P343" s="881"/>
    </row>
    <row r="344" spans="1:26" ht="19.5">
      <c r="A344" s="1186"/>
      <c r="B344" s="1187" t="s">
        <v>157</v>
      </c>
      <c r="C344" s="1196"/>
      <c r="D344" s="1188"/>
      <c r="E344" s="1188"/>
      <c r="F344" s="1188"/>
      <c r="G344" s="1189"/>
      <c r="H344" s="444"/>
      <c r="I344" s="1197"/>
      <c r="J344" s="1197"/>
      <c r="K344" s="1192"/>
      <c r="L344" s="1192"/>
      <c r="M344" s="1192"/>
      <c r="N344" s="1192"/>
      <c r="O344" s="1192"/>
      <c r="P344" s="1192"/>
    </row>
    <row r="345" spans="1:26" ht="19.5">
      <c r="A345" s="985"/>
      <c r="B345" s="986"/>
      <c r="C345" s="987" t="s">
        <v>16</v>
      </c>
      <c r="D345" s="988" t="s">
        <v>17</v>
      </c>
      <c r="E345" s="986"/>
      <c r="F345" s="986"/>
      <c r="G345" s="989"/>
      <c r="H345" s="152" t="s">
        <v>12</v>
      </c>
      <c r="I345" s="990"/>
      <c r="J345" s="990"/>
      <c r="K345" s="991"/>
      <c r="L345" s="992">
        <f t="shared" ref="L345:N345" ca="1" si="155">L346+L347</f>
        <v>768060</v>
      </c>
      <c r="M345" s="992">
        <f t="shared" ca="1" si="155"/>
        <v>786050</v>
      </c>
      <c r="N345" s="992">
        <f t="shared" ca="1" si="155"/>
        <v>625900.19999999995</v>
      </c>
      <c r="O345" s="992">
        <f t="shared" ref="O345:O353" ca="1" si="156">IF(L345&gt;0,N345*100/L345,0)</f>
        <v>81.49105538629793</v>
      </c>
      <c r="P345" s="992">
        <f t="shared" ref="P345:P353" ca="1" si="157">IF(M345&gt;0,N345*100/M345,0)</f>
        <v>79.626003434895992</v>
      </c>
      <c r="Q345" s="868"/>
      <c r="R345" s="868"/>
      <c r="S345" s="868"/>
      <c r="T345" s="868"/>
      <c r="U345" s="868"/>
      <c r="V345" s="868"/>
      <c r="W345" s="868"/>
      <c r="X345" s="868"/>
      <c r="Y345" s="868"/>
      <c r="Z345" s="868"/>
    </row>
    <row r="346" spans="1:26" ht="18.75" hidden="1">
      <c r="A346" s="993"/>
      <c r="B346" s="883"/>
      <c r="C346" s="883"/>
      <c r="D346" s="883"/>
      <c r="E346" s="884" t="s">
        <v>18</v>
      </c>
      <c r="F346" s="883"/>
      <c r="G346" s="994"/>
      <c r="H346" s="158" t="s">
        <v>12</v>
      </c>
      <c r="I346" s="886"/>
      <c r="J346" s="886"/>
      <c r="K346" s="887"/>
      <c r="L346" s="887">
        <f t="shared" ref="L346:N347" si="158">L349+L352</f>
        <v>0</v>
      </c>
      <c r="M346" s="887">
        <f t="shared" si="158"/>
        <v>0</v>
      </c>
      <c r="N346" s="887">
        <f t="shared" si="158"/>
        <v>0</v>
      </c>
      <c r="O346" s="887">
        <f t="shared" si="156"/>
        <v>0</v>
      </c>
      <c r="P346" s="887">
        <f t="shared" si="157"/>
        <v>0</v>
      </c>
      <c r="Q346" s="875"/>
      <c r="R346" s="875"/>
      <c r="S346" s="875"/>
      <c r="T346" s="875"/>
      <c r="U346" s="875"/>
      <c r="V346" s="875"/>
      <c r="W346" s="875"/>
      <c r="X346" s="875"/>
      <c r="Y346" s="875"/>
      <c r="Z346" s="875"/>
    </row>
    <row r="347" spans="1:26" ht="18.75" hidden="1">
      <c r="A347" s="993"/>
      <c r="B347" s="883"/>
      <c r="C347" s="883"/>
      <c r="D347" s="883"/>
      <c r="E347" s="884" t="s">
        <v>19</v>
      </c>
      <c r="F347" s="883"/>
      <c r="G347" s="994"/>
      <c r="H347" s="158" t="s">
        <v>12</v>
      </c>
      <c r="I347" s="886"/>
      <c r="J347" s="886"/>
      <c r="K347" s="887"/>
      <c r="L347" s="887">
        <f t="shared" ca="1" si="158"/>
        <v>768060</v>
      </c>
      <c r="M347" s="887">
        <f t="shared" ca="1" si="158"/>
        <v>786050</v>
      </c>
      <c r="N347" s="887">
        <f t="shared" ca="1" si="158"/>
        <v>625900.19999999995</v>
      </c>
      <c r="O347" s="887">
        <f t="shared" ca="1" si="156"/>
        <v>81.49105538629793</v>
      </c>
      <c r="P347" s="887">
        <f t="shared" ca="1" si="157"/>
        <v>79.626003434895992</v>
      </c>
      <c r="Q347" s="875"/>
      <c r="R347" s="875"/>
      <c r="S347" s="875"/>
      <c r="T347" s="875"/>
      <c r="U347" s="875"/>
      <c r="V347" s="875"/>
      <c r="W347" s="875"/>
      <c r="X347" s="875"/>
      <c r="Y347" s="875"/>
      <c r="Z347" s="875"/>
    </row>
    <row r="348" spans="1:26" ht="18.75">
      <c r="A348" s="995"/>
      <c r="B348" s="877"/>
      <c r="C348" s="996"/>
      <c r="D348" s="878" t="s">
        <v>20</v>
      </c>
      <c r="E348" s="877"/>
      <c r="F348" s="877"/>
      <c r="G348" s="879"/>
      <c r="H348" s="161" t="s">
        <v>12</v>
      </c>
      <c r="I348" s="997"/>
      <c r="J348" s="997"/>
      <c r="K348" s="998"/>
      <c r="L348" s="881">
        <f t="shared" ref="L348:N348" ca="1" si="159">L349+L350</f>
        <v>566060</v>
      </c>
      <c r="M348" s="881">
        <f t="shared" ca="1" si="159"/>
        <v>584050</v>
      </c>
      <c r="N348" s="881">
        <f t="shared" ca="1" si="159"/>
        <v>423900.2</v>
      </c>
      <c r="O348" s="881">
        <f t="shared" ca="1" si="156"/>
        <v>74.886089813800652</v>
      </c>
      <c r="P348" s="881">
        <f t="shared" ca="1" si="157"/>
        <v>72.579436692064036</v>
      </c>
      <c r="Q348" s="868"/>
      <c r="R348" s="868"/>
      <c r="S348" s="868"/>
      <c r="T348" s="868"/>
      <c r="U348" s="868"/>
      <c r="V348" s="868"/>
      <c r="W348" s="868"/>
      <c r="X348" s="868"/>
      <c r="Y348" s="868"/>
      <c r="Z348" s="868"/>
    </row>
    <row r="349" spans="1:26" ht="19.5" hidden="1">
      <c r="A349" s="993"/>
      <c r="B349" s="883"/>
      <c r="C349" s="999"/>
      <c r="D349" s="883"/>
      <c r="E349" s="884" t="s">
        <v>36</v>
      </c>
      <c r="F349" s="883"/>
      <c r="G349" s="994"/>
      <c r="H349" s="165" t="s">
        <v>12</v>
      </c>
      <c r="I349" s="1000"/>
      <c r="J349" s="1000"/>
      <c r="K349" s="1001"/>
      <c r="L349" s="887">
        <v>0</v>
      </c>
      <c r="M349" s="887">
        <v>0</v>
      </c>
      <c r="N349" s="887">
        <v>0</v>
      </c>
      <c r="O349" s="887">
        <f t="shared" si="156"/>
        <v>0</v>
      </c>
      <c r="P349" s="887">
        <f t="shared" si="157"/>
        <v>0</v>
      </c>
      <c r="Q349" s="875"/>
      <c r="R349" s="875"/>
      <c r="S349" s="875"/>
      <c r="T349" s="875"/>
      <c r="U349" s="875"/>
      <c r="V349" s="875"/>
      <c r="W349" s="875"/>
      <c r="X349" s="875"/>
      <c r="Y349" s="875"/>
      <c r="Z349" s="875"/>
    </row>
    <row r="350" spans="1:26" ht="19.5" hidden="1">
      <c r="A350" s="993"/>
      <c r="B350" s="883"/>
      <c r="C350" s="999"/>
      <c r="D350" s="883"/>
      <c r="E350" s="884" t="s">
        <v>37</v>
      </c>
      <c r="F350" s="883"/>
      <c r="G350" s="994"/>
      <c r="H350" s="165" t="s">
        <v>12</v>
      </c>
      <c r="I350" s="1000"/>
      <c r="J350" s="1000"/>
      <c r="K350" s="1001"/>
      <c r="L350" s="887">
        <f ca="1">IFERROR(__xludf.DUMMYFUNCTION("IMPORTRANGE(""https://docs.google.com/spreadsheets/d/1MeEWN-I1oV_STSDYn1IFDPWt_1FKiwhDph83XaGc0o0/edit?usp=sharing"",""งบพรบ!EW76"")"),566060)</f>
        <v>566060</v>
      </c>
      <c r="M350" s="887">
        <f ca="1">IFERROR(__xludf.DUMMYFUNCTION("IMPORTRANGE(""https://docs.google.com/spreadsheets/d/1MeEWN-I1oV_STSDYn1IFDPWt_1FKiwhDph83XaGc0o0/edit?usp=sharing"",""งบพรบ!FB76"")"),584050)</f>
        <v>584050</v>
      </c>
      <c r="N350" s="887">
        <f ca="1">IFERROR(__xludf.DUMMYFUNCTION("IMPORTRANGE(""https://docs.google.com/spreadsheets/d/1MeEWN-I1oV_STSDYn1IFDPWt_1FKiwhDph83XaGc0o0/edit?usp=sharing"",""งบพรบ!FD76"")"),423900.2)</f>
        <v>423900.2</v>
      </c>
      <c r="O350" s="887">
        <f t="shared" ca="1" si="156"/>
        <v>74.886089813800652</v>
      </c>
      <c r="P350" s="887">
        <f t="shared" ca="1" si="157"/>
        <v>72.579436692064036</v>
      </c>
      <c r="Q350" s="875"/>
      <c r="R350" s="875"/>
      <c r="S350" s="875"/>
      <c r="T350" s="875"/>
      <c r="U350" s="875"/>
      <c r="V350" s="875"/>
      <c r="W350" s="875"/>
      <c r="X350" s="875"/>
      <c r="Y350" s="875"/>
      <c r="Z350" s="875"/>
    </row>
    <row r="351" spans="1:26" ht="18.75">
      <c r="A351" s="995"/>
      <c r="B351" s="877"/>
      <c r="C351" s="996"/>
      <c r="D351" s="878" t="s">
        <v>21</v>
      </c>
      <c r="E351" s="877"/>
      <c r="F351" s="877"/>
      <c r="G351" s="879"/>
      <c r="H351" s="168" t="s">
        <v>12</v>
      </c>
      <c r="I351" s="997"/>
      <c r="J351" s="997"/>
      <c r="K351" s="998"/>
      <c r="L351" s="881">
        <f t="shared" ref="L351:N351" ca="1" si="160">L352+L353</f>
        <v>202000</v>
      </c>
      <c r="M351" s="881">
        <f t="shared" ca="1" si="160"/>
        <v>202000</v>
      </c>
      <c r="N351" s="881">
        <f t="shared" ca="1" si="160"/>
        <v>202000</v>
      </c>
      <c r="O351" s="881">
        <f t="shared" ca="1" si="156"/>
        <v>100</v>
      </c>
      <c r="P351" s="881">
        <f t="shared" ca="1" si="157"/>
        <v>100</v>
      </c>
      <c r="Q351" s="868"/>
      <c r="R351" s="868"/>
      <c r="S351" s="868"/>
      <c r="T351" s="868"/>
      <c r="U351" s="868"/>
      <c r="V351" s="868"/>
      <c r="W351" s="868"/>
      <c r="X351" s="868"/>
      <c r="Y351" s="868"/>
      <c r="Z351" s="868"/>
    </row>
    <row r="352" spans="1:26" ht="19.5" hidden="1">
      <c r="A352" s="993"/>
      <c r="B352" s="883"/>
      <c r="C352" s="999"/>
      <c r="D352" s="883"/>
      <c r="E352" s="884" t="s">
        <v>18</v>
      </c>
      <c r="F352" s="883"/>
      <c r="G352" s="994"/>
      <c r="H352" s="165" t="s">
        <v>12</v>
      </c>
      <c r="I352" s="1000"/>
      <c r="J352" s="1000"/>
      <c r="K352" s="1001"/>
      <c r="L352" s="887">
        <v>0</v>
      </c>
      <c r="M352" s="887">
        <v>0</v>
      </c>
      <c r="N352" s="887">
        <v>0</v>
      </c>
      <c r="O352" s="887">
        <f t="shared" si="156"/>
        <v>0</v>
      </c>
      <c r="P352" s="887">
        <f t="shared" si="157"/>
        <v>0</v>
      </c>
      <c r="Q352" s="875"/>
      <c r="R352" s="875"/>
      <c r="S352" s="875"/>
      <c r="T352" s="875"/>
      <c r="U352" s="875"/>
      <c r="V352" s="875"/>
      <c r="W352" s="875"/>
      <c r="X352" s="875"/>
      <c r="Y352" s="875"/>
      <c r="Z352" s="875"/>
    </row>
    <row r="353" spans="1:26" ht="19.5" hidden="1">
      <c r="A353" s="993"/>
      <c r="B353" s="883"/>
      <c r="C353" s="999"/>
      <c r="D353" s="883"/>
      <c r="E353" s="884" t="s">
        <v>19</v>
      </c>
      <c r="F353" s="883"/>
      <c r="G353" s="994"/>
      <c r="H353" s="169" t="s">
        <v>12</v>
      </c>
      <c r="I353" s="1000"/>
      <c r="J353" s="1000"/>
      <c r="K353" s="1001"/>
      <c r="L353" s="887">
        <f ca="1">IFERROR(__xludf.DUMMYFUNCTION("IMPORTRANGE(""https://docs.google.com/spreadsheets/d/1MeEWN-I1oV_STSDYn1IFDPWt_1FKiwhDph83XaGc0o0/edit?usp=sharing"",""งบพรบ!EZ76"")"),202000)</f>
        <v>202000</v>
      </c>
      <c r="M353" s="887">
        <f ca="1">IFERROR(__xludf.DUMMYFUNCTION("IMPORTRANGE(""https://docs.google.com/spreadsheets/d/1MeEWN-I1oV_STSDYn1IFDPWt_1FKiwhDph83XaGc0o0/edit?usp=sharing"",""งบพรบ!FC76"")"),202000)</f>
        <v>202000</v>
      </c>
      <c r="N353" s="887">
        <f ca="1">IFERROR(__xludf.DUMMYFUNCTION("IMPORTRANGE(""https://docs.google.com/spreadsheets/d/1MeEWN-I1oV_STSDYn1IFDPWt_1FKiwhDph83XaGc0o0/edit?usp=sharing"",""งบพรบ!FE76"")"),202000)</f>
        <v>202000</v>
      </c>
      <c r="O353" s="887">
        <f t="shared" ca="1" si="156"/>
        <v>100</v>
      </c>
      <c r="P353" s="887">
        <f t="shared" ca="1" si="157"/>
        <v>100</v>
      </c>
      <c r="Q353" s="875"/>
      <c r="R353" s="875"/>
      <c r="S353" s="875"/>
      <c r="T353" s="875"/>
      <c r="U353" s="875"/>
      <c r="V353" s="875"/>
      <c r="W353" s="875"/>
      <c r="X353" s="875"/>
      <c r="Y353" s="875"/>
      <c r="Z353" s="875"/>
    </row>
    <row r="354" spans="1:26" ht="19.5">
      <c r="A354" s="1063"/>
      <c r="B354" s="1070"/>
      <c r="C354" s="1064"/>
      <c r="D354" s="1198" t="s">
        <v>158</v>
      </c>
      <c r="E354" s="1064"/>
      <c r="F354" s="1064"/>
      <c r="G354" s="1066"/>
      <c r="H354" s="1199"/>
      <c r="I354" s="1067"/>
      <c r="J354" s="1067"/>
      <c r="K354" s="1068"/>
      <c r="L354" s="1068"/>
      <c r="M354" s="1068"/>
      <c r="N354" s="1068"/>
      <c r="O354" s="1068"/>
      <c r="P354" s="1068"/>
    </row>
    <row r="355" spans="1:26" ht="19.5">
      <c r="A355" s="1200"/>
      <c r="B355" s="1201"/>
      <c r="C355" s="1202"/>
      <c r="D355" s="1203" t="s">
        <v>159</v>
      </c>
      <c r="E355" s="1204"/>
      <c r="F355" s="1204"/>
      <c r="G355" s="1205"/>
      <c r="H355" s="463" t="s">
        <v>35</v>
      </c>
      <c r="I355" s="1206">
        <f ca="1">IFERROR(__xludf.DUMMYFUNCTION("IMPORTRANGE(""https://docs.google.com/spreadsheets/d/1QqKyyYR6Q21VydFLVH3TRQUabQu_ym0Zz7PgGX0-kHA/edit?usp=sharing"",""แผน!EP76"")"),280)</f>
        <v>280</v>
      </c>
      <c r="J355" s="1206">
        <f ca="1">J362</f>
        <v>19</v>
      </c>
      <c r="K355" s="1207">
        <f ca="1">IF(I355&gt;0,J355*100/I355,0)</f>
        <v>6.7857142857142856</v>
      </c>
      <c r="L355" s="1208"/>
      <c r="M355" s="1208"/>
      <c r="N355" s="1208"/>
      <c r="O355" s="1208"/>
      <c r="P355" s="1208"/>
    </row>
    <row r="356" spans="1:26" ht="19.5">
      <c r="A356" s="1200"/>
      <c r="B356" s="1201"/>
      <c r="C356" s="1202"/>
      <c r="D356" s="1209" t="s">
        <v>160</v>
      </c>
      <c r="E356" s="1204"/>
      <c r="F356" s="1204"/>
      <c r="G356" s="1205"/>
      <c r="H356" s="1210"/>
      <c r="I356" s="1211"/>
      <c r="J356" s="1211"/>
      <c r="K356" s="1208"/>
      <c r="L356" s="1208"/>
      <c r="M356" s="1208"/>
      <c r="N356" s="1208"/>
      <c r="O356" s="1208"/>
      <c r="P356" s="1208"/>
    </row>
    <row r="357" spans="1:26" ht="19.5">
      <c r="A357" s="1002"/>
      <c r="B357" s="1003"/>
      <c r="C357" s="999" t="s">
        <v>16</v>
      </c>
      <c r="D357" s="1004" t="s">
        <v>38</v>
      </c>
      <c r="E357" s="1005"/>
      <c r="F357" s="1005"/>
      <c r="G357" s="1006"/>
      <c r="H357" s="1007"/>
      <c r="I357" s="880"/>
      <c r="J357" s="880"/>
      <c r="K357" s="881"/>
      <c r="L357" s="998"/>
      <c r="M357" s="998"/>
      <c r="N357" s="998"/>
      <c r="O357" s="998"/>
      <c r="P357" s="998"/>
    </row>
    <row r="358" spans="1:26" ht="18.75">
      <c r="A358" s="1002"/>
      <c r="B358" s="1010"/>
      <c r="C358" s="1003"/>
      <c r="D358" s="1010"/>
      <c r="E358" s="1008" t="s">
        <v>161</v>
      </c>
      <c r="F358" s="1010"/>
      <c r="G358" s="1011"/>
      <c r="H358" s="185" t="s">
        <v>35</v>
      </c>
      <c r="I358" s="880">
        <v>0</v>
      </c>
      <c r="J358" s="880">
        <f ca="1">IFERROR(__xludf.DUMMYFUNCTION("IMPORTRANGE(""https://docs.google.com/spreadsheets/d/1XWAQStnk-4SwqDmLtmXYiTMKHgktTP8We1SCoS47DrQ/edit?usp=sharing"",""จัดที่ดิน!W76"")"),167)</f>
        <v>167</v>
      </c>
      <c r="K358" s="881">
        <f t="shared" ref="K358:K365" si="161">IF(I358&gt;0,J358*100/I358,0)</f>
        <v>0</v>
      </c>
      <c r="L358" s="998"/>
      <c r="M358" s="998"/>
      <c r="N358" s="998"/>
      <c r="O358" s="998"/>
      <c r="P358" s="998"/>
    </row>
    <row r="359" spans="1:26" ht="18.75">
      <c r="A359" s="1002"/>
      <c r="B359" s="1010"/>
      <c r="C359" s="1003"/>
      <c r="D359" s="1010"/>
      <c r="E359" s="1010"/>
      <c r="F359" s="1010"/>
      <c r="G359" s="1011"/>
      <c r="H359" s="185" t="s">
        <v>46</v>
      </c>
      <c r="I359" s="880">
        <f ca="1">IFERROR(__xludf.DUMMYFUNCTION("IMPORTRANGE(""https://docs.google.com/spreadsheets/d/1QqKyyYR6Q21VydFLVH3TRQUabQu_ym0Zz7PgGX0-kHA/edit?usp=sharing"",""แผน!EO76"")"),2500)</f>
        <v>2500</v>
      </c>
      <c r="J359" s="880">
        <f ca="1">IFERROR(__xludf.DUMMYFUNCTION("IMPORTRANGE(""https://docs.google.com/spreadsheets/d/1XWAQStnk-4SwqDmLtmXYiTMKHgktTP8We1SCoS47DrQ/edit?usp=sharing"",""จัดที่ดิน!X76"")"),1626.37)</f>
        <v>1626.37</v>
      </c>
      <c r="K359" s="881">
        <f t="shared" ca="1" si="161"/>
        <v>65.0548</v>
      </c>
      <c r="L359" s="998"/>
      <c r="M359" s="998"/>
      <c r="N359" s="998"/>
      <c r="O359" s="998"/>
      <c r="P359" s="998"/>
    </row>
    <row r="360" spans="1:26" ht="18.75">
      <c r="A360" s="1002"/>
      <c r="B360" s="1010"/>
      <c r="C360" s="1003"/>
      <c r="D360" s="1010"/>
      <c r="E360" s="1008" t="s">
        <v>162</v>
      </c>
      <c r="F360" s="1010"/>
      <c r="G360" s="1011"/>
      <c r="H360" s="762" t="s">
        <v>35</v>
      </c>
      <c r="I360" s="880">
        <f ca="1">IFERROR(__xludf.DUMMYFUNCTION("IMPORTRANGE(""https://docs.google.com/spreadsheets/d/1QqKyyYR6Q21VydFLVH3TRQUabQu_ym0Zz7PgGX0-kHA/edit?usp=sharing"",""แผน!EP76"")"),280)</f>
        <v>280</v>
      </c>
      <c r="J360" s="880">
        <f ca="1">IFERROR(__xludf.DUMMYFUNCTION("IMPORTRANGE(""https://docs.google.com/spreadsheets/d/1XWAQStnk-4SwqDmLtmXYiTMKHgktTP8We1SCoS47DrQ/edit?usp=sharing"",""จัดที่ดิน!Y76"")"),137)</f>
        <v>137</v>
      </c>
      <c r="K360" s="881">
        <f t="shared" ca="1" si="161"/>
        <v>48.928571428571431</v>
      </c>
      <c r="L360" s="998"/>
      <c r="M360" s="998"/>
      <c r="N360" s="998"/>
      <c r="O360" s="998"/>
      <c r="P360" s="998"/>
    </row>
    <row r="361" spans="1:26" ht="18.75">
      <c r="A361" s="1002"/>
      <c r="B361" s="1010"/>
      <c r="C361" s="1003"/>
      <c r="D361" s="1010"/>
      <c r="E361" s="1010"/>
      <c r="F361" s="1010"/>
      <c r="G361" s="1011"/>
      <c r="H361" s="762" t="s">
        <v>46</v>
      </c>
      <c r="I361" s="880">
        <v>0</v>
      </c>
      <c r="J361" s="880">
        <f ca="1">IFERROR(__xludf.DUMMYFUNCTION("IMPORTRANGE(""https://docs.google.com/spreadsheets/d/1XWAQStnk-4SwqDmLtmXYiTMKHgktTP8We1SCoS47DrQ/edit?usp=sharing"",""จัดที่ดิน!Z76"")"),1284.12)</f>
        <v>1284.1199999999999</v>
      </c>
      <c r="K361" s="881">
        <f t="shared" si="161"/>
        <v>0</v>
      </c>
      <c r="L361" s="998"/>
      <c r="M361" s="998"/>
      <c r="N361" s="998"/>
      <c r="O361" s="998"/>
      <c r="P361" s="998"/>
    </row>
    <row r="362" spans="1:26" ht="18.75">
      <c r="A362" s="1002"/>
      <c r="B362" s="1010"/>
      <c r="C362" s="1003"/>
      <c r="D362" s="1010"/>
      <c r="E362" s="1008" t="s">
        <v>163</v>
      </c>
      <c r="F362" s="1010"/>
      <c r="G362" s="1011"/>
      <c r="H362" s="762" t="s">
        <v>35</v>
      </c>
      <c r="I362" s="880">
        <f ca="1">IFERROR(__xludf.DUMMYFUNCTION("IMPORTRANGE(""https://docs.google.com/spreadsheets/d/1QqKyyYR6Q21VydFLVH3TRQUabQu_ym0Zz7PgGX0-kHA/edit?usp=sharing"",""แผน!EP76"")"),280)</f>
        <v>280</v>
      </c>
      <c r="J362" s="880">
        <f ca="1">IFERROR(__xludf.DUMMYFUNCTION("IMPORTRANGE(""https://docs.google.com/spreadsheets/d/1XWAQStnk-4SwqDmLtmXYiTMKHgktTP8We1SCoS47DrQ/edit?usp=sharing"",""จัดที่ดิน!AA76"")"),19)</f>
        <v>19</v>
      </c>
      <c r="K362" s="881">
        <f t="shared" ca="1" si="161"/>
        <v>6.7857142857142856</v>
      </c>
      <c r="L362" s="998"/>
      <c r="M362" s="998"/>
      <c r="N362" s="998"/>
      <c r="O362" s="998"/>
      <c r="P362" s="998"/>
    </row>
    <row r="363" spans="1:26" ht="18.75">
      <c r="A363" s="1212" t="s">
        <v>164</v>
      </c>
      <c r="B363" s="1010"/>
      <c r="C363" s="1003"/>
      <c r="D363" s="1010"/>
      <c r="E363" s="1009"/>
      <c r="F363" s="1010"/>
      <c r="G363" s="1011"/>
      <c r="H363" s="762" t="s">
        <v>46</v>
      </c>
      <c r="I363" s="880">
        <v>0</v>
      </c>
      <c r="J363" s="880">
        <f ca="1">IFERROR(__xludf.DUMMYFUNCTION("IMPORTRANGE(""https://docs.google.com/spreadsheets/d/1XWAQStnk-4SwqDmLtmXYiTMKHgktTP8We1SCoS47DrQ/edit?usp=sharing"",""จัดที่ดิน!AB76"")"),172.42)</f>
        <v>172.42</v>
      </c>
      <c r="K363" s="881">
        <f t="shared" si="161"/>
        <v>0</v>
      </c>
      <c r="L363" s="998"/>
      <c r="M363" s="998"/>
      <c r="N363" s="998"/>
      <c r="O363" s="998"/>
      <c r="P363" s="998"/>
    </row>
    <row r="364" spans="1:26" ht="19.5">
      <c r="A364" s="1213"/>
      <c r="B364" s="1214"/>
      <c r="C364" s="1215"/>
      <c r="D364" s="1216" t="s">
        <v>165</v>
      </c>
      <c r="E364" s="1217"/>
      <c r="F364" s="1217"/>
      <c r="G364" s="1218"/>
      <c r="H364" s="478" t="s">
        <v>35</v>
      </c>
      <c r="I364" s="1219">
        <f t="shared" ref="I364:J364" ca="1" si="162">I365+I374</f>
        <v>670</v>
      </c>
      <c r="J364" s="1219">
        <f t="shared" ca="1" si="162"/>
        <v>268</v>
      </c>
      <c r="K364" s="1220">
        <f t="shared" ca="1" si="161"/>
        <v>40</v>
      </c>
      <c r="L364" s="1221"/>
      <c r="M364" s="1221"/>
      <c r="N364" s="1221"/>
      <c r="O364" s="1221"/>
      <c r="P364" s="122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222"/>
      <c r="B365" s="1223"/>
      <c r="C365" s="1224"/>
      <c r="D365" s="1224" t="s">
        <v>166</v>
      </c>
      <c r="E365" s="1225"/>
      <c r="F365" s="1225"/>
      <c r="G365" s="1226"/>
      <c r="H365" s="489" t="s">
        <v>35</v>
      </c>
      <c r="I365" s="1227">
        <f ca="1">IFERROR(__xludf.DUMMYFUNCTION("IMPORTRANGE(""https://docs.google.com/spreadsheets/d/1QqKyyYR6Q21VydFLVH3TRQUabQu_ym0Zz7PgGX0-kHA/edit?usp=sharing"",""แผน!EJ76"")"),100)</f>
        <v>100</v>
      </c>
      <c r="J365" s="1227">
        <f ca="1">J372</f>
        <v>0</v>
      </c>
      <c r="K365" s="1228">
        <f t="shared" ca="1" si="161"/>
        <v>0</v>
      </c>
      <c r="L365" s="1229"/>
      <c r="M365" s="1229"/>
      <c r="N365" s="1229"/>
      <c r="O365" s="1229"/>
      <c r="P365" s="1229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222"/>
      <c r="B366" s="1223"/>
      <c r="C366" s="1224"/>
      <c r="D366" s="1230" t="s">
        <v>167</v>
      </c>
      <c r="E366" s="1225"/>
      <c r="F366" s="1225"/>
      <c r="G366" s="1226"/>
      <c r="H366" s="1231"/>
      <c r="I366" s="1232"/>
      <c r="J366" s="1232"/>
      <c r="K366" s="1229"/>
      <c r="L366" s="1229"/>
      <c r="M366" s="1229"/>
      <c r="N366" s="1229"/>
      <c r="O366" s="1229"/>
      <c r="P366" s="1229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002"/>
      <c r="B367" s="1003"/>
      <c r="C367" s="999" t="s">
        <v>16</v>
      </c>
      <c r="D367" s="1004" t="s">
        <v>38</v>
      </c>
      <c r="E367" s="1005"/>
      <c r="F367" s="1005"/>
      <c r="G367" s="1006"/>
      <c r="H367" s="1007"/>
      <c r="I367" s="880"/>
      <c r="J367" s="880"/>
      <c r="K367" s="881"/>
      <c r="L367" s="998"/>
      <c r="M367" s="998"/>
      <c r="N367" s="998"/>
      <c r="O367" s="998"/>
      <c r="P367" s="998"/>
    </row>
    <row r="368" spans="1:26" ht="18.75">
      <c r="A368" s="1002"/>
      <c r="B368" s="1010"/>
      <c r="C368" s="1003"/>
      <c r="D368" s="1010"/>
      <c r="E368" s="1008" t="s">
        <v>161</v>
      </c>
      <c r="F368" s="1010"/>
      <c r="G368" s="1011"/>
      <c r="H368" s="185" t="s">
        <v>35</v>
      </c>
      <c r="I368" s="880">
        <v>0</v>
      </c>
      <c r="J368" s="880">
        <f ca="1">IFERROR(__xludf.DUMMYFUNCTION("IMPORTRANGE(""https://docs.google.com/spreadsheets/d/1XWAQStnk-4SwqDmLtmXYiTMKHgktTP8We1SCoS47DrQ/edit?usp=sharing"",""จัดที่ดิน!E76"")"),34)</f>
        <v>34</v>
      </c>
      <c r="K368" s="881">
        <f t="shared" ref="K368:K374" si="163">IF(I368&gt;0,J368*100/I368,0)</f>
        <v>0</v>
      </c>
      <c r="L368" s="998"/>
      <c r="M368" s="998"/>
      <c r="N368" s="998"/>
      <c r="O368" s="998"/>
      <c r="P368" s="998"/>
    </row>
    <row r="369" spans="1:26" ht="18.75">
      <c r="A369" s="1002"/>
      <c r="B369" s="1010"/>
      <c r="C369" s="1003"/>
      <c r="D369" s="1010"/>
      <c r="E369" s="1010"/>
      <c r="F369" s="1010"/>
      <c r="G369" s="1011"/>
      <c r="H369" s="185" t="s">
        <v>46</v>
      </c>
      <c r="I369" s="880">
        <f ca="1">IFERROR(__xludf.DUMMYFUNCTION("IMPORTRANGE(""https://docs.google.com/spreadsheets/d/1QqKyyYR6Q21VydFLVH3TRQUabQu_ym0Zz7PgGX0-kHA/edit?usp=sharing"",""แผน!EI76"")"),1000)</f>
        <v>1000</v>
      </c>
      <c r="J369" s="880">
        <f ca="1">IFERROR(__xludf.DUMMYFUNCTION("IMPORTRANGE(""https://docs.google.com/spreadsheets/d/1XWAQStnk-4SwqDmLtmXYiTMKHgktTP8We1SCoS47DrQ/edit?usp=sharing"",""จัดที่ดิน!F76"")"),416.04)</f>
        <v>416.04</v>
      </c>
      <c r="K369" s="881">
        <f t="shared" ca="1" si="163"/>
        <v>41.603999999999999</v>
      </c>
      <c r="L369" s="998"/>
      <c r="M369" s="998"/>
      <c r="N369" s="998"/>
      <c r="O369" s="998"/>
      <c r="P369" s="998"/>
    </row>
    <row r="370" spans="1:26" ht="18.75">
      <c r="A370" s="1002"/>
      <c r="B370" s="1010"/>
      <c r="C370" s="1003"/>
      <c r="D370" s="1010"/>
      <c r="E370" s="1008" t="s">
        <v>162</v>
      </c>
      <c r="F370" s="1010"/>
      <c r="G370" s="1011"/>
      <c r="H370" s="762" t="s">
        <v>35</v>
      </c>
      <c r="I370" s="880">
        <f ca="1">IFERROR(__xludf.DUMMYFUNCTION("IMPORTRANGE(""https://docs.google.com/spreadsheets/d/1QqKyyYR6Q21VydFLVH3TRQUabQu_ym0Zz7PgGX0-kHA/edit?usp=sharing"",""แผน!EJ76"")"),100)</f>
        <v>100</v>
      </c>
      <c r="J370" s="880">
        <f ca="1">IFERROR(__xludf.DUMMYFUNCTION("IMPORTRANGE(""https://docs.google.com/spreadsheets/d/1XWAQStnk-4SwqDmLtmXYiTMKHgktTP8We1SCoS47DrQ/edit?usp=sharing"",""จัดที่ดิน!G76"")"),15)</f>
        <v>15</v>
      </c>
      <c r="K370" s="881">
        <f t="shared" ca="1" si="163"/>
        <v>15</v>
      </c>
      <c r="L370" s="998"/>
      <c r="M370" s="998"/>
      <c r="N370" s="998"/>
      <c r="O370" s="998"/>
      <c r="P370" s="998"/>
    </row>
    <row r="371" spans="1:26" ht="18.75">
      <c r="A371" s="1002"/>
      <c r="B371" s="1010"/>
      <c r="C371" s="1003"/>
      <c r="D371" s="1010"/>
      <c r="E371" s="1010"/>
      <c r="F371" s="1010"/>
      <c r="G371" s="1011"/>
      <c r="H371" s="762" t="s">
        <v>46</v>
      </c>
      <c r="I371" s="880">
        <v>0</v>
      </c>
      <c r="J371" s="880">
        <f ca="1">IFERROR(__xludf.DUMMYFUNCTION("IMPORTRANGE(""https://docs.google.com/spreadsheets/d/1XWAQStnk-4SwqDmLtmXYiTMKHgktTP8We1SCoS47DrQ/edit?usp=sharing"",""จัดที่ดิน!H76"")"),175.07)</f>
        <v>175.07</v>
      </c>
      <c r="K371" s="881">
        <f t="shared" si="163"/>
        <v>0</v>
      </c>
      <c r="L371" s="998"/>
      <c r="M371" s="998"/>
      <c r="N371" s="998"/>
      <c r="O371" s="998"/>
      <c r="P371" s="998"/>
    </row>
    <row r="372" spans="1:26" ht="18.75">
      <c r="A372" s="1002"/>
      <c r="B372" s="1010"/>
      <c r="C372" s="1003"/>
      <c r="D372" s="1010"/>
      <c r="E372" s="1008" t="s">
        <v>163</v>
      </c>
      <c r="F372" s="1010"/>
      <c r="G372" s="1011"/>
      <c r="H372" s="762" t="s">
        <v>35</v>
      </c>
      <c r="I372" s="880">
        <f ca="1">IFERROR(__xludf.DUMMYFUNCTION("IMPORTRANGE(""https://docs.google.com/spreadsheets/d/1QqKyyYR6Q21VydFLVH3TRQUabQu_ym0Zz7PgGX0-kHA/edit?usp=sharing"",""แผน!EJ76"")"),100)</f>
        <v>100</v>
      </c>
      <c r="J372" s="880">
        <f ca="1">IFERROR(__xludf.DUMMYFUNCTION("IMPORTRANGE(""https://docs.google.com/spreadsheets/d/1XWAQStnk-4SwqDmLtmXYiTMKHgktTP8We1SCoS47DrQ/edit?usp=sharing"",""จัดที่ดิน!I76"")"),0)</f>
        <v>0</v>
      </c>
      <c r="K372" s="881">
        <f t="shared" ca="1" si="163"/>
        <v>0</v>
      </c>
      <c r="L372" s="998"/>
      <c r="M372" s="998"/>
      <c r="N372" s="998"/>
      <c r="O372" s="998"/>
      <c r="P372" s="998"/>
    </row>
    <row r="373" spans="1:26" ht="18.75">
      <c r="A373" s="1212" t="s">
        <v>164</v>
      </c>
      <c r="B373" s="1010"/>
      <c r="C373" s="1003"/>
      <c r="D373" s="1010"/>
      <c r="E373" s="1009"/>
      <c r="F373" s="1010"/>
      <c r="G373" s="1011"/>
      <c r="H373" s="762" t="s">
        <v>46</v>
      </c>
      <c r="I373" s="880">
        <v>0</v>
      </c>
      <c r="J373" s="880">
        <f ca="1">IFERROR(__xludf.DUMMYFUNCTION("IMPORTRANGE(""https://docs.google.com/spreadsheets/d/1XWAQStnk-4SwqDmLtmXYiTMKHgktTP8We1SCoS47DrQ/edit?usp=sharing"",""จัดที่ดิน!J76"")"),0)</f>
        <v>0</v>
      </c>
      <c r="K373" s="881">
        <f t="shared" si="163"/>
        <v>0</v>
      </c>
      <c r="L373" s="998"/>
      <c r="M373" s="998"/>
      <c r="N373" s="998"/>
      <c r="O373" s="998"/>
      <c r="P373" s="998"/>
    </row>
    <row r="374" spans="1:26" ht="19.5">
      <c r="A374" s="1222"/>
      <c r="B374" s="1223"/>
      <c r="C374" s="1224"/>
      <c r="D374" s="1224" t="s">
        <v>168</v>
      </c>
      <c r="E374" s="1225"/>
      <c r="F374" s="1225"/>
      <c r="G374" s="1226"/>
      <c r="H374" s="489" t="s">
        <v>35</v>
      </c>
      <c r="I374" s="1233">
        <f ca="1">IFERROR(__xludf.DUMMYFUNCTION("IMPORTRANGE(""https://docs.google.com/spreadsheets/d/1QqKyyYR6Q21VydFLVH3TRQUabQu_ym0Zz7PgGX0-kHA/edit?usp=sharing"",""แผน!EU76"")"),570)</f>
        <v>570</v>
      </c>
      <c r="J374" s="1227">
        <f ca="1">J381</f>
        <v>268</v>
      </c>
      <c r="K374" s="1228">
        <f t="shared" ca="1" si="163"/>
        <v>47.017543859649123</v>
      </c>
      <c r="L374" s="1229"/>
      <c r="M374" s="1229"/>
      <c r="N374" s="1229"/>
      <c r="O374" s="1229"/>
      <c r="P374" s="1229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222"/>
      <c r="B375" s="1223"/>
      <c r="C375" s="1224"/>
      <c r="D375" s="1230" t="s">
        <v>169</v>
      </c>
      <c r="E375" s="1225"/>
      <c r="F375" s="1225"/>
      <c r="G375" s="1226"/>
      <c r="H375" s="1231"/>
      <c r="I375" s="1232"/>
      <c r="J375" s="1232"/>
      <c r="K375" s="1229"/>
      <c r="L375" s="1229"/>
      <c r="M375" s="1229"/>
      <c r="N375" s="1229"/>
      <c r="O375" s="1229"/>
      <c r="P375" s="1229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002"/>
      <c r="B376" s="1003"/>
      <c r="C376" s="999" t="s">
        <v>16</v>
      </c>
      <c r="D376" s="1004" t="s">
        <v>38</v>
      </c>
      <c r="E376" s="1005"/>
      <c r="F376" s="1005"/>
      <c r="G376" s="1006"/>
      <c r="H376" s="1007"/>
      <c r="I376" s="880"/>
      <c r="J376" s="880"/>
      <c r="K376" s="881"/>
      <c r="L376" s="998"/>
      <c r="M376" s="998"/>
      <c r="N376" s="998"/>
      <c r="O376" s="998"/>
      <c r="P376" s="998"/>
    </row>
    <row r="377" spans="1:26" ht="18.75">
      <c r="A377" s="1002"/>
      <c r="B377" s="1010"/>
      <c r="C377" s="1003"/>
      <c r="D377" s="1010"/>
      <c r="E377" s="1008" t="s">
        <v>161</v>
      </c>
      <c r="F377" s="1010"/>
      <c r="G377" s="1011"/>
      <c r="H377" s="185" t="s">
        <v>35</v>
      </c>
      <c r="I377" s="880">
        <v>0</v>
      </c>
      <c r="J377" s="880">
        <f ca="1">IFERROR(__xludf.DUMMYFUNCTION("IMPORTRANGE(""https://docs.google.com/spreadsheets/d/1XWAQStnk-4SwqDmLtmXYiTMKHgktTP8We1SCoS47DrQ/edit?usp=sharing"",""จัดที่ดิน!AH76"")"),133)</f>
        <v>133</v>
      </c>
      <c r="K377" s="881">
        <f t="shared" ref="K377:K382" si="164">IF(I377&gt;0,J377*100/I377,0)</f>
        <v>0</v>
      </c>
      <c r="L377" s="998"/>
      <c r="M377" s="998"/>
      <c r="N377" s="998"/>
      <c r="O377" s="998"/>
      <c r="P377" s="998"/>
    </row>
    <row r="378" spans="1:26" ht="18.75">
      <c r="A378" s="1002"/>
      <c r="B378" s="1010"/>
      <c r="C378" s="1003"/>
      <c r="D378" s="1010"/>
      <c r="E378" s="1010"/>
      <c r="F378" s="1010"/>
      <c r="G378" s="1011"/>
      <c r="H378" s="185" t="s">
        <v>46</v>
      </c>
      <c r="I378" s="880">
        <f ca="1">IFERROR(__xludf.DUMMYFUNCTION("IMPORTRANGE(""https://docs.google.com/spreadsheets/d/1QqKyyYR6Q21VydFLVH3TRQUabQu_ym0Zz7PgGX0-kHA/edit?usp=sharing"",""แผน!ET76"")"),1500)</f>
        <v>1500</v>
      </c>
      <c r="J378" s="880">
        <f ca="1">IFERROR(__xludf.DUMMYFUNCTION("IMPORTRANGE(""https://docs.google.com/spreadsheets/d/1XWAQStnk-4SwqDmLtmXYiTMKHgktTP8We1SCoS47DrQ/edit?usp=sharing"",""จัดที่ดิน!AI76"")"),1210.33)</f>
        <v>1210.33</v>
      </c>
      <c r="K378" s="881">
        <f t="shared" ca="1" si="164"/>
        <v>80.688666666666663</v>
      </c>
      <c r="L378" s="998"/>
      <c r="M378" s="998"/>
      <c r="N378" s="998"/>
      <c r="O378" s="998"/>
      <c r="P378" s="998"/>
    </row>
    <row r="379" spans="1:26" ht="18.75">
      <c r="A379" s="1002"/>
      <c r="B379" s="1010"/>
      <c r="C379" s="1003"/>
      <c r="D379" s="1010"/>
      <c r="E379" s="1008" t="s">
        <v>162</v>
      </c>
      <c r="F379" s="1010"/>
      <c r="G379" s="1011"/>
      <c r="H379" s="762" t="s">
        <v>35</v>
      </c>
      <c r="I379" s="880">
        <f ca="1">IFERROR(__xludf.DUMMYFUNCTION("IMPORTRANGE(""https://docs.google.com/spreadsheets/d/1QqKyyYR6Q21VydFLVH3TRQUabQu_ym0Zz7PgGX0-kHA/edit?usp=sharing"",""แผน!EU76"")"),570)</f>
        <v>570</v>
      </c>
      <c r="J379" s="880">
        <f ca="1">IFERROR(__xludf.DUMMYFUNCTION("IMPORTRANGE(""https://docs.google.com/spreadsheets/d/1XWAQStnk-4SwqDmLtmXYiTMKHgktTP8We1SCoS47DrQ/edit?usp=sharing"",""จัดที่ดิน!AJ76"")"),373)</f>
        <v>373</v>
      </c>
      <c r="K379" s="881">
        <f t="shared" ca="1" si="164"/>
        <v>65.438596491228068</v>
      </c>
      <c r="L379" s="998"/>
      <c r="M379" s="998"/>
      <c r="N379" s="998"/>
      <c r="O379" s="998"/>
      <c r="P379" s="998"/>
    </row>
    <row r="380" spans="1:26" ht="18.75">
      <c r="A380" s="1002"/>
      <c r="B380" s="1010"/>
      <c r="C380" s="1003"/>
      <c r="D380" s="1010"/>
      <c r="E380" s="1010"/>
      <c r="F380" s="1010"/>
      <c r="G380" s="1011"/>
      <c r="H380" s="762" t="s">
        <v>46</v>
      </c>
      <c r="I380" s="880">
        <v>0</v>
      </c>
      <c r="J380" s="880">
        <f ca="1">IFERROR(__xludf.DUMMYFUNCTION("IMPORTRANGE(""https://docs.google.com/spreadsheets/d/1XWAQStnk-4SwqDmLtmXYiTMKHgktTP8We1SCoS47DrQ/edit?usp=sharing"",""จัดที่ดิน!AK76"")"),4767.32)</f>
        <v>4767.32</v>
      </c>
      <c r="K380" s="881">
        <f t="shared" si="164"/>
        <v>0</v>
      </c>
      <c r="L380" s="998"/>
      <c r="M380" s="998"/>
      <c r="N380" s="998"/>
      <c r="O380" s="998"/>
      <c r="P380" s="998"/>
    </row>
    <row r="381" spans="1:26" ht="18.75">
      <c r="A381" s="1002"/>
      <c r="B381" s="1010"/>
      <c r="C381" s="1003"/>
      <c r="D381" s="1010"/>
      <c r="E381" s="1008" t="s">
        <v>163</v>
      </c>
      <c r="F381" s="1010"/>
      <c r="G381" s="1011"/>
      <c r="H381" s="762" t="s">
        <v>35</v>
      </c>
      <c r="I381" s="880">
        <f ca="1">IFERROR(__xludf.DUMMYFUNCTION("IMPORTRANGE(""https://docs.google.com/spreadsheets/d/1QqKyyYR6Q21VydFLVH3TRQUabQu_ym0Zz7PgGX0-kHA/edit?usp=sharing"",""แผน!EU76"")"),570)</f>
        <v>570</v>
      </c>
      <c r="J381" s="880">
        <f ca="1">IFERROR(__xludf.DUMMYFUNCTION("IMPORTRANGE(""https://docs.google.com/spreadsheets/d/1XWAQStnk-4SwqDmLtmXYiTMKHgktTP8We1SCoS47DrQ/edit?usp=sharing"",""จัดที่ดิน!AL76"")"),268)</f>
        <v>268</v>
      </c>
      <c r="K381" s="881">
        <f t="shared" ca="1" si="164"/>
        <v>47.017543859649123</v>
      </c>
      <c r="L381" s="998"/>
      <c r="M381" s="998"/>
      <c r="N381" s="998"/>
      <c r="O381" s="998"/>
      <c r="P381" s="998"/>
    </row>
    <row r="382" spans="1:26" ht="18.75">
      <c r="A382" s="1212" t="s">
        <v>164</v>
      </c>
      <c r="B382" s="1010"/>
      <c r="C382" s="1003"/>
      <c r="D382" s="1010"/>
      <c r="E382" s="1009"/>
      <c r="F382" s="1010"/>
      <c r="G382" s="1011"/>
      <c r="H382" s="762" t="s">
        <v>46</v>
      </c>
      <c r="I382" s="880">
        <v>0</v>
      </c>
      <c r="J382" s="880">
        <f ca="1">IFERROR(__xludf.DUMMYFUNCTION("IMPORTRANGE(""https://docs.google.com/spreadsheets/d/1XWAQStnk-4SwqDmLtmXYiTMKHgktTP8We1SCoS47DrQ/edit?usp=sharing"",""จัดที่ดิน!AM76"")"),3797.08)</f>
        <v>3797.08</v>
      </c>
      <c r="K382" s="881">
        <f t="shared" si="164"/>
        <v>0</v>
      </c>
      <c r="L382" s="998"/>
      <c r="M382" s="998"/>
      <c r="N382" s="998"/>
      <c r="O382" s="998"/>
      <c r="P382" s="998"/>
    </row>
    <row r="383" spans="1:26" ht="19.5">
      <c r="A383" s="1234"/>
      <c r="B383" s="1235"/>
      <c r="C383" s="1091"/>
      <c r="D383" s="1236" t="s">
        <v>170</v>
      </c>
      <c r="E383" s="1091"/>
      <c r="F383" s="1091"/>
      <c r="G383" s="1237"/>
      <c r="H383" s="1199"/>
      <c r="I383" s="1067"/>
      <c r="J383" s="1067"/>
      <c r="K383" s="1068"/>
      <c r="L383" s="1068"/>
      <c r="M383" s="1068"/>
      <c r="N383" s="1068"/>
      <c r="O383" s="1068"/>
      <c r="P383" s="1068"/>
    </row>
    <row r="384" spans="1:26" ht="19.5">
      <c r="A384" s="1002"/>
      <c r="B384" s="1003"/>
      <c r="C384" s="877" t="s">
        <v>16</v>
      </c>
      <c r="D384" s="1004" t="s">
        <v>38</v>
      </c>
      <c r="E384" s="1005"/>
      <c r="F384" s="1005"/>
      <c r="G384" s="1006"/>
      <c r="H384" s="1007"/>
      <c r="I384" s="880"/>
      <c r="J384" s="880"/>
      <c r="K384" s="881"/>
      <c r="L384" s="998"/>
      <c r="M384" s="998"/>
      <c r="N384" s="998"/>
      <c r="O384" s="998"/>
      <c r="P384" s="998"/>
    </row>
    <row r="385" spans="1:26" ht="18.75">
      <c r="A385" s="1133"/>
      <c r="B385" s="1136"/>
      <c r="C385" s="1134"/>
      <c r="D385" s="1136"/>
      <c r="E385" s="1238" t="s">
        <v>171</v>
      </c>
      <c r="F385" s="1136"/>
      <c r="G385" s="1137"/>
      <c r="H385" s="504" t="s">
        <v>35</v>
      </c>
      <c r="I385" s="1138">
        <f ca="1">IFERROR(__xludf.DUMMYFUNCTION("IMPORTRANGE(""https://docs.google.com/spreadsheets/d/1QqKyyYR6Q21VydFLVH3TRQUabQu_ym0Zz7PgGX0-kHA/edit?usp=sharing"",""แผน!EW76"")"),35)</f>
        <v>35</v>
      </c>
      <c r="J385" s="1138">
        <f ca="1">IFERROR(__xludf.DUMMYFUNCTION("IMPORTRANGE(""https://docs.google.com/spreadsheets/d/1XWAQStnk-4SwqDmLtmXYiTMKHgktTP8We1SCoS47DrQ/edit?usp=sharing"",""จัดที่ดิน!AP76"")"),0)</f>
        <v>0</v>
      </c>
      <c r="K385" s="1239">
        <f ca="1">IF(I385&gt;0,J385*100/I385,0)</f>
        <v>0</v>
      </c>
      <c r="L385" s="1139"/>
      <c r="M385" s="1139"/>
      <c r="N385" s="1139"/>
      <c r="O385" s="1139"/>
      <c r="P385" s="1139"/>
    </row>
    <row r="386" spans="1:26" ht="19.5" hidden="1">
      <c r="A386" s="1240" t="s">
        <v>172</v>
      </c>
      <c r="B386" s="1241"/>
      <c r="C386" s="1241"/>
      <c r="D386" s="1241"/>
      <c r="E386" s="1242"/>
      <c r="F386" s="1242"/>
      <c r="G386" s="1243"/>
      <c r="H386" s="1244"/>
      <c r="I386" s="1245"/>
      <c r="J386" s="1245"/>
      <c r="K386" s="1246"/>
      <c r="L386" s="1246"/>
      <c r="M386" s="1246"/>
      <c r="N386" s="1246"/>
      <c r="O386" s="1246"/>
      <c r="P386" s="1246"/>
    </row>
    <row r="387" spans="1:26" ht="19.5" hidden="1">
      <c r="A387" s="1247" t="s">
        <v>173</v>
      </c>
      <c r="B387" s="1248"/>
      <c r="C387" s="1248"/>
      <c r="D387" s="1249"/>
      <c r="E387" s="1248"/>
      <c r="F387" s="1248"/>
      <c r="G387" s="1248"/>
      <c r="H387" s="1250"/>
      <c r="I387" s="1251"/>
      <c r="J387" s="1251"/>
      <c r="K387" s="1252"/>
      <c r="L387" s="1252"/>
      <c r="M387" s="1252"/>
      <c r="N387" s="1252"/>
      <c r="O387" s="1252"/>
      <c r="P387" s="1252"/>
    </row>
    <row r="388" spans="1:26" ht="19.5" hidden="1">
      <c r="A388" s="1253"/>
      <c r="B388" s="1254" t="s">
        <v>174</v>
      </c>
      <c r="C388" s="1255"/>
      <c r="D388" s="1256"/>
      <c r="E388" s="1256"/>
      <c r="F388" s="1256"/>
      <c r="G388" s="1257"/>
      <c r="H388" s="525" t="s">
        <v>66</v>
      </c>
      <c r="I388" s="1258">
        <f t="shared" ref="I388:J388" si="165">I400</f>
        <v>0</v>
      </c>
      <c r="J388" s="1258">
        <f t="shared" si="165"/>
        <v>0</v>
      </c>
      <c r="K388" s="1259">
        <f>IF(I388&gt;0,J388*100/I388,0)</f>
        <v>0</v>
      </c>
      <c r="L388" s="1260"/>
      <c r="M388" s="1260"/>
      <c r="N388" s="1260"/>
      <c r="O388" s="1260"/>
      <c r="P388" s="1260"/>
    </row>
    <row r="389" spans="1:26" ht="19.5" hidden="1">
      <c r="A389" s="985"/>
      <c r="B389" s="986"/>
      <c r="C389" s="987" t="s">
        <v>16</v>
      </c>
      <c r="D389" s="988" t="s">
        <v>17</v>
      </c>
      <c r="E389" s="986"/>
      <c r="F389" s="986"/>
      <c r="G389" s="989"/>
      <c r="H389" s="152" t="s">
        <v>12</v>
      </c>
      <c r="I389" s="990"/>
      <c r="J389" s="990"/>
      <c r="K389" s="991"/>
      <c r="L389" s="992">
        <f t="shared" ref="L389:N389" ca="1" si="166">L390+L391</f>
        <v>0</v>
      </c>
      <c r="M389" s="992">
        <f t="shared" ca="1" si="166"/>
        <v>0</v>
      </c>
      <c r="N389" s="992">
        <f t="shared" ca="1" si="166"/>
        <v>0</v>
      </c>
      <c r="O389" s="992">
        <f t="shared" ref="O389:O397" ca="1" si="167">IF(L389&gt;0,N389*100/L389,0)</f>
        <v>0</v>
      </c>
      <c r="P389" s="992">
        <f t="shared" ref="P389:P397" ca="1" si="168">IF(M389&gt;0,N389*100/M389,0)</f>
        <v>0</v>
      </c>
      <c r="Q389" s="868"/>
      <c r="R389" s="868"/>
      <c r="S389" s="868"/>
      <c r="T389" s="868"/>
      <c r="U389" s="868"/>
      <c r="V389" s="868"/>
      <c r="W389" s="868"/>
      <c r="X389" s="868"/>
      <c r="Y389" s="868"/>
      <c r="Z389" s="868"/>
    </row>
    <row r="390" spans="1:26" ht="18.75" hidden="1">
      <c r="A390" s="993"/>
      <c r="B390" s="883"/>
      <c r="C390" s="883"/>
      <c r="D390" s="883"/>
      <c r="E390" s="884" t="s">
        <v>18</v>
      </c>
      <c r="F390" s="883"/>
      <c r="G390" s="994"/>
      <c r="H390" s="158" t="s">
        <v>12</v>
      </c>
      <c r="I390" s="886"/>
      <c r="J390" s="886"/>
      <c r="K390" s="887"/>
      <c r="L390" s="887">
        <f t="shared" ref="L390:N391" si="169">L393+L396</f>
        <v>0</v>
      </c>
      <c r="M390" s="887">
        <f t="shared" si="169"/>
        <v>0</v>
      </c>
      <c r="N390" s="887">
        <f t="shared" si="169"/>
        <v>0</v>
      </c>
      <c r="O390" s="887">
        <f t="shared" si="167"/>
        <v>0</v>
      </c>
      <c r="P390" s="887">
        <f t="shared" si="168"/>
        <v>0</v>
      </c>
      <c r="Q390" s="875"/>
      <c r="R390" s="875"/>
      <c r="S390" s="875"/>
      <c r="T390" s="875"/>
      <c r="U390" s="875"/>
      <c r="V390" s="875"/>
      <c r="W390" s="875"/>
      <c r="X390" s="875"/>
      <c r="Y390" s="875"/>
      <c r="Z390" s="875"/>
    </row>
    <row r="391" spans="1:26" ht="18.75" hidden="1">
      <c r="A391" s="993"/>
      <c r="B391" s="883"/>
      <c r="C391" s="883"/>
      <c r="D391" s="883"/>
      <c r="E391" s="884" t="s">
        <v>19</v>
      </c>
      <c r="F391" s="883"/>
      <c r="G391" s="994"/>
      <c r="H391" s="158" t="s">
        <v>12</v>
      </c>
      <c r="I391" s="886"/>
      <c r="J391" s="886"/>
      <c r="K391" s="887"/>
      <c r="L391" s="887">
        <f t="shared" ca="1" si="169"/>
        <v>0</v>
      </c>
      <c r="M391" s="887">
        <f t="shared" ca="1" si="169"/>
        <v>0</v>
      </c>
      <c r="N391" s="887">
        <f t="shared" ca="1" si="169"/>
        <v>0</v>
      </c>
      <c r="O391" s="887">
        <f t="shared" ca="1" si="167"/>
        <v>0</v>
      </c>
      <c r="P391" s="887">
        <f t="shared" ca="1" si="168"/>
        <v>0</v>
      </c>
      <c r="Q391" s="875"/>
      <c r="R391" s="875"/>
      <c r="S391" s="875"/>
      <c r="T391" s="875"/>
      <c r="U391" s="875"/>
      <c r="V391" s="875"/>
      <c r="W391" s="875"/>
      <c r="X391" s="875"/>
      <c r="Y391" s="875"/>
      <c r="Z391" s="875"/>
    </row>
    <row r="392" spans="1:26" ht="18.75" hidden="1">
      <c r="A392" s="995"/>
      <c r="B392" s="877"/>
      <c r="C392" s="996"/>
      <c r="D392" s="878" t="s">
        <v>20</v>
      </c>
      <c r="E392" s="877"/>
      <c r="F392" s="877"/>
      <c r="G392" s="879"/>
      <c r="H392" s="161" t="s">
        <v>12</v>
      </c>
      <c r="I392" s="997"/>
      <c r="J392" s="997"/>
      <c r="K392" s="998"/>
      <c r="L392" s="881">
        <f t="shared" ref="L392:N392" ca="1" si="170">L393+L394</f>
        <v>0</v>
      </c>
      <c r="M392" s="881">
        <f t="shared" ca="1" si="170"/>
        <v>0</v>
      </c>
      <c r="N392" s="881">
        <f t="shared" ca="1" si="170"/>
        <v>0</v>
      </c>
      <c r="O392" s="881">
        <f t="shared" ca="1" si="167"/>
        <v>0</v>
      </c>
      <c r="P392" s="881">
        <f t="shared" ca="1" si="168"/>
        <v>0</v>
      </c>
      <c r="Q392" s="868"/>
      <c r="R392" s="868"/>
      <c r="S392" s="868"/>
      <c r="T392" s="868"/>
      <c r="U392" s="868"/>
      <c r="V392" s="868"/>
      <c r="W392" s="868"/>
      <c r="X392" s="868"/>
      <c r="Y392" s="868"/>
      <c r="Z392" s="868"/>
    </row>
    <row r="393" spans="1:26" ht="19.5" hidden="1">
      <c r="A393" s="993"/>
      <c r="B393" s="883"/>
      <c r="C393" s="999"/>
      <c r="D393" s="883"/>
      <c r="E393" s="884" t="s">
        <v>36</v>
      </c>
      <c r="F393" s="883"/>
      <c r="G393" s="994"/>
      <c r="H393" s="165" t="s">
        <v>12</v>
      </c>
      <c r="I393" s="1000"/>
      <c r="J393" s="1000"/>
      <c r="K393" s="1001"/>
      <c r="L393" s="887">
        <v>0</v>
      </c>
      <c r="M393" s="887">
        <v>0</v>
      </c>
      <c r="N393" s="887">
        <v>0</v>
      </c>
      <c r="O393" s="887">
        <f t="shared" si="167"/>
        <v>0</v>
      </c>
      <c r="P393" s="887">
        <f t="shared" si="168"/>
        <v>0</v>
      </c>
      <c r="Q393" s="875"/>
      <c r="R393" s="875"/>
      <c r="S393" s="875"/>
      <c r="T393" s="875"/>
      <c r="U393" s="875"/>
      <c r="V393" s="875"/>
      <c r="W393" s="875"/>
      <c r="X393" s="875"/>
      <c r="Y393" s="875"/>
      <c r="Z393" s="875"/>
    </row>
    <row r="394" spans="1:26" ht="19.5" hidden="1">
      <c r="A394" s="993"/>
      <c r="B394" s="883"/>
      <c r="C394" s="999"/>
      <c r="D394" s="883"/>
      <c r="E394" s="884" t="s">
        <v>37</v>
      </c>
      <c r="F394" s="883"/>
      <c r="G394" s="994"/>
      <c r="H394" s="165" t="s">
        <v>12</v>
      </c>
      <c r="I394" s="1000"/>
      <c r="J394" s="1000"/>
      <c r="K394" s="1001"/>
      <c r="L394" s="887">
        <f ca="1">IFERROR(__xludf.DUMMYFUNCTION("IMPORTRANGE(""https://docs.google.com/spreadsheets/d/1MeEWN-I1oV_STSDYn1IFDPWt_1FKiwhDph83XaGc0o0/edit?usp=sharing"",""งบพรบ!FG76"")"),0)</f>
        <v>0</v>
      </c>
      <c r="M394" s="887">
        <f ca="1">IFERROR(__xludf.DUMMYFUNCTION("IMPORTRANGE(""https://docs.google.com/spreadsheets/d/1MeEWN-I1oV_STSDYn1IFDPWt_1FKiwhDph83XaGc0o0/edit?usp=sharing"",""งบพรบ!FL76"")"),0)</f>
        <v>0</v>
      </c>
      <c r="N394" s="887">
        <f ca="1">IFERROR(__xludf.DUMMYFUNCTION("IMPORTRANGE(""https://docs.google.com/spreadsheets/d/1MeEWN-I1oV_STSDYn1IFDPWt_1FKiwhDph83XaGc0o0/edit?usp=sharing"",""งบพรบ!FN76"")"),0)</f>
        <v>0</v>
      </c>
      <c r="O394" s="887">
        <f t="shared" ca="1" si="167"/>
        <v>0</v>
      </c>
      <c r="P394" s="887">
        <f t="shared" ca="1" si="168"/>
        <v>0</v>
      </c>
      <c r="Q394" s="875"/>
      <c r="R394" s="875"/>
      <c r="S394" s="875"/>
      <c r="T394" s="875"/>
      <c r="U394" s="875"/>
      <c r="V394" s="875"/>
      <c r="W394" s="875"/>
      <c r="X394" s="875"/>
      <c r="Y394" s="875"/>
      <c r="Z394" s="875"/>
    </row>
    <row r="395" spans="1:26" ht="18.75" hidden="1">
      <c r="A395" s="995"/>
      <c r="B395" s="877"/>
      <c r="C395" s="996"/>
      <c r="D395" s="878" t="s">
        <v>21</v>
      </c>
      <c r="E395" s="877"/>
      <c r="F395" s="877"/>
      <c r="G395" s="879"/>
      <c r="H395" s="168" t="s">
        <v>12</v>
      </c>
      <c r="I395" s="997"/>
      <c r="J395" s="997"/>
      <c r="K395" s="998"/>
      <c r="L395" s="881">
        <f t="shared" ref="L395:N395" ca="1" si="171">L396+L397</f>
        <v>0</v>
      </c>
      <c r="M395" s="881">
        <f t="shared" ca="1" si="171"/>
        <v>0</v>
      </c>
      <c r="N395" s="881">
        <f t="shared" ca="1" si="171"/>
        <v>0</v>
      </c>
      <c r="O395" s="881">
        <f t="shared" ca="1" si="167"/>
        <v>0</v>
      </c>
      <c r="P395" s="881">
        <f t="shared" ca="1" si="168"/>
        <v>0</v>
      </c>
      <c r="Q395" s="868"/>
      <c r="R395" s="868"/>
      <c r="S395" s="868"/>
      <c r="T395" s="868"/>
      <c r="U395" s="868"/>
      <c r="V395" s="868"/>
      <c r="W395" s="868"/>
      <c r="X395" s="868"/>
      <c r="Y395" s="868"/>
      <c r="Z395" s="868"/>
    </row>
    <row r="396" spans="1:26" ht="19.5" hidden="1">
      <c r="A396" s="993"/>
      <c r="B396" s="883"/>
      <c r="C396" s="999"/>
      <c r="D396" s="883"/>
      <c r="E396" s="884" t="s">
        <v>18</v>
      </c>
      <c r="F396" s="883"/>
      <c r="G396" s="994"/>
      <c r="H396" s="165" t="s">
        <v>12</v>
      </c>
      <c r="I396" s="1000"/>
      <c r="J396" s="1000"/>
      <c r="K396" s="1001"/>
      <c r="L396" s="887">
        <v>0</v>
      </c>
      <c r="M396" s="887">
        <v>0</v>
      </c>
      <c r="N396" s="887">
        <v>0</v>
      </c>
      <c r="O396" s="887">
        <f t="shared" si="167"/>
        <v>0</v>
      </c>
      <c r="P396" s="887">
        <f t="shared" si="168"/>
        <v>0</v>
      </c>
      <c r="Q396" s="875"/>
      <c r="R396" s="875"/>
      <c r="S396" s="875"/>
      <c r="T396" s="875"/>
      <c r="U396" s="875"/>
      <c r="V396" s="875"/>
      <c r="W396" s="875"/>
      <c r="X396" s="875"/>
      <c r="Y396" s="875"/>
      <c r="Z396" s="875"/>
    </row>
    <row r="397" spans="1:26" ht="19.5" hidden="1">
      <c r="A397" s="993"/>
      <c r="B397" s="883"/>
      <c r="C397" s="999"/>
      <c r="D397" s="883"/>
      <c r="E397" s="884" t="s">
        <v>19</v>
      </c>
      <c r="F397" s="883"/>
      <c r="G397" s="994"/>
      <c r="H397" s="169" t="s">
        <v>12</v>
      </c>
      <c r="I397" s="1000"/>
      <c r="J397" s="1000"/>
      <c r="K397" s="1001"/>
      <c r="L397" s="887">
        <f ca="1">IFERROR(__xludf.DUMMYFUNCTION("IMPORTRANGE(""https://docs.google.com/spreadsheets/d/1MeEWN-I1oV_STSDYn1IFDPWt_1FKiwhDph83XaGc0o0/edit?usp=sharing"",""งบพรบ!FJ76"")"),0)</f>
        <v>0</v>
      </c>
      <c r="M397" s="887">
        <f ca="1">IFERROR(__xludf.DUMMYFUNCTION("IMPORTRANGE(""https://docs.google.com/spreadsheets/d/1MeEWN-I1oV_STSDYn1IFDPWt_1FKiwhDph83XaGc0o0/edit?usp=sharing"",""งบพรบ!FM76"")"),0)</f>
        <v>0</v>
      </c>
      <c r="N397" s="887">
        <f ca="1">IFERROR(__xludf.DUMMYFUNCTION("IMPORTRANGE(""https://docs.google.com/spreadsheets/d/1MeEWN-I1oV_STSDYn1IFDPWt_1FKiwhDph83XaGc0o0/edit?usp=sharing"",""งบพรบ!FO76"")"),0)</f>
        <v>0</v>
      </c>
      <c r="O397" s="887">
        <f t="shared" ca="1" si="167"/>
        <v>0</v>
      </c>
      <c r="P397" s="887">
        <f t="shared" ca="1" si="168"/>
        <v>0</v>
      </c>
      <c r="Q397" s="875"/>
      <c r="R397" s="875"/>
      <c r="S397" s="875"/>
      <c r="T397" s="875"/>
      <c r="U397" s="875"/>
      <c r="V397" s="875"/>
      <c r="W397" s="875"/>
      <c r="X397" s="875"/>
      <c r="Y397" s="875"/>
      <c r="Z397" s="875"/>
    </row>
    <row r="398" spans="1:26" ht="19.5" hidden="1">
      <c r="A398" s="1002"/>
      <c r="B398" s="1003"/>
      <c r="C398" s="999" t="s">
        <v>16</v>
      </c>
      <c r="D398" s="1004" t="s">
        <v>38</v>
      </c>
      <c r="E398" s="1005"/>
      <c r="F398" s="1005"/>
      <c r="G398" s="1006"/>
      <c r="H398" s="1007"/>
      <c r="I398" s="997"/>
      <c r="J398" s="880"/>
      <c r="K398" s="881"/>
      <c r="L398" s="881"/>
      <c r="M398" s="881"/>
      <c r="N398" s="881"/>
      <c r="O398" s="998"/>
      <c r="P398" s="998"/>
    </row>
    <row r="399" spans="1:26" ht="18.75" hidden="1">
      <c r="A399" s="1261"/>
      <c r="B399" s="986"/>
      <c r="C399" s="1262"/>
      <c r="D399" s="1021" t="s">
        <v>175</v>
      </c>
      <c r="E399" s="1166"/>
      <c r="F399" s="986"/>
      <c r="G399" s="989"/>
      <c r="H399" s="532" t="s">
        <v>9</v>
      </c>
      <c r="I399" s="880">
        <v>0</v>
      </c>
      <c r="J399" s="1012">
        <v>0</v>
      </c>
      <c r="K399" s="881">
        <f t="shared" ref="K399:K401" si="172">IF(I399&gt;0,J399*100/I399,0)</f>
        <v>0</v>
      </c>
      <c r="L399" s="1263"/>
      <c r="M399" s="1263"/>
      <c r="N399" s="1263"/>
      <c r="O399" s="1263"/>
      <c r="P399" s="1263"/>
      <c r="Q399" s="868"/>
      <c r="R399" s="868"/>
      <c r="S399" s="868"/>
      <c r="T399" s="868"/>
      <c r="U399" s="868"/>
      <c r="V399" s="868"/>
      <c r="W399" s="868"/>
      <c r="X399" s="868"/>
      <c r="Y399" s="868"/>
      <c r="Z399" s="868"/>
    </row>
    <row r="400" spans="1:26" ht="18.75" hidden="1">
      <c r="A400" s="1086"/>
      <c r="B400" s="877"/>
      <c r="C400" s="1084"/>
      <c r="D400" s="1009" t="s">
        <v>176</v>
      </c>
      <c r="E400" s="1003"/>
      <c r="F400" s="877"/>
      <c r="G400" s="879"/>
      <c r="H400" s="277" t="s">
        <v>66</v>
      </c>
      <c r="I400" s="880">
        <v>0</v>
      </c>
      <c r="J400" s="1012">
        <v>0</v>
      </c>
      <c r="K400" s="881">
        <f t="shared" si="172"/>
        <v>0</v>
      </c>
      <c r="L400" s="881"/>
      <c r="M400" s="881"/>
      <c r="N400" s="881"/>
      <c r="O400" s="881"/>
      <c r="P400" s="881"/>
    </row>
    <row r="401" spans="1:26" ht="19.5" hidden="1">
      <c r="A401" s="1253"/>
      <c r="B401" s="1254" t="s">
        <v>177</v>
      </c>
      <c r="C401" s="1255"/>
      <c r="D401" s="1256"/>
      <c r="E401" s="1256"/>
      <c r="F401" s="1256"/>
      <c r="G401" s="1257"/>
      <c r="H401" s="525" t="s">
        <v>66</v>
      </c>
      <c r="I401" s="1258">
        <f t="shared" ref="I401:J401" si="173">I412</f>
        <v>0</v>
      </c>
      <c r="J401" s="1258">
        <f t="shared" si="173"/>
        <v>0</v>
      </c>
      <c r="K401" s="1259">
        <f t="shared" si="172"/>
        <v>0</v>
      </c>
      <c r="L401" s="1260"/>
      <c r="M401" s="1260"/>
      <c r="N401" s="1260"/>
      <c r="O401" s="1260"/>
      <c r="P401" s="1260"/>
    </row>
    <row r="402" spans="1:26" ht="19.5" hidden="1">
      <c r="A402" s="985"/>
      <c r="B402" s="986"/>
      <c r="C402" s="987" t="s">
        <v>16</v>
      </c>
      <c r="D402" s="988" t="s">
        <v>17</v>
      </c>
      <c r="E402" s="986"/>
      <c r="F402" s="986"/>
      <c r="G402" s="989"/>
      <c r="H402" s="152" t="s">
        <v>12</v>
      </c>
      <c r="I402" s="990"/>
      <c r="J402" s="990"/>
      <c r="K402" s="991"/>
      <c r="L402" s="992">
        <f t="shared" ref="L402:N402" ca="1" si="174">L403+L404</f>
        <v>0</v>
      </c>
      <c r="M402" s="992">
        <f t="shared" ca="1" si="174"/>
        <v>0</v>
      </c>
      <c r="N402" s="992">
        <f t="shared" ca="1" si="174"/>
        <v>0</v>
      </c>
      <c r="O402" s="992">
        <f t="shared" ref="O402:O410" ca="1" si="175">IF(L402&gt;0,N402*100/L402,0)</f>
        <v>0</v>
      </c>
      <c r="P402" s="992">
        <f t="shared" ref="P402:P410" ca="1" si="176">IF(M402&gt;0,N402*100/M402,0)</f>
        <v>0</v>
      </c>
      <c r="Q402" s="868"/>
      <c r="R402" s="868"/>
      <c r="S402" s="868"/>
      <c r="T402" s="868"/>
      <c r="U402" s="868"/>
      <c r="V402" s="868"/>
      <c r="W402" s="868"/>
      <c r="X402" s="868"/>
      <c r="Y402" s="868"/>
      <c r="Z402" s="868"/>
    </row>
    <row r="403" spans="1:26" ht="18.75" hidden="1">
      <c r="A403" s="993"/>
      <c r="B403" s="883"/>
      <c r="C403" s="883"/>
      <c r="D403" s="883"/>
      <c r="E403" s="884" t="s">
        <v>18</v>
      </c>
      <c r="F403" s="883"/>
      <c r="G403" s="994"/>
      <c r="H403" s="158" t="s">
        <v>12</v>
      </c>
      <c r="I403" s="886"/>
      <c r="J403" s="886"/>
      <c r="K403" s="887"/>
      <c r="L403" s="887">
        <f t="shared" ref="L403:N404" si="177">L406+L409</f>
        <v>0</v>
      </c>
      <c r="M403" s="887">
        <f t="shared" si="177"/>
        <v>0</v>
      </c>
      <c r="N403" s="887">
        <f t="shared" si="177"/>
        <v>0</v>
      </c>
      <c r="O403" s="887">
        <f t="shared" si="175"/>
        <v>0</v>
      </c>
      <c r="P403" s="887">
        <f t="shared" si="176"/>
        <v>0</v>
      </c>
      <c r="Q403" s="875"/>
      <c r="R403" s="875"/>
      <c r="S403" s="875"/>
      <c r="T403" s="875"/>
      <c r="U403" s="875"/>
      <c r="V403" s="875"/>
      <c r="W403" s="875"/>
      <c r="X403" s="875"/>
      <c r="Y403" s="875"/>
      <c r="Z403" s="875"/>
    </row>
    <row r="404" spans="1:26" ht="18.75" hidden="1">
      <c r="A404" s="993"/>
      <c r="B404" s="883"/>
      <c r="C404" s="883"/>
      <c r="D404" s="883"/>
      <c r="E404" s="884" t="s">
        <v>19</v>
      </c>
      <c r="F404" s="883"/>
      <c r="G404" s="994"/>
      <c r="H404" s="158" t="s">
        <v>12</v>
      </c>
      <c r="I404" s="886"/>
      <c r="J404" s="886"/>
      <c r="K404" s="887"/>
      <c r="L404" s="887">
        <f t="shared" ca="1" si="177"/>
        <v>0</v>
      </c>
      <c r="M404" s="887">
        <f t="shared" ca="1" si="177"/>
        <v>0</v>
      </c>
      <c r="N404" s="887">
        <f t="shared" ca="1" si="177"/>
        <v>0</v>
      </c>
      <c r="O404" s="887">
        <f t="shared" ca="1" si="175"/>
        <v>0</v>
      </c>
      <c r="P404" s="887">
        <f t="shared" ca="1" si="176"/>
        <v>0</v>
      </c>
      <c r="Q404" s="875"/>
      <c r="R404" s="875"/>
      <c r="S404" s="875"/>
      <c r="T404" s="875"/>
      <c r="U404" s="875"/>
      <c r="V404" s="875"/>
      <c r="W404" s="875"/>
      <c r="X404" s="875"/>
      <c r="Y404" s="875"/>
      <c r="Z404" s="875"/>
    </row>
    <row r="405" spans="1:26" ht="18.75" hidden="1">
      <c r="A405" s="995"/>
      <c r="B405" s="877"/>
      <c r="C405" s="996"/>
      <c r="D405" s="878" t="s">
        <v>20</v>
      </c>
      <c r="E405" s="877"/>
      <c r="F405" s="877"/>
      <c r="G405" s="879"/>
      <c r="H405" s="161" t="s">
        <v>12</v>
      </c>
      <c r="I405" s="997"/>
      <c r="J405" s="997"/>
      <c r="K405" s="998"/>
      <c r="L405" s="881">
        <f t="shared" ref="L405:N405" ca="1" si="178">L406+L407</f>
        <v>0</v>
      </c>
      <c r="M405" s="881">
        <f t="shared" ca="1" si="178"/>
        <v>0</v>
      </c>
      <c r="N405" s="881">
        <f t="shared" ca="1" si="178"/>
        <v>0</v>
      </c>
      <c r="O405" s="881">
        <f t="shared" ca="1" si="175"/>
        <v>0</v>
      </c>
      <c r="P405" s="881">
        <f t="shared" ca="1" si="176"/>
        <v>0</v>
      </c>
      <c r="Q405" s="868"/>
      <c r="R405" s="868"/>
      <c r="S405" s="868"/>
      <c r="T405" s="868"/>
      <c r="U405" s="868"/>
      <c r="V405" s="868"/>
      <c r="W405" s="868"/>
      <c r="X405" s="868"/>
      <c r="Y405" s="868"/>
      <c r="Z405" s="868"/>
    </row>
    <row r="406" spans="1:26" ht="19.5" hidden="1">
      <c r="A406" s="993"/>
      <c r="B406" s="883"/>
      <c r="C406" s="999"/>
      <c r="D406" s="883"/>
      <c r="E406" s="884" t="s">
        <v>36</v>
      </c>
      <c r="F406" s="883"/>
      <c r="G406" s="994"/>
      <c r="H406" s="165" t="s">
        <v>12</v>
      </c>
      <c r="I406" s="1000"/>
      <c r="J406" s="1000"/>
      <c r="K406" s="1001"/>
      <c r="L406" s="887">
        <v>0</v>
      </c>
      <c r="M406" s="887">
        <v>0</v>
      </c>
      <c r="N406" s="887">
        <v>0</v>
      </c>
      <c r="O406" s="887">
        <f t="shared" si="175"/>
        <v>0</v>
      </c>
      <c r="P406" s="887">
        <f t="shared" si="176"/>
        <v>0</v>
      </c>
      <c r="Q406" s="875"/>
      <c r="R406" s="875"/>
      <c r="S406" s="875"/>
      <c r="T406" s="875"/>
      <c r="U406" s="875"/>
      <c r="V406" s="875"/>
      <c r="W406" s="875"/>
      <c r="X406" s="875"/>
      <c r="Y406" s="875"/>
      <c r="Z406" s="875"/>
    </row>
    <row r="407" spans="1:26" ht="19.5" hidden="1">
      <c r="A407" s="993"/>
      <c r="B407" s="883"/>
      <c r="C407" s="999"/>
      <c r="D407" s="883"/>
      <c r="E407" s="884" t="s">
        <v>37</v>
      </c>
      <c r="F407" s="883"/>
      <c r="G407" s="994"/>
      <c r="H407" s="165" t="s">
        <v>12</v>
      </c>
      <c r="I407" s="1000"/>
      <c r="J407" s="1000"/>
      <c r="K407" s="1001"/>
      <c r="L407" s="887">
        <f ca="1">IFERROR(__xludf.DUMMYFUNCTION("IMPORTRANGE(""https://docs.google.com/spreadsheets/d/1MeEWN-I1oV_STSDYn1IFDPWt_1FKiwhDph83XaGc0o0/edit?usp=sharing"",""งบพรบ!FQ76"")"),0)</f>
        <v>0</v>
      </c>
      <c r="M407" s="887">
        <f ca="1">IFERROR(__xludf.DUMMYFUNCTION("IMPORTRANGE(""https://docs.google.com/spreadsheets/d/1MeEWN-I1oV_STSDYn1IFDPWt_1FKiwhDph83XaGc0o0/edit?usp=sharing"",""งบพรบ!FV76"")"),0)</f>
        <v>0</v>
      </c>
      <c r="N407" s="887">
        <f ca="1">IFERROR(__xludf.DUMMYFUNCTION("IMPORTRANGE(""https://docs.google.com/spreadsheets/d/1MeEWN-I1oV_STSDYn1IFDPWt_1FKiwhDph83XaGc0o0/edit?usp=sharing"",""งบพรบ!FX76"")"),0)</f>
        <v>0</v>
      </c>
      <c r="O407" s="887">
        <f t="shared" ca="1" si="175"/>
        <v>0</v>
      </c>
      <c r="P407" s="887">
        <f t="shared" ca="1" si="176"/>
        <v>0</v>
      </c>
      <c r="Q407" s="875"/>
      <c r="R407" s="875"/>
      <c r="S407" s="875"/>
      <c r="T407" s="875"/>
      <c r="U407" s="875"/>
      <c r="V407" s="875"/>
      <c r="W407" s="875"/>
      <c r="X407" s="875"/>
      <c r="Y407" s="875"/>
      <c r="Z407" s="875"/>
    </row>
    <row r="408" spans="1:26" ht="18.75" hidden="1">
      <c r="A408" s="995"/>
      <c r="B408" s="877"/>
      <c r="C408" s="996"/>
      <c r="D408" s="878" t="s">
        <v>21</v>
      </c>
      <c r="E408" s="877"/>
      <c r="F408" s="877"/>
      <c r="G408" s="879"/>
      <c r="H408" s="168" t="s">
        <v>12</v>
      </c>
      <c r="I408" s="997"/>
      <c r="J408" s="997"/>
      <c r="K408" s="998"/>
      <c r="L408" s="881">
        <f t="shared" ref="L408:N408" ca="1" si="179">L409+L410</f>
        <v>0</v>
      </c>
      <c r="M408" s="881">
        <f t="shared" ca="1" si="179"/>
        <v>0</v>
      </c>
      <c r="N408" s="881">
        <f t="shared" ca="1" si="179"/>
        <v>0</v>
      </c>
      <c r="O408" s="881">
        <f t="shared" ca="1" si="175"/>
        <v>0</v>
      </c>
      <c r="P408" s="881">
        <f t="shared" ca="1" si="176"/>
        <v>0</v>
      </c>
      <c r="Q408" s="868"/>
      <c r="R408" s="868"/>
      <c r="S408" s="868"/>
      <c r="T408" s="868"/>
      <c r="U408" s="868"/>
      <c r="V408" s="868"/>
      <c r="W408" s="868"/>
      <c r="X408" s="868"/>
      <c r="Y408" s="868"/>
      <c r="Z408" s="868"/>
    </row>
    <row r="409" spans="1:26" ht="19.5" hidden="1">
      <c r="A409" s="993"/>
      <c r="B409" s="883"/>
      <c r="C409" s="999"/>
      <c r="D409" s="883"/>
      <c r="E409" s="884" t="s">
        <v>18</v>
      </c>
      <c r="F409" s="883"/>
      <c r="G409" s="994"/>
      <c r="H409" s="165" t="s">
        <v>12</v>
      </c>
      <c r="I409" s="1000"/>
      <c r="J409" s="1000"/>
      <c r="K409" s="1001"/>
      <c r="L409" s="887">
        <v>0</v>
      </c>
      <c r="M409" s="887">
        <v>0</v>
      </c>
      <c r="N409" s="887">
        <v>0</v>
      </c>
      <c r="O409" s="887">
        <f t="shared" si="175"/>
        <v>0</v>
      </c>
      <c r="P409" s="887">
        <f t="shared" si="176"/>
        <v>0</v>
      </c>
      <c r="Q409" s="875"/>
      <c r="R409" s="875"/>
      <c r="S409" s="875"/>
      <c r="T409" s="875"/>
      <c r="U409" s="875"/>
      <c r="V409" s="875"/>
      <c r="W409" s="875"/>
      <c r="X409" s="875"/>
      <c r="Y409" s="875"/>
      <c r="Z409" s="875"/>
    </row>
    <row r="410" spans="1:26" ht="19.5" hidden="1">
      <c r="A410" s="993"/>
      <c r="B410" s="883"/>
      <c r="C410" s="999"/>
      <c r="D410" s="883"/>
      <c r="E410" s="884" t="s">
        <v>19</v>
      </c>
      <c r="F410" s="883"/>
      <c r="G410" s="994"/>
      <c r="H410" s="169" t="s">
        <v>12</v>
      </c>
      <c r="I410" s="1000"/>
      <c r="J410" s="1000"/>
      <c r="K410" s="1001"/>
      <c r="L410" s="887">
        <f ca="1">IFERROR(__xludf.DUMMYFUNCTION("IMPORTRANGE(""https://docs.google.com/spreadsheets/d/1MeEWN-I1oV_STSDYn1IFDPWt_1FKiwhDph83XaGc0o0/edit?usp=sharing"",""งบพรบ!FT76"")"),0)</f>
        <v>0</v>
      </c>
      <c r="M410" s="887">
        <f ca="1">IFERROR(__xludf.DUMMYFUNCTION("IMPORTRANGE(""https://docs.google.com/spreadsheets/d/1MeEWN-I1oV_STSDYn1IFDPWt_1FKiwhDph83XaGc0o0/edit?usp=sharing"",""งบพรบ!FW76"")"),0)</f>
        <v>0</v>
      </c>
      <c r="N410" s="887">
        <f ca="1">IFERROR(__xludf.DUMMYFUNCTION("IMPORTRANGE(""https://docs.google.com/spreadsheets/d/1MeEWN-I1oV_STSDYn1IFDPWt_1FKiwhDph83XaGc0o0/edit?usp=sharing"",""งบพรบ!FY76"")"),0)</f>
        <v>0</v>
      </c>
      <c r="O410" s="887">
        <f t="shared" ca="1" si="175"/>
        <v>0</v>
      </c>
      <c r="P410" s="887">
        <f t="shared" ca="1" si="176"/>
        <v>0</v>
      </c>
      <c r="Q410" s="875"/>
      <c r="R410" s="875"/>
      <c r="S410" s="875"/>
      <c r="T410" s="875"/>
      <c r="U410" s="875"/>
      <c r="V410" s="875"/>
      <c r="W410" s="875"/>
      <c r="X410" s="875"/>
      <c r="Y410" s="875"/>
      <c r="Z410" s="875"/>
    </row>
    <row r="411" spans="1:26" ht="19.5" hidden="1">
      <c r="A411" s="1002"/>
      <c r="B411" s="1003"/>
      <c r="C411" s="999" t="s">
        <v>16</v>
      </c>
      <c r="D411" s="1264" t="s">
        <v>38</v>
      </c>
      <c r="E411" s="1265"/>
      <c r="F411" s="1265"/>
      <c r="G411" s="1266"/>
      <c r="H411" s="1007"/>
      <c r="I411" s="880"/>
      <c r="J411" s="880"/>
      <c r="K411" s="881"/>
      <c r="L411" s="998"/>
      <c r="M411" s="998"/>
      <c r="N411" s="998"/>
      <c r="O411" s="998"/>
      <c r="P411" s="998"/>
    </row>
    <row r="412" spans="1:26" ht="18.75" hidden="1">
      <c r="A412" s="1002"/>
      <c r="B412" s="1010"/>
      <c r="C412" s="1010"/>
      <c r="D412" s="1009" t="s">
        <v>178</v>
      </c>
      <c r="E412" s="1010"/>
      <c r="F412" s="1010"/>
      <c r="G412" s="1011"/>
      <c r="H412" s="537" t="s">
        <v>66</v>
      </c>
      <c r="I412" s="880">
        <v>0</v>
      </c>
      <c r="J412" s="1012">
        <v>0</v>
      </c>
      <c r="K412" s="881">
        <f t="shared" ref="K412:K413" si="180">IF(I412&gt;0,J412*100/I412,0)</f>
        <v>0</v>
      </c>
      <c r="L412" s="998"/>
      <c r="M412" s="998"/>
      <c r="N412" s="998"/>
      <c r="O412" s="998"/>
      <c r="P412" s="998"/>
    </row>
    <row r="413" spans="1:26" ht="19.5" hidden="1" thickBot="1">
      <c r="A413" s="1267"/>
      <c r="B413" s="1268"/>
      <c r="C413" s="1268"/>
      <c r="D413" s="1269" t="s">
        <v>179</v>
      </c>
      <c r="E413" s="1268"/>
      <c r="F413" s="1268"/>
      <c r="G413" s="1270"/>
      <c r="H413" s="542" t="s">
        <v>180</v>
      </c>
      <c r="I413" s="1271">
        <v>0</v>
      </c>
      <c r="J413" s="1272">
        <v>0</v>
      </c>
      <c r="K413" s="1273">
        <f t="shared" si="180"/>
        <v>0</v>
      </c>
      <c r="L413" s="1274"/>
      <c r="M413" s="1274"/>
      <c r="N413" s="1274"/>
      <c r="O413" s="1274"/>
      <c r="P413" s="1274"/>
    </row>
    <row r="414" spans="1:26" ht="19.5">
      <c r="A414" s="1275" t="s">
        <v>181</v>
      </c>
      <c r="B414" s="1276"/>
      <c r="C414" s="1276"/>
      <c r="D414" s="1276"/>
      <c r="E414" s="1276"/>
      <c r="F414" s="1276"/>
      <c r="G414" s="1277"/>
      <c r="H414" s="1278"/>
      <c r="I414" s="1279"/>
      <c r="J414" s="1279"/>
      <c r="K414" s="1280"/>
      <c r="L414" s="1281">
        <f t="shared" ref="L414:N414" ca="1" si="181">L419+L444+L467+L502+L523+L544+L629+L655+L685+L737+L754+L770+L786+L805</f>
        <v>2119836</v>
      </c>
      <c r="M414" s="1281">
        <f t="shared" ca="1" si="181"/>
        <v>2119836</v>
      </c>
      <c r="N414" s="1281">
        <f t="shared" si="181"/>
        <v>1163152.51</v>
      </c>
      <c r="O414" s="1281">
        <f ca="1">IF(L414&gt;0,N414*100/L414,0)</f>
        <v>54.869929088854043</v>
      </c>
      <c r="P414" s="1281">
        <f ca="1">IF(M414&gt;0,N414*100/M414,0)</f>
        <v>54.869929088854043</v>
      </c>
    </row>
    <row r="415" spans="1:26" ht="19.5">
      <c r="A415" s="1282" t="s">
        <v>182</v>
      </c>
      <c r="B415" s="1283"/>
      <c r="C415" s="1283"/>
      <c r="D415" s="1283"/>
      <c r="E415" s="1283"/>
      <c r="F415" s="1283"/>
      <c r="G415" s="1283"/>
      <c r="H415" s="1284"/>
      <c r="I415" s="1285"/>
      <c r="J415" s="1285"/>
      <c r="K415" s="1286"/>
      <c r="L415" s="1287"/>
      <c r="M415" s="1287"/>
      <c r="N415" s="1287"/>
      <c r="O415" s="1287"/>
      <c r="P415" s="1287"/>
    </row>
    <row r="416" spans="1:26" ht="19.5">
      <c r="A416" s="1282" t="s">
        <v>183</v>
      </c>
      <c r="B416" s="1283"/>
      <c r="C416" s="1283"/>
      <c r="D416" s="1283"/>
      <c r="E416" s="1283"/>
      <c r="F416" s="1283"/>
      <c r="G416" s="1288"/>
      <c r="H416" s="1289"/>
      <c r="I416" s="1290"/>
      <c r="J416" s="1290"/>
      <c r="K416" s="1287"/>
      <c r="L416" s="1287"/>
      <c r="M416" s="1287"/>
      <c r="N416" s="1287"/>
      <c r="O416" s="1287"/>
      <c r="P416" s="1287"/>
    </row>
    <row r="417" spans="1:26" ht="39">
      <c r="A417" s="563">
        <v>1</v>
      </c>
      <c r="B417" s="1291" t="s">
        <v>184</v>
      </c>
      <c r="C417" s="1291"/>
      <c r="D417" s="1292"/>
      <c r="E417" s="1292"/>
      <c r="F417" s="1292"/>
      <c r="G417" s="1293"/>
      <c r="H417" s="568" t="s">
        <v>35</v>
      </c>
      <c r="I417" s="1294">
        <f t="shared" ref="I417:J418" ca="1" si="182">I433</f>
        <v>20</v>
      </c>
      <c r="J417" s="1294">
        <f t="shared" ca="1" si="182"/>
        <v>20</v>
      </c>
      <c r="K417" s="1295">
        <f t="shared" ref="K417:K418" ca="1" si="183">IF(I417&gt;0,J417*100/I417,0)</f>
        <v>100</v>
      </c>
      <c r="L417" s="1296"/>
      <c r="M417" s="1296"/>
      <c r="N417" s="1296"/>
      <c r="O417" s="1296"/>
      <c r="P417" s="1296"/>
    </row>
    <row r="418" spans="1:26" ht="19.5">
      <c r="A418" s="1297"/>
      <c r="B418" s="563"/>
      <c r="C418" s="1291"/>
      <c r="D418" s="1292"/>
      <c r="E418" s="1292"/>
      <c r="F418" s="1292"/>
      <c r="G418" s="1293"/>
      <c r="H418" s="568" t="s">
        <v>49</v>
      </c>
      <c r="I418" s="1294">
        <f t="shared" ca="1" si="182"/>
        <v>1</v>
      </c>
      <c r="J418" s="1294">
        <f t="shared" si="182"/>
        <v>1</v>
      </c>
      <c r="K418" s="1295">
        <f t="shared" ca="1" si="183"/>
        <v>100</v>
      </c>
      <c r="L418" s="1296"/>
      <c r="M418" s="1296"/>
      <c r="N418" s="1296"/>
      <c r="O418" s="1296"/>
      <c r="P418" s="1296"/>
    </row>
    <row r="419" spans="1:26" ht="19.5">
      <c r="A419" s="985"/>
      <c r="B419" s="986"/>
      <c r="C419" s="986" t="s">
        <v>16</v>
      </c>
      <c r="D419" s="1298" t="s">
        <v>17</v>
      </c>
      <c r="E419" s="846"/>
      <c r="F419" s="846"/>
      <c r="G419" s="989"/>
      <c r="H419" s="275" t="s">
        <v>12</v>
      </c>
      <c r="I419" s="990"/>
      <c r="J419" s="990"/>
      <c r="K419" s="991"/>
      <c r="L419" s="992">
        <f t="shared" ref="L419:N419" ca="1" si="184">L420+L421</f>
        <v>78760</v>
      </c>
      <c r="M419" s="992">
        <f t="shared" ca="1" si="184"/>
        <v>78760</v>
      </c>
      <c r="N419" s="992">
        <f t="shared" si="184"/>
        <v>28060</v>
      </c>
      <c r="O419" s="992">
        <f t="shared" ref="O419:O424" ca="1" si="185">IF(L419&gt;0,N419*100/L419,0)</f>
        <v>35.627221940071102</v>
      </c>
      <c r="P419" s="992">
        <f t="shared" ref="P419:P424" ca="1" si="186">IF(M419&gt;0,N419*100/M419,0)</f>
        <v>35.627221940071102</v>
      </c>
      <c r="Q419" s="868"/>
      <c r="R419" s="868"/>
      <c r="S419" s="868"/>
      <c r="T419" s="868"/>
      <c r="U419" s="868"/>
      <c r="V419" s="868"/>
      <c r="W419" s="868"/>
      <c r="X419" s="868"/>
      <c r="Y419" s="868"/>
      <c r="Z419" s="868"/>
    </row>
    <row r="420" spans="1:26" ht="18.75" hidden="1">
      <c r="A420" s="993"/>
      <c r="B420" s="883"/>
      <c r="C420" s="883"/>
      <c r="D420" s="1114"/>
      <c r="E420" s="884" t="s">
        <v>185</v>
      </c>
      <c r="F420" s="883"/>
      <c r="G420" s="994"/>
      <c r="H420" s="165" t="s">
        <v>12</v>
      </c>
      <c r="I420" s="886"/>
      <c r="J420" s="886"/>
      <c r="K420" s="887"/>
      <c r="L420" s="887">
        <f t="shared" ref="L420:N421" si="187">L423+L430</f>
        <v>0</v>
      </c>
      <c r="M420" s="887">
        <f t="shared" si="187"/>
        <v>0</v>
      </c>
      <c r="N420" s="887">
        <f t="shared" si="187"/>
        <v>0</v>
      </c>
      <c r="O420" s="887">
        <f t="shared" si="185"/>
        <v>0</v>
      </c>
      <c r="P420" s="887">
        <f t="shared" si="186"/>
        <v>0</v>
      </c>
      <c r="Q420" s="875"/>
      <c r="R420" s="875"/>
      <c r="S420" s="875"/>
      <c r="T420" s="875"/>
      <c r="U420" s="875"/>
      <c r="V420" s="875"/>
      <c r="W420" s="875"/>
      <c r="X420" s="875"/>
      <c r="Y420" s="875"/>
      <c r="Z420" s="875"/>
    </row>
    <row r="421" spans="1:26" ht="18.75" hidden="1">
      <c r="A421" s="993"/>
      <c r="B421" s="883"/>
      <c r="C421" s="883"/>
      <c r="D421" s="1114"/>
      <c r="E421" s="884" t="s">
        <v>186</v>
      </c>
      <c r="F421" s="883"/>
      <c r="G421" s="994"/>
      <c r="H421" s="165" t="s">
        <v>12</v>
      </c>
      <c r="I421" s="886"/>
      <c r="J421" s="886"/>
      <c r="K421" s="887"/>
      <c r="L421" s="887">
        <f t="shared" ca="1" si="187"/>
        <v>78760</v>
      </c>
      <c r="M421" s="887">
        <f t="shared" ca="1" si="187"/>
        <v>78760</v>
      </c>
      <c r="N421" s="887">
        <f t="shared" si="187"/>
        <v>28060</v>
      </c>
      <c r="O421" s="887">
        <f t="shared" ca="1" si="185"/>
        <v>35.627221940071102</v>
      </c>
      <c r="P421" s="887">
        <f t="shared" ca="1" si="186"/>
        <v>35.627221940071102</v>
      </c>
      <c r="Q421" s="875"/>
      <c r="R421" s="875"/>
      <c r="S421" s="875"/>
      <c r="T421" s="875"/>
      <c r="U421" s="875"/>
      <c r="V421" s="875"/>
      <c r="W421" s="875"/>
      <c r="X421" s="875"/>
      <c r="Y421" s="875"/>
      <c r="Z421" s="875"/>
    </row>
    <row r="422" spans="1:26" ht="18.75">
      <c r="A422" s="995"/>
      <c r="B422" s="1084"/>
      <c r="C422" s="877"/>
      <c r="D422" s="878" t="s">
        <v>20</v>
      </c>
      <c r="E422" s="877"/>
      <c r="F422" s="877"/>
      <c r="G422" s="879"/>
      <c r="H422" s="161" t="s">
        <v>12</v>
      </c>
      <c r="I422" s="997"/>
      <c r="J422" s="997"/>
      <c r="K422" s="998"/>
      <c r="L422" s="881">
        <f t="shared" ref="L422:N422" ca="1" si="188">L423+L424</f>
        <v>78760</v>
      </c>
      <c r="M422" s="881">
        <f t="shared" ca="1" si="188"/>
        <v>78760</v>
      </c>
      <c r="N422" s="881">
        <f t="shared" si="188"/>
        <v>28060</v>
      </c>
      <c r="O422" s="881">
        <f t="shared" ca="1" si="185"/>
        <v>35.627221940071102</v>
      </c>
      <c r="P422" s="881">
        <f t="shared" ca="1" si="186"/>
        <v>35.627221940071102</v>
      </c>
      <c r="Q422" s="868"/>
      <c r="R422" s="868"/>
      <c r="S422" s="868"/>
      <c r="T422" s="868"/>
      <c r="U422" s="868"/>
      <c r="V422" s="868"/>
      <c r="W422" s="868"/>
      <c r="X422" s="868"/>
      <c r="Y422" s="868"/>
      <c r="Z422" s="868"/>
    </row>
    <row r="423" spans="1:26" ht="18.75" hidden="1">
      <c r="A423" s="993"/>
      <c r="B423" s="883"/>
      <c r="C423" s="883"/>
      <c r="D423" s="1114"/>
      <c r="E423" s="884" t="s">
        <v>185</v>
      </c>
      <c r="F423" s="883"/>
      <c r="G423" s="994"/>
      <c r="H423" s="165" t="s">
        <v>12</v>
      </c>
      <c r="I423" s="886"/>
      <c r="J423" s="886"/>
      <c r="K423" s="887"/>
      <c r="L423" s="887">
        <v>0</v>
      </c>
      <c r="M423" s="887">
        <v>0</v>
      </c>
      <c r="N423" s="887">
        <v>0</v>
      </c>
      <c r="O423" s="887">
        <f t="shared" si="185"/>
        <v>0</v>
      </c>
      <c r="P423" s="887">
        <f t="shared" si="186"/>
        <v>0</v>
      </c>
      <c r="Q423" s="875"/>
      <c r="R423" s="875"/>
      <c r="S423" s="875"/>
      <c r="T423" s="875"/>
      <c r="U423" s="875"/>
      <c r="V423" s="875"/>
      <c r="W423" s="875"/>
      <c r="X423" s="875"/>
      <c r="Y423" s="875"/>
      <c r="Z423" s="875"/>
    </row>
    <row r="424" spans="1:26" ht="18.75" hidden="1">
      <c r="A424" s="993"/>
      <c r="B424" s="883"/>
      <c r="C424" s="883"/>
      <c r="D424" s="1114"/>
      <c r="E424" s="884" t="s">
        <v>186</v>
      </c>
      <c r="F424" s="883"/>
      <c r="G424" s="994"/>
      <c r="H424" s="165" t="s">
        <v>12</v>
      </c>
      <c r="I424" s="886"/>
      <c r="J424" s="886"/>
      <c r="K424" s="887"/>
      <c r="L424" s="887">
        <f ca="1">IFERROR(__xludf.DUMMYFUNCTION("IMPORTRANGE(""https://docs.google.com/spreadsheets/d/1QqKyyYR6Q21VydFLVH3TRQUabQu_ym0Zz7PgGX0-kHA/edit?usp=sharing"",""แผน!EY76"")"),78760)</f>
        <v>78760</v>
      </c>
      <c r="M424" s="887">
        <f ca="1">L424</f>
        <v>78760</v>
      </c>
      <c r="N424" s="887">
        <f>N425+N426+N427+N428</f>
        <v>28060</v>
      </c>
      <c r="O424" s="887">
        <f t="shared" ca="1" si="185"/>
        <v>35.627221940071102</v>
      </c>
      <c r="P424" s="887">
        <f t="shared" ca="1" si="186"/>
        <v>35.627221940071102</v>
      </c>
      <c r="Q424" s="875"/>
      <c r="R424" s="875"/>
      <c r="S424" s="875"/>
      <c r="T424" s="875"/>
      <c r="U424" s="875"/>
      <c r="V424" s="875"/>
      <c r="W424" s="875"/>
      <c r="X424" s="875"/>
      <c r="Y424" s="875"/>
      <c r="Z424" s="875"/>
    </row>
    <row r="425" spans="1:26" ht="18.75">
      <c r="A425" s="1299"/>
      <c r="B425" s="1300"/>
      <c r="C425" s="1301"/>
      <c r="D425" s="1301"/>
      <c r="E425" s="1301"/>
      <c r="F425" s="1301" t="s">
        <v>187</v>
      </c>
      <c r="G425" s="1016"/>
      <c r="H425" s="161" t="s">
        <v>12</v>
      </c>
      <c r="I425" s="880"/>
      <c r="J425" s="880"/>
      <c r="K425" s="881"/>
      <c r="L425" s="881"/>
      <c r="M425" s="881"/>
      <c r="N425" s="1085">
        <v>28060</v>
      </c>
      <c r="O425" s="881"/>
      <c r="P425" s="881"/>
      <c r="Q425" s="1302"/>
      <c r="R425" s="1302"/>
      <c r="S425" s="1302"/>
      <c r="T425" s="1302"/>
      <c r="U425" s="1302"/>
      <c r="V425" s="1302"/>
      <c r="W425" s="1302"/>
      <c r="X425" s="1302"/>
      <c r="Y425" s="1302"/>
      <c r="Z425" s="1302"/>
    </row>
    <row r="426" spans="1:26" ht="18.75">
      <c r="A426" s="1299"/>
      <c r="B426" s="1300"/>
      <c r="C426" s="1301"/>
      <c r="D426" s="1301"/>
      <c r="E426" s="1301"/>
      <c r="F426" s="1301" t="s">
        <v>188</v>
      </c>
      <c r="G426" s="1016"/>
      <c r="H426" s="161" t="s">
        <v>12</v>
      </c>
      <c r="I426" s="880"/>
      <c r="J426" s="880"/>
      <c r="K426" s="881"/>
      <c r="L426" s="881"/>
      <c r="M426" s="881"/>
      <c r="N426" s="1085">
        <v>0</v>
      </c>
      <c r="O426" s="881"/>
      <c r="P426" s="881"/>
      <c r="Q426" s="1302"/>
      <c r="R426" s="1302"/>
      <c r="S426" s="1302"/>
      <c r="T426" s="1302"/>
      <c r="U426" s="1302"/>
      <c r="V426" s="1302"/>
      <c r="W426" s="1302"/>
      <c r="X426" s="1302"/>
      <c r="Y426" s="1302"/>
      <c r="Z426" s="1302"/>
    </row>
    <row r="427" spans="1:26" ht="18.75">
      <c r="A427" s="1299"/>
      <c r="B427" s="1300"/>
      <c r="C427" s="1301"/>
      <c r="D427" s="1301"/>
      <c r="E427" s="1301"/>
      <c r="F427" s="1301" t="s">
        <v>189</v>
      </c>
      <c r="G427" s="1016"/>
      <c r="H427" s="161" t="s">
        <v>12</v>
      </c>
      <c r="I427" s="880"/>
      <c r="J427" s="880"/>
      <c r="K427" s="881"/>
      <c r="L427" s="881"/>
      <c r="M427" s="881"/>
      <c r="N427" s="1085">
        <v>0</v>
      </c>
      <c r="O427" s="881"/>
      <c r="P427" s="881"/>
      <c r="Q427" s="1302"/>
      <c r="R427" s="1302"/>
      <c r="S427" s="1302"/>
      <c r="T427" s="1302"/>
      <c r="U427" s="1302"/>
      <c r="V427" s="1302"/>
      <c r="W427" s="1302"/>
      <c r="X427" s="1302"/>
      <c r="Y427" s="1302"/>
      <c r="Z427" s="1302"/>
    </row>
    <row r="428" spans="1:26" ht="18.75">
      <c r="A428" s="1086"/>
      <c r="B428" s="1084"/>
      <c r="C428" s="877"/>
      <c r="D428" s="877"/>
      <c r="E428" s="877"/>
      <c r="F428" s="996" t="s">
        <v>190</v>
      </c>
      <c r="G428" s="1030"/>
      <c r="H428" s="161" t="s">
        <v>12</v>
      </c>
      <c r="I428" s="880"/>
      <c r="J428" s="880"/>
      <c r="K428" s="881"/>
      <c r="L428" s="881"/>
      <c r="M428" s="881"/>
      <c r="N428" s="1085">
        <v>0</v>
      </c>
      <c r="O428" s="881"/>
      <c r="P428" s="881"/>
      <c r="Q428" s="868"/>
      <c r="R428" s="868"/>
      <c r="S428" s="868"/>
      <c r="T428" s="868"/>
      <c r="U428" s="868"/>
      <c r="V428" s="868"/>
      <c r="W428" s="868"/>
      <c r="X428" s="868"/>
      <c r="Y428" s="868"/>
      <c r="Z428" s="868"/>
    </row>
    <row r="429" spans="1:26" ht="18.75">
      <c r="A429" s="995"/>
      <c r="B429" s="1084"/>
      <c r="C429" s="877"/>
      <c r="D429" s="878" t="s">
        <v>21</v>
      </c>
      <c r="E429" s="877"/>
      <c r="F429" s="877"/>
      <c r="G429" s="879"/>
      <c r="H429" s="168" t="s">
        <v>12</v>
      </c>
      <c r="I429" s="997"/>
      <c r="J429" s="997"/>
      <c r="K429" s="998"/>
      <c r="L429" s="881">
        <f t="shared" ref="L429:N429" ca="1" si="189">L430+L431</f>
        <v>0</v>
      </c>
      <c r="M429" s="881">
        <f t="shared" si="189"/>
        <v>0</v>
      </c>
      <c r="N429" s="881">
        <f t="shared" si="189"/>
        <v>0</v>
      </c>
      <c r="O429" s="881">
        <f t="shared" ref="O429:O431" ca="1" si="190">IF(L429&gt;0,N429*100/L429,0)</f>
        <v>0</v>
      </c>
      <c r="P429" s="881">
        <f t="shared" ref="P429:P431" si="191">IF(M429&gt;0,N429*100/M429,0)</f>
        <v>0</v>
      </c>
      <c r="Q429" s="868"/>
      <c r="R429" s="868"/>
      <c r="S429" s="868"/>
      <c r="T429" s="868"/>
      <c r="U429" s="868"/>
      <c r="V429" s="868"/>
      <c r="W429" s="868"/>
      <c r="X429" s="868"/>
      <c r="Y429" s="868"/>
      <c r="Z429" s="868"/>
    </row>
    <row r="430" spans="1:26" ht="18.75" hidden="1">
      <c r="A430" s="993"/>
      <c r="B430" s="1105"/>
      <c r="C430" s="883"/>
      <c r="D430" s="883"/>
      <c r="E430" s="884" t="s">
        <v>18</v>
      </c>
      <c r="F430" s="883"/>
      <c r="G430" s="885"/>
      <c r="H430" s="165" t="s">
        <v>12</v>
      </c>
      <c r="I430" s="1000"/>
      <c r="J430" s="1000"/>
      <c r="K430" s="1001"/>
      <c r="L430" s="887">
        <v>0</v>
      </c>
      <c r="M430" s="887">
        <v>0</v>
      </c>
      <c r="N430" s="887">
        <v>0</v>
      </c>
      <c r="O430" s="887">
        <f t="shared" si="190"/>
        <v>0</v>
      </c>
      <c r="P430" s="887">
        <f t="shared" si="191"/>
        <v>0</v>
      </c>
      <c r="Q430" s="875"/>
      <c r="R430" s="875"/>
      <c r="S430" s="875"/>
      <c r="T430" s="875"/>
      <c r="U430" s="875"/>
      <c r="V430" s="875"/>
      <c r="W430" s="875"/>
      <c r="X430" s="875"/>
      <c r="Y430" s="875"/>
      <c r="Z430" s="875"/>
    </row>
    <row r="431" spans="1:26" ht="18.75" hidden="1">
      <c r="A431" s="993"/>
      <c r="B431" s="1105"/>
      <c r="C431" s="883"/>
      <c r="D431" s="883"/>
      <c r="E431" s="884" t="s">
        <v>19</v>
      </c>
      <c r="F431" s="883"/>
      <c r="G431" s="885"/>
      <c r="H431" s="169" t="s">
        <v>12</v>
      </c>
      <c r="I431" s="1000"/>
      <c r="J431" s="1000"/>
      <c r="K431" s="1001"/>
      <c r="L431" s="887">
        <f ca="1">IFERROR(__xludf.DUMMYFUNCTION("IMPORTRANGE(""https://docs.google.com/spreadsheets/d/1QqKyyYR6Q21VydFLVH3TRQUabQu_ym0Zz7PgGX0-kHA/edit?usp=sharing"",""แผน!FB76"")"),0)</f>
        <v>0</v>
      </c>
      <c r="M431" s="887">
        <v>0</v>
      </c>
      <c r="N431" s="887">
        <v>0</v>
      </c>
      <c r="O431" s="887">
        <f t="shared" ca="1" si="190"/>
        <v>0</v>
      </c>
      <c r="P431" s="887">
        <f t="shared" si="191"/>
        <v>0</v>
      </c>
      <c r="Q431" s="875"/>
      <c r="R431" s="875"/>
      <c r="S431" s="875"/>
      <c r="T431" s="875"/>
      <c r="U431" s="875"/>
      <c r="V431" s="875"/>
      <c r="W431" s="875"/>
      <c r="X431" s="875"/>
      <c r="Y431" s="875"/>
      <c r="Z431" s="875"/>
    </row>
    <row r="432" spans="1:26" ht="19.5">
      <c r="A432" s="1165"/>
      <c r="B432" s="1166"/>
      <c r="C432" s="986" t="s">
        <v>16</v>
      </c>
      <c r="D432" s="1303" t="s">
        <v>38</v>
      </c>
      <c r="E432" s="1304"/>
      <c r="F432" s="1304"/>
      <c r="G432" s="1305"/>
      <c r="H432" s="1306"/>
      <c r="I432" s="990"/>
      <c r="J432" s="990"/>
      <c r="K432" s="991"/>
      <c r="L432" s="991"/>
      <c r="M432" s="991"/>
      <c r="N432" s="991"/>
      <c r="O432" s="991"/>
      <c r="P432" s="991"/>
      <c r="Q432" s="868"/>
      <c r="R432" s="868"/>
      <c r="S432" s="868"/>
      <c r="T432" s="868"/>
      <c r="U432" s="868"/>
      <c r="V432" s="868"/>
      <c r="W432" s="868"/>
      <c r="X432" s="868"/>
      <c r="Y432" s="868"/>
      <c r="Z432" s="868"/>
    </row>
    <row r="433" spans="1:26" ht="19.5">
      <c r="A433" s="1002"/>
      <c r="B433" s="1003"/>
      <c r="C433" s="1003"/>
      <c r="D433" s="1013" t="s">
        <v>191</v>
      </c>
      <c r="E433" s="1010"/>
      <c r="F433" s="1010"/>
      <c r="G433" s="1011"/>
      <c r="H433" s="196" t="s">
        <v>35</v>
      </c>
      <c r="I433" s="1019">
        <f ca="1">I435</f>
        <v>20</v>
      </c>
      <c r="J433" s="1019">
        <f ca="1">IF(AND(J435=I435,J437=I437,J439=I439),I437+I439,IF(AND(J435=I437,J437=I437),I437,IF(AND(J435=I439,J439=I439),I439,0)))</f>
        <v>20</v>
      </c>
      <c r="K433" s="1020">
        <f t="shared" ref="K433:K435" ca="1" si="192">IF(I433&gt;0,J433*100/I433,0)</f>
        <v>100</v>
      </c>
      <c r="L433" s="881"/>
      <c r="M433" s="881"/>
      <c r="N433" s="881"/>
      <c r="O433" s="881"/>
      <c r="P433" s="881"/>
      <c r="Q433" s="868"/>
      <c r="R433" s="868"/>
      <c r="S433" s="868"/>
      <c r="T433" s="868"/>
      <c r="U433" s="868"/>
      <c r="V433" s="868"/>
      <c r="W433" s="868"/>
      <c r="X433" s="868"/>
      <c r="Y433" s="868"/>
      <c r="Z433" s="868"/>
    </row>
    <row r="434" spans="1:26" ht="19.5">
      <c r="A434" s="1002"/>
      <c r="B434" s="1003"/>
      <c r="C434" s="1003"/>
      <c r="D434" s="1013" t="s">
        <v>192</v>
      </c>
      <c r="E434" s="1010"/>
      <c r="F434" s="1010"/>
      <c r="G434" s="1011"/>
      <c r="H434" s="196" t="s">
        <v>49</v>
      </c>
      <c r="I434" s="1019">
        <f t="shared" ref="I434:J434" ca="1" si="193">I438+I440</f>
        <v>1</v>
      </c>
      <c r="J434" s="1019">
        <f t="shared" si="193"/>
        <v>1</v>
      </c>
      <c r="K434" s="1020">
        <f t="shared" ca="1" si="192"/>
        <v>100</v>
      </c>
      <c r="L434" s="881"/>
      <c r="M434" s="881"/>
      <c r="N434" s="881"/>
      <c r="O434" s="881"/>
      <c r="P434" s="881"/>
      <c r="Q434" s="868"/>
      <c r="R434" s="868"/>
      <c r="S434" s="868"/>
      <c r="T434" s="868"/>
      <c r="U434" s="868"/>
      <c r="V434" s="868"/>
      <c r="W434" s="868"/>
      <c r="X434" s="868"/>
      <c r="Y434" s="868"/>
      <c r="Z434" s="868"/>
    </row>
    <row r="435" spans="1:26" ht="18.75">
      <c r="A435" s="1002"/>
      <c r="B435" s="1003"/>
      <c r="C435" s="1003"/>
      <c r="D435" s="1009" t="s">
        <v>193</v>
      </c>
      <c r="E435" s="1010"/>
      <c r="F435" s="1010"/>
      <c r="G435" s="1011"/>
      <c r="H435" s="622" t="s">
        <v>35</v>
      </c>
      <c r="I435" s="582">
        <f ca="1">IFERROR(__xludf.DUMMYFUNCTION("IMPORTRANGE(""https://docs.google.com/spreadsheets/d/1QqKyyYR6Q21VydFLVH3TRQUabQu_ym0Zz7PgGX0-kHA/edit?usp=sharing"",""แผน!FC76"")"),20)</f>
        <v>20</v>
      </c>
      <c r="J435" s="583">
        <v>20</v>
      </c>
      <c r="K435" s="881">
        <f t="shared" ca="1" si="192"/>
        <v>100</v>
      </c>
      <c r="L435" s="881"/>
      <c r="M435" s="881"/>
      <c r="N435" s="881"/>
      <c r="O435" s="881"/>
      <c r="P435" s="881"/>
      <c r="Q435" s="868"/>
      <c r="R435" s="868"/>
      <c r="S435" s="868"/>
      <c r="T435" s="868"/>
      <c r="U435" s="868"/>
      <c r="V435" s="868"/>
      <c r="W435" s="868"/>
      <c r="X435" s="868"/>
      <c r="Y435" s="868"/>
      <c r="Z435" s="868"/>
    </row>
    <row r="436" spans="1:26" ht="18.75">
      <c r="A436" s="1002"/>
      <c r="B436" s="1003"/>
      <c r="C436" s="1003"/>
      <c r="D436" s="1009" t="s">
        <v>194</v>
      </c>
      <c r="E436" s="1010"/>
      <c r="F436" s="1010"/>
      <c r="G436" s="1011"/>
      <c r="H436" s="622"/>
      <c r="I436" s="880"/>
      <c r="J436" s="880"/>
      <c r="K436" s="881"/>
      <c r="L436" s="881"/>
      <c r="M436" s="881"/>
      <c r="N436" s="881"/>
      <c r="O436" s="881"/>
      <c r="P436" s="881"/>
      <c r="Q436" s="868"/>
      <c r="R436" s="868"/>
      <c r="S436" s="868"/>
      <c r="T436" s="868"/>
      <c r="U436" s="868"/>
      <c r="V436" s="868"/>
      <c r="W436" s="868"/>
      <c r="X436" s="868"/>
      <c r="Y436" s="868"/>
      <c r="Z436" s="868"/>
    </row>
    <row r="437" spans="1:26" ht="18.75">
      <c r="A437" s="1002"/>
      <c r="B437" s="1003"/>
      <c r="C437" s="1003"/>
      <c r="D437" s="1009" t="s">
        <v>195</v>
      </c>
      <c r="E437" s="1010"/>
      <c r="F437" s="1010"/>
      <c r="G437" s="1011"/>
      <c r="H437" s="622" t="s">
        <v>35</v>
      </c>
      <c r="I437" s="582">
        <f ca="1">IFERROR(__xludf.DUMMYFUNCTION("IMPORTRANGE(""https://docs.google.com/spreadsheets/d/1QqKyyYR6Q21VydFLVH3TRQUabQu_ym0Zz7PgGX0-kHA/edit?usp=sharing"",""แผน!FD76"")"),0)</f>
        <v>0</v>
      </c>
      <c r="J437" s="583">
        <v>0</v>
      </c>
      <c r="K437" s="881">
        <f t="shared" ref="K437:K443" ca="1" si="194">IF(I437&gt;0,J437*100/I437,0)</f>
        <v>0</v>
      </c>
      <c r="L437" s="881"/>
      <c r="M437" s="881"/>
      <c r="N437" s="881"/>
      <c r="O437" s="881"/>
      <c r="P437" s="881"/>
      <c r="Q437" s="868"/>
      <c r="R437" s="868"/>
      <c r="S437" s="868"/>
      <c r="T437" s="868"/>
      <c r="U437" s="868"/>
      <c r="V437" s="868"/>
      <c r="W437" s="868"/>
      <c r="X437" s="868"/>
      <c r="Y437" s="868"/>
      <c r="Z437" s="868"/>
    </row>
    <row r="438" spans="1:26" ht="18.75">
      <c r="A438" s="1002"/>
      <c r="B438" s="1003"/>
      <c r="C438" s="1003"/>
      <c r="D438" s="1009" t="s">
        <v>196</v>
      </c>
      <c r="E438" s="1010"/>
      <c r="F438" s="1010"/>
      <c r="G438" s="1011"/>
      <c r="H438" s="622" t="s">
        <v>49</v>
      </c>
      <c r="I438" s="880">
        <f ca="1">IFERROR(__xludf.DUMMYFUNCTION("IMPORTRANGE(""https://docs.google.com/spreadsheets/d/1QqKyyYR6Q21VydFLVH3TRQUabQu_ym0Zz7PgGX0-kHA/edit?usp=sharing"",""แผน!FE76"")"),0)</f>
        <v>0</v>
      </c>
      <c r="J438" s="1012">
        <v>0</v>
      </c>
      <c r="K438" s="881">
        <f t="shared" ca="1" si="194"/>
        <v>0</v>
      </c>
      <c r="L438" s="881"/>
      <c r="M438" s="881"/>
      <c r="N438" s="881"/>
      <c r="O438" s="881"/>
      <c r="P438" s="881"/>
      <c r="Q438" s="868"/>
      <c r="R438" s="868"/>
      <c r="S438" s="868"/>
      <c r="T438" s="868"/>
      <c r="U438" s="868"/>
      <c r="V438" s="868"/>
      <c r="W438" s="868"/>
      <c r="X438" s="868"/>
      <c r="Y438" s="868"/>
      <c r="Z438" s="868"/>
    </row>
    <row r="439" spans="1:26" ht="18.75">
      <c r="A439" s="1002"/>
      <c r="B439" s="1003"/>
      <c r="C439" s="1003"/>
      <c r="D439" s="1009" t="s">
        <v>197</v>
      </c>
      <c r="E439" s="1010"/>
      <c r="F439" s="1010"/>
      <c r="G439" s="1011"/>
      <c r="H439" s="622" t="s">
        <v>35</v>
      </c>
      <c r="I439" s="582">
        <f ca="1">IFERROR(__xludf.DUMMYFUNCTION("IMPORTRANGE(""https://docs.google.com/spreadsheets/d/1QqKyyYR6Q21VydFLVH3TRQUabQu_ym0Zz7PgGX0-kHA/edit?usp=sharing"",""แผน!FF76"")"),20)</f>
        <v>20</v>
      </c>
      <c r="J439" s="583">
        <v>20</v>
      </c>
      <c r="K439" s="881">
        <f t="shared" ca="1" si="194"/>
        <v>100</v>
      </c>
      <c r="L439" s="881"/>
      <c r="M439" s="881"/>
      <c r="N439" s="881"/>
      <c r="O439" s="881"/>
      <c r="P439" s="881"/>
      <c r="Q439" s="868"/>
      <c r="R439" s="868"/>
      <c r="S439" s="868"/>
      <c r="T439" s="868"/>
      <c r="U439" s="868"/>
      <c r="V439" s="868"/>
      <c r="W439" s="868"/>
      <c r="X439" s="868"/>
      <c r="Y439" s="868"/>
      <c r="Z439" s="868"/>
    </row>
    <row r="440" spans="1:26" ht="18.75">
      <c r="A440" s="1002"/>
      <c r="B440" s="1003"/>
      <c r="C440" s="1003"/>
      <c r="D440" s="1009" t="s">
        <v>198</v>
      </c>
      <c r="E440" s="1010"/>
      <c r="F440" s="1010"/>
      <c r="G440" s="1011"/>
      <c r="H440" s="622" t="s">
        <v>49</v>
      </c>
      <c r="I440" s="880">
        <f ca="1">IFERROR(__xludf.DUMMYFUNCTION("IMPORTRANGE(""https://docs.google.com/spreadsheets/d/1QqKyyYR6Q21VydFLVH3TRQUabQu_ym0Zz7PgGX0-kHA/edit?usp=sharing"",""แผน!FG76"")"),1)</f>
        <v>1</v>
      </c>
      <c r="J440" s="1012">
        <v>1</v>
      </c>
      <c r="K440" s="881">
        <f t="shared" ca="1" si="194"/>
        <v>100</v>
      </c>
      <c r="L440" s="881"/>
      <c r="M440" s="881"/>
      <c r="N440" s="881"/>
      <c r="O440" s="881"/>
      <c r="P440" s="881"/>
      <c r="Q440" s="868"/>
      <c r="R440" s="868"/>
      <c r="S440" s="868"/>
      <c r="T440" s="868"/>
      <c r="U440" s="868"/>
      <c r="V440" s="868"/>
      <c r="W440" s="868"/>
      <c r="X440" s="868"/>
      <c r="Y440" s="868"/>
      <c r="Z440" s="868"/>
    </row>
    <row r="441" spans="1:26" ht="18.75">
      <c r="A441" s="1002"/>
      <c r="B441" s="1003"/>
      <c r="C441" s="1003"/>
      <c r="D441" s="1009" t="s">
        <v>199</v>
      </c>
      <c r="E441" s="1010"/>
      <c r="F441" s="1010"/>
      <c r="G441" s="1011"/>
      <c r="H441" s="622" t="s">
        <v>35</v>
      </c>
      <c r="I441" s="880">
        <f ca="1">IFERROR(__xludf.DUMMYFUNCTION("IMPORTRANGE(""https://docs.google.com/spreadsheets/d/1QqKyyYR6Q21VydFLVH3TRQUabQu_ym0Zz7PgGX0-kHA/edit?usp=sharing"",""แผน!FH76"")"),0)</f>
        <v>0</v>
      </c>
      <c r="J441" s="880">
        <v>0</v>
      </c>
      <c r="K441" s="881">
        <f t="shared" ca="1" si="194"/>
        <v>0</v>
      </c>
      <c r="L441" s="881"/>
      <c r="M441" s="881"/>
      <c r="N441" s="881"/>
      <c r="O441" s="881"/>
      <c r="P441" s="881"/>
      <c r="Q441" s="868"/>
      <c r="R441" s="868"/>
      <c r="S441" s="868"/>
      <c r="T441" s="868"/>
      <c r="U441" s="868"/>
      <c r="V441" s="868"/>
      <c r="W441" s="868"/>
      <c r="X441" s="868"/>
      <c r="Y441" s="868"/>
      <c r="Z441" s="868"/>
    </row>
    <row r="442" spans="1:26" ht="19.5">
      <c r="A442" s="584">
        <v>2</v>
      </c>
      <c r="B442" s="1307" t="s">
        <v>200</v>
      </c>
      <c r="C442" s="1308"/>
      <c r="D442" s="1308"/>
      <c r="E442" s="1308"/>
      <c r="F442" s="1308"/>
      <c r="G442" s="1309"/>
      <c r="H442" s="588" t="s">
        <v>35</v>
      </c>
      <c r="I442" s="1310">
        <f t="shared" ref="I442:J442" ca="1" si="195">I460</f>
        <v>45</v>
      </c>
      <c r="J442" s="1310">
        <f t="shared" si="195"/>
        <v>45</v>
      </c>
      <c r="K442" s="1311">
        <f t="shared" ca="1" si="194"/>
        <v>100</v>
      </c>
      <c r="L442" s="1312"/>
      <c r="M442" s="1312"/>
      <c r="N442" s="1312"/>
      <c r="O442" s="1312"/>
      <c r="P442" s="1312"/>
      <c r="Q442" s="1302"/>
      <c r="R442" s="1302"/>
      <c r="S442" s="1302"/>
      <c r="T442" s="1302"/>
      <c r="U442" s="1302"/>
      <c r="V442" s="1302"/>
      <c r="W442" s="1302"/>
      <c r="X442" s="1302"/>
      <c r="Y442" s="1302"/>
      <c r="Z442" s="1302"/>
    </row>
    <row r="443" spans="1:26" ht="19.5">
      <c r="A443" s="1313"/>
      <c r="B443" s="1314"/>
      <c r="C443" s="1315"/>
      <c r="D443" s="1315"/>
      <c r="E443" s="1315"/>
      <c r="F443" s="1315"/>
      <c r="G443" s="1316"/>
      <c r="H443" s="568" t="s">
        <v>46</v>
      </c>
      <c r="I443" s="1294">
        <f t="shared" ref="I443:J443" ca="1" si="196">I462</f>
        <v>200</v>
      </c>
      <c r="J443" s="1294">
        <f t="shared" si="196"/>
        <v>150</v>
      </c>
      <c r="K443" s="1295">
        <f t="shared" ca="1" si="194"/>
        <v>75</v>
      </c>
      <c r="L443" s="1296"/>
      <c r="M443" s="1296"/>
      <c r="N443" s="1296"/>
      <c r="O443" s="1296"/>
      <c r="P443" s="1296"/>
      <c r="Q443" s="1302"/>
      <c r="R443" s="1302"/>
      <c r="S443" s="1302"/>
      <c r="T443" s="1302"/>
      <c r="U443" s="1302"/>
      <c r="V443" s="1302"/>
      <c r="W443" s="1302"/>
      <c r="X443" s="1302"/>
      <c r="Y443" s="1302"/>
      <c r="Z443" s="1302"/>
    </row>
    <row r="444" spans="1:26" ht="19.5">
      <c r="A444" s="1317"/>
      <c r="B444" s="1301"/>
      <c r="C444" s="1301" t="s">
        <v>16</v>
      </c>
      <c r="D444" s="1318" t="s">
        <v>17</v>
      </c>
      <c r="E444" s="841"/>
      <c r="F444" s="841"/>
      <c r="G444" s="1016"/>
      <c r="H444" s="597" t="s">
        <v>12</v>
      </c>
      <c r="I444" s="880"/>
      <c r="J444" s="880"/>
      <c r="K444" s="881"/>
      <c r="L444" s="1020">
        <f t="shared" ref="L444:N444" ca="1" si="197">L445+L446</f>
        <v>428280</v>
      </c>
      <c r="M444" s="1020">
        <f t="shared" ca="1" si="197"/>
        <v>428280</v>
      </c>
      <c r="N444" s="1020">
        <f t="shared" si="197"/>
        <v>106774</v>
      </c>
      <c r="O444" s="1020">
        <f t="shared" ref="O444:O449" ca="1" si="198">IF(L444&gt;0,N444*100/L444,0)</f>
        <v>24.930886336041841</v>
      </c>
      <c r="P444" s="1020">
        <f t="shared" ref="P444:P449" ca="1" si="199">IF(M444&gt;0,N444*100/M444,0)</f>
        <v>24.930886336041841</v>
      </c>
      <c r="Q444" s="1302"/>
      <c r="R444" s="1302"/>
      <c r="S444" s="1302"/>
      <c r="T444" s="1302"/>
      <c r="U444" s="1302"/>
      <c r="V444" s="1302"/>
      <c r="W444" s="1302"/>
      <c r="X444" s="1302"/>
      <c r="Y444" s="1302"/>
      <c r="Z444" s="1302"/>
    </row>
    <row r="445" spans="1:26" ht="18.75" hidden="1">
      <c r="A445" s="1319"/>
      <c r="B445" s="1320"/>
      <c r="C445" s="1320"/>
      <c r="D445" s="1321"/>
      <c r="E445" s="1320" t="s">
        <v>185</v>
      </c>
      <c r="F445" s="1320"/>
      <c r="G445" s="1322"/>
      <c r="H445" s="165" t="s">
        <v>12</v>
      </c>
      <c r="I445" s="886"/>
      <c r="J445" s="886"/>
      <c r="K445" s="887"/>
      <c r="L445" s="887">
        <f t="shared" ref="L445:N446" si="200">L448+L455</f>
        <v>0</v>
      </c>
      <c r="M445" s="887">
        <f t="shared" si="200"/>
        <v>0</v>
      </c>
      <c r="N445" s="887">
        <f t="shared" si="200"/>
        <v>0</v>
      </c>
      <c r="O445" s="887">
        <f t="shared" si="198"/>
        <v>0</v>
      </c>
      <c r="P445" s="887">
        <f t="shared" si="199"/>
        <v>0</v>
      </c>
      <c r="Q445" s="1323"/>
      <c r="R445" s="1323"/>
      <c r="S445" s="1323"/>
      <c r="T445" s="1323"/>
      <c r="U445" s="1323"/>
      <c r="V445" s="1323"/>
      <c r="W445" s="1323"/>
      <c r="X445" s="1323"/>
      <c r="Y445" s="1323"/>
      <c r="Z445" s="1323"/>
    </row>
    <row r="446" spans="1:26" ht="18.75" hidden="1">
      <c r="A446" s="1319"/>
      <c r="B446" s="1324"/>
      <c r="C446" s="1320"/>
      <c r="D446" s="1321"/>
      <c r="E446" s="1320" t="s">
        <v>186</v>
      </c>
      <c r="F446" s="1320"/>
      <c r="G446" s="1322"/>
      <c r="H446" s="165" t="s">
        <v>12</v>
      </c>
      <c r="I446" s="886"/>
      <c r="J446" s="886"/>
      <c r="K446" s="887"/>
      <c r="L446" s="887">
        <f t="shared" ca="1" si="200"/>
        <v>428280</v>
      </c>
      <c r="M446" s="887">
        <f t="shared" ca="1" si="200"/>
        <v>428280</v>
      </c>
      <c r="N446" s="887">
        <f t="shared" si="200"/>
        <v>106774</v>
      </c>
      <c r="O446" s="887">
        <f t="shared" ca="1" si="198"/>
        <v>24.930886336041841</v>
      </c>
      <c r="P446" s="887">
        <f t="shared" ca="1" si="199"/>
        <v>24.930886336041841</v>
      </c>
      <c r="Q446" s="1323"/>
      <c r="R446" s="1323"/>
      <c r="S446" s="1323"/>
      <c r="T446" s="1323"/>
      <c r="U446" s="1323"/>
      <c r="V446" s="1323"/>
      <c r="W446" s="1323"/>
      <c r="X446" s="1323"/>
      <c r="Y446" s="1323"/>
      <c r="Z446" s="1323"/>
    </row>
    <row r="447" spans="1:26" ht="18.75">
      <c r="A447" s="1317"/>
      <c r="B447" s="1300"/>
      <c r="C447" s="1301"/>
      <c r="D447" s="1325" t="s">
        <v>20</v>
      </c>
      <c r="E447" s="1301"/>
      <c r="F447" s="1301"/>
      <c r="G447" s="1016"/>
      <c r="H447" s="161" t="s">
        <v>12</v>
      </c>
      <c r="I447" s="997"/>
      <c r="J447" s="997"/>
      <c r="K447" s="998"/>
      <c r="L447" s="881">
        <f t="shared" ref="L447:N447" ca="1" si="201">L448+L449</f>
        <v>428280</v>
      </c>
      <c r="M447" s="881">
        <f t="shared" ca="1" si="201"/>
        <v>428280</v>
      </c>
      <c r="N447" s="881">
        <f t="shared" si="201"/>
        <v>106774</v>
      </c>
      <c r="O447" s="881">
        <f t="shared" ca="1" si="198"/>
        <v>24.930886336041841</v>
      </c>
      <c r="P447" s="881">
        <f t="shared" ca="1" si="199"/>
        <v>24.930886336041841</v>
      </c>
      <c r="Q447" s="1302"/>
      <c r="R447" s="1302"/>
      <c r="S447" s="1302"/>
      <c r="T447" s="1302"/>
      <c r="U447" s="1302"/>
      <c r="V447" s="1302"/>
      <c r="W447" s="1302"/>
      <c r="X447" s="1302"/>
      <c r="Y447" s="1302"/>
      <c r="Z447" s="1302"/>
    </row>
    <row r="448" spans="1:26" ht="18.75" hidden="1">
      <c r="A448" s="1319"/>
      <c r="B448" s="1324"/>
      <c r="C448" s="1320"/>
      <c r="D448" s="1321"/>
      <c r="E448" s="1320" t="s">
        <v>185</v>
      </c>
      <c r="F448" s="1320"/>
      <c r="G448" s="1322"/>
      <c r="H448" s="165" t="s">
        <v>12</v>
      </c>
      <c r="I448" s="886"/>
      <c r="J448" s="886"/>
      <c r="K448" s="887"/>
      <c r="L448" s="887">
        <v>0</v>
      </c>
      <c r="M448" s="887">
        <v>0</v>
      </c>
      <c r="N448" s="887">
        <v>0</v>
      </c>
      <c r="O448" s="887">
        <f t="shared" si="198"/>
        <v>0</v>
      </c>
      <c r="P448" s="887">
        <f t="shared" si="199"/>
        <v>0</v>
      </c>
      <c r="Q448" s="1323"/>
      <c r="R448" s="1323"/>
      <c r="S448" s="1323"/>
      <c r="T448" s="1323"/>
      <c r="U448" s="1323"/>
      <c r="V448" s="1323"/>
      <c r="W448" s="1323"/>
      <c r="X448" s="1323"/>
      <c r="Y448" s="1323"/>
      <c r="Z448" s="1323"/>
    </row>
    <row r="449" spans="1:26" ht="18.75" hidden="1">
      <c r="A449" s="1319"/>
      <c r="B449" s="1324"/>
      <c r="C449" s="1320"/>
      <c r="D449" s="1321"/>
      <c r="E449" s="1320" t="s">
        <v>186</v>
      </c>
      <c r="F449" s="1320"/>
      <c r="G449" s="1322"/>
      <c r="H449" s="165" t="s">
        <v>12</v>
      </c>
      <c r="I449" s="886"/>
      <c r="J449" s="886"/>
      <c r="K449" s="887"/>
      <c r="L449" s="887">
        <f ca="1">IFERROR(__xludf.DUMMYFUNCTION("IMPORTRANGE(""https://docs.google.com/spreadsheets/d/1QqKyyYR6Q21VydFLVH3TRQUabQu_ym0Zz7PgGX0-kHA/edit?usp=sharing"",""แผน!FJ76"")"),428280)</f>
        <v>428280</v>
      </c>
      <c r="M449" s="887">
        <f ca="1">L449</f>
        <v>428280</v>
      </c>
      <c r="N449" s="887">
        <f>N450+N451+N452+N453</f>
        <v>106774</v>
      </c>
      <c r="O449" s="887">
        <f t="shared" ca="1" si="198"/>
        <v>24.930886336041841</v>
      </c>
      <c r="P449" s="887">
        <f t="shared" ca="1" si="199"/>
        <v>24.930886336041841</v>
      </c>
      <c r="Q449" s="1323"/>
      <c r="R449" s="1323"/>
      <c r="S449" s="1323"/>
      <c r="T449" s="1323"/>
      <c r="U449" s="1323"/>
      <c r="V449" s="1323"/>
      <c r="W449" s="1323"/>
      <c r="X449" s="1323"/>
      <c r="Y449" s="1323"/>
      <c r="Z449" s="1323"/>
    </row>
    <row r="450" spans="1:26" ht="18.75">
      <c r="A450" s="1299"/>
      <c r="B450" s="1300"/>
      <c r="C450" s="1301"/>
      <c r="D450" s="1301"/>
      <c r="E450" s="1301"/>
      <c r="F450" s="1301" t="s">
        <v>187</v>
      </c>
      <c r="G450" s="1016"/>
      <c r="H450" s="161" t="s">
        <v>12</v>
      </c>
      <c r="I450" s="880"/>
      <c r="J450" s="880"/>
      <c r="K450" s="881"/>
      <c r="L450" s="881"/>
      <c r="M450" s="881"/>
      <c r="N450" s="1085">
        <v>52280</v>
      </c>
      <c r="O450" s="881"/>
      <c r="P450" s="881"/>
      <c r="Q450" s="1302"/>
      <c r="R450" s="1302"/>
      <c r="S450" s="1302"/>
      <c r="T450" s="1302"/>
      <c r="U450" s="1302"/>
      <c r="V450" s="1302"/>
      <c r="W450" s="1302"/>
      <c r="X450" s="1302"/>
      <c r="Y450" s="1302"/>
      <c r="Z450" s="1302"/>
    </row>
    <row r="451" spans="1:26" ht="18.75">
      <c r="A451" s="1299"/>
      <c r="B451" s="1300"/>
      <c r="C451" s="1301"/>
      <c r="D451" s="1301"/>
      <c r="E451" s="1301"/>
      <c r="F451" s="1301" t="s">
        <v>188</v>
      </c>
      <c r="G451" s="1016"/>
      <c r="H451" s="161" t="s">
        <v>12</v>
      </c>
      <c r="I451" s="880"/>
      <c r="J451" s="880"/>
      <c r="K451" s="881"/>
      <c r="L451" s="881"/>
      <c r="M451" s="881"/>
      <c r="N451" s="1085">
        <v>0</v>
      </c>
      <c r="O451" s="881"/>
      <c r="P451" s="881"/>
      <c r="Q451" s="1302"/>
      <c r="R451" s="1302"/>
      <c r="S451" s="1302"/>
      <c r="T451" s="1302"/>
      <c r="U451" s="1302"/>
      <c r="V451" s="1302"/>
      <c r="W451" s="1302"/>
      <c r="X451" s="1302"/>
      <c r="Y451" s="1302"/>
      <c r="Z451" s="1302"/>
    </row>
    <row r="452" spans="1:26" ht="18.75">
      <c r="A452" s="1299"/>
      <c r="B452" s="1300"/>
      <c r="C452" s="1300"/>
      <c r="D452" s="1300"/>
      <c r="E452" s="1300"/>
      <c r="F452" s="1301" t="s">
        <v>189</v>
      </c>
      <c r="G452" s="1016"/>
      <c r="H452" s="161" t="s">
        <v>12</v>
      </c>
      <c r="I452" s="880"/>
      <c r="J452" s="880"/>
      <c r="K452" s="881"/>
      <c r="L452" s="881"/>
      <c r="M452" s="881"/>
      <c r="N452" s="1085">
        <v>51134</v>
      </c>
      <c r="O452" s="881"/>
      <c r="P452" s="881"/>
      <c r="Q452" s="1302"/>
      <c r="R452" s="1302"/>
      <c r="S452" s="1302"/>
      <c r="T452" s="1302"/>
      <c r="U452" s="1302"/>
      <c r="V452" s="1302"/>
      <c r="W452" s="1302"/>
      <c r="X452" s="1302"/>
      <c r="Y452" s="1302"/>
      <c r="Z452" s="1302"/>
    </row>
    <row r="453" spans="1:26" ht="18.75">
      <c r="A453" s="1299"/>
      <c r="B453" s="1300"/>
      <c r="C453" s="1300"/>
      <c r="D453" s="1300"/>
      <c r="E453" s="1300"/>
      <c r="F453" s="1301" t="s">
        <v>190</v>
      </c>
      <c r="G453" s="1016"/>
      <c r="H453" s="161" t="s">
        <v>12</v>
      </c>
      <c r="I453" s="880"/>
      <c r="J453" s="880"/>
      <c r="K453" s="881"/>
      <c r="L453" s="881"/>
      <c r="M453" s="881"/>
      <c r="N453" s="1085">
        <v>3360</v>
      </c>
      <c r="O453" s="881"/>
      <c r="P453" s="881"/>
      <c r="Q453" s="1302"/>
      <c r="R453" s="1302"/>
      <c r="S453" s="1302"/>
      <c r="T453" s="1302"/>
      <c r="U453" s="1302"/>
      <c r="V453" s="1302"/>
      <c r="W453" s="1302"/>
      <c r="X453" s="1302"/>
      <c r="Y453" s="1302"/>
      <c r="Z453" s="1302"/>
    </row>
    <row r="454" spans="1:26" ht="18.75">
      <c r="A454" s="1317"/>
      <c r="B454" s="1300"/>
      <c r="C454" s="1300"/>
      <c r="D454" s="1325" t="s">
        <v>21</v>
      </c>
      <c r="E454" s="1300"/>
      <c r="F454" s="1301"/>
      <c r="G454" s="1016"/>
      <c r="H454" s="168" t="s">
        <v>12</v>
      </c>
      <c r="I454" s="997"/>
      <c r="J454" s="997"/>
      <c r="K454" s="998"/>
      <c r="L454" s="881">
        <f t="shared" ref="L454:N454" ca="1" si="202">L455+L456</f>
        <v>0</v>
      </c>
      <c r="M454" s="881">
        <f t="shared" si="202"/>
        <v>0</v>
      </c>
      <c r="N454" s="881">
        <f t="shared" si="202"/>
        <v>0</v>
      </c>
      <c r="O454" s="881">
        <f t="shared" ref="O454:O456" ca="1" si="203">IF(L454&gt;0,N454*100/L454,0)</f>
        <v>0</v>
      </c>
      <c r="P454" s="881">
        <f t="shared" ref="P454:P456" si="204">IF(M454&gt;0,N454*100/M454,0)</f>
        <v>0</v>
      </c>
      <c r="Q454" s="1302"/>
      <c r="R454" s="1302"/>
      <c r="S454" s="1302"/>
      <c r="T454" s="1302"/>
      <c r="U454" s="1302"/>
      <c r="V454" s="1302"/>
      <c r="W454" s="1302"/>
      <c r="X454" s="1302"/>
      <c r="Y454" s="1302"/>
      <c r="Z454" s="1302"/>
    </row>
    <row r="455" spans="1:26" ht="18.75" hidden="1">
      <c r="A455" s="1319"/>
      <c r="B455" s="1324"/>
      <c r="C455" s="1324"/>
      <c r="D455" s="1324"/>
      <c r="E455" s="1324" t="s">
        <v>18</v>
      </c>
      <c r="F455" s="1320"/>
      <c r="G455" s="1322"/>
      <c r="H455" s="165" t="s">
        <v>12</v>
      </c>
      <c r="I455" s="1000"/>
      <c r="J455" s="1000"/>
      <c r="K455" s="1001"/>
      <c r="L455" s="887">
        <v>0</v>
      </c>
      <c r="M455" s="887">
        <v>0</v>
      </c>
      <c r="N455" s="887">
        <v>0</v>
      </c>
      <c r="O455" s="887">
        <f t="shared" si="203"/>
        <v>0</v>
      </c>
      <c r="P455" s="887">
        <f t="shared" si="204"/>
        <v>0</v>
      </c>
      <c r="Q455" s="1323"/>
      <c r="R455" s="1323"/>
      <c r="S455" s="1323"/>
      <c r="T455" s="1323"/>
      <c r="U455" s="1323"/>
      <c r="V455" s="1323"/>
      <c r="W455" s="1323"/>
      <c r="X455" s="1323"/>
      <c r="Y455" s="1323"/>
      <c r="Z455" s="1323"/>
    </row>
    <row r="456" spans="1:26" ht="18.75" hidden="1">
      <c r="A456" s="1319"/>
      <c r="B456" s="1324"/>
      <c r="C456" s="1324"/>
      <c r="D456" s="1324"/>
      <c r="E456" s="1324" t="s">
        <v>19</v>
      </c>
      <c r="F456" s="1320"/>
      <c r="G456" s="1322"/>
      <c r="H456" s="169" t="s">
        <v>12</v>
      </c>
      <c r="I456" s="1000"/>
      <c r="J456" s="1000"/>
      <c r="K456" s="1001"/>
      <c r="L456" s="887">
        <f ca="1">IFERROR(__xludf.DUMMYFUNCTION("IMPORTRANGE(""https://docs.google.com/spreadsheets/d/1QqKyyYR6Q21VydFLVH3TRQUabQu_ym0Zz7PgGX0-kHA/edit?usp=sharing"",""แผน!FM76"")"),0)</f>
        <v>0</v>
      </c>
      <c r="M456" s="887">
        <v>0</v>
      </c>
      <c r="N456" s="887">
        <v>0</v>
      </c>
      <c r="O456" s="887">
        <f t="shared" ca="1" si="203"/>
        <v>0</v>
      </c>
      <c r="P456" s="887">
        <f t="shared" si="204"/>
        <v>0</v>
      </c>
      <c r="Q456" s="1323"/>
      <c r="R456" s="1323"/>
      <c r="S456" s="1323"/>
      <c r="T456" s="1323"/>
      <c r="U456" s="1323"/>
      <c r="V456" s="1323"/>
      <c r="W456" s="1323"/>
      <c r="X456" s="1323"/>
      <c r="Y456" s="1323"/>
      <c r="Z456" s="1323"/>
    </row>
    <row r="457" spans="1:26" ht="19.5">
      <c r="A457" s="1326"/>
      <c r="B457" s="1327"/>
      <c r="C457" s="1300" t="s">
        <v>16</v>
      </c>
      <c r="D457" s="1328" t="s">
        <v>38</v>
      </c>
      <c r="E457" s="1329"/>
      <c r="F457" s="1330"/>
      <c r="G457" s="1331"/>
      <c r="H457" s="1007"/>
      <c r="I457" s="880"/>
      <c r="J457" s="880"/>
      <c r="K457" s="881"/>
      <c r="L457" s="881"/>
      <c r="M457" s="881"/>
      <c r="N457" s="881"/>
      <c r="O457" s="881"/>
      <c r="P457" s="881"/>
      <c r="Q457" s="1302"/>
      <c r="R457" s="1302"/>
      <c r="S457" s="1302"/>
      <c r="T457" s="1302"/>
      <c r="U457" s="1302"/>
      <c r="V457" s="1302"/>
      <c r="W457" s="1302"/>
      <c r="X457" s="1302"/>
      <c r="Y457" s="1302"/>
      <c r="Z457" s="1302"/>
    </row>
    <row r="458" spans="1:26" ht="18.75" hidden="1">
      <c r="A458" s="1332"/>
      <c r="B458" s="1333"/>
      <c r="C458" s="1333"/>
      <c r="D458" s="1333" t="s">
        <v>201</v>
      </c>
      <c r="E458" s="1333"/>
      <c r="F458" s="1321"/>
      <c r="G458" s="1113"/>
      <c r="H458" s="370" t="s">
        <v>35</v>
      </c>
      <c r="I458" s="886">
        <v>0</v>
      </c>
      <c r="J458" s="886">
        <v>0</v>
      </c>
      <c r="K458" s="887">
        <f>IF(I458&gt;0,J458*100/I458,0)</f>
        <v>0</v>
      </c>
      <c r="L458" s="887"/>
      <c r="M458" s="887"/>
      <c r="N458" s="887"/>
      <c r="O458" s="887"/>
      <c r="P458" s="887"/>
      <c r="Q458" s="1323"/>
      <c r="R458" s="1323"/>
      <c r="S458" s="1323"/>
      <c r="T458" s="1323"/>
      <c r="U458" s="1323"/>
      <c r="V458" s="1323"/>
      <c r="W458" s="1323"/>
      <c r="X458" s="1323"/>
      <c r="Y458" s="1323"/>
      <c r="Z458" s="1323"/>
    </row>
    <row r="459" spans="1:26" ht="18.75" hidden="1">
      <c r="A459" s="1332"/>
      <c r="B459" s="1333"/>
      <c r="C459" s="1333"/>
      <c r="D459" s="1333" t="s">
        <v>202</v>
      </c>
      <c r="E459" s="1333"/>
      <c r="F459" s="1321"/>
      <c r="G459" s="1113"/>
      <c r="H459" s="370"/>
      <c r="I459" s="886"/>
      <c r="J459" s="886"/>
      <c r="K459" s="887"/>
      <c r="L459" s="887"/>
      <c r="M459" s="887"/>
      <c r="N459" s="887"/>
      <c r="O459" s="887"/>
      <c r="P459" s="887"/>
      <c r="Q459" s="1323"/>
      <c r="R459" s="1323"/>
      <c r="S459" s="1323"/>
      <c r="T459" s="1323"/>
      <c r="U459" s="1323"/>
      <c r="V459" s="1323"/>
      <c r="W459" s="1323"/>
      <c r="X459" s="1323"/>
      <c r="Y459" s="1323"/>
      <c r="Z459" s="1323"/>
    </row>
    <row r="460" spans="1:26" ht="18.75">
      <c r="A460" s="1326"/>
      <c r="B460" s="1327"/>
      <c r="C460" s="1327"/>
      <c r="D460" s="1327" t="s">
        <v>203</v>
      </c>
      <c r="E460" s="1327"/>
      <c r="F460" s="1014"/>
      <c r="G460" s="1007"/>
      <c r="H460" s="762" t="s">
        <v>35</v>
      </c>
      <c r="I460" s="880">
        <f ca="1">IFERROR(__xludf.DUMMYFUNCTION("IMPORTRANGE(""https://docs.google.com/spreadsheets/d/1QqKyyYR6Q21VydFLVH3TRQUabQu_ym0Zz7PgGX0-kHA/edit?usp=sharing"",""แผน!FN76"")"),45)</f>
        <v>45</v>
      </c>
      <c r="J460" s="1012">
        <v>45</v>
      </c>
      <c r="K460" s="881">
        <f ca="1">IF(I460&gt;0,J460*100/I460,0)</f>
        <v>100</v>
      </c>
      <c r="L460" s="881"/>
      <c r="M460" s="881"/>
      <c r="N460" s="881"/>
      <c r="O460" s="881"/>
      <c r="P460" s="881"/>
      <c r="Q460" s="1302"/>
      <c r="R460" s="1302"/>
      <c r="S460" s="1302"/>
      <c r="T460" s="1302"/>
      <c r="U460" s="1302"/>
      <c r="V460" s="1302"/>
      <c r="W460" s="1302"/>
      <c r="X460" s="1302"/>
      <c r="Y460" s="1302"/>
      <c r="Z460" s="1302"/>
    </row>
    <row r="461" spans="1:26" ht="18.75">
      <c r="A461" s="1326"/>
      <c r="B461" s="1327"/>
      <c r="C461" s="1327"/>
      <c r="D461" s="1327" t="s">
        <v>204</v>
      </c>
      <c r="E461" s="1014"/>
      <c r="F461" s="1014"/>
      <c r="G461" s="1007"/>
      <c r="H461" s="762"/>
      <c r="I461" s="880"/>
      <c r="J461" s="880"/>
      <c r="K461" s="881"/>
      <c r="L461" s="881"/>
      <c r="M461" s="881"/>
      <c r="N461" s="881"/>
      <c r="O461" s="881"/>
      <c r="P461" s="881"/>
      <c r="Q461" s="1302"/>
      <c r="R461" s="1302"/>
      <c r="S461" s="1302"/>
      <c r="T461" s="1302"/>
      <c r="U461" s="1302"/>
      <c r="V461" s="1302"/>
      <c r="W461" s="1302"/>
      <c r="X461" s="1302"/>
      <c r="Y461" s="1302"/>
      <c r="Z461" s="1302"/>
    </row>
    <row r="462" spans="1:26" ht="18.75">
      <c r="A462" s="1326"/>
      <c r="B462" s="1327"/>
      <c r="C462" s="1327"/>
      <c r="D462" s="1327" t="s">
        <v>205</v>
      </c>
      <c r="E462" s="1014"/>
      <c r="F462" s="1014"/>
      <c r="G462" s="1007"/>
      <c r="H462" s="762" t="s">
        <v>46</v>
      </c>
      <c r="I462" s="880">
        <f ca="1">IFERROR(__xludf.DUMMYFUNCTION("IMPORTRANGE(""https://docs.google.com/spreadsheets/d/1QqKyyYR6Q21VydFLVH3TRQUabQu_ym0Zz7PgGX0-kHA/edit?usp=sharing"",""แผน!FO76"")"),200)</f>
        <v>200</v>
      </c>
      <c r="J462" s="1012">
        <v>150</v>
      </c>
      <c r="K462" s="881">
        <f ca="1">IF(I462&gt;0,J462*100/I462,0)</f>
        <v>75</v>
      </c>
      <c r="L462" s="881"/>
      <c r="M462" s="881"/>
      <c r="N462" s="881"/>
      <c r="O462" s="881"/>
      <c r="P462" s="881"/>
      <c r="Q462" s="1302"/>
      <c r="R462" s="1302"/>
      <c r="S462" s="1302"/>
      <c r="T462" s="1302"/>
      <c r="U462" s="1302"/>
      <c r="V462" s="1302"/>
      <c r="W462" s="1302"/>
      <c r="X462" s="1302"/>
      <c r="Y462" s="1302"/>
      <c r="Z462" s="1302"/>
    </row>
    <row r="463" spans="1:26" ht="18.75">
      <c r="A463" s="1326"/>
      <c r="B463" s="1327"/>
      <c r="C463" s="1327"/>
      <c r="D463" s="1327" t="s">
        <v>59</v>
      </c>
      <c r="E463" s="1014"/>
      <c r="F463" s="1301"/>
      <c r="G463" s="1016"/>
      <c r="H463" s="762" t="s">
        <v>46</v>
      </c>
      <c r="I463" s="880">
        <f ca="1">IFERROR(__xludf.DUMMYFUNCTION("IMPORTRANGE(""https://docs.google.com/spreadsheets/d/1QqKyyYR6Q21VydFLVH3TRQUabQu_ym0Zz7PgGX0-kHA/edit?usp=sharing"",""แผน!FO76"")"),200)</f>
        <v>200</v>
      </c>
      <c r="J463" s="1012">
        <v>0</v>
      </c>
      <c r="K463" s="881"/>
      <c r="L463" s="881"/>
      <c r="M463" s="881"/>
      <c r="N463" s="881"/>
      <c r="O463" s="881"/>
      <c r="P463" s="881"/>
      <c r="Q463" s="1302"/>
      <c r="R463" s="1302"/>
      <c r="S463" s="1302"/>
      <c r="T463" s="1302"/>
      <c r="U463" s="1302"/>
      <c r="V463" s="1302"/>
      <c r="W463" s="1302"/>
      <c r="X463" s="1302"/>
      <c r="Y463" s="1302"/>
      <c r="Z463" s="1302"/>
    </row>
    <row r="464" spans="1:26" ht="19.5">
      <c r="A464" s="1326"/>
      <c r="B464" s="1327"/>
      <c r="C464" s="1327"/>
      <c r="D464" s="1327"/>
      <c r="E464" s="1014"/>
      <c r="F464" s="1014"/>
      <c r="G464" s="1334"/>
      <c r="H464" s="762" t="s">
        <v>35</v>
      </c>
      <c r="I464" s="880">
        <f ca="1">IFERROR(__xludf.DUMMYFUNCTION("IMPORTRANGE(""https://docs.google.com/spreadsheets/d/1QqKyyYR6Q21VydFLVH3TRQUabQu_ym0Zz7PgGX0-kHA/edit?usp=sharing"",""แผน!FN76"")"),45)</f>
        <v>45</v>
      </c>
      <c r="J464" s="1012">
        <v>0</v>
      </c>
      <c r="K464" s="881"/>
      <c r="L464" s="881"/>
      <c r="M464" s="881"/>
      <c r="N464" s="881"/>
      <c r="O464" s="881"/>
      <c r="P464" s="881"/>
      <c r="Q464" s="1302"/>
      <c r="R464" s="1302"/>
      <c r="S464" s="1302"/>
      <c r="T464" s="1302"/>
      <c r="U464" s="1302"/>
      <c r="V464" s="1302"/>
      <c r="W464" s="1302"/>
      <c r="X464" s="1302"/>
      <c r="Y464" s="1302"/>
      <c r="Z464" s="1302"/>
    </row>
    <row r="465" spans="1:26" ht="19.5">
      <c r="A465" s="584">
        <v>3</v>
      </c>
      <c r="B465" s="1307" t="s">
        <v>206</v>
      </c>
      <c r="C465" s="1308"/>
      <c r="D465" s="1308"/>
      <c r="E465" s="1308"/>
      <c r="F465" s="1308"/>
      <c r="G465" s="1309"/>
      <c r="H465" s="588" t="s">
        <v>35</v>
      </c>
      <c r="I465" s="1310">
        <f ca="1">IFERROR(__xludf.DUMMYFUNCTION("IMPORTRANGE(""https://docs.google.com/spreadsheets/d/1QqKyyYR6Q21VydFLVH3TRQUabQu_ym0Zz7PgGX0-kHA/edit?usp=sharing"",""แผน!FX76"")"),51)</f>
        <v>51</v>
      </c>
      <c r="J465" s="1310">
        <f>J485+J489+J492</f>
        <v>51</v>
      </c>
      <c r="K465" s="1311">
        <f t="shared" ref="K465:K466" ca="1" si="205">IF(I465&gt;0,J465*100/I465,0)</f>
        <v>100</v>
      </c>
      <c r="L465" s="1312"/>
      <c r="M465" s="1312"/>
      <c r="N465" s="1312"/>
      <c r="O465" s="1312"/>
      <c r="P465" s="1312"/>
      <c r="Q465" s="1302"/>
      <c r="R465" s="1302"/>
      <c r="S465" s="1302"/>
      <c r="T465" s="1302"/>
      <c r="U465" s="1302"/>
      <c r="V465" s="1302"/>
      <c r="W465" s="1302"/>
      <c r="X465" s="1302"/>
      <c r="Y465" s="1302"/>
      <c r="Z465" s="1302"/>
    </row>
    <row r="466" spans="1:26" ht="19.5">
      <c r="A466" s="1313"/>
      <c r="B466" s="1314"/>
      <c r="C466" s="1315"/>
      <c r="D466" s="1315"/>
      <c r="E466" s="1315"/>
      <c r="F466" s="1315"/>
      <c r="G466" s="1316"/>
      <c r="H466" s="568" t="s">
        <v>46</v>
      </c>
      <c r="I466" s="1294">
        <f ca="1">IFERROR(__xludf.DUMMYFUNCTION("IMPORTRANGE(""https://docs.google.com/spreadsheets/d/1QqKyyYR6Q21VydFLVH3TRQUabQu_ym0Zz7PgGX0-kHA/edit?usp=sharing"",""แผน!FW76"")"),500)</f>
        <v>500</v>
      </c>
      <c r="J466" s="1294">
        <f>J495+J498</f>
        <v>500</v>
      </c>
      <c r="K466" s="1295">
        <f t="shared" ca="1" si="205"/>
        <v>100</v>
      </c>
      <c r="L466" s="1296"/>
      <c r="M466" s="1296"/>
      <c r="N466" s="1296"/>
      <c r="O466" s="1296"/>
      <c r="P466" s="1296"/>
      <c r="Q466" s="1302"/>
      <c r="R466" s="1302"/>
      <c r="S466" s="1302"/>
      <c r="T466" s="1302"/>
      <c r="U466" s="1302"/>
      <c r="V466" s="1302"/>
      <c r="W466" s="1302"/>
      <c r="X466" s="1302"/>
      <c r="Y466" s="1302"/>
      <c r="Z466" s="1302"/>
    </row>
    <row r="467" spans="1:26" ht="19.5">
      <c r="A467" s="1317"/>
      <c r="B467" s="1301"/>
      <c r="C467" s="1301" t="s">
        <v>16</v>
      </c>
      <c r="D467" s="1318" t="s">
        <v>17</v>
      </c>
      <c r="E467" s="841"/>
      <c r="F467" s="841"/>
      <c r="G467" s="1016"/>
      <c r="H467" s="597" t="s">
        <v>12</v>
      </c>
      <c r="I467" s="880"/>
      <c r="J467" s="880"/>
      <c r="K467" s="881"/>
      <c r="L467" s="1020">
        <f t="shared" ref="L467:N467" ca="1" si="206">L468+L469</f>
        <v>413113</v>
      </c>
      <c r="M467" s="1020">
        <f t="shared" ca="1" si="206"/>
        <v>413113</v>
      </c>
      <c r="N467" s="1020">
        <f t="shared" si="206"/>
        <v>387543</v>
      </c>
      <c r="O467" s="1020">
        <f t="shared" ref="O467:O472" ca="1" si="207">IF(L467&gt;0,N467*100/L467,0)</f>
        <v>93.810410226741837</v>
      </c>
      <c r="P467" s="1020">
        <f t="shared" ref="P467:P472" ca="1" si="208">IF(M467&gt;0,N467*100/M467,0)</f>
        <v>93.810410226741837</v>
      </c>
      <c r="Q467" s="1302"/>
      <c r="R467" s="1302"/>
      <c r="S467" s="1302"/>
      <c r="T467" s="1302"/>
      <c r="U467" s="1302"/>
      <c r="V467" s="1302"/>
      <c r="W467" s="1302"/>
      <c r="X467" s="1302"/>
      <c r="Y467" s="1302"/>
      <c r="Z467" s="1302"/>
    </row>
    <row r="468" spans="1:26" ht="18.75" hidden="1">
      <c r="A468" s="1319"/>
      <c r="B468" s="1320"/>
      <c r="C468" s="1320"/>
      <c r="D468" s="1321"/>
      <c r="E468" s="1320" t="s">
        <v>185</v>
      </c>
      <c r="F468" s="1320"/>
      <c r="G468" s="1322"/>
      <c r="H468" s="165" t="s">
        <v>12</v>
      </c>
      <c r="I468" s="886"/>
      <c r="J468" s="886"/>
      <c r="K468" s="887"/>
      <c r="L468" s="887">
        <f t="shared" ref="L468:N469" si="209">L471+L478</f>
        <v>0</v>
      </c>
      <c r="M468" s="887">
        <f t="shared" si="209"/>
        <v>0</v>
      </c>
      <c r="N468" s="887">
        <f t="shared" si="209"/>
        <v>0</v>
      </c>
      <c r="O468" s="887">
        <f t="shared" si="207"/>
        <v>0</v>
      </c>
      <c r="P468" s="887">
        <f t="shared" si="208"/>
        <v>0</v>
      </c>
      <c r="Q468" s="1323"/>
      <c r="R468" s="1323"/>
      <c r="S468" s="1323"/>
      <c r="T468" s="1323"/>
      <c r="U468" s="1323"/>
      <c r="V468" s="1323"/>
      <c r="W468" s="1323"/>
      <c r="X468" s="1323"/>
      <c r="Y468" s="1323"/>
      <c r="Z468" s="1323"/>
    </row>
    <row r="469" spans="1:26" ht="18.75" hidden="1">
      <c r="A469" s="1319"/>
      <c r="B469" s="1324"/>
      <c r="C469" s="1320"/>
      <c r="D469" s="1321"/>
      <c r="E469" s="1320" t="s">
        <v>186</v>
      </c>
      <c r="F469" s="1320"/>
      <c r="G469" s="1322"/>
      <c r="H469" s="165" t="s">
        <v>12</v>
      </c>
      <c r="I469" s="886"/>
      <c r="J469" s="886"/>
      <c r="K469" s="887"/>
      <c r="L469" s="887">
        <f t="shared" ca="1" si="209"/>
        <v>413113</v>
      </c>
      <c r="M469" s="887">
        <f t="shared" ca="1" si="209"/>
        <v>413113</v>
      </c>
      <c r="N469" s="887">
        <f t="shared" si="209"/>
        <v>387543</v>
      </c>
      <c r="O469" s="887">
        <f t="shared" ca="1" si="207"/>
        <v>93.810410226741837</v>
      </c>
      <c r="P469" s="887">
        <f t="shared" ca="1" si="208"/>
        <v>93.810410226741837</v>
      </c>
      <c r="Q469" s="1323"/>
      <c r="R469" s="1323"/>
      <c r="S469" s="1323"/>
      <c r="T469" s="1323"/>
      <c r="U469" s="1323"/>
      <c r="V469" s="1323"/>
      <c r="W469" s="1323"/>
      <c r="X469" s="1323"/>
      <c r="Y469" s="1323"/>
      <c r="Z469" s="1323"/>
    </row>
    <row r="470" spans="1:26" ht="18.75">
      <c r="A470" s="1317"/>
      <c r="B470" s="1300"/>
      <c r="C470" s="1301"/>
      <c r="D470" s="1325" t="s">
        <v>20</v>
      </c>
      <c r="E470" s="1301"/>
      <c r="F470" s="1301"/>
      <c r="G470" s="1016"/>
      <c r="H470" s="161" t="s">
        <v>12</v>
      </c>
      <c r="I470" s="997"/>
      <c r="J470" s="997"/>
      <c r="K470" s="998"/>
      <c r="L470" s="881">
        <f t="shared" ref="L470:N470" ca="1" si="210">L471+L472</f>
        <v>413113</v>
      </c>
      <c r="M470" s="881">
        <f t="shared" ca="1" si="210"/>
        <v>413113</v>
      </c>
      <c r="N470" s="881">
        <f t="shared" si="210"/>
        <v>387543</v>
      </c>
      <c r="O470" s="881">
        <f t="shared" ca="1" si="207"/>
        <v>93.810410226741837</v>
      </c>
      <c r="P470" s="881">
        <f t="shared" ca="1" si="208"/>
        <v>93.810410226741837</v>
      </c>
      <c r="Q470" s="1302"/>
      <c r="R470" s="1302"/>
      <c r="S470" s="1302"/>
      <c r="T470" s="1302"/>
      <c r="U470" s="1302"/>
      <c r="V470" s="1302"/>
      <c r="W470" s="1302"/>
      <c r="X470" s="1302"/>
      <c r="Y470" s="1302"/>
      <c r="Z470" s="1302"/>
    </row>
    <row r="471" spans="1:26" ht="18.75" hidden="1">
      <c r="A471" s="1319"/>
      <c r="B471" s="1324"/>
      <c r="C471" s="1320"/>
      <c r="D471" s="1321"/>
      <c r="E471" s="1320" t="s">
        <v>185</v>
      </c>
      <c r="F471" s="1320"/>
      <c r="G471" s="1322"/>
      <c r="H471" s="165" t="s">
        <v>12</v>
      </c>
      <c r="I471" s="886"/>
      <c r="J471" s="886"/>
      <c r="K471" s="887"/>
      <c r="L471" s="887">
        <v>0</v>
      </c>
      <c r="M471" s="887">
        <v>0</v>
      </c>
      <c r="N471" s="887">
        <v>0</v>
      </c>
      <c r="O471" s="887">
        <f t="shared" si="207"/>
        <v>0</v>
      </c>
      <c r="P471" s="887">
        <f t="shared" si="208"/>
        <v>0</v>
      </c>
      <c r="Q471" s="1323"/>
      <c r="R471" s="1323"/>
      <c r="S471" s="1323"/>
      <c r="T471" s="1323"/>
      <c r="U471" s="1323"/>
      <c r="V471" s="1323"/>
      <c r="W471" s="1323"/>
      <c r="X471" s="1323"/>
      <c r="Y471" s="1323"/>
      <c r="Z471" s="1323"/>
    </row>
    <row r="472" spans="1:26" ht="18.75" hidden="1">
      <c r="A472" s="1319"/>
      <c r="B472" s="1324"/>
      <c r="C472" s="1320"/>
      <c r="D472" s="1321"/>
      <c r="E472" s="1320" t="s">
        <v>186</v>
      </c>
      <c r="F472" s="1320"/>
      <c r="G472" s="1322"/>
      <c r="H472" s="165" t="s">
        <v>12</v>
      </c>
      <c r="I472" s="886"/>
      <c r="J472" s="886"/>
      <c r="K472" s="887"/>
      <c r="L472" s="887">
        <f ca="1">IFERROR(__xludf.DUMMYFUNCTION("IMPORTRANGE(""https://docs.google.com/spreadsheets/d/1QqKyyYR6Q21VydFLVH3TRQUabQu_ym0Zz7PgGX0-kHA/edit?usp=sharing"",""แผน!FS76"")"),413113)</f>
        <v>413113</v>
      </c>
      <c r="M472" s="887">
        <f ca="1">L472</f>
        <v>413113</v>
      </c>
      <c r="N472" s="887">
        <f>N473+N474+N475+N476</f>
        <v>387543</v>
      </c>
      <c r="O472" s="887">
        <f t="shared" ca="1" si="207"/>
        <v>93.810410226741837</v>
      </c>
      <c r="P472" s="887">
        <f t="shared" ca="1" si="208"/>
        <v>93.810410226741837</v>
      </c>
      <c r="Q472" s="1323"/>
      <c r="R472" s="1323"/>
      <c r="S472" s="1323"/>
      <c r="T472" s="1323"/>
      <c r="U472" s="1323"/>
      <c r="V472" s="1323"/>
      <c r="W472" s="1323"/>
      <c r="X472" s="1323"/>
      <c r="Y472" s="1323"/>
      <c r="Z472" s="1323"/>
    </row>
    <row r="473" spans="1:26" ht="18.75">
      <c r="A473" s="1299"/>
      <c r="B473" s="1300"/>
      <c r="C473" s="1301"/>
      <c r="D473" s="1301"/>
      <c r="E473" s="1301"/>
      <c r="F473" s="1301" t="s">
        <v>187</v>
      </c>
      <c r="G473" s="1016"/>
      <c r="H473" s="161" t="s">
        <v>12</v>
      </c>
      <c r="I473" s="880"/>
      <c r="J473" s="880"/>
      <c r="K473" s="881"/>
      <c r="L473" s="881"/>
      <c r="M473" s="881"/>
      <c r="N473" s="1085">
        <v>69583</v>
      </c>
      <c r="O473" s="881"/>
      <c r="P473" s="881"/>
      <c r="Q473" s="1302"/>
      <c r="R473" s="1302"/>
      <c r="S473" s="1302"/>
      <c r="T473" s="1302"/>
      <c r="U473" s="1302"/>
      <c r="V473" s="1302"/>
      <c r="W473" s="1302"/>
      <c r="X473" s="1302"/>
      <c r="Y473" s="1302"/>
      <c r="Z473" s="1302"/>
    </row>
    <row r="474" spans="1:26" ht="18.75">
      <c r="A474" s="1299"/>
      <c r="B474" s="1300"/>
      <c r="C474" s="1301"/>
      <c r="D474" s="1301"/>
      <c r="E474" s="1301"/>
      <c r="F474" s="1301" t="s">
        <v>188</v>
      </c>
      <c r="G474" s="1016"/>
      <c r="H474" s="161" t="s">
        <v>12</v>
      </c>
      <c r="I474" s="880"/>
      <c r="J474" s="880"/>
      <c r="K474" s="881"/>
      <c r="L474" s="881"/>
      <c r="M474" s="881"/>
      <c r="N474" s="1085">
        <f>4000+310000</f>
        <v>314000</v>
      </c>
      <c r="O474" s="881"/>
      <c r="P474" s="881"/>
      <c r="Q474" s="1302"/>
      <c r="R474" s="1302"/>
      <c r="S474" s="1302"/>
      <c r="T474" s="1302"/>
      <c r="U474" s="1302"/>
      <c r="V474" s="1302"/>
      <c r="W474" s="1302"/>
      <c r="X474" s="1302"/>
      <c r="Y474" s="1302"/>
      <c r="Z474" s="1302"/>
    </row>
    <row r="475" spans="1:26" ht="18.75">
      <c r="A475" s="1299"/>
      <c r="B475" s="1300"/>
      <c r="C475" s="1300"/>
      <c r="D475" s="1300"/>
      <c r="E475" s="1300"/>
      <c r="F475" s="1301" t="s">
        <v>189</v>
      </c>
      <c r="G475" s="1016"/>
      <c r="H475" s="161" t="s">
        <v>12</v>
      </c>
      <c r="I475" s="880"/>
      <c r="J475" s="880"/>
      <c r="K475" s="881"/>
      <c r="L475" s="881"/>
      <c r="M475" s="881"/>
      <c r="N475" s="1085">
        <v>0</v>
      </c>
      <c r="O475" s="881"/>
      <c r="P475" s="881"/>
      <c r="Q475" s="1302"/>
      <c r="R475" s="1302"/>
      <c r="S475" s="1302"/>
      <c r="T475" s="1302"/>
      <c r="U475" s="1302"/>
      <c r="V475" s="1302"/>
      <c r="W475" s="1302"/>
      <c r="X475" s="1302"/>
      <c r="Y475" s="1302"/>
      <c r="Z475" s="1302"/>
    </row>
    <row r="476" spans="1:26" ht="18.75">
      <c r="A476" s="1299"/>
      <c r="B476" s="1300"/>
      <c r="C476" s="1300"/>
      <c r="D476" s="1300"/>
      <c r="E476" s="1300"/>
      <c r="F476" s="1301" t="s">
        <v>190</v>
      </c>
      <c r="G476" s="1016"/>
      <c r="H476" s="161" t="s">
        <v>12</v>
      </c>
      <c r="I476" s="880"/>
      <c r="J476" s="880"/>
      <c r="K476" s="881"/>
      <c r="L476" s="881"/>
      <c r="M476" s="881"/>
      <c r="N476" s="1085">
        <v>3960</v>
      </c>
      <c r="O476" s="881"/>
      <c r="P476" s="881"/>
      <c r="Q476" s="1302"/>
      <c r="R476" s="1302"/>
      <c r="S476" s="1302"/>
      <c r="T476" s="1302"/>
      <c r="U476" s="1302"/>
      <c r="V476" s="1302"/>
      <c r="W476" s="1302"/>
      <c r="X476" s="1302"/>
      <c r="Y476" s="1302"/>
      <c r="Z476" s="1302"/>
    </row>
    <row r="477" spans="1:26" ht="18.75">
      <c r="A477" s="1317"/>
      <c r="B477" s="1300"/>
      <c r="C477" s="1300"/>
      <c r="D477" s="1325" t="s">
        <v>21</v>
      </c>
      <c r="E477" s="1300"/>
      <c r="F477" s="1300"/>
      <c r="G477" s="1016"/>
      <c r="H477" s="168" t="s">
        <v>12</v>
      </c>
      <c r="I477" s="997"/>
      <c r="J477" s="997"/>
      <c r="K477" s="998"/>
      <c r="L477" s="881">
        <f t="shared" ref="L477:N477" ca="1" si="211">L478+L479</f>
        <v>0</v>
      </c>
      <c r="M477" s="881">
        <f t="shared" si="211"/>
        <v>0</v>
      </c>
      <c r="N477" s="881">
        <f t="shared" si="211"/>
        <v>0</v>
      </c>
      <c r="O477" s="881">
        <f t="shared" ref="O477:O479" ca="1" si="212">IF(L477&gt;0,N477*100/L477,0)</f>
        <v>0</v>
      </c>
      <c r="P477" s="881">
        <f t="shared" ref="P477:P479" si="213">IF(M477&gt;0,N477*100/M477,0)</f>
        <v>0</v>
      </c>
      <c r="Q477" s="1302"/>
      <c r="R477" s="1302"/>
      <c r="S477" s="1302"/>
      <c r="T477" s="1302"/>
      <c r="U477" s="1302"/>
      <c r="V477" s="1302"/>
      <c r="W477" s="1302"/>
      <c r="X477" s="1302"/>
      <c r="Y477" s="1302"/>
      <c r="Z477" s="1302"/>
    </row>
    <row r="478" spans="1:26" ht="18.75" hidden="1">
      <c r="A478" s="1319"/>
      <c r="B478" s="1324"/>
      <c r="C478" s="1324"/>
      <c r="D478" s="1324"/>
      <c r="E478" s="1324" t="s">
        <v>18</v>
      </c>
      <c r="F478" s="1324"/>
      <c r="G478" s="1322"/>
      <c r="H478" s="165" t="s">
        <v>12</v>
      </c>
      <c r="I478" s="1000"/>
      <c r="J478" s="1000"/>
      <c r="K478" s="1001"/>
      <c r="L478" s="887">
        <v>0</v>
      </c>
      <c r="M478" s="887">
        <v>0</v>
      </c>
      <c r="N478" s="887">
        <v>0</v>
      </c>
      <c r="O478" s="887">
        <f t="shared" si="212"/>
        <v>0</v>
      </c>
      <c r="P478" s="887">
        <f t="shared" si="213"/>
        <v>0</v>
      </c>
      <c r="Q478" s="1323"/>
      <c r="R478" s="1323"/>
      <c r="S478" s="1323"/>
      <c r="T478" s="1323"/>
      <c r="U478" s="1323"/>
      <c r="V478" s="1323"/>
      <c r="W478" s="1323"/>
      <c r="X478" s="1323"/>
      <c r="Y478" s="1323"/>
      <c r="Z478" s="1323"/>
    </row>
    <row r="479" spans="1:26" ht="18.75" hidden="1">
      <c r="A479" s="1319"/>
      <c r="B479" s="1324"/>
      <c r="C479" s="1324"/>
      <c r="D479" s="1324"/>
      <c r="E479" s="1324" t="s">
        <v>19</v>
      </c>
      <c r="F479" s="1324"/>
      <c r="G479" s="1322"/>
      <c r="H479" s="169" t="s">
        <v>12</v>
      </c>
      <c r="I479" s="1000"/>
      <c r="J479" s="1000"/>
      <c r="K479" s="1001"/>
      <c r="L479" s="887">
        <f ca="1">IFERROR(__xludf.DUMMYFUNCTION("IMPORTRANGE(""https://docs.google.com/spreadsheets/d/1QqKyyYR6Q21VydFLVH3TRQUabQu_ym0Zz7PgGX0-kHA/edit?usp=sharing"",""แผน!FV76"")"),0)</f>
        <v>0</v>
      </c>
      <c r="M479" s="887">
        <v>0</v>
      </c>
      <c r="N479" s="887">
        <v>0</v>
      </c>
      <c r="O479" s="887">
        <f t="shared" ca="1" si="212"/>
        <v>0</v>
      </c>
      <c r="P479" s="887">
        <f t="shared" si="213"/>
        <v>0</v>
      </c>
      <c r="Q479" s="1323"/>
      <c r="R479" s="1323"/>
      <c r="S479" s="1323"/>
      <c r="T479" s="1323"/>
      <c r="U479" s="1323"/>
      <c r="V479" s="1323"/>
      <c r="W479" s="1323"/>
      <c r="X479" s="1323"/>
      <c r="Y479" s="1323"/>
      <c r="Z479" s="1323"/>
    </row>
    <row r="480" spans="1:26" ht="19.5">
      <c r="A480" s="1326"/>
      <c r="B480" s="1327"/>
      <c r="C480" s="1300" t="s">
        <v>16</v>
      </c>
      <c r="D480" s="1335" t="s">
        <v>38</v>
      </c>
      <c r="E480" s="1329"/>
      <c r="F480" s="1330"/>
      <c r="G480" s="1331"/>
      <c r="H480" s="1007"/>
      <c r="I480" s="880"/>
      <c r="J480" s="880"/>
      <c r="K480" s="881"/>
      <c r="L480" s="881"/>
      <c r="M480" s="881"/>
      <c r="N480" s="881"/>
      <c r="O480" s="881"/>
      <c r="P480" s="881"/>
      <c r="Q480" s="1302"/>
      <c r="R480" s="1302"/>
      <c r="S480" s="1302"/>
      <c r="T480" s="1302"/>
      <c r="U480" s="1302"/>
      <c r="V480" s="1302"/>
      <c r="W480" s="1302"/>
      <c r="X480" s="1302"/>
      <c r="Y480" s="1302"/>
      <c r="Z480" s="1302"/>
    </row>
    <row r="481" spans="1:26" ht="19.5">
      <c r="A481" s="1326"/>
      <c r="B481" s="1327"/>
      <c r="C481" s="1327"/>
      <c r="D481" s="1336" t="s">
        <v>207</v>
      </c>
      <c r="E481" s="1327"/>
      <c r="F481" s="1327"/>
      <c r="G481" s="1007"/>
      <c r="H481" s="1016"/>
      <c r="I481" s="880"/>
      <c r="J481" s="880"/>
      <c r="K481" s="881"/>
      <c r="L481" s="881"/>
      <c r="M481" s="881"/>
      <c r="N481" s="881"/>
      <c r="O481" s="881"/>
      <c r="P481" s="881"/>
      <c r="Q481" s="1302"/>
      <c r="R481" s="1302"/>
      <c r="S481" s="1302"/>
      <c r="T481" s="1302"/>
      <c r="U481" s="1302"/>
      <c r="V481" s="1302"/>
      <c r="W481" s="1302"/>
      <c r="X481" s="1302"/>
      <c r="Y481" s="1302"/>
      <c r="Z481" s="1302"/>
    </row>
    <row r="482" spans="1:26" ht="18.75">
      <c r="A482" s="1326"/>
      <c r="B482" s="1327"/>
      <c r="C482" s="1327"/>
      <c r="D482" s="1327"/>
      <c r="E482" s="1327" t="s">
        <v>208</v>
      </c>
      <c r="F482" s="1327"/>
      <c r="G482" s="1007"/>
      <c r="H482" s="1016"/>
      <c r="I482" s="880"/>
      <c r="J482" s="880"/>
      <c r="K482" s="881"/>
      <c r="L482" s="881"/>
      <c r="M482" s="881"/>
      <c r="N482" s="881"/>
      <c r="O482" s="881"/>
      <c r="P482" s="881"/>
      <c r="Q482" s="1302"/>
      <c r="R482" s="1302"/>
      <c r="S482" s="1302"/>
      <c r="T482" s="1302"/>
      <c r="U482" s="1302"/>
      <c r="V482" s="1302"/>
      <c r="W482" s="1302"/>
      <c r="X482" s="1302"/>
      <c r="Y482" s="1302"/>
      <c r="Z482" s="1302"/>
    </row>
    <row r="483" spans="1:26" ht="18.75">
      <c r="A483" s="1326"/>
      <c r="B483" s="1327"/>
      <c r="C483" s="1327"/>
      <c r="D483" s="1327"/>
      <c r="E483" s="1327"/>
      <c r="F483" s="1327" t="s">
        <v>209</v>
      </c>
      <c r="G483" s="1007"/>
      <c r="H483" s="622" t="s">
        <v>46</v>
      </c>
      <c r="I483" s="880">
        <f ca="1">IFERROR(__xludf.DUMMYFUNCTION("IMPORTRANGE(""https://docs.google.com/spreadsheets/d/1QqKyyYR6Q21VydFLVH3TRQUabQu_ym0Zz7PgGX0-kHA/edit?usp=sharing"",""แผน!FY76"")"),450)</f>
        <v>450</v>
      </c>
      <c r="J483" s="1012">
        <v>450</v>
      </c>
      <c r="K483" s="881">
        <f ca="1">IF(I483&gt;0,J483*100/I483,0)</f>
        <v>100</v>
      </c>
      <c r="L483" s="881"/>
      <c r="M483" s="881"/>
      <c r="N483" s="881"/>
      <c r="O483" s="881"/>
      <c r="P483" s="881"/>
      <c r="Q483" s="1302"/>
      <c r="R483" s="1302"/>
      <c r="S483" s="1302"/>
      <c r="T483" s="1302"/>
      <c r="U483" s="1302"/>
      <c r="V483" s="1302"/>
      <c r="W483" s="1302"/>
      <c r="X483" s="1302"/>
      <c r="Y483" s="1302"/>
      <c r="Z483" s="1302"/>
    </row>
    <row r="484" spans="1:26" ht="18.75">
      <c r="A484" s="1326"/>
      <c r="B484" s="1327"/>
      <c r="C484" s="1327"/>
      <c r="D484" s="1327"/>
      <c r="E484" s="1327"/>
      <c r="F484" s="1327" t="s">
        <v>210</v>
      </c>
      <c r="G484" s="1007"/>
      <c r="H484" s="622" t="s">
        <v>35</v>
      </c>
      <c r="I484" s="880"/>
      <c r="J484" s="1012">
        <v>45</v>
      </c>
      <c r="K484" s="881"/>
      <c r="L484" s="881"/>
      <c r="M484" s="881"/>
      <c r="N484" s="881"/>
      <c r="O484" s="881"/>
      <c r="P484" s="881"/>
      <c r="Q484" s="1302"/>
      <c r="R484" s="1302"/>
      <c r="S484" s="1302"/>
      <c r="T484" s="1302"/>
      <c r="U484" s="1302"/>
      <c r="V484" s="1302"/>
      <c r="W484" s="1302"/>
      <c r="X484" s="1302"/>
      <c r="Y484" s="1302"/>
      <c r="Z484" s="1302"/>
    </row>
    <row r="485" spans="1:26" ht="18.75">
      <c r="A485" s="1326"/>
      <c r="B485" s="1327"/>
      <c r="C485" s="1327"/>
      <c r="D485" s="1327"/>
      <c r="E485" s="1327"/>
      <c r="F485" s="1327" t="s">
        <v>211</v>
      </c>
      <c r="G485" s="1007"/>
      <c r="H485" s="622" t="s">
        <v>35</v>
      </c>
      <c r="I485" s="880">
        <f ca="1">IFERROR(__xludf.DUMMYFUNCTION("IMPORTRANGE(""https://docs.google.com/spreadsheets/d/1QqKyyYR6Q21VydFLVH3TRQUabQu_ym0Zz7PgGX0-kHA/edit?usp=sharing"",""แผน!FZ76"")"),45)</f>
        <v>45</v>
      </c>
      <c r="J485" s="1012">
        <v>45</v>
      </c>
      <c r="K485" s="881">
        <f ca="1">IF(I485&gt;0,J485*100/I485,0)</f>
        <v>100</v>
      </c>
      <c r="L485" s="881"/>
      <c r="M485" s="881"/>
      <c r="N485" s="881"/>
      <c r="O485" s="881"/>
      <c r="P485" s="881"/>
      <c r="Q485" s="1302"/>
      <c r="R485" s="1302"/>
      <c r="S485" s="1302"/>
      <c r="T485" s="1302"/>
      <c r="U485" s="1302"/>
      <c r="V485" s="1302"/>
      <c r="W485" s="1302"/>
      <c r="X485" s="1302"/>
      <c r="Y485" s="1302"/>
      <c r="Z485" s="1302"/>
    </row>
    <row r="486" spans="1:26" ht="18.75">
      <c r="A486" s="1326"/>
      <c r="B486" s="1327"/>
      <c r="C486" s="1327"/>
      <c r="D486" s="1327"/>
      <c r="E486" s="1327" t="s">
        <v>62</v>
      </c>
      <c r="F486" s="1327"/>
      <c r="G486" s="1007"/>
      <c r="H486" s="622"/>
      <c r="I486" s="880"/>
      <c r="J486" s="880"/>
      <c r="K486" s="881"/>
      <c r="L486" s="881"/>
      <c r="M486" s="881"/>
      <c r="N486" s="881"/>
      <c r="O486" s="881"/>
      <c r="P486" s="881"/>
      <c r="Q486" s="1302"/>
      <c r="R486" s="1302"/>
      <c r="S486" s="1302"/>
      <c r="T486" s="1302"/>
      <c r="U486" s="1302"/>
      <c r="V486" s="1302"/>
      <c r="W486" s="1302"/>
      <c r="X486" s="1302"/>
      <c r="Y486" s="1302"/>
      <c r="Z486" s="1302"/>
    </row>
    <row r="487" spans="1:26" ht="18.75">
      <c r="A487" s="1326"/>
      <c r="B487" s="1327"/>
      <c r="C487" s="1327"/>
      <c r="D487" s="1327"/>
      <c r="E487" s="1327"/>
      <c r="F487" s="1327" t="s">
        <v>209</v>
      </c>
      <c r="G487" s="1007"/>
      <c r="H487" s="622" t="s">
        <v>46</v>
      </c>
      <c r="I487" s="880">
        <f ca="1">IFERROR(__xludf.DUMMYFUNCTION("IMPORTRANGE(""https://docs.google.com/spreadsheets/d/1QqKyyYR6Q21VydFLVH3TRQUabQu_ym0Zz7PgGX0-kHA/edit?usp=sharing"",""แผน!GA76"")"),50)</f>
        <v>50</v>
      </c>
      <c r="J487" s="1012">
        <v>50</v>
      </c>
      <c r="K487" s="881">
        <f ca="1">IF(I487&gt;0,J487*100/I487,0)</f>
        <v>100</v>
      </c>
      <c r="L487" s="881"/>
      <c r="M487" s="881"/>
      <c r="N487" s="881"/>
      <c r="O487" s="881"/>
      <c r="P487" s="881"/>
      <c r="Q487" s="1302"/>
      <c r="R487" s="1302"/>
      <c r="S487" s="1302"/>
      <c r="T487" s="1302"/>
      <c r="U487" s="1302"/>
      <c r="V487" s="1302"/>
      <c r="W487" s="1302"/>
      <c r="X487" s="1302"/>
      <c r="Y487" s="1302"/>
      <c r="Z487" s="1302"/>
    </row>
    <row r="488" spans="1:26" ht="18.75">
      <c r="A488" s="1326"/>
      <c r="B488" s="1327"/>
      <c r="C488" s="1327"/>
      <c r="D488" s="1327"/>
      <c r="E488" s="1327"/>
      <c r="F488" s="1327" t="s">
        <v>212</v>
      </c>
      <c r="G488" s="1007"/>
      <c r="H488" s="622" t="s">
        <v>35</v>
      </c>
      <c r="I488" s="880"/>
      <c r="J488" s="1012">
        <v>5</v>
      </c>
      <c r="K488" s="881"/>
      <c r="L488" s="881"/>
      <c r="M488" s="881"/>
      <c r="N488" s="881"/>
      <c r="O488" s="881"/>
      <c r="P488" s="881"/>
      <c r="Q488" s="1302"/>
      <c r="R488" s="1302"/>
      <c r="S488" s="1302"/>
      <c r="T488" s="1302"/>
      <c r="U488" s="1302"/>
      <c r="V488" s="1302"/>
      <c r="W488" s="1302"/>
      <c r="X488" s="1302"/>
      <c r="Y488" s="1302"/>
      <c r="Z488" s="1302"/>
    </row>
    <row r="489" spans="1:26" ht="18.75">
      <c r="A489" s="1326"/>
      <c r="B489" s="1327"/>
      <c r="C489" s="1327"/>
      <c r="D489" s="1327"/>
      <c r="E489" s="1327"/>
      <c r="F489" s="1327" t="s">
        <v>213</v>
      </c>
      <c r="G489" s="1007"/>
      <c r="H489" s="622" t="s">
        <v>35</v>
      </c>
      <c r="I489" s="880">
        <f ca="1">IFERROR(__xludf.DUMMYFUNCTION("IMPORTRANGE(""https://docs.google.com/spreadsheets/d/1QqKyyYR6Q21VydFLVH3TRQUabQu_ym0Zz7PgGX0-kHA/edit?usp=sharing"",""แผน!GB76"")"),5)</f>
        <v>5</v>
      </c>
      <c r="J489" s="1012">
        <v>5</v>
      </c>
      <c r="K489" s="881">
        <f ca="1">IF(I489&gt;0,J489*100/I489,0)</f>
        <v>100</v>
      </c>
      <c r="L489" s="881"/>
      <c r="M489" s="881"/>
      <c r="N489" s="881"/>
      <c r="O489" s="881"/>
      <c r="P489" s="881"/>
      <c r="Q489" s="1302"/>
      <c r="R489" s="1302"/>
      <c r="S489" s="1302"/>
      <c r="T489" s="1302"/>
      <c r="U489" s="1302"/>
      <c r="V489" s="1302"/>
      <c r="W489" s="1302"/>
      <c r="X489" s="1302"/>
      <c r="Y489" s="1302"/>
      <c r="Z489" s="1302"/>
    </row>
    <row r="490" spans="1:26" ht="18.75">
      <c r="A490" s="1326"/>
      <c r="B490" s="1327"/>
      <c r="C490" s="1327"/>
      <c r="D490" s="1327"/>
      <c r="E490" s="1327" t="s">
        <v>63</v>
      </c>
      <c r="F490" s="1014"/>
      <c r="G490" s="1007"/>
      <c r="H490" s="622"/>
      <c r="I490" s="880"/>
      <c r="J490" s="880"/>
      <c r="K490" s="881"/>
      <c r="L490" s="881"/>
      <c r="M490" s="881"/>
      <c r="N490" s="881"/>
      <c r="O490" s="881"/>
      <c r="P490" s="881"/>
      <c r="Q490" s="1302"/>
      <c r="R490" s="1302"/>
      <c r="S490" s="1302"/>
      <c r="T490" s="1302"/>
      <c r="U490" s="1302"/>
      <c r="V490" s="1302"/>
      <c r="W490" s="1302"/>
      <c r="X490" s="1302"/>
      <c r="Y490" s="1302"/>
      <c r="Z490" s="1302"/>
    </row>
    <row r="491" spans="1:26" ht="18.75">
      <c r="A491" s="1326"/>
      <c r="B491" s="1327"/>
      <c r="C491" s="1327"/>
      <c r="D491" s="1327"/>
      <c r="E491" s="1327"/>
      <c r="F491" s="1327" t="s">
        <v>214</v>
      </c>
      <c r="G491" s="1007"/>
      <c r="H491" s="622" t="s">
        <v>35</v>
      </c>
      <c r="I491" s="880"/>
      <c r="J491" s="1012">
        <v>1</v>
      </c>
      <c r="K491" s="881"/>
      <c r="L491" s="881"/>
      <c r="M491" s="881"/>
      <c r="N491" s="881"/>
      <c r="O491" s="881"/>
      <c r="P491" s="881"/>
      <c r="Q491" s="1302"/>
      <c r="R491" s="1302"/>
      <c r="S491" s="1302"/>
      <c r="T491" s="1302"/>
      <c r="U491" s="1302"/>
      <c r="V491" s="1302"/>
      <c r="W491" s="1302"/>
      <c r="X491" s="1302"/>
      <c r="Y491" s="1302"/>
      <c r="Z491" s="1302"/>
    </row>
    <row r="492" spans="1:26" ht="18.75">
      <c r="A492" s="1326"/>
      <c r="B492" s="1327"/>
      <c r="C492" s="1327"/>
      <c r="D492" s="1327"/>
      <c r="E492" s="1327"/>
      <c r="F492" s="1327" t="s">
        <v>215</v>
      </c>
      <c r="G492" s="1007"/>
      <c r="H492" s="622" t="s">
        <v>35</v>
      </c>
      <c r="I492" s="880">
        <f ca="1">IFERROR(__xludf.DUMMYFUNCTION("IMPORTRANGE(""https://docs.google.com/spreadsheets/d/1QqKyyYR6Q21VydFLVH3TRQUabQu_ym0Zz7PgGX0-kHA/edit?usp=sharing"",""แผน!GC76"")"),1)</f>
        <v>1</v>
      </c>
      <c r="J492" s="1012">
        <v>1</v>
      </c>
      <c r="K492" s="881">
        <f ca="1">IF(I492&gt;0,J492*100/I492,0)</f>
        <v>100</v>
      </c>
      <c r="L492" s="881"/>
      <c r="M492" s="881"/>
      <c r="N492" s="881"/>
      <c r="O492" s="881"/>
      <c r="P492" s="881"/>
      <c r="Q492" s="1302"/>
      <c r="R492" s="1302"/>
      <c r="S492" s="1302"/>
      <c r="T492" s="1302"/>
      <c r="U492" s="1302"/>
      <c r="V492" s="1302"/>
      <c r="W492" s="1302"/>
      <c r="X492" s="1302"/>
      <c r="Y492" s="1302"/>
      <c r="Z492" s="1302"/>
    </row>
    <row r="493" spans="1:26" ht="19.5">
      <c r="A493" s="1326"/>
      <c r="B493" s="1327"/>
      <c r="C493" s="1327"/>
      <c r="D493" s="1336" t="s">
        <v>59</v>
      </c>
      <c r="E493" s="1327"/>
      <c r="F493" s="1014"/>
      <c r="G493" s="1007"/>
      <c r="H493" s="1016"/>
      <c r="I493" s="880"/>
      <c r="J493" s="880"/>
      <c r="K493" s="881"/>
      <c r="L493" s="881"/>
      <c r="M493" s="881"/>
      <c r="N493" s="881"/>
      <c r="O493" s="881"/>
      <c r="P493" s="881"/>
      <c r="Q493" s="1302"/>
      <c r="R493" s="1302"/>
      <c r="S493" s="1302"/>
      <c r="T493" s="1302"/>
      <c r="U493" s="1302"/>
      <c r="V493" s="1302"/>
      <c r="W493" s="1302"/>
      <c r="X493" s="1302"/>
      <c r="Y493" s="1302"/>
      <c r="Z493" s="1302"/>
    </row>
    <row r="494" spans="1:26" ht="18.75">
      <c r="A494" s="1326"/>
      <c r="B494" s="1327"/>
      <c r="C494" s="1327"/>
      <c r="D494" s="1327"/>
      <c r="E494" s="1327" t="s">
        <v>208</v>
      </c>
      <c r="F494" s="1014"/>
      <c r="G494" s="1007"/>
      <c r="H494" s="1016"/>
      <c r="I494" s="880"/>
      <c r="J494" s="880"/>
      <c r="K494" s="881"/>
      <c r="L494" s="881"/>
      <c r="M494" s="881"/>
      <c r="N494" s="881"/>
      <c r="O494" s="881"/>
      <c r="P494" s="881"/>
      <c r="Q494" s="1302"/>
      <c r="R494" s="1302"/>
      <c r="S494" s="1302"/>
      <c r="T494" s="1302"/>
      <c r="U494" s="1302"/>
      <c r="V494" s="1302"/>
      <c r="W494" s="1302"/>
      <c r="X494" s="1302"/>
      <c r="Y494" s="1302"/>
      <c r="Z494" s="1302"/>
    </row>
    <row r="495" spans="1:26" ht="18.75">
      <c r="A495" s="1326"/>
      <c r="B495" s="1327"/>
      <c r="C495" s="1327"/>
      <c r="D495" s="1327"/>
      <c r="E495" s="1327"/>
      <c r="F495" s="1014" t="s">
        <v>216</v>
      </c>
      <c r="G495" s="1007"/>
      <c r="H495" s="622" t="s">
        <v>46</v>
      </c>
      <c r="I495" s="880">
        <f ca="1">IFERROR(__xludf.DUMMYFUNCTION("IMPORTRANGE(""https://docs.google.com/spreadsheets/d/1QqKyyYR6Q21VydFLVH3TRQUabQu_ym0Zz7PgGX0-kHA/edit?usp=sharing"",""แผน!FY76"")"),450)</f>
        <v>450</v>
      </c>
      <c r="J495" s="1012">
        <v>450</v>
      </c>
      <c r="K495" s="881">
        <f ca="1">IF(I495&gt;0,J495*100/I495,0)</f>
        <v>100</v>
      </c>
      <c r="L495" s="881"/>
      <c r="M495" s="881"/>
      <c r="N495" s="881"/>
      <c r="O495" s="881"/>
      <c r="P495" s="881"/>
      <c r="Q495" s="1302"/>
      <c r="R495" s="1302"/>
      <c r="S495" s="1302"/>
      <c r="T495" s="1302"/>
      <c r="U495" s="1302"/>
      <c r="V495" s="1302"/>
      <c r="W495" s="1302"/>
      <c r="X495" s="1302"/>
      <c r="Y495" s="1302"/>
      <c r="Z495" s="1302"/>
    </row>
    <row r="496" spans="1:26" ht="18.75">
      <c r="A496" s="1326"/>
      <c r="B496" s="1327"/>
      <c r="C496" s="1327"/>
      <c r="D496" s="1327"/>
      <c r="E496" s="1327"/>
      <c r="F496" s="1014" t="s">
        <v>217</v>
      </c>
      <c r="G496" s="1007"/>
      <c r="H496" s="622" t="s">
        <v>46</v>
      </c>
      <c r="I496" s="880"/>
      <c r="J496" s="1012">
        <v>450</v>
      </c>
      <c r="K496" s="881"/>
      <c r="L496" s="881"/>
      <c r="M496" s="881"/>
      <c r="N496" s="881"/>
      <c r="O496" s="881"/>
      <c r="P496" s="881"/>
      <c r="Q496" s="1302"/>
      <c r="R496" s="1302"/>
      <c r="S496" s="1302"/>
      <c r="T496" s="1302"/>
      <c r="U496" s="1302"/>
      <c r="V496" s="1302"/>
      <c r="W496" s="1302"/>
      <c r="X496" s="1302"/>
      <c r="Y496" s="1302"/>
      <c r="Z496" s="1302"/>
    </row>
    <row r="497" spans="1:26" ht="18.75">
      <c r="A497" s="1326"/>
      <c r="B497" s="1327"/>
      <c r="C497" s="1327"/>
      <c r="D497" s="1327"/>
      <c r="E497" s="1327" t="s">
        <v>62</v>
      </c>
      <c r="F497" s="1014"/>
      <c r="G497" s="1007"/>
      <c r="H497" s="1016"/>
      <c r="I497" s="880"/>
      <c r="J497" s="880"/>
      <c r="K497" s="881"/>
      <c r="L497" s="881"/>
      <c r="M497" s="881"/>
      <c r="N497" s="881"/>
      <c r="O497" s="881"/>
      <c r="P497" s="881"/>
      <c r="Q497" s="1302"/>
      <c r="R497" s="1302"/>
      <c r="S497" s="1302"/>
      <c r="T497" s="1302"/>
      <c r="U497" s="1302"/>
      <c r="V497" s="1302"/>
      <c r="W497" s="1302"/>
      <c r="X497" s="1302"/>
      <c r="Y497" s="1302"/>
      <c r="Z497" s="1302"/>
    </row>
    <row r="498" spans="1:26" ht="18.75">
      <c r="A498" s="1326"/>
      <c r="B498" s="1327"/>
      <c r="C498" s="1327"/>
      <c r="D498" s="1327"/>
      <c r="E498" s="1014"/>
      <c r="F498" s="1014" t="s">
        <v>218</v>
      </c>
      <c r="G498" s="1007"/>
      <c r="H498" s="622" t="s">
        <v>46</v>
      </c>
      <c r="I498" s="880">
        <f ca="1">IFERROR(__xludf.DUMMYFUNCTION("IMPORTRANGE(""https://docs.google.com/spreadsheets/d/1QqKyyYR6Q21VydFLVH3TRQUabQu_ym0Zz7PgGX0-kHA/edit?usp=sharing"",""แผน!GA76"")"),50)</f>
        <v>50</v>
      </c>
      <c r="J498" s="1012">
        <v>50</v>
      </c>
      <c r="K498" s="881">
        <f ca="1">IF(I498&gt;0,J498*100/I498,0)</f>
        <v>100</v>
      </c>
      <c r="L498" s="881"/>
      <c r="M498" s="881"/>
      <c r="N498" s="881"/>
      <c r="O498" s="881"/>
      <c r="P498" s="881"/>
      <c r="Q498" s="1302"/>
      <c r="R498" s="1302"/>
      <c r="S498" s="1302"/>
      <c r="T498" s="1302"/>
      <c r="U498" s="1302"/>
      <c r="V498" s="1302"/>
      <c r="W498" s="1302"/>
      <c r="X498" s="1302"/>
      <c r="Y498" s="1302"/>
      <c r="Z498" s="1302"/>
    </row>
    <row r="499" spans="1:26" ht="18.75">
      <c r="A499" s="1326"/>
      <c r="B499" s="1327"/>
      <c r="C499" s="1327"/>
      <c r="D499" s="1327"/>
      <c r="E499" s="1014"/>
      <c r="F499" s="1014" t="s">
        <v>219</v>
      </c>
      <c r="G499" s="1007"/>
      <c r="H499" s="622" t="s">
        <v>46</v>
      </c>
      <c r="I499" s="880"/>
      <c r="J499" s="1012">
        <v>50</v>
      </c>
      <c r="K499" s="881"/>
      <c r="L499" s="881"/>
      <c r="M499" s="881"/>
      <c r="N499" s="881"/>
      <c r="O499" s="881"/>
      <c r="P499" s="881"/>
      <c r="Q499" s="1302"/>
      <c r="R499" s="1302"/>
      <c r="S499" s="1302"/>
      <c r="T499" s="1302"/>
      <c r="U499" s="1302"/>
      <c r="V499" s="1302"/>
      <c r="W499" s="1302"/>
      <c r="X499" s="1302"/>
      <c r="Y499" s="1302"/>
      <c r="Z499" s="1302"/>
    </row>
    <row r="500" spans="1:26" ht="19.5" hidden="1">
      <c r="A500" s="626">
        <v>4</v>
      </c>
      <c r="B500" s="1337" t="s">
        <v>220</v>
      </c>
      <c r="C500" s="1338"/>
      <c r="D500" s="1339"/>
      <c r="E500" s="1339"/>
      <c r="F500" s="1339"/>
      <c r="G500" s="1340"/>
      <c r="H500" s="631" t="s">
        <v>109</v>
      </c>
      <c r="I500" s="1341"/>
      <c r="J500" s="1341">
        <f t="shared" ref="J500:J501" si="214">J516</f>
        <v>0</v>
      </c>
      <c r="K500" s="1342">
        <f t="shared" ref="K500:K501" si="215">IF(I500&gt;0,J500*100/I500,0)</f>
        <v>0</v>
      </c>
      <c r="L500" s="1343"/>
      <c r="M500" s="1343"/>
      <c r="N500" s="1343"/>
      <c r="O500" s="1343"/>
      <c r="P500" s="1343"/>
      <c r="Q500" s="1323"/>
      <c r="R500" s="1323"/>
      <c r="S500" s="1323"/>
      <c r="T500" s="1323"/>
      <c r="U500" s="1323"/>
      <c r="V500" s="1323"/>
      <c r="W500" s="1323"/>
      <c r="X500" s="1323"/>
      <c r="Y500" s="1323"/>
      <c r="Z500" s="1323"/>
    </row>
    <row r="501" spans="1:26" ht="19.5" hidden="1">
      <c r="A501" s="1344"/>
      <c r="B501" s="1345" t="s">
        <v>221</v>
      </c>
      <c r="C501" s="1345"/>
      <c r="D501" s="1346"/>
      <c r="E501" s="1346"/>
      <c r="F501" s="1346"/>
      <c r="G501" s="1347"/>
      <c r="H501" s="640" t="s">
        <v>35</v>
      </c>
      <c r="I501" s="1348"/>
      <c r="J501" s="1348">
        <f t="shared" si="214"/>
        <v>0</v>
      </c>
      <c r="K501" s="1349">
        <f t="shared" si="215"/>
        <v>0</v>
      </c>
      <c r="L501" s="1350"/>
      <c r="M501" s="1350"/>
      <c r="N501" s="1350"/>
      <c r="O501" s="1350"/>
      <c r="P501" s="1350"/>
      <c r="Q501" s="1323"/>
      <c r="R501" s="1323"/>
      <c r="S501" s="1323"/>
      <c r="T501" s="1323"/>
      <c r="U501" s="1323"/>
      <c r="V501" s="1323"/>
      <c r="W501" s="1323"/>
      <c r="X501" s="1323"/>
      <c r="Y501" s="1323"/>
      <c r="Z501" s="1323"/>
    </row>
    <row r="502" spans="1:26" ht="19.5" hidden="1">
      <c r="A502" s="1319"/>
      <c r="B502" s="1320"/>
      <c r="C502" s="1320" t="s">
        <v>16</v>
      </c>
      <c r="D502" s="1351" t="s">
        <v>17</v>
      </c>
      <c r="E502" s="841"/>
      <c r="F502" s="841"/>
      <c r="G502" s="1322"/>
      <c r="H502" s="644" t="s">
        <v>12</v>
      </c>
      <c r="I502" s="886"/>
      <c r="J502" s="886"/>
      <c r="K502" s="887"/>
      <c r="L502" s="1352">
        <f t="shared" ref="L502:N502" si="216">L503+L504</f>
        <v>0</v>
      </c>
      <c r="M502" s="1352">
        <f t="shared" si="216"/>
        <v>0</v>
      </c>
      <c r="N502" s="1352">
        <f t="shared" si="216"/>
        <v>0</v>
      </c>
      <c r="O502" s="1352">
        <f t="shared" ref="O502:O507" si="217">IF(L502&gt;0,N502*100/L502,0)</f>
        <v>0</v>
      </c>
      <c r="P502" s="1352">
        <f t="shared" ref="P502:P507" si="218">IF(M502&gt;0,N502*100/M502,0)</f>
        <v>0</v>
      </c>
      <c r="Q502" s="1323"/>
      <c r="R502" s="1323"/>
      <c r="S502" s="1323"/>
      <c r="T502" s="1323"/>
      <c r="U502" s="1323"/>
      <c r="V502" s="1323"/>
      <c r="W502" s="1323"/>
      <c r="X502" s="1323"/>
      <c r="Y502" s="1323"/>
      <c r="Z502" s="1323"/>
    </row>
    <row r="503" spans="1:26" ht="18.75" hidden="1">
      <c r="A503" s="1319"/>
      <c r="B503" s="1320"/>
      <c r="C503" s="1320"/>
      <c r="D503" s="1321"/>
      <c r="E503" s="1320" t="s">
        <v>185</v>
      </c>
      <c r="F503" s="1320"/>
      <c r="G503" s="1322"/>
      <c r="H503" s="165" t="s">
        <v>12</v>
      </c>
      <c r="I503" s="886"/>
      <c r="J503" s="886"/>
      <c r="K503" s="887"/>
      <c r="L503" s="887">
        <f t="shared" ref="L503:N504" si="219">L506+L513</f>
        <v>0</v>
      </c>
      <c r="M503" s="887">
        <f t="shared" si="219"/>
        <v>0</v>
      </c>
      <c r="N503" s="887">
        <f t="shared" si="219"/>
        <v>0</v>
      </c>
      <c r="O503" s="887">
        <f t="shared" si="217"/>
        <v>0</v>
      </c>
      <c r="P503" s="887">
        <f t="shared" si="218"/>
        <v>0</v>
      </c>
      <c r="Q503" s="1323"/>
      <c r="R503" s="1323"/>
      <c r="S503" s="1323"/>
      <c r="T503" s="1323"/>
      <c r="U503" s="1323"/>
      <c r="V503" s="1323"/>
      <c r="W503" s="1323"/>
      <c r="X503" s="1323"/>
      <c r="Y503" s="1323"/>
      <c r="Z503" s="1323"/>
    </row>
    <row r="504" spans="1:26" ht="18.75" hidden="1">
      <c r="A504" s="1319"/>
      <c r="B504" s="1324"/>
      <c r="C504" s="1320"/>
      <c r="D504" s="1321"/>
      <c r="E504" s="1320" t="s">
        <v>186</v>
      </c>
      <c r="F504" s="1320"/>
      <c r="G504" s="1322"/>
      <c r="H504" s="165" t="s">
        <v>12</v>
      </c>
      <c r="I504" s="886"/>
      <c r="J504" s="886"/>
      <c r="K504" s="887"/>
      <c r="L504" s="887">
        <f t="shared" si="219"/>
        <v>0</v>
      </c>
      <c r="M504" s="887">
        <f t="shared" si="219"/>
        <v>0</v>
      </c>
      <c r="N504" s="887">
        <f t="shared" si="219"/>
        <v>0</v>
      </c>
      <c r="O504" s="887">
        <f t="shared" si="217"/>
        <v>0</v>
      </c>
      <c r="P504" s="887">
        <f t="shared" si="218"/>
        <v>0</v>
      </c>
      <c r="Q504" s="1323"/>
      <c r="R504" s="1323"/>
      <c r="S504" s="1323"/>
      <c r="T504" s="1323"/>
      <c r="U504" s="1323"/>
      <c r="V504" s="1323"/>
      <c r="W504" s="1323"/>
      <c r="X504" s="1323"/>
      <c r="Y504" s="1323"/>
      <c r="Z504" s="1323"/>
    </row>
    <row r="505" spans="1:26" ht="18.75" hidden="1">
      <c r="A505" s="1319"/>
      <c r="B505" s="1324"/>
      <c r="C505" s="1320"/>
      <c r="D505" s="1353" t="s">
        <v>20</v>
      </c>
      <c r="E505" s="1320"/>
      <c r="F505" s="1320"/>
      <c r="G505" s="1322"/>
      <c r="H505" s="165" t="s">
        <v>12</v>
      </c>
      <c r="I505" s="1000"/>
      <c r="J505" s="1000"/>
      <c r="K505" s="1001"/>
      <c r="L505" s="887">
        <f t="shared" ref="L505:N505" si="220">L506+L507</f>
        <v>0</v>
      </c>
      <c r="M505" s="887">
        <f t="shared" si="220"/>
        <v>0</v>
      </c>
      <c r="N505" s="887">
        <f t="shared" si="220"/>
        <v>0</v>
      </c>
      <c r="O505" s="887">
        <f t="shared" si="217"/>
        <v>0</v>
      </c>
      <c r="P505" s="887">
        <f t="shared" si="218"/>
        <v>0</v>
      </c>
      <c r="Q505" s="1323"/>
      <c r="R505" s="1323"/>
      <c r="S505" s="1323"/>
      <c r="T505" s="1323"/>
      <c r="U505" s="1323"/>
      <c r="V505" s="1323"/>
      <c r="W505" s="1323"/>
      <c r="X505" s="1323"/>
      <c r="Y505" s="1323"/>
      <c r="Z505" s="1323"/>
    </row>
    <row r="506" spans="1:26" ht="18.75" hidden="1">
      <c r="A506" s="1319"/>
      <c r="B506" s="1324"/>
      <c r="C506" s="1320"/>
      <c r="D506" s="1321"/>
      <c r="E506" s="1320" t="s">
        <v>185</v>
      </c>
      <c r="F506" s="1320"/>
      <c r="G506" s="1322"/>
      <c r="H506" s="165" t="s">
        <v>12</v>
      </c>
      <c r="I506" s="886"/>
      <c r="J506" s="886"/>
      <c r="K506" s="887"/>
      <c r="L506" s="887">
        <v>0</v>
      </c>
      <c r="M506" s="887">
        <v>0</v>
      </c>
      <c r="N506" s="887">
        <v>0</v>
      </c>
      <c r="O506" s="887">
        <f t="shared" si="217"/>
        <v>0</v>
      </c>
      <c r="P506" s="887">
        <f t="shared" si="218"/>
        <v>0</v>
      </c>
      <c r="Q506" s="1323"/>
      <c r="R506" s="1323"/>
      <c r="S506" s="1323"/>
      <c r="T506" s="1323"/>
      <c r="U506" s="1323"/>
      <c r="V506" s="1323"/>
      <c r="W506" s="1323"/>
      <c r="X506" s="1323"/>
      <c r="Y506" s="1323"/>
      <c r="Z506" s="1323"/>
    </row>
    <row r="507" spans="1:26" ht="18.75" hidden="1">
      <c r="A507" s="1319"/>
      <c r="B507" s="1324"/>
      <c r="C507" s="1320"/>
      <c r="D507" s="1321"/>
      <c r="E507" s="1320" t="s">
        <v>186</v>
      </c>
      <c r="F507" s="1320"/>
      <c r="G507" s="1322"/>
      <c r="H507" s="165" t="s">
        <v>12</v>
      </c>
      <c r="I507" s="886"/>
      <c r="J507" s="886"/>
      <c r="K507" s="887"/>
      <c r="L507" s="887">
        <v>0</v>
      </c>
      <c r="M507" s="887">
        <v>0</v>
      </c>
      <c r="N507" s="887">
        <f>N508+N509+N510+N511</f>
        <v>0</v>
      </c>
      <c r="O507" s="887">
        <f t="shared" si="217"/>
        <v>0</v>
      </c>
      <c r="P507" s="887">
        <f t="shared" si="218"/>
        <v>0</v>
      </c>
      <c r="Q507" s="1323"/>
      <c r="R507" s="1323"/>
      <c r="S507" s="1323"/>
      <c r="T507" s="1323"/>
      <c r="U507" s="1323"/>
      <c r="V507" s="1323"/>
      <c r="W507" s="1323"/>
      <c r="X507" s="1323"/>
      <c r="Y507" s="1323"/>
      <c r="Z507" s="1323"/>
    </row>
    <row r="508" spans="1:26" ht="18.75" hidden="1">
      <c r="A508" s="1354"/>
      <c r="B508" s="1324"/>
      <c r="C508" s="1320"/>
      <c r="D508" s="1320"/>
      <c r="E508" s="1320"/>
      <c r="F508" s="1320" t="s">
        <v>187</v>
      </c>
      <c r="G508" s="1322"/>
      <c r="H508" s="165" t="s">
        <v>12</v>
      </c>
      <c r="I508" s="886"/>
      <c r="J508" s="886"/>
      <c r="K508" s="887"/>
      <c r="L508" s="887"/>
      <c r="M508" s="887"/>
      <c r="N508" s="887">
        <v>0</v>
      </c>
      <c r="O508" s="887"/>
      <c r="P508" s="887"/>
      <c r="Q508" s="1323"/>
      <c r="R508" s="1323"/>
      <c r="S508" s="1323"/>
      <c r="T508" s="1323"/>
      <c r="U508" s="1323"/>
      <c r="V508" s="1323"/>
      <c r="W508" s="1323"/>
      <c r="X508" s="1323"/>
      <c r="Y508" s="1323"/>
      <c r="Z508" s="1323"/>
    </row>
    <row r="509" spans="1:26" ht="18.75" hidden="1">
      <c r="A509" s="1354"/>
      <c r="B509" s="1324"/>
      <c r="C509" s="1320"/>
      <c r="D509" s="1320"/>
      <c r="E509" s="1320"/>
      <c r="F509" s="1320" t="s">
        <v>188</v>
      </c>
      <c r="G509" s="1322"/>
      <c r="H509" s="165" t="s">
        <v>12</v>
      </c>
      <c r="I509" s="886"/>
      <c r="J509" s="886"/>
      <c r="K509" s="887"/>
      <c r="L509" s="887"/>
      <c r="M509" s="887"/>
      <c r="N509" s="887">
        <v>0</v>
      </c>
      <c r="O509" s="887"/>
      <c r="P509" s="887"/>
      <c r="Q509" s="1323"/>
      <c r="R509" s="1323"/>
      <c r="S509" s="1323"/>
      <c r="T509" s="1323"/>
      <c r="U509" s="1323"/>
      <c r="V509" s="1323"/>
      <c r="W509" s="1323"/>
      <c r="X509" s="1323"/>
      <c r="Y509" s="1323"/>
      <c r="Z509" s="1323"/>
    </row>
    <row r="510" spans="1:26" ht="18.75" hidden="1">
      <c r="A510" s="1354"/>
      <c r="B510" s="1324"/>
      <c r="C510" s="1324"/>
      <c r="D510" s="1324"/>
      <c r="E510" s="1320"/>
      <c r="F510" s="1320" t="s">
        <v>189</v>
      </c>
      <c r="G510" s="1322"/>
      <c r="H510" s="165" t="s">
        <v>12</v>
      </c>
      <c r="I510" s="886"/>
      <c r="J510" s="886"/>
      <c r="K510" s="887"/>
      <c r="L510" s="887"/>
      <c r="M510" s="887"/>
      <c r="N510" s="887">
        <v>0</v>
      </c>
      <c r="O510" s="887"/>
      <c r="P510" s="887"/>
      <c r="Q510" s="1323"/>
      <c r="R510" s="1323"/>
      <c r="S510" s="1323"/>
      <c r="T510" s="1323"/>
      <c r="U510" s="1323"/>
      <c r="V510" s="1323"/>
      <c r="W510" s="1323"/>
      <c r="X510" s="1323"/>
      <c r="Y510" s="1323"/>
      <c r="Z510" s="1323"/>
    </row>
    <row r="511" spans="1:26" ht="18.75" hidden="1">
      <c r="A511" s="1354"/>
      <c r="B511" s="1324"/>
      <c r="C511" s="1324"/>
      <c r="D511" s="1324"/>
      <c r="E511" s="1320"/>
      <c r="F511" s="1320" t="s">
        <v>190</v>
      </c>
      <c r="G511" s="1322"/>
      <c r="H511" s="165" t="s">
        <v>12</v>
      </c>
      <c r="I511" s="886"/>
      <c r="J511" s="886"/>
      <c r="K511" s="887"/>
      <c r="L511" s="887"/>
      <c r="M511" s="887"/>
      <c r="N511" s="887">
        <v>0</v>
      </c>
      <c r="O511" s="887"/>
      <c r="P511" s="887"/>
      <c r="Q511" s="1323"/>
      <c r="R511" s="1323"/>
      <c r="S511" s="1323"/>
      <c r="T511" s="1323"/>
      <c r="U511" s="1323"/>
      <c r="V511" s="1323"/>
      <c r="W511" s="1323"/>
      <c r="X511" s="1323"/>
      <c r="Y511" s="1323"/>
      <c r="Z511" s="1323"/>
    </row>
    <row r="512" spans="1:26" ht="18.75" hidden="1">
      <c r="A512" s="1319"/>
      <c r="B512" s="1324"/>
      <c r="C512" s="1324"/>
      <c r="D512" s="1353" t="s">
        <v>21</v>
      </c>
      <c r="E512" s="1324"/>
      <c r="F512" s="1320"/>
      <c r="G512" s="1322"/>
      <c r="H512" s="169" t="s">
        <v>12</v>
      </c>
      <c r="I512" s="1000"/>
      <c r="J512" s="1000"/>
      <c r="K512" s="1001"/>
      <c r="L512" s="887">
        <f t="shared" ref="L512:N512" si="221">L513+L514</f>
        <v>0</v>
      </c>
      <c r="M512" s="887">
        <f t="shared" si="221"/>
        <v>0</v>
      </c>
      <c r="N512" s="887">
        <f t="shared" si="221"/>
        <v>0</v>
      </c>
      <c r="O512" s="887">
        <f t="shared" ref="O512:O514" si="222">IF(L512&gt;0,N512*100/L512,0)</f>
        <v>0</v>
      </c>
      <c r="P512" s="887">
        <f t="shared" ref="P512:P514" si="223">IF(M512&gt;0,N512*100/M512,0)</f>
        <v>0</v>
      </c>
      <c r="Q512" s="1323"/>
      <c r="R512" s="1323"/>
      <c r="S512" s="1323"/>
      <c r="T512" s="1323"/>
      <c r="U512" s="1323"/>
      <c r="V512" s="1323"/>
      <c r="W512" s="1323"/>
      <c r="X512" s="1323"/>
      <c r="Y512" s="1323"/>
      <c r="Z512" s="1323"/>
    </row>
    <row r="513" spans="1:26" ht="18.75" hidden="1">
      <c r="A513" s="1319"/>
      <c r="B513" s="1324"/>
      <c r="C513" s="1324"/>
      <c r="D513" s="1324"/>
      <c r="E513" s="1324" t="s">
        <v>18</v>
      </c>
      <c r="F513" s="1320"/>
      <c r="G513" s="1322"/>
      <c r="H513" s="165" t="s">
        <v>12</v>
      </c>
      <c r="I513" s="1000"/>
      <c r="J513" s="1000"/>
      <c r="K513" s="1001"/>
      <c r="L513" s="887">
        <v>0</v>
      </c>
      <c r="M513" s="887">
        <v>0</v>
      </c>
      <c r="N513" s="887">
        <v>0</v>
      </c>
      <c r="O513" s="887">
        <f t="shared" si="222"/>
        <v>0</v>
      </c>
      <c r="P513" s="887">
        <f t="shared" si="223"/>
        <v>0</v>
      </c>
      <c r="Q513" s="1323"/>
      <c r="R513" s="1323"/>
      <c r="S513" s="1323"/>
      <c r="T513" s="1323"/>
      <c r="U513" s="1323"/>
      <c r="V513" s="1323"/>
      <c r="W513" s="1323"/>
      <c r="X513" s="1323"/>
      <c r="Y513" s="1323"/>
      <c r="Z513" s="1323"/>
    </row>
    <row r="514" spans="1:26" ht="18.75" hidden="1">
      <c r="A514" s="1319"/>
      <c r="B514" s="1324"/>
      <c r="C514" s="1324"/>
      <c r="D514" s="1320"/>
      <c r="E514" s="1324" t="s">
        <v>19</v>
      </c>
      <c r="F514" s="1320"/>
      <c r="G514" s="1322"/>
      <c r="H514" s="169" t="s">
        <v>12</v>
      </c>
      <c r="I514" s="1000"/>
      <c r="J514" s="1000"/>
      <c r="K514" s="1001"/>
      <c r="L514" s="887">
        <v>0</v>
      </c>
      <c r="M514" s="887">
        <v>0</v>
      </c>
      <c r="N514" s="887">
        <v>0</v>
      </c>
      <c r="O514" s="887">
        <f t="shared" si="222"/>
        <v>0</v>
      </c>
      <c r="P514" s="887">
        <f t="shared" si="223"/>
        <v>0</v>
      </c>
      <c r="Q514" s="1323"/>
      <c r="R514" s="1323"/>
      <c r="S514" s="1323"/>
      <c r="T514" s="1323"/>
      <c r="U514" s="1323"/>
      <c r="V514" s="1323"/>
      <c r="W514" s="1323"/>
      <c r="X514" s="1323"/>
      <c r="Y514" s="1323"/>
      <c r="Z514" s="1323"/>
    </row>
    <row r="515" spans="1:26" ht="19.5" hidden="1">
      <c r="A515" s="1332"/>
      <c r="B515" s="1333"/>
      <c r="C515" s="1324" t="s">
        <v>16</v>
      </c>
      <c r="D515" s="1355" t="s">
        <v>38</v>
      </c>
      <c r="E515" s="1356"/>
      <c r="F515" s="1356"/>
      <c r="G515" s="1357"/>
      <c r="H515" s="1113"/>
      <c r="I515" s="1000"/>
      <c r="J515" s="1000"/>
      <c r="K515" s="1001"/>
      <c r="L515" s="1001"/>
      <c r="M515" s="1001"/>
      <c r="N515" s="1001"/>
      <c r="O515" s="1001"/>
      <c r="P515" s="1001"/>
      <c r="Q515" s="1323"/>
      <c r="R515" s="1323"/>
      <c r="S515" s="1323"/>
      <c r="T515" s="1323"/>
      <c r="U515" s="1323"/>
      <c r="V515" s="1323"/>
      <c r="W515" s="1323"/>
      <c r="X515" s="1323"/>
      <c r="Y515" s="1323"/>
      <c r="Z515" s="1323"/>
    </row>
    <row r="516" spans="1:26" ht="18.75" hidden="1">
      <c r="A516" s="1332"/>
      <c r="B516" s="1333"/>
      <c r="C516" s="1333"/>
      <c r="D516" s="1333" t="s">
        <v>222</v>
      </c>
      <c r="E516" s="1321"/>
      <c r="F516" s="1321"/>
      <c r="G516" s="1113"/>
      <c r="H516" s="651" t="s">
        <v>109</v>
      </c>
      <c r="I516" s="886"/>
      <c r="J516" s="886">
        <v>0</v>
      </c>
      <c r="K516" s="1001">
        <f t="shared" ref="K516:K517" si="224">IF(I516&gt;0,J516*100/I516,0)</f>
        <v>0</v>
      </c>
      <c r="L516" s="1001"/>
      <c r="M516" s="1001"/>
      <c r="N516" s="1001"/>
      <c r="O516" s="1001"/>
      <c r="P516" s="1001"/>
      <c r="Q516" s="1323"/>
      <c r="R516" s="1323"/>
      <c r="S516" s="1323"/>
      <c r="T516" s="1323"/>
      <c r="U516" s="1323"/>
      <c r="V516" s="1323"/>
      <c r="W516" s="1323"/>
      <c r="X516" s="1323"/>
      <c r="Y516" s="1323"/>
      <c r="Z516" s="1323"/>
    </row>
    <row r="517" spans="1:26" ht="19.5" hidden="1">
      <c r="A517" s="1332"/>
      <c r="B517" s="1333"/>
      <c r="C517" s="1333"/>
      <c r="D517" s="1333" t="s">
        <v>223</v>
      </c>
      <c r="E517" s="1321"/>
      <c r="F517" s="1321"/>
      <c r="G517" s="1113"/>
      <c r="H517" s="652" t="s">
        <v>35</v>
      </c>
      <c r="I517" s="1358"/>
      <c r="J517" s="1358">
        <f>J518+J519</f>
        <v>0</v>
      </c>
      <c r="K517" s="1359">
        <f t="shared" si="224"/>
        <v>0</v>
      </c>
      <c r="L517" s="1001"/>
      <c r="M517" s="1001"/>
      <c r="N517" s="1001"/>
      <c r="O517" s="1001"/>
      <c r="P517" s="1001"/>
      <c r="Q517" s="1323"/>
      <c r="R517" s="1323"/>
      <c r="S517" s="1323"/>
      <c r="T517" s="1323"/>
      <c r="U517" s="1323"/>
      <c r="V517" s="1323"/>
      <c r="W517" s="1323"/>
      <c r="X517" s="1323"/>
      <c r="Y517" s="1323"/>
      <c r="Z517" s="1323"/>
    </row>
    <row r="518" spans="1:26" ht="18.75" hidden="1">
      <c r="A518" s="1332"/>
      <c r="B518" s="1333"/>
      <c r="C518" s="1333"/>
      <c r="D518" s="1333"/>
      <c r="E518" s="1333" t="s">
        <v>224</v>
      </c>
      <c r="F518" s="1321"/>
      <c r="G518" s="1113"/>
      <c r="H518" s="370" t="s">
        <v>35</v>
      </c>
      <c r="I518" s="886"/>
      <c r="J518" s="886"/>
      <c r="K518" s="1001"/>
      <c r="L518" s="1001"/>
      <c r="M518" s="1001"/>
      <c r="N518" s="1001"/>
      <c r="O518" s="1001"/>
      <c r="P518" s="1001"/>
      <c r="Q518" s="1323"/>
      <c r="R518" s="1323"/>
      <c r="S518" s="1323"/>
      <c r="T518" s="1323"/>
      <c r="U518" s="1323"/>
      <c r="V518" s="1323"/>
      <c r="W518" s="1323"/>
      <c r="X518" s="1323"/>
      <c r="Y518" s="1323"/>
      <c r="Z518" s="1323"/>
    </row>
    <row r="519" spans="1:26" ht="18.75" hidden="1">
      <c r="A519" s="1332"/>
      <c r="B519" s="1333"/>
      <c r="C519" s="1333"/>
      <c r="D519" s="1333"/>
      <c r="E519" s="1333" t="s">
        <v>225</v>
      </c>
      <c r="F519" s="1321"/>
      <c r="G519" s="1113"/>
      <c r="H519" s="651" t="s">
        <v>35</v>
      </c>
      <c r="I519" s="886"/>
      <c r="J519" s="886"/>
      <c r="K519" s="1001"/>
      <c r="L519" s="1001"/>
      <c r="M519" s="1001"/>
      <c r="N519" s="1001"/>
      <c r="O519" s="1001"/>
      <c r="P519" s="1001"/>
      <c r="Q519" s="1323"/>
      <c r="R519" s="1323"/>
      <c r="S519" s="1323"/>
      <c r="T519" s="1323"/>
      <c r="U519" s="1323"/>
      <c r="V519" s="1323"/>
      <c r="W519" s="1323"/>
      <c r="X519" s="1323"/>
      <c r="Y519" s="1323"/>
      <c r="Z519" s="1323"/>
    </row>
    <row r="520" spans="1:26" ht="19.5">
      <c r="A520" s="1360" t="s">
        <v>137</v>
      </c>
      <c r="B520" s="1361"/>
      <c r="C520" s="1361"/>
      <c r="D520" s="1362"/>
      <c r="E520" s="1362"/>
      <c r="F520" s="1362"/>
      <c r="G520" s="1363"/>
      <c r="H520" s="1364"/>
      <c r="I520" s="1365"/>
      <c r="J520" s="1365"/>
      <c r="K520" s="1366"/>
      <c r="L520" s="1366"/>
      <c r="M520" s="1366"/>
      <c r="N520" s="1366"/>
      <c r="O520" s="1366"/>
      <c r="P520" s="1366"/>
    </row>
    <row r="521" spans="1:26" ht="19.5">
      <c r="A521" s="662">
        <v>5</v>
      </c>
      <c r="B521" s="1367" t="s">
        <v>226</v>
      </c>
      <c r="C521" s="1368"/>
      <c r="D521" s="1369"/>
      <c r="E521" s="1369"/>
      <c r="F521" s="1369"/>
      <c r="G521" s="1369"/>
      <c r="H521" s="1370"/>
      <c r="I521" s="1371"/>
      <c r="J521" s="1371"/>
      <c r="K521" s="1372"/>
      <c r="L521" s="1372"/>
      <c r="M521" s="1372"/>
      <c r="N521" s="1372"/>
      <c r="O521" s="1372"/>
      <c r="P521" s="1372"/>
      <c r="Q521" s="1302"/>
      <c r="R521" s="1302"/>
      <c r="S521" s="1302"/>
      <c r="T521" s="1302"/>
      <c r="U521" s="1302"/>
      <c r="V521" s="1302"/>
      <c r="W521" s="1302"/>
      <c r="X521" s="1302"/>
      <c r="Y521" s="1302"/>
      <c r="Z521" s="1302"/>
    </row>
    <row r="522" spans="1:26" ht="19.5">
      <c r="A522" s="1373"/>
      <c r="B522" s="1374" t="s">
        <v>227</v>
      </c>
      <c r="C522" s="1375"/>
      <c r="D522" s="1375"/>
      <c r="E522" s="1375"/>
      <c r="F522" s="1375"/>
      <c r="G522" s="1376"/>
      <c r="H522" s="673" t="s">
        <v>35</v>
      </c>
      <c r="I522" s="1377">
        <f t="shared" ref="I522:J522" ca="1" si="225">I537</f>
        <v>50</v>
      </c>
      <c r="J522" s="1377">
        <f t="shared" ca="1" si="225"/>
        <v>50</v>
      </c>
      <c r="K522" s="1378">
        <f ca="1">IF(I522&gt;0,J522*100/I522,0)</f>
        <v>100</v>
      </c>
      <c r="L522" s="1379"/>
      <c r="M522" s="1379"/>
      <c r="N522" s="1379"/>
      <c r="O522" s="1379"/>
      <c r="P522" s="1379"/>
      <c r="Q522" s="1302"/>
      <c r="R522" s="1302"/>
      <c r="S522" s="1302"/>
      <c r="T522" s="1302"/>
      <c r="U522" s="1302"/>
      <c r="V522" s="1302"/>
      <c r="W522" s="1302"/>
      <c r="X522" s="1302"/>
      <c r="Y522" s="1302"/>
      <c r="Z522" s="1302"/>
    </row>
    <row r="523" spans="1:26" ht="19.5">
      <c r="A523" s="1317"/>
      <c r="B523" s="1301"/>
      <c r="C523" s="1301" t="s">
        <v>16</v>
      </c>
      <c r="D523" s="1318" t="s">
        <v>17</v>
      </c>
      <c r="E523" s="841"/>
      <c r="F523" s="841"/>
      <c r="G523" s="1016"/>
      <c r="H523" s="597" t="s">
        <v>12</v>
      </c>
      <c r="I523" s="880"/>
      <c r="J523" s="880"/>
      <c r="K523" s="881"/>
      <c r="L523" s="1020">
        <f t="shared" ref="L523:N523" ca="1" si="226">L524+L525</f>
        <v>440560</v>
      </c>
      <c r="M523" s="1020">
        <f t="shared" ca="1" si="226"/>
        <v>440560</v>
      </c>
      <c r="N523" s="1020">
        <f t="shared" si="226"/>
        <v>412540</v>
      </c>
      <c r="O523" s="1020">
        <f t="shared" ref="O523:O528" ca="1" si="227">IF(L523&gt;0,N523*100/L523,0)</f>
        <v>93.639912838205916</v>
      </c>
      <c r="P523" s="1020">
        <f t="shared" ref="P523:P528" ca="1" si="228">IF(M523&gt;0,N523*100/M523,0)</f>
        <v>93.639912838205916</v>
      </c>
      <c r="Q523" s="1302"/>
      <c r="R523" s="1302"/>
      <c r="S523" s="1302"/>
      <c r="T523" s="1302"/>
      <c r="U523" s="1302"/>
      <c r="V523" s="1302"/>
      <c r="W523" s="1302"/>
      <c r="X523" s="1302"/>
      <c r="Y523" s="1302"/>
      <c r="Z523" s="1302"/>
    </row>
    <row r="524" spans="1:26" ht="18.75" hidden="1">
      <c r="A524" s="1319"/>
      <c r="B524" s="1320"/>
      <c r="C524" s="1320"/>
      <c r="D524" s="1321"/>
      <c r="E524" s="1320" t="s">
        <v>185</v>
      </c>
      <c r="F524" s="1320"/>
      <c r="G524" s="1322"/>
      <c r="H524" s="165" t="s">
        <v>12</v>
      </c>
      <c r="I524" s="886"/>
      <c r="J524" s="886"/>
      <c r="K524" s="887"/>
      <c r="L524" s="887">
        <f t="shared" ref="L524:N525" si="229">L527+L534</f>
        <v>0</v>
      </c>
      <c r="M524" s="887">
        <f t="shared" si="229"/>
        <v>0</v>
      </c>
      <c r="N524" s="887">
        <f t="shared" si="229"/>
        <v>0</v>
      </c>
      <c r="O524" s="887">
        <f t="shared" si="227"/>
        <v>0</v>
      </c>
      <c r="P524" s="887">
        <f t="shared" si="228"/>
        <v>0</v>
      </c>
      <c r="Q524" s="1323"/>
      <c r="R524" s="1323"/>
      <c r="S524" s="1323"/>
      <c r="T524" s="1323"/>
      <c r="U524" s="1323"/>
      <c r="V524" s="1323"/>
      <c r="W524" s="1323"/>
      <c r="X524" s="1323"/>
      <c r="Y524" s="1323"/>
      <c r="Z524" s="1323"/>
    </row>
    <row r="525" spans="1:26" ht="18.75" hidden="1">
      <c r="A525" s="1319"/>
      <c r="B525" s="1324"/>
      <c r="C525" s="1320"/>
      <c r="D525" s="1321"/>
      <c r="E525" s="1320" t="s">
        <v>186</v>
      </c>
      <c r="F525" s="1320"/>
      <c r="G525" s="1322"/>
      <c r="H525" s="165" t="s">
        <v>12</v>
      </c>
      <c r="I525" s="886"/>
      <c r="J525" s="886"/>
      <c r="K525" s="887"/>
      <c r="L525" s="887">
        <f t="shared" ca="1" si="229"/>
        <v>440560</v>
      </c>
      <c r="M525" s="887">
        <f t="shared" ca="1" si="229"/>
        <v>440560</v>
      </c>
      <c r="N525" s="887">
        <f t="shared" si="229"/>
        <v>412540</v>
      </c>
      <c r="O525" s="887">
        <f t="shared" ca="1" si="227"/>
        <v>93.639912838205916</v>
      </c>
      <c r="P525" s="887">
        <f t="shared" ca="1" si="228"/>
        <v>93.639912838205916</v>
      </c>
      <c r="Q525" s="1323"/>
      <c r="R525" s="1323"/>
      <c r="S525" s="1323"/>
      <c r="T525" s="1323"/>
      <c r="U525" s="1323"/>
      <c r="V525" s="1323"/>
      <c r="W525" s="1323"/>
      <c r="X525" s="1323"/>
      <c r="Y525" s="1323"/>
      <c r="Z525" s="1323"/>
    </row>
    <row r="526" spans="1:26" ht="18.75">
      <c r="A526" s="1317"/>
      <c r="B526" s="1300"/>
      <c r="C526" s="1301"/>
      <c r="D526" s="1325" t="s">
        <v>20</v>
      </c>
      <c r="E526" s="1301"/>
      <c r="F526" s="1301"/>
      <c r="G526" s="1016"/>
      <c r="H526" s="161" t="s">
        <v>12</v>
      </c>
      <c r="I526" s="997"/>
      <c r="J526" s="997"/>
      <c r="K526" s="998"/>
      <c r="L526" s="881">
        <f t="shared" ref="L526:N526" ca="1" si="230">L527+L528</f>
        <v>440560</v>
      </c>
      <c r="M526" s="881">
        <f t="shared" ca="1" si="230"/>
        <v>440560</v>
      </c>
      <c r="N526" s="881">
        <f t="shared" si="230"/>
        <v>412540</v>
      </c>
      <c r="O526" s="881">
        <f t="shared" ca="1" si="227"/>
        <v>93.639912838205916</v>
      </c>
      <c r="P526" s="881">
        <f t="shared" ca="1" si="228"/>
        <v>93.639912838205916</v>
      </c>
      <c r="Q526" s="1302"/>
      <c r="R526" s="1302"/>
      <c r="S526" s="1302"/>
      <c r="T526" s="1302"/>
      <c r="U526" s="1302"/>
      <c r="V526" s="1302"/>
      <c r="W526" s="1302"/>
      <c r="X526" s="1302"/>
      <c r="Y526" s="1302"/>
      <c r="Z526" s="1302"/>
    </row>
    <row r="527" spans="1:26" ht="18.75" hidden="1">
      <c r="A527" s="1319"/>
      <c r="B527" s="1324"/>
      <c r="C527" s="1320"/>
      <c r="D527" s="1321"/>
      <c r="E527" s="1320" t="s">
        <v>185</v>
      </c>
      <c r="F527" s="1320"/>
      <c r="G527" s="1322"/>
      <c r="H527" s="165" t="s">
        <v>12</v>
      </c>
      <c r="I527" s="886"/>
      <c r="J527" s="886"/>
      <c r="K527" s="887"/>
      <c r="L527" s="887">
        <v>0</v>
      </c>
      <c r="M527" s="887">
        <v>0</v>
      </c>
      <c r="N527" s="887">
        <v>0</v>
      </c>
      <c r="O527" s="887">
        <f t="shared" si="227"/>
        <v>0</v>
      </c>
      <c r="P527" s="887">
        <f t="shared" si="228"/>
        <v>0</v>
      </c>
      <c r="Q527" s="1323"/>
      <c r="R527" s="1323"/>
      <c r="S527" s="1323"/>
      <c r="T527" s="1323"/>
      <c r="U527" s="1323"/>
      <c r="V527" s="1323"/>
      <c r="W527" s="1323"/>
      <c r="X527" s="1323"/>
      <c r="Y527" s="1323"/>
      <c r="Z527" s="1323"/>
    </row>
    <row r="528" spans="1:26" ht="18.75" hidden="1">
      <c r="A528" s="1319"/>
      <c r="B528" s="1324"/>
      <c r="C528" s="1320"/>
      <c r="D528" s="1321"/>
      <c r="E528" s="1320" t="s">
        <v>186</v>
      </c>
      <c r="F528" s="1320"/>
      <c r="G528" s="1322"/>
      <c r="H528" s="165" t="s">
        <v>12</v>
      </c>
      <c r="I528" s="886"/>
      <c r="J528" s="886"/>
      <c r="K528" s="887"/>
      <c r="L528" s="887">
        <f ca="1">IFERROR(__xludf.DUMMYFUNCTION("IMPORTRANGE(""https://docs.google.com/spreadsheets/d/1QqKyyYR6Q21VydFLVH3TRQUabQu_ym0Zz7PgGX0-kHA/edit?usp=sharing"",""แผน!GQ76"")"),440560)</f>
        <v>440560</v>
      </c>
      <c r="M528" s="887">
        <f ca="1">L528</f>
        <v>440560</v>
      </c>
      <c r="N528" s="887">
        <f>N529+N530+N531+N532</f>
        <v>412540</v>
      </c>
      <c r="O528" s="887">
        <f t="shared" ca="1" si="227"/>
        <v>93.639912838205916</v>
      </c>
      <c r="P528" s="887">
        <f t="shared" ca="1" si="228"/>
        <v>93.639912838205916</v>
      </c>
      <c r="Q528" s="1323"/>
      <c r="R528" s="1323"/>
      <c r="S528" s="1323"/>
      <c r="T528" s="1323"/>
      <c r="U528" s="1323"/>
      <c r="V528" s="1323"/>
      <c r="W528" s="1323"/>
      <c r="X528" s="1323"/>
      <c r="Y528" s="1323"/>
      <c r="Z528" s="1323"/>
    </row>
    <row r="529" spans="1:26" ht="18.75">
      <c r="A529" s="1299"/>
      <c r="B529" s="1300"/>
      <c r="C529" s="1301"/>
      <c r="D529" s="1301"/>
      <c r="E529" s="1301"/>
      <c r="F529" s="1301" t="s">
        <v>187</v>
      </c>
      <c r="G529" s="1016"/>
      <c r="H529" s="161" t="s">
        <v>12</v>
      </c>
      <c r="I529" s="880"/>
      <c r="J529" s="880"/>
      <c r="K529" s="881"/>
      <c r="L529" s="881"/>
      <c r="M529" s="881"/>
      <c r="N529" s="1085">
        <v>148220</v>
      </c>
      <c r="O529" s="881"/>
      <c r="P529" s="881"/>
      <c r="Q529" s="1302"/>
      <c r="R529" s="1302"/>
      <c r="S529" s="1302"/>
      <c r="T529" s="1302"/>
      <c r="U529" s="1302"/>
      <c r="V529" s="1302"/>
      <c r="W529" s="1302"/>
      <c r="X529" s="1302"/>
      <c r="Y529" s="1302"/>
      <c r="Z529" s="1302"/>
    </row>
    <row r="530" spans="1:26" ht="18.75">
      <c r="A530" s="1299"/>
      <c r="B530" s="1300"/>
      <c r="C530" s="1301"/>
      <c r="D530" s="1301"/>
      <c r="E530" s="1301"/>
      <c r="F530" s="1301" t="s">
        <v>188</v>
      </c>
      <c r="G530" s="1016"/>
      <c r="H530" s="161" t="s">
        <v>12</v>
      </c>
      <c r="I530" s="880"/>
      <c r="J530" s="880"/>
      <c r="K530" s="881"/>
      <c r="L530" s="881"/>
      <c r="M530" s="881"/>
      <c r="N530" s="1085">
        <v>250000</v>
      </c>
      <c r="O530" s="881"/>
      <c r="P530" s="881"/>
      <c r="Q530" s="1302"/>
      <c r="R530" s="1302"/>
      <c r="S530" s="1302"/>
      <c r="T530" s="1302"/>
      <c r="U530" s="1302"/>
      <c r="V530" s="1302"/>
      <c r="W530" s="1302"/>
      <c r="X530" s="1302"/>
      <c r="Y530" s="1302"/>
      <c r="Z530" s="1302"/>
    </row>
    <row r="531" spans="1:26" ht="18.75">
      <c r="A531" s="1299"/>
      <c r="B531" s="1300"/>
      <c r="C531" s="1301"/>
      <c r="D531" s="1301"/>
      <c r="E531" s="1301"/>
      <c r="F531" s="1301" t="s">
        <v>189</v>
      </c>
      <c r="G531" s="1016"/>
      <c r="H531" s="161" t="s">
        <v>12</v>
      </c>
      <c r="I531" s="880"/>
      <c r="J531" s="880"/>
      <c r="K531" s="881"/>
      <c r="L531" s="881"/>
      <c r="M531" s="881"/>
      <c r="N531" s="1085">
        <v>0</v>
      </c>
      <c r="O531" s="881"/>
      <c r="P531" s="881"/>
      <c r="Q531" s="1302"/>
      <c r="R531" s="1302"/>
      <c r="S531" s="1302"/>
      <c r="T531" s="1302"/>
      <c r="U531" s="1302"/>
      <c r="V531" s="1302"/>
      <c r="W531" s="1302"/>
      <c r="X531" s="1302"/>
      <c r="Y531" s="1302"/>
      <c r="Z531" s="1302"/>
    </row>
    <row r="532" spans="1:26" ht="18.75">
      <c r="A532" s="1299"/>
      <c r="B532" s="1300"/>
      <c r="C532" s="1301"/>
      <c r="D532" s="1301"/>
      <c r="E532" s="1301"/>
      <c r="F532" s="1301" t="s">
        <v>190</v>
      </c>
      <c r="G532" s="1016"/>
      <c r="H532" s="161" t="s">
        <v>12</v>
      </c>
      <c r="I532" s="880"/>
      <c r="J532" s="880"/>
      <c r="K532" s="881"/>
      <c r="L532" s="881"/>
      <c r="M532" s="881"/>
      <c r="N532" s="1085">
        <v>14320</v>
      </c>
      <c r="O532" s="881"/>
      <c r="P532" s="881"/>
      <c r="Q532" s="1302"/>
      <c r="R532" s="1302"/>
      <c r="S532" s="1302"/>
      <c r="T532" s="1302"/>
      <c r="U532" s="1302"/>
      <c r="V532" s="1302"/>
      <c r="W532" s="1302"/>
      <c r="X532" s="1302"/>
      <c r="Y532" s="1302"/>
      <c r="Z532" s="1302"/>
    </row>
    <row r="533" spans="1:26" ht="18.75">
      <c r="A533" s="1317"/>
      <c r="B533" s="1300"/>
      <c r="C533" s="1301"/>
      <c r="D533" s="1325" t="s">
        <v>21</v>
      </c>
      <c r="E533" s="1301"/>
      <c r="F533" s="1301"/>
      <c r="G533" s="1016"/>
      <c r="H533" s="168" t="s">
        <v>12</v>
      </c>
      <c r="I533" s="997"/>
      <c r="J533" s="997"/>
      <c r="K533" s="998"/>
      <c r="L533" s="881">
        <f t="shared" ref="L533:N533" ca="1" si="231">L534+L535</f>
        <v>0</v>
      </c>
      <c r="M533" s="881">
        <f t="shared" si="231"/>
        <v>0</v>
      </c>
      <c r="N533" s="881">
        <f t="shared" si="231"/>
        <v>0</v>
      </c>
      <c r="O533" s="881">
        <f t="shared" ref="O533:O535" ca="1" si="232">IF(L533&gt;0,N533*100/L533,0)</f>
        <v>0</v>
      </c>
      <c r="P533" s="881">
        <f t="shared" ref="P533:P535" si="233">IF(M533&gt;0,N533*100/M533,0)</f>
        <v>0</v>
      </c>
      <c r="Q533" s="1302"/>
      <c r="R533" s="1302"/>
      <c r="S533" s="1302"/>
      <c r="T533" s="1302"/>
      <c r="U533" s="1302"/>
      <c r="V533" s="1302"/>
      <c r="W533" s="1302"/>
      <c r="X533" s="1302"/>
      <c r="Y533" s="1302"/>
      <c r="Z533" s="1302"/>
    </row>
    <row r="534" spans="1:26" ht="18.75" hidden="1">
      <c r="A534" s="1319"/>
      <c r="B534" s="1324"/>
      <c r="C534" s="1320"/>
      <c r="D534" s="1320"/>
      <c r="E534" s="1320" t="s">
        <v>18</v>
      </c>
      <c r="F534" s="1320"/>
      <c r="G534" s="1322"/>
      <c r="H534" s="165" t="s">
        <v>12</v>
      </c>
      <c r="I534" s="1000"/>
      <c r="J534" s="1000"/>
      <c r="K534" s="1001"/>
      <c r="L534" s="887">
        <v>0</v>
      </c>
      <c r="M534" s="887">
        <v>0</v>
      </c>
      <c r="N534" s="887">
        <v>0</v>
      </c>
      <c r="O534" s="887">
        <f t="shared" si="232"/>
        <v>0</v>
      </c>
      <c r="P534" s="887">
        <f t="shared" si="233"/>
        <v>0</v>
      </c>
      <c r="Q534" s="1323"/>
      <c r="R534" s="1323"/>
      <c r="S534" s="1323"/>
      <c r="T534" s="1323"/>
      <c r="U534" s="1323"/>
      <c r="V534" s="1323"/>
      <c r="W534" s="1323"/>
      <c r="X534" s="1323"/>
      <c r="Y534" s="1323"/>
      <c r="Z534" s="1323"/>
    </row>
    <row r="535" spans="1:26" ht="18.75" hidden="1">
      <c r="A535" s="1319"/>
      <c r="B535" s="1324"/>
      <c r="C535" s="1320"/>
      <c r="D535" s="1320"/>
      <c r="E535" s="1320" t="s">
        <v>19</v>
      </c>
      <c r="F535" s="1320"/>
      <c r="G535" s="1322"/>
      <c r="H535" s="169" t="s">
        <v>12</v>
      </c>
      <c r="I535" s="1000"/>
      <c r="J535" s="1000"/>
      <c r="K535" s="1001"/>
      <c r="L535" s="887">
        <f ca="1">IFERROR(__xludf.DUMMYFUNCTION("IMPORTRANGE(""https://docs.google.com/spreadsheets/d/1QqKyyYR6Q21VydFLVH3TRQUabQu_ym0Zz7PgGX0-kHA/edit?usp=sharing"",""แผน!GT76"")"),0)</f>
        <v>0</v>
      </c>
      <c r="M535" s="887">
        <v>0</v>
      </c>
      <c r="N535" s="887">
        <v>0</v>
      </c>
      <c r="O535" s="887">
        <f t="shared" ca="1" si="232"/>
        <v>0</v>
      </c>
      <c r="P535" s="887">
        <f t="shared" si="233"/>
        <v>0</v>
      </c>
      <c r="Q535" s="1323"/>
      <c r="R535" s="1323"/>
      <c r="S535" s="1323"/>
      <c r="T535" s="1323"/>
      <c r="U535" s="1323"/>
      <c r="V535" s="1323"/>
      <c r="W535" s="1323"/>
      <c r="X535" s="1323"/>
      <c r="Y535" s="1323"/>
      <c r="Z535" s="1323"/>
    </row>
    <row r="536" spans="1:26" ht="19.5">
      <c r="A536" s="1326"/>
      <c r="B536" s="1327"/>
      <c r="C536" s="1301" t="s">
        <v>16</v>
      </c>
      <c r="D536" s="1380" t="s">
        <v>38</v>
      </c>
      <c r="E536" s="1330"/>
      <c r="F536" s="1330"/>
      <c r="G536" s="1331"/>
      <c r="H536" s="1007"/>
      <c r="I536" s="997"/>
      <c r="J536" s="997"/>
      <c r="K536" s="998"/>
      <c r="L536" s="998"/>
      <c r="M536" s="998"/>
      <c r="N536" s="998"/>
      <c r="O536" s="998"/>
      <c r="P536" s="998"/>
      <c r="Q536" s="1302"/>
      <c r="R536" s="1302"/>
      <c r="S536" s="1302"/>
      <c r="T536" s="1302"/>
      <c r="U536" s="1302"/>
      <c r="V536" s="1302"/>
      <c r="W536" s="1302"/>
      <c r="X536" s="1302"/>
      <c r="Y536" s="1302"/>
      <c r="Z536" s="1302"/>
    </row>
    <row r="537" spans="1:26" ht="19.5">
      <c r="A537" s="1299"/>
      <c r="B537" s="1300"/>
      <c r="C537" s="1301"/>
      <c r="D537" s="1301" t="s">
        <v>228</v>
      </c>
      <c r="E537" s="1301"/>
      <c r="F537" s="1301"/>
      <c r="G537" s="1016"/>
      <c r="H537" s="622" t="s">
        <v>35</v>
      </c>
      <c r="I537" s="1019">
        <f ca="1">IFERROR(__xludf.DUMMYFUNCTION("IMPORTRANGE(""https://docs.google.com/spreadsheets/d/1QqKyyYR6Q21VydFLVH3TRQUabQu_ym0Zz7PgGX0-kHA/edit?usp=sharing"",""แผน!GU76"")"),50)</f>
        <v>50</v>
      </c>
      <c r="J537" s="1019">
        <f ca="1">IF(AND(J538=I538,J539=I539,J540=I540,J541=I541),I537,0)</f>
        <v>50</v>
      </c>
      <c r="K537" s="881">
        <f t="shared" ref="K537:K543" ca="1" si="234">IF(I537&gt;0,J537*100/I537,0)</f>
        <v>100</v>
      </c>
      <c r="L537" s="881"/>
      <c r="M537" s="881"/>
      <c r="N537" s="881"/>
      <c r="O537" s="881"/>
      <c r="P537" s="881"/>
      <c r="Q537" s="1381"/>
      <c r="R537" s="1381"/>
      <c r="S537" s="1381"/>
      <c r="T537" s="1381"/>
      <c r="U537" s="1381"/>
      <c r="V537" s="1381"/>
      <c r="W537" s="1381"/>
      <c r="X537" s="1381"/>
      <c r="Y537" s="1381"/>
      <c r="Z537" s="1381"/>
    </row>
    <row r="538" spans="1:26" ht="18.75">
      <c r="A538" s="1299"/>
      <c r="B538" s="1300"/>
      <c r="C538" s="1301"/>
      <c r="D538" s="1301"/>
      <c r="E538" s="1301" t="s">
        <v>229</v>
      </c>
      <c r="F538" s="1301"/>
      <c r="G538" s="1016"/>
      <c r="H538" s="622" t="s">
        <v>35</v>
      </c>
      <c r="I538" s="880">
        <f ca="1">IFERROR(__xludf.DUMMYFUNCTION("IMPORTRANGE(""https://docs.google.com/spreadsheets/d/1QqKyyYR6Q21VydFLVH3TRQUabQu_ym0Zz7PgGX0-kHA/edit?usp=sharing"",""แผน!GV76"")"),50)</f>
        <v>50</v>
      </c>
      <c r="J538" s="1012">
        <v>50</v>
      </c>
      <c r="K538" s="881">
        <f t="shared" ca="1" si="234"/>
        <v>100</v>
      </c>
      <c r="L538" s="881"/>
      <c r="M538" s="881"/>
      <c r="N538" s="881"/>
      <c r="O538" s="881"/>
      <c r="P538" s="881"/>
      <c r="Q538" s="1381"/>
      <c r="R538" s="1381"/>
      <c r="S538" s="1381"/>
      <c r="T538" s="1381"/>
      <c r="U538" s="1381"/>
      <c r="V538" s="1381"/>
      <c r="W538" s="1381"/>
      <c r="X538" s="1381"/>
      <c r="Y538" s="1381"/>
      <c r="Z538" s="1381"/>
    </row>
    <row r="539" spans="1:26" ht="18.75">
      <c r="A539" s="1299"/>
      <c r="B539" s="1300"/>
      <c r="C539" s="1301"/>
      <c r="D539" s="1301"/>
      <c r="E539" s="1301" t="s">
        <v>230</v>
      </c>
      <c r="F539" s="1301"/>
      <c r="G539" s="1016"/>
      <c r="H539" s="622" t="s">
        <v>35</v>
      </c>
      <c r="I539" s="880">
        <f ca="1">IFERROR(__xludf.DUMMYFUNCTION("IMPORTRANGE(""https://docs.google.com/spreadsheets/d/1QqKyyYR6Q21VydFLVH3TRQUabQu_ym0Zz7PgGX0-kHA/edit?usp=sharing"",""แผน!GW76"")"),50)</f>
        <v>50</v>
      </c>
      <c r="J539" s="1012">
        <v>50</v>
      </c>
      <c r="K539" s="881">
        <f t="shared" ca="1" si="234"/>
        <v>100</v>
      </c>
      <c r="L539" s="881"/>
      <c r="M539" s="881"/>
      <c r="N539" s="881"/>
      <c r="O539" s="881"/>
      <c r="P539" s="881"/>
      <c r="Q539" s="1381"/>
      <c r="R539" s="1381"/>
      <c r="S539" s="1381"/>
      <c r="T539" s="1381"/>
      <c r="U539" s="1381"/>
      <c r="V539" s="1381"/>
      <c r="W539" s="1381"/>
      <c r="X539" s="1381"/>
      <c r="Y539" s="1381"/>
      <c r="Z539" s="1381"/>
    </row>
    <row r="540" spans="1:26" ht="18.75">
      <c r="A540" s="1299"/>
      <c r="B540" s="1300"/>
      <c r="C540" s="1301"/>
      <c r="D540" s="1301"/>
      <c r="E540" s="1301" t="s">
        <v>231</v>
      </c>
      <c r="F540" s="1301"/>
      <c r="G540" s="1016"/>
      <c r="H540" s="622" t="s">
        <v>35</v>
      </c>
      <c r="I540" s="880">
        <f ca="1">IFERROR(__xludf.DUMMYFUNCTION("IMPORTRANGE(""https://docs.google.com/spreadsheets/d/1QqKyyYR6Q21VydFLVH3TRQUabQu_ym0Zz7PgGX0-kHA/edit?usp=sharing"",""แผน!GX76"")"),50)</f>
        <v>50</v>
      </c>
      <c r="J540" s="1012">
        <v>50</v>
      </c>
      <c r="K540" s="881">
        <f t="shared" ca="1" si="234"/>
        <v>100</v>
      </c>
      <c r="L540" s="881"/>
      <c r="M540" s="881"/>
      <c r="N540" s="881"/>
      <c r="O540" s="881"/>
      <c r="P540" s="881"/>
      <c r="Q540" s="1381"/>
      <c r="R540" s="1381"/>
      <c r="S540" s="1381"/>
      <c r="T540" s="1381"/>
      <c r="U540" s="1381"/>
      <c r="V540" s="1381"/>
      <c r="W540" s="1381"/>
      <c r="X540" s="1381"/>
      <c r="Y540" s="1381"/>
      <c r="Z540" s="1381"/>
    </row>
    <row r="541" spans="1:26" ht="18.75">
      <c r="A541" s="1299"/>
      <c r="B541" s="1300"/>
      <c r="C541" s="1301"/>
      <c r="D541" s="1301"/>
      <c r="E541" s="1382" t="s">
        <v>232</v>
      </c>
      <c r="F541" s="1301"/>
      <c r="G541" s="1016"/>
      <c r="H541" s="622" t="s">
        <v>35</v>
      </c>
      <c r="I541" s="880">
        <f ca="1">IFERROR(__xludf.DUMMYFUNCTION("IMPORTRANGE(""https://docs.google.com/spreadsheets/d/1QqKyyYR6Q21VydFLVH3TRQUabQu_ym0Zz7PgGX0-kHA/edit?usp=sharing"",""แผน!GY76"")"),0)</f>
        <v>0</v>
      </c>
      <c r="J541" s="1012">
        <v>0</v>
      </c>
      <c r="K541" s="881">
        <f t="shared" ca="1" si="234"/>
        <v>0</v>
      </c>
      <c r="L541" s="881"/>
      <c r="M541" s="881"/>
      <c r="N541" s="881"/>
      <c r="O541" s="881"/>
      <c r="P541" s="881"/>
      <c r="Q541" s="1381"/>
      <c r="R541" s="1381"/>
      <c r="S541" s="1381"/>
      <c r="T541" s="1381"/>
      <c r="U541" s="1381"/>
      <c r="V541" s="1381"/>
      <c r="W541" s="1381"/>
      <c r="X541" s="1381"/>
      <c r="Y541" s="1381"/>
      <c r="Z541" s="1381"/>
    </row>
    <row r="542" spans="1:26" ht="18.75">
      <c r="A542" s="1299"/>
      <c r="B542" s="1300"/>
      <c r="C542" s="1301"/>
      <c r="D542" s="1301" t="s">
        <v>59</v>
      </c>
      <c r="E542" s="1301"/>
      <c r="F542" s="1301"/>
      <c r="G542" s="1016"/>
      <c r="H542" s="622" t="s">
        <v>35</v>
      </c>
      <c r="I542" s="880">
        <f ca="1">IFERROR(__xludf.DUMMYFUNCTION("IMPORTRANGE(""https://docs.google.com/spreadsheets/d/1QqKyyYR6Q21VydFLVH3TRQUabQu_ym0Zz7PgGX0-kHA/edit?usp=sharing"",""แผน!GZ76"")"),50)</f>
        <v>50</v>
      </c>
      <c r="J542" s="1012">
        <v>50</v>
      </c>
      <c r="K542" s="881">
        <f t="shared" ca="1" si="234"/>
        <v>100</v>
      </c>
      <c r="L542" s="881"/>
      <c r="M542" s="881"/>
      <c r="N542" s="881"/>
      <c r="O542" s="881"/>
      <c r="P542" s="881"/>
      <c r="Q542" s="1381"/>
      <c r="R542" s="1381"/>
      <c r="S542" s="1381"/>
      <c r="T542" s="1381"/>
      <c r="U542" s="1381"/>
      <c r="V542" s="1381"/>
      <c r="W542" s="1381"/>
      <c r="X542" s="1381"/>
      <c r="Y542" s="1381"/>
      <c r="Z542" s="1381"/>
    </row>
    <row r="543" spans="1:26" ht="19.5">
      <c r="A543" s="662">
        <v>6</v>
      </c>
      <c r="B543" s="1383" t="s">
        <v>233</v>
      </c>
      <c r="C543" s="1369"/>
      <c r="D543" s="1369"/>
      <c r="E543" s="1369"/>
      <c r="F543" s="1369"/>
      <c r="G543" s="1370"/>
      <c r="H543" s="684" t="s">
        <v>46</v>
      </c>
      <c r="I543" s="1384">
        <f t="shared" ref="I543:J543" ca="1" si="235">I559</f>
        <v>72063</v>
      </c>
      <c r="J543" s="1384">
        <f t="shared" si="235"/>
        <v>72064</v>
      </c>
      <c r="K543" s="1385">
        <f t="shared" ca="1" si="234"/>
        <v>100.00138767467355</v>
      </c>
      <c r="L543" s="1372"/>
      <c r="M543" s="1372"/>
      <c r="N543" s="1372"/>
      <c r="O543" s="1372"/>
      <c r="P543" s="1372"/>
      <c r="Q543" s="1302"/>
      <c r="R543" s="1302"/>
      <c r="S543" s="1302"/>
      <c r="T543" s="1302"/>
      <c r="U543" s="1302"/>
      <c r="V543" s="1302"/>
      <c r="W543" s="1302"/>
      <c r="X543" s="1302"/>
      <c r="Y543" s="1302"/>
      <c r="Z543" s="1302"/>
    </row>
    <row r="544" spans="1:26" ht="19.5">
      <c r="A544" s="1386"/>
      <c r="B544" s="1387"/>
      <c r="C544" s="1387" t="s">
        <v>16</v>
      </c>
      <c r="D544" s="1388" t="s">
        <v>17</v>
      </c>
      <c r="E544" s="846"/>
      <c r="F544" s="846"/>
      <c r="G544" s="1389"/>
      <c r="H544" s="275" t="s">
        <v>12</v>
      </c>
      <c r="I544" s="990"/>
      <c r="J544" s="990"/>
      <c r="K544" s="991"/>
      <c r="L544" s="992">
        <f t="shared" ref="L544:N544" ca="1" si="236">L545+L546</f>
        <v>759123</v>
      </c>
      <c r="M544" s="992">
        <f t="shared" ca="1" si="236"/>
        <v>759123</v>
      </c>
      <c r="N544" s="992">
        <f t="shared" si="236"/>
        <v>228235.51</v>
      </c>
      <c r="O544" s="992">
        <f t="shared" ref="O544:O549" ca="1" si="237">IF(L544&gt;0,N544*100/L544,0)</f>
        <v>30.065682372948785</v>
      </c>
      <c r="P544" s="992">
        <f t="shared" ref="P544:P549" ca="1" si="238">IF(M544&gt;0,N544*100/M544,0)</f>
        <v>30.065682372948785</v>
      </c>
      <c r="Q544" s="1302"/>
      <c r="R544" s="1302"/>
      <c r="S544" s="1302"/>
      <c r="T544" s="1302"/>
      <c r="U544" s="1302"/>
      <c r="V544" s="1302"/>
      <c r="W544" s="1302"/>
      <c r="X544" s="1302"/>
      <c r="Y544" s="1302"/>
      <c r="Z544" s="1302"/>
    </row>
    <row r="545" spans="1:26" ht="18.75" hidden="1">
      <c r="A545" s="1319"/>
      <c r="B545" s="1320"/>
      <c r="C545" s="1320"/>
      <c r="D545" s="1320"/>
      <c r="E545" s="1320" t="s">
        <v>185</v>
      </c>
      <c r="F545" s="1320"/>
      <c r="G545" s="1322"/>
      <c r="H545" s="165" t="s">
        <v>12</v>
      </c>
      <c r="I545" s="886"/>
      <c r="J545" s="886"/>
      <c r="K545" s="887"/>
      <c r="L545" s="887">
        <f t="shared" ref="L545:L546" si="239">L548+L556</f>
        <v>0</v>
      </c>
      <c r="M545" s="887">
        <f t="shared" ref="M545:N546" si="240">M548+M555</f>
        <v>0</v>
      </c>
      <c r="N545" s="887">
        <f t="shared" si="240"/>
        <v>0</v>
      </c>
      <c r="O545" s="887">
        <f t="shared" si="237"/>
        <v>0</v>
      </c>
      <c r="P545" s="887">
        <f t="shared" si="238"/>
        <v>0</v>
      </c>
      <c r="Q545" s="1323"/>
      <c r="R545" s="1323"/>
      <c r="S545" s="1323"/>
      <c r="T545" s="1323"/>
      <c r="U545" s="1323"/>
      <c r="V545" s="1323"/>
      <c r="W545" s="1323"/>
      <c r="X545" s="1323"/>
      <c r="Y545" s="1323"/>
      <c r="Z545" s="1323"/>
    </row>
    <row r="546" spans="1:26" ht="18.75" hidden="1">
      <c r="A546" s="1319"/>
      <c r="B546" s="1324"/>
      <c r="C546" s="1320"/>
      <c r="D546" s="1320"/>
      <c r="E546" s="1320" t="s">
        <v>186</v>
      </c>
      <c r="F546" s="1320"/>
      <c r="G546" s="1322"/>
      <c r="H546" s="165" t="s">
        <v>12</v>
      </c>
      <c r="I546" s="886"/>
      <c r="J546" s="886"/>
      <c r="K546" s="887"/>
      <c r="L546" s="887">
        <f t="shared" ca="1" si="239"/>
        <v>759123</v>
      </c>
      <c r="M546" s="887">
        <f t="shared" ca="1" si="240"/>
        <v>759123</v>
      </c>
      <c r="N546" s="887">
        <f t="shared" si="240"/>
        <v>228235.51</v>
      </c>
      <c r="O546" s="887">
        <f t="shared" ca="1" si="237"/>
        <v>30.065682372948785</v>
      </c>
      <c r="P546" s="887">
        <f t="shared" ca="1" si="238"/>
        <v>30.065682372948785</v>
      </c>
      <c r="Q546" s="1323"/>
      <c r="R546" s="1323"/>
      <c r="S546" s="1323"/>
      <c r="T546" s="1323"/>
      <c r="U546" s="1323"/>
      <c r="V546" s="1323"/>
      <c r="W546" s="1323"/>
      <c r="X546" s="1323"/>
      <c r="Y546" s="1323"/>
      <c r="Z546" s="1323"/>
    </row>
    <row r="547" spans="1:26" ht="18.75">
      <c r="A547" s="1317"/>
      <c r="B547" s="1300"/>
      <c r="C547" s="1301"/>
      <c r="D547" s="1325" t="s">
        <v>20</v>
      </c>
      <c r="E547" s="1301"/>
      <c r="F547" s="1301"/>
      <c r="G547" s="1016"/>
      <c r="H547" s="161" t="s">
        <v>12</v>
      </c>
      <c r="I547" s="997"/>
      <c r="J547" s="997"/>
      <c r="K547" s="998"/>
      <c r="L547" s="881">
        <f t="shared" ref="L547:N547" ca="1" si="241">L548+L549</f>
        <v>759123</v>
      </c>
      <c r="M547" s="881">
        <f t="shared" ca="1" si="241"/>
        <v>759123</v>
      </c>
      <c r="N547" s="881">
        <f t="shared" si="241"/>
        <v>228235.51</v>
      </c>
      <c r="O547" s="881">
        <f t="shared" ca="1" si="237"/>
        <v>30.065682372948785</v>
      </c>
      <c r="P547" s="881">
        <f t="shared" ca="1" si="238"/>
        <v>30.065682372948785</v>
      </c>
      <c r="Q547" s="1302"/>
      <c r="R547" s="1302"/>
      <c r="S547" s="1302"/>
      <c r="T547" s="1302"/>
      <c r="U547" s="1302"/>
      <c r="V547" s="1302"/>
      <c r="W547" s="1302"/>
      <c r="X547" s="1302"/>
      <c r="Y547" s="1302"/>
      <c r="Z547" s="1302"/>
    </row>
    <row r="548" spans="1:26" ht="18.75" hidden="1">
      <c r="A548" s="1319"/>
      <c r="B548" s="1324"/>
      <c r="C548" s="1320"/>
      <c r="D548" s="1321"/>
      <c r="E548" s="1320" t="s">
        <v>185</v>
      </c>
      <c r="F548" s="1320"/>
      <c r="G548" s="1322"/>
      <c r="H548" s="165" t="s">
        <v>12</v>
      </c>
      <c r="I548" s="886"/>
      <c r="J548" s="886"/>
      <c r="K548" s="887"/>
      <c r="L548" s="887">
        <v>0</v>
      </c>
      <c r="M548" s="887">
        <v>0</v>
      </c>
      <c r="N548" s="887">
        <v>0</v>
      </c>
      <c r="O548" s="887">
        <f t="shared" si="237"/>
        <v>0</v>
      </c>
      <c r="P548" s="887">
        <f t="shared" si="238"/>
        <v>0</v>
      </c>
      <c r="Q548" s="1323"/>
      <c r="R548" s="1323"/>
      <c r="S548" s="1323"/>
      <c r="T548" s="1323"/>
      <c r="U548" s="1323"/>
      <c r="V548" s="1323"/>
      <c r="W548" s="1323"/>
      <c r="X548" s="1323"/>
      <c r="Y548" s="1323"/>
      <c r="Z548" s="1323"/>
    </row>
    <row r="549" spans="1:26" ht="18.75" hidden="1">
      <c r="A549" s="1319"/>
      <c r="B549" s="1324"/>
      <c r="C549" s="1320"/>
      <c r="D549" s="1321"/>
      <c r="E549" s="1320" t="s">
        <v>186</v>
      </c>
      <c r="F549" s="1320"/>
      <c r="G549" s="1322"/>
      <c r="H549" s="165" t="s">
        <v>12</v>
      </c>
      <c r="I549" s="886"/>
      <c r="J549" s="886"/>
      <c r="K549" s="887"/>
      <c r="L549" s="887">
        <f ca="1">IFERROR(__xludf.DUMMYFUNCTION("IMPORTRANGE(""https://docs.google.com/spreadsheets/d/1QqKyyYR6Q21VydFLVH3TRQUabQu_ym0Zz7PgGX0-kHA/edit?usp=sharing"",""แผน!HB76"")"),759123)</f>
        <v>759123</v>
      </c>
      <c r="M549" s="887">
        <f ca="1">L549</f>
        <v>759123</v>
      </c>
      <c r="N549" s="887">
        <f>N550+N551+N552+N553+N554</f>
        <v>228235.51</v>
      </c>
      <c r="O549" s="887">
        <f t="shared" ca="1" si="237"/>
        <v>30.065682372948785</v>
      </c>
      <c r="P549" s="887">
        <f t="shared" ca="1" si="238"/>
        <v>30.065682372948785</v>
      </c>
      <c r="Q549" s="1323"/>
      <c r="R549" s="1323"/>
      <c r="S549" s="1323"/>
      <c r="T549" s="1323"/>
      <c r="U549" s="1323"/>
      <c r="V549" s="1323"/>
      <c r="W549" s="1323"/>
      <c r="X549" s="1323"/>
      <c r="Y549" s="1323"/>
      <c r="Z549" s="1323"/>
    </row>
    <row r="550" spans="1:26" ht="18.75">
      <c r="A550" s="1299"/>
      <c r="B550" s="1300"/>
      <c r="C550" s="1301"/>
      <c r="D550" s="1301"/>
      <c r="E550" s="1301"/>
      <c r="F550" s="1301" t="s">
        <v>187</v>
      </c>
      <c r="G550" s="1016"/>
      <c r="H550" s="161" t="s">
        <v>12</v>
      </c>
      <c r="I550" s="880"/>
      <c r="J550" s="880"/>
      <c r="K550" s="881"/>
      <c r="L550" s="881"/>
      <c r="M550" s="881"/>
      <c r="N550" s="1085">
        <v>0</v>
      </c>
      <c r="O550" s="881"/>
      <c r="P550" s="881"/>
      <c r="Q550" s="1302"/>
      <c r="R550" s="1302"/>
      <c r="S550" s="1302"/>
      <c r="T550" s="1302"/>
      <c r="U550" s="1302"/>
      <c r="V550" s="1302"/>
      <c r="W550" s="1302"/>
      <c r="X550" s="1302"/>
      <c r="Y550" s="1302"/>
      <c r="Z550" s="1302"/>
    </row>
    <row r="551" spans="1:26" ht="18.75">
      <c r="A551" s="1299"/>
      <c r="B551" s="1300"/>
      <c r="C551" s="1300"/>
      <c r="D551" s="1300"/>
      <c r="E551" s="1301"/>
      <c r="F551" s="1301" t="s">
        <v>188</v>
      </c>
      <c r="G551" s="1016"/>
      <c r="H551" s="161" t="s">
        <v>12</v>
      </c>
      <c r="I551" s="880"/>
      <c r="J551" s="880"/>
      <c r="K551" s="881"/>
      <c r="L551" s="881"/>
      <c r="M551" s="881"/>
      <c r="N551" s="1085">
        <v>0</v>
      </c>
      <c r="O551" s="881"/>
      <c r="P551" s="881"/>
      <c r="Q551" s="1302"/>
      <c r="R551" s="1302"/>
      <c r="S551" s="1302"/>
      <c r="T551" s="1302"/>
      <c r="U551" s="1302"/>
      <c r="V551" s="1302"/>
      <c r="W551" s="1302"/>
      <c r="X551" s="1302"/>
      <c r="Y551" s="1302"/>
      <c r="Z551" s="1302"/>
    </row>
    <row r="552" spans="1:26" ht="18.75">
      <c r="A552" s="1299"/>
      <c r="B552" s="1300"/>
      <c r="C552" s="1301"/>
      <c r="D552" s="1301"/>
      <c r="E552" s="1301"/>
      <c r="F552" s="1301" t="s">
        <v>189</v>
      </c>
      <c r="G552" s="1016"/>
      <c r="H552" s="161" t="s">
        <v>12</v>
      </c>
      <c r="I552" s="880"/>
      <c r="J552" s="880"/>
      <c r="K552" s="881"/>
      <c r="L552" s="881"/>
      <c r="M552" s="881"/>
      <c r="N552" s="1085">
        <v>63701</v>
      </c>
      <c r="O552" s="881"/>
      <c r="P552" s="881"/>
      <c r="Q552" s="1302"/>
      <c r="R552" s="1302"/>
      <c r="S552" s="1302"/>
      <c r="T552" s="1302"/>
      <c r="U552" s="1302"/>
      <c r="V552" s="1302"/>
      <c r="W552" s="1302"/>
      <c r="X552" s="1302"/>
      <c r="Y552" s="1302"/>
      <c r="Z552" s="1302"/>
    </row>
    <row r="553" spans="1:26" ht="18.75">
      <c r="A553" s="1299"/>
      <c r="B553" s="1300"/>
      <c r="C553" s="1300"/>
      <c r="D553" s="1300"/>
      <c r="E553" s="1301"/>
      <c r="F553" s="1301" t="s">
        <v>190</v>
      </c>
      <c r="G553" s="1016"/>
      <c r="H553" s="161" t="s">
        <v>12</v>
      </c>
      <c r="I553" s="880"/>
      <c r="J553" s="880"/>
      <c r="K553" s="881"/>
      <c r="L553" s="881"/>
      <c r="M553" s="881"/>
      <c r="N553" s="1085">
        <f>228235.51-63701</f>
        <v>164534.51</v>
      </c>
      <c r="O553" s="881"/>
      <c r="P553" s="881"/>
      <c r="Q553" s="1302"/>
      <c r="R553" s="1302"/>
      <c r="S553" s="1302"/>
      <c r="T553" s="1302"/>
      <c r="U553" s="1302"/>
      <c r="V553" s="1302"/>
      <c r="W553" s="1302"/>
      <c r="X553" s="1302"/>
      <c r="Y553" s="1302"/>
      <c r="Z553" s="1302"/>
    </row>
    <row r="554" spans="1:26" ht="18.75">
      <c r="A554" s="1299"/>
      <c r="B554" s="1300"/>
      <c r="C554" s="1300"/>
      <c r="D554" s="1300"/>
      <c r="E554" s="1301"/>
      <c r="F554" s="1301" t="s">
        <v>234</v>
      </c>
      <c r="G554" s="1016"/>
      <c r="H554" s="161" t="s">
        <v>12</v>
      </c>
      <c r="I554" s="880"/>
      <c r="J554" s="880"/>
      <c r="K554" s="881"/>
      <c r="L554" s="881"/>
      <c r="M554" s="881"/>
      <c r="N554" s="1085">
        <v>0</v>
      </c>
      <c r="O554" s="881"/>
      <c r="P554" s="881"/>
      <c r="Q554" s="1302"/>
      <c r="R554" s="1302"/>
      <c r="S554" s="1302"/>
      <c r="T554" s="1302"/>
      <c r="U554" s="1302"/>
      <c r="V554" s="1302"/>
      <c r="W554" s="1302"/>
      <c r="X554" s="1302"/>
      <c r="Y554" s="1302"/>
      <c r="Z554" s="1302"/>
    </row>
    <row r="555" spans="1:26" ht="18.75">
      <c r="A555" s="1317"/>
      <c r="B555" s="1300"/>
      <c r="C555" s="1300"/>
      <c r="D555" s="1325" t="s">
        <v>21</v>
      </c>
      <c r="E555" s="1301"/>
      <c r="F555" s="1301"/>
      <c r="G555" s="1016"/>
      <c r="H555" s="168" t="s">
        <v>12</v>
      </c>
      <c r="I555" s="997"/>
      <c r="J555" s="997"/>
      <c r="K555" s="998"/>
      <c r="L555" s="881">
        <f t="shared" ref="L555:N555" ca="1" si="242">L556+L557</f>
        <v>0</v>
      </c>
      <c r="M555" s="881">
        <f t="shared" si="242"/>
        <v>0</v>
      </c>
      <c r="N555" s="881">
        <f t="shared" si="242"/>
        <v>0</v>
      </c>
      <c r="O555" s="881">
        <f t="shared" ref="O555:O557" ca="1" si="243">IF(L555&gt;0,N555*100/L555,0)</f>
        <v>0</v>
      </c>
      <c r="P555" s="881">
        <f t="shared" ref="P555:P557" si="244">IF(M555&gt;0,N555*100/M555,0)</f>
        <v>0</v>
      </c>
      <c r="Q555" s="1302"/>
      <c r="R555" s="1302"/>
      <c r="S555" s="1302"/>
      <c r="T555" s="1302"/>
      <c r="U555" s="1302"/>
      <c r="V555" s="1302"/>
      <c r="W555" s="1302"/>
      <c r="X555" s="1302"/>
      <c r="Y555" s="1302"/>
      <c r="Z555" s="1302"/>
    </row>
    <row r="556" spans="1:26" ht="18.75" hidden="1">
      <c r="A556" s="1319"/>
      <c r="B556" s="1324"/>
      <c r="C556" s="1324"/>
      <c r="D556" s="1320"/>
      <c r="E556" s="1320" t="s">
        <v>18</v>
      </c>
      <c r="F556" s="1320"/>
      <c r="G556" s="1322"/>
      <c r="H556" s="165" t="s">
        <v>12</v>
      </c>
      <c r="I556" s="1000"/>
      <c r="J556" s="1000"/>
      <c r="K556" s="1001"/>
      <c r="L556" s="887">
        <v>0</v>
      </c>
      <c r="M556" s="887">
        <v>0</v>
      </c>
      <c r="N556" s="887">
        <v>0</v>
      </c>
      <c r="O556" s="887">
        <f t="shared" si="243"/>
        <v>0</v>
      </c>
      <c r="P556" s="887">
        <f t="shared" si="244"/>
        <v>0</v>
      </c>
      <c r="Q556" s="1323"/>
      <c r="R556" s="1323"/>
      <c r="S556" s="1323"/>
      <c r="T556" s="1323"/>
      <c r="U556" s="1323"/>
      <c r="V556" s="1323"/>
      <c r="W556" s="1323"/>
      <c r="X556" s="1323"/>
      <c r="Y556" s="1323"/>
      <c r="Z556" s="1323"/>
    </row>
    <row r="557" spans="1:26" ht="18.75" hidden="1">
      <c r="A557" s="1319"/>
      <c r="B557" s="1324"/>
      <c r="C557" s="1324"/>
      <c r="D557" s="1320"/>
      <c r="E557" s="1320" t="s">
        <v>19</v>
      </c>
      <c r="F557" s="1320"/>
      <c r="G557" s="1322"/>
      <c r="H557" s="169" t="s">
        <v>12</v>
      </c>
      <c r="I557" s="1000"/>
      <c r="J557" s="1000"/>
      <c r="K557" s="1001"/>
      <c r="L557" s="887">
        <f ca="1">IFERROR(__xludf.DUMMYFUNCTION("IMPORTRANGE(""https://docs.google.com/spreadsheets/d/1QqKyyYR6Q21VydFLVH3TRQUabQu_ym0Zz7PgGX0-kHA/edit?usp=sharing"",""แผน!HF76"")"),0)</f>
        <v>0</v>
      </c>
      <c r="M557" s="887">
        <v>0</v>
      </c>
      <c r="N557" s="887">
        <v>0</v>
      </c>
      <c r="O557" s="887">
        <f t="shared" ca="1" si="243"/>
        <v>0</v>
      </c>
      <c r="P557" s="887">
        <f t="shared" si="244"/>
        <v>0</v>
      </c>
      <c r="Q557" s="1323"/>
      <c r="R557" s="1323"/>
      <c r="S557" s="1323"/>
      <c r="T557" s="1323"/>
      <c r="U557" s="1323"/>
      <c r="V557" s="1323"/>
      <c r="W557" s="1323"/>
      <c r="X557" s="1323"/>
      <c r="Y557" s="1323"/>
      <c r="Z557" s="1323"/>
    </row>
    <row r="558" spans="1:26" ht="19.5">
      <c r="A558" s="1326"/>
      <c r="B558" s="1327"/>
      <c r="C558" s="1300" t="s">
        <v>16</v>
      </c>
      <c r="D558" s="1380" t="s">
        <v>38</v>
      </c>
      <c r="E558" s="1330"/>
      <c r="F558" s="1330"/>
      <c r="G558" s="1331"/>
      <c r="H558" s="1007"/>
      <c r="I558" s="997"/>
      <c r="J558" s="997"/>
      <c r="K558" s="998"/>
      <c r="L558" s="998"/>
      <c r="M558" s="998"/>
      <c r="N558" s="998"/>
      <c r="O558" s="998"/>
      <c r="P558" s="998"/>
      <c r="Q558" s="1302"/>
      <c r="R558" s="1302"/>
      <c r="S558" s="1302"/>
      <c r="T558" s="1302"/>
      <c r="U558" s="1302"/>
      <c r="V558" s="1302"/>
      <c r="W558" s="1302"/>
      <c r="X558" s="1302"/>
      <c r="Y558" s="1302"/>
      <c r="Z558" s="1302"/>
    </row>
    <row r="559" spans="1:26" ht="19.5">
      <c r="A559" s="1390"/>
      <c r="B559" s="1391" t="s">
        <v>235</v>
      </c>
      <c r="C559" s="1392"/>
      <c r="D559" s="1392"/>
      <c r="E559" s="1375"/>
      <c r="F559" s="1375"/>
      <c r="G559" s="1376"/>
      <c r="H559" s="693" t="s">
        <v>46</v>
      </c>
      <c r="I559" s="1377">
        <f t="shared" ref="I559:J559" ca="1" si="245">I576</f>
        <v>72063</v>
      </c>
      <c r="J559" s="1377">
        <f t="shared" si="245"/>
        <v>72064</v>
      </c>
      <c r="K559" s="1378">
        <f t="shared" ref="K559:K561" ca="1" si="246">IF(I559&gt;0,J559*100/I559,0)</f>
        <v>100.00138767467355</v>
      </c>
      <c r="L559" s="1379"/>
      <c r="M559" s="1379"/>
      <c r="N559" s="1379"/>
      <c r="O559" s="1379"/>
      <c r="P559" s="1379"/>
      <c r="Q559" s="1302"/>
      <c r="R559" s="1302"/>
      <c r="S559" s="1302"/>
      <c r="T559" s="1302"/>
      <c r="U559" s="1302"/>
      <c r="V559" s="1302"/>
      <c r="W559" s="1302"/>
      <c r="X559" s="1302"/>
      <c r="Y559" s="1302"/>
      <c r="Z559" s="1302"/>
    </row>
    <row r="560" spans="1:26" ht="19.5">
      <c r="A560" s="1326"/>
      <c r="B560" s="1327"/>
      <c r="C560" s="1336" t="s">
        <v>236</v>
      </c>
      <c r="D560" s="1327"/>
      <c r="E560" s="1014"/>
      <c r="F560" s="1014"/>
      <c r="G560" s="1007"/>
      <c r="H560" s="765" t="s">
        <v>46</v>
      </c>
      <c r="I560" s="1018">
        <f ca="1">IFERROR(__xludf.DUMMYFUNCTION("IMPORTRANGE(""https://docs.google.com/spreadsheets/d/1QqKyyYR6Q21VydFLVH3TRQUabQu_ym0Zz7PgGX0-kHA/edit?usp=sharing"",""แผน!HH76"")"),72063)</f>
        <v>72063</v>
      </c>
      <c r="J560" s="1018">
        <f t="shared" ref="J560:J561" si="247">J562+J564+J566</f>
        <v>72063</v>
      </c>
      <c r="K560" s="1162">
        <f t="shared" ca="1" si="246"/>
        <v>100</v>
      </c>
      <c r="L560" s="998"/>
      <c r="M560" s="998"/>
      <c r="N560" s="998"/>
      <c r="O560" s="998"/>
      <c r="P560" s="998"/>
      <c r="Q560" s="1302"/>
      <c r="R560" s="1302"/>
      <c r="S560" s="1302"/>
      <c r="T560" s="1302"/>
      <c r="U560" s="1302"/>
      <c r="V560" s="1302"/>
      <c r="W560" s="1302"/>
      <c r="X560" s="1302"/>
      <c r="Y560" s="1302"/>
      <c r="Z560" s="1302"/>
    </row>
    <row r="561" spans="1:26" ht="19.5">
      <c r="A561" s="1326"/>
      <c r="B561" s="1327"/>
      <c r="C561" s="1327"/>
      <c r="D561" s="1014"/>
      <c r="E561" s="1014"/>
      <c r="F561" s="1014"/>
      <c r="G561" s="1007"/>
      <c r="H561" s="765" t="s">
        <v>34</v>
      </c>
      <c r="I561" s="1018">
        <f ca="1">IFERROR(__xludf.DUMMYFUNCTION("IMPORTRANGE(""https://docs.google.com/spreadsheets/d/1QqKyyYR6Q21VydFLVH3TRQUabQu_ym0Zz7PgGX0-kHA/edit?usp=sharing"",""แผน!HG76"")"),5898)</f>
        <v>5898</v>
      </c>
      <c r="J561" s="1018">
        <f t="shared" si="247"/>
        <v>5898</v>
      </c>
      <c r="K561" s="1162">
        <f t="shared" ca="1" si="246"/>
        <v>100</v>
      </c>
      <c r="L561" s="998"/>
      <c r="M561" s="998"/>
      <c r="N561" s="998"/>
      <c r="O561" s="998"/>
      <c r="P561" s="998"/>
      <c r="Q561" s="1302"/>
      <c r="R561" s="1302"/>
      <c r="S561" s="1302"/>
      <c r="T561" s="1302"/>
      <c r="U561" s="1302"/>
      <c r="V561" s="1302"/>
      <c r="W561" s="1302"/>
      <c r="X561" s="1302"/>
      <c r="Y561" s="1302"/>
      <c r="Z561" s="1302"/>
    </row>
    <row r="562" spans="1:26" ht="18.75">
      <c r="A562" s="1326"/>
      <c r="B562" s="1327"/>
      <c r="C562" s="1327"/>
      <c r="D562" s="1014" t="s">
        <v>237</v>
      </c>
      <c r="E562" s="1014"/>
      <c r="F562" s="1014"/>
      <c r="G562" s="1007"/>
      <c r="H562" s="762" t="s">
        <v>46</v>
      </c>
      <c r="I562" s="997"/>
      <c r="J562" s="1012">
        <v>63211</v>
      </c>
      <c r="K562" s="998"/>
      <c r="L562" s="998"/>
      <c r="M562" s="998"/>
      <c r="N562" s="998"/>
      <c r="O562" s="998"/>
      <c r="P562" s="998"/>
      <c r="Q562" s="1302"/>
      <c r="R562" s="1302"/>
      <c r="S562" s="1302"/>
      <c r="T562" s="1302"/>
      <c r="U562" s="1302"/>
      <c r="V562" s="1302"/>
      <c r="W562" s="1302"/>
      <c r="X562" s="1302"/>
      <c r="Y562" s="1302"/>
      <c r="Z562" s="1302"/>
    </row>
    <row r="563" spans="1:26" ht="18.75">
      <c r="A563" s="1326"/>
      <c r="B563" s="1327"/>
      <c r="C563" s="1327"/>
      <c r="D563" s="1327"/>
      <c r="E563" s="1014"/>
      <c r="F563" s="1014"/>
      <c r="G563" s="1007"/>
      <c r="H563" s="762" t="s">
        <v>34</v>
      </c>
      <c r="I563" s="997"/>
      <c r="J563" s="1012">
        <v>5198</v>
      </c>
      <c r="K563" s="998"/>
      <c r="L563" s="998"/>
      <c r="M563" s="998"/>
      <c r="N563" s="998"/>
      <c r="O563" s="998"/>
      <c r="P563" s="998"/>
      <c r="Q563" s="1302"/>
      <c r="R563" s="1302"/>
      <c r="S563" s="1302"/>
      <c r="T563" s="1302"/>
      <c r="U563" s="1302"/>
      <c r="V563" s="1302"/>
      <c r="W563" s="1302"/>
      <c r="X563" s="1302"/>
      <c r="Y563" s="1302"/>
      <c r="Z563" s="1302"/>
    </row>
    <row r="564" spans="1:26" ht="18.75">
      <c r="A564" s="1326"/>
      <c r="B564" s="1327"/>
      <c r="C564" s="1327"/>
      <c r="D564" s="1014" t="s">
        <v>238</v>
      </c>
      <c r="E564" s="1014"/>
      <c r="F564" s="1014"/>
      <c r="G564" s="1007"/>
      <c r="H564" s="762" t="s">
        <v>46</v>
      </c>
      <c r="I564" s="997"/>
      <c r="J564" s="1012">
        <v>7386</v>
      </c>
      <c r="K564" s="998"/>
      <c r="L564" s="998"/>
      <c r="M564" s="998"/>
      <c r="N564" s="998"/>
      <c r="O564" s="998"/>
      <c r="P564" s="998"/>
      <c r="Q564" s="1302"/>
      <c r="R564" s="1302"/>
      <c r="S564" s="1302"/>
      <c r="T564" s="1302"/>
      <c r="U564" s="1302"/>
      <c r="V564" s="1302"/>
      <c r="W564" s="1302"/>
      <c r="X564" s="1302"/>
      <c r="Y564" s="1302"/>
      <c r="Z564" s="1302"/>
    </row>
    <row r="565" spans="1:26" ht="18.75">
      <c r="A565" s="1326"/>
      <c r="B565" s="1327"/>
      <c r="C565" s="1327"/>
      <c r="D565" s="1014"/>
      <c r="E565" s="1014"/>
      <c r="F565" s="1014"/>
      <c r="G565" s="1007"/>
      <c r="H565" s="762" t="s">
        <v>34</v>
      </c>
      <c r="I565" s="997"/>
      <c r="J565" s="1012">
        <v>567</v>
      </c>
      <c r="K565" s="998"/>
      <c r="L565" s="998"/>
      <c r="M565" s="998"/>
      <c r="N565" s="998"/>
      <c r="O565" s="998"/>
      <c r="P565" s="998"/>
      <c r="Q565" s="1302"/>
      <c r="R565" s="1302"/>
      <c r="S565" s="1302"/>
      <c r="T565" s="1302"/>
      <c r="U565" s="1302"/>
      <c r="V565" s="1302"/>
      <c r="W565" s="1302"/>
      <c r="X565" s="1302"/>
      <c r="Y565" s="1302"/>
      <c r="Z565" s="1302"/>
    </row>
    <row r="566" spans="1:26" ht="18.75">
      <c r="A566" s="1326"/>
      <c r="B566" s="1327"/>
      <c r="C566" s="1327"/>
      <c r="D566" s="1014" t="s">
        <v>239</v>
      </c>
      <c r="E566" s="1014"/>
      <c r="F566" s="1014"/>
      <c r="G566" s="1007"/>
      <c r="H566" s="762" t="s">
        <v>46</v>
      </c>
      <c r="I566" s="997"/>
      <c r="J566" s="1012">
        <v>1466</v>
      </c>
      <c r="K566" s="998"/>
      <c r="L566" s="998"/>
      <c r="M566" s="998"/>
      <c r="N566" s="998"/>
      <c r="O566" s="998"/>
      <c r="P566" s="998"/>
      <c r="Q566" s="1302"/>
      <c r="R566" s="1302"/>
      <c r="S566" s="1302"/>
      <c r="T566" s="1302"/>
      <c r="U566" s="1302"/>
      <c r="V566" s="1302"/>
      <c r="W566" s="1302"/>
      <c r="X566" s="1302"/>
      <c r="Y566" s="1302"/>
      <c r="Z566" s="1302"/>
    </row>
    <row r="567" spans="1:26" ht="18.75">
      <c r="A567" s="1326"/>
      <c r="B567" s="1327"/>
      <c r="C567" s="1327"/>
      <c r="D567" s="1014"/>
      <c r="E567" s="1014"/>
      <c r="F567" s="1014"/>
      <c r="G567" s="1007"/>
      <c r="H567" s="762" t="s">
        <v>34</v>
      </c>
      <c r="I567" s="997"/>
      <c r="J567" s="1012">
        <v>133</v>
      </c>
      <c r="K567" s="998"/>
      <c r="L567" s="998"/>
      <c r="M567" s="998"/>
      <c r="N567" s="998"/>
      <c r="O567" s="998"/>
      <c r="P567" s="998"/>
      <c r="Q567" s="1302"/>
      <c r="R567" s="1302"/>
      <c r="S567" s="1302"/>
      <c r="T567" s="1302"/>
      <c r="U567" s="1302"/>
      <c r="V567" s="1302"/>
      <c r="W567" s="1302"/>
      <c r="X567" s="1302"/>
      <c r="Y567" s="1302"/>
      <c r="Z567" s="1302"/>
    </row>
    <row r="568" spans="1:26" ht="19.5">
      <c r="A568" s="1326"/>
      <c r="B568" s="1327"/>
      <c r="C568" s="1336" t="s">
        <v>240</v>
      </c>
      <c r="D568" s="1014"/>
      <c r="E568" s="1014"/>
      <c r="F568" s="1014"/>
      <c r="G568" s="1007"/>
      <c r="H568" s="765" t="s">
        <v>46</v>
      </c>
      <c r="I568" s="1018">
        <f ca="1">IFERROR(__xludf.DUMMYFUNCTION("IMPORTRANGE(""https://docs.google.com/spreadsheets/d/1QqKyyYR6Q21VydFLVH3TRQUabQu_ym0Zz7PgGX0-kHA/edit?usp=sharing"",""แผน!HH76"")"),72063)</f>
        <v>72063</v>
      </c>
      <c r="J568" s="1019">
        <f t="shared" ref="J568:J569" si="248">J570+J572+J574</f>
        <v>72064</v>
      </c>
      <c r="K568" s="1162">
        <f t="shared" ref="K568:K569" ca="1" si="249">IF(I568&gt;0,J568*100/I568,0)</f>
        <v>100.00138767467355</v>
      </c>
      <c r="L568" s="998"/>
      <c r="M568" s="998"/>
      <c r="N568" s="998"/>
      <c r="O568" s="998"/>
      <c r="P568" s="998"/>
      <c r="Q568" s="1302"/>
      <c r="R568" s="1302"/>
      <c r="S568" s="1302"/>
      <c r="T568" s="1302"/>
      <c r="U568" s="1302"/>
      <c r="V568" s="1302"/>
      <c r="W568" s="1302"/>
      <c r="X568" s="1302"/>
      <c r="Y568" s="1302"/>
      <c r="Z568" s="1302"/>
    </row>
    <row r="569" spans="1:26" ht="19.5">
      <c r="A569" s="1326"/>
      <c r="B569" s="1327"/>
      <c r="C569" s="1327"/>
      <c r="D569" s="1327"/>
      <c r="E569" s="1014"/>
      <c r="F569" s="1014"/>
      <c r="G569" s="1007"/>
      <c r="H569" s="765" t="s">
        <v>34</v>
      </c>
      <c r="I569" s="1018">
        <f ca="1">IFERROR(__xludf.DUMMYFUNCTION("IMPORTRANGE(""https://docs.google.com/spreadsheets/d/1QqKyyYR6Q21VydFLVH3TRQUabQu_ym0Zz7PgGX0-kHA/edit?usp=sharing"",""แผน!HG76"")"),5898)</f>
        <v>5898</v>
      </c>
      <c r="J569" s="1019">
        <f t="shared" si="248"/>
        <v>5898</v>
      </c>
      <c r="K569" s="1162">
        <f t="shared" ca="1" si="249"/>
        <v>100</v>
      </c>
      <c r="L569" s="998"/>
      <c r="M569" s="998"/>
      <c r="N569" s="998"/>
      <c r="O569" s="998"/>
      <c r="P569" s="998"/>
      <c r="Q569" s="1302"/>
      <c r="R569" s="1302"/>
      <c r="S569" s="1302"/>
      <c r="T569" s="1302"/>
      <c r="U569" s="1302"/>
      <c r="V569" s="1302"/>
      <c r="W569" s="1302"/>
      <c r="X569" s="1302"/>
      <c r="Y569" s="1302"/>
      <c r="Z569" s="1302"/>
    </row>
    <row r="570" spans="1:26" ht="18.75">
      <c r="A570" s="1326"/>
      <c r="B570" s="1327"/>
      <c r="C570" s="1327"/>
      <c r="D570" s="1014" t="s">
        <v>241</v>
      </c>
      <c r="E570" s="1327"/>
      <c r="F570" s="1014"/>
      <c r="G570" s="1007"/>
      <c r="H570" s="762" t="s">
        <v>46</v>
      </c>
      <c r="I570" s="997"/>
      <c r="J570" s="1012">
        <v>63638</v>
      </c>
      <c r="K570" s="998"/>
      <c r="L570" s="998"/>
      <c r="M570" s="998"/>
      <c r="N570" s="998"/>
      <c r="O570" s="998"/>
      <c r="P570" s="998"/>
      <c r="Q570" s="1302"/>
      <c r="R570" s="1302"/>
      <c r="S570" s="1302"/>
      <c r="T570" s="1302"/>
      <c r="U570" s="1302"/>
      <c r="V570" s="1302"/>
      <c r="W570" s="1302"/>
      <c r="X570" s="1302"/>
      <c r="Y570" s="1302"/>
      <c r="Z570" s="1302"/>
    </row>
    <row r="571" spans="1:26" ht="18.75">
      <c r="A571" s="1326"/>
      <c r="B571" s="1327"/>
      <c r="C571" s="1327"/>
      <c r="D571" s="1327"/>
      <c r="E571" s="1014"/>
      <c r="F571" s="1014"/>
      <c r="G571" s="1007"/>
      <c r="H571" s="762" t="s">
        <v>34</v>
      </c>
      <c r="I571" s="997"/>
      <c r="J571" s="1012">
        <v>5234</v>
      </c>
      <c r="K571" s="998"/>
      <c r="L571" s="998"/>
      <c r="M571" s="998"/>
      <c r="N571" s="998"/>
      <c r="O571" s="998"/>
      <c r="P571" s="998"/>
      <c r="Q571" s="1302"/>
      <c r="R571" s="1302"/>
      <c r="S571" s="1302"/>
      <c r="T571" s="1302"/>
      <c r="U571" s="1302"/>
      <c r="V571" s="1302"/>
      <c r="W571" s="1302"/>
      <c r="X571" s="1302"/>
      <c r="Y571" s="1302"/>
      <c r="Z571" s="1302"/>
    </row>
    <row r="572" spans="1:26" ht="18.75">
      <c r="A572" s="1326"/>
      <c r="B572" s="1327"/>
      <c r="C572" s="1327"/>
      <c r="D572" s="1014" t="s">
        <v>242</v>
      </c>
      <c r="E572" s="1014"/>
      <c r="F572" s="1014"/>
      <c r="G572" s="1007"/>
      <c r="H572" s="762" t="s">
        <v>46</v>
      </c>
      <c r="I572" s="997"/>
      <c r="J572" s="1012">
        <v>6893</v>
      </c>
      <c r="K572" s="998"/>
      <c r="L572" s="998"/>
      <c r="M572" s="998"/>
      <c r="N572" s="998"/>
      <c r="O572" s="998"/>
      <c r="P572" s="998"/>
      <c r="Q572" s="1302"/>
      <c r="R572" s="1302"/>
      <c r="S572" s="1302"/>
      <c r="T572" s="1302"/>
      <c r="U572" s="1302"/>
      <c r="V572" s="1302"/>
      <c r="W572" s="1302"/>
      <c r="X572" s="1302"/>
      <c r="Y572" s="1302"/>
      <c r="Z572" s="1302"/>
    </row>
    <row r="573" spans="1:26" ht="18.75">
      <c r="A573" s="1326"/>
      <c r="B573" s="1327"/>
      <c r="C573" s="1327"/>
      <c r="D573" s="1014"/>
      <c r="E573" s="1014"/>
      <c r="F573" s="1014"/>
      <c r="G573" s="1007"/>
      <c r="H573" s="762" t="s">
        <v>34</v>
      </c>
      <c r="I573" s="997"/>
      <c r="J573" s="1012">
        <v>529</v>
      </c>
      <c r="K573" s="998"/>
      <c r="L573" s="998"/>
      <c r="M573" s="998"/>
      <c r="N573" s="998"/>
      <c r="O573" s="998"/>
      <c r="P573" s="998"/>
      <c r="Q573" s="1302"/>
      <c r="R573" s="1302"/>
      <c r="S573" s="1302"/>
      <c r="T573" s="1302"/>
      <c r="U573" s="1302"/>
      <c r="V573" s="1302"/>
      <c r="W573" s="1302"/>
      <c r="X573" s="1302"/>
      <c r="Y573" s="1302"/>
      <c r="Z573" s="1302"/>
    </row>
    <row r="574" spans="1:26" ht="18.75">
      <c r="A574" s="1326"/>
      <c r="B574" s="1327"/>
      <c r="C574" s="1327"/>
      <c r="D574" s="1014" t="s">
        <v>243</v>
      </c>
      <c r="E574" s="1014"/>
      <c r="F574" s="1014"/>
      <c r="G574" s="1007"/>
      <c r="H574" s="762" t="s">
        <v>46</v>
      </c>
      <c r="I574" s="997"/>
      <c r="J574" s="1012">
        <v>1533</v>
      </c>
      <c r="K574" s="998"/>
      <c r="L574" s="998"/>
      <c r="M574" s="998"/>
      <c r="N574" s="998"/>
      <c r="O574" s="998"/>
      <c r="P574" s="998"/>
      <c r="Q574" s="1302"/>
      <c r="R574" s="1302"/>
      <c r="S574" s="1302"/>
      <c r="T574" s="1302"/>
      <c r="U574" s="1302"/>
      <c r="V574" s="1302"/>
      <c r="W574" s="1302"/>
      <c r="X574" s="1302"/>
      <c r="Y574" s="1302"/>
      <c r="Z574" s="1302"/>
    </row>
    <row r="575" spans="1:26" ht="18.75">
      <c r="A575" s="1326"/>
      <c r="B575" s="1327"/>
      <c r="C575" s="1327"/>
      <c r="D575" s="1327"/>
      <c r="E575" s="1014"/>
      <c r="F575" s="1014"/>
      <c r="G575" s="1007"/>
      <c r="H575" s="762" t="s">
        <v>34</v>
      </c>
      <c r="I575" s="997"/>
      <c r="J575" s="1012">
        <v>135</v>
      </c>
      <c r="K575" s="998"/>
      <c r="L575" s="998"/>
      <c r="M575" s="998"/>
      <c r="N575" s="998"/>
      <c r="O575" s="998"/>
      <c r="P575" s="998"/>
      <c r="Q575" s="1302"/>
      <c r="R575" s="1302"/>
      <c r="S575" s="1302"/>
      <c r="T575" s="1302"/>
      <c r="U575" s="1302"/>
      <c r="V575" s="1302"/>
      <c r="W575" s="1302"/>
      <c r="X575" s="1302"/>
      <c r="Y575" s="1302"/>
      <c r="Z575" s="1302"/>
    </row>
    <row r="576" spans="1:26" ht="19.5">
      <c r="A576" s="1326"/>
      <c r="B576" s="1327"/>
      <c r="C576" s="1336" t="s">
        <v>244</v>
      </c>
      <c r="D576" s="1327"/>
      <c r="E576" s="1327"/>
      <c r="F576" s="1014"/>
      <c r="G576" s="1007"/>
      <c r="H576" s="765" t="s">
        <v>46</v>
      </c>
      <c r="I576" s="1018">
        <f ca="1">IFERROR(__xludf.DUMMYFUNCTION("IMPORTRANGE(""https://docs.google.com/spreadsheets/d/1QqKyyYR6Q21VydFLVH3TRQUabQu_ym0Zz7PgGX0-kHA/edit?usp=sharing"",""แผน!HH76"")"),72063)</f>
        <v>72063</v>
      </c>
      <c r="J576" s="1019">
        <f t="shared" ref="J576:J577" si="250">J578+J580+J582+J588+J590</f>
        <v>72064</v>
      </c>
      <c r="K576" s="1162">
        <f t="shared" ref="K576:K577" ca="1" si="251">IF(I576&gt;0,J576*100/I576,0)</f>
        <v>100.00138767467355</v>
      </c>
      <c r="L576" s="998"/>
      <c r="M576" s="998"/>
      <c r="N576" s="998"/>
      <c r="O576" s="998"/>
      <c r="P576" s="998"/>
      <c r="Q576" s="1302"/>
      <c r="R576" s="1302"/>
      <c r="S576" s="1302"/>
      <c r="T576" s="1302"/>
      <c r="U576" s="1302"/>
      <c r="V576" s="1302"/>
      <c r="W576" s="1302"/>
      <c r="X576" s="1302"/>
      <c r="Y576" s="1302"/>
      <c r="Z576" s="1302"/>
    </row>
    <row r="577" spans="1:26" ht="19.5">
      <c r="A577" s="1326"/>
      <c r="B577" s="1327"/>
      <c r="C577" s="1327"/>
      <c r="D577" s="1327"/>
      <c r="E577" s="1014"/>
      <c r="F577" s="1014"/>
      <c r="G577" s="1007"/>
      <c r="H577" s="765" t="s">
        <v>34</v>
      </c>
      <c r="I577" s="1018">
        <f ca="1">IFERROR(__xludf.DUMMYFUNCTION("IMPORTRANGE(""https://docs.google.com/spreadsheets/d/1QqKyyYR6Q21VydFLVH3TRQUabQu_ym0Zz7PgGX0-kHA/edit?usp=sharing"",""แผน!HG76"")"),5898)</f>
        <v>5898</v>
      </c>
      <c r="J577" s="1019">
        <f t="shared" si="250"/>
        <v>5898</v>
      </c>
      <c r="K577" s="1162">
        <f t="shared" ca="1" si="251"/>
        <v>100</v>
      </c>
      <c r="L577" s="998"/>
      <c r="M577" s="998"/>
      <c r="N577" s="998"/>
      <c r="O577" s="998"/>
      <c r="P577" s="998"/>
      <c r="Q577" s="1302"/>
      <c r="R577" s="1302"/>
      <c r="S577" s="1302"/>
      <c r="T577" s="1302"/>
      <c r="U577" s="1302"/>
      <c r="V577" s="1302"/>
      <c r="W577" s="1302"/>
      <c r="X577" s="1302"/>
      <c r="Y577" s="1302"/>
      <c r="Z577" s="1302"/>
    </row>
    <row r="578" spans="1:26" ht="18.75">
      <c r="A578" s="1326"/>
      <c r="B578" s="1327"/>
      <c r="C578" s="1327"/>
      <c r="D578" s="1014" t="s">
        <v>245</v>
      </c>
      <c r="E578" s="1014"/>
      <c r="F578" s="1014"/>
      <c r="G578" s="1007"/>
      <c r="H578" s="762" t="s">
        <v>46</v>
      </c>
      <c r="I578" s="997"/>
      <c r="J578" s="1012">
        <v>63638</v>
      </c>
      <c r="K578" s="998"/>
      <c r="L578" s="998"/>
      <c r="M578" s="998"/>
      <c r="N578" s="998"/>
      <c r="O578" s="998"/>
      <c r="P578" s="998"/>
      <c r="Q578" s="1302"/>
      <c r="R578" s="1302"/>
      <c r="S578" s="1302"/>
      <c r="T578" s="1302"/>
      <c r="U578" s="1302"/>
      <c r="V578" s="1302"/>
      <c r="W578" s="1302"/>
      <c r="X578" s="1302"/>
      <c r="Y578" s="1302"/>
      <c r="Z578" s="1302"/>
    </row>
    <row r="579" spans="1:26" ht="18.75">
      <c r="A579" s="1326"/>
      <c r="B579" s="1327"/>
      <c r="C579" s="1327"/>
      <c r="D579" s="1327"/>
      <c r="E579" s="1014"/>
      <c r="F579" s="1014"/>
      <c r="G579" s="1007"/>
      <c r="H579" s="762" t="s">
        <v>34</v>
      </c>
      <c r="I579" s="997"/>
      <c r="J579" s="1012">
        <v>5234</v>
      </c>
      <c r="K579" s="998"/>
      <c r="L579" s="998"/>
      <c r="M579" s="998"/>
      <c r="N579" s="998"/>
      <c r="O579" s="998"/>
      <c r="P579" s="998"/>
      <c r="Q579" s="1302"/>
      <c r="R579" s="1302"/>
      <c r="S579" s="1302"/>
      <c r="T579" s="1302"/>
      <c r="U579" s="1302"/>
      <c r="V579" s="1302"/>
      <c r="W579" s="1302"/>
      <c r="X579" s="1302"/>
      <c r="Y579" s="1302"/>
      <c r="Z579" s="1302"/>
    </row>
    <row r="580" spans="1:26" ht="18.75">
      <c r="A580" s="1326"/>
      <c r="B580" s="1327"/>
      <c r="C580" s="1327"/>
      <c r="D580" s="1014" t="s">
        <v>246</v>
      </c>
      <c r="E580" s="1014"/>
      <c r="F580" s="1014"/>
      <c r="G580" s="1007"/>
      <c r="H580" s="762" t="s">
        <v>46</v>
      </c>
      <c r="I580" s="997"/>
      <c r="J580" s="1012">
        <v>6893</v>
      </c>
      <c r="K580" s="998"/>
      <c r="L580" s="998"/>
      <c r="M580" s="998"/>
      <c r="N580" s="998"/>
      <c r="O580" s="998"/>
      <c r="P580" s="998"/>
      <c r="Q580" s="1302"/>
      <c r="R580" s="1302"/>
      <c r="S580" s="1302"/>
      <c r="T580" s="1302"/>
      <c r="U580" s="1302"/>
      <c r="V580" s="1302"/>
      <c r="W580" s="1302"/>
      <c r="X580" s="1302"/>
      <c r="Y580" s="1302"/>
      <c r="Z580" s="1302"/>
    </row>
    <row r="581" spans="1:26" ht="18.75">
      <c r="A581" s="1326"/>
      <c r="B581" s="1327"/>
      <c r="C581" s="1327"/>
      <c r="D581" s="1327"/>
      <c r="E581" s="1014"/>
      <c r="F581" s="1014"/>
      <c r="G581" s="1007"/>
      <c r="H581" s="762" t="s">
        <v>34</v>
      </c>
      <c r="I581" s="997"/>
      <c r="J581" s="1012">
        <v>529</v>
      </c>
      <c r="K581" s="998"/>
      <c r="L581" s="998"/>
      <c r="M581" s="998"/>
      <c r="N581" s="998"/>
      <c r="O581" s="998"/>
      <c r="P581" s="998"/>
      <c r="Q581" s="1302"/>
      <c r="R581" s="1302"/>
      <c r="S581" s="1302"/>
      <c r="T581" s="1302"/>
      <c r="U581" s="1302"/>
      <c r="V581" s="1302"/>
      <c r="W581" s="1302"/>
      <c r="X581" s="1302"/>
      <c r="Y581" s="1302"/>
      <c r="Z581" s="1302"/>
    </row>
    <row r="582" spans="1:26" ht="19.5">
      <c r="A582" s="1326"/>
      <c r="B582" s="1327"/>
      <c r="C582" s="1327"/>
      <c r="D582" s="1014" t="s">
        <v>247</v>
      </c>
      <c r="E582" s="1014"/>
      <c r="F582" s="1014"/>
      <c r="G582" s="1007"/>
      <c r="H582" s="762" t="s">
        <v>46</v>
      </c>
      <c r="I582" s="997"/>
      <c r="J582" s="1019">
        <f t="shared" ref="J582:J583" si="252">J584+J586</f>
        <v>1533</v>
      </c>
      <c r="K582" s="1162"/>
      <c r="L582" s="998"/>
      <c r="M582" s="998"/>
      <c r="N582" s="998"/>
      <c r="O582" s="998"/>
      <c r="P582" s="998"/>
      <c r="Q582" s="1302"/>
      <c r="R582" s="1302"/>
      <c r="S582" s="1302"/>
      <c r="T582" s="1302"/>
      <c r="U582" s="1302"/>
      <c r="V582" s="1302"/>
      <c r="W582" s="1302"/>
      <c r="X582" s="1302"/>
      <c r="Y582" s="1302"/>
      <c r="Z582" s="1302"/>
    </row>
    <row r="583" spans="1:26" ht="19.5">
      <c r="A583" s="1326"/>
      <c r="B583" s="1327"/>
      <c r="C583" s="1327"/>
      <c r="D583" s="1327"/>
      <c r="E583" s="1014"/>
      <c r="F583" s="1014"/>
      <c r="G583" s="1007"/>
      <c r="H583" s="762" t="s">
        <v>34</v>
      </c>
      <c r="I583" s="997"/>
      <c r="J583" s="1019">
        <f t="shared" si="252"/>
        <v>135</v>
      </c>
      <c r="K583" s="1162"/>
      <c r="L583" s="998"/>
      <c r="M583" s="998"/>
      <c r="N583" s="998"/>
      <c r="O583" s="998"/>
      <c r="P583" s="998"/>
      <c r="Q583" s="1302"/>
      <c r="R583" s="1302"/>
      <c r="S583" s="1302"/>
      <c r="T583" s="1302"/>
      <c r="U583" s="1302"/>
      <c r="V583" s="1302"/>
      <c r="W583" s="1302"/>
      <c r="X583" s="1302"/>
      <c r="Y583" s="1302"/>
      <c r="Z583" s="1302"/>
    </row>
    <row r="584" spans="1:26" ht="18.75">
      <c r="A584" s="1326"/>
      <c r="B584" s="1327"/>
      <c r="C584" s="1327"/>
      <c r="D584" s="1327"/>
      <c r="E584" s="1014" t="s">
        <v>248</v>
      </c>
      <c r="F584" s="1014"/>
      <c r="G584" s="1007"/>
      <c r="H584" s="762" t="s">
        <v>46</v>
      </c>
      <c r="I584" s="997"/>
      <c r="J584" s="1012">
        <v>1533</v>
      </c>
      <c r="K584" s="998"/>
      <c r="L584" s="998"/>
      <c r="M584" s="998"/>
      <c r="N584" s="998"/>
      <c r="O584" s="998"/>
      <c r="P584" s="998"/>
      <c r="Q584" s="1302"/>
      <c r="R584" s="1302"/>
      <c r="S584" s="1302"/>
      <c r="T584" s="1302"/>
      <c r="U584" s="1302"/>
      <c r="V584" s="1302"/>
      <c r="W584" s="1302"/>
      <c r="X584" s="1302"/>
      <c r="Y584" s="1302"/>
      <c r="Z584" s="1302"/>
    </row>
    <row r="585" spans="1:26" ht="18.75">
      <c r="A585" s="1326"/>
      <c r="B585" s="1327"/>
      <c r="C585" s="1327"/>
      <c r="D585" s="1327"/>
      <c r="E585" s="1014"/>
      <c r="F585" s="1014"/>
      <c r="G585" s="1007"/>
      <c r="H585" s="762" t="s">
        <v>34</v>
      </c>
      <c r="I585" s="997"/>
      <c r="J585" s="1012">
        <v>135</v>
      </c>
      <c r="K585" s="998"/>
      <c r="L585" s="998"/>
      <c r="M585" s="998"/>
      <c r="N585" s="998"/>
      <c r="O585" s="998"/>
      <c r="P585" s="998"/>
      <c r="Q585" s="1302"/>
      <c r="R585" s="1302"/>
      <c r="S585" s="1302"/>
      <c r="T585" s="1302"/>
      <c r="U585" s="1302"/>
      <c r="V585" s="1302"/>
      <c r="W585" s="1302"/>
      <c r="X585" s="1302"/>
      <c r="Y585" s="1302"/>
      <c r="Z585" s="1302"/>
    </row>
    <row r="586" spans="1:26" ht="18.75">
      <c r="A586" s="1326"/>
      <c r="B586" s="1327"/>
      <c r="C586" s="1327"/>
      <c r="D586" s="1327"/>
      <c r="E586" s="1014" t="s">
        <v>249</v>
      </c>
      <c r="F586" s="1014"/>
      <c r="G586" s="1007"/>
      <c r="H586" s="762" t="s">
        <v>46</v>
      </c>
      <c r="I586" s="997"/>
      <c r="J586" s="1012">
        <v>0</v>
      </c>
      <c r="K586" s="998"/>
      <c r="L586" s="998"/>
      <c r="M586" s="998"/>
      <c r="N586" s="998"/>
      <c r="O586" s="998"/>
      <c r="P586" s="998"/>
      <c r="Q586" s="1302"/>
      <c r="R586" s="1302"/>
      <c r="S586" s="1302"/>
      <c r="T586" s="1302"/>
      <c r="U586" s="1302"/>
      <c r="V586" s="1302"/>
      <c r="W586" s="1302"/>
      <c r="X586" s="1302"/>
      <c r="Y586" s="1302"/>
      <c r="Z586" s="1302"/>
    </row>
    <row r="587" spans="1:26" ht="18.75">
      <c r="A587" s="1326"/>
      <c r="B587" s="1327"/>
      <c r="C587" s="1327"/>
      <c r="D587" s="1327"/>
      <c r="E587" s="1327"/>
      <c r="F587" s="1014"/>
      <c r="G587" s="1007"/>
      <c r="H587" s="762" t="s">
        <v>34</v>
      </c>
      <c r="I587" s="997"/>
      <c r="J587" s="1012">
        <v>0</v>
      </c>
      <c r="K587" s="998"/>
      <c r="L587" s="998"/>
      <c r="M587" s="998"/>
      <c r="N587" s="998"/>
      <c r="O587" s="998"/>
      <c r="P587" s="998"/>
      <c r="Q587" s="1302"/>
      <c r="R587" s="1302"/>
      <c r="S587" s="1302"/>
      <c r="T587" s="1302"/>
      <c r="U587" s="1302"/>
      <c r="V587" s="1302"/>
      <c r="W587" s="1302"/>
      <c r="X587" s="1302"/>
      <c r="Y587" s="1302"/>
      <c r="Z587" s="1302"/>
    </row>
    <row r="588" spans="1:26" ht="18.75">
      <c r="A588" s="1326"/>
      <c r="B588" s="1327"/>
      <c r="C588" s="1327"/>
      <c r="D588" s="1014" t="s">
        <v>250</v>
      </c>
      <c r="E588" s="1014"/>
      <c r="F588" s="1014"/>
      <c r="G588" s="1007"/>
      <c r="H588" s="762" t="s">
        <v>46</v>
      </c>
      <c r="I588" s="997"/>
      <c r="J588" s="1012">
        <v>0</v>
      </c>
      <c r="K588" s="998"/>
      <c r="L588" s="998"/>
      <c r="M588" s="998"/>
      <c r="N588" s="998"/>
      <c r="O588" s="998"/>
      <c r="P588" s="998"/>
      <c r="Q588" s="1302"/>
      <c r="R588" s="1302"/>
      <c r="S588" s="1302"/>
      <c r="T588" s="1302"/>
      <c r="U588" s="1302"/>
      <c r="V588" s="1302"/>
      <c r="W588" s="1302"/>
      <c r="X588" s="1302"/>
      <c r="Y588" s="1302"/>
      <c r="Z588" s="1302"/>
    </row>
    <row r="589" spans="1:26" ht="18.75">
      <c r="A589" s="1326"/>
      <c r="B589" s="1327"/>
      <c r="C589" s="1327"/>
      <c r="D589" s="1327"/>
      <c r="E589" s="1327"/>
      <c r="F589" s="1014"/>
      <c r="G589" s="1007"/>
      <c r="H589" s="762" t="s">
        <v>34</v>
      </c>
      <c r="I589" s="997"/>
      <c r="J589" s="1012">
        <v>0</v>
      </c>
      <c r="K589" s="998"/>
      <c r="L589" s="998"/>
      <c r="M589" s="998"/>
      <c r="N589" s="998"/>
      <c r="O589" s="998"/>
      <c r="P589" s="998"/>
      <c r="Q589" s="1302"/>
      <c r="R589" s="1302"/>
      <c r="S589" s="1302"/>
      <c r="T589" s="1302"/>
      <c r="U589" s="1302"/>
      <c r="V589" s="1302"/>
      <c r="W589" s="1302"/>
      <c r="X589" s="1302"/>
      <c r="Y589" s="1302"/>
      <c r="Z589" s="1302"/>
    </row>
    <row r="590" spans="1:26" ht="18.75">
      <c r="A590" s="1326"/>
      <c r="B590" s="1327"/>
      <c r="C590" s="1327"/>
      <c r="D590" s="1014" t="s">
        <v>251</v>
      </c>
      <c r="E590" s="1014"/>
      <c r="F590" s="1014"/>
      <c r="G590" s="1007"/>
      <c r="H590" s="762" t="s">
        <v>46</v>
      </c>
      <c r="I590" s="997"/>
      <c r="J590" s="1012">
        <v>0</v>
      </c>
      <c r="K590" s="998"/>
      <c r="L590" s="998"/>
      <c r="M590" s="998"/>
      <c r="N590" s="998"/>
      <c r="O590" s="998"/>
      <c r="P590" s="998"/>
      <c r="Q590" s="1302"/>
      <c r="R590" s="1302"/>
      <c r="S590" s="1302"/>
      <c r="T590" s="1302"/>
      <c r="U590" s="1302"/>
      <c r="V590" s="1302"/>
      <c r="W590" s="1302"/>
      <c r="X590" s="1302"/>
      <c r="Y590" s="1302"/>
      <c r="Z590" s="1302"/>
    </row>
    <row r="591" spans="1:26" ht="18.75">
      <c r="A591" s="1393"/>
      <c r="B591" s="1394"/>
      <c r="C591" s="1394"/>
      <c r="D591" s="1394"/>
      <c r="E591" s="1302"/>
      <c r="F591" s="1302"/>
      <c r="G591" s="1395"/>
      <c r="H591" s="697" t="s">
        <v>34</v>
      </c>
      <c r="I591" s="1396"/>
      <c r="J591" s="1397">
        <v>0</v>
      </c>
      <c r="K591" s="1398"/>
      <c r="L591" s="1398"/>
      <c r="M591" s="1398"/>
      <c r="N591" s="1398"/>
      <c r="O591" s="1398"/>
      <c r="P591" s="1398"/>
      <c r="Q591" s="1302"/>
      <c r="R591" s="1302"/>
      <c r="S591" s="1302"/>
      <c r="T591" s="1302"/>
      <c r="U591" s="1302"/>
      <c r="V591" s="1302"/>
      <c r="W591" s="1302"/>
      <c r="X591" s="1302"/>
      <c r="Y591" s="1302"/>
      <c r="Z591" s="1302"/>
    </row>
    <row r="592" spans="1:26" ht="19.5">
      <c r="A592" s="1390"/>
      <c r="B592" s="1391" t="s">
        <v>252</v>
      </c>
      <c r="C592" s="1392"/>
      <c r="D592" s="1392"/>
      <c r="E592" s="1375"/>
      <c r="F592" s="1375"/>
      <c r="G592" s="1376"/>
      <c r="H592" s="693" t="s">
        <v>46</v>
      </c>
      <c r="I592" s="1399">
        <f t="shared" ref="I592:J592" ca="1" si="253">I593</f>
        <v>11583.05</v>
      </c>
      <c r="J592" s="1377">
        <f t="shared" si="253"/>
        <v>0</v>
      </c>
      <c r="K592" s="1378">
        <f t="shared" ref="K592:K594" ca="1" si="254">IF(I592&gt;0,J592*100/I592,0)</f>
        <v>0</v>
      </c>
      <c r="L592" s="1379"/>
      <c r="M592" s="1379"/>
      <c r="N592" s="1379"/>
      <c r="O592" s="1379"/>
      <c r="P592" s="1379"/>
      <c r="Q592" s="1302"/>
      <c r="R592" s="1302"/>
      <c r="S592" s="1302"/>
      <c r="T592" s="1302"/>
      <c r="U592" s="1302"/>
      <c r="V592" s="1302"/>
      <c r="W592" s="1302"/>
      <c r="X592" s="1302"/>
      <c r="Y592" s="1302"/>
      <c r="Z592" s="1302"/>
    </row>
    <row r="593" spans="1:26" ht="19.5">
      <c r="A593" s="1326"/>
      <c r="B593" s="1327"/>
      <c r="C593" s="1336" t="s">
        <v>253</v>
      </c>
      <c r="D593" s="1327"/>
      <c r="E593" s="1327"/>
      <c r="F593" s="1014"/>
      <c r="G593" s="1007"/>
      <c r="H593" s="765" t="s">
        <v>46</v>
      </c>
      <c r="I593" s="1400">
        <f ca="1">IFERROR(__xludf.DUMMYFUNCTION("IMPORTRANGE(""https://docs.google.com/spreadsheets/d/1QqKyyYR6Q21VydFLVH3TRQUabQu_ym0Zz7PgGX0-kHA/edit?usp=sharing"",""แผน!HJ76"")"),11583.05)</f>
        <v>11583.05</v>
      </c>
      <c r="J593" s="1018">
        <f t="shared" ref="J593:J594" si="255">J595+J603+J609</f>
        <v>0</v>
      </c>
      <c r="K593" s="1162">
        <f t="shared" ca="1" si="254"/>
        <v>0</v>
      </c>
      <c r="L593" s="998"/>
      <c r="M593" s="998"/>
      <c r="N593" s="998"/>
      <c r="O593" s="998"/>
      <c r="P593" s="998"/>
      <c r="Q593" s="1302"/>
      <c r="R593" s="1302"/>
      <c r="S593" s="1302"/>
      <c r="T593" s="1302"/>
      <c r="U593" s="1302"/>
      <c r="V593" s="1302"/>
      <c r="W593" s="1302"/>
      <c r="X593" s="1302"/>
      <c r="Y593" s="1302"/>
      <c r="Z593" s="1302"/>
    </row>
    <row r="594" spans="1:26" ht="19.5">
      <c r="A594" s="1326"/>
      <c r="B594" s="1327"/>
      <c r="C594" s="1327"/>
      <c r="D594" s="1327"/>
      <c r="E594" s="1014"/>
      <c r="F594" s="1014"/>
      <c r="G594" s="1007"/>
      <c r="H594" s="765" t="s">
        <v>34</v>
      </c>
      <c r="I594" s="1018">
        <f ca="1">IFERROR(__xludf.DUMMYFUNCTION("IMPORTRANGE(""https://docs.google.com/spreadsheets/d/1QqKyyYR6Q21VydFLVH3TRQUabQu_ym0Zz7PgGX0-kHA/edit?usp=sharing"",""แผน!HI76"")"),1156)</f>
        <v>1156</v>
      </c>
      <c r="J594" s="1018">
        <f t="shared" si="255"/>
        <v>0</v>
      </c>
      <c r="K594" s="1162">
        <f t="shared" ca="1" si="254"/>
        <v>0</v>
      </c>
      <c r="L594" s="998"/>
      <c r="M594" s="998"/>
      <c r="N594" s="998"/>
      <c r="O594" s="998"/>
      <c r="P594" s="998"/>
      <c r="Q594" s="1302"/>
      <c r="R594" s="1302"/>
      <c r="S594" s="1302"/>
      <c r="T594" s="1302"/>
      <c r="U594" s="1302"/>
      <c r="V594" s="1302"/>
      <c r="W594" s="1302"/>
      <c r="X594" s="1302"/>
      <c r="Y594" s="1302"/>
      <c r="Z594" s="1302"/>
    </row>
    <row r="595" spans="1:26" ht="18.75">
      <c r="A595" s="1326"/>
      <c r="B595" s="1327"/>
      <c r="C595" s="1327" t="s">
        <v>254</v>
      </c>
      <c r="D595" s="1327"/>
      <c r="E595" s="1327"/>
      <c r="F595" s="1014"/>
      <c r="G595" s="1007"/>
      <c r="H595" s="762" t="s">
        <v>46</v>
      </c>
      <c r="I595" s="997"/>
      <c r="J595" s="997">
        <f t="shared" ref="J595:J596" si="256">J597+J599</f>
        <v>0</v>
      </c>
      <c r="K595" s="998"/>
      <c r="L595" s="998"/>
      <c r="M595" s="998"/>
      <c r="N595" s="998"/>
      <c r="O595" s="998"/>
      <c r="P595" s="998"/>
      <c r="Q595" s="1302"/>
      <c r="R595" s="1302"/>
      <c r="S595" s="1302"/>
      <c r="T595" s="1302"/>
      <c r="U595" s="1302"/>
      <c r="V595" s="1302"/>
      <c r="W595" s="1302"/>
      <c r="X595" s="1302"/>
      <c r="Y595" s="1302"/>
      <c r="Z595" s="1302"/>
    </row>
    <row r="596" spans="1:26" ht="18.75">
      <c r="A596" s="1326"/>
      <c r="B596" s="1327"/>
      <c r="C596" s="1327"/>
      <c r="D596" s="1327"/>
      <c r="E596" s="1014"/>
      <c r="F596" s="1014"/>
      <c r="G596" s="1007"/>
      <c r="H596" s="762" t="s">
        <v>34</v>
      </c>
      <c r="I596" s="997"/>
      <c r="J596" s="997">
        <f t="shared" si="256"/>
        <v>0</v>
      </c>
      <c r="K596" s="998"/>
      <c r="L596" s="998"/>
      <c r="M596" s="998"/>
      <c r="N596" s="998"/>
      <c r="O596" s="998"/>
      <c r="P596" s="998"/>
      <c r="Q596" s="1302"/>
      <c r="R596" s="1302"/>
      <c r="S596" s="1302"/>
      <c r="T596" s="1302"/>
      <c r="U596" s="1302"/>
      <c r="V596" s="1302"/>
      <c r="W596" s="1302"/>
      <c r="X596" s="1302"/>
      <c r="Y596" s="1302"/>
      <c r="Z596" s="1302"/>
    </row>
    <row r="597" spans="1:26" ht="18.75">
      <c r="A597" s="1326"/>
      <c r="B597" s="1327"/>
      <c r="C597" s="1327"/>
      <c r="D597" s="1069" t="s">
        <v>255</v>
      </c>
      <c r="E597" s="1014"/>
      <c r="F597" s="1014"/>
      <c r="G597" s="1007"/>
      <c r="H597" s="762" t="s">
        <v>46</v>
      </c>
      <c r="I597" s="997"/>
      <c r="J597" s="1012">
        <v>0</v>
      </c>
      <c r="K597" s="998"/>
      <c r="L597" s="998"/>
      <c r="M597" s="998"/>
      <c r="N597" s="998"/>
      <c r="O597" s="998"/>
      <c r="P597" s="998"/>
      <c r="Q597" s="1302"/>
      <c r="R597" s="1302"/>
      <c r="S597" s="1302"/>
      <c r="T597" s="1302"/>
      <c r="U597" s="1302"/>
      <c r="V597" s="1302"/>
      <c r="W597" s="1302"/>
      <c r="X597" s="1302"/>
      <c r="Y597" s="1302"/>
      <c r="Z597" s="1302"/>
    </row>
    <row r="598" spans="1:26" ht="18.75">
      <c r="A598" s="1326"/>
      <c r="B598" s="1327"/>
      <c r="C598" s="1327"/>
      <c r="D598" s="1327"/>
      <c r="E598" s="1014"/>
      <c r="F598" s="1014"/>
      <c r="G598" s="1007"/>
      <c r="H598" s="762" t="s">
        <v>34</v>
      </c>
      <c r="I598" s="880"/>
      <c r="J598" s="1012">
        <v>0</v>
      </c>
      <c r="K598" s="998"/>
      <c r="L598" s="998"/>
      <c r="M598" s="998"/>
      <c r="N598" s="998"/>
      <c r="O598" s="998"/>
      <c r="P598" s="998"/>
      <c r="Q598" s="1302"/>
      <c r="R598" s="1302"/>
      <c r="S598" s="1302"/>
      <c r="T598" s="1302"/>
      <c r="U598" s="1302"/>
      <c r="V598" s="1302"/>
      <c r="W598" s="1302"/>
      <c r="X598" s="1302"/>
      <c r="Y598" s="1302"/>
      <c r="Z598" s="1302"/>
    </row>
    <row r="599" spans="1:26" ht="18.75">
      <c r="A599" s="1326"/>
      <c r="B599" s="1327"/>
      <c r="C599" s="1327"/>
      <c r="D599" s="1069" t="s">
        <v>256</v>
      </c>
      <c r="E599" s="1014"/>
      <c r="F599" s="1014"/>
      <c r="G599" s="1007"/>
      <c r="H599" s="762" t="s">
        <v>46</v>
      </c>
      <c r="I599" s="880"/>
      <c r="J599" s="1012">
        <v>0</v>
      </c>
      <c r="K599" s="998"/>
      <c r="L599" s="998"/>
      <c r="M599" s="998"/>
      <c r="N599" s="998"/>
      <c r="O599" s="998"/>
      <c r="P599" s="998"/>
      <c r="Q599" s="1302"/>
      <c r="R599" s="1302"/>
      <c r="S599" s="1302"/>
      <c r="T599" s="1302"/>
      <c r="U599" s="1302"/>
      <c r="V599" s="1302"/>
      <c r="W599" s="1302"/>
      <c r="X599" s="1302"/>
      <c r="Y599" s="1302"/>
      <c r="Z599" s="1302"/>
    </row>
    <row r="600" spans="1:26" ht="18.75">
      <c r="A600" s="1326"/>
      <c r="B600" s="1327"/>
      <c r="C600" s="1327"/>
      <c r="D600" s="1327"/>
      <c r="E600" s="1014"/>
      <c r="F600" s="1014"/>
      <c r="G600" s="1007"/>
      <c r="H600" s="762" t="s">
        <v>34</v>
      </c>
      <c r="I600" s="880"/>
      <c r="J600" s="1012">
        <v>0</v>
      </c>
      <c r="K600" s="998"/>
      <c r="L600" s="998"/>
      <c r="M600" s="998"/>
      <c r="N600" s="998"/>
      <c r="O600" s="998"/>
      <c r="P600" s="998"/>
      <c r="Q600" s="1302"/>
      <c r="R600" s="1302"/>
      <c r="S600" s="1302"/>
      <c r="T600" s="1302"/>
      <c r="U600" s="1302"/>
      <c r="V600" s="1302"/>
      <c r="W600" s="1302"/>
      <c r="X600" s="1302"/>
      <c r="Y600" s="1302"/>
      <c r="Z600" s="1302"/>
    </row>
    <row r="601" spans="1:26" ht="18.75">
      <c r="A601" s="1326"/>
      <c r="B601" s="1327"/>
      <c r="C601" s="1327"/>
      <c r="D601" s="1069" t="s">
        <v>257</v>
      </c>
      <c r="E601" s="1014"/>
      <c r="F601" s="1014"/>
      <c r="G601" s="1007"/>
      <c r="H601" s="762" t="s">
        <v>46</v>
      </c>
      <c r="I601" s="880"/>
      <c r="J601" s="1012">
        <v>0</v>
      </c>
      <c r="K601" s="998"/>
      <c r="L601" s="998"/>
      <c r="M601" s="998"/>
      <c r="N601" s="998"/>
      <c r="O601" s="998"/>
      <c r="P601" s="998"/>
      <c r="Q601" s="1302"/>
      <c r="R601" s="1302"/>
      <c r="S601" s="1302"/>
      <c r="T601" s="1302"/>
      <c r="U601" s="1302"/>
      <c r="V601" s="1302"/>
      <c r="W601" s="1302"/>
      <c r="X601" s="1302"/>
      <c r="Y601" s="1302"/>
      <c r="Z601" s="1302"/>
    </row>
    <row r="602" spans="1:26" ht="18.75">
      <c r="A602" s="1326"/>
      <c r="B602" s="1327"/>
      <c r="C602" s="1327"/>
      <c r="D602" s="1327"/>
      <c r="E602" s="1014"/>
      <c r="F602" s="1014"/>
      <c r="G602" s="1007"/>
      <c r="H602" s="762" t="s">
        <v>34</v>
      </c>
      <c r="I602" s="880"/>
      <c r="J602" s="1012">
        <v>0</v>
      </c>
      <c r="K602" s="998"/>
      <c r="L602" s="998"/>
      <c r="M602" s="998"/>
      <c r="N602" s="998"/>
      <c r="O602" s="998"/>
      <c r="P602" s="998"/>
      <c r="Q602" s="1302"/>
      <c r="R602" s="1302"/>
      <c r="S602" s="1302"/>
      <c r="T602" s="1302"/>
      <c r="U602" s="1302"/>
      <c r="V602" s="1302"/>
      <c r="W602" s="1302"/>
      <c r="X602" s="1302"/>
      <c r="Y602" s="1302"/>
      <c r="Z602" s="1302"/>
    </row>
    <row r="603" spans="1:26" ht="18.75">
      <c r="A603" s="1326"/>
      <c r="B603" s="1327"/>
      <c r="C603" s="1401" t="s">
        <v>258</v>
      </c>
      <c r="D603" s="1327"/>
      <c r="E603" s="1327"/>
      <c r="F603" s="1014"/>
      <c r="G603" s="1007"/>
      <c r="H603" s="762" t="s">
        <v>46</v>
      </c>
      <c r="I603" s="880"/>
      <c r="J603" s="880">
        <f t="shared" ref="J603:J604" si="257">J605+J607</f>
        <v>0</v>
      </c>
      <c r="K603" s="998"/>
      <c r="L603" s="998"/>
      <c r="M603" s="998"/>
      <c r="N603" s="998"/>
      <c r="O603" s="998"/>
      <c r="P603" s="998"/>
      <c r="Q603" s="1302"/>
      <c r="R603" s="1302"/>
      <c r="S603" s="1302"/>
      <c r="T603" s="1302"/>
      <c r="U603" s="1302"/>
      <c r="V603" s="1302"/>
      <c r="W603" s="1302"/>
      <c r="X603" s="1302"/>
      <c r="Y603" s="1302"/>
      <c r="Z603" s="1302"/>
    </row>
    <row r="604" spans="1:26" ht="18.75">
      <c r="A604" s="1326"/>
      <c r="B604" s="1327"/>
      <c r="C604" s="1327"/>
      <c r="D604" s="1327"/>
      <c r="E604" s="1014"/>
      <c r="F604" s="1014"/>
      <c r="G604" s="1007"/>
      <c r="H604" s="762" t="s">
        <v>34</v>
      </c>
      <c r="I604" s="880"/>
      <c r="J604" s="880">
        <f t="shared" si="257"/>
        <v>0</v>
      </c>
      <c r="K604" s="998"/>
      <c r="L604" s="998"/>
      <c r="M604" s="998"/>
      <c r="N604" s="998"/>
      <c r="O604" s="998"/>
      <c r="P604" s="998"/>
      <c r="Q604" s="1302"/>
      <c r="R604" s="1302"/>
      <c r="S604" s="1302"/>
      <c r="T604" s="1302"/>
      <c r="U604" s="1302"/>
      <c r="V604" s="1302"/>
      <c r="W604" s="1302"/>
      <c r="X604" s="1302"/>
      <c r="Y604" s="1302"/>
      <c r="Z604" s="1302"/>
    </row>
    <row r="605" spans="1:26" ht="18.75">
      <c r="A605" s="1326"/>
      <c r="B605" s="1327"/>
      <c r="C605" s="1327"/>
      <c r="D605" s="1401" t="s">
        <v>259</v>
      </c>
      <c r="E605" s="1014"/>
      <c r="F605" s="1014"/>
      <c r="G605" s="1007"/>
      <c r="H605" s="762" t="s">
        <v>46</v>
      </c>
      <c r="I605" s="880"/>
      <c r="J605" s="1012">
        <v>0</v>
      </c>
      <c r="K605" s="998"/>
      <c r="L605" s="998"/>
      <c r="M605" s="998"/>
      <c r="N605" s="998"/>
      <c r="O605" s="998"/>
      <c r="P605" s="998"/>
      <c r="Q605" s="1302"/>
      <c r="R605" s="1302"/>
      <c r="S605" s="1302"/>
      <c r="T605" s="1302"/>
      <c r="U605" s="1302"/>
      <c r="V605" s="1302"/>
      <c r="W605" s="1302"/>
      <c r="X605" s="1302"/>
      <c r="Y605" s="1302"/>
      <c r="Z605" s="1302"/>
    </row>
    <row r="606" spans="1:26" ht="18.75">
      <c r="A606" s="1326"/>
      <c r="B606" s="1327"/>
      <c r="C606" s="1327"/>
      <c r="D606" s="1327"/>
      <c r="E606" s="1327"/>
      <c r="F606" s="1014"/>
      <c r="G606" s="1007"/>
      <c r="H606" s="762" t="s">
        <v>34</v>
      </c>
      <c r="I606" s="880"/>
      <c r="J606" s="1012">
        <v>0</v>
      </c>
      <c r="K606" s="998"/>
      <c r="L606" s="998"/>
      <c r="M606" s="998"/>
      <c r="N606" s="998"/>
      <c r="O606" s="998"/>
      <c r="P606" s="998"/>
      <c r="Q606" s="1302"/>
      <c r="R606" s="1302"/>
      <c r="S606" s="1302"/>
      <c r="T606" s="1302"/>
      <c r="U606" s="1302"/>
      <c r="V606" s="1302"/>
      <c r="W606" s="1302"/>
      <c r="X606" s="1302"/>
      <c r="Y606" s="1302"/>
      <c r="Z606" s="1302"/>
    </row>
    <row r="607" spans="1:26" ht="18.75">
      <c r="A607" s="1326"/>
      <c r="B607" s="1327"/>
      <c r="C607" s="1327"/>
      <c r="D607" s="1401" t="s">
        <v>260</v>
      </c>
      <c r="E607" s="1327"/>
      <c r="F607" s="1014"/>
      <c r="G607" s="1007"/>
      <c r="H607" s="762" t="s">
        <v>46</v>
      </c>
      <c r="I607" s="880"/>
      <c r="J607" s="1012">
        <v>0</v>
      </c>
      <c r="K607" s="998"/>
      <c r="L607" s="998"/>
      <c r="M607" s="998"/>
      <c r="N607" s="998"/>
      <c r="O607" s="998"/>
      <c r="P607" s="998"/>
      <c r="Q607" s="1302"/>
      <c r="R607" s="1302"/>
      <c r="S607" s="1302"/>
      <c r="T607" s="1302"/>
      <c r="U607" s="1302"/>
      <c r="V607" s="1302"/>
      <c r="W607" s="1302"/>
      <c r="X607" s="1302"/>
      <c r="Y607" s="1302"/>
      <c r="Z607" s="1302"/>
    </row>
    <row r="608" spans="1:26" ht="18.75">
      <c r="A608" s="1326"/>
      <c r="B608" s="1327"/>
      <c r="C608" s="1327"/>
      <c r="D608" s="1327"/>
      <c r="E608" s="1014"/>
      <c r="F608" s="1014"/>
      <c r="G608" s="1007"/>
      <c r="H608" s="762" t="s">
        <v>34</v>
      </c>
      <c r="I608" s="880"/>
      <c r="J608" s="1012">
        <v>0</v>
      </c>
      <c r="K608" s="998"/>
      <c r="L608" s="998"/>
      <c r="M608" s="998"/>
      <c r="N608" s="998"/>
      <c r="O608" s="998"/>
      <c r="P608" s="998"/>
      <c r="Q608" s="1302"/>
      <c r="R608" s="1302"/>
      <c r="S608" s="1302"/>
      <c r="T608" s="1302"/>
      <c r="U608" s="1302"/>
      <c r="V608" s="1302"/>
      <c r="W608" s="1302"/>
      <c r="X608" s="1302"/>
      <c r="Y608" s="1302"/>
      <c r="Z608" s="1302"/>
    </row>
    <row r="609" spans="1:26" ht="18.75">
      <c r="A609" s="1326"/>
      <c r="B609" s="1327"/>
      <c r="C609" s="1327" t="s">
        <v>261</v>
      </c>
      <c r="D609" s="1327"/>
      <c r="E609" s="1327"/>
      <c r="F609" s="1014"/>
      <c r="G609" s="1007"/>
      <c r="H609" s="762" t="s">
        <v>46</v>
      </c>
      <c r="I609" s="880"/>
      <c r="J609" s="1012">
        <v>0</v>
      </c>
      <c r="K609" s="998"/>
      <c r="L609" s="998"/>
      <c r="M609" s="998"/>
      <c r="N609" s="998"/>
      <c r="O609" s="998"/>
      <c r="P609" s="998"/>
      <c r="Q609" s="1302"/>
      <c r="R609" s="1302"/>
      <c r="S609" s="1302"/>
      <c r="T609" s="1302"/>
      <c r="U609" s="1302"/>
      <c r="V609" s="1302"/>
      <c r="W609" s="1302"/>
      <c r="X609" s="1302"/>
      <c r="Y609" s="1302"/>
      <c r="Z609" s="1302"/>
    </row>
    <row r="610" spans="1:26" ht="18.75">
      <c r="A610" s="1326"/>
      <c r="B610" s="1327"/>
      <c r="C610" s="1327"/>
      <c r="D610" s="1327"/>
      <c r="E610" s="1014"/>
      <c r="F610" s="1014"/>
      <c r="G610" s="1007"/>
      <c r="H610" s="762" t="s">
        <v>34</v>
      </c>
      <c r="I610" s="880"/>
      <c r="J610" s="1012">
        <v>0</v>
      </c>
      <c r="K610" s="998"/>
      <c r="L610" s="998"/>
      <c r="M610" s="998"/>
      <c r="N610" s="998"/>
      <c r="O610" s="998"/>
      <c r="P610" s="998"/>
      <c r="Q610" s="1302"/>
      <c r="R610" s="1302"/>
      <c r="S610" s="1302"/>
      <c r="T610" s="1302"/>
      <c r="U610" s="1302"/>
      <c r="V610" s="1302"/>
      <c r="W610" s="1302"/>
      <c r="X610" s="1302"/>
      <c r="Y610" s="1302"/>
      <c r="Z610" s="1302"/>
    </row>
    <row r="611" spans="1:26" ht="19.5" hidden="1">
      <c r="A611" s="1390"/>
      <c r="B611" s="1402" t="s">
        <v>262</v>
      </c>
      <c r="C611" s="1392"/>
      <c r="D611" s="1392"/>
      <c r="E611" s="1375"/>
      <c r="F611" s="1375"/>
      <c r="G611" s="1376"/>
      <c r="H611" s="705" t="s">
        <v>46</v>
      </c>
      <c r="I611" s="1377">
        <v>0</v>
      </c>
      <c r="J611" s="1377">
        <f>J614+J616</f>
        <v>0</v>
      </c>
      <c r="K611" s="1378">
        <f t="shared" ref="K611:K613" si="258">IF(I611&gt;0,J611*100/I611,0)</f>
        <v>0</v>
      </c>
      <c r="L611" s="1379"/>
      <c r="M611" s="1379"/>
      <c r="N611" s="1379"/>
      <c r="O611" s="1379"/>
      <c r="P611" s="1379"/>
      <c r="Q611" s="1302"/>
      <c r="R611" s="1302"/>
      <c r="S611" s="1302"/>
      <c r="T611" s="1302"/>
      <c r="U611" s="1302"/>
      <c r="V611" s="1302"/>
      <c r="W611" s="1302"/>
      <c r="X611" s="1302"/>
      <c r="Y611" s="1302"/>
      <c r="Z611" s="1302"/>
    </row>
    <row r="612" spans="1:26" ht="19.5" hidden="1">
      <c r="A612" s="1403"/>
      <c r="B612" s="1404"/>
      <c r="C612" s="1405" t="s">
        <v>263</v>
      </c>
      <c r="D612" s="1404"/>
      <c r="E612" s="1404"/>
      <c r="F612" s="1406"/>
      <c r="G612" s="1407"/>
      <c r="H612" s="712" t="s">
        <v>46</v>
      </c>
      <c r="I612" s="1408">
        <v>0</v>
      </c>
      <c r="J612" s="1408">
        <f t="shared" ref="J612:J613" si="259">J614+J616</f>
        <v>0</v>
      </c>
      <c r="K612" s="1409">
        <f t="shared" si="258"/>
        <v>0</v>
      </c>
      <c r="L612" s="1410"/>
      <c r="M612" s="1410"/>
      <c r="N612" s="1410"/>
      <c r="O612" s="1410"/>
      <c r="P612" s="1410"/>
      <c r="Q612" s="1323"/>
      <c r="R612" s="1323"/>
      <c r="S612" s="1323"/>
      <c r="T612" s="1323"/>
      <c r="U612" s="1323"/>
      <c r="V612" s="1323"/>
      <c r="W612" s="1323"/>
      <c r="X612" s="1323"/>
      <c r="Y612" s="1323"/>
      <c r="Z612" s="1323"/>
    </row>
    <row r="613" spans="1:26" ht="19.5" hidden="1">
      <c r="A613" s="1403"/>
      <c r="B613" s="1404"/>
      <c r="C613" s="1404" t="s">
        <v>264</v>
      </c>
      <c r="D613" s="1404"/>
      <c r="E613" s="1404"/>
      <c r="F613" s="1406"/>
      <c r="G613" s="1407"/>
      <c r="H613" s="712" t="s">
        <v>34</v>
      </c>
      <c r="I613" s="1408">
        <v>0</v>
      </c>
      <c r="J613" s="1408">
        <f t="shared" si="259"/>
        <v>0</v>
      </c>
      <c r="K613" s="1409">
        <f t="shared" si="258"/>
        <v>0</v>
      </c>
      <c r="L613" s="1410"/>
      <c r="M613" s="1410"/>
      <c r="N613" s="1410"/>
      <c r="O613" s="1410"/>
      <c r="P613" s="1410"/>
      <c r="Q613" s="1323"/>
      <c r="R613" s="1323"/>
      <c r="S613" s="1323"/>
      <c r="T613" s="1323"/>
      <c r="U613" s="1323"/>
      <c r="V613" s="1323"/>
      <c r="W613" s="1323"/>
      <c r="X613" s="1323"/>
      <c r="Y613" s="1323"/>
      <c r="Z613" s="1323"/>
    </row>
    <row r="614" spans="1:26" ht="18.75" hidden="1">
      <c r="A614" s="1332"/>
      <c r="B614" s="1333"/>
      <c r="C614" s="1333"/>
      <c r="D614" s="1321" t="s">
        <v>265</v>
      </c>
      <c r="E614" s="1333"/>
      <c r="F614" s="1321"/>
      <c r="G614" s="1113"/>
      <c r="H614" s="370" t="s">
        <v>46</v>
      </c>
      <c r="I614" s="886"/>
      <c r="J614" s="886">
        <v>0</v>
      </c>
      <c r="K614" s="1001"/>
      <c r="L614" s="1001"/>
      <c r="M614" s="1001"/>
      <c r="N614" s="1001"/>
      <c r="O614" s="1001"/>
      <c r="P614" s="1001"/>
      <c r="Q614" s="1323"/>
      <c r="R614" s="1323"/>
      <c r="S614" s="1323"/>
      <c r="T614" s="1323"/>
      <c r="U614" s="1323"/>
      <c r="V614" s="1323"/>
      <c r="W614" s="1323"/>
      <c r="X614" s="1323"/>
      <c r="Y614" s="1323"/>
      <c r="Z614" s="1323"/>
    </row>
    <row r="615" spans="1:26" ht="18.75" hidden="1">
      <c r="A615" s="1332"/>
      <c r="B615" s="1333"/>
      <c r="C615" s="1333"/>
      <c r="D615" s="1333"/>
      <c r="E615" s="1333"/>
      <c r="F615" s="1321"/>
      <c r="G615" s="1113"/>
      <c r="H615" s="370" t="s">
        <v>34</v>
      </c>
      <c r="I615" s="886"/>
      <c r="J615" s="886">
        <v>0</v>
      </c>
      <c r="K615" s="1001"/>
      <c r="L615" s="1001"/>
      <c r="M615" s="1001"/>
      <c r="N615" s="1001"/>
      <c r="O615" s="1001"/>
      <c r="P615" s="1001"/>
      <c r="Q615" s="1323"/>
      <c r="R615" s="1323"/>
      <c r="S615" s="1323"/>
      <c r="T615" s="1323"/>
      <c r="U615" s="1323"/>
      <c r="V615" s="1323"/>
      <c r="W615" s="1323"/>
      <c r="X615" s="1323"/>
      <c r="Y615" s="1323"/>
      <c r="Z615" s="1323"/>
    </row>
    <row r="616" spans="1:26" ht="18.75" hidden="1">
      <c r="A616" s="1332"/>
      <c r="B616" s="1333"/>
      <c r="C616" s="1333"/>
      <c r="D616" s="1411" t="s">
        <v>265</v>
      </c>
      <c r="E616" s="1321"/>
      <c r="F616" s="1321"/>
      <c r="G616" s="1113"/>
      <c r="H616" s="370" t="s">
        <v>46</v>
      </c>
      <c r="I616" s="886"/>
      <c r="J616" s="886">
        <v>0</v>
      </c>
      <c r="K616" s="1001"/>
      <c r="L616" s="1001"/>
      <c r="M616" s="1001"/>
      <c r="N616" s="1001"/>
      <c r="O616" s="1001"/>
      <c r="P616" s="1001"/>
      <c r="Q616" s="1323"/>
      <c r="R616" s="1323"/>
      <c r="S616" s="1323"/>
      <c r="T616" s="1323"/>
      <c r="U616" s="1323"/>
      <c r="V616" s="1323"/>
      <c r="W616" s="1323"/>
      <c r="X616" s="1323"/>
      <c r="Y616" s="1323"/>
      <c r="Z616" s="1323"/>
    </row>
    <row r="617" spans="1:26" ht="18.75" hidden="1">
      <c r="A617" s="1332"/>
      <c r="B617" s="1333"/>
      <c r="C617" s="1333"/>
      <c r="D617" s="1333"/>
      <c r="E617" s="1321"/>
      <c r="F617" s="1321"/>
      <c r="G617" s="1113"/>
      <c r="H617" s="370" t="s">
        <v>34</v>
      </c>
      <c r="I617" s="886"/>
      <c r="J617" s="886">
        <v>0</v>
      </c>
      <c r="K617" s="1001"/>
      <c r="L617" s="1001"/>
      <c r="M617" s="1001"/>
      <c r="N617" s="1001"/>
      <c r="O617" s="1001"/>
      <c r="P617" s="1001"/>
      <c r="Q617" s="1323"/>
      <c r="R617" s="1323"/>
      <c r="S617" s="1323"/>
      <c r="T617" s="1323"/>
      <c r="U617" s="1323"/>
      <c r="V617" s="1323"/>
      <c r="W617" s="1323"/>
      <c r="X617" s="1323"/>
      <c r="Y617" s="1323"/>
      <c r="Z617" s="1323"/>
    </row>
    <row r="618" spans="1:26" ht="18.75" hidden="1">
      <c r="A618" s="1332"/>
      <c r="B618" s="1333"/>
      <c r="C618" s="1333"/>
      <c r="D618" s="1411" t="s">
        <v>266</v>
      </c>
      <c r="E618" s="1321"/>
      <c r="F618" s="1321"/>
      <c r="G618" s="1113"/>
      <c r="H618" s="370" t="s">
        <v>46</v>
      </c>
      <c r="I618" s="886"/>
      <c r="J618" s="886">
        <v>0</v>
      </c>
      <c r="K618" s="1001"/>
      <c r="L618" s="1001"/>
      <c r="M618" s="1001"/>
      <c r="N618" s="1001"/>
      <c r="O618" s="1001"/>
      <c r="P618" s="1001"/>
      <c r="Q618" s="1323"/>
      <c r="R618" s="1323"/>
      <c r="S618" s="1323"/>
      <c r="T618" s="1323"/>
      <c r="U618" s="1323"/>
      <c r="V618" s="1323"/>
      <c r="W618" s="1323"/>
      <c r="X618" s="1323"/>
      <c r="Y618" s="1323"/>
      <c r="Z618" s="1323"/>
    </row>
    <row r="619" spans="1:26" ht="18.75" hidden="1">
      <c r="A619" s="1332"/>
      <c r="B619" s="1333"/>
      <c r="C619" s="1333"/>
      <c r="D619" s="1333"/>
      <c r="E619" s="1321"/>
      <c r="F619" s="1321"/>
      <c r="G619" s="1113"/>
      <c r="H619" s="370" t="s">
        <v>34</v>
      </c>
      <c r="I619" s="886"/>
      <c r="J619" s="886">
        <v>0</v>
      </c>
      <c r="K619" s="1001"/>
      <c r="L619" s="1001"/>
      <c r="M619" s="1001"/>
      <c r="N619" s="1001"/>
      <c r="O619" s="1001"/>
      <c r="P619" s="1001"/>
      <c r="Q619" s="1323"/>
      <c r="R619" s="1323"/>
      <c r="S619" s="1323"/>
      <c r="T619" s="1323"/>
      <c r="U619" s="1323"/>
      <c r="V619" s="1323"/>
      <c r="W619" s="1323"/>
      <c r="X619" s="1323"/>
      <c r="Y619" s="1323"/>
      <c r="Z619" s="1323"/>
    </row>
    <row r="620" spans="1:26" ht="19.5" hidden="1">
      <c r="A620" s="1412"/>
      <c r="B620" s="1413"/>
      <c r="C620" s="1414" t="s">
        <v>267</v>
      </c>
      <c r="D620" s="1413"/>
      <c r="E620" s="1413"/>
      <c r="F620" s="1415"/>
      <c r="G620" s="1416"/>
      <c r="H620" s="725" t="s">
        <v>46</v>
      </c>
      <c r="I620" s="1417">
        <f ca="1">IFERROR(__xludf.DUMMYFUNCTION("IMPORTRANGE(""https://docs.google.com/spreadsheets/d/1QqKyyYR6Q21VydFLVH3TRQUabQu_ym0Zz7PgGX0-kHA/edit?usp=sharing"",""แผน!HL76"")"),0)</f>
        <v>0</v>
      </c>
      <c r="J620" s="1417">
        <f t="shared" ref="J620:J621" si="260">J622+J624+J626</f>
        <v>0</v>
      </c>
      <c r="K620" s="1418">
        <f t="shared" ref="K620:K621" ca="1" si="261">IF(I620&gt;0,J620*100/I620,0)</f>
        <v>0</v>
      </c>
      <c r="L620" s="1419"/>
      <c r="M620" s="1419"/>
      <c r="N620" s="1419"/>
      <c r="O620" s="1419"/>
      <c r="P620" s="1419"/>
      <c r="Q620" s="1302"/>
      <c r="R620" s="1302"/>
      <c r="S620" s="1302"/>
      <c r="T620" s="1302"/>
      <c r="U620" s="1302"/>
      <c r="V620" s="1302"/>
      <c r="W620" s="1302"/>
      <c r="X620" s="1302"/>
      <c r="Y620" s="1302"/>
      <c r="Z620" s="1302"/>
    </row>
    <row r="621" spans="1:26" ht="19.5" hidden="1">
      <c r="A621" s="1412"/>
      <c r="B621" s="1413"/>
      <c r="C621" s="1413" t="s">
        <v>268</v>
      </c>
      <c r="D621" s="1413"/>
      <c r="E621" s="1413"/>
      <c r="F621" s="1415"/>
      <c r="G621" s="1416"/>
      <c r="H621" s="725" t="s">
        <v>34</v>
      </c>
      <c r="I621" s="1417">
        <f ca="1">IFERROR(__xludf.DUMMYFUNCTION("IMPORTRANGE(""https://docs.google.com/spreadsheets/d/1QqKyyYR6Q21VydFLVH3TRQUabQu_ym0Zz7PgGX0-kHA/edit?usp=sharing"",""แผน!HK76"")"),0)</f>
        <v>0</v>
      </c>
      <c r="J621" s="1417">
        <f t="shared" si="260"/>
        <v>0</v>
      </c>
      <c r="K621" s="1418">
        <f t="shared" ca="1" si="261"/>
        <v>0</v>
      </c>
      <c r="L621" s="1419"/>
      <c r="M621" s="1419"/>
      <c r="N621" s="1419"/>
      <c r="O621" s="1419"/>
      <c r="P621" s="1419"/>
      <c r="Q621" s="1302"/>
      <c r="R621" s="1302"/>
      <c r="S621" s="1302"/>
      <c r="T621" s="1302"/>
      <c r="U621" s="1302"/>
      <c r="V621" s="1302"/>
      <c r="W621" s="1302"/>
      <c r="X621" s="1302"/>
      <c r="Y621" s="1302"/>
      <c r="Z621" s="1302"/>
    </row>
    <row r="622" spans="1:26" ht="18.75" hidden="1">
      <c r="A622" s="1326"/>
      <c r="B622" s="1327"/>
      <c r="C622" s="1327"/>
      <c r="D622" s="1069" t="s">
        <v>269</v>
      </c>
      <c r="E622" s="1014"/>
      <c r="F622" s="1014"/>
      <c r="G622" s="1007"/>
      <c r="H622" s="762" t="s">
        <v>46</v>
      </c>
      <c r="I622" s="880"/>
      <c r="J622" s="1012">
        <v>0</v>
      </c>
      <c r="K622" s="998"/>
      <c r="L622" s="998"/>
      <c r="M622" s="998"/>
      <c r="N622" s="998"/>
      <c r="O622" s="998"/>
      <c r="P622" s="998"/>
      <c r="Q622" s="1302"/>
      <c r="R622" s="1302"/>
      <c r="S622" s="1302"/>
      <c r="T622" s="1302"/>
      <c r="U622" s="1302"/>
      <c r="V622" s="1302"/>
      <c r="W622" s="1302"/>
      <c r="X622" s="1302"/>
      <c r="Y622" s="1302"/>
      <c r="Z622" s="1302"/>
    </row>
    <row r="623" spans="1:26" ht="18.75" hidden="1">
      <c r="A623" s="1326"/>
      <c r="B623" s="1327"/>
      <c r="C623" s="1327"/>
      <c r="D623" s="1327"/>
      <c r="E623" s="1014"/>
      <c r="F623" s="1014"/>
      <c r="G623" s="1007"/>
      <c r="H623" s="762" t="s">
        <v>34</v>
      </c>
      <c r="I623" s="880"/>
      <c r="J623" s="1012">
        <v>0</v>
      </c>
      <c r="K623" s="998"/>
      <c r="L623" s="998"/>
      <c r="M623" s="998"/>
      <c r="N623" s="998"/>
      <c r="O623" s="998"/>
      <c r="P623" s="998"/>
      <c r="Q623" s="1302"/>
      <c r="R623" s="1302"/>
      <c r="S623" s="1302"/>
      <c r="T623" s="1302"/>
      <c r="U623" s="1302"/>
      <c r="V623" s="1302"/>
      <c r="W623" s="1302"/>
      <c r="X623" s="1302"/>
      <c r="Y623" s="1302"/>
      <c r="Z623" s="1302"/>
    </row>
    <row r="624" spans="1:26" ht="18.75" hidden="1">
      <c r="A624" s="1326"/>
      <c r="B624" s="1327"/>
      <c r="C624" s="1327"/>
      <c r="D624" s="1069" t="s">
        <v>265</v>
      </c>
      <c r="E624" s="1014"/>
      <c r="F624" s="1014"/>
      <c r="G624" s="1007"/>
      <c r="H624" s="762" t="s">
        <v>46</v>
      </c>
      <c r="I624" s="880"/>
      <c r="J624" s="1012">
        <v>0</v>
      </c>
      <c r="K624" s="998"/>
      <c r="L624" s="998"/>
      <c r="M624" s="998"/>
      <c r="N624" s="998"/>
      <c r="O624" s="998"/>
      <c r="P624" s="998"/>
      <c r="Q624" s="1302"/>
      <c r="R624" s="1302"/>
      <c r="S624" s="1302"/>
      <c r="T624" s="1302"/>
      <c r="U624" s="1302"/>
      <c r="V624" s="1302"/>
      <c r="W624" s="1302"/>
      <c r="X624" s="1302"/>
      <c r="Y624" s="1302"/>
      <c r="Z624" s="1302"/>
    </row>
    <row r="625" spans="1:26" ht="18.75" hidden="1">
      <c r="A625" s="1326"/>
      <c r="B625" s="1327"/>
      <c r="C625" s="1327"/>
      <c r="D625" s="1327"/>
      <c r="E625" s="1014"/>
      <c r="F625" s="1014"/>
      <c r="G625" s="1007"/>
      <c r="H625" s="762" t="s">
        <v>34</v>
      </c>
      <c r="I625" s="880"/>
      <c r="J625" s="1012">
        <v>0</v>
      </c>
      <c r="K625" s="998"/>
      <c r="L625" s="998"/>
      <c r="M625" s="998"/>
      <c r="N625" s="998"/>
      <c r="O625" s="998"/>
      <c r="P625" s="998"/>
      <c r="Q625" s="1302"/>
      <c r="R625" s="1302"/>
      <c r="S625" s="1302"/>
      <c r="T625" s="1302"/>
      <c r="U625" s="1302"/>
      <c r="V625" s="1302"/>
      <c r="W625" s="1302"/>
      <c r="X625" s="1302"/>
      <c r="Y625" s="1302"/>
      <c r="Z625" s="1302"/>
    </row>
    <row r="626" spans="1:26" ht="18.75" hidden="1">
      <c r="A626" s="1326"/>
      <c r="B626" s="1327"/>
      <c r="C626" s="1327"/>
      <c r="D626" s="1069" t="s">
        <v>270</v>
      </c>
      <c r="E626" s="1014"/>
      <c r="F626" s="1014"/>
      <c r="G626" s="1007"/>
      <c r="H626" s="762" t="s">
        <v>46</v>
      </c>
      <c r="I626" s="880"/>
      <c r="J626" s="1012">
        <v>0</v>
      </c>
      <c r="K626" s="998"/>
      <c r="L626" s="998"/>
      <c r="M626" s="998"/>
      <c r="N626" s="998"/>
      <c r="O626" s="998"/>
      <c r="P626" s="998"/>
      <c r="Q626" s="1302"/>
      <c r="R626" s="1302"/>
      <c r="S626" s="1302"/>
      <c r="T626" s="1302"/>
      <c r="U626" s="1302"/>
      <c r="V626" s="1302"/>
      <c r="W626" s="1302"/>
      <c r="X626" s="1302"/>
      <c r="Y626" s="1302"/>
      <c r="Z626" s="1302"/>
    </row>
    <row r="627" spans="1:26" ht="18.75" hidden="1">
      <c r="A627" s="1420"/>
      <c r="B627" s="1421"/>
      <c r="C627" s="1421"/>
      <c r="D627" s="1421"/>
      <c r="E627" s="1169"/>
      <c r="F627" s="1169"/>
      <c r="G627" s="1422"/>
      <c r="H627" s="423" t="s">
        <v>34</v>
      </c>
      <c r="I627" s="1138"/>
      <c r="J627" s="1171">
        <v>0</v>
      </c>
      <c r="K627" s="1139"/>
      <c r="L627" s="1139"/>
      <c r="M627" s="1139"/>
      <c r="N627" s="1139"/>
      <c r="O627" s="1139"/>
      <c r="P627" s="1139"/>
      <c r="Q627" s="1302"/>
      <c r="R627" s="1302"/>
      <c r="S627" s="1302"/>
      <c r="T627" s="1302"/>
      <c r="U627" s="1302"/>
      <c r="V627" s="1302"/>
      <c r="W627" s="1302"/>
      <c r="X627" s="1302"/>
      <c r="Y627" s="1302"/>
      <c r="Z627" s="1302"/>
    </row>
    <row r="628" spans="1:26" ht="19.5" hidden="1">
      <c r="A628" s="734">
        <v>7</v>
      </c>
      <c r="B628" s="1423" t="s">
        <v>271</v>
      </c>
      <c r="C628" s="1424"/>
      <c r="D628" s="1424"/>
      <c r="E628" s="1424"/>
      <c r="F628" s="1424"/>
      <c r="G628" s="1425"/>
      <c r="H628" s="738" t="s">
        <v>35</v>
      </c>
      <c r="I628" s="1426">
        <f t="shared" ref="I628:J628" ca="1" si="262">I651</f>
        <v>0</v>
      </c>
      <c r="J628" s="1426">
        <f t="shared" ca="1" si="262"/>
        <v>0</v>
      </c>
      <c r="K628" s="1427">
        <f ca="1">IF(I628&gt;0,J628*100/I628,0)</f>
        <v>0</v>
      </c>
      <c r="L628" s="1428"/>
      <c r="M628" s="1428"/>
      <c r="N628" s="1428"/>
      <c r="O628" s="1428"/>
      <c r="P628" s="1428"/>
      <c r="Q628" s="1302"/>
      <c r="R628" s="1302"/>
      <c r="S628" s="1302"/>
      <c r="T628" s="1302"/>
      <c r="U628" s="1302"/>
      <c r="V628" s="1302"/>
      <c r="W628" s="1302"/>
      <c r="X628" s="1302"/>
      <c r="Y628" s="1302"/>
      <c r="Z628" s="1302"/>
    </row>
    <row r="629" spans="1:26" ht="19.5" hidden="1">
      <c r="A629" s="1317"/>
      <c r="B629" s="1301"/>
      <c r="C629" s="1301" t="s">
        <v>16</v>
      </c>
      <c r="D629" s="1318" t="s">
        <v>17</v>
      </c>
      <c r="E629" s="841"/>
      <c r="F629" s="841"/>
      <c r="G629" s="1016"/>
      <c r="H629" s="597" t="s">
        <v>12</v>
      </c>
      <c r="I629" s="880"/>
      <c r="J629" s="880"/>
      <c r="K629" s="881"/>
      <c r="L629" s="1020">
        <f t="shared" ref="L629:N629" ca="1" si="263">L630+L631</f>
        <v>0</v>
      </c>
      <c r="M629" s="1020">
        <f t="shared" si="263"/>
        <v>0</v>
      </c>
      <c r="N629" s="1020">
        <f t="shared" si="263"/>
        <v>0</v>
      </c>
      <c r="O629" s="1020">
        <f t="shared" ref="O629:O634" ca="1" si="264">IF(L629&gt;0,N629*100/L629,0)</f>
        <v>0</v>
      </c>
      <c r="P629" s="1020">
        <f t="shared" ref="P629:P634" si="265">IF(M629&gt;0,N629*100/M629,0)</f>
        <v>0</v>
      </c>
      <c r="Q629" s="1302"/>
      <c r="R629" s="1302"/>
      <c r="S629" s="1302"/>
      <c r="T629" s="1302"/>
      <c r="U629" s="1302"/>
      <c r="V629" s="1302"/>
      <c r="W629" s="1302"/>
      <c r="X629" s="1302"/>
      <c r="Y629" s="1302"/>
      <c r="Z629" s="1302"/>
    </row>
    <row r="630" spans="1:26" ht="18.75" hidden="1">
      <c r="A630" s="1319"/>
      <c r="B630" s="1320"/>
      <c r="C630" s="1320"/>
      <c r="D630" s="1321"/>
      <c r="E630" s="1320" t="s">
        <v>185</v>
      </c>
      <c r="F630" s="1320"/>
      <c r="G630" s="1322"/>
      <c r="H630" s="165" t="s">
        <v>12</v>
      </c>
      <c r="I630" s="886"/>
      <c r="J630" s="886"/>
      <c r="K630" s="887"/>
      <c r="L630" s="887">
        <f t="shared" ref="L630:N631" si="266">L633+L640</f>
        <v>0</v>
      </c>
      <c r="M630" s="887">
        <f t="shared" si="266"/>
        <v>0</v>
      </c>
      <c r="N630" s="887">
        <f t="shared" si="266"/>
        <v>0</v>
      </c>
      <c r="O630" s="887">
        <f t="shared" si="264"/>
        <v>0</v>
      </c>
      <c r="P630" s="887">
        <f t="shared" si="265"/>
        <v>0</v>
      </c>
      <c r="Q630" s="1323"/>
      <c r="R630" s="1323"/>
      <c r="S630" s="1323"/>
      <c r="T630" s="1323"/>
      <c r="U630" s="1323"/>
      <c r="V630" s="1323"/>
      <c r="W630" s="1323"/>
      <c r="X630" s="1323"/>
      <c r="Y630" s="1323"/>
      <c r="Z630" s="1323"/>
    </row>
    <row r="631" spans="1:26" ht="18.75" hidden="1">
      <c r="A631" s="1319"/>
      <c r="B631" s="1324"/>
      <c r="C631" s="1320"/>
      <c r="D631" s="1321"/>
      <c r="E631" s="1320" t="s">
        <v>186</v>
      </c>
      <c r="F631" s="1320"/>
      <c r="G631" s="1322"/>
      <c r="H631" s="165" t="s">
        <v>12</v>
      </c>
      <c r="I631" s="886"/>
      <c r="J631" s="886"/>
      <c r="K631" s="887"/>
      <c r="L631" s="887">
        <f t="shared" ca="1" si="266"/>
        <v>0</v>
      </c>
      <c r="M631" s="887">
        <f t="shared" si="266"/>
        <v>0</v>
      </c>
      <c r="N631" s="887">
        <f t="shared" si="266"/>
        <v>0</v>
      </c>
      <c r="O631" s="887">
        <f t="shared" ca="1" si="264"/>
        <v>0</v>
      </c>
      <c r="P631" s="887">
        <f t="shared" si="265"/>
        <v>0</v>
      </c>
      <c r="Q631" s="1323"/>
      <c r="R631" s="1323"/>
      <c r="S631" s="1323"/>
      <c r="T631" s="1323"/>
      <c r="U631" s="1323"/>
      <c r="V631" s="1323"/>
      <c r="W631" s="1323"/>
      <c r="X631" s="1323"/>
      <c r="Y631" s="1323"/>
      <c r="Z631" s="1323"/>
    </row>
    <row r="632" spans="1:26" ht="18.75" hidden="1">
      <c r="A632" s="1317"/>
      <c r="B632" s="1300"/>
      <c r="C632" s="1301"/>
      <c r="D632" s="1325" t="s">
        <v>20</v>
      </c>
      <c r="E632" s="1301"/>
      <c r="F632" s="1301"/>
      <c r="G632" s="1016"/>
      <c r="H632" s="161" t="s">
        <v>12</v>
      </c>
      <c r="I632" s="997"/>
      <c r="J632" s="997"/>
      <c r="K632" s="998"/>
      <c r="L632" s="881">
        <f t="shared" ref="L632:N632" ca="1" si="267">L633+L634</f>
        <v>0</v>
      </c>
      <c r="M632" s="881">
        <f t="shared" si="267"/>
        <v>0</v>
      </c>
      <c r="N632" s="881">
        <f t="shared" si="267"/>
        <v>0</v>
      </c>
      <c r="O632" s="881">
        <f t="shared" ca="1" si="264"/>
        <v>0</v>
      </c>
      <c r="P632" s="881">
        <f t="shared" si="265"/>
        <v>0</v>
      </c>
      <c r="Q632" s="1302"/>
      <c r="R632" s="1302"/>
      <c r="S632" s="1302"/>
      <c r="T632" s="1302"/>
      <c r="U632" s="1302"/>
      <c r="V632" s="1302"/>
      <c r="W632" s="1302"/>
      <c r="X632" s="1302"/>
      <c r="Y632" s="1302"/>
      <c r="Z632" s="1302"/>
    </row>
    <row r="633" spans="1:26" ht="18.75" hidden="1">
      <c r="A633" s="1319"/>
      <c r="B633" s="1324"/>
      <c r="C633" s="1320"/>
      <c r="D633" s="1321"/>
      <c r="E633" s="1320" t="s">
        <v>185</v>
      </c>
      <c r="F633" s="1320"/>
      <c r="G633" s="1322"/>
      <c r="H633" s="165" t="s">
        <v>12</v>
      </c>
      <c r="I633" s="886"/>
      <c r="J633" s="886"/>
      <c r="K633" s="887"/>
      <c r="L633" s="887">
        <v>0</v>
      </c>
      <c r="M633" s="887">
        <v>0</v>
      </c>
      <c r="N633" s="887">
        <v>0</v>
      </c>
      <c r="O633" s="887">
        <f t="shared" si="264"/>
        <v>0</v>
      </c>
      <c r="P633" s="887">
        <f t="shared" si="265"/>
        <v>0</v>
      </c>
      <c r="Q633" s="1323"/>
      <c r="R633" s="1323"/>
      <c r="S633" s="1323"/>
      <c r="T633" s="1323"/>
      <c r="U633" s="1323"/>
      <c r="V633" s="1323"/>
      <c r="W633" s="1323"/>
      <c r="X633" s="1323"/>
      <c r="Y633" s="1323"/>
      <c r="Z633" s="1323"/>
    </row>
    <row r="634" spans="1:26" ht="18.75" hidden="1">
      <c r="A634" s="1319"/>
      <c r="B634" s="1324"/>
      <c r="C634" s="1320"/>
      <c r="D634" s="1321"/>
      <c r="E634" s="1320" t="s">
        <v>186</v>
      </c>
      <c r="F634" s="1320"/>
      <c r="G634" s="1322"/>
      <c r="H634" s="165" t="s">
        <v>12</v>
      </c>
      <c r="I634" s="886"/>
      <c r="J634" s="886"/>
      <c r="K634" s="887"/>
      <c r="L634" s="887">
        <f ca="1">IFERROR(__xludf.DUMMYFUNCTION("IMPORTRANGE(""https://docs.google.com/spreadsheets/d/1QqKyyYR6Q21VydFLVH3TRQUabQu_ym0Zz7PgGX0-kHA/edit?usp=sharing"",""แผน!HN76"")"),0)</f>
        <v>0</v>
      </c>
      <c r="M634" s="887">
        <v>0</v>
      </c>
      <c r="N634" s="887">
        <f>N635+N636+N637+N638</f>
        <v>0</v>
      </c>
      <c r="O634" s="887">
        <f t="shared" ca="1" si="264"/>
        <v>0</v>
      </c>
      <c r="P634" s="887">
        <f t="shared" si="265"/>
        <v>0</v>
      </c>
      <c r="Q634" s="1323"/>
      <c r="R634" s="1323"/>
      <c r="S634" s="1323"/>
      <c r="T634" s="1323"/>
      <c r="U634" s="1323"/>
      <c r="V634" s="1323"/>
      <c r="W634" s="1323"/>
      <c r="X634" s="1323"/>
      <c r="Y634" s="1323"/>
      <c r="Z634" s="1323"/>
    </row>
    <row r="635" spans="1:26" ht="18.75" hidden="1">
      <c r="A635" s="1299"/>
      <c r="B635" s="1300"/>
      <c r="C635" s="1301"/>
      <c r="D635" s="1301"/>
      <c r="E635" s="1301"/>
      <c r="F635" s="1301" t="s">
        <v>187</v>
      </c>
      <c r="G635" s="1016"/>
      <c r="H635" s="161" t="s">
        <v>12</v>
      </c>
      <c r="I635" s="880"/>
      <c r="J635" s="880"/>
      <c r="K635" s="881"/>
      <c r="L635" s="881"/>
      <c r="M635" s="881"/>
      <c r="N635" s="1085">
        <v>0</v>
      </c>
      <c r="O635" s="881"/>
      <c r="P635" s="881"/>
      <c r="Q635" s="1302"/>
      <c r="R635" s="1302"/>
      <c r="S635" s="1302"/>
      <c r="T635" s="1302"/>
      <c r="U635" s="1302"/>
      <c r="V635" s="1302"/>
      <c r="W635" s="1302"/>
      <c r="X635" s="1302"/>
      <c r="Y635" s="1302"/>
      <c r="Z635" s="1302"/>
    </row>
    <row r="636" spans="1:26" ht="18.75" hidden="1">
      <c r="A636" s="1299"/>
      <c r="B636" s="1300"/>
      <c r="C636" s="1301"/>
      <c r="D636" s="1301"/>
      <c r="E636" s="1301"/>
      <c r="F636" s="1301" t="s">
        <v>188</v>
      </c>
      <c r="G636" s="1016"/>
      <c r="H636" s="161" t="s">
        <v>12</v>
      </c>
      <c r="I636" s="880"/>
      <c r="J636" s="880"/>
      <c r="K636" s="881"/>
      <c r="L636" s="881"/>
      <c r="M636" s="881"/>
      <c r="N636" s="1085">
        <v>0</v>
      </c>
      <c r="O636" s="881"/>
      <c r="P636" s="881"/>
      <c r="Q636" s="1302"/>
      <c r="R636" s="1302"/>
      <c r="S636" s="1302"/>
      <c r="T636" s="1302"/>
      <c r="U636" s="1302"/>
      <c r="V636" s="1302"/>
      <c r="W636" s="1302"/>
      <c r="X636" s="1302"/>
      <c r="Y636" s="1302"/>
      <c r="Z636" s="1302"/>
    </row>
    <row r="637" spans="1:26" ht="18.75" hidden="1">
      <c r="A637" s="1299"/>
      <c r="B637" s="1300"/>
      <c r="C637" s="1301"/>
      <c r="D637" s="1301"/>
      <c r="E637" s="1301"/>
      <c r="F637" s="1301" t="s">
        <v>189</v>
      </c>
      <c r="G637" s="1016"/>
      <c r="H637" s="161" t="s">
        <v>12</v>
      </c>
      <c r="I637" s="880"/>
      <c r="J637" s="880"/>
      <c r="K637" s="881"/>
      <c r="L637" s="881"/>
      <c r="M637" s="881"/>
      <c r="N637" s="1085">
        <v>0</v>
      </c>
      <c r="O637" s="881"/>
      <c r="P637" s="881"/>
      <c r="Q637" s="1302"/>
      <c r="R637" s="1302"/>
      <c r="S637" s="1302"/>
      <c r="T637" s="1302"/>
      <c r="U637" s="1302"/>
      <c r="V637" s="1302"/>
      <c r="W637" s="1302"/>
      <c r="X637" s="1302"/>
      <c r="Y637" s="1302"/>
      <c r="Z637" s="1302"/>
    </row>
    <row r="638" spans="1:26" ht="18.75" hidden="1">
      <c r="A638" s="1299"/>
      <c r="B638" s="1300"/>
      <c r="C638" s="1301"/>
      <c r="D638" s="1301"/>
      <c r="E638" s="1301"/>
      <c r="F638" s="1301" t="s">
        <v>190</v>
      </c>
      <c r="G638" s="1016"/>
      <c r="H638" s="161" t="s">
        <v>12</v>
      </c>
      <c r="I638" s="880"/>
      <c r="J638" s="880"/>
      <c r="K638" s="881"/>
      <c r="L638" s="881"/>
      <c r="M638" s="881"/>
      <c r="N638" s="1085">
        <v>0</v>
      </c>
      <c r="O638" s="881"/>
      <c r="P638" s="881"/>
      <c r="Q638" s="1302"/>
      <c r="R638" s="1302"/>
      <c r="S638" s="1302"/>
      <c r="T638" s="1302"/>
      <c r="U638" s="1302"/>
      <c r="V638" s="1302"/>
      <c r="W638" s="1302"/>
      <c r="X638" s="1302"/>
      <c r="Y638" s="1302"/>
      <c r="Z638" s="1302"/>
    </row>
    <row r="639" spans="1:26" ht="18.75" hidden="1">
      <c r="A639" s="1317"/>
      <c r="B639" s="1300"/>
      <c r="C639" s="1301"/>
      <c r="D639" s="1325" t="s">
        <v>21</v>
      </c>
      <c r="E639" s="1301"/>
      <c r="F639" s="1301"/>
      <c r="G639" s="1016"/>
      <c r="H639" s="168" t="s">
        <v>12</v>
      </c>
      <c r="I639" s="997"/>
      <c r="J639" s="997"/>
      <c r="K639" s="998"/>
      <c r="L639" s="881">
        <f t="shared" ref="L639:N639" ca="1" si="268">L640+L641</f>
        <v>0</v>
      </c>
      <c r="M639" s="881">
        <f t="shared" si="268"/>
        <v>0</v>
      </c>
      <c r="N639" s="881">
        <f t="shared" si="268"/>
        <v>0</v>
      </c>
      <c r="O639" s="881">
        <f t="shared" ref="O639:O641" ca="1" si="269">IF(L639&gt;0,N639*100/L639,0)</f>
        <v>0</v>
      </c>
      <c r="P639" s="881">
        <f t="shared" ref="P639:P641" si="270">IF(M639&gt;0,N639*100/M639,0)</f>
        <v>0</v>
      </c>
      <c r="Q639" s="1302"/>
      <c r="R639" s="1302"/>
      <c r="S639" s="1302"/>
      <c r="T639" s="1302"/>
      <c r="U639" s="1302"/>
      <c r="V639" s="1302"/>
      <c r="W639" s="1302"/>
      <c r="X639" s="1302"/>
      <c r="Y639" s="1302"/>
      <c r="Z639" s="1302"/>
    </row>
    <row r="640" spans="1:26" ht="18.75" hidden="1">
      <c r="A640" s="1319"/>
      <c r="B640" s="1324"/>
      <c r="C640" s="1320"/>
      <c r="D640" s="1320"/>
      <c r="E640" s="1320" t="s">
        <v>18</v>
      </c>
      <c r="F640" s="1320"/>
      <c r="G640" s="1322"/>
      <c r="H640" s="165" t="s">
        <v>12</v>
      </c>
      <c r="I640" s="1000"/>
      <c r="J640" s="1000"/>
      <c r="K640" s="1001"/>
      <c r="L640" s="887">
        <v>0</v>
      </c>
      <c r="M640" s="887">
        <v>0</v>
      </c>
      <c r="N640" s="887">
        <v>0</v>
      </c>
      <c r="O640" s="887">
        <f t="shared" si="269"/>
        <v>0</v>
      </c>
      <c r="P640" s="887">
        <f t="shared" si="270"/>
        <v>0</v>
      </c>
      <c r="Q640" s="1323"/>
      <c r="R640" s="1323"/>
      <c r="S640" s="1323"/>
      <c r="T640" s="1323"/>
      <c r="U640" s="1323"/>
      <c r="V640" s="1323"/>
      <c r="W640" s="1323"/>
      <c r="X640" s="1323"/>
      <c r="Y640" s="1323"/>
      <c r="Z640" s="1323"/>
    </row>
    <row r="641" spans="1:26" ht="18.75" hidden="1">
      <c r="A641" s="1319"/>
      <c r="B641" s="1324"/>
      <c r="C641" s="1320"/>
      <c r="D641" s="1320"/>
      <c r="E641" s="1320" t="s">
        <v>19</v>
      </c>
      <c r="F641" s="1320"/>
      <c r="G641" s="1322"/>
      <c r="H641" s="169" t="s">
        <v>12</v>
      </c>
      <c r="I641" s="1000"/>
      <c r="J641" s="1000"/>
      <c r="K641" s="1001"/>
      <c r="L641" s="887">
        <f ca="1">IFERROR(__xludf.DUMMYFUNCTION("IMPORTRANGE(""https://docs.google.com/spreadsheets/d/1QqKyyYR6Q21VydFLVH3TRQUabQu_ym0Zz7PgGX0-kHA/edit?usp=sharing"",""แผน!HQ76"")"),0)</f>
        <v>0</v>
      </c>
      <c r="M641" s="887">
        <v>0</v>
      </c>
      <c r="N641" s="887">
        <v>0</v>
      </c>
      <c r="O641" s="887">
        <f t="shared" ca="1" si="269"/>
        <v>0</v>
      </c>
      <c r="P641" s="887">
        <f t="shared" si="270"/>
        <v>0</v>
      </c>
      <c r="Q641" s="1323"/>
      <c r="R641" s="1323"/>
      <c r="S641" s="1323"/>
      <c r="T641" s="1323"/>
      <c r="U641" s="1323"/>
      <c r="V641" s="1323"/>
      <c r="W641" s="1323"/>
      <c r="X641" s="1323"/>
      <c r="Y641" s="1323"/>
      <c r="Z641" s="1323"/>
    </row>
    <row r="642" spans="1:26" ht="19.5" hidden="1">
      <c r="A642" s="1326"/>
      <c r="B642" s="1327"/>
      <c r="C642" s="1301" t="s">
        <v>16</v>
      </c>
      <c r="D642" s="1380" t="s">
        <v>38</v>
      </c>
      <c r="E642" s="1330"/>
      <c r="F642" s="1330"/>
      <c r="G642" s="1331"/>
      <c r="H642" s="1007"/>
      <c r="I642" s="997"/>
      <c r="J642" s="997"/>
      <c r="K642" s="998"/>
      <c r="L642" s="998"/>
      <c r="M642" s="998"/>
      <c r="N642" s="998"/>
      <c r="O642" s="998"/>
      <c r="P642" s="998"/>
      <c r="Q642" s="1302"/>
      <c r="R642" s="1302"/>
      <c r="S642" s="1302"/>
      <c r="T642" s="1302"/>
      <c r="U642" s="1302"/>
      <c r="V642" s="1302"/>
      <c r="W642" s="1302"/>
      <c r="X642" s="1302"/>
      <c r="Y642" s="1302"/>
      <c r="Z642" s="1302"/>
    </row>
    <row r="643" spans="1:26" ht="18.75" hidden="1">
      <c r="A643" s="1429"/>
      <c r="B643" s="1300"/>
      <c r="C643" s="1301"/>
      <c r="D643" s="1014"/>
      <c r="E643" s="1069" t="s">
        <v>272</v>
      </c>
      <c r="F643" s="1014"/>
      <c r="G643" s="1007"/>
      <c r="H643" s="762" t="s">
        <v>273</v>
      </c>
      <c r="I643" s="880">
        <f ca="1">IFERROR(__xludf.DUMMYFUNCTION("IMPORTRANGE(""https://docs.google.com/spreadsheets/d/1QqKyyYR6Q21VydFLVH3TRQUabQu_ym0Zz7PgGX0-kHA/edit?usp=sharing"",""แผน!HR76"")"),0)</f>
        <v>0</v>
      </c>
      <c r="J643" s="1012">
        <v>0</v>
      </c>
      <c r="K643" s="998">
        <f t="shared" ref="K643:K652" ca="1" si="271">IF(I643&gt;0,J643*100/I643,0)</f>
        <v>0</v>
      </c>
      <c r="L643" s="998"/>
      <c r="M643" s="998"/>
      <c r="N643" s="881"/>
      <c r="O643" s="998"/>
      <c r="P643" s="998"/>
      <c r="Q643" s="1302"/>
      <c r="R643" s="1302"/>
      <c r="S643" s="1302"/>
      <c r="T643" s="1302"/>
      <c r="U643" s="1302"/>
      <c r="V643" s="1302"/>
      <c r="W643" s="1302"/>
      <c r="X643" s="1302"/>
      <c r="Y643" s="1302"/>
      <c r="Z643" s="1302"/>
    </row>
    <row r="644" spans="1:26" ht="18.75" hidden="1">
      <c r="A644" s="1429"/>
      <c r="B644" s="1300"/>
      <c r="C644" s="1301"/>
      <c r="D644" s="1014"/>
      <c r="E644" s="1069" t="s">
        <v>274</v>
      </c>
      <c r="F644" s="1014"/>
      <c r="G644" s="1007"/>
      <c r="H644" s="762" t="s">
        <v>275</v>
      </c>
      <c r="I644" s="880">
        <f ca="1">IFERROR(__xludf.DUMMYFUNCTION("IMPORTRANGE(""https://docs.google.com/spreadsheets/d/1QqKyyYR6Q21VydFLVH3TRQUabQu_ym0Zz7PgGX0-kHA/edit?usp=sharing"",""แผน!HR76"")"),0)</f>
        <v>0</v>
      </c>
      <c r="J644" s="1012">
        <v>0</v>
      </c>
      <c r="K644" s="998">
        <f t="shared" ca="1" si="271"/>
        <v>0</v>
      </c>
      <c r="L644" s="998"/>
      <c r="M644" s="998"/>
      <c r="N644" s="881"/>
      <c r="O644" s="998"/>
      <c r="P644" s="998"/>
      <c r="Q644" s="1302"/>
      <c r="R644" s="1302"/>
      <c r="S644" s="1302"/>
      <c r="T644" s="1302"/>
      <c r="U644" s="1302"/>
      <c r="V644" s="1302"/>
      <c r="W644" s="1302"/>
      <c r="X644" s="1302"/>
      <c r="Y644" s="1302"/>
      <c r="Z644" s="1302"/>
    </row>
    <row r="645" spans="1:26" ht="18.75" hidden="1">
      <c r="A645" s="1429"/>
      <c r="B645" s="1300"/>
      <c r="C645" s="1301"/>
      <c r="D645" s="1014"/>
      <c r="E645" s="1069" t="s">
        <v>276</v>
      </c>
      <c r="F645" s="1014"/>
      <c r="G645" s="1007"/>
      <c r="H645" s="762" t="s">
        <v>34</v>
      </c>
      <c r="I645" s="880">
        <v>0</v>
      </c>
      <c r="J645" s="880">
        <f ca="1">IFERROR(__xludf.DUMMYFUNCTION("IMPORTRANGE(""https://docs.google.com/spreadsheets/d/1XWAQStnk-4SwqDmLtmXYiTMKHgktTP8We1SCoS47DrQ/edit?usp=sharing"",""จัดที่ดิน!AS76"")"),0)</f>
        <v>0</v>
      </c>
      <c r="K645" s="998">
        <f t="shared" si="271"/>
        <v>0</v>
      </c>
      <c r="L645" s="998"/>
      <c r="M645" s="998"/>
      <c r="N645" s="881"/>
      <c r="O645" s="998"/>
      <c r="P645" s="998"/>
      <c r="Q645" s="1302"/>
      <c r="R645" s="1302"/>
      <c r="S645" s="1302"/>
      <c r="T645" s="1302"/>
      <c r="U645" s="1302"/>
      <c r="V645" s="1302"/>
      <c r="W645" s="1302"/>
      <c r="X645" s="1302"/>
      <c r="Y645" s="1302"/>
      <c r="Z645" s="1302"/>
    </row>
    <row r="646" spans="1:26" ht="18.75" hidden="1">
      <c r="A646" s="1429"/>
      <c r="B646" s="1300"/>
      <c r="C646" s="1301"/>
      <c r="D646" s="1014"/>
      <c r="E646" s="1014"/>
      <c r="F646" s="1014"/>
      <c r="G646" s="1007"/>
      <c r="H646" s="762" t="s">
        <v>46</v>
      </c>
      <c r="I646" s="880">
        <v>0</v>
      </c>
      <c r="J646" s="880">
        <f ca="1">IFERROR(__xludf.DUMMYFUNCTION("IMPORTRANGE(""https://docs.google.com/spreadsheets/d/1XWAQStnk-4SwqDmLtmXYiTMKHgktTP8We1SCoS47DrQ/edit?usp=sharing"",""จัดที่ดิน!AT76"")"),0)</f>
        <v>0</v>
      </c>
      <c r="K646" s="881">
        <f t="shared" si="271"/>
        <v>0</v>
      </c>
      <c r="L646" s="998"/>
      <c r="M646" s="998"/>
      <c r="N646" s="881"/>
      <c r="O646" s="998"/>
      <c r="P646" s="998"/>
      <c r="Q646" s="1302"/>
      <c r="R646" s="1302"/>
      <c r="S646" s="1302"/>
      <c r="T646" s="1302"/>
      <c r="U646" s="1302"/>
      <c r="V646" s="1302"/>
      <c r="W646" s="1302"/>
      <c r="X646" s="1302"/>
      <c r="Y646" s="1302"/>
      <c r="Z646" s="1302"/>
    </row>
    <row r="647" spans="1:26" ht="18.75" hidden="1">
      <c r="A647" s="1429"/>
      <c r="B647" s="1300"/>
      <c r="C647" s="1301"/>
      <c r="D647" s="1014"/>
      <c r="E647" s="1069" t="s">
        <v>162</v>
      </c>
      <c r="F647" s="1014"/>
      <c r="G647" s="1007"/>
      <c r="H647" s="762" t="s">
        <v>35</v>
      </c>
      <c r="I647" s="880">
        <f ca="1">IFERROR(__xludf.DUMMYFUNCTION("IMPORTRANGE(""https://docs.google.com/spreadsheets/d/1QqKyyYR6Q21VydFLVH3TRQUabQu_ym0Zz7PgGX0-kHA/edit?usp=sharing"",""แผน!HS76"")"),0)</f>
        <v>0</v>
      </c>
      <c r="J647" s="880">
        <f ca="1">IFERROR(__xludf.DUMMYFUNCTION("IMPORTRANGE(""https://docs.google.com/spreadsheets/d/1XWAQStnk-4SwqDmLtmXYiTMKHgktTP8We1SCoS47DrQ/edit?usp=sharing"",""จัดที่ดิน!AU76"")"),0)</f>
        <v>0</v>
      </c>
      <c r="K647" s="998">
        <f t="shared" ca="1" si="271"/>
        <v>0</v>
      </c>
      <c r="L647" s="998"/>
      <c r="M647" s="998"/>
      <c r="N647" s="998"/>
      <c r="O647" s="998"/>
      <c r="P647" s="998"/>
      <c r="Q647" s="1302"/>
      <c r="R647" s="1302"/>
      <c r="S647" s="1302"/>
      <c r="T647" s="1302"/>
      <c r="U647" s="1302"/>
      <c r="V647" s="1302"/>
      <c r="W647" s="1302"/>
      <c r="X647" s="1302"/>
      <c r="Y647" s="1302"/>
      <c r="Z647" s="1302"/>
    </row>
    <row r="648" spans="1:26" ht="18.75" hidden="1">
      <c r="A648" s="1429"/>
      <c r="B648" s="1300"/>
      <c r="C648" s="1301"/>
      <c r="D648" s="1014"/>
      <c r="E648" s="1014"/>
      <c r="F648" s="1014"/>
      <c r="G648" s="1007"/>
      <c r="H648" s="762" t="s">
        <v>46</v>
      </c>
      <c r="I648" s="880">
        <v>0</v>
      </c>
      <c r="J648" s="880">
        <f ca="1">IFERROR(__xludf.DUMMYFUNCTION("IMPORTRANGE(""https://docs.google.com/spreadsheets/d/1XWAQStnk-4SwqDmLtmXYiTMKHgktTP8We1SCoS47DrQ/edit?usp=sharing"",""จัดที่ดิน!AV76"")"),0)</f>
        <v>0</v>
      </c>
      <c r="K648" s="881">
        <f t="shared" si="271"/>
        <v>0</v>
      </c>
      <c r="L648" s="998"/>
      <c r="M648" s="998"/>
      <c r="N648" s="998"/>
      <c r="O648" s="998"/>
      <c r="P648" s="998"/>
      <c r="Q648" s="1302"/>
      <c r="R648" s="1302"/>
      <c r="S648" s="1302"/>
      <c r="T648" s="1302"/>
      <c r="U648" s="1302"/>
      <c r="V648" s="1302"/>
      <c r="W648" s="1302"/>
      <c r="X648" s="1302"/>
      <c r="Y648" s="1302"/>
      <c r="Z648" s="1302"/>
    </row>
    <row r="649" spans="1:26" ht="18.75" hidden="1">
      <c r="A649" s="1429"/>
      <c r="B649" s="1300"/>
      <c r="C649" s="1301"/>
      <c r="D649" s="1014"/>
      <c r="E649" s="1069" t="s">
        <v>277</v>
      </c>
      <c r="F649" s="1014"/>
      <c r="G649" s="1007"/>
      <c r="H649" s="762" t="s">
        <v>35</v>
      </c>
      <c r="I649" s="880">
        <f ca="1">IFERROR(__xludf.DUMMYFUNCTION("IMPORTRANGE(""https://docs.google.com/spreadsheets/d/1QqKyyYR6Q21VydFLVH3TRQUabQu_ym0Zz7PgGX0-kHA/edit?usp=sharing"",""แผน!HS76"")"),0)</f>
        <v>0</v>
      </c>
      <c r="J649" s="880">
        <f ca="1">IFERROR(__xludf.DUMMYFUNCTION("IMPORTRANGE(""https://docs.google.com/spreadsheets/d/1XWAQStnk-4SwqDmLtmXYiTMKHgktTP8We1SCoS47DrQ/edit?usp=sharing"",""จัดที่ดิน!AW76"")"),0)</f>
        <v>0</v>
      </c>
      <c r="K649" s="998">
        <f t="shared" ca="1" si="271"/>
        <v>0</v>
      </c>
      <c r="L649" s="998"/>
      <c r="M649" s="998"/>
      <c r="N649" s="998"/>
      <c r="O649" s="998"/>
      <c r="P649" s="998"/>
      <c r="Q649" s="1302"/>
      <c r="R649" s="1302"/>
      <c r="S649" s="1302"/>
      <c r="T649" s="1302"/>
      <c r="U649" s="1302"/>
      <c r="V649" s="1302"/>
      <c r="W649" s="1302"/>
      <c r="X649" s="1302"/>
      <c r="Y649" s="1302"/>
      <c r="Z649" s="1302"/>
    </row>
    <row r="650" spans="1:26" ht="18.75" hidden="1">
      <c r="A650" s="1429"/>
      <c r="B650" s="1300"/>
      <c r="C650" s="1301"/>
      <c r="D650" s="1014"/>
      <c r="E650" s="1014"/>
      <c r="F650" s="1014"/>
      <c r="G650" s="1007"/>
      <c r="H650" s="762" t="s">
        <v>46</v>
      </c>
      <c r="I650" s="880">
        <v>0</v>
      </c>
      <c r="J650" s="880">
        <f ca="1">IFERROR(__xludf.DUMMYFUNCTION("IMPORTRANGE(""https://docs.google.com/spreadsheets/d/1XWAQStnk-4SwqDmLtmXYiTMKHgktTP8We1SCoS47DrQ/edit?usp=sharing"",""จัดที่ดิน!AX76"")"),0)</f>
        <v>0</v>
      </c>
      <c r="K650" s="881">
        <f t="shared" si="271"/>
        <v>0</v>
      </c>
      <c r="L650" s="998"/>
      <c r="M650" s="998"/>
      <c r="N650" s="998"/>
      <c r="O650" s="998"/>
      <c r="P650" s="998"/>
      <c r="Q650" s="1302"/>
      <c r="R650" s="1302"/>
      <c r="S650" s="1302"/>
      <c r="T650" s="1302"/>
      <c r="U650" s="1302"/>
      <c r="V650" s="1302"/>
      <c r="W650" s="1302"/>
      <c r="X650" s="1302"/>
      <c r="Y650" s="1302"/>
      <c r="Z650" s="1302"/>
    </row>
    <row r="651" spans="1:26" ht="18.75" hidden="1">
      <c r="A651" s="1429"/>
      <c r="B651" s="1300"/>
      <c r="C651" s="1301"/>
      <c r="D651" s="1014"/>
      <c r="E651" s="1069" t="s">
        <v>278</v>
      </c>
      <c r="F651" s="1014"/>
      <c r="G651" s="1007"/>
      <c r="H651" s="762" t="s">
        <v>35</v>
      </c>
      <c r="I651" s="880">
        <f ca="1">IFERROR(__xludf.DUMMYFUNCTION("IMPORTRANGE(""https://docs.google.com/spreadsheets/d/1QqKyyYR6Q21VydFLVH3TRQUabQu_ym0Zz7PgGX0-kHA/edit?usp=sharing"",""แผน!HS76"")"),0)</f>
        <v>0</v>
      </c>
      <c r="J651" s="880">
        <f ca="1">IFERROR(__xludf.DUMMYFUNCTION("IMPORTRANGE(""https://docs.google.com/spreadsheets/d/1XWAQStnk-4SwqDmLtmXYiTMKHgktTP8We1SCoS47DrQ/edit?usp=sharing"",""จัดที่ดิน!AY76"")"),0)</f>
        <v>0</v>
      </c>
      <c r="K651" s="998">
        <f t="shared" ca="1" si="271"/>
        <v>0</v>
      </c>
      <c r="L651" s="998"/>
      <c r="M651" s="998"/>
      <c r="N651" s="998"/>
      <c r="O651" s="998"/>
      <c r="P651" s="998"/>
      <c r="Q651" s="1302"/>
      <c r="R651" s="1302"/>
      <c r="S651" s="1302"/>
      <c r="T651" s="1302"/>
      <c r="U651" s="1302"/>
      <c r="V651" s="1302"/>
      <c r="W651" s="1302"/>
      <c r="X651" s="1302"/>
      <c r="Y651" s="1302"/>
      <c r="Z651" s="1302"/>
    </row>
    <row r="652" spans="1:26" ht="18.75" hidden="1">
      <c r="A652" s="1430"/>
      <c r="B652" s="1431"/>
      <c r="C652" s="1432"/>
      <c r="D652" s="1169"/>
      <c r="E652" s="1169"/>
      <c r="F652" s="1169"/>
      <c r="G652" s="1422"/>
      <c r="H652" s="504" t="s">
        <v>46</v>
      </c>
      <c r="I652" s="1138">
        <v>0</v>
      </c>
      <c r="J652" s="1138">
        <f ca="1">IFERROR(__xludf.DUMMYFUNCTION("IMPORTRANGE(""https://docs.google.com/spreadsheets/d/1XWAQStnk-4SwqDmLtmXYiTMKHgktTP8We1SCoS47DrQ/edit?usp=sharing"",""จัดที่ดิน!AZ76"")"),0)</f>
        <v>0</v>
      </c>
      <c r="K652" s="1239">
        <f t="shared" si="271"/>
        <v>0</v>
      </c>
      <c r="L652" s="1139"/>
      <c r="M652" s="1139"/>
      <c r="N652" s="1139"/>
      <c r="O652" s="1139"/>
      <c r="P652" s="1139"/>
      <c r="Q652" s="1302"/>
      <c r="R652" s="1302"/>
      <c r="S652" s="1302"/>
      <c r="T652" s="1302"/>
      <c r="U652" s="1302"/>
      <c r="V652" s="1302"/>
      <c r="W652" s="1302"/>
      <c r="X652" s="1302"/>
      <c r="Y652" s="1302"/>
      <c r="Z652" s="1302"/>
    </row>
    <row r="653" spans="1:26" ht="19.5" hidden="1">
      <c r="A653" s="748">
        <v>8</v>
      </c>
      <c r="B653" s="1423" t="s">
        <v>279</v>
      </c>
      <c r="C653" s="1424"/>
      <c r="D653" s="1424"/>
      <c r="E653" s="1424"/>
      <c r="F653" s="1424"/>
      <c r="G653" s="1425"/>
      <c r="H653" s="1425"/>
      <c r="I653" s="1433"/>
      <c r="J653" s="1433"/>
      <c r="K653" s="1428"/>
      <c r="L653" s="1428"/>
      <c r="M653" s="1428"/>
      <c r="N653" s="1428"/>
      <c r="O653" s="1428"/>
      <c r="P653" s="1428"/>
      <c r="Q653" s="1302"/>
      <c r="R653" s="1302"/>
      <c r="S653" s="1302"/>
      <c r="T653" s="1302"/>
      <c r="U653" s="1302"/>
      <c r="V653" s="1302"/>
      <c r="W653" s="1302"/>
      <c r="X653" s="1302"/>
      <c r="Y653" s="1302"/>
      <c r="Z653" s="1302"/>
    </row>
    <row r="654" spans="1:26" ht="19.5" hidden="1">
      <c r="A654" s="1375"/>
      <c r="B654" s="1374" t="s">
        <v>280</v>
      </c>
      <c r="C654" s="1375"/>
      <c r="D654" s="1375"/>
      <c r="E654" s="1375"/>
      <c r="F654" s="1375"/>
      <c r="G654" s="1376"/>
      <c r="H654" s="705" t="s">
        <v>46</v>
      </c>
      <c r="I654" s="1377">
        <f t="shared" ref="I654:J654" ca="1" si="272">I669</f>
        <v>0</v>
      </c>
      <c r="J654" s="1377">
        <f t="shared" si="272"/>
        <v>0</v>
      </c>
      <c r="K654" s="1378">
        <f ca="1">IF(I654&gt;0,J654*100/I654,0)</f>
        <v>0</v>
      </c>
      <c r="L654" s="1379"/>
      <c r="M654" s="1379"/>
      <c r="N654" s="1379"/>
      <c r="O654" s="1379"/>
      <c r="P654" s="1379"/>
      <c r="Q654" s="1302"/>
      <c r="R654" s="1302"/>
      <c r="S654" s="1302"/>
      <c r="T654" s="1302"/>
      <c r="U654" s="1302"/>
      <c r="V654" s="1302"/>
      <c r="W654" s="1302"/>
      <c r="X654" s="1302"/>
      <c r="Y654" s="1302"/>
      <c r="Z654" s="1302"/>
    </row>
    <row r="655" spans="1:26" ht="19.5" hidden="1">
      <c r="A655" s="1317"/>
      <c r="B655" s="1301"/>
      <c r="C655" s="1301" t="s">
        <v>16</v>
      </c>
      <c r="D655" s="1318" t="s">
        <v>17</v>
      </c>
      <c r="E655" s="841"/>
      <c r="F655" s="841"/>
      <c r="G655" s="1016"/>
      <c r="H655" s="597" t="s">
        <v>12</v>
      </c>
      <c r="I655" s="880"/>
      <c r="J655" s="880"/>
      <c r="K655" s="881"/>
      <c r="L655" s="1020">
        <f t="shared" ref="L655:N655" ca="1" si="273">L656+L657</f>
        <v>0</v>
      </c>
      <c r="M655" s="1020">
        <f t="shared" si="273"/>
        <v>0</v>
      </c>
      <c r="N655" s="1020">
        <f t="shared" si="273"/>
        <v>0</v>
      </c>
      <c r="O655" s="1020">
        <f t="shared" ref="O655:O660" ca="1" si="274">IF(L655&gt;0,N655*100/L655,0)</f>
        <v>0</v>
      </c>
      <c r="P655" s="1020">
        <f t="shared" ref="P655:P660" si="275">IF(M655&gt;0,N655*100/M655,0)</f>
        <v>0</v>
      </c>
      <c r="Q655" s="1302"/>
      <c r="R655" s="1302"/>
      <c r="S655" s="1302"/>
      <c r="T655" s="1302"/>
      <c r="U655" s="1302"/>
      <c r="V655" s="1302"/>
      <c r="W655" s="1302"/>
      <c r="X655" s="1302"/>
      <c r="Y655" s="1302"/>
      <c r="Z655" s="1302"/>
    </row>
    <row r="656" spans="1:26" ht="18.75" hidden="1">
      <c r="A656" s="1319"/>
      <c r="B656" s="1320"/>
      <c r="C656" s="1320"/>
      <c r="D656" s="1321"/>
      <c r="E656" s="1320" t="s">
        <v>185</v>
      </c>
      <c r="F656" s="1320"/>
      <c r="G656" s="1322"/>
      <c r="H656" s="165" t="s">
        <v>12</v>
      </c>
      <c r="I656" s="886"/>
      <c r="J656" s="886"/>
      <c r="K656" s="887"/>
      <c r="L656" s="887">
        <f t="shared" ref="L656:N657" si="276">L659+L666</f>
        <v>0</v>
      </c>
      <c r="M656" s="887">
        <f t="shared" si="276"/>
        <v>0</v>
      </c>
      <c r="N656" s="887">
        <f t="shared" si="276"/>
        <v>0</v>
      </c>
      <c r="O656" s="887">
        <f t="shared" si="274"/>
        <v>0</v>
      </c>
      <c r="P656" s="887">
        <f t="shared" si="275"/>
        <v>0</v>
      </c>
      <c r="Q656" s="1323"/>
      <c r="R656" s="1323"/>
      <c r="S656" s="1323"/>
      <c r="T656" s="1323"/>
      <c r="U656" s="1323"/>
      <c r="V656" s="1323"/>
      <c r="W656" s="1323"/>
      <c r="X656" s="1323"/>
      <c r="Y656" s="1323"/>
      <c r="Z656" s="1323"/>
    </row>
    <row r="657" spans="1:26" ht="18.75" hidden="1">
      <c r="A657" s="1319"/>
      <c r="B657" s="1324"/>
      <c r="C657" s="1320"/>
      <c r="D657" s="1321"/>
      <c r="E657" s="1320" t="s">
        <v>186</v>
      </c>
      <c r="F657" s="1320"/>
      <c r="G657" s="1322"/>
      <c r="H657" s="165" t="s">
        <v>12</v>
      </c>
      <c r="I657" s="886"/>
      <c r="J657" s="886"/>
      <c r="K657" s="887"/>
      <c r="L657" s="887">
        <f t="shared" ca="1" si="276"/>
        <v>0</v>
      </c>
      <c r="M657" s="887">
        <f t="shared" si="276"/>
        <v>0</v>
      </c>
      <c r="N657" s="887">
        <f t="shared" si="276"/>
        <v>0</v>
      </c>
      <c r="O657" s="887">
        <f t="shared" ca="1" si="274"/>
        <v>0</v>
      </c>
      <c r="P657" s="887">
        <f t="shared" si="275"/>
        <v>0</v>
      </c>
      <c r="Q657" s="1323"/>
      <c r="R657" s="1323"/>
      <c r="S657" s="1323"/>
      <c r="T657" s="1323"/>
      <c r="U657" s="1323"/>
      <c r="V657" s="1323"/>
      <c r="W657" s="1323"/>
      <c r="X657" s="1323"/>
      <c r="Y657" s="1323"/>
      <c r="Z657" s="1323"/>
    </row>
    <row r="658" spans="1:26" ht="18.75" hidden="1">
      <c r="A658" s="1317"/>
      <c r="B658" s="1300"/>
      <c r="C658" s="1301"/>
      <c r="D658" s="1325" t="s">
        <v>20</v>
      </c>
      <c r="E658" s="1301"/>
      <c r="F658" s="1301"/>
      <c r="G658" s="1016"/>
      <c r="H658" s="161" t="s">
        <v>12</v>
      </c>
      <c r="I658" s="997"/>
      <c r="J658" s="997"/>
      <c r="K658" s="998"/>
      <c r="L658" s="881">
        <f t="shared" ref="L658:N658" ca="1" si="277">L659+L660</f>
        <v>0</v>
      </c>
      <c r="M658" s="881">
        <f t="shared" si="277"/>
        <v>0</v>
      </c>
      <c r="N658" s="881">
        <f t="shared" si="277"/>
        <v>0</v>
      </c>
      <c r="O658" s="881">
        <f t="shared" ca="1" si="274"/>
        <v>0</v>
      </c>
      <c r="P658" s="881">
        <f t="shared" si="275"/>
        <v>0</v>
      </c>
      <c r="Q658" s="1302"/>
      <c r="R658" s="1302"/>
      <c r="S658" s="1302"/>
      <c r="T658" s="1302"/>
      <c r="U658" s="1302"/>
      <c r="V658" s="1302"/>
      <c r="W658" s="1302"/>
      <c r="X658" s="1302"/>
      <c r="Y658" s="1302"/>
      <c r="Z658" s="1302"/>
    </row>
    <row r="659" spans="1:26" ht="18.75" hidden="1">
      <c r="A659" s="1319"/>
      <c r="B659" s="1324"/>
      <c r="C659" s="1320"/>
      <c r="D659" s="1321"/>
      <c r="E659" s="1320" t="s">
        <v>185</v>
      </c>
      <c r="F659" s="1320"/>
      <c r="G659" s="1322"/>
      <c r="H659" s="165" t="s">
        <v>12</v>
      </c>
      <c r="I659" s="886"/>
      <c r="J659" s="886"/>
      <c r="K659" s="887"/>
      <c r="L659" s="887">
        <v>0</v>
      </c>
      <c r="M659" s="887">
        <v>0</v>
      </c>
      <c r="N659" s="887">
        <v>0</v>
      </c>
      <c r="O659" s="887">
        <f t="shared" si="274"/>
        <v>0</v>
      </c>
      <c r="P659" s="887">
        <f t="shared" si="275"/>
        <v>0</v>
      </c>
      <c r="Q659" s="1323"/>
      <c r="R659" s="1323"/>
      <c r="S659" s="1323"/>
      <c r="T659" s="1323"/>
      <c r="U659" s="1323"/>
      <c r="V659" s="1323"/>
      <c r="W659" s="1323"/>
      <c r="X659" s="1323"/>
      <c r="Y659" s="1323"/>
      <c r="Z659" s="1323"/>
    </row>
    <row r="660" spans="1:26" ht="18.75" hidden="1">
      <c r="A660" s="1319"/>
      <c r="B660" s="1324"/>
      <c r="C660" s="1320"/>
      <c r="D660" s="1321"/>
      <c r="E660" s="1320" t="s">
        <v>186</v>
      </c>
      <c r="F660" s="1320"/>
      <c r="G660" s="1322"/>
      <c r="H660" s="165" t="s">
        <v>12</v>
      </c>
      <c r="I660" s="886"/>
      <c r="J660" s="886"/>
      <c r="K660" s="887"/>
      <c r="L660" s="887">
        <f ca="1">IFERROR(__xludf.DUMMYFUNCTION("IMPORTRANGE(""https://docs.google.com/spreadsheets/d/1QqKyyYR6Q21VydFLVH3TRQUabQu_ym0Zz7PgGX0-kHA/edit?usp=sharing"",""แผน!HV76"")"),0)</f>
        <v>0</v>
      </c>
      <c r="M660" s="887">
        <v>0</v>
      </c>
      <c r="N660" s="887">
        <f>N661+N662+N663+N664</f>
        <v>0</v>
      </c>
      <c r="O660" s="887">
        <f t="shared" ca="1" si="274"/>
        <v>0</v>
      </c>
      <c r="P660" s="887">
        <f t="shared" si="275"/>
        <v>0</v>
      </c>
      <c r="Q660" s="1323"/>
      <c r="R660" s="1323"/>
      <c r="S660" s="1323"/>
      <c r="T660" s="1323"/>
      <c r="U660" s="1323"/>
      <c r="V660" s="1323"/>
      <c r="W660" s="1323"/>
      <c r="X660" s="1323"/>
      <c r="Y660" s="1323"/>
      <c r="Z660" s="1323"/>
    </row>
    <row r="661" spans="1:26" ht="18.75" hidden="1">
      <c r="A661" s="1299"/>
      <c r="B661" s="1300"/>
      <c r="C661" s="1301"/>
      <c r="D661" s="1301"/>
      <c r="E661" s="1301"/>
      <c r="F661" s="1301" t="s">
        <v>187</v>
      </c>
      <c r="G661" s="1016"/>
      <c r="H661" s="161" t="s">
        <v>12</v>
      </c>
      <c r="I661" s="880"/>
      <c r="J661" s="880"/>
      <c r="K661" s="881"/>
      <c r="L661" s="881"/>
      <c r="M661" s="881"/>
      <c r="N661" s="1085">
        <v>0</v>
      </c>
      <c r="O661" s="881"/>
      <c r="P661" s="881"/>
      <c r="Q661" s="1302"/>
      <c r="R661" s="1302"/>
      <c r="S661" s="1302"/>
      <c r="T661" s="1302"/>
      <c r="U661" s="1302"/>
      <c r="V661" s="1302"/>
      <c r="W661" s="1302"/>
      <c r="X661" s="1302"/>
      <c r="Y661" s="1302"/>
      <c r="Z661" s="1302"/>
    </row>
    <row r="662" spans="1:26" ht="18.75" hidden="1">
      <c r="A662" s="1299"/>
      <c r="B662" s="1300"/>
      <c r="C662" s="1301"/>
      <c r="D662" s="1301"/>
      <c r="E662" s="1301"/>
      <c r="F662" s="1301" t="s">
        <v>188</v>
      </c>
      <c r="G662" s="1016"/>
      <c r="H662" s="161" t="s">
        <v>12</v>
      </c>
      <c r="I662" s="880"/>
      <c r="J662" s="880"/>
      <c r="K662" s="881"/>
      <c r="L662" s="881"/>
      <c r="M662" s="881"/>
      <c r="N662" s="1085">
        <v>0</v>
      </c>
      <c r="O662" s="881"/>
      <c r="P662" s="881"/>
      <c r="Q662" s="1302"/>
      <c r="R662" s="1302"/>
      <c r="S662" s="1302"/>
      <c r="T662" s="1302"/>
      <c r="U662" s="1302"/>
      <c r="V662" s="1302"/>
      <c r="W662" s="1302"/>
      <c r="X662" s="1302"/>
      <c r="Y662" s="1302"/>
      <c r="Z662" s="1302"/>
    </row>
    <row r="663" spans="1:26" ht="18.75" hidden="1">
      <c r="A663" s="1299"/>
      <c r="B663" s="1300"/>
      <c r="C663" s="1300"/>
      <c r="D663" s="1301"/>
      <c r="E663" s="1301"/>
      <c r="F663" s="1301" t="s">
        <v>189</v>
      </c>
      <c r="G663" s="1016"/>
      <c r="H663" s="161" t="s">
        <v>12</v>
      </c>
      <c r="I663" s="880"/>
      <c r="J663" s="880"/>
      <c r="K663" s="881"/>
      <c r="L663" s="881"/>
      <c r="M663" s="881"/>
      <c r="N663" s="1085">
        <v>0</v>
      </c>
      <c r="O663" s="881"/>
      <c r="P663" s="881"/>
      <c r="Q663" s="1302"/>
      <c r="R663" s="1302"/>
      <c r="S663" s="1302"/>
      <c r="T663" s="1302"/>
      <c r="U663" s="1302"/>
      <c r="V663" s="1302"/>
      <c r="W663" s="1302"/>
      <c r="X663" s="1302"/>
      <c r="Y663" s="1302"/>
      <c r="Z663" s="1302"/>
    </row>
    <row r="664" spans="1:26" ht="18.75" hidden="1">
      <c r="A664" s="1299"/>
      <c r="B664" s="1300"/>
      <c r="C664" s="1300"/>
      <c r="D664" s="1300"/>
      <c r="E664" s="1301"/>
      <c r="F664" s="1301" t="s">
        <v>190</v>
      </c>
      <c r="G664" s="1016"/>
      <c r="H664" s="161" t="s">
        <v>12</v>
      </c>
      <c r="I664" s="880"/>
      <c r="J664" s="880"/>
      <c r="K664" s="881"/>
      <c r="L664" s="881"/>
      <c r="M664" s="881"/>
      <c r="N664" s="1085">
        <v>0</v>
      </c>
      <c r="O664" s="881"/>
      <c r="P664" s="881"/>
      <c r="Q664" s="1302"/>
      <c r="R664" s="1302"/>
      <c r="S664" s="1302"/>
      <c r="T664" s="1302"/>
      <c r="U664" s="1302"/>
      <c r="V664" s="1302"/>
      <c r="W664" s="1302"/>
      <c r="X664" s="1302"/>
      <c r="Y664" s="1302"/>
      <c r="Z664" s="1302"/>
    </row>
    <row r="665" spans="1:26" ht="18.75" hidden="1">
      <c r="A665" s="1317"/>
      <c r="B665" s="1300"/>
      <c r="C665" s="1300"/>
      <c r="D665" s="1325" t="s">
        <v>21</v>
      </c>
      <c r="E665" s="1301"/>
      <c r="F665" s="1301"/>
      <c r="G665" s="1016"/>
      <c r="H665" s="168" t="s">
        <v>12</v>
      </c>
      <c r="I665" s="997"/>
      <c r="J665" s="997"/>
      <c r="K665" s="998"/>
      <c r="L665" s="881">
        <f t="shared" ref="L665:N665" si="278">L666+L667</f>
        <v>0</v>
      </c>
      <c r="M665" s="881">
        <f t="shared" si="278"/>
        <v>0</v>
      </c>
      <c r="N665" s="881">
        <f t="shared" si="278"/>
        <v>0</v>
      </c>
      <c r="O665" s="881">
        <f t="shared" ref="O665:O667" si="279">IF(L665&gt;0,N665*100/L665,0)</f>
        <v>0</v>
      </c>
      <c r="P665" s="881">
        <f t="shared" ref="P665:P667" si="280">IF(M665&gt;0,N665*100/M665,0)</f>
        <v>0</v>
      </c>
      <c r="Q665" s="1302"/>
      <c r="R665" s="1302"/>
      <c r="S665" s="1302"/>
      <c r="T665" s="1302"/>
      <c r="U665" s="1302"/>
      <c r="V665" s="1302"/>
      <c r="W665" s="1302"/>
      <c r="X665" s="1302"/>
      <c r="Y665" s="1302"/>
      <c r="Z665" s="1302"/>
    </row>
    <row r="666" spans="1:26" ht="18.75" hidden="1">
      <c r="A666" s="1319"/>
      <c r="B666" s="1324"/>
      <c r="C666" s="1324"/>
      <c r="D666" s="1324"/>
      <c r="E666" s="1320" t="s">
        <v>18</v>
      </c>
      <c r="F666" s="1320"/>
      <c r="G666" s="1322"/>
      <c r="H666" s="165" t="s">
        <v>12</v>
      </c>
      <c r="I666" s="1000"/>
      <c r="J666" s="1000"/>
      <c r="K666" s="1001"/>
      <c r="L666" s="887">
        <v>0</v>
      </c>
      <c r="M666" s="887">
        <v>0</v>
      </c>
      <c r="N666" s="887">
        <v>0</v>
      </c>
      <c r="O666" s="887">
        <f t="shared" si="279"/>
        <v>0</v>
      </c>
      <c r="P666" s="887">
        <f t="shared" si="280"/>
        <v>0</v>
      </c>
      <c r="Q666" s="1323"/>
      <c r="R666" s="1323"/>
      <c r="S666" s="1323"/>
      <c r="T666" s="1323"/>
      <c r="U666" s="1323"/>
      <c r="V666" s="1323"/>
      <c r="W666" s="1323"/>
      <c r="X666" s="1323"/>
      <c r="Y666" s="1323"/>
      <c r="Z666" s="1323"/>
    </row>
    <row r="667" spans="1:26" ht="18.75" hidden="1">
      <c r="A667" s="1319"/>
      <c r="B667" s="1324"/>
      <c r="C667" s="1324"/>
      <c r="D667" s="1324"/>
      <c r="E667" s="1320" t="s">
        <v>19</v>
      </c>
      <c r="F667" s="1320"/>
      <c r="G667" s="1322"/>
      <c r="H667" s="169" t="s">
        <v>12</v>
      </c>
      <c r="I667" s="1000"/>
      <c r="J667" s="1000"/>
      <c r="K667" s="1001"/>
      <c r="L667" s="887">
        <v>0</v>
      </c>
      <c r="M667" s="887">
        <v>0</v>
      </c>
      <c r="N667" s="887">
        <v>0</v>
      </c>
      <c r="O667" s="887">
        <f t="shared" si="279"/>
        <v>0</v>
      </c>
      <c r="P667" s="887">
        <f t="shared" si="280"/>
        <v>0</v>
      </c>
      <c r="Q667" s="1323"/>
      <c r="R667" s="1323"/>
      <c r="S667" s="1323"/>
      <c r="T667" s="1323"/>
      <c r="U667" s="1323"/>
      <c r="V667" s="1323"/>
      <c r="W667" s="1323"/>
      <c r="X667" s="1323"/>
      <c r="Y667" s="1323"/>
      <c r="Z667" s="1323"/>
    </row>
    <row r="668" spans="1:26" ht="19.5" hidden="1">
      <c r="A668" s="1326"/>
      <c r="B668" s="1327"/>
      <c r="C668" s="1300" t="s">
        <v>16</v>
      </c>
      <c r="D668" s="1328" t="s">
        <v>38</v>
      </c>
      <c r="E668" s="1330"/>
      <c r="F668" s="1330"/>
      <c r="G668" s="1331"/>
      <c r="H668" s="1007"/>
      <c r="I668" s="997"/>
      <c r="J668" s="997"/>
      <c r="K668" s="998"/>
      <c r="L668" s="998"/>
      <c r="M668" s="998"/>
      <c r="N668" s="998"/>
      <c r="O668" s="998"/>
      <c r="P668" s="998"/>
      <c r="Q668" s="1302"/>
      <c r="R668" s="1302"/>
      <c r="S668" s="1302"/>
      <c r="T668" s="1302"/>
      <c r="U668" s="1302"/>
      <c r="V668" s="1302"/>
      <c r="W668" s="1302"/>
      <c r="X668" s="1302"/>
      <c r="Y668" s="1302"/>
      <c r="Z668" s="1302"/>
    </row>
    <row r="669" spans="1:26" ht="19.5" hidden="1">
      <c r="A669" s="1326"/>
      <c r="B669" s="1327"/>
      <c r="C669" s="1327"/>
      <c r="D669" s="1327" t="s">
        <v>281</v>
      </c>
      <c r="E669" s="1014"/>
      <c r="F669" s="1014"/>
      <c r="G669" s="1007"/>
      <c r="H669" s="765" t="s">
        <v>46</v>
      </c>
      <c r="I669" s="1019">
        <f ca="1">IFERROR(__xludf.DUMMYFUNCTION("IMPORTRANGE(""https://docs.google.com/spreadsheets/d/1QqKyyYR6Q21VydFLVH3TRQUabQu_ym0Zz7PgGX0-kHA/edit?usp=sharing"",""แผน!IA76"")"),0)</f>
        <v>0</v>
      </c>
      <c r="J669" s="1019">
        <f>J675</f>
        <v>0</v>
      </c>
      <c r="K669" s="1020">
        <f ca="1">IF(I669&gt;0,J669*100/I669,0)</f>
        <v>0</v>
      </c>
      <c r="L669" s="998"/>
      <c r="M669" s="998"/>
      <c r="N669" s="998"/>
      <c r="O669" s="998"/>
      <c r="P669" s="998"/>
      <c r="Q669" s="1302"/>
      <c r="R669" s="1302"/>
      <c r="S669" s="1302"/>
      <c r="T669" s="1302"/>
      <c r="U669" s="1302"/>
      <c r="V669" s="1302"/>
      <c r="W669" s="1302"/>
      <c r="X669" s="1302"/>
      <c r="Y669" s="1302"/>
      <c r="Z669" s="1302"/>
    </row>
    <row r="670" spans="1:26" ht="18.75" hidden="1">
      <c r="A670" s="1326"/>
      <c r="B670" s="1327"/>
      <c r="C670" s="1327"/>
      <c r="D670" s="1327"/>
      <c r="E670" s="1014" t="s">
        <v>282</v>
      </c>
      <c r="F670" s="1014"/>
      <c r="G670" s="1007"/>
      <c r="H670" s="762" t="s">
        <v>66</v>
      </c>
      <c r="I670" s="880">
        <f ca="1">IFERROR(__xludf.DUMMYFUNCTION("IMPORTRANGE(""https://docs.google.com/spreadsheets/d/1QqKyyYR6Q21VydFLVH3TRQUabQu_ym0Zz7PgGX0-kHA/edit?usp=sharing"",""แผน!HZ76"")"),0)</f>
        <v>0</v>
      </c>
      <c r="J670" s="1012">
        <v>0</v>
      </c>
      <c r="K670" s="881">
        <f ca="1">IF(I670&gt;0,(J670*100)/I670,0)</f>
        <v>0</v>
      </c>
      <c r="L670" s="998"/>
      <c r="M670" s="998"/>
      <c r="N670" s="998"/>
      <c r="O670" s="998"/>
      <c r="P670" s="998"/>
      <c r="Q670" s="1302"/>
      <c r="R670" s="1302"/>
      <c r="S670" s="1302"/>
      <c r="T670" s="1302"/>
      <c r="U670" s="1302"/>
      <c r="V670" s="1302"/>
      <c r="W670" s="1302"/>
      <c r="X670" s="1302"/>
      <c r="Y670" s="1302"/>
      <c r="Z670" s="1302"/>
    </row>
    <row r="671" spans="1:26" ht="18.75" hidden="1">
      <c r="A671" s="1326"/>
      <c r="B671" s="1327"/>
      <c r="C671" s="1327"/>
      <c r="D671" s="1327"/>
      <c r="E671" s="1014" t="s">
        <v>283</v>
      </c>
      <c r="F671" s="1014"/>
      <c r="G671" s="1007"/>
      <c r="H671" s="762" t="s">
        <v>66</v>
      </c>
      <c r="I671" s="880">
        <f ca="1">IFERROR(__xludf.DUMMYFUNCTION("IMPORTRANGE(""https://docs.google.com/spreadsheets/d/1QqKyyYR6Q21VydFLVH3TRQUabQu_ym0Zz7PgGX0-kHA/edit?usp=sharing"",""แผน!HZ76"")"),0)</f>
        <v>0</v>
      </c>
      <c r="J671" s="1012">
        <v>0</v>
      </c>
      <c r="K671" s="881">
        <f ca="1">IF(I$671&gt;0,J671*100/I$671,0)</f>
        <v>0</v>
      </c>
      <c r="L671" s="998"/>
      <c r="M671" s="998"/>
      <c r="N671" s="998"/>
      <c r="O671" s="998"/>
      <c r="P671" s="998"/>
      <c r="Q671" s="1302"/>
      <c r="R671" s="1302"/>
      <c r="S671" s="1302"/>
      <c r="T671" s="1302"/>
      <c r="U671" s="1302"/>
      <c r="V671" s="1302"/>
      <c r="W671" s="1302"/>
      <c r="X671" s="1302"/>
      <c r="Y671" s="1302"/>
      <c r="Z671" s="1302"/>
    </row>
    <row r="672" spans="1:26" ht="18.75" hidden="1">
      <c r="A672" s="1326"/>
      <c r="B672" s="1327"/>
      <c r="C672" s="1327"/>
      <c r="D672" s="1327"/>
      <c r="E672" s="1014" t="s">
        <v>284</v>
      </c>
      <c r="F672" s="1014"/>
      <c r="G672" s="1007"/>
      <c r="H672" s="762" t="s">
        <v>46</v>
      </c>
      <c r="I672" s="880"/>
      <c r="J672" s="1012">
        <v>0</v>
      </c>
      <c r="K672" s="881">
        <f t="shared" ref="K672:K675" ca="1" si="281">IF(I$669&gt;0,J672*100/I$669,0)</f>
        <v>0</v>
      </c>
      <c r="L672" s="998"/>
      <c r="M672" s="998"/>
      <c r="N672" s="998"/>
      <c r="O672" s="998"/>
      <c r="P672" s="998"/>
      <c r="Q672" s="1302"/>
      <c r="R672" s="1302"/>
      <c r="S672" s="1302"/>
      <c r="T672" s="1302"/>
      <c r="U672" s="1302"/>
      <c r="V672" s="1302"/>
      <c r="W672" s="1302"/>
      <c r="X672" s="1302"/>
      <c r="Y672" s="1302"/>
      <c r="Z672" s="1302"/>
    </row>
    <row r="673" spans="1:26" ht="18.75" hidden="1">
      <c r="A673" s="1326"/>
      <c r="B673" s="1327"/>
      <c r="C673" s="1327"/>
      <c r="D673" s="1327"/>
      <c r="E673" s="1014" t="s">
        <v>285</v>
      </c>
      <c r="F673" s="1014"/>
      <c r="G673" s="1007"/>
      <c r="H673" s="762" t="s">
        <v>46</v>
      </c>
      <c r="I673" s="880"/>
      <c r="J673" s="1012">
        <v>0</v>
      </c>
      <c r="K673" s="881">
        <f t="shared" ca="1" si="281"/>
        <v>0</v>
      </c>
      <c r="L673" s="998"/>
      <c r="M673" s="998"/>
      <c r="N673" s="998"/>
      <c r="O673" s="998"/>
      <c r="P673" s="998"/>
      <c r="Q673" s="1302"/>
      <c r="R673" s="1302"/>
      <c r="S673" s="1302"/>
      <c r="T673" s="1302"/>
      <c r="U673" s="1302"/>
      <c r="V673" s="1302"/>
      <c r="W673" s="1302"/>
      <c r="X673" s="1302"/>
      <c r="Y673" s="1302"/>
      <c r="Z673" s="1302"/>
    </row>
    <row r="674" spans="1:26" ht="18.75" hidden="1">
      <c r="A674" s="1326"/>
      <c r="B674" s="1327"/>
      <c r="C674" s="1327"/>
      <c r="D674" s="1327"/>
      <c r="E674" s="1014" t="s">
        <v>286</v>
      </c>
      <c r="F674" s="1014"/>
      <c r="G674" s="1007"/>
      <c r="H674" s="762" t="s">
        <v>46</v>
      </c>
      <c r="I674" s="880"/>
      <c r="J674" s="1012">
        <v>0</v>
      </c>
      <c r="K674" s="881">
        <f t="shared" ca="1" si="281"/>
        <v>0</v>
      </c>
      <c r="L674" s="998"/>
      <c r="M674" s="998"/>
      <c r="N674" s="998"/>
      <c r="O674" s="998"/>
      <c r="P674" s="998"/>
      <c r="Q674" s="1302"/>
      <c r="R674" s="1302"/>
      <c r="S674" s="1302"/>
      <c r="T674" s="1302"/>
      <c r="U674" s="1302"/>
      <c r="V674" s="1302"/>
      <c r="W674" s="1302"/>
      <c r="X674" s="1302"/>
      <c r="Y674" s="1302"/>
      <c r="Z674" s="1302"/>
    </row>
    <row r="675" spans="1:26" ht="19.5" hidden="1">
      <c r="A675" s="1326"/>
      <c r="B675" s="1327"/>
      <c r="C675" s="1327"/>
      <c r="D675" s="1327"/>
      <c r="E675" s="1014" t="s">
        <v>287</v>
      </c>
      <c r="F675" s="1014"/>
      <c r="G675" s="1007"/>
      <c r="H675" s="762" t="s">
        <v>46</v>
      </c>
      <c r="I675" s="880"/>
      <c r="J675" s="1019">
        <f>J676+J677</f>
        <v>0</v>
      </c>
      <c r="K675" s="1020">
        <f t="shared" ca="1" si="281"/>
        <v>0</v>
      </c>
      <c r="L675" s="998"/>
      <c r="M675" s="998"/>
      <c r="N675" s="998"/>
      <c r="O675" s="998"/>
      <c r="P675" s="998"/>
      <c r="Q675" s="1302"/>
      <c r="R675" s="1302"/>
      <c r="S675" s="1302"/>
      <c r="T675" s="1302"/>
      <c r="U675" s="1302"/>
      <c r="V675" s="1302"/>
      <c r="W675" s="1302"/>
      <c r="X675" s="1302"/>
      <c r="Y675" s="1302"/>
      <c r="Z675" s="1302"/>
    </row>
    <row r="676" spans="1:26" ht="18.75" hidden="1">
      <c r="A676" s="1326"/>
      <c r="B676" s="1327"/>
      <c r="C676" s="1327"/>
      <c r="D676" s="1327"/>
      <c r="E676" s="1014"/>
      <c r="F676" s="1014" t="s">
        <v>288</v>
      </c>
      <c r="G676" s="1007"/>
      <c r="H676" s="762" t="s">
        <v>46</v>
      </c>
      <c r="I676" s="880"/>
      <c r="J676" s="1012">
        <v>0</v>
      </c>
      <c r="K676" s="881"/>
      <c r="L676" s="998"/>
      <c r="M676" s="998"/>
      <c r="N676" s="998"/>
      <c r="O676" s="998"/>
      <c r="P676" s="998"/>
      <c r="Q676" s="1302"/>
      <c r="R676" s="1302"/>
      <c r="S676" s="1302"/>
      <c r="T676" s="1302"/>
      <c r="U676" s="1302"/>
      <c r="V676" s="1302"/>
      <c r="W676" s="1302"/>
      <c r="X676" s="1302"/>
      <c r="Y676" s="1302"/>
      <c r="Z676" s="1302"/>
    </row>
    <row r="677" spans="1:26" ht="18.75" hidden="1">
      <c r="A677" s="1326"/>
      <c r="B677" s="1327"/>
      <c r="C677" s="1327"/>
      <c r="D677" s="1327"/>
      <c r="E677" s="1014"/>
      <c r="F677" s="1014" t="s">
        <v>289</v>
      </c>
      <c r="G677" s="1007"/>
      <c r="H677" s="762" t="s">
        <v>46</v>
      </c>
      <c r="I677" s="880"/>
      <c r="J677" s="1012">
        <v>0</v>
      </c>
      <c r="K677" s="881"/>
      <c r="L677" s="998"/>
      <c r="M677" s="998"/>
      <c r="N677" s="998"/>
      <c r="O677" s="998"/>
      <c r="P677" s="998"/>
      <c r="Q677" s="1302"/>
      <c r="R677" s="1302"/>
      <c r="S677" s="1302"/>
      <c r="T677" s="1302"/>
      <c r="U677" s="1302"/>
      <c r="V677" s="1302"/>
      <c r="W677" s="1302"/>
      <c r="X677" s="1302"/>
      <c r="Y677" s="1302"/>
      <c r="Z677" s="1302"/>
    </row>
    <row r="678" spans="1:26" ht="19.5" hidden="1">
      <c r="A678" s="1326"/>
      <c r="B678" s="1327"/>
      <c r="C678" s="1327"/>
      <c r="D678" s="1327" t="s">
        <v>290</v>
      </c>
      <c r="E678" s="1014"/>
      <c r="F678" s="1014"/>
      <c r="G678" s="1007"/>
      <c r="H678" s="762" t="s">
        <v>46</v>
      </c>
      <c r="I678" s="1019">
        <f ca="1">IFERROR(__xludf.DUMMYFUNCTION("IMPORTRANGE(""https://docs.google.com/spreadsheets/d/1QqKyyYR6Q21VydFLVH3TRQUabQu_ym0Zz7PgGX0-kHA/edit?usp=sharing"",""แผน!IB76"")"),0)</f>
        <v>0</v>
      </c>
      <c r="J678" s="1019">
        <f>J679</f>
        <v>0</v>
      </c>
      <c r="K678" s="1020">
        <f ca="1">IF(I678&gt;0,J678*100/I678,0)</f>
        <v>0</v>
      </c>
      <c r="L678" s="998"/>
      <c r="M678" s="998"/>
      <c r="N678" s="998"/>
      <c r="O678" s="998"/>
      <c r="P678" s="998"/>
      <c r="Q678" s="1302"/>
      <c r="R678" s="1302"/>
      <c r="S678" s="1302"/>
      <c r="T678" s="1302"/>
      <c r="U678" s="1302"/>
      <c r="V678" s="1302"/>
      <c r="W678" s="1302"/>
      <c r="X678" s="1302"/>
      <c r="Y678" s="1302"/>
      <c r="Z678" s="1302"/>
    </row>
    <row r="679" spans="1:26" ht="18.75" hidden="1">
      <c r="A679" s="1326"/>
      <c r="B679" s="1327"/>
      <c r="C679" s="1327"/>
      <c r="D679" s="1327"/>
      <c r="E679" s="1014" t="s">
        <v>291</v>
      </c>
      <c r="F679" s="1014"/>
      <c r="G679" s="1007"/>
      <c r="H679" s="762" t="s">
        <v>46</v>
      </c>
      <c r="I679" s="880"/>
      <c r="J679" s="880">
        <f>J680+J681</f>
        <v>0</v>
      </c>
      <c r="K679" s="881"/>
      <c r="L679" s="998"/>
      <c r="M679" s="998"/>
      <c r="N679" s="998"/>
      <c r="O679" s="998"/>
      <c r="P679" s="998"/>
      <c r="Q679" s="1302"/>
      <c r="R679" s="1302"/>
      <c r="S679" s="1302"/>
      <c r="T679" s="1302"/>
      <c r="U679" s="1302"/>
      <c r="V679" s="1302"/>
      <c r="W679" s="1302"/>
      <c r="X679" s="1302"/>
      <c r="Y679" s="1302"/>
      <c r="Z679" s="1302"/>
    </row>
    <row r="680" spans="1:26" ht="18.75" hidden="1">
      <c r="A680" s="1326"/>
      <c r="B680" s="1327"/>
      <c r="C680" s="1327"/>
      <c r="D680" s="1327"/>
      <c r="E680" s="1014"/>
      <c r="F680" s="1014" t="s">
        <v>288</v>
      </c>
      <c r="G680" s="1007"/>
      <c r="H680" s="762" t="s">
        <v>46</v>
      </c>
      <c r="I680" s="880"/>
      <c r="J680" s="1012">
        <v>0</v>
      </c>
      <c r="K680" s="881"/>
      <c r="L680" s="998"/>
      <c r="M680" s="998"/>
      <c r="N680" s="998"/>
      <c r="O680" s="998"/>
      <c r="P680" s="998"/>
      <c r="Q680" s="1302"/>
      <c r="R680" s="1302"/>
      <c r="S680" s="1302"/>
      <c r="T680" s="1302"/>
      <c r="U680" s="1302"/>
      <c r="V680" s="1302"/>
      <c r="W680" s="1302"/>
      <c r="X680" s="1302"/>
      <c r="Y680" s="1302"/>
      <c r="Z680" s="1302"/>
    </row>
    <row r="681" spans="1:26" ht="18.75" hidden="1">
      <c r="A681" s="1326"/>
      <c r="B681" s="1327"/>
      <c r="C681" s="1327"/>
      <c r="D681" s="1327"/>
      <c r="E681" s="1014"/>
      <c r="F681" s="1014" t="s">
        <v>289</v>
      </c>
      <c r="G681" s="1007"/>
      <c r="H681" s="762" t="s">
        <v>46</v>
      </c>
      <c r="I681" s="880"/>
      <c r="J681" s="1012">
        <v>0</v>
      </c>
      <c r="K681" s="881"/>
      <c r="L681" s="998"/>
      <c r="M681" s="998"/>
      <c r="N681" s="998"/>
      <c r="O681" s="998"/>
      <c r="P681" s="998"/>
      <c r="Q681" s="1302"/>
      <c r="R681" s="1302"/>
      <c r="S681" s="1302"/>
      <c r="T681" s="1302"/>
      <c r="U681" s="1302"/>
      <c r="V681" s="1302"/>
      <c r="W681" s="1302"/>
      <c r="X681" s="1302"/>
      <c r="Y681" s="1302"/>
      <c r="Z681" s="1302"/>
    </row>
    <row r="682" spans="1:26" ht="18.75" hidden="1">
      <c r="A682" s="1326"/>
      <c r="B682" s="1327"/>
      <c r="C682" s="1327"/>
      <c r="D682" s="1327"/>
      <c r="E682" s="1014" t="s">
        <v>292</v>
      </c>
      <c r="F682" s="1014"/>
      <c r="G682" s="1007"/>
      <c r="H682" s="762" t="s">
        <v>46</v>
      </c>
      <c r="I682" s="880"/>
      <c r="J682" s="1012">
        <v>0</v>
      </c>
      <c r="K682" s="881"/>
      <c r="L682" s="998"/>
      <c r="M682" s="998"/>
      <c r="N682" s="998"/>
      <c r="O682" s="998"/>
      <c r="P682" s="998"/>
      <c r="Q682" s="1302"/>
      <c r="R682" s="1302"/>
      <c r="S682" s="1302"/>
      <c r="T682" s="1302"/>
      <c r="U682" s="1302"/>
      <c r="V682" s="1302"/>
      <c r="W682" s="1302"/>
      <c r="X682" s="1302"/>
      <c r="Y682" s="1302"/>
      <c r="Z682" s="1302"/>
    </row>
    <row r="683" spans="1:26" ht="18.75" hidden="1">
      <c r="A683" s="1326"/>
      <c r="B683" s="1327"/>
      <c r="C683" s="1327"/>
      <c r="D683" s="1327"/>
      <c r="E683" s="1014"/>
      <c r="F683" s="1014" t="s">
        <v>293</v>
      </c>
      <c r="G683" s="1007"/>
      <c r="H683" s="762" t="s">
        <v>46</v>
      </c>
      <c r="I683" s="880"/>
      <c r="J683" s="1012">
        <v>0</v>
      </c>
      <c r="K683" s="881"/>
      <c r="L683" s="998"/>
      <c r="M683" s="998"/>
      <c r="N683" s="998"/>
      <c r="O683" s="998"/>
      <c r="P683" s="998"/>
      <c r="Q683" s="1302"/>
      <c r="R683" s="1302"/>
      <c r="S683" s="1302"/>
      <c r="T683" s="1302"/>
      <c r="U683" s="1302"/>
      <c r="V683" s="1302"/>
      <c r="W683" s="1302"/>
      <c r="X683" s="1302"/>
      <c r="Y683" s="1302"/>
      <c r="Z683" s="1302"/>
    </row>
    <row r="684" spans="1:26" ht="19.5" hidden="1">
      <c r="A684" s="1434"/>
      <c r="B684" s="1435" t="s">
        <v>294</v>
      </c>
      <c r="C684" s="1434"/>
      <c r="D684" s="1434"/>
      <c r="E684" s="1434"/>
      <c r="F684" s="1434"/>
      <c r="G684" s="1436"/>
      <c r="H684" s="1436"/>
      <c r="I684" s="1437"/>
      <c r="J684" s="1437"/>
      <c r="K684" s="1438"/>
      <c r="L684" s="1438"/>
      <c r="M684" s="1438"/>
      <c r="N684" s="1438"/>
      <c r="O684" s="1438"/>
      <c r="P684" s="1438"/>
      <c r="Q684" s="1302"/>
      <c r="R684" s="1302"/>
      <c r="S684" s="1302"/>
      <c r="T684" s="1302"/>
      <c r="U684" s="1302"/>
      <c r="V684" s="1302"/>
      <c r="W684" s="1302"/>
      <c r="X684" s="1302"/>
      <c r="Y684" s="1302"/>
      <c r="Z684" s="1302"/>
    </row>
    <row r="685" spans="1:26" ht="19.5" hidden="1">
      <c r="A685" s="1317"/>
      <c r="B685" s="1301"/>
      <c r="C685" s="1301" t="s">
        <v>16</v>
      </c>
      <c r="D685" s="1318" t="s">
        <v>17</v>
      </c>
      <c r="E685" s="841"/>
      <c r="F685" s="841"/>
      <c r="G685" s="1016"/>
      <c r="H685" s="597" t="s">
        <v>12</v>
      </c>
      <c r="I685" s="880"/>
      <c r="J685" s="880"/>
      <c r="K685" s="881"/>
      <c r="L685" s="1020">
        <f t="shared" ref="L685:N685" ca="1" si="282">L686+L687</f>
        <v>0</v>
      </c>
      <c r="M685" s="1020">
        <f t="shared" si="282"/>
        <v>0</v>
      </c>
      <c r="N685" s="1020">
        <f t="shared" si="282"/>
        <v>0</v>
      </c>
      <c r="O685" s="1020">
        <f t="shared" ref="O685:O688" ca="1" si="283">IF(L685&gt;0,N685*100/L685,0)</f>
        <v>0</v>
      </c>
      <c r="P685" s="1020">
        <f t="shared" ref="P685:P688" si="284">IF(M685&gt;0,N685*100/M685,0)</f>
        <v>0</v>
      </c>
      <c r="Q685" s="1302"/>
      <c r="R685" s="1302"/>
      <c r="S685" s="1302"/>
      <c r="T685" s="1302"/>
      <c r="U685" s="1302"/>
      <c r="V685" s="1302"/>
      <c r="W685" s="1302"/>
      <c r="X685" s="1302"/>
      <c r="Y685" s="1302"/>
      <c r="Z685" s="1302"/>
    </row>
    <row r="686" spans="1:26" ht="18.75" hidden="1">
      <c r="A686" s="1319"/>
      <c r="B686" s="1320"/>
      <c r="C686" s="1320"/>
      <c r="D686" s="1321"/>
      <c r="E686" s="1320" t="s">
        <v>185</v>
      </c>
      <c r="F686" s="1320"/>
      <c r="G686" s="1322"/>
      <c r="H686" s="165" t="s">
        <v>12</v>
      </c>
      <c r="I686" s="886"/>
      <c r="J686" s="886"/>
      <c r="K686" s="887"/>
      <c r="L686" s="887">
        <f t="shared" ref="L686:N687" si="285">L689+L696</f>
        <v>0</v>
      </c>
      <c r="M686" s="887">
        <f t="shared" si="285"/>
        <v>0</v>
      </c>
      <c r="N686" s="887">
        <f t="shared" si="285"/>
        <v>0</v>
      </c>
      <c r="O686" s="887">
        <f t="shared" si="283"/>
        <v>0</v>
      </c>
      <c r="P686" s="887">
        <f t="shared" si="284"/>
        <v>0</v>
      </c>
      <c r="Q686" s="1323"/>
      <c r="R686" s="1323"/>
      <c r="S686" s="1323"/>
      <c r="T686" s="1323"/>
      <c r="U686" s="1323"/>
      <c r="V686" s="1323"/>
      <c r="W686" s="1323"/>
      <c r="X686" s="1323"/>
      <c r="Y686" s="1323"/>
      <c r="Z686" s="1323"/>
    </row>
    <row r="687" spans="1:26" ht="18.75" hidden="1">
      <c r="A687" s="1319"/>
      <c r="B687" s="1324"/>
      <c r="C687" s="1320"/>
      <c r="D687" s="1321"/>
      <c r="E687" s="1320" t="s">
        <v>186</v>
      </c>
      <c r="F687" s="1320"/>
      <c r="G687" s="1322"/>
      <c r="H687" s="165" t="s">
        <v>12</v>
      </c>
      <c r="I687" s="886"/>
      <c r="J687" s="886"/>
      <c r="K687" s="887"/>
      <c r="L687" s="887">
        <f t="shared" ca="1" si="285"/>
        <v>0</v>
      </c>
      <c r="M687" s="887">
        <f t="shared" si="285"/>
        <v>0</v>
      </c>
      <c r="N687" s="887">
        <f t="shared" si="285"/>
        <v>0</v>
      </c>
      <c r="O687" s="887">
        <f t="shared" ca="1" si="283"/>
        <v>0</v>
      </c>
      <c r="P687" s="887">
        <f t="shared" si="284"/>
        <v>0</v>
      </c>
      <c r="Q687" s="1323"/>
      <c r="R687" s="1323"/>
      <c r="S687" s="1323"/>
      <c r="T687" s="1323"/>
      <c r="U687" s="1323"/>
      <c r="V687" s="1323"/>
      <c r="W687" s="1323"/>
      <c r="X687" s="1323"/>
      <c r="Y687" s="1323"/>
      <c r="Z687" s="1323"/>
    </row>
    <row r="688" spans="1:26" ht="18.75" hidden="1">
      <c r="A688" s="1317"/>
      <c r="B688" s="1300"/>
      <c r="C688" s="1301"/>
      <c r="D688" s="1325" t="s">
        <v>20</v>
      </c>
      <c r="E688" s="1301"/>
      <c r="F688" s="1301"/>
      <c r="G688" s="1016"/>
      <c r="H688" s="161" t="s">
        <v>12</v>
      </c>
      <c r="I688" s="997"/>
      <c r="J688" s="997"/>
      <c r="K688" s="998"/>
      <c r="L688" s="881">
        <f t="shared" ref="L688:N688" ca="1" si="286">L689+L690</f>
        <v>0</v>
      </c>
      <c r="M688" s="881">
        <f t="shared" si="286"/>
        <v>0</v>
      </c>
      <c r="N688" s="881">
        <f t="shared" si="286"/>
        <v>0</v>
      </c>
      <c r="O688" s="881">
        <f t="shared" ca="1" si="283"/>
        <v>0</v>
      </c>
      <c r="P688" s="881">
        <f t="shared" si="284"/>
        <v>0</v>
      </c>
      <c r="Q688" s="1302"/>
      <c r="R688" s="1302"/>
      <c r="S688" s="1302"/>
      <c r="T688" s="1302"/>
      <c r="U688" s="1302"/>
      <c r="V688" s="1302"/>
      <c r="W688" s="1302"/>
      <c r="X688" s="1302"/>
      <c r="Y688" s="1302"/>
      <c r="Z688" s="1302"/>
    </row>
    <row r="689" spans="1:26" ht="18.75" hidden="1">
      <c r="A689" s="1319"/>
      <c r="B689" s="1324"/>
      <c r="C689" s="1320"/>
      <c r="D689" s="1321"/>
      <c r="E689" s="1320" t="s">
        <v>185</v>
      </c>
      <c r="F689" s="1320"/>
      <c r="G689" s="1322"/>
      <c r="H689" s="165" t="s">
        <v>12</v>
      </c>
      <c r="I689" s="886"/>
      <c r="J689" s="886"/>
      <c r="K689" s="887"/>
      <c r="L689" s="887">
        <v>0</v>
      </c>
      <c r="M689" s="887">
        <v>0</v>
      </c>
      <c r="N689" s="887">
        <v>0</v>
      </c>
      <c r="O689" s="887"/>
      <c r="P689" s="887"/>
      <c r="Q689" s="1323"/>
      <c r="R689" s="1323"/>
      <c r="S689" s="1323"/>
      <c r="T689" s="1323"/>
      <c r="U689" s="1323"/>
      <c r="V689" s="1323"/>
      <c r="W689" s="1323"/>
      <c r="X689" s="1323"/>
      <c r="Y689" s="1323"/>
      <c r="Z689" s="1323"/>
    </row>
    <row r="690" spans="1:26" ht="18.75" hidden="1">
      <c r="A690" s="1319"/>
      <c r="B690" s="1324"/>
      <c r="C690" s="1320"/>
      <c r="D690" s="1321"/>
      <c r="E690" s="1320" t="s">
        <v>186</v>
      </c>
      <c r="F690" s="1320"/>
      <c r="G690" s="1322"/>
      <c r="H690" s="165" t="s">
        <v>12</v>
      </c>
      <c r="I690" s="886"/>
      <c r="J690" s="886"/>
      <c r="K690" s="887"/>
      <c r="L690" s="887">
        <f ca="1">IFERROR(__xludf.DUMMYFUNCTION("IMPORTRANGE(""https://docs.google.com/spreadsheets/d/1QqKyyYR6Q21VydFLVH3TRQUabQu_ym0Zz7PgGX0-kHA/edit?usp=sharing"",""แผน!HW76"")"),0)</f>
        <v>0</v>
      </c>
      <c r="M690" s="887">
        <v>0</v>
      </c>
      <c r="N690" s="887">
        <f>N691+N692+N693+N694</f>
        <v>0</v>
      </c>
      <c r="O690" s="887">
        <f ca="1">IF(L690&gt;0,N690*100/L690,0)</f>
        <v>0</v>
      </c>
      <c r="P690" s="887">
        <f>IF(M690&gt;0,N690*100/M690,0)</f>
        <v>0</v>
      </c>
      <c r="Q690" s="1323"/>
      <c r="R690" s="1323"/>
      <c r="S690" s="1323"/>
      <c r="T690" s="1323"/>
      <c r="U690" s="1323"/>
      <c r="V690" s="1323"/>
      <c r="W690" s="1323"/>
      <c r="X690" s="1323"/>
      <c r="Y690" s="1323"/>
      <c r="Z690" s="1323"/>
    </row>
    <row r="691" spans="1:26" ht="18.75" hidden="1">
      <c r="A691" s="1299"/>
      <c r="B691" s="1300"/>
      <c r="C691" s="1301"/>
      <c r="D691" s="1301"/>
      <c r="E691" s="1301"/>
      <c r="F691" s="1301" t="s">
        <v>187</v>
      </c>
      <c r="G691" s="1016"/>
      <c r="H691" s="161" t="s">
        <v>12</v>
      </c>
      <c r="I691" s="880"/>
      <c r="J691" s="880"/>
      <c r="K691" s="881"/>
      <c r="L691" s="881"/>
      <c r="M691" s="881"/>
      <c r="N691" s="1085">
        <v>0</v>
      </c>
      <c r="O691" s="881"/>
      <c r="P691" s="881"/>
      <c r="Q691" s="1302"/>
      <c r="R691" s="1302"/>
      <c r="S691" s="1302"/>
      <c r="T691" s="1302"/>
      <c r="U691" s="1302"/>
      <c r="V691" s="1302"/>
      <c r="W691" s="1302"/>
      <c r="X691" s="1302"/>
      <c r="Y691" s="1302"/>
      <c r="Z691" s="1302"/>
    </row>
    <row r="692" spans="1:26" ht="18.75" hidden="1">
      <c r="A692" s="1299"/>
      <c r="B692" s="1300"/>
      <c r="C692" s="1301"/>
      <c r="D692" s="1301"/>
      <c r="E692" s="1301"/>
      <c r="F692" s="1301" t="s">
        <v>188</v>
      </c>
      <c r="G692" s="1016"/>
      <c r="H692" s="161" t="s">
        <v>12</v>
      </c>
      <c r="I692" s="880"/>
      <c r="J692" s="880"/>
      <c r="K692" s="881"/>
      <c r="L692" s="881"/>
      <c r="M692" s="881"/>
      <c r="N692" s="1085">
        <v>0</v>
      </c>
      <c r="O692" s="881"/>
      <c r="P692" s="881"/>
      <c r="Q692" s="1302"/>
      <c r="R692" s="1302"/>
      <c r="S692" s="1302"/>
      <c r="T692" s="1302"/>
      <c r="U692" s="1302"/>
      <c r="V692" s="1302"/>
      <c r="W692" s="1302"/>
      <c r="X692" s="1302"/>
      <c r="Y692" s="1302"/>
      <c r="Z692" s="1302"/>
    </row>
    <row r="693" spans="1:26" ht="18.75" hidden="1">
      <c r="A693" s="1299"/>
      <c r="B693" s="1300"/>
      <c r="C693" s="1301"/>
      <c r="D693" s="1301"/>
      <c r="E693" s="1301"/>
      <c r="F693" s="1301" t="s">
        <v>189</v>
      </c>
      <c r="G693" s="1016"/>
      <c r="H693" s="161" t="s">
        <v>12</v>
      </c>
      <c r="I693" s="880"/>
      <c r="J693" s="880"/>
      <c r="K693" s="881"/>
      <c r="L693" s="881"/>
      <c r="M693" s="881"/>
      <c r="N693" s="1085">
        <v>0</v>
      </c>
      <c r="O693" s="881"/>
      <c r="P693" s="881"/>
      <c r="Q693" s="1302"/>
      <c r="R693" s="1302"/>
      <c r="S693" s="1302"/>
      <c r="T693" s="1302"/>
      <c r="U693" s="1302"/>
      <c r="V693" s="1302"/>
      <c r="W693" s="1302"/>
      <c r="X693" s="1302"/>
      <c r="Y693" s="1302"/>
      <c r="Z693" s="1302"/>
    </row>
    <row r="694" spans="1:26" ht="18.75" hidden="1">
      <c r="A694" s="1299"/>
      <c r="B694" s="1300"/>
      <c r="C694" s="1301"/>
      <c r="D694" s="1301"/>
      <c r="E694" s="1301"/>
      <c r="F694" s="1301" t="s">
        <v>190</v>
      </c>
      <c r="G694" s="1016"/>
      <c r="H694" s="161" t="s">
        <v>12</v>
      </c>
      <c r="I694" s="880"/>
      <c r="J694" s="880"/>
      <c r="K694" s="881"/>
      <c r="L694" s="881"/>
      <c r="M694" s="881"/>
      <c r="N694" s="1085">
        <v>0</v>
      </c>
      <c r="O694" s="881"/>
      <c r="P694" s="881"/>
      <c r="Q694" s="1302"/>
      <c r="R694" s="1302"/>
      <c r="S694" s="1302"/>
      <c r="T694" s="1302"/>
      <c r="U694" s="1302"/>
      <c r="V694" s="1302"/>
      <c r="W694" s="1302"/>
      <c r="X694" s="1302"/>
      <c r="Y694" s="1302"/>
      <c r="Z694" s="1302"/>
    </row>
    <row r="695" spans="1:26" ht="18.75" hidden="1">
      <c r="A695" s="1317"/>
      <c r="B695" s="1300"/>
      <c r="C695" s="1301"/>
      <c r="D695" s="1325" t="s">
        <v>21</v>
      </c>
      <c r="E695" s="1301"/>
      <c r="F695" s="1301"/>
      <c r="G695" s="1016"/>
      <c r="H695" s="168" t="s">
        <v>12</v>
      </c>
      <c r="I695" s="997"/>
      <c r="J695" s="997"/>
      <c r="K695" s="998"/>
      <c r="L695" s="881">
        <f t="shared" ref="L695:N695" si="287">L696+L697</f>
        <v>0</v>
      </c>
      <c r="M695" s="881">
        <f t="shared" si="287"/>
        <v>0</v>
      </c>
      <c r="N695" s="881">
        <f t="shared" si="287"/>
        <v>0</v>
      </c>
      <c r="O695" s="881">
        <f t="shared" ref="O695:O697" si="288">IF(L695&gt;0,N695*100/L695,0)</f>
        <v>0</v>
      </c>
      <c r="P695" s="881">
        <f t="shared" ref="P695:P697" si="289">IF(M695&gt;0,N695*100/M695,0)</f>
        <v>0</v>
      </c>
      <c r="Q695" s="1302"/>
      <c r="R695" s="1302"/>
      <c r="S695" s="1302"/>
      <c r="T695" s="1302"/>
      <c r="U695" s="1302"/>
      <c r="V695" s="1302"/>
      <c r="W695" s="1302"/>
      <c r="X695" s="1302"/>
      <c r="Y695" s="1302"/>
      <c r="Z695" s="1302"/>
    </row>
    <row r="696" spans="1:26" ht="18.75" hidden="1">
      <c r="A696" s="1319"/>
      <c r="B696" s="1324"/>
      <c r="C696" s="1320"/>
      <c r="D696" s="1320"/>
      <c r="E696" s="1320" t="s">
        <v>18</v>
      </c>
      <c r="F696" s="1320"/>
      <c r="G696" s="1322"/>
      <c r="H696" s="165" t="s">
        <v>12</v>
      </c>
      <c r="I696" s="1000"/>
      <c r="J696" s="1000"/>
      <c r="K696" s="1001"/>
      <c r="L696" s="887">
        <v>0</v>
      </c>
      <c r="M696" s="887">
        <v>0</v>
      </c>
      <c r="N696" s="887">
        <v>0</v>
      </c>
      <c r="O696" s="887">
        <f t="shared" si="288"/>
        <v>0</v>
      </c>
      <c r="P696" s="887">
        <f t="shared" si="289"/>
        <v>0</v>
      </c>
      <c r="Q696" s="1323"/>
      <c r="R696" s="1323"/>
      <c r="S696" s="1323"/>
      <c r="T696" s="1323"/>
      <c r="U696" s="1323"/>
      <c r="V696" s="1323"/>
      <c r="W696" s="1323"/>
      <c r="X696" s="1323"/>
      <c r="Y696" s="1323"/>
      <c r="Z696" s="1323"/>
    </row>
    <row r="697" spans="1:26" ht="18.75" hidden="1">
      <c r="A697" s="1319"/>
      <c r="B697" s="1324"/>
      <c r="C697" s="1320"/>
      <c r="D697" s="1320"/>
      <c r="E697" s="1320" t="s">
        <v>19</v>
      </c>
      <c r="F697" s="1320"/>
      <c r="G697" s="1322"/>
      <c r="H697" s="169" t="s">
        <v>12</v>
      </c>
      <c r="I697" s="1000"/>
      <c r="J697" s="1000"/>
      <c r="K697" s="1001"/>
      <c r="L697" s="887">
        <v>0</v>
      </c>
      <c r="M697" s="887">
        <v>0</v>
      </c>
      <c r="N697" s="887">
        <v>0</v>
      </c>
      <c r="O697" s="887">
        <f t="shared" si="288"/>
        <v>0</v>
      </c>
      <c r="P697" s="887">
        <f t="shared" si="289"/>
        <v>0</v>
      </c>
      <c r="Q697" s="1323"/>
      <c r="R697" s="1323"/>
      <c r="S697" s="1323"/>
      <c r="T697" s="1323"/>
      <c r="U697" s="1323"/>
      <c r="V697" s="1323"/>
      <c r="W697" s="1323"/>
      <c r="X697" s="1323"/>
      <c r="Y697" s="1323"/>
      <c r="Z697" s="1323"/>
    </row>
    <row r="698" spans="1:26" ht="19.5" hidden="1">
      <c r="A698" s="1326"/>
      <c r="B698" s="1327"/>
      <c r="C698" s="1301" t="s">
        <v>16</v>
      </c>
      <c r="D698" s="1439" t="s">
        <v>38</v>
      </c>
      <c r="E698" s="1330"/>
      <c r="F698" s="1330"/>
      <c r="G698" s="1331"/>
      <c r="H698" s="1007"/>
      <c r="I698" s="997"/>
      <c r="J698" s="997"/>
      <c r="K698" s="998"/>
      <c r="L698" s="998"/>
      <c r="M698" s="998"/>
      <c r="N698" s="998"/>
      <c r="O698" s="998"/>
      <c r="P698" s="998"/>
      <c r="Q698" s="1302"/>
      <c r="R698" s="1302"/>
      <c r="S698" s="1302"/>
      <c r="T698" s="1302"/>
      <c r="U698" s="1302"/>
      <c r="V698" s="1302"/>
      <c r="W698" s="1302"/>
      <c r="X698" s="1302"/>
      <c r="Y698" s="1302"/>
      <c r="Z698" s="1302"/>
    </row>
    <row r="699" spans="1:26" ht="18.75" hidden="1">
      <c r="A699" s="1429"/>
      <c r="B699" s="1301"/>
      <c r="C699" s="1301"/>
      <c r="D699" s="1301" t="s">
        <v>295</v>
      </c>
      <c r="E699" s="1301"/>
      <c r="F699" s="1301"/>
      <c r="G699" s="1016"/>
      <c r="H699" s="762" t="s">
        <v>46</v>
      </c>
      <c r="I699" s="1440">
        <f ca="1">IFERROR(__xludf.DUMMYFUNCTION("IMPORTRANGE(""https://docs.google.com/spreadsheets/d/1QqKyyYR6Q21VydFLVH3TRQUabQu_ym0Zz7PgGX0-kHA/edit?usp=sharing"",""แผน!IC76"")"),0)</f>
        <v>0</v>
      </c>
      <c r="J699" s="880">
        <f ca="1">IFERROR(__xludf.DUMMYFUNCTION("IMPORTRANGE(""https://docs.google.com/spreadsheets/d/1XWAQStnk-4SwqDmLtmXYiTMKHgktTP8We1SCoS47DrQ/edit?usp=sharing"",""จัดที่ดิน!BB76"")"),0)</f>
        <v>0</v>
      </c>
      <c r="K699" s="881">
        <f t="shared" ref="K699:K701" ca="1" si="290">IF(I699&gt;0,J699*100/I699,0)</f>
        <v>0</v>
      </c>
      <c r="L699" s="881"/>
      <c r="M699" s="1016"/>
      <c r="N699" s="1441"/>
      <c r="O699" s="881"/>
      <c r="P699" s="881"/>
      <c r="Q699" s="1302"/>
      <c r="R699" s="1302"/>
      <c r="S699" s="1302"/>
      <c r="T699" s="1302"/>
      <c r="U699" s="1302"/>
      <c r="V699" s="1302"/>
      <c r="W699" s="1302"/>
      <c r="X699" s="1302"/>
      <c r="Y699" s="1302"/>
      <c r="Z699" s="1302"/>
    </row>
    <row r="700" spans="1:26" ht="18.75" hidden="1">
      <c r="A700" s="1429"/>
      <c r="B700" s="1301"/>
      <c r="C700" s="1301"/>
      <c r="D700" s="1301" t="s">
        <v>296</v>
      </c>
      <c r="E700" s="1301"/>
      <c r="F700" s="1301"/>
      <c r="G700" s="1016"/>
      <c r="H700" s="762" t="s">
        <v>35</v>
      </c>
      <c r="I700" s="1440">
        <f ca="1">IFERROR(__xludf.DUMMYFUNCTION("IMPORTRANGE(""https://docs.google.com/spreadsheets/d/1QqKyyYR6Q21VydFLVH3TRQUabQu_ym0Zz7PgGX0-kHA/edit?usp=sharing"",""แผน!ID76"")"),0)</f>
        <v>0</v>
      </c>
      <c r="J700" s="880">
        <f ca="1">IFERROR(__xludf.DUMMYFUNCTION("IMPORTRANGE(""https://docs.google.com/spreadsheets/d/1XWAQStnk-4SwqDmLtmXYiTMKHgktTP8We1SCoS47DrQ/edit?usp=sharing"",""จัดที่ดิน!BD76"")"),0)</f>
        <v>0</v>
      </c>
      <c r="K700" s="881">
        <f t="shared" ca="1" si="290"/>
        <v>0</v>
      </c>
      <c r="L700" s="881"/>
      <c r="M700" s="1016"/>
      <c r="N700" s="1441"/>
      <c r="O700" s="881"/>
      <c r="P700" s="881"/>
      <c r="Q700" s="1302"/>
      <c r="R700" s="1302"/>
      <c r="S700" s="1302"/>
      <c r="T700" s="1302"/>
      <c r="U700" s="1302"/>
      <c r="V700" s="1302"/>
      <c r="W700" s="1302"/>
      <c r="X700" s="1302"/>
      <c r="Y700" s="1302"/>
      <c r="Z700" s="1302"/>
    </row>
    <row r="701" spans="1:26" ht="19.5" hidden="1">
      <c r="A701" s="1429"/>
      <c r="B701" s="1301"/>
      <c r="C701" s="1301"/>
      <c r="D701" s="1301" t="s">
        <v>297</v>
      </c>
      <c r="E701" s="1301"/>
      <c r="F701" s="1301"/>
      <c r="G701" s="1016"/>
      <c r="H701" s="765" t="s">
        <v>46</v>
      </c>
      <c r="I701" s="1442">
        <f ca="1">IFERROR(__xludf.DUMMYFUNCTION("IMPORTRANGE(""https://docs.google.com/spreadsheets/d/1QqKyyYR6Q21VydFLVH3TRQUabQu_ym0Zz7PgGX0-kHA/edit?usp=sharing"",""แผน!IE76"")"),0)</f>
        <v>0</v>
      </c>
      <c r="J701" s="1019">
        <f>J704+J707</f>
        <v>0</v>
      </c>
      <c r="K701" s="1020">
        <f t="shared" ca="1" si="290"/>
        <v>0</v>
      </c>
      <c r="L701" s="881"/>
      <c r="M701" s="1016"/>
      <c r="N701" s="1441"/>
      <c r="O701" s="881"/>
      <c r="P701" s="881"/>
      <c r="Q701" s="1302"/>
      <c r="R701" s="1302"/>
      <c r="S701" s="1302"/>
      <c r="T701" s="1302"/>
      <c r="U701" s="1302"/>
      <c r="V701" s="1302"/>
      <c r="W701" s="1302"/>
      <c r="X701" s="1302"/>
      <c r="Y701" s="1302"/>
      <c r="Z701" s="1302"/>
    </row>
    <row r="702" spans="1:26" ht="18.75" hidden="1">
      <c r="A702" s="1429"/>
      <c r="B702" s="1301"/>
      <c r="C702" s="1301"/>
      <c r="D702" s="1301"/>
      <c r="E702" s="1301" t="s">
        <v>298</v>
      </c>
      <c r="F702" s="1301"/>
      <c r="G702" s="1016"/>
      <c r="H702" s="762" t="s">
        <v>35</v>
      </c>
      <c r="I702" s="1440"/>
      <c r="J702" s="1012">
        <v>0</v>
      </c>
      <c r="K702" s="881"/>
      <c r="L702" s="881"/>
      <c r="M702" s="1016"/>
      <c r="N702" s="1441"/>
      <c r="O702" s="881"/>
      <c r="P702" s="881"/>
      <c r="Q702" s="1302"/>
      <c r="R702" s="1302"/>
      <c r="S702" s="1302"/>
      <c r="T702" s="1302"/>
      <c r="U702" s="1302"/>
      <c r="V702" s="1302"/>
      <c r="W702" s="1302"/>
      <c r="X702" s="1302"/>
      <c r="Y702" s="1302"/>
      <c r="Z702" s="1302"/>
    </row>
    <row r="703" spans="1:26" ht="18.75" hidden="1">
      <c r="A703" s="1429"/>
      <c r="B703" s="1301"/>
      <c r="C703" s="1301"/>
      <c r="D703" s="1301"/>
      <c r="E703" s="1301"/>
      <c r="F703" s="1301"/>
      <c r="G703" s="1016"/>
      <c r="H703" s="762" t="s">
        <v>34</v>
      </c>
      <c r="I703" s="1440"/>
      <c r="J703" s="1012">
        <v>0</v>
      </c>
      <c r="K703" s="881"/>
      <c r="L703" s="881"/>
      <c r="M703" s="1016"/>
      <c r="N703" s="1441"/>
      <c r="O703" s="881"/>
      <c r="P703" s="881"/>
      <c r="Q703" s="1302"/>
      <c r="R703" s="1302"/>
      <c r="S703" s="1302"/>
      <c r="T703" s="1302"/>
      <c r="U703" s="1302"/>
      <c r="V703" s="1302"/>
      <c r="W703" s="1302"/>
      <c r="X703" s="1302"/>
      <c r="Y703" s="1302"/>
      <c r="Z703" s="1302"/>
    </row>
    <row r="704" spans="1:26" ht="18.75" hidden="1">
      <c r="A704" s="1429"/>
      <c r="B704" s="1301"/>
      <c r="C704" s="1301"/>
      <c r="D704" s="1301"/>
      <c r="E704" s="1301"/>
      <c r="F704" s="1301"/>
      <c r="G704" s="1016"/>
      <c r="H704" s="762" t="s">
        <v>46</v>
      </c>
      <c r="I704" s="1440">
        <f ca="1">IFERROR(__xludf.DUMMYFUNCTION("IMPORTRANGE(""https://docs.google.com/spreadsheets/d/1QqKyyYR6Q21VydFLVH3TRQUabQu_ym0Zz7PgGX0-kHA/edit?usp=sharing"",""แผน!IF76"")"),0)</f>
        <v>0</v>
      </c>
      <c r="J704" s="1012">
        <v>0</v>
      </c>
      <c r="K704" s="881"/>
      <c r="L704" s="881"/>
      <c r="M704" s="1016"/>
      <c r="N704" s="1441"/>
      <c r="O704" s="881"/>
      <c r="P704" s="881"/>
      <c r="Q704" s="1302"/>
      <c r="R704" s="1302"/>
      <c r="S704" s="1302"/>
      <c r="T704" s="1302"/>
      <c r="U704" s="1302"/>
      <c r="V704" s="1302"/>
      <c r="W704" s="1302"/>
      <c r="X704" s="1302"/>
      <c r="Y704" s="1302"/>
      <c r="Z704" s="1302"/>
    </row>
    <row r="705" spans="1:26" ht="18.75" hidden="1">
      <c r="A705" s="1429"/>
      <c r="B705" s="1301"/>
      <c r="C705" s="1301"/>
      <c r="D705" s="1301"/>
      <c r="E705" s="1301" t="s">
        <v>299</v>
      </c>
      <c r="F705" s="1301"/>
      <c r="G705" s="1016"/>
      <c r="H705" s="762" t="s">
        <v>35</v>
      </c>
      <c r="I705" s="1440"/>
      <c r="J705" s="1012">
        <v>0</v>
      </c>
      <c r="K705" s="881"/>
      <c r="L705" s="881"/>
      <c r="M705" s="1016"/>
      <c r="N705" s="1441"/>
      <c r="O705" s="881"/>
      <c r="P705" s="881"/>
      <c r="Q705" s="1302"/>
      <c r="R705" s="1302"/>
      <c r="S705" s="1302"/>
      <c r="T705" s="1302"/>
      <c r="U705" s="1302"/>
      <c r="V705" s="1302"/>
      <c r="W705" s="1302"/>
      <c r="X705" s="1302"/>
      <c r="Y705" s="1302"/>
      <c r="Z705" s="1302"/>
    </row>
    <row r="706" spans="1:26" ht="18.75" hidden="1">
      <c r="A706" s="1429"/>
      <c r="B706" s="1301"/>
      <c r="C706" s="1301"/>
      <c r="D706" s="1301"/>
      <c r="E706" s="1301"/>
      <c r="F706" s="1301"/>
      <c r="G706" s="1016"/>
      <c r="H706" s="762" t="s">
        <v>34</v>
      </c>
      <c r="I706" s="1440"/>
      <c r="J706" s="1012">
        <v>0</v>
      </c>
      <c r="K706" s="881"/>
      <c r="L706" s="881"/>
      <c r="M706" s="1016"/>
      <c r="N706" s="1441"/>
      <c r="O706" s="881"/>
      <c r="P706" s="881"/>
      <c r="Q706" s="1302"/>
      <c r="R706" s="1302"/>
      <c r="S706" s="1302"/>
      <c r="T706" s="1302"/>
      <c r="U706" s="1302"/>
      <c r="V706" s="1302"/>
      <c r="W706" s="1302"/>
      <c r="X706" s="1302"/>
      <c r="Y706" s="1302"/>
      <c r="Z706" s="1302"/>
    </row>
    <row r="707" spans="1:26" ht="18.75" hidden="1">
      <c r="A707" s="1429"/>
      <c r="B707" s="1301"/>
      <c r="C707" s="1301"/>
      <c r="D707" s="1301"/>
      <c r="E707" s="1301"/>
      <c r="F707" s="1301"/>
      <c r="G707" s="1016"/>
      <c r="H707" s="762" t="s">
        <v>46</v>
      </c>
      <c r="I707" s="1440">
        <f ca="1">IFERROR(__xludf.DUMMYFUNCTION("IMPORTRANGE(""https://docs.google.com/spreadsheets/d/1QqKyyYR6Q21VydFLVH3TRQUabQu_ym0Zz7PgGX0-kHA/edit?usp=sharing"",""แผน!IG76"")"),0)</f>
        <v>0</v>
      </c>
      <c r="J707" s="1012">
        <v>0</v>
      </c>
      <c r="K707" s="881"/>
      <c r="L707" s="881"/>
      <c r="M707" s="1016"/>
      <c r="N707" s="1441"/>
      <c r="O707" s="881"/>
      <c r="P707" s="881"/>
      <c r="Q707" s="1302"/>
      <c r="R707" s="1302"/>
      <c r="S707" s="1302"/>
      <c r="T707" s="1302"/>
      <c r="U707" s="1302"/>
      <c r="V707" s="1302"/>
      <c r="W707" s="1302"/>
      <c r="X707" s="1302"/>
      <c r="Y707" s="1302"/>
      <c r="Z707" s="1302"/>
    </row>
    <row r="708" spans="1:26" ht="19.5" hidden="1">
      <c r="A708" s="1429"/>
      <c r="B708" s="1301"/>
      <c r="C708" s="1301"/>
      <c r="D708" s="1382" t="s">
        <v>300</v>
      </c>
      <c r="E708" s="1301"/>
      <c r="F708" s="1301"/>
      <c r="G708" s="1016"/>
      <c r="H708" s="765" t="s">
        <v>46</v>
      </c>
      <c r="I708" s="1442">
        <f ca="1">IFERROR(__xludf.DUMMYFUNCTION("IMPORTRANGE(""https://docs.google.com/spreadsheets/d/1QqKyyYR6Q21VydFLVH3TRQUabQu_ym0Zz7PgGX0-kHA/edit?usp=sharing"",""แผน!IH76"")"),0)</f>
        <v>0</v>
      </c>
      <c r="J708" s="1019">
        <f>J714+J717</f>
        <v>0</v>
      </c>
      <c r="K708" s="1020">
        <f ca="1">IF(I708&gt;0,J708*100/I708,0)</f>
        <v>0</v>
      </c>
      <c r="L708" s="881"/>
      <c r="M708" s="1016"/>
      <c r="N708" s="1441"/>
      <c r="O708" s="881"/>
      <c r="P708" s="881"/>
      <c r="Q708" s="1302"/>
      <c r="R708" s="1302"/>
      <c r="S708" s="1302"/>
      <c r="T708" s="1302"/>
      <c r="U708" s="1302"/>
      <c r="V708" s="1302"/>
      <c r="W708" s="1302"/>
      <c r="X708" s="1302"/>
      <c r="Y708" s="1302"/>
      <c r="Z708" s="1302"/>
    </row>
    <row r="709" spans="1:26" ht="18.75" hidden="1">
      <c r="A709" s="1429"/>
      <c r="B709" s="1301"/>
      <c r="C709" s="1301"/>
      <c r="D709" s="1301"/>
      <c r="E709" s="1301" t="s">
        <v>301</v>
      </c>
      <c r="F709" s="1301"/>
      <c r="G709" s="1016"/>
      <c r="H709" s="762" t="s">
        <v>34</v>
      </c>
      <c r="I709" s="1440"/>
      <c r="J709" s="1012">
        <v>0</v>
      </c>
      <c r="K709" s="881"/>
      <c r="L709" s="1441"/>
      <c r="M709" s="1016"/>
      <c r="N709" s="1441"/>
      <c r="O709" s="881"/>
      <c r="P709" s="881"/>
      <c r="Q709" s="1302"/>
      <c r="R709" s="1302"/>
      <c r="S709" s="1302"/>
      <c r="T709" s="1302"/>
      <c r="U709" s="1302"/>
      <c r="V709" s="1302"/>
      <c r="W709" s="1302"/>
      <c r="X709" s="1302"/>
      <c r="Y709" s="1302"/>
      <c r="Z709" s="1302"/>
    </row>
    <row r="710" spans="1:26" ht="18.75" hidden="1">
      <c r="A710" s="1429"/>
      <c r="B710" s="1301"/>
      <c r="C710" s="1301"/>
      <c r="D710" s="1301"/>
      <c r="E710" s="1301"/>
      <c r="F710" s="1301"/>
      <c r="G710" s="1016"/>
      <c r="H710" s="762" t="s">
        <v>46</v>
      </c>
      <c r="I710" s="1440"/>
      <c r="J710" s="1012">
        <v>0</v>
      </c>
      <c r="K710" s="881"/>
      <c r="L710" s="1441"/>
      <c r="M710" s="1016"/>
      <c r="N710" s="1441"/>
      <c r="O710" s="881"/>
      <c r="P710" s="881"/>
      <c r="Q710" s="1302"/>
      <c r="R710" s="1302"/>
      <c r="S710" s="1302"/>
      <c r="T710" s="1302"/>
      <c r="U710" s="1302"/>
      <c r="V710" s="1302"/>
      <c r="W710" s="1302"/>
      <c r="X710" s="1302"/>
      <c r="Y710" s="1302"/>
      <c r="Z710" s="1302"/>
    </row>
    <row r="711" spans="1:26" ht="18.75" hidden="1">
      <c r="A711" s="1429"/>
      <c r="B711" s="1301"/>
      <c r="C711" s="1301"/>
      <c r="D711" s="1301"/>
      <c r="E711" s="1301" t="s">
        <v>302</v>
      </c>
      <c r="F711" s="1301"/>
      <c r="G711" s="1016"/>
      <c r="H711" s="1007"/>
      <c r="I711" s="1440"/>
      <c r="J711" s="880"/>
      <c r="K711" s="881"/>
      <c r="L711" s="1441"/>
      <c r="M711" s="1016"/>
      <c r="N711" s="1441"/>
      <c r="O711" s="881"/>
      <c r="P711" s="881"/>
      <c r="Q711" s="1302"/>
      <c r="R711" s="1302"/>
      <c r="S711" s="1302"/>
      <c r="T711" s="1302"/>
      <c r="U711" s="1302"/>
      <c r="V711" s="1302"/>
      <c r="W711" s="1302"/>
      <c r="X711" s="1302"/>
      <c r="Y711" s="1302"/>
      <c r="Z711" s="1302"/>
    </row>
    <row r="712" spans="1:26" ht="18.75" hidden="1">
      <c r="A712" s="1429"/>
      <c r="B712" s="1301"/>
      <c r="C712" s="1301"/>
      <c r="D712" s="1301"/>
      <c r="E712" s="1301"/>
      <c r="F712" s="1301" t="s">
        <v>303</v>
      </c>
      <c r="G712" s="1016"/>
      <c r="H712" s="762" t="s">
        <v>35</v>
      </c>
      <c r="I712" s="1440"/>
      <c r="J712" s="1012">
        <v>0</v>
      </c>
      <c r="K712" s="881"/>
      <c r="L712" s="1441"/>
      <c r="M712" s="1016"/>
      <c r="N712" s="1441"/>
      <c r="O712" s="881"/>
      <c r="P712" s="881"/>
      <c r="Q712" s="1302"/>
      <c r="R712" s="1302"/>
      <c r="S712" s="1302"/>
      <c r="T712" s="1302"/>
      <c r="U712" s="1302"/>
      <c r="V712" s="1302"/>
      <c r="W712" s="1302"/>
      <c r="X712" s="1302"/>
      <c r="Y712" s="1302"/>
      <c r="Z712" s="1302"/>
    </row>
    <row r="713" spans="1:26" ht="18.75" hidden="1">
      <c r="A713" s="1429"/>
      <c r="B713" s="1301"/>
      <c r="C713" s="1301"/>
      <c r="D713" s="1301"/>
      <c r="E713" s="1301"/>
      <c r="F713" s="1301"/>
      <c r="G713" s="1016"/>
      <c r="H713" s="762" t="s">
        <v>34</v>
      </c>
      <c r="I713" s="1440"/>
      <c r="J713" s="1012">
        <v>0</v>
      </c>
      <c r="K713" s="881"/>
      <c r="L713" s="1441"/>
      <c r="M713" s="1016"/>
      <c r="N713" s="1441"/>
      <c r="O713" s="881"/>
      <c r="P713" s="881"/>
      <c r="Q713" s="1302"/>
      <c r="R713" s="1302"/>
      <c r="S713" s="1302"/>
      <c r="T713" s="1302"/>
      <c r="U713" s="1302"/>
      <c r="V713" s="1302"/>
      <c r="W713" s="1302"/>
      <c r="X713" s="1302"/>
      <c r="Y713" s="1302"/>
      <c r="Z713" s="1302"/>
    </row>
    <row r="714" spans="1:26" ht="18.75" hidden="1">
      <c r="A714" s="1429"/>
      <c r="B714" s="1301"/>
      <c r="C714" s="1301"/>
      <c r="D714" s="1301"/>
      <c r="E714" s="1301"/>
      <c r="F714" s="1301"/>
      <c r="G714" s="1016"/>
      <c r="H714" s="762" t="s">
        <v>46</v>
      </c>
      <c r="I714" s="1440"/>
      <c r="J714" s="1012">
        <v>0</v>
      </c>
      <c r="K714" s="881"/>
      <c r="L714" s="1441"/>
      <c r="M714" s="1016"/>
      <c r="N714" s="1441"/>
      <c r="O714" s="881"/>
      <c r="P714" s="881"/>
      <c r="Q714" s="1302"/>
      <c r="R714" s="1302"/>
      <c r="S714" s="1302"/>
      <c r="T714" s="1302"/>
      <c r="U714" s="1302"/>
      <c r="V714" s="1302"/>
      <c r="W714" s="1302"/>
      <c r="X714" s="1302"/>
      <c r="Y714" s="1302"/>
      <c r="Z714" s="1302"/>
    </row>
    <row r="715" spans="1:26" ht="18.75" hidden="1">
      <c r="A715" s="1429"/>
      <c r="B715" s="1301"/>
      <c r="C715" s="1301"/>
      <c r="D715" s="1301"/>
      <c r="E715" s="1301"/>
      <c r="F715" s="1301" t="s">
        <v>304</v>
      </c>
      <c r="G715" s="1016"/>
      <c r="H715" s="762" t="s">
        <v>35</v>
      </c>
      <c r="I715" s="1440"/>
      <c r="J715" s="1012">
        <v>0</v>
      </c>
      <c r="K715" s="881"/>
      <c r="L715" s="1441"/>
      <c r="M715" s="1016"/>
      <c r="N715" s="1441"/>
      <c r="O715" s="881"/>
      <c r="P715" s="881"/>
      <c r="Q715" s="1302"/>
      <c r="R715" s="1302"/>
      <c r="S715" s="1302"/>
      <c r="T715" s="1302"/>
      <c r="U715" s="1302"/>
      <c r="V715" s="1302"/>
      <c r="W715" s="1302"/>
      <c r="X715" s="1302"/>
      <c r="Y715" s="1302"/>
      <c r="Z715" s="1302"/>
    </row>
    <row r="716" spans="1:26" ht="18.75" hidden="1">
      <c r="A716" s="1429"/>
      <c r="B716" s="1301"/>
      <c r="C716" s="1301"/>
      <c r="D716" s="1301"/>
      <c r="E716" s="1301"/>
      <c r="F716" s="1301"/>
      <c r="G716" s="1016"/>
      <c r="H716" s="762" t="s">
        <v>34</v>
      </c>
      <c r="I716" s="1440"/>
      <c r="J716" s="1012">
        <v>0</v>
      </c>
      <c r="K716" s="881"/>
      <c r="L716" s="1441"/>
      <c r="M716" s="1016"/>
      <c r="N716" s="1441"/>
      <c r="O716" s="881"/>
      <c r="P716" s="881"/>
      <c r="Q716" s="1302"/>
      <c r="R716" s="1302"/>
      <c r="S716" s="1302"/>
      <c r="T716" s="1302"/>
      <c r="U716" s="1302"/>
      <c r="V716" s="1302"/>
      <c r="W716" s="1302"/>
      <c r="X716" s="1302"/>
      <c r="Y716" s="1302"/>
      <c r="Z716" s="1302"/>
    </row>
    <row r="717" spans="1:26" ht="18.75" hidden="1">
      <c r="A717" s="1429"/>
      <c r="B717" s="1301"/>
      <c r="C717" s="1301"/>
      <c r="D717" s="1301"/>
      <c r="E717" s="1301"/>
      <c r="F717" s="1301"/>
      <c r="G717" s="1016"/>
      <c r="H717" s="762" t="s">
        <v>46</v>
      </c>
      <c r="I717" s="1440"/>
      <c r="J717" s="1012">
        <v>0</v>
      </c>
      <c r="K717" s="881"/>
      <c r="L717" s="1441"/>
      <c r="M717" s="1016"/>
      <c r="N717" s="1441"/>
      <c r="O717" s="881"/>
      <c r="P717" s="881"/>
      <c r="Q717" s="1302"/>
      <c r="R717" s="1302"/>
      <c r="S717" s="1302"/>
      <c r="T717" s="1302"/>
      <c r="U717" s="1302"/>
      <c r="V717" s="1302"/>
      <c r="W717" s="1302"/>
      <c r="X717" s="1302"/>
      <c r="Y717" s="1302"/>
      <c r="Z717" s="1302"/>
    </row>
    <row r="718" spans="1:26" ht="18.75" hidden="1">
      <c r="A718" s="1429"/>
      <c r="B718" s="1301"/>
      <c r="C718" s="1301"/>
      <c r="D718" s="1301" t="s">
        <v>305</v>
      </c>
      <c r="E718" s="1301"/>
      <c r="F718" s="1301"/>
      <c r="G718" s="1016"/>
      <c r="H718" s="762" t="s">
        <v>35</v>
      </c>
      <c r="I718" s="1440"/>
      <c r="J718" s="880">
        <f ca="1">IFERROR(__xludf.DUMMYFUNCTION("IMPORTRANGE(""https://docs.google.com/spreadsheets/d/1XWAQStnk-4SwqDmLtmXYiTMKHgktTP8We1SCoS47DrQ/edit?usp=sharing"",""จัดที่ดิน!BF76"")"),0)</f>
        <v>0</v>
      </c>
      <c r="K718" s="881"/>
      <c r="L718" s="881"/>
      <c r="M718" s="1016"/>
      <c r="N718" s="1441"/>
      <c r="O718" s="881"/>
      <c r="P718" s="881"/>
      <c r="Q718" s="1302"/>
      <c r="R718" s="1302"/>
      <c r="S718" s="1302"/>
      <c r="T718" s="1302"/>
      <c r="U718" s="1302"/>
      <c r="V718" s="1302"/>
      <c r="W718" s="1302"/>
      <c r="X718" s="1302"/>
      <c r="Y718" s="1302"/>
      <c r="Z718" s="1302"/>
    </row>
    <row r="719" spans="1:26" ht="18.75" hidden="1">
      <c r="A719" s="1429"/>
      <c r="B719" s="1301"/>
      <c r="C719" s="1301"/>
      <c r="D719" s="1301"/>
      <c r="E719" s="1301"/>
      <c r="F719" s="1301"/>
      <c r="G719" s="1016"/>
      <c r="H719" s="762" t="s">
        <v>34</v>
      </c>
      <c r="I719" s="1440"/>
      <c r="J719" s="880">
        <f ca="1">IFERROR(__xludf.DUMMYFUNCTION("IMPORTRANGE(""https://docs.google.com/spreadsheets/d/1XWAQStnk-4SwqDmLtmXYiTMKHgktTP8We1SCoS47DrQ/edit?usp=sharing"",""จัดที่ดิน!BG76"")"),0)</f>
        <v>0</v>
      </c>
      <c r="K719" s="881"/>
      <c r="L719" s="1441"/>
      <c r="M719" s="1016"/>
      <c r="N719" s="1441"/>
      <c r="O719" s="881"/>
      <c r="P719" s="881"/>
      <c r="Q719" s="1302"/>
      <c r="R719" s="1302"/>
      <c r="S719" s="1302"/>
      <c r="T719" s="1302"/>
      <c r="U719" s="1302"/>
      <c r="V719" s="1302"/>
      <c r="W719" s="1302"/>
      <c r="X719" s="1302"/>
      <c r="Y719" s="1302"/>
      <c r="Z719" s="1302"/>
    </row>
    <row r="720" spans="1:26" ht="18.75" hidden="1">
      <c r="A720" s="1429"/>
      <c r="B720" s="1301"/>
      <c r="C720" s="1301"/>
      <c r="D720" s="1301"/>
      <c r="E720" s="1301"/>
      <c r="F720" s="1301"/>
      <c r="G720" s="1016"/>
      <c r="H720" s="762" t="s">
        <v>46</v>
      </c>
      <c r="I720" s="1440">
        <f ca="1">IFERROR(__xludf.DUMMYFUNCTION("IMPORTRANGE(""https://docs.google.com/spreadsheets/d/1QqKyyYR6Q21VydFLVH3TRQUabQu_ym0Zz7PgGX0-kHA/edit?usp=sharing"",""แผน!II76"")"),0)</f>
        <v>0</v>
      </c>
      <c r="J720" s="880">
        <f ca="1">IFERROR(__xludf.DUMMYFUNCTION("IMPORTRANGE(""https://docs.google.com/spreadsheets/d/1XWAQStnk-4SwqDmLtmXYiTMKHgktTP8We1SCoS47DrQ/edit?usp=sharing"",""จัดที่ดิน!BH76"")"),0)</f>
        <v>0</v>
      </c>
      <c r="K720" s="881">
        <f t="shared" ref="K720:K723" ca="1" si="291">IF(I720&gt;0,J720*100/I720,0)</f>
        <v>0</v>
      </c>
      <c r="L720" s="1441"/>
      <c r="M720" s="1016"/>
      <c r="N720" s="1441"/>
      <c r="O720" s="881"/>
      <c r="P720" s="881"/>
      <c r="Q720" s="1302"/>
      <c r="R720" s="1302"/>
      <c r="S720" s="1302"/>
      <c r="T720" s="1302"/>
      <c r="U720" s="1302"/>
      <c r="V720" s="1302"/>
      <c r="W720" s="1302"/>
      <c r="X720" s="1302"/>
      <c r="Y720" s="1302"/>
      <c r="Z720" s="1302"/>
    </row>
    <row r="721" spans="1:26" ht="19.5" hidden="1">
      <c r="A721" s="1429"/>
      <c r="B721" s="1301"/>
      <c r="C721" s="1301"/>
      <c r="D721" s="1301" t="s">
        <v>306</v>
      </c>
      <c r="E721" s="1301"/>
      <c r="F721" s="1301"/>
      <c r="G721" s="1016"/>
      <c r="H721" s="765" t="s">
        <v>35</v>
      </c>
      <c r="I721" s="1442">
        <f ca="1">IFERROR(__xludf.DUMMYFUNCTION("IMPORTRANGE(""https://docs.google.com/spreadsheets/d/1QqKyyYR6Q21VydFLVH3TRQUabQu_ym0Zz7PgGX0-kHA/edit?usp=sharing"",""แผน!IJ76"")"),0)</f>
        <v>0</v>
      </c>
      <c r="J721" s="1019">
        <f ca="1">J723+J726</f>
        <v>0</v>
      </c>
      <c r="K721" s="1020">
        <f t="shared" ca="1" si="291"/>
        <v>0</v>
      </c>
      <c r="L721" s="1441"/>
      <c r="M721" s="1016"/>
      <c r="N721" s="1441"/>
      <c r="O721" s="881"/>
      <c r="P721" s="881"/>
      <c r="Q721" s="1302"/>
      <c r="R721" s="1302"/>
      <c r="S721" s="1302"/>
      <c r="T721" s="1302"/>
      <c r="U721" s="1302"/>
      <c r="V721" s="1302"/>
      <c r="W721" s="1302"/>
      <c r="X721" s="1302"/>
      <c r="Y721" s="1302"/>
      <c r="Z721" s="1302"/>
    </row>
    <row r="722" spans="1:26" ht="19.5" hidden="1">
      <c r="A722" s="1429"/>
      <c r="B722" s="1301"/>
      <c r="C722" s="1301"/>
      <c r="D722" s="1301"/>
      <c r="E722" s="1301"/>
      <c r="F722" s="1301"/>
      <c r="G722" s="1016"/>
      <c r="H722" s="765" t="s">
        <v>46</v>
      </c>
      <c r="I722" s="1442">
        <f ca="1">IFERROR(__xludf.DUMMYFUNCTION("IMPORTRANGE(""https://docs.google.com/spreadsheets/d/1QqKyyYR6Q21VydFLVH3TRQUabQu_ym0Zz7PgGX0-kHA/edit?usp=sharing"",""แผน!IK76"")"),0)</f>
        <v>0</v>
      </c>
      <c r="J722" s="1019">
        <f ca="1">J725+J728</f>
        <v>0</v>
      </c>
      <c r="K722" s="1020">
        <f t="shared" ca="1" si="291"/>
        <v>0</v>
      </c>
      <c r="L722" s="881"/>
      <c r="M722" s="1016"/>
      <c r="N722" s="1441"/>
      <c r="O722" s="881"/>
      <c r="P722" s="881"/>
      <c r="Q722" s="1302"/>
      <c r="R722" s="1302"/>
      <c r="S722" s="1302"/>
      <c r="T722" s="1302"/>
      <c r="U722" s="1302"/>
      <c r="V722" s="1302"/>
      <c r="W722" s="1302"/>
      <c r="X722" s="1302"/>
      <c r="Y722" s="1302"/>
      <c r="Z722" s="1302"/>
    </row>
    <row r="723" spans="1:26" ht="18.75" hidden="1">
      <c r="A723" s="1429"/>
      <c r="B723" s="1301"/>
      <c r="C723" s="1301"/>
      <c r="D723" s="1301"/>
      <c r="E723" s="1301" t="s">
        <v>307</v>
      </c>
      <c r="F723" s="1301"/>
      <c r="G723" s="1016"/>
      <c r="H723" s="762" t="s">
        <v>35</v>
      </c>
      <c r="I723" s="1440">
        <f ca="1">IFERROR(__xludf.DUMMYFUNCTION("IMPORTRANGE(""https://docs.google.com/spreadsheets/d/1QqKyyYR6Q21VydFLVH3TRQUabQu_ym0Zz7PgGX0-kHA/edit?usp=sharing"",""แผน!IL76"")"),0)</f>
        <v>0</v>
      </c>
      <c r="J723" s="880">
        <f ca="1">IFERROR(__xludf.DUMMYFUNCTION("IMPORTRANGE(""https://docs.google.com/spreadsheets/d/1XWAQStnk-4SwqDmLtmXYiTMKHgktTP8We1SCoS47DrQ/edit?usp=sharing"",""จัดที่ดิน!BM76"")"),0)</f>
        <v>0</v>
      </c>
      <c r="K723" s="881">
        <f t="shared" ca="1" si="291"/>
        <v>0</v>
      </c>
      <c r="L723" s="881"/>
      <c r="M723" s="1016"/>
      <c r="N723" s="1441"/>
      <c r="O723" s="881"/>
      <c r="P723" s="881"/>
      <c r="Q723" s="1302"/>
      <c r="R723" s="1302"/>
      <c r="S723" s="1302"/>
      <c r="T723" s="1302"/>
      <c r="U723" s="1302"/>
      <c r="V723" s="1302"/>
      <c r="W723" s="1302"/>
      <c r="X723" s="1302"/>
      <c r="Y723" s="1302"/>
      <c r="Z723" s="1302"/>
    </row>
    <row r="724" spans="1:26" ht="18.75" hidden="1">
      <c r="A724" s="1429"/>
      <c r="B724" s="1301"/>
      <c r="C724" s="1301"/>
      <c r="D724" s="1301"/>
      <c r="E724" s="1301"/>
      <c r="F724" s="1301"/>
      <c r="G724" s="1016"/>
      <c r="H724" s="762" t="s">
        <v>34</v>
      </c>
      <c r="I724" s="1440"/>
      <c r="J724" s="880">
        <f ca="1">IFERROR(__xludf.DUMMYFUNCTION("IMPORTRANGE(""https://docs.google.com/spreadsheets/d/1XWAQStnk-4SwqDmLtmXYiTMKHgktTP8We1SCoS47DrQ/edit?usp=sharing"",""จัดที่ดิน!BN76"")"),0)</f>
        <v>0</v>
      </c>
      <c r="K724" s="881"/>
      <c r="L724" s="1441"/>
      <c r="M724" s="1016"/>
      <c r="N724" s="1441"/>
      <c r="O724" s="881"/>
      <c r="P724" s="881"/>
      <c r="Q724" s="1302"/>
      <c r="R724" s="1302"/>
      <c r="S724" s="1302"/>
      <c r="T724" s="1302"/>
      <c r="U724" s="1302"/>
      <c r="V724" s="1302"/>
      <c r="W724" s="1302"/>
      <c r="X724" s="1302"/>
      <c r="Y724" s="1302"/>
      <c r="Z724" s="1302"/>
    </row>
    <row r="725" spans="1:26" ht="18.75" hidden="1">
      <c r="A725" s="1429"/>
      <c r="B725" s="1301"/>
      <c r="C725" s="1301"/>
      <c r="D725" s="1301"/>
      <c r="E725" s="1301"/>
      <c r="F725" s="1301"/>
      <c r="G725" s="1016"/>
      <c r="H725" s="762" t="s">
        <v>46</v>
      </c>
      <c r="I725" s="1440">
        <f ca="1">IFERROR(__xludf.DUMMYFUNCTION("IMPORTRANGE(""https://docs.google.com/spreadsheets/d/1QqKyyYR6Q21VydFLVH3TRQUabQu_ym0Zz7PgGX0-kHA/edit?usp=sharing"",""แผน!IM76"")"),0)</f>
        <v>0</v>
      </c>
      <c r="J725" s="880">
        <f ca="1">IFERROR(__xludf.DUMMYFUNCTION("IMPORTRANGE(""https://docs.google.com/spreadsheets/d/1XWAQStnk-4SwqDmLtmXYiTMKHgktTP8We1SCoS47DrQ/edit?usp=sharing"",""จัดที่ดิน!BO76"")"),0)</f>
        <v>0</v>
      </c>
      <c r="K725" s="881">
        <f t="shared" ref="K725:K726" ca="1" si="292">IF(I725&gt;0,J725*100/I725,0)</f>
        <v>0</v>
      </c>
      <c r="L725" s="1441"/>
      <c r="M725" s="1016"/>
      <c r="N725" s="1441"/>
      <c r="O725" s="881"/>
      <c r="P725" s="881"/>
      <c r="Q725" s="1302"/>
      <c r="R725" s="1302"/>
      <c r="S725" s="1302"/>
      <c r="T725" s="1302"/>
      <c r="U725" s="1302"/>
      <c r="V725" s="1302"/>
      <c r="W725" s="1302"/>
      <c r="X725" s="1302"/>
      <c r="Y725" s="1302"/>
      <c r="Z725" s="1302"/>
    </row>
    <row r="726" spans="1:26" ht="18.75" hidden="1">
      <c r="A726" s="1429"/>
      <c r="B726" s="1301"/>
      <c r="C726" s="1301"/>
      <c r="D726" s="1301"/>
      <c r="E726" s="1301" t="s">
        <v>308</v>
      </c>
      <c r="F726" s="1301"/>
      <c r="G726" s="1016"/>
      <c r="H726" s="762" t="s">
        <v>35</v>
      </c>
      <c r="I726" s="1440">
        <f ca="1">IFERROR(__xludf.DUMMYFUNCTION("IMPORTRANGE(""https://docs.google.com/spreadsheets/d/1QqKyyYR6Q21VydFLVH3TRQUabQu_ym0Zz7PgGX0-kHA/edit?usp=sharing"",""แผน!IN76"")"),0)</f>
        <v>0</v>
      </c>
      <c r="J726" s="880">
        <f ca="1">IFERROR(__xludf.DUMMYFUNCTION("IMPORTRANGE(""https://docs.google.com/spreadsheets/d/1XWAQStnk-4SwqDmLtmXYiTMKHgktTP8We1SCoS47DrQ/edit?usp=sharing"",""จัดที่ดิน!BR76"")"),0)</f>
        <v>0</v>
      </c>
      <c r="K726" s="881">
        <f t="shared" ca="1" si="292"/>
        <v>0</v>
      </c>
      <c r="L726" s="881"/>
      <c r="M726" s="1016"/>
      <c r="N726" s="1441"/>
      <c r="O726" s="881"/>
      <c r="P726" s="881"/>
      <c r="Q726" s="1302"/>
      <c r="R726" s="1302"/>
      <c r="S726" s="1302"/>
      <c r="T726" s="1302"/>
      <c r="U726" s="1302"/>
      <c r="V726" s="1302"/>
      <c r="W726" s="1302"/>
      <c r="X726" s="1302"/>
      <c r="Y726" s="1302"/>
      <c r="Z726" s="1302"/>
    </row>
    <row r="727" spans="1:26" ht="18.75" hidden="1">
      <c r="A727" s="1429"/>
      <c r="B727" s="1301"/>
      <c r="C727" s="1301"/>
      <c r="D727" s="1301"/>
      <c r="E727" s="1301"/>
      <c r="F727" s="1301"/>
      <c r="G727" s="1016"/>
      <c r="H727" s="762" t="s">
        <v>34</v>
      </c>
      <c r="I727" s="1440"/>
      <c r="J727" s="880">
        <f ca="1">IFERROR(__xludf.DUMMYFUNCTION("IMPORTRANGE(""https://docs.google.com/spreadsheets/d/1XWAQStnk-4SwqDmLtmXYiTMKHgktTP8We1SCoS47DrQ/edit?usp=sharing"",""จัดที่ดิน!BS76"")"),0)</f>
        <v>0</v>
      </c>
      <c r="K727" s="881"/>
      <c r="L727" s="1441"/>
      <c r="M727" s="1016"/>
      <c r="N727" s="1441"/>
      <c r="O727" s="881"/>
      <c r="P727" s="881"/>
      <c r="Q727" s="1302"/>
      <c r="R727" s="1302"/>
      <c r="S727" s="1302"/>
      <c r="T727" s="1302"/>
      <c r="U727" s="1302"/>
      <c r="V727" s="1302"/>
      <c r="W727" s="1302"/>
      <c r="X727" s="1302"/>
      <c r="Y727" s="1302"/>
      <c r="Z727" s="1302"/>
    </row>
    <row r="728" spans="1:26" ht="18.75" hidden="1">
      <c r="A728" s="1429"/>
      <c r="B728" s="1301"/>
      <c r="C728" s="1301"/>
      <c r="D728" s="1301"/>
      <c r="E728" s="1301"/>
      <c r="F728" s="1301"/>
      <c r="G728" s="1016"/>
      <c r="H728" s="762" t="s">
        <v>46</v>
      </c>
      <c r="I728" s="1440">
        <f ca="1">IFERROR(__xludf.DUMMYFUNCTION("IMPORTRANGE(""https://docs.google.com/spreadsheets/d/1QqKyyYR6Q21VydFLVH3TRQUabQu_ym0Zz7PgGX0-kHA/edit?usp=sharing"",""แผน!IO76"")"),0)</f>
        <v>0</v>
      </c>
      <c r="J728" s="880">
        <f ca="1">IFERROR(__xludf.DUMMYFUNCTION("IMPORTRANGE(""https://docs.google.com/spreadsheets/d/1XWAQStnk-4SwqDmLtmXYiTMKHgktTP8We1SCoS47DrQ/edit?usp=sharing"",""จัดที่ดิน!BT76"")"),0)</f>
        <v>0</v>
      </c>
      <c r="K728" s="881">
        <f t="shared" ref="K728:K729" ca="1" si="293">IF(I728&gt;0,J728*100/I728,0)</f>
        <v>0</v>
      </c>
      <c r="L728" s="1441"/>
      <c r="M728" s="1016"/>
      <c r="N728" s="1441"/>
      <c r="O728" s="881"/>
      <c r="P728" s="881"/>
      <c r="Q728" s="1302"/>
      <c r="R728" s="1302"/>
      <c r="S728" s="1302"/>
      <c r="T728" s="1302"/>
      <c r="U728" s="1302"/>
      <c r="V728" s="1302"/>
      <c r="W728" s="1302"/>
      <c r="X728" s="1302"/>
      <c r="Y728" s="1302"/>
      <c r="Z728" s="1302"/>
    </row>
    <row r="729" spans="1:26" ht="19.5" hidden="1">
      <c r="A729" s="1429"/>
      <c r="B729" s="1301"/>
      <c r="C729" s="1301"/>
      <c r="D729" s="1301" t="s">
        <v>309</v>
      </c>
      <c r="E729" s="1301"/>
      <c r="F729" s="1301"/>
      <c r="G729" s="1016"/>
      <c r="H729" s="765" t="s">
        <v>46</v>
      </c>
      <c r="I729" s="1442">
        <f ca="1">IFERROR(__xludf.DUMMYFUNCTION("IMPORTRANGE(""https://docs.google.com/spreadsheets/d/1QqKyyYR6Q21VydFLVH3TRQUabQu_ym0Zz7PgGX0-kHA/edit?usp=sharing"",""แผน!IP76"")"),0)</f>
        <v>0</v>
      </c>
      <c r="J729" s="1019">
        <f>J732+J735</f>
        <v>0</v>
      </c>
      <c r="K729" s="1020">
        <f t="shared" ca="1" si="293"/>
        <v>0</v>
      </c>
      <c r="L729" s="881"/>
      <c r="M729" s="1016"/>
      <c r="N729" s="1441"/>
      <c r="O729" s="881"/>
      <c r="P729" s="881"/>
      <c r="Q729" s="1302"/>
      <c r="R729" s="1302"/>
      <c r="S729" s="1302"/>
      <c r="T729" s="1302"/>
      <c r="U729" s="1302"/>
      <c r="V729" s="1302"/>
      <c r="W729" s="1302"/>
      <c r="X729" s="1302"/>
      <c r="Y729" s="1302"/>
      <c r="Z729" s="1302"/>
    </row>
    <row r="730" spans="1:26" ht="18.75" hidden="1">
      <c r="A730" s="1429"/>
      <c r="B730" s="1301"/>
      <c r="C730" s="1301"/>
      <c r="D730" s="1301"/>
      <c r="E730" s="1301" t="s">
        <v>310</v>
      </c>
      <c r="F730" s="1301"/>
      <c r="G730" s="1016"/>
      <c r="H730" s="762" t="s">
        <v>35</v>
      </c>
      <c r="I730" s="1440"/>
      <c r="J730" s="1012">
        <v>0</v>
      </c>
      <c r="K730" s="881"/>
      <c r="L730" s="1441"/>
      <c r="M730" s="881"/>
      <c r="N730" s="1441"/>
      <c r="O730" s="881"/>
      <c r="P730" s="881"/>
      <c r="Q730" s="1302"/>
      <c r="R730" s="1302"/>
      <c r="S730" s="1302"/>
      <c r="T730" s="1302"/>
      <c r="U730" s="1302"/>
      <c r="V730" s="1302"/>
      <c r="W730" s="1302"/>
      <c r="X730" s="1302"/>
      <c r="Y730" s="1302"/>
      <c r="Z730" s="1302"/>
    </row>
    <row r="731" spans="1:26" ht="18.75" hidden="1">
      <c r="A731" s="1429"/>
      <c r="B731" s="1301"/>
      <c r="C731" s="1301"/>
      <c r="D731" s="1301"/>
      <c r="E731" s="1301"/>
      <c r="F731" s="1301"/>
      <c r="G731" s="1016"/>
      <c r="H731" s="762" t="s">
        <v>34</v>
      </c>
      <c r="I731" s="1440"/>
      <c r="J731" s="1012">
        <v>0</v>
      </c>
      <c r="K731" s="881"/>
      <c r="L731" s="1441"/>
      <c r="M731" s="881"/>
      <c r="N731" s="1441"/>
      <c r="O731" s="881"/>
      <c r="P731" s="881"/>
      <c r="Q731" s="1302"/>
      <c r="R731" s="1302"/>
      <c r="S731" s="1302"/>
      <c r="T731" s="1302"/>
      <c r="U731" s="1302"/>
      <c r="V731" s="1302"/>
      <c r="W731" s="1302"/>
      <c r="X731" s="1302"/>
      <c r="Y731" s="1302"/>
      <c r="Z731" s="1302"/>
    </row>
    <row r="732" spans="1:26" ht="18.75" hidden="1">
      <c r="A732" s="1429"/>
      <c r="B732" s="1301"/>
      <c r="C732" s="1301"/>
      <c r="D732" s="1301"/>
      <c r="E732" s="1301"/>
      <c r="F732" s="1301"/>
      <c r="G732" s="1016"/>
      <c r="H732" s="762" t="s">
        <v>46</v>
      </c>
      <c r="I732" s="1440"/>
      <c r="J732" s="1012">
        <v>0</v>
      </c>
      <c r="K732" s="881"/>
      <c r="L732" s="1441"/>
      <c r="M732" s="881"/>
      <c r="N732" s="1441"/>
      <c r="O732" s="881"/>
      <c r="P732" s="881"/>
      <c r="Q732" s="1302"/>
      <c r="R732" s="1302"/>
      <c r="S732" s="1302"/>
      <c r="T732" s="1302"/>
      <c r="U732" s="1302"/>
      <c r="V732" s="1302"/>
      <c r="W732" s="1302"/>
      <c r="X732" s="1302"/>
      <c r="Y732" s="1302"/>
      <c r="Z732" s="1302"/>
    </row>
    <row r="733" spans="1:26" ht="18.75" hidden="1">
      <c r="A733" s="1429"/>
      <c r="B733" s="1301"/>
      <c r="C733" s="1301"/>
      <c r="D733" s="1301"/>
      <c r="E733" s="1301" t="s">
        <v>311</v>
      </c>
      <c r="F733" s="1301"/>
      <c r="G733" s="1016"/>
      <c r="H733" s="762" t="s">
        <v>35</v>
      </c>
      <c r="I733" s="1440"/>
      <c r="J733" s="1012">
        <v>0</v>
      </c>
      <c r="K733" s="881"/>
      <c r="L733" s="1441"/>
      <c r="M733" s="881"/>
      <c r="N733" s="1441"/>
      <c r="O733" s="881"/>
      <c r="P733" s="881"/>
      <c r="Q733" s="1302"/>
      <c r="R733" s="1302"/>
      <c r="S733" s="1302"/>
      <c r="T733" s="1302"/>
      <c r="U733" s="1302"/>
      <c r="V733" s="1302"/>
      <c r="W733" s="1302"/>
      <c r="X733" s="1302"/>
      <c r="Y733" s="1302"/>
      <c r="Z733" s="1302"/>
    </row>
    <row r="734" spans="1:26" ht="18.75" hidden="1">
      <c r="A734" s="1429"/>
      <c r="B734" s="1301"/>
      <c r="C734" s="1301"/>
      <c r="D734" s="1301"/>
      <c r="E734" s="1301"/>
      <c r="F734" s="1301"/>
      <c r="G734" s="1016"/>
      <c r="H734" s="762" t="s">
        <v>34</v>
      </c>
      <c r="I734" s="1440"/>
      <c r="J734" s="1012">
        <v>0</v>
      </c>
      <c r="K734" s="881"/>
      <c r="L734" s="1441"/>
      <c r="M734" s="881"/>
      <c r="N734" s="1441"/>
      <c r="O734" s="881"/>
      <c r="P734" s="881"/>
      <c r="Q734" s="1302"/>
      <c r="R734" s="1302"/>
      <c r="S734" s="1302"/>
      <c r="T734" s="1302"/>
      <c r="U734" s="1302"/>
      <c r="V734" s="1302"/>
      <c r="W734" s="1302"/>
      <c r="X734" s="1302"/>
      <c r="Y734" s="1302"/>
      <c r="Z734" s="1302"/>
    </row>
    <row r="735" spans="1:26" ht="19.5" hidden="1">
      <c r="A735" s="1443"/>
      <c r="B735" s="1444" t="s">
        <v>312</v>
      </c>
      <c r="C735" s="1169"/>
      <c r="D735" s="1169"/>
      <c r="E735" s="1169"/>
      <c r="F735" s="1169"/>
      <c r="G735" s="1422"/>
      <c r="H735" s="423" t="s">
        <v>46</v>
      </c>
      <c r="I735" s="1445"/>
      <c r="J735" s="1171">
        <v>0</v>
      </c>
      <c r="K735" s="1239"/>
      <c r="L735" s="1446"/>
      <c r="M735" s="1239"/>
      <c r="N735" s="1446"/>
      <c r="O735" s="1239"/>
      <c r="P735" s="1239"/>
      <c r="Q735" s="1302"/>
      <c r="R735" s="1302"/>
      <c r="S735" s="1302"/>
      <c r="T735" s="1302"/>
      <c r="U735" s="1302"/>
      <c r="V735" s="1302"/>
      <c r="W735" s="1302"/>
      <c r="X735" s="1302"/>
      <c r="Y735" s="1302"/>
      <c r="Z735" s="1302"/>
    </row>
    <row r="736" spans="1:26" ht="19.5" hidden="1">
      <c r="A736" s="772">
        <v>9</v>
      </c>
      <c r="B736" s="1447" t="s">
        <v>313</v>
      </c>
      <c r="C736" s="1448"/>
      <c r="D736" s="1448"/>
      <c r="E736" s="1448"/>
      <c r="F736" s="1448"/>
      <c r="G736" s="1449"/>
      <c r="H736" s="776" t="s">
        <v>46</v>
      </c>
      <c r="I736" s="1450"/>
      <c r="J736" s="1450">
        <f>J751</f>
        <v>0</v>
      </c>
      <c r="K736" s="1451">
        <f>IF(I736&gt;0,J736*100/I736,0)</f>
        <v>0</v>
      </c>
      <c r="L736" s="1452"/>
      <c r="M736" s="1452"/>
      <c r="N736" s="1452"/>
      <c r="O736" s="1452"/>
      <c r="P736" s="1452"/>
      <c r="Q736" s="1323"/>
      <c r="R736" s="1323"/>
      <c r="S736" s="1323"/>
      <c r="T736" s="1323"/>
      <c r="U736" s="1323"/>
      <c r="V736" s="1323"/>
      <c r="W736" s="1323"/>
      <c r="X736" s="1323"/>
      <c r="Y736" s="1323"/>
      <c r="Z736" s="1323"/>
    </row>
    <row r="737" spans="1:26" ht="19.5" hidden="1">
      <c r="A737" s="1319"/>
      <c r="B737" s="1320"/>
      <c r="C737" s="1320" t="s">
        <v>16</v>
      </c>
      <c r="D737" s="1351" t="s">
        <v>17</v>
      </c>
      <c r="E737" s="841"/>
      <c r="F737" s="841"/>
      <c r="G737" s="1322"/>
      <c r="H737" s="644" t="s">
        <v>12</v>
      </c>
      <c r="I737" s="886"/>
      <c r="J737" s="886"/>
      <c r="K737" s="887"/>
      <c r="L737" s="1352">
        <f t="shared" ref="L737:N737" si="294">L738+L739</f>
        <v>0</v>
      </c>
      <c r="M737" s="1352">
        <f t="shared" si="294"/>
        <v>0</v>
      </c>
      <c r="N737" s="1352">
        <f t="shared" si="294"/>
        <v>0</v>
      </c>
      <c r="O737" s="1352">
        <f t="shared" ref="O737:O742" si="295">IF(L737&gt;0,N737*100/L737,0)</f>
        <v>0</v>
      </c>
      <c r="P737" s="1352">
        <f t="shared" ref="P737:P742" si="296">IF(M737&gt;0,N737*100/M737,0)</f>
        <v>0</v>
      </c>
      <c r="Q737" s="1323"/>
      <c r="R737" s="1323"/>
      <c r="S737" s="1323"/>
      <c r="T737" s="1323"/>
      <c r="U737" s="1323"/>
      <c r="V737" s="1323"/>
      <c r="W737" s="1323"/>
      <c r="X737" s="1323"/>
      <c r="Y737" s="1323"/>
      <c r="Z737" s="1323"/>
    </row>
    <row r="738" spans="1:26" ht="18.75" hidden="1">
      <c r="A738" s="1319"/>
      <c r="B738" s="1320"/>
      <c r="C738" s="1320"/>
      <c r="D738" s="1321"/>
      <c r="E738" s="1320" t="s">
        <v>185</v>
      </c>
      <c r="F738" s="1320"/>
      <c r="G738" s="1322"/>
      <c r="H738" s="165" t="s">
        <v>12</v>
      </c>
      <c r="I738" s="886"/>
      <c r="J738" s="886"/>
      <c r="K738" s="887"/>
      <c r="L738" s="887">
        <f t="shared" ref="L738:N739" si="297">L741+L748</f>
        <v>0</v>
      </c>
      <c r="M738" s="887">
        <f t="shared" si="297"/>
        <v>0</v>
      </c>
      <c r="N738" s="887">
        <f t="shared" si="297"/>
        <v>0</v>
      </c>
      <c r="O738" s="887">
        <f t="shared" si="295"/>
        <v>0</v>
      </c>
      <c r="P738" s="887">
        <f t="shared" si="296"/>
        <v>0</v>
      </c>
      <c r="Q738" s="1323"/>
      <c r="R738" s="1323"/>
      <c r="S738" s="1323"/>
      <c r="T738" s="1323"/>
      <c r="U738" s="1323"/>
      <c r="V738" s="1323"/>
      <c r="W738" s="1323"/>
      <c r="X738" s="1323"/>
      <c r="Y738" s="1323"/>
      <c r="Z738" s="1323"/>
    </row>
    <row r="739" spans="1:26" ht="18.75" hidden="1">
      <c r="A739" s="1319"/>
      <c r="B739" s="1324"/>
      <c r="C739" s="1320"/>
      <c r="D739" s="1321"/>
      <c r="E739" s="1320" t="s">
        <v>186</v>
      </c>
      <c r="F739" s="1320"/>
      <c r="G739" s="1322"/>
      <c r="H739" s="165" t="s">
        <v>12</v>
      </c>
      <c r="I739" s="886"/>
      <c r="J739" s="886"/>
      <c r="K739" s="887"/>
      <c r="L739" s="887">
        <f t="shared" si="297"/>
        <v>0</v>
      </c>
      <c r="M739" s="887">
        <f t="shared" si="297"/>
        <v>0</v>
      </c>
      <c r="N739" s="887">
        <f t="shared" si="297"/>
        <v>0</v>
      </c>
      <c r="O739" s="887">
        <f t="shared" si="295"/>
        <v>0</v>
      </c>
      <c r="P739" s="887">
        <f t="shared" si="296"/>
        <v>0</v>
      </c>
      <c r="Q739" s="1323"/>
      <c r="R739" s="1323"/>
      <c r="S739" s="1323"/>
      <c r="T739" s="1323"/>
      <c r="U739" s="1323"/>
      <c r="V739" s="1323"/>
      <c r="W739" s="1323"/>
      <c r="X739" s="1323"/>
      <c r="Y739" s="1323"/>
      <c r="Z739" s="1323"/>
    </row>
    <row r="740" spans="1:26" ht="19.5" hidden="1">
      <c r="A740" s="1319"/>
      <c r="B740" s="1324"/>
      <c r="C740" s="1320"/>
      <c r="D740" s="1453" t="s">
        <v>20</v>
      </c>
      <c r="E740" s="1320"/>
      <c r="F740" s="1320"/>
      <c r="G740" s="1322"/>
      <c r="H740" s="644" t="s">
        <v>12</v>
      </c>
      <c r="I740" s="1000"/>
      <c r="J740" s="1000"/>
      <c r="K740" s="1001"/>
      <c r="L740" s="1352">
        <f t="shared" ref="L740:N740" si="298">L741+L742</f>
        <v>0</v>
      </c>
      <c r="M740" s="1352">
        <f t="shared" si="298"/>
        <v>0</v>
      </c>
      <c r="N740" s="1352">
        <f t="shared" si="298"/>
        <v>0</v>
      </c>
      <c r="O740" s="1352">
        <f t="shared" si="295"/>
        <v>0</v>
      </c>
      <c r="P740" s="1352">
        <f t="shared" si="296"/>
        <v>0</v>
      </c>
      <c r="Q740" s="1323"/>
      <c r="R740" s="1323"/>
      <c r="S740" s="1323"/>
      <c r="T740" s="1323"/>
      <c r="U740" s="1323"/>
      <c r="V740" s="1323"/>
      <c r="W740" s="1323"/>
      <c r="X740" s="1323"/>
      <c r="Y740" s="1323"/>
      <c r="Z740" s="1323"/>
    </row>
    <row r="741" spans="1:26" ht="18.75" hidden="1">
      <c r="A741" s="1319"/>
      <c r="B741" s="1324"/>
      <c r="C741" s="1320"/>
      <c r="D741" s="1321"/>
      <c r="E741" s="1320" t="s">
        <v>185</v>
      </c>
      <c r="F741" s="1320"/>
      <c r="G741" s="1322"/>
      <c r="H741" s="165" t="s">
        <v>12</v>
      </c>
      <c r="I741" s="886"/>
      <c r="J741" s="886"/>
      <c r="K741" s="887"/>
      <c r="L741" s="887">
        <v>0</v>
      </c>
      <c r="M741" s="887">
        <v>0</v>
      </c>
      <c r="N741" s="887">
        <v>0</v>
      </c>
      <c r="O741" s="887">
        <f t="shared" si="295"/>
        <v>0</v>
      </c>
      <c r="P741" s="887">
        <f t="shared" si="296"/>
        <v>0</v>
      </c>
      <c r="Q741" s="1323"/>
      <c r="R741" s="1323"/>
      <c r="S741" s="1323"/>
      <c r="T741" s="1323"/>
      <c r="U741" s="1323"/>
      <c r="V741" s="1323"/>
      <c r="W741" s="1323"/>
      <c r="X741" s="1323"/>
      <c r="Y741" s="1323"/>
      <c r="Z741" s="1323"/>
    </row>
    <row r="742" spans="1:26" ht="18.75" hidden="1">
      <c r="A742" s="1319"/>
      <c r="B742" s="1324"/>
      <c r="C742" s="1320"/>
      <c r="D742" s="1321"/>
      <c r="E742" s="1320" t="s">
        <v>186</v>
      </c>
      <c r="F742" s="1320"/>
      <c r="G742" s="1322"/>
      <c r="H742" s="165" t="s">
        <v>12</v>
      </c>
      <c r="I742" s="886"/>
      <c r="J742" s="886"/>
      <c r="K742" s="887"/>
      <c r="L742" s="887">
        <v>0</v>
      </c>
      <c r="M742" s="887">
        <v>0</v>
      </c>
      <c r="N742" s="887">
        <f>N743+N744+N745+N746</f>
        <v>0</v>
      </c>
      <c r="O742" s="887">
        <f t="shared" si="295"/>
        <v>0</v>
      </c>
      <c r="P742" s="887">
        <f t="shared" si="296"/>
        <v>0</v>
      </c>
      <c r="Q742" s="1323"/>
      <c r="R742" s="1323"/>
      <c r="S742" s="1323"/>
      <c r="T742" s="1323"/>
      <c r="U742" s="1323"/>
      <c r="V742" s="1323"/>
      <c r="W742" s="1323"/>
      <c r="X742" s="1323"/>
      <c r="Y742" s="1323"/>
      <c r="Z742" s="1323"/>
    </row>
    <row r="743" spans="1:26" ht="18.75" hidden="1">
      <c r="A743" s="1354"/>
      <c r="B743" s="1324"/>
      <c r="C743" s="1320"/>
      <c r="D743" s="1320"/>
      <c r="E743" s="1320"/>
      <c r="F743" s="1320" t="s">
        <v>187</v>
      </c>
      <c r="G743" s="1322"/>
      <c r="H743" s="165" t="s">
        <v>12</v>
      </c>
      <c r="I743" s="886"/>
      <c r="J743" s="886"/>
      <c r="K743" s="887"/>
      <c r="L743" s="887"/>
      <c r="M743" s="887"/>
      <c r="N743" s="887"/>
      <c r="O743" s="887"/>
      <c r="P743" s="887"/>
      <c r="Q743" s="1323"/>
      <c r="R743" s="1323"/>
      <c r="S743" s="1323"/>
      <c r="T743" s="1323"/>
      <c r="U743" s="1323"/>
      <c r="V743" s="1323"/>
      <c r="W743" s="1323"/>
      <c r="X743" s="1323"/>
      <c r="Y743" s="1323"/>
      <c r="Z743" s="1323"/>
    </row>
    <row r="744" spans="1:26" ht="18.75" hidden="1">
      <c r="A744" s="1354"/>
      <c r="B744" s="1324"/>
      <c r="C744" s="1320"/>
      <c r="D744" s="1320"/>
      <c r="E744" s="1320"/>
      <c r="F744" s="1320" t="s">
        <v>188</v>
      </c>
      <c r="G744" s="1322"/>
      <c r="H744" s="165" t="s">
        <v>12</v>
      </c>
      <c r="I744" s="886"/>
      <c r="J744" s="886"/>
      <c r="K744" s="887"/>
      <c r="L744" s="887"/>
      <c r="M744" s="887"/>
      <c r="N744" s="887"/>
      <c r="O744" s="887"/>
      <c r="P744" s="887"/>
      <c r="Q744" s="1323"/>
      <c r="R744" s="1323"/>
      <c r="S744" s="1323"/>
      <c r="T744" s="1323"/>
      <c r="U744" s="1323"/>
      <c r="V744" s="1323"/>
      <c r="W744" s="1323"/>
      <c r="X744" s="1323"/>
      <c r="Y744" s="1323"/>
      <c r="Z744" s="1323"/>
    </row>
    <row r="745" spans="1:26" ht="18.75" hidden="1">
      <c r="A745" s="1354"/>
      <c r="B745" s="1324"/>
      <c r="C745" s="1320"/>
      <c r="D745" s="1320"/>
      <c r="E745" s="1320"/>
      <c r="F745" s="1320" t="s">
        <v>189</v>
      </c>
      <c r="G745" s="1322"/>
      <c r="H745" s="165" t="s">
        <v>12</v>
      </c>
      <c r="I745" s="886"/>
      <c r="J745" s="886"/>
      <c r="K745" s="887"/>
      <c r="L745" s="887"/>
      <c r="M745" s="887"/>
      <c r="N745" s="887"/>
      <c r="O745" s="887"/>
      <c r="P745" s="887"/>
      <c r="Q745" s="1323"/>
      <c r="R745" s="1323"/>
      <c r="S745" s="1323"/>
      <c r="T745" s="1323"/>
      <c r="U745" s="1323"/>
      <c r="V745" s="1323"/>
      <c r="W745" s="1323"/>
      <c r="X745" s="1323"/>
      <c r="Y745" s="1323"/>
      <c r="Z745" s="1323"/>
    </row>
    <row r="746" spans="1:26" ht="18.75" hidden="1">
      <c r="A746" s="1354"/>
      <c r="B746" s="1324"/>
      <c r="C746" s="1320"/>
      <c r="D746" s="1320"/>
      <c r="E746" s="1320"/>
      <c r="F746" s="1320" t="s">
        <v>190</v>
      </c>
      <c r="G746" s="1322"/>
      <c r="H746" s="165" t="s">
        <v>12</v>
      </c>
      <c r="I746" s="886"/>
      <c r="J746" s="886"/>
      <c r="K746" s="887"/>
      <c r="L746" s="887"/>
      <c r="M746" s="887"/>
      <c r="N746" s="887"/>
      <c r="O746" s="887"/>
      <c r="P746" s="887"/>
      <c r="Q746" s="1323"/>
      <c r="R746" s="1323"/>
      <c r="S746" s="1323"/>
      <c r="T746" s="1323"/>
      <c r="U746" s="1323"/>
      <c r="V746" s="1323"/>
      <c r="W746" s="1323"/>
      <c r="X746" s="1323"/>
      <c r="Y746" s="1323"/>
      <c r="Z746" s="1323"/>
    </row>
    <row r="747" spans="1:26" ht="19.5" hidden="1">
      <c r="A747" s="1319"/>
      <c r="B747" s="1324"/>
      <c r="C747" s="1320"/>
      <c r="D747" s="1453" t="s">
        <v>21</v>
      </c>
      <c r="E747" s="1320"/>
      <c r="F747" s="1320"/>
      <c r="G747" s="1322"/>
      <c r="H747" s="781" t="s">
        <v>12</v>
      </c>
      <c r="I747" s="1000"/>
      <c r="J747" s="1000"/>
      <c r="K747" s="1001"/>
      <c r="L747" s="1352">
        <f t="shared" ref="L747:N747" si="299">L748+L749</f>
        <v>0</v>
      </c>
      <c r="M747" s="1352">
        <f t="shared" si="299"/>
        <v>0</v>
      </c>
      <c r="N747" s="1352">
        <f t="shared" si="299"/>
        <v>0</v>
      </c>
      <c r="O747" s="1352">
        <f t="shared" ref="O747:O749" si="300">IF(L747&gt;0,N747*100/L747,0)</f>
        <v>0</v>
      </c>
      <c r="P747" s="1352">
        <f t="shared" ref="P747:P749" si="301">IF(M747&gt;0,N747*100/M747,0)</f>
        <v>0</v>
      </c>
      <c r="Q747" s="1323"/>
      <c r="R747" s="1323"/>
      <c r="S747" s="1323"/>
      <c r="T747" s="1323"/>
      <c r="U747" s="1323"/>
      <c r="V747" s="1323"/>
      <c r="W747" s="1323"/>
      <c r="X747" s="1323"/>
      <c r="Y747" s="1323"/>
      <c r="Z747" s="1323"/>
    </row>
    <row r="748" spans="1:26" ht="18.75" hidden="1">
      <c r="A748" s="1319"/>
      <c r="B748" s="1324"/>
      <c r="C748" s="1320"/>
      <c r="D748" s="1320"/>
      <c r="E748" s="1320" t="s">
        <v>18</v>
      </c>
      <c r="F748" s="1320"/>
      <c r="G748" s="1322"/>
      <c r="H748" s="165" t="s">
        <v>12</v>
      </c>
      <c r="I748" s="1000"/>
      <c r="J748" s="1000"/>
      <c r="K748" s="1001"/>
      <c r="L748" s="887">
        <v>0</v>
      </c>
      <c r="M748" s="887">
        <v>0</v>
      </c>
      <c r="N748" s="887">
        <v>0</v>
      </c>
      <c r="O748" s="887">
        <f t="shared" si="300"/>
        <v>0</v>
      </c>
      <c r="P748" s="887">
        <f t="shared" si="301"/>
        <v>0</v>
      </c>
      <c r="Q748" s="1323"/>
      <c r="R748" s="1323"/>
      <c r="S748" s="1323"/>
      <c r="T748" s="1323"/>
      <c r="U748" s="1323"/>
      <c r="V748" s="1323"/>
      <c r="W748" s="1323"/>
      <c r="X748" s="1323"/>
      <c r="Y748" s="1323"/>
      <c r="Z748" s="1323"/>
    </row>
    <row r="749" spans="1:26" ht="18.75" hidden="1">
      <c r="A749" s="1319"/>
      <c r="B749" s="1324"/>
      <c r="C749" s="1320"/>
      <c r="D749" s="1320"/>
      <c r="E749" s="1320" t="s">
        <v>19</v>
      </c>
      <c r="F749" s="1320"/>
      <c r="G749" s="1322"/>
      <c r="H749" s="169" t="s">
        <v>12</v>
      </c>
      <c r="I749" s="1000"/>
      <c r="J749" s="1000"/>
      <c r="K749" s="1001"/>
      <c r="L749" s="887">
        <v>0</v>
      </c>
      <c r="M749" s="887">
        <v>0</v>
      </c>
      <c r="N749" s="887">
        <v>0</v>
      </c>
      <c r="O749" s="887">
        <f t="shared" si="300"/>
        <v>0</v>
      </c>
      <c r="P749" s="887">
        <f t="shared" si="301"/>
        <v>0</v>
      </c>
      <c r="Q749" s="1323"/>
      <c r="R749" s="1323"/>
      <c r="S749" s="1323"/>
      <c r="T749" s="1323"/>
      <c r="U749" s="1323"/>
      <c r="V749" s="1323"/>
      <c r="W749" s="1323"/>
      <c r="X749" s="1323"/>
      <c r="Y749" s="1323"/>
      <c r="Z749" s="1323"/>
    </row>
    <row r="750" spans="1:26" ht="19.5" hidden="1">
      <c r="A750" s="1332"/>
      <c r="B750" s="1333"/>
      <c r="C750" s="1320" t="s">
        <v>16</v>
      </c>
      <c r="D750" s="1454" t="s">
        <v>38</v>
      </c>
      <c r="E750" s="1356"/>
      <c r="F750" s="1356"/>
      <c r="G750" s="1357"/>
      <c r="H750" s="1113"/>
      <c r="I750" s="1000"/>
      <c r="J750" s="1000"/>
      <c r="K750" s="1001"/>
      <c r="L750" s="1001"/>
      <c r="M750" s="1001"/>
      <c r="N750" s="1001"/>
      <c r="O750" s="1001"/>
      <c r="P750" s="1001"/>
      <c r="Q750" s="1323"/>
      <c r="R750" s="1323"/>
      <c r="S750" s="1323"/>
      <c r="T750" s="1323"/>
      <c r="U750" s="1323"/>
      <c r="V750" s="1323"/>
      <c r="W750" s="1323"/>
      <c r="X750" s="1323"/>
      <c r="Y750" s="1323"/>
      <c r="Z750" s="1323"/>
    </row>
    <row r="751" spans="1:26" ht="18.75" hidden="1">
      <c r="A751" s="1354"/>
      <c r="B751" s="1324"/>
      <c r="C751" s="1320"/>
      <c r="D751" s="1320"/>
      <c r="E751" s="1320" t="s">
        <v>314</v>
      </c>
      <c r="F751" s="1320"/>
      <c r="G751" s="1322"/>
      <c r="H751" s="165" t="s">
        <v>46</v>
      </c>
      <c r="I751" s="886"/>
      <c r="J751" s="886"/>
      <c r="K751" s="887"/>
      <c r="L751" s="887"/>
      <c r="M751" s="887"/>
      <c r="N751" s="887"/>
      <c r="O751" s="887"/>
      <c r="P751" s="887"/>
      <c r="Q751" s="1323"/>
      <c r="R751" s="1323"/>
      <c r="S751" s="1323"/>
      <c r="T751" s="1323"/>
      <c r="U751" s="1323"/>
      <c r="V751" s="1323"/>
      <c r="W751" s="1323"/>
      <c r="X751" s="1323"/>
      <c r="Y751" s="1323"/>
      <c r="Z751" s="1323"/>
    </row>
    <row r="752" spans="1:26" ht="18.75" hidden="1">
      <c r="A752" s="1354"/>
      <c r="B752" s="1324"/>
      <c r="C752" s="1320"/>
      <c r="D752" s="1320"/>
      <c r="E752" s="1320"/>
      <c r="F752" s="1320"/>
      <c r="G752" s="1322"/>
      <c r="H752" s="165" t="s">
        <v>315</v>
      </c>
      <c r="I752" s="886"/>
      <c r="J752" s="886"/>
      <c r="K752" s="887"/>
      <c r="L752" s="887"/>
      <c r="M752" s="887"/>
      <c r="N752" s="887"/>
      <c r="O752" s="887"/>
      <c r="P752" s="887"/>
      <c r="Q752" s="1323"/>
      <c r="R752" s="1323"/>
      <c r="S752" s="1323"/>
      <c r="T752" s="1323"/>
      <c r="U752" s="1323"/>
      <c r="V752" s="1323"/>
      <c r="W752" s="1323"/>
      <c r="X752" s="1323"/>
      <c r="Y752" s="1323"/>
      <c r="Z752" s="1323"/>
    </row>
    <row r="753" spans="1:26" ht="19.5" hidden="1">
      <c r="A753" s="783">
        <v>10</v>
      </c>
      <c r="B753" s="1455" t="s">
        <v>316</v>
      </c>
      <c r="C753" s="1456"/>
      <c r="D753" s="1456"/>
      <c r="E753" s="1456"/>
      <c r="F753" s="1456"/>
      <c r="G753" s="1457"/>
      <c r="H753" s="787" t="s">
        <v>46</v>
      </c>
      <c r="I753" s="1458"/>
      <c r="J753" s="1458">
        <f>J768</f>
        <v>0</v>
      </c>
      <c r="K753" s="1459">
        <f>IF(I753&gt;0,J753*100/I753,0)</f>
        <v>0</v>
      </c>
      <c r="L753" s="1460"/>
      <c r="M753" s="1460"/>
      <c r="N753" s="1460"/>
      <c r="O753" s="1460"/>
      <c r="P753" s="1460"/>
      <c r="Q753" s="1323"/>
      <c r="R753" s="1323"/>
      <c r="S753" s="1323"/>
      <c r="T753" s="1323"/>
      <c r="U753" s="1323"/>
      <c r="V753" s="1323"/>
      <c r="W753" s="1323"/>
      <c r="X753" s="1323"/>
      <c r="Y753" s="1323"/>
      <c r="Z753" s="1323"/>
    </row>
    <row r="754" spans="1:26" ht="19.5" hidden="1">
      <c r="A754" s="1319"/>
      <c r="B754" s="1320"/>
      <c r="C754" s="1320" t="s">
        <v>16</v>
      </c>
      <c r="D754" s="1351" t="s">
        <v>17</v>
      </c>
      <c r="E754" s="841"/>
      <c r="F754" s="841"/>
      <c r="G754" s="1322"/>
      <c r="H754" s="644" t="s">
        <v>12</v>
      </c>
      <c r="I754" s="886"/>
      <c r="J754" s="886"/>
      <c r="K754" s="887"/>
      <c r="L754" s="1352">
        <f t="shared" ref="L754:N754" si="302">L755+L756</f>
        <v>0</v>
      </c>
      <c r="M754" s="1352">
        <f t="shared" si="302"/>
        <v>0</v>
      </c>
      <c r="N754" s="1352">
        <f t="shared" si="302"/>
        <v>0</v>
      </c>
      <c r="O754" s="1352">
        <f t="shared" ref="O754:O759" si="303">IF(L754&gt;0,N754*100/L754,0)</f>
        <v>0</v>
      </c>
      <c r="P754" s="1352">
        <f t="shared" ref="P754:P759" si="304">IF(M754&gt;0,N754*100/M754,0)</f>
        <v>0</v>
      </c>
      <c r="Q754" s="1323"/>
      <c r="R754" s="1323"/>
      <c r="S754" s="1323"/>
      <c r="T754" s="1323"/>
      <c r="U754" s="1323"/>
      <c r="V754" s="1323"/>
      <c r="W754" s="1323"/>
      <c r="X754" s="1323"/>
      <c r="Y754" s="1323"/>
      <c r="Z754" s="1323"/>
    </row>
    <row r="755" spans="1:26" ht="18.75" hidden="1">
      <c r="A755" s="1319"/>
      <c r="B755" s="1320"/>
      <c r="C755" s="1320"/>
      <c r="D755" s="1321"/>
      <c r="E755" s="1320" t="s">
        <v>185</v>
      </c>
      <c r="F755" s="1320"/>
      <c r="G755" s="1322"/>
      <c r="H755" s="165" t="s">
        <v>12</v>
      </c>
      <c r="I755" s="886"/>
      <c r="J755" s="886"/>
      <c r="K755" s="887"/>
      <c r="L755" s="887">
        <f t="shared" ref="L755:N756" si="305">L758+L765</f>
        <v>0</v>
      </c>
      <c r="M755" s="887">
        <f t="shared" si="305"/>
        <v>0</v>
      </c>
      <c r="N755" s="887">
        <f t="shared" si="305"/>
        <v>0</v>
      </c>
      <c r="O755" s="887">
        <f t="shared" si="303"/>
        <v>0</v>
      </c>
      <c r="P755" s="887">
        <f t="shared" si="304"/>
        <v>0</v>
      </c>
      <c r="Q755" s="1323"/>
      <c r="R755" s="1323"/>
      <c r="S755" s="1323"/>
      <c r="T755" s="1323"/>
      <c r="U755" s="1323"/>
      <c r="V755" s="1323"/>
      <c r="W755" s="1323"/>
      <c r="X755" s="1323"/>
      <c r="Y755" s="1323"/>
      <c r="Z755" s="1323"/>
    </row>
    <row r="756" spans="1:26" ht="18.75" hidden="1">
      <c r="A756" s="1319"/>
      <c r="B756" s="1324"/>
      <c r="C756" s="1320"/>
      <c r="D756" s="1321"/>
      <c r="E756" s="1320" t="s">
        <v>186</v>
      </c>
      <c r="F756" s="1320"/>
      <c r="G756" s="1322"/>
      <c r="H756" s="165" t="s">
        <v>12</v>
      </c>
      <c r="I756" s="886"/>
      <c r="J756" s="886"/>
      <c r="K756" s="887"/>
      <c r="L756" s="887">
        <f t="shared" si="305"/>
        <v>0</v>
      </c>
      <c r="M756" s="887">
        <f t="shared" si="305"/>
        <v>0</v>
      </c>
      <c r="N756" s="887">
        <f t="shared" si="305"/>
        <v>0</v>
      </c>
      <c r="O756" s="887">
        <f t="shared" si="303"/>
        <v>0</v>
      </c>
      <c r="P756" s="887">
        <f t="shared" si="304"/>
        <v>0</v>
      </c>
      <c r="Q756" s="1323"/>
      <c r="R756" s="1323"/>
      <c r="S756" s="1323"/>
      <c r="T756" s="1323"/>
      <c r="U756" s="1323"/>
      <c r="V756" s="1323"/>
      <c r="W756" s="1323"/>
      <c r="X756" s="1323"/>
      <c r="Y756" s="1323"/>
      <c r="Z756" s="1323"/>
    </row>
    <row r="757" spans="1:26" ht="19.5" hidden="1">
      <c r="A757" s="1319"/>
      <c r="B757" s="1324"/>
      <c r="C757" s="1320"/>
      <c r="D757" s="1453" t="s">
        <v>20</v>
      </c>
      <c r="E757" s="1320"/>
      <c r="F757" s="1320"/>
      <c r="G757" s="1322"/>
      <c r="H757" s="644" t="s">
        <v>12</v>
      </c>
      <c r="I757" s="1000"/>
      <c r="J757" s="1000"/>
      <c r="K757" s="1001"/>
      <c r="L757" s="1352">
        <f t="shared" ref="L757:N757" si="306">L758+L759</f>
        <v>0</v>
      </c>
      <c r="M757" s="1352">
        <f t="shared" si="306"/>
        <v>0</v>
      </c>
      <c r="N757" s="1352">
        <f t="shared" si="306"/>
        <v>0</v>
      </c>
      <c r="O757" s="1352">
        <f t="shared" si="303"/>
        <v>0</v>
      </c>
      <c r="P757" s="1352">
        <f t="shared" si="304"/>
        <v>0</v>
      </c>
      <c r="Q757" s="1323"/>
      <c r="R757" s="1323"/>
      <c r="S757" s="1323"/>
      <c r="T757" s="1323"/>
      <c r="U757" s="1323"/>
      <c r="V757" s="1323"/>
      <c r="W757" s="1323"/>
      <c r="X757" s="1323"/>
      <c r="Y757" s="1323"/>
      <c r="Z757" s="1323"/>
    </row>
    <row r="758" spans="1:26" ht="18.75" hidden="1">
      <c r="A758" s="1319"/>
      <c r="B758" s="1324"/>
      <c r="C758" s="1320"/>
      <c r="D758" s="1321"/>
      <c r="E758" s="1320" t="s">
        <v>185</v>
      </c>
      <c r="F758" s="1320"/>
      <c r="G758" s="1322"/>
      <c r="H758" s="165" t="s">
        <v>12</v>
      </c>
      <c r="I758" s="886"/>
      <c r="J758" s="886"/>
      <c r="K758" s="887"/>
      <c r="L758" s="887">
        <v>0</v>
      </c>
      <c r="M758" s="887">
        <v>0</v>
      </c>
      <c r="N758" s="887">
        <v>0</v>
      </c>
      <c r="O758" s="887">
        <f t="shared" si="303"/>
        <v>0</v>
      </c>
      <c r="P758" s="887">
        <f t="shared" si="304"/>
        <v>0</v>
      </c>
      <c r="Q758" s="1323"/>
      <c r="R758" s="1323"/>
      <c r="S758" s="1323"/>
      <c r="T758" s="1323"/>
      <c r="U758" s="1323"/>
      <c r="V758" s="1323"/>
      <c r="W758" s="1323"/>
      <c r="X758" s="1323"/>
      <c r="Y758" s="1323"/>
      <c r="Z758" s="1323"/>
    </row>
    <row r="759" spans="1:26" ht="18.75" hidden="1">
      <c r="A759" s="1319"/>
      <c r="B759" s="1324"/>
      <c r="C759" s="1320"/>
      <c r="D759" s="1321"/>
      <c r="E759" s="1320" t="s">
        <v>186</v>
      </c>
      <c r="F759" s="1320"/>
      <c r="G759" s="1322"/>
      <c r="H759" s="165" t="s">
        <v>12</v>
      </c>
      <c r="I759" s="886"/>
      <c r="J759" s="886"/>
      <c r="K759" s="887"/>
      <c r="L759" s="887">
        <v>0</v>
      </c>
      <c r="M759" s="887">
        <v>0</v>
      </c>
      <c r="N759" s="887">
        <f>N760+N761+N762+N763</f>
        <v>0</v>
      </c>
      <c r="O759" s="887">
        <f t="shared" si="303"/>
        <v>0</v>
      </c>
      <c r="P759" s="887">
        <f t="shared" si="304"/>
        <v>0</v>
      </c>
      <c r="Q759" s="1323"/>
      <c r="R759" s="1323"/>
      <c r="S759" s="1323"/>
      <c r="T759" s="1323"/>
      <c r="U759" s="1323"/>
      <c r="V759" s="1323"/>
      <c r="W759" s="1323"/>
      <c r="X759" s="1323"/>
      <c r="Y759" s="1323"/>
      <c r="Z759" s="1323"/>
    </row>
    <row r="760" spans="1:26" ht="18.75" hidden="1">
      <c r="A760" s="1354"/>
      <c r="B760" s="1324"/>
      <c r="C760" s="1320"/>
      <c r="D760" s="1320"/>
      <c r="E760" s="1320"/>
      <c r="F760" s="1320" t="s">
        <v>187</v>
      </c>
      <c r="G760" s="1322"/>
      <c r="H760" s="165" t="s">
        <v>12</v>
      </c>
      <c r="I760" s="886"/>
      <c r="J760" s="886"/>
      <c r="K760" s="887"/>
      <c r="L760" s="887"/>
      <c r="M760" s="887"/>
      <c r="N760" s="887"/>
      <c r="O760" s="887"/>
      <c r="P760" s="887"/>
      <c r="Q760" s="1323"/>
      <c r="R760" s="1323"/>
      <c r="S760" s="1323"/>
      <c r="T760" s="1323"/>
      <c r="U760" s="1323"/>
      <c r="V760" s="1323"/>
      <c r="W760" s="1323"/>
      <c r="X760" s="1323"/>
      <c r="Y760" s="1323"/>
      <c r="Z760" s="1323"/>
    </row>
    <row r="761" spans="1:26" ht="18.75" hidden="1">
      <c r="A761" s="1354"/>
      <c r="B761" s="1324"/>
      <c r="C761" s="1320"/>
      <c r="D761" s="1320"/>
      <c r="E761" s="1320"/>
      <c r="F761" s="1320" t="s">
        <v>188</v>
      </c>
      <c r="G761" s="1322"/>
      <c r="H761" s="165" t="s">
        <v>12</v>
      </c>
      <c r="I761" s="886"/>
      <c r="J761" s="886"/>
      <c r="K761" s="887"/>
      <c r="L761" s="887"/>
      <c r="M761" s="887"/>
      <c r="N761" s="887"/>
      <c r="O761" s="887"/>
      <c r="P761" s="887"/>
      <c r="Q761" s="1323"/>
      <c r="R761" s="1323"/>
      <c r="S761" s="1323"/>
      <c r="T761" s="1323"/>
      <c r="U761" s="1323"/>
      <c r="V761" s="1323"/>
      <c r="W761" s="1323"/>
      <c r="X761" s="1323"/>
      <c r="Y761" s="1323"/>
      <c r="Z761" s="1323"/>
    </row>
    <row r="762" spans="1:26" ht="18.75" hidden="1">
      <c r="A762" s="1354"/>
      <c r="B762" s="1324"/>
      <c r="C762" s="1320"/>
      <c r="D762" s="1320"/>
      <c r="E762" s="1320"/>
      <c r="F762" s="1320" t="s">
        <v>189</v>
      </c>
      <c r="G762" s="1322"/>
      <c r="H762" s="165" t="s">
        <v>12</v>
      </c>
      <c r="I762" s="886"/>
      <c r="J762" s="886"/>
      <c r="K762" s="887"/>
      <c r="L762" s="887"/>
      <c r="M762" s="887"/>
      <c r="N762" s="887"/>
      <c r="O762" s="887"/>
      <c r="P762" s="887"/>
      <c r="Q762" s="1323"/>
      <c r="R762" s="1323"/>
      <c r="S762" s="1323"/>
      <c r="T762" s="1323"/>
      <c r="U762" s="1323"/>
      <c r="V762" s="1323"/>
      <c r="W762" s="1323"/>
      <c r="X762" s="1323"/>
      <c r="Y762" s="1323"/>
      <c r="Z762" s="1323"/>
    </row>
    <row r="763" spans="1:26" ht="18.75" hidden="1">
      <c r="A763" s="1354"/>
      <c r="B763" s="1324"/>
      <c r="C763" s="1320"/>
      <c r="D763" s="1320"/>
      <c r="E763" s="1320"/>
      <c r="F763" s="1320" t="s">
        <v>190</v>
      </c>
      <c r="G763" s="1322"/>
      <c r="H763" s="165" t="s">
        <v>12</v>
      </c>
      <c r="I763" s="886"/>
      <c r="J763" s="886"/>
      <c r="K763" s="887"/>
      <c r="L763" s="887"/>
      <c r="M763" s="887"/>
      <c r="N763" s="887"/>
      <c r="O763" s="887"/>
      <c r="P763" s="887"/>
      <c r="Q763" s="1323"/>
      <c r="R763" s="1323"/>
      <c r="S763" s="1323"/>
      <c r="T763" s="1323"/>
      <c r="U763" s="1323"/>
      <c r="V763" s="1323"/>
      <c r="W763" s="1323"/>
      <c r="X763" s="1323"/>
      <c r="Y763" s="1323"/>
      <c r="Z763" s="1323"/>
    </row>
    <row r="764" spans="1:26" ht="19.5" hidden="1">
      <c r="A764" s="1319"/>
      <c r="B764" s="1324"/>
      <c r="C764" s="1320"/>
      <c r="D764" s="1453" t="s">
        <v>21</v>
      </c>
      <c r="E764" s="1320"/>
      <c r="F764" s="1320"/>
      <c r="G764" s="1322"/>
      <c r="H764" s="781" t="s">
        <v>12</v>
      </c>
      <c r="I764" s="1000"/>
      <c r="J764" s="1000"/>
      <c r="K764" s="1001"/>
      <c r="L764" s="1352">
        <f t="shared" ref="L764:N764" si="307">L765+L766</f>
        <v>0</v>
      </c>
      <c r="M764" s="1352">
        <f t="shared" si="307"/>
        <v>0</v>
      </c>
      <c r="N764" s="1352">
        <f t="shared" si="307"/>
        <v>0</v>
      </c>
      <c r="O764" s="1352">
        <f t="shared" ref="O764:O766" si="308">IF(L764&gt;0,N764*100/L764,0)</f>
        <v>0</v>
      </c>
      <c r="P764" s="1352">
        <f t="shared" ref="P764:P766" si="309">IF(M764&gt;0,N764*100/M764,0)</f>
        <v>0</v>
      </c>
      <c r="Q764" s="1323"/>
      <c r="R764" s="1323"/>
      <c r="S764" s="1323"/>
      <c r="T764" s="1323"/>
      <c r="U764" s="1323"/>
      <c r="V764" s="1323"/>
      <c r="W764" s="1323"/>
      <c r="X764" s="1323"/>
      <c r="Y764" s="1323"/>
      <c r="Z764" s="1323"/>
    </row>
    <row r="765" spans="1:26" ht="18.75" hidden="1">
      <c r="A765" s="1319"/>
      <c r="B765" s="1324"/>
      <c r="C765" s="1320"/>
      <c r="D765" s="1320"/>
      <c r="E765" s="1320" t="s">
        <v>18</v>
      </c>
      <c r="F765" s="1320"/>
      <c r="G765" s="1322"/>
      <c r="H765" s="165" t="s">
        <v>12</v>
      </c>
      <c r="I765" s="1000"/>
      <c r="J765" s="1000"/>
      <c r="K765" s="1001"/>
      <c r="L765" s="887">
        <v>0</v>
      </c>
      <c r="M765" s="887">
        <v>0</v>
      </c>
      <c r="N765" s="887">
        <v>0</v>
      </c>
      <c r="O765" s="887">
        <f t="shared" si="308"/>
        <v>0</v>
      </c>
      <c r="P765" s="887">
        <f t="shared" si="309"/>
        <v>0</v>
      </c>
      <c r="Q765" s="1323"/>
      <c r="R765" s="1323"/>
      <c r="S765" s="1323"/>
      <c r="T765" s="1323"/>
      <c r="U765" s="1323"/>
      <c r="V765" s="1323"/>
      <c r="W765" s="1323"/>
      <c r="X765" s="1323"/>
      <c r="Y765" s="1323"/>
      <c r="Z765" s="1323"/>
    </row>
    <row r="766" spans="1:26" ht="18.75" hidden="1">
      <c r="A766" s="1319"/>
      <c r="B766" s="1324"/>
      <c r="C766" s="1320"/>
      <c r="D766" s="1320"/>
      <c r="E766" s="1320" t="s">
        <v>19</v>
      </c>
      <c r="F766" s="1320"/>
      <c r="G766" s="1322"/>
      <c r="H766" s="169" t="s">
        <v>12</v>
      </c>
      <c r="I766" s="1000"/>
      <c r="J766" s="1000"/>
      <c r="K766" s="1001"/>
      <c r="L766" s="887">
        <v>0</v>
      </c>
      <c r="M766" s="887">
        <v>0</v>
      </c>
      <c r="N766" s="887">
        <v>0</v>
      </c>
      <c r="O766" s="887">
        <f t="shared" si="308"/>
        <v>0</v>
      </c>
      <c r="P766" s="887">
        <f t="shared" si="309"/>
        <v>0</v>
      </c>
      <c r="Q766" s="1323"/>
      <c r="R766" s="1323"/>
      <c r="S766" s="1323"/>
      <c r="T766" s="1323"/>
      <c r="U766" s="1323"/>
      <c r="V766" s="1323"/>
      <c r="W766" s="1323"/>
      <c r="X766" s="1323"/>
      <c r="Y766" s="1323"/>
      <c r="Z766" s="1323"/>
    </row>
    <row r="767" spans="1:26" ht="19.5" hidden="1">
      <c r="A767" s="1332"/>
      <c r="B767" s="1333"/>
      <c r="C767" s="1320" t="s">
        <v>16</v>
      </c>
      <c r="D767" s="1454" t="s">
        <v>38</v>
      </c>
      <c r="E767" s="1356"/>
      <c r="F767" s="1356"/>
      <c r="G767" s="1357"/>
      <c r="H767" s="1113"/>
      <c r="I767" s="1000"/>
      <c r="J767" s="1000"/>
      <c r="K767" s="1001"/>
      <c r="L767" s="1001"/>
      <c r="M767" s="1001"/>
      <c r="N767" s="1001"/>
      <c r="O767" s="1001"/>
      <c r="P767" s="1001"/>
      <c r="Q767" s="1323"/>
      <c r="R767" s="1323"/>
      <c r="S767" s="1323"/>
      <c r="T767" s="1323"/>
      <c r="U767" s="1323"/>
      <c r="V767" s="1323"/>
      <c r="W767" s="1323"/>
      <c r="X767" s="1323"/>
      <c r="Y767" s="1323"/>
      <c r="Z767" s="1323"/>
    </row>
    <row r="768" spans="1:26" ht="18.75" hidden="1">
      <c r="A768" s="1354"/>
      <c r="B768" s="1324"/>
      <c r="C768" s="1320"/>
      <c r="D768" s="1320"/>
      <c r="E768" s="1320" t="s">
        <v>317</v>
      </c>
      <c r="F768" s="1320"/>
      <c r="G768" s="1322"/>
      <c r="H768" s="165" t="s">
        <v>46</v>
      </c>
      <c r="I768" s="886"/>
      <c r="J768" s="886"/>
      <c r="K768" s="887"/>
      <c r="L768" s="887"/>
      <c r="M768" s="887"/>
      <c r="N768" s="887"/>
      <c r="O768" s="887"/>
      <c r="P768" s="887"/>
      <c r="Q768" s="1323"/>
      <c r="R768" s="1323"/>
      <c r="S768" s="1323"/>
      <c r="T768" s="1323"/>
      <c r="U768" s="1323"/>
      <c r="V768" s="1323"/>
      <c r="W768" s="1323"/>
      <c r="X768" s="1323"/>
      <c r="Y768" s="1323"/>
      <c r="Z768" s="1323"/>
    </row>
    <row r="769" spans="1:26" ht="19.5" hidden="1">
      <c r="A769" s="791">
        <v>11</v>
      </c>
      <c r="B769" s="1461" t="s">
        <v>318</v>
      </c>
      <c r="C769" s="1462"/>
      <c r="D769" s="1462"/>
      <c r="E769" s="1462"/>
      <c r="F769" s="1462"/>
      <c r="G769" s="1463"/>
      <c r="H769" s="795" t="s">
        <v>46</v>
      </c>
      <c r="I769" s="1464"/>
      <c r="J769" s="1464">
        <f>J784</f>
        <v>0</v>
      </c>
      <c r="K769" s="1465">
        <f>IF(I769&gt;0,J769*100/I769,0)</f>
        <v>0</v>
      </c>
      <c r="L769" s="1466"/>
      <c r="M769" s="1466"/>
      <c r="N769" s="1466"/>
      <c r="O769" s="1466"/>
      <c r="P769" s="1466"/>
      <c r="Q769" s="1323"/>
      <c r="R769" s="1323"/>
      <c r="S769" s="1323"/>
      <c r="T769" s="1323"/>
      <c r="U769" s="1323"/>
      <c r="V769" s="1323"/>
      <c r="W769" s="1323"/>
      <c r="X769" s="1323"/>
      <c r="Y769" s="1323"/>
      <c r="Z769" s="1323"/>
    </row>
    <row r="770" spans="1:26" ht="19.5" hidden="1">
      <c r="A770" s="1319"/>
      <c r="B770" s="1320"/>
      <c r="C770" s="1320" t="s">
        <v>16</v>
      </c>
      <c r="D770" s="1351" t="s">
        <v>17</v>
      </c>
      <c r="E770" s="841"/>
      <c r="F770" s="841"/>
      <c r="G770" s="1322"/>
      <c r="H770" s="644" t="s">
        <v>12</v>
      </c>
      <c r="I770" s="886"/>
      <c r="J770" s="886"/>
      <c r="K770" s="887"/>
      <c r="L770" s="1352">
        <f t="shared" ref="L770:N770" si="310">L771+L772</f>
        <v>0</v>
      </c>
      <c r="M770" s="1352">
        <f t="shared" si="310"/>
        <v>0</v>
      </c>
      <c r="N770" s="1352">
        <f t="shared" si="310"/>
        <v>0</v>
      </c>
      <c r="O770" s="1352">
        <f t="shared" ref="O770:O775" si="311">IF(L770&gt;0,N770*100/L770,0)</f>
        <v>0</v>
      </c>
      <c r="P770" s="1352">
        <f t="shared" ref="P770:P775" si="312">IF(M770&gt;0,N770*100/M770,0)</f>
        <v>0</v>
      </c>
      <c r="Q770" s="1323"/>
      <c r="R770" s="1323"/>
      <c r="S770" s="1323"/>
      <c r="T770" s="1323"/>
      <c r="U770" s="1323"/>
      <c r="V770" s="1323"/>
      <c r="W770" s="1323"/>
      <c r="X770" s="1323"/>
      <c r="Y770" s="1323"/>
      <c r="Z770" s="1323"/>
    </row>
    <row r="771" spans="1:26" ht="18.75" hidden="1">
      <c r="A771" s="1319"/>
      <c r="B771" s="1320"/>
      <c r="C771" s="1320"/>
      <c r="D771" s="1321"/>
      <c r="E771" s="1320" t="s">
        <v>185</v>
      </c>
      <c r="F771" s="1320"/>
      <c r="G771" s="1322"/>
      <c r="H771" s="165" t="s">
        <v>12</v>
      </c>
      <c r="I771" s="886"/>
      <c r="J771" s="886"/>
      <c r="K771" s="887"/>
      <c r="L771" s="887">
        <f t="shared" ref="L771:N772" si="313">L774+L781</f>
        <v>0</v>
      </c>
      <c r="M771" s="887">
        <f t="shared" si="313"/>
        <v>0</v>
      </c>
      <c r="N771" s="887">
        <f t="shared" si="313"/>
        <v>0</v>
      </c>
      <c r="O771" s="887">
        <f t="shared" si="311"/>
        <v>0</v>
      </c>
      <c r="P771" s="887">
        <f t="shared" si="312"/>
        <v>0</v>
      </c>
      <c r="Q771" s="1323"/>
      <c r="R771" s="1323"/>
      <c r="S771" s="1323"/>
      <c r="T771" s="1323"/>
      <c r="U771" s="1323"/>
      <c r="V771" s="1323"/>
      <c r="W771" s="1323"/>
      <c r="X771" s="1323"/>
      <c r="Y771" s="1323"/>
      <c r="Z771" s="1323"/>
    </row>
    <row r="772" spans="1:26" ht="18.75" hidden="1">
      <c r="A772" s="1319"/>
      <c r="B772" s="1324"/>
      <c r="C772" s="1320"/>
      <c r="D772" s="1321"/>
      <c r="E772" s="1320" t="s">
        <v>186</v>
      </c>
      <c r="F772" s="1320"/>
      <c r="G772" s="1322"/>
      <c r="H772" s="165" t="s">
        <v>12</v>
      </c>
      <c r="I772" s="886"/>
      <c r="J772" s="886"/>
      <c r="K772" s="887"/>
      <c r="L772" s="887">
        <f t="shared" si="313"/>
        <v>0</v>
      </c>
      <c r="M772" s="887">
        <f t="shared" si="313"/>
        <v>0</v>
      </c>
      <c r="N772" s="887">
        <f t="shared" si="313"/>
        <v>0</v>
      </c>
      <c r="O772" s="887">
        <f t="shared" si="311"/>
        <v>0</v>
      </c>
      <c r="P772" s="887">
        <f t="shared" si="312"/>
        <v>0</v>
      </c>
      <c r="Q772" s="1323"/>
      <c r="R772" s="1323"/>
      <c r="S772" s="1323"/>
      <c r="T772" s="1323"/>
      <c r="U772" s="1323"/>
      <c r="V772" s="1323"/>
      <c r="W772" s="1323"/>
      <c r="X772" s="1323"/>
      <c r="Y772" s="1323"/>
      <c r="Z772" s="1323"/>
    </row>
    <row r="773" spans="1:26" ht="19.5" hidden="1">
      <c r="A773" s="1319"/>
      <c r="B773" s="1324"/>
      <c r="C773" s="1320"/>
      <c r="D773" s="1453" t="s">
        <v>20</v>
      </c>
      <c r="E773" s="1320"/>
      <c r="F773" s="1320"/>
      <c r="G773" s="1322"/>
      <c r="H773" s="644" t="s">
        <v>12</v>
      </c>
      <c r="I773" s="1000"/>
      <c r="J773" s="1000"/>
      <c r="K773" s="1001"/>
      <c r="L773" s="1352">
        <f t="shared" ref="L773:N773" si="314">L774+L775</f>
        <v>0</v>
      </c>
      <c r="M773" s="1352">
        <f t="shared" si="314"/>
        <v>0</v>
      </c>
      <c r="N773" s="1352">
        <f t="shared" si="314"/>
        <v>0</v>
      </c>
      <c r="O773" s="1352">
        <f t="shared" si="311"/>
        <v>0</v>
      </c>
      <c r="P773" s="1352">
        <f t="shared" si="312"/>
        <v>0</v>
      </c>
      <c r="Q773" s="1323"/>
      <c r="R773" s="1323"/>
      <c r="S773" s="1323"/>
      <c r="T773" s="1323"/>
      <c r="U773" s="1323"/>
      <c r="V773" s="1323"/>
      <c r="W773" s="1323"/>
      <c r="X773" s="1323"/>
      <c r="Y773" s="1323"/>
      <c r="Z773" s="1323"/>
    </row>
    <row r="774" spans="1:26" ht="18.75" hidden="1">
      <c r="A774" s="1319"/>
      <c r="B774" s="1324"/>
      <c r="C774" s="1320"/>
      <c r="D774" s="1321"/>
      <c r="E774" s="1320" t="s">
        <v>185</v>
      </c>
      <c r="F774" s="1320"/>
      <c r="G774" s="1322"/>
      <c r="H774" s="165" t="s">
        <v>12</v>
      </c>
      <c r="I774" s="886"/>
      <c r="J774" s="886"/>
      <c r="K774" s="887"/>
      <c r="L774" s="887">
        <v>0</v>
      </c>
      <c r="M774" s="887">
        <v>0</v>
      </c>
      <c r="N774" s="887">
        <v>0</v>
      </c>
      <c r="O774" s="887">
        <f t="shared" si="311"/>
        <v>0</v>
      </c>
      <c r="P774" s="887">
        <f t="shared" si="312"/>
        <v>0</v>
      </c>
      <c r="Q774" s="1323"/>
      <c r="R774" s="1323"/>
      <c r="S774" s="1323"/>
      <c r="T774" s="1323"/>
      <c r="U774" s="1323"/>
      <c r="V774" s="1323"/>
      <c r="W774" s="1323"/>
      <c r="X774" s="1323"/>
      <c r="Y774" s="1323"/>
      <c r="Z774" s="1323"/>
    </row>
    <row r="775" spans="1:26" ht="18.75" hidden="1">
      <c r="A775" s="1319"/>
      <c r="B775" s="1324"/>
      <c r="C775" s="1320"/>
      <c r="D775" s="1321"/>
      <c r="E775" s="1320" t="s">
        <v>186</v>
      </c>
      <c r="F775" s="1320"/>
      <c r="G775" s="1322"/>
      <c r="H775" s="165" t="s">
        <v>12</v>
      </c>
      <c r="I775" s="886"/>
      <c r="J775" s="886"/>
      <c r="K775" s="887"/>
      <c r="L775" s="887">
        <v>0</v>
      </c>
      <c r="M775" s="887">
        <v>0</v>
      </c>
      <c r="N775" s="887">
        <f>N776+N777+N778+N779</f>
        <v>0</v>
      </c>
      <c r="O775" s="887">
        <f t="shared" si="311"/>
        <v>0</v>
      </c>
      <c r="P775" s="887">
        <f t="shared" si="312"/>
        <v>0</v>
      </c>
      <c r="Q775" s="1323"/>
      <c r="R775" s="1323"/>
      <c r="S775" s="1323"/>
      <c r="T775" s="1323"/>
      <c r="U775" s="1323"/>
      <c r="V775" s="1323"/>
      <c r="W775" s="1323"/>
      <c r="X775" s="1323"/>
      <c r="Y775" s="1323"/>
      <c r="Z775" s="1323"/>
    </row>
    <row r="776" spans="1:26" ht="18.75" hidden="1">
      <c r="A776" s="1354"/>
      <c r="B776" s="1324"/>
      <c r="C776" s="1320"/>
      <c r="D776" s="1320"/>
      <c r="E776" s="1320"/>
      <c r="F776" s="1320" t="s">
        <v>187</v>
      </c>
      <c r="G776" s="1322"/>
      <c r="H776" s="165" t="s">
        <v>12</v>
      </c>
      <c r="I776" s="886"/>
      <c r="J776" s="886"/>
      <c r="K776" s="887"/>
      <c r="L776" s="887"/>
      <c r="M776" s="887"/>
      <c r="N776" s="887"/>
      <c r="O776" s="887"/>
      <c r="P776" s="887"/>
      <c r="Q776" s="1323"/>
      <c r="R776" s="1323"/>
      <c r="S776" s="1323"/>
      <c r="T776" s="1323"/>
      <c r="U776" s="1323"/>
      <c r="V776" s="1323"/>
      <c r="W776" s="1323"/>
      <c r="X776" s="1323"/>
      <c r="Y776" s="1323"/>
      <c r="Z776" s="1323"/>
    </row>
    <row r="777" spans="1:26" ht="18.75" hidden="1">
      <c r="A777" s="1354"/>
      <c r="B777" s="1324"/>
      <c r="C777" s="1320"/>
      <c r="D777" s="1320"/>
      <c r="E777" s="1320"/>
      <c r="F777" s="1320" t="s">
        <v>188</v>
      </c>
      <c r="G777" s="1322"/>
      <c r="H777" s="165" t="s">
        <v>12</v>
      </c>
      <c r="I777" s="886"/>
      <c r="J777" s="886"/>
      <c r="K777" s="887"/>
      <c r="L777" s="887"/>
      <c r="M777" s="887"/>
      <c r="N777" s="887"/>
      <c r="O777" s="887"/>
      <c r="P777" s="887"/>
      <c r="Q777" s="1323"/>
      <c r="R777" s="1323"/>
      <c r="S777" s="1323"/>
      <c r="T777" s="1323"/>
      <c r="U777" s="1323"/>
      <c r="V777" s="1323"/>
      <c r="W777" s="1323"/>
      <c r="X777" s="1323"/>
      <c r="Y777" s="1323"/>
      <c r="Z777" s="1323"/>
    </row>
    <row r="778" spans="1:26" ht="18.75" hidden="1">
      <c r="A778" s="1354"/>
      <c r="B778" s="1324"/>
      <c r="C778" s="1320"/>
      <c r="D778" s="1320"/>
      <c r="E778" s="1320"/>
      <c r="F778" s="1320" t="s">
        <v>189</v>
      </c>
      <c r="G778" s="1322"/>
      <c r="H778" s="165" t="s">
        <v>12</v>
      </c>
      <c r="I778" s="886"/>
      <c r="J778" s="886"/>
      <c r="K778" s="887"/>
      <c r="L778" s="887"/>
      <c r="M778" s="887"/>
      <c r="N778" s="887"/>
      <c r="O778" s="887"/>
      <c r="P778" s="887"/>
      <c r="Q778" s="1323"/>
      <c r="R778" s="1323"/>
      <c r="S778" s="1323"/>
      <c r="T778" s="1323"/>
      <c r="U778" s="1323"/>
      <c r="V778" s="1323"/>
      <c r="W778" s="1323"/>
      <c r="X778" s="1323"/>
      <c r="Y778" s="1323"/>
      <c r="Z778" s="1323"/>
    </row>
    <row r="779" spans="1:26" ht="18.75" hidden="1">
      <c r="A779" s="1354"/>
      <c r="B779" s="1324"/>
      <c r="C779" s="1320"/>
      <c r="D779" s="1320"/>
      <c r="E779" s="1320"/>
      <c r="F779" s="1320" t="s">
        <v>190</v>
      </c>
      <c r="G779" s="1322"/>
      <c r="H779" s="165" t="s">
        <v>12</v>
      </c>
      <c r="I779" s="886"/>
      <c r="J779" s="886"/>
      <c r="K779" s="887"/>
      <c r="L779" s="887"/>
      <c r="M779" s="887"/>
      <c r="N779" s="887"/>
      <c r="O779" s="887"/>
      <c r="P779" s="887"/>
      <c r="Q779" s="1323"/>
      <c r="R779" s="1323"/>
      <c r="S779" s="1323"/>
      <c r="T779" s="1323"/>
      <c r="U779" s="1323"/>
      <c r="V779" s="1323"/>
      <c r="W779" s="1323"/>
      <c r="X779" s="1323"/>
      <c r="Y779" s="1323"/>
      <c r="Z779" s="1323"/>
    </row>
    <row r="780" spans="1:26" ht="19.5" hidden="1">
      <c r="A780" s="1319"/>
      <c r="B780" s="1324"/>
      <c r="C780" s="1320"/>
      <c r="D780" s="1453" t="s">
        <v>21</v>
      </c>
      <c r="E780" s="1320"/>
      <c r="F780" s="1320"/>
      <c r="G780" s="1322"/>
      <c r="H780" s="781" t="s">
        <v>12</v>
      </c>
      <c r="I780" s="1000"/>
      <c r="J780" s="1000"/>
      <c r="K780" s="1001"/>
      <c r="L780" s="1352">
        <f t="shared" ref="L780:N780" si="315">L781+L782</f>
        <v>0</v>
      </c>
      <c r="M780" s="1352">
        <f t="shared" si="315"/>
        <v>0</v>
      </c>
      <c r="N780" s="1352">
        <f t="shared" si="315"/>
        <v>0</v>
      </c>
      <c r="O780" s="1352">
        <f t="shared" ref="O780:O782" si="316">IF(L780&gt;0,N780*100/L780,0)</f>
        <v>0</v>
      </c>
      <c r="P780" s="1352">
        <f t="shared" ref="P780:P782" si="317">IF(M780&gt;0,N780*100/M780,0)</f>
        <v>0</v>
      </c>
      <c r="Q780" s="1323"/>
      <c r="R780" s="1323"/>
      <c r="S780" s="1323"/>
      <c r="T780" s="1323"/>
      <c r="U780" s="1323"/>
      <c r="V780" s="1323"/>
      <c r="W780" s="1323"/>
      <c r="X780" s="1323"/>
      <c r="Y780" s="1323"/>
      <c r="Z780" s="1323"/>
    </row>
    <row r="781" spans="1:26" ht="18.75" hidden="1">
      <c r="A781" s="1319"/>
      <c r="B781" s="1324"/>
      <c r="C781" s="1320"/>
      <c r="D781" s="1320"/>
      <c r="E781" s="1320" t="s">
        <v>18</v>
      </c>
      <c r="F781" s="1320"/>
      <c r="G781" s="1322"/>
      <c r="H781" s="165" t="s">
        <v>12</v>
      </c>
      <c r="I781" s="1000"/>
      <c r="J781" s="1000"/>
      <c r="K781" s="1001"/>
      <c r="L781" s="887">
        <v>0</v>
      </c>
      <c r="M781" s="887">
        <v>0</v>
      </c>
      <c r="N781" s="887">
        <v>0</v>
      </c>
      <c r="O781" s="887">
        <f t="shared" si="316"/>
        <v>0</v>
      </c>
      <c r="P781" s="887">
        <f t="shared" si="317"/>
        <v>0</v>
      </c>
      <c r="Q781" s="1323"/>
      <c r="R781" s="1323"/>
      <c r="S781" s="1323"/>
      <c r="T781" s="1323"/>
      <c r="U781" s="1323"/>
      <c r="V781" s="1323"/>
      <c r="W781" s="1323"/>
      <c r="X781" s="1323"/>
      <c r="Y781" s="1323"/>
      <c r="Z781" s="1323"/>
    </row>
    <row r="782" spans="1:26" ht="18.75" hidden="1">
      <c r="A782" s="1319"/>
      <c r="B782" s="1324"/>
      <c r="C782" s="1320"/>
      <c r="D782" s="1320"/>
      <c r="E782" s="1320" t="s">
        <v>19</v>
      </c>
      <c r="F782" s="1320"/>
      <c r="G782" s="1322"/>
      <c r="H782" s="169" t="s">
        <v>12</v>
      </c>
      <c r="I782" s="1000"/>
      <c r="J782" s="1000"/>
      <c r="K782" s="1001"/>
      <c r="L782" s="887">
        <v>0</v>
      </c>
      <c r="M782" s="887">
        <v>0</v>
      </c>
      <c r="N782" s="887">
        <v>0</v>
      </c>
      <c r="O782" s="887">
        <f t="shared" si="316"/>
        <v>0</v>
      </c>
      <c r="P782" s="887">
        <f t="shared" si="317"/>
        <v>0</v>
      </c>
      <c r="Q782" s="1323"/>
      <c r="R782" s="1323"/>
      <c r="S782" s="1323"/>
      <c r="T782" s="1323"/>
      <c r="U782" s="1323"/>
      <c r="V782" s="1323"/>
      <c r="W782" s="1323"/>
      <c r="X782" s="1323"/>
      <c r="Y782" s="1323"/>
      <c r="Z782" s="1323"/>
    </row>
    <row r="783" spans="1:26" ht="19.5" hidden="1">
      <c r="A783" s="1332"/>
      <c r="B783" s="1333"/>
      <c r="C783" s="1320" t="s">
        <v>16</v>
      </c>
      <c r="D783" s="1454" t="s">
        <v>38</v>
      </c>
      <c r="E783" s="1356"/>
      <c r="F783" s="1356"/>
      <c r="G783" s="1357"/>
      <c r="H783" s="1467"/>
      <c r="I783" s="1000"/>
      <c r="J783" s="1000"/>
      <c r="K783" s="1001"/>
      <c r="L783" s="1001"/>
      <c r="M783" s="1001"/>
      <c r="N783" s="1001"/>
      <c r="O783" s="1001"/>
      <c r="P783" s="1001"/>
      <c r="Q783" s="1323"/>
      <c r="R783" s="1323"/>
      <c r="S783" s="1323"/>
      <c r="T783" s="1323"/>
      <c r="U783" s="1323"/>
      <c r="V783" s="1323"/>
      <c r="W783" s="1323"/>
      <c r="X783" s="1323"/>
      <c r="Y783" s="1323"/>
      <c r="Z783" s="1323"/>
    </row>
    <row r="784" spans="1:26" ht="18.75" hidden="1">
      <c r="A784" s="1354"/>
      <c r="B784" s="1324"/>
      <c r="C784" s="1320"/>
      <c r="D784" s="1320"/>
      <c r="E784" s="1320" t="s">
        <v>319</v>
      </c>
      <c r="F784" s="1320"/>
      <c r="G784" s="1322"/>
      <c r="H784" s="165" t="s">
        <v>46</v>
      </c>
      <c r="I784" s="886"/>
      <c r="J784" s="886"/>
      <c r="K784" s="887"/>
      <c r="L784" s="887"/>
      <c r="M784" s="887"/>
      <c r="N784" s="887"/>
      <c r="O784" s="887"/>
      <c r="P784" s="887"/>
      <c r="Q784" s="1323"/>
      <c r="R784" s="1323"/>
      <c r="S784" s="1323"/>
      <c r="T784" s="1323"/>
      <c r="U784" s="1323"/>
      <c r="V784" s="1323"/>
      <c r="W784" s="1323"/>
      <c r="X784" s="1323"/>
      <c r="Y784" s="1323"/>
      <c r="Z784" s="1323"/>
    </row>
    <row r="785" spans="1:26" ht="19.5" hidden="1">
      <c r="A785" s="800">
        <v>12</v>
      </c>
      <c r="B785" s="1468" t="s">
        <v>320</v>
      </c>
      <c r="C785" s="1469"/>
      <c r="D785" s="1469"/>
      <c r="E785" s="1469"/>
      <c r="F785" s="1469"/>
      <c r="G785" s="1470"/>
      <c r="H785" s="804" t="s">
        <v>46</v>
      </c>
      <c r="I785" s="1471">
        <f t="shared" ref="I785:J785" ca="1" si="318">I800</f>
        <v>0</v>
      </c>
      <c r="J785" s="1472">
        <f t="shared" ca="1" si="318"/>
        <v>0</v>
      </c>
      <c r="K785" s="1473">
        <f ca="1">IF(I785&gt;0,J785*100/I785,0)</f>
        <v>0</v>
      </c>
      <c r="L785" s="1474"/>
      <c r="M785" s="1474"/>
      <c r="N785" s="1474"/>
      <c r="O785" s="1474"/>
      <c r="P785" s="1474"/>
      <c r="Q785" s="1302"/>
      <c r="R785" s="1302"/>
      <c r="S785" s="1302"/>
      <c r="T785" s="1302"/>
      <c r="U785" s="1302"/>
      <c r="V785" s="1302"/>
      <c r="W785" s="1302"/>
      <c r="X785" s="1302"/>
      <c r="Y785" s="1302"/>
      <c r="Z785" s="1302"/>
    </row>
    <row r="786" spans="1:26" ht="19.5" hidden="1">
      <c r="A786" s="1317"/>
      <c r="B786" s="1300"/>
      <c r="C786" s="1301" t="s">
        <v>16</v>
      </c>
      <c r="D786" s="1318" t="s">
        <v>17</v>
      </c>
      <c r="E786" s="841"/>
      <c r="F786" s="841"/>
      <c r="G786" s="1016"/>
      <c r="H786" s="597" t="s">
        <v>12</v>
      </c>
      <c r="I786" s="880"/>
      <c r="J786" s="880"/>
      <c r="K786" s="881"/>
      <c r="L786" s="1020">
        <f t="shared" ref="L786:N786" ca="1" si="319">L787+L788</f>
        <v>0</v>
      </c>
      <c r="M786" s="1020">
        <f t="shared" si="319"/>
        <v>0</v>
      </c>
      <c r="N786" s="1020">
        <f t="shared" si="319"/>
        <v>0</v>
      </c>
      <c r="O786" s="1020">
        <f t="shared" ref="O786:O791" ca="1" si="320">IF(L786&gt;0,N786*100/L786,0)</f>
        <v>0</v>
      </c>
      <c r="P786" s="1020">
        <f t="shared" ref="P786:P791" si="321">IF(M786&gt;0,N786*100/M786,0)</f>
        <v>0</v>
      </c>
      <c r="Q786" s="1302"/>
      <c r="R786" s="1302"/>
      <c r="S786" s="1302"/>
      <c r="T786" s="1302"/>
      <c r="U786" s="1302"/>
      <c r="V786" s="1302"/>
      <c r="W786" s="1302"/>
      <c r="X786" s="1302"/>
      <c r="Y786" s="1302"/>
      <c r="Z786" s="1302"/>
    </row>
    <row r="787" spans="1:26" ht="18.75" hidden="1">
      <c r="A787" s="1319"/>
      <c r="B787" s="1324"/>
      <c r="C787" s="1320"/>
      <c r="D787" s="1321"/>
      <c r="E787" s="1320" t="s">
        <v>185</v>
      </c>
      <c r="F787" s="1320"/>
      <c r="G787" s="1322"/>
      <c r="H787" s="165" t="s">
        <v>12</v>
      </c>
      <c r="I787" s="886"/>
      <c r="J787" s="886"/>
      <c r="K787" s="887"/>
      <c r="L787" s="887">
        <f t="shared" ref="L787:N788" si="322">L790+L797</f>
        <v>0</v>
      </c>
      <c r="M787" s="887">
        <f t="shared" si="322"/>
        <v>0</v>
      </c>
      <c r="N787" s="887">
        <f t="shared" si="322"/>
        <v>0</v>
      </c>
      <c r="O787" s="887">
        <f t="shared" si="320"/>
        <v>0</v>
      </c>
      <c r="P787" s="887">
        <f t="shared" si="321"/>
        <v>0</v>
      </c>
      <c r="Q787" s="1323"/>
      <c r="R787" s="1323"/>
      <c r="S787" s="1323"/>
      <c r="T787" s="1323"/>
      <c r="U787" s="1323"/>
      <c r="V787" s="1323"/>
      <c r="W787" s="1323"/>
      <c r="X787" s="1323"/>
      <c r="Y787" s="1323"/>
      <c r="Z787" s="1323"/>
    </row>
    <row r="788" spans="1:26" ht="18.75" hidden="1">
      <c r="A788" s="1319"/>
      <c r="B788" s="1324"/>
      <c r="C788" s="1324"/>
      <c r="D788" s="1333"/>
      <c r="E788" s="1320" t="s">
        <v>186</v>
      </c>
      <c r="F788" s="1320"/>
      <c r="G788" s="1322"/>
      <c r="H788" s="165" t="s">
        <v>12</v>
      </c>
      <c r="I788" s="886"/>
      <c r="J788" s="886"/>
      <c r="K788" s="887"/>
      <c r="L788" s="887">
        <f t="shared" ca="1" si="322"/>
        <v>0</v>
      </c>
      <c r="M788" s="887">
        <f t="shared" si="322"/>
        <v>0</v>
      </c>
      <c r="N788" s="887">
        <f t="shared" si="322"/>
        <v>0</v>
      </c>
      <c r="O788" s="887">
        <f t="shared" ca="1" si="320"/>
        <v>0</v>
      </c>
      <c r="P788" s="887">
        <f t="shared" si="321"/>
        <v>0</v>
      </c>
      <c r="Q788" s="1323"/>
      <c r="R788" s="1323"/>
      <c r="S788" s="1323"/>
      <c r="T788" s="1323"/>
      <c r="U788" s="1323"/>
      <c r="V788" s="1323"/>
      <c r="W788" s="1323"/>
      <c r="X788" s="1323"/>
      <c r="Y788" s="1323"/>
      <c r="Z788" s="1323"/>
    </row>
    <row r="789" spans="1:26" ht="18.75" hidden="1">
      <c r="A789" s="1317"/>
      <c r="B789" s="1300"/>
      <c r="C789" s="1300"/>
      <c r="D789" s="1325" t="s">
        <v>20</v>
      </c>
      <c r="E789" s="1301"/>
      <c r="F789" s="1301"/>
      <c r="G789" s="1016"/>
      <c r="H789" s="161" t="s">
        <v>12</v>
      </c>
      <c r="I789" s="997"/>
      <c r="J789" s="997"/>
      <c r="K789" s="998"/>
      <c r="L789" s="881">
        <f t="shared" ref="L789:N789" ca="1" si="323">L790+L791</f>
        <v>0</v>
      </c>
      <c r="M789" s="881">
        <f t="shared" si="323"/>
        <v>0</v>
      </c>
      <c r="N789" s="881">
        <f t="shared" si="323"/>
        <v>0</v>
      </c>
      <c r="O789" s="881">
        <f t="shared" ca="1" si="320"/>
        <v>0</v>
      </c>
      <c r="P789" s="881">
        <f t="shared" si="321"/>
        <v>0</v>
      </c>
      <c r="Q789" s="1302"/>
      <c r="R789" s="1302"/>
      <c r="S789" s="1302"/>
      <c r="T789" s="1302"/>
      <c r="U789" s="1302"/>
      <c r="V789" s="1302"/>
      <c r="W789" s="1302"/>
      <c r="X789" s="1302"/>
      <c r="Y789" s="1302"/>
      <c r="Z789" s="1302"/>
    </row>
    <row r="790" spans="1:26" ht="18.75" hidden="1">
      <c r="A790" s="1319"/>
      <c r="B790" s="1324"/>
      <c r="C790" s="1324"/>
      <c r="D790" s="1333"/>
      <c r="E790" s="1320" t="s">
        <v>185</v>
      </c>
      <c r="F790" s="1320"/>
      <c r="G790" s="1322"/>
      <c r="H790" s="165" t="s">
        <v>12</v>
      </c>
      <c r="I790" s="886"/>
      <c r="J790" s="886"/>
      <c r="K790" s="887"/>
      <c r="L790" s="887">
        <v>0</v>
      </c>
      <c r="M790" s="887">
        <v>0</v>
      </c>
      <c r="N790" s="887">
        <v>0</v>
      </c>
      <c r="O790" s="887">
        <f t="shared" si="320"/>
        <v>0</v>
      </c>
      <c r="P790" s="887">
        <f t="shared" si="321"/>
        <v>0</v>
      </c>
      <c r="Q790" s="1323"/>
      <c r="R790" s="1323"/>
      <c r="S790" s="1323"/>
      <c r="T790" s="1323"/>
      <c r="U790" s="1323"/>
      <c r="V790" s="1323"/>
      <c r="W790" s="1323"/>
      <c r="X790" s="1323"/>
      <c r="Y790" s="1323"/>
      <c r="Z790" s="1323"/>
    </row>
    <row r="791" spans="1:26" ht="18.75" hidden="1">
      <c r="A791" s="1319"/>
      <c r="B791" s="1324"/>
      <c r="C791" s="1324"/>
      <c r="D791" s="1333"/>
      <c r="E791" s="1320" t="s">
        <v>186</v>
      </c>
      <c r="F791" s="1320"/>
      <c r="G791" s="1322"/>
      <c r="H791" s="165" t="s">
        <v>12</v>
      </c>
      <c r="I791" s="886"/>
      <c r="J791" s="886"/>
      <c r="K791" s="887"/>
      <c r="L791" s="887">
        <f ca="1">IFERROR(__xludf.DUMMYFUNCTION("IMPORTRANGE(""https://docs.google.com/spreadsheets/d/1QqKyyYR6Q21VydFLVH3TRQUabQu_ym0Zz7PgGX0-kHA/edit?usp=sharing"",""แผน!JJ76"")"),0)</f>
        <v>0</v>
      </c>
      <c r="M791" s="887">
        <v>0</v>
      </c>
      <c r="N791" s="887">
        <f>N792+N793+N794+N795</f>
        <v>0</v>
      </c>
      <c r="O791" s="887">
        <f t="shared" ca="1" si="320"/>
        <v>0</v>
      </c>
      <c r="P791" s="887">
        <f t="shared" si="321"/>
        <v>0</v>
      </c>
      <c r="Q791" s="1323"/>
      <c r="R791" s="1323"/>
      <c r="S791" s="1323"/>
      <c r="T791" s="1323"/>
      <c r="U791" s="1323"/>
      <c r="V791" s="1323"/>
      <c r="W791" s="1323"/>
      <c r="X791" s="1323"/>
      <c r="Y791" s="1323"/>
      <c r="Z791" s="1323"/>
    </row>
    <row r="792" spans="1:26" ht="18.75" hidden="1">
      <c r="A792" s="1299"/>
      <c r="B792" s="1300"/>
      <c r="C792" s="1301"/>
      <c r="D792" s="1301"/>
      <c r="E792" s="1301"/>
      <c r="F792" s="1301" t="s">
        <v>187</v>
      </c>
      <c r="G792" s="1016"/>
      <c r="H792" s="161" t="s">
        <v>12</v>
      </c>
      <c r="I792" s="880"/>
      <c r="J792" s="880"/>
      <c r="K792" s="881"/>
      <c r="L792" s="881"/>
      <c r="M792" s="881"/>
      <c r="N792" s="1085">
        <v>0</v>
      </c>
      <c r="O792" s="881"/>
      <c r="P792" s="881"/>
      <c r="Q792" s="1302"/>
      <c r="R792" s="1302"/>
      <c r="S792" s="1302"/>
      <c r="T792" s="1302"/>
      <c r="U792" s="1302"/>
      <c r="V792" s="1302"/>
      <c r="W792" s="1302"/>
      <c r="X792" s="1302"/>
      <c r="Y792" s="1302"/>
      <c r="Z792" s="1302"/>
    </row>
    <row r="793" spans="1:26" ht="18.75" hidden="1">
      <c r="A793" s="1299"/>
      <c r="B793" s="1300"/>
      <c r="C793" s="1301"/>
      <c r="D793" s="1301"/>
      <c r="E793" s="1301"/>
      <c r="F793" s="1301" t="s">
        <v>188</v>
      </c>
      <c r="G793" s="1016"/>
      <c r="H793" s="161" t="s">
        <v>12</v>
      </c>
      <c r="I793" s="880"/>
      <c r="J793" s="880"/>
      <c r="K793" s="881"/>
      <c r="L793" s="881"/>
      <c r="M793" s="881"/>
      <c r="N793" s="1085">
        <v>0</v>
      </c>
      <c r="O793" s="881"/>
      <c r="P793" s="881"/>
      <c r="Q793" s="1302"/>
      <c r="R793" s="1302"/>
      <c r="S793" s="1302"/>
      <c r="T793" s="1302"/>
      <c r="U793" s="1302"/>
      <c r="V793" s="1302"/>
      <c r="W793" s="1302"/>
      <c r="X793" s="1302"/>
      <c r="Y793" s="1302"/>
      <c r="Z793" s="1302"/>
    </row>
    <row r="794" spans="1:26" ht="18.75" hidden="1">
      <c r="A794" s="1299"/>
      <c r="B794" s="1300"/>
      <c r="C794" s="1301"/>
      <c r="D794" s="1301"/>
      <c r="E794" s="1301"/>
      <c r="F794" s="1301" t="s">
        <v>189</v>
      </c>
      <c r="G794" s="1016"/>
      <c r="H794" s="161" t="s">
        <v>12</v>
      </c>
      <c r="I794" s="880"/>
      <c r="J794" s="880"/>
      <c r="K794" s="881"/>
      <c r="L794" s="881"/>
      <c r="M794" s="881"/>
      <c r="N794" s="1085">
        <v>0</v>
      </c>
      <c r="O794" s="881"/>
      <c r="P794" s="881"/>
      <c r="Q794" s="1302"/>
      <c r="R794" s="1302"/>
      <c r="S794" s="1302"/>
      <c r="T794" s="1302"/>
      <c r="U794" s="1302"/>
      <c r="V794" s="1302"/>
      <c r="W794" s="1302"/>
      <c r="X794" s="1302"/>
      <c r="Y794" s="1302"/>
      <c r="Z794" s="1302"/>
    </row>
    <row r="795" spans="1:26" ht="18.75" hidden="1">
      <c r="A795" s="1299"/>
      <c r="B795" s="1300"/>
      <c r="C795" s="1301"/>
      <c r="D795" s="1301"/>
      <c r="E795" s="1301"/>
      <c r="F795" s="1301" t="s">
        <v>190</v>
      </c>
      <c r="G795" s="1016"/>
      <c r="H795" s="161" t="s">
        <v>12</v>
      </c>
      <c r="I795" s="880"/>
      <c r="J795" s="880"/>
      <c r="K795" s="881"/>
      <c r="L795" s="881"/>
      <c r="M795" s="881"/>
      <c r="N795" s="1085">
        <v>0</v>
      </c>
      <c r="O795" s="881"/>
      <c r="P795" s="881"/>
      <c r="Q795" s="1302"/>
      <c r="R795" s="1302"/>
      <c r="S795" s="1302"/>
      <c r="T795" s="1302"/>
      <c r="U795" s="1302"/>
      <c r="V795" s="1302"/>
      <c r="W795" s="1302"/>
      <c r="X795" s="1302"/>
      <c r="Y795" s="1302"/>
      <c r="Z795" s="1302"/>
    </row>
    <row r="796" spans="1:26" ht="18.75" hidden="1">
      <c r="A796" s="1317"/>
      <c r="B796" s="1300"/>
      <c r="C796" s="1301"/>
      <c r="D796" s="1325" t="s">
        <v>21</v>
      </c>
      <c r="E796" s="1301"/>
      <c r="F796" s="1301"/>
      <c r="G796" s="1016"/>
      <c r="H796" s="168" t="s">
        <v>12</v>
      </c>
      <c r="I796" s="997"/>
      <c r="J796" s="997"/>
      <c r="K796" s="998"/>
      <c r="L796" s="881">
        <f t="shared" ref="L796:N796" si="324">L797+L798</f>
        <v>0</v>
      </c>
      <c r="M796" s="881">
        <f t="shared" si="324"/>
        <v>0</v>
      </c>
      <c r="N796" s="881">
        <f t="shared" si="324"/>
        <v>0</v>
      </c>
      <c r="O796" s="881">
        <f t="shared" ref="O796:O798" si="325">IF(L796&gt;0,N796*100/L796,0)</f>
        <v>0</v>
      </c>
      <c r="P796" s="881">
        <f t="shared" ref="P796:P798" si="326">IF(M796&gt;0,N796*100/M796,0)</f>
        <v>0</v>
      </c>
      <c r="Q796" s="1302"/>
      <c r="R796" s="1302"/>
      <c r="S796" s="1302"/>
      <c r="T796" s="1302"/>
      <c r="U796" s="1302"/>
      <c r="V796" s="1302"/>
      <c r="W796" s="1302"/>
      <c r="X796" s="1302"/>
      <c r="Y796" s="1302"/>
      <c r="Z796" s="1302"/>
    </row>
    <row r="797" spans="1:26" ht="18.75" hidden="1">
      <c r="A797" s="1319"/>
      <c r="B797" s="1324"/>
      <c r="C797" s="1320"/>
      <c r="D797" s="1320"/>
      <c r="E797" s="1320" t="s">
        <v>18</v>
      </c>
      <c r="F797" s="1320"/>
      <c r="G797" s="1322"/>
      <c r="H797" s="165" t="s">
        <v>12</v>
      </c>
      <c r="I797" s="1000"/>
      <c r="J797" s="1000"/>
      <c r="K797" s="1001"/>
      <c r="L797" s="887">
        <v>0</v>
      </c>
      <c r="M797" s="887">
        <v>0</v>
      </c>
      <c r="N797" s="887">
        <v>0</v>
      </c>
      <c r="O797" s="887">
        <f t="shared" si="325"/>
        <v>0</v>
      </c>
      <c r="P797" s="887">
        <f t="shared" si="326"/>
        <v>0</v>
      </c>
      <c r="Q797" s="1323"/>
      <c r="R797" s="1323"/>
      <c r="S797" s="1323"/>
      <c r="T797" s="1323"/>
      <c r="U797" s="1323"/>
      <c r="V797" s="1323"/>
      <c r="W797" s="1323"/>
      <c r="X797" s="1323"/>
      <c r="Y797" s="1323"/>
      <c r="Z797" s="1323"/>
    </row>
    <row r="798" spans="1:26" ht="18.75" hidden="1">
      <c r="A798" s="1319"/>
      <c r="B798" s="1324"/>
      <c r="C798" s="1320"/>
      <c r="D798" s="1320"/>
      <c r="E798" s="1320" t="s">
        <v>19</v>
      </c>
      <c r="F798" s="1320"/>
      <c r="G798" s="1322"/>
      <c r="H798" s="169" t="s">
        <v>12</v>
      </c>
      <c r="I798" s="1000"/>
      <c r="J798" s="1000"/>
      <c r="K798" s="1001"/>
      <c r="L798" s="887">
        <v>0</v>
      </c>
      <c r="M798" s="887">
        <v>0</v>
      </c>
      <c r="N798" s="887">
        <v>0</v>
      </c>
      <c r="O798" s="887">
        <f t="shared" si="325"/>
        <v>0</v>
      </c>
      <c r="P798" s="887">
        <f t="shared" si="326"/>
        <v>0</v>
      </c>
      <c r="Q798" s="1323"/>
      <c r="R798" s="1323"/>
      <c r="S798" s="1323"/>
      <c r="T798" s="1323"/>
      <c r="U798" s="1323"/>
      <c r="V798" s="1323"/>
      <c r="W798" s="1323"/>
      <c r="X798" s="1323"/>
      <c r="Y798" s="1323"/>
      <c r="Z798" s="1323"/>
    </row>
    <row r="799" spans="1:26" ht="19.5" hidden="1">
      <c r="A799" s="1326"/>
      <c r="B799" s="1327"/>
      <c r="C799" s="1301" t="s">
        <v>16</v>
      </c>
      <c r="D799" s="1439" t="s">
        <v>38</v>
      </c>
      <c r="E799" s="1330"/>
      <c r="F799" s="1330"/>
      <c r="G799" s="1331"/>
      <c r="H799" s="1475"/>
      <c r="I799" s="997"/>
      <c r="J799" s="997"/>
      <c r="K799" s="998"/>
      <c r="L799" s="998"/>
      <c r="M799" s="998"/>
      <c r="N799" s="998"/>
      <c r="O799" s="998"/>
      <c r="P799" s="998"/>
      <c r="Q799" s="1302"/>
      <c r="R799" s="1302"/>
      <c r="S799" s="1302"/>
      <c r="T799" s="1302"/>
      <c r="U799" s="1302"/>
      <c r="V799" s="1302"/>
      <c r="W799" s="1302"/>
      <c r="X799" s="1302"/>
      <c r="Y799" s="1302"/>
      <c r="Z799" s="1302"/>
    </row>
    <row r="800" spans="1:26" ht="18.75" hidden="1">
      <c r="A800" s="1326"/>
      <c r="B800" s="1327"/>
      <c r="C800" s="1327"/>
      <c r="D800" s="1327"/>
      <c r="E800" s="1014"/>
      <c r="F800" s="1014" t="s">
        <v>321</v>
      </c>
      <c r="G800" s="1007"/>
      <c r="H800" s="185" t="s">
        <v>46</v>
      </c>
      <c r="I800" s="997">
        <f ca="1">IFERROR(__xludf.DUMMYFUNCTION("IMPORTRANGE(""https://docs.google.com/spreadsheets/d/1QqKyyYR6Q21VydFLVH3TRQUabQu_ym0Zz7PgGX0-kHA/edit?usp=sharing"",""แผน!JN76"")"),0)</f>
        <v>0</v>
      </c>
      <c r="J800" s="997">
        <f ca="1">IFERROR(__xludf.DUMMYFUNCTION("IMPORTRANGE(""https://docs.google.com/spreadsheets/d/1MaWodYyGHDf7siQLGxnXhG4mBNTNIuy296niS2xXulU/edit?usp=sharing"",""RTK!H76"")"),0)</f>
        <v>0</v>
      </c>
      <c r="K800" s="881">
        <f ca="1">IF(I800&gt;0,J800*100/I800,0)</f>
        <v>0</v>
      </c>
      <c r="L800" s="881"/>
      <c r="M800" s="881"/>
      <c r="N800" s="881"/>
      <c r="O800" s="998"/>
      <c r="P800" s="998"/>
      <c r="Q800" s="1302"/>
      <c r="R800" s="1302"/>
      <c r="S800" s="1302"/>
      <c r="T800" s="1302"/>
      <c r="U800" s="1302"/>
      <c r="V800" s="1302"/>
      <c r="W800" s="1302"/>
      <c r="X800" s="1302"/>
      <c r="Y800" s="1302"/>
      <c r="Z800" s="1302"/>
    </row>
    <row r="801" spans="1:26" ht="18.75" hidden="1">
      <c r="A801" s="1326"/>
      <c r="B801" s="1327"/>
      <c r="C801" s="1327"/>
      <c r="D801" s="1327"/>
      <c r="E801" s="1014"/>
      <c r="F801" s="1014"/>
      <c r="G801" s="1007"/>
      <c r="H801" s="161" t="s">
        <v>34</v>
      </c>
      <c r="I801" s="997"/>
      <c r="J801" s="880">
        <f ca="1">IFERROR(__xludf.DUMMYFUNCTION("IMPORTRANGE(""https://docs.google.com/spreadsheets/d/1MaWodYyGHDf7siQLGxnXhG4mBNTNIuy296niS2xXulU/edit?usp=sharing"",""RTK!I76"")"),0)</f>
        <v>0</v>
      </c>
      <c r="K801" s="881"/>
      <c r="L801" s="881"/>
      <c r="M801" s="881"/>
      <c r="N801" s="881"/>
      <c r="O801" s="998"/>
      <c r="P801" s="998"/>
      <c r="Q801" s="1302"/>
      <c r="R801" s="1302"/>
      <c r="S801" s="1302"/>
      <c r="T801" s="1302"/>
      <c r="U801" s="1302"/>
      <c r="V801" s="1302"/>
      <c r="W801" s="1302"/>
      <c r="X801" s="1302"/>
      <c r="Y801" s="1302"/>
      <c r="Z801" s="1302"/>
    </row>
    <row r="802" spans="1:26" ht="18.75" hidden="1">
      <c r="A802" s="1332"/>
      <c r="B802" s="1333"/>
      <c r="C802" s="1333"/>
      <c r="D802" s="1333"/>
      <c r="E802" s="1321"/>
      <c r="F802" s="1321" t="s">
        <v>322</v>
      </c>
      <c r="G802" s="1113"/>
      <c r="H802" s="651" t="s">
        <v>46</v>
      </c>
      <c r="I802" s="1000"/>
      <c r="J802" s="886"/>
      <c r="K802" s="1001">
        <f>IF(I802&gt;0,J802*100/I802,0)</f>
        <v>0</v>
      </c>
      <c r="L802" s="1001"/>
      <c r="M802" s="1001"/>
      <c r="N802" s="1001"/>
      <c r="O802" s="1001"/>
      <c r="P802" s="1001"/>
      <c r="Q802" s="1323"/>
      <c r="R802" s="1323"/>
      <c r="S802" s="1323"/>
      <c r="T802" s="1323"/>
      <c r="U802" s="1323"/>
      <c r="V802" s="1323"/>
      <c r="W802" s="1323"/>
      <c r="X802" s="1323"/>
      <c r="Y802" s="1323"/>
      <c r="Z802" s="1323"/>
    </row>
    <row r="803" spans="1:26" ht="18.75" hidden="1">
      <c r="A803" s="1332"/>
      <c r="B803" s="1333"/>
      <c r="C803" s="1333"/>
      <c r="D803" s="1333"/>
      <c r="E803" s="1321"/>
      <c r="F803" s="1321"/>
      <c r="G803" s="1113"/>
      <c r="H803" s="651" t="s">
        <v>34</v>
      </c>
      <c r="I803" s="1000"/>
      <c r="J803" s="886"/>
      <c r="K803" s="1001"/>
      <c r="L803" s="1001"/>
      <c r="M803" s="1001"/>
      <c r="N803" s="1001"/>
      <c r="O803" s="1001"/>
      <c r="P803" s="1001"/>
      <c r="Q803" s="1323"/>
      <c r="R803" s="1323"/>
      <c r="S803" s="1323"/>
      <c r="T803" s="1323"/>
      <c r="U803" s="1323"/>
      <c r="V803" s="1323"/>
      <c r="W803" s="1323"/>
      <c r="X803" s="1323"/>
      <c r="Y803" s="1323"/>
      <c r="Z803" s="1323"/>
    </row>
    <row r="804" spans="1:26" ht="19.5" hidden="1">
      <c r="A804" s="791">
        <v>13</v>
      </c>
      <c r="B804" s="1461" t="s">
        <v>323</v>
      </c>
      <c r="C804" s="1462"/>
      <c r="D804" s="1476"/>
      <c r="E804" s="1462"/>
      <c r="F804" s="1462"/>
      <c r="G804" s="1463"/>
      <c r="H804" s="795" t="s">
        <v>46</v>
      </c>
      <c r="I804" s="1464"/>
      <c r="J804" s="1464">
        <f>J819</f>
        <v>0</v>
      </c>
      <c r="K804" s="1465">
        <f>IF(I804&gt;0,J804*100/I804,0)</f>
        <v>0</v>
      </c>
      <c r="L804" s="1466"/>
      <c r="M804" s="1466"/>
      <c r="N804" s="1466"/>
      <c r="O804" s="1466"/>
      <c r="P804" s="1466"/>
      <c r="Q804" s="1323"/>
      <c r="R804" s="1323"/>
      <c r="S804" s="1323"/>
      <c r="T804" s="1323"/>
      <c r="U804" s="1323"/>
      <c r="V804" s="1323"/>
      <c r="W804" s="1323"/>
      <c r="X804" s="1323"/>
      <c r="Y804" s="1323"/>
      <c r="Z804" s="1323"/>
    </row>
    <row r="805" spans="1:26" ht="19.5" hidden="1">
      <c r="A805" s="1319"/>
      <c r="B805" s="1320"/>
      <c r="C805" s="1320" t="s">
        <v>16</v>
      </c>
      <c r="D805" s="1351" t="s">
        <v>17</v>
      </c>
      <c r="E805" s="841"/>
      <c r="F805" s="841"/>
      <c r="G805" s="1322"/>
      <c r="H805" s="644" t="s">
        <v>12</v>
      </c>
      <c r="I805" s="886"/>
      <c r="J805" s="886"/>
      <c r="K805" s="887"/>
      <c r="L805" s="1352">
        <f t="shared" ref="L805:N805" si="327">L806+L807</f>
        <v>0</v>
      </c>
      <c r="M805" s="1352">
        <f t="shared" si="327"/>
        <v>0</v>
      </c>
      <c r="N805" s="1352">
        <f t="shared" si="327"/>
        <v>0</v>
      </c>
      <c r="O805" s="1352">
        <f t="shared" ref="O805:O810" si="328">IF(L805&gt;0,N805*100/L805,0)</f>
        <v>0</v>
      </c>
      <c r="P805" s="1352">
        <f t="shared" ref="P805:P810" si="329">IF(M805&gt;0,N805*100/M805,0)</f>
        <v>0</v>
      </c>
      <c r="Q805" s="1323"/>
      <c r="R805" s="1323"/>
      <c r="S805" s="1323"/>
      <c r="T805" s="1323"/>
      <c r="U805" s="1323"/>
      <c r="V805" s="1323"/>
      <c r="W805" s="1323"/>
      <c r="X805" s="1323"/>
      <c r="Y805" s="1323"/>
      <c r="Z805" s="1323"/>
    </row>
    <row r="806" spans="1:26" ht="18.75" hidden="1">
      <c r="A806" s="1319"/>
      <c r="B806" s="1320"/>
      <c r="C806" s="1320"/>
      <c r="D806" s="1333"/>
      <c r="E806" s="1320" t="s">
        <v>185</v>
      </c>
      <c r="F806" s="1320"/>
      <c r="G806" s="1322"/>
      <c r="H806" s="165" t="s">
        <v>12</v>
      </c>
      <c r="I806" s="886"/>
      <c r="J806" s="886"/>
      <c r="K806" s="887"/>
      <c r="L806" s="887">
        <f t="shared" ref="L806:N807" si="330">L809+L816</f>
        <v>0</v>
      </c>
      <c r="M806" s="887">
        <f t="shared" si="330"/>
        <v>0</v>
      </c>
      <c r="N806" s="887">
        <f t="shared" si="330"/>
        <v>0</v>
      </c>
      <c r="O806" s="887">
        <f t="shared" si="328"/>
        <v>0</v>
      </c>
      <c r="P806" s="887">
        <f t="shared" si="329"/>
        <v>0</v>
      </c>
      <c r="Q806" s="1323"/>
      <c r="R806" s="1323"/>
      <c r="S806" s="1323"/>
      <c r="T806" s="1323"/>
      <c r="U806" s="1323"/>
      <c r="V806" s="1323"/>
      <c r="W806" s="1323"/>
      <c r="X806" s="1323"/>
      <c r="Y806" s="1323"/>
      <c r="Z806" s="1323"/>
    </row>
    <row r="807" spans="1:26" ht="18.75" hidden="1">
      <c r="A807" s="1319"/>
      <c r="B807" s="1320"/>
      <c r="C807" s="1320"/>
      <c r="D807" s="1333"/>
      <c r="E807" s="1320" t="s">
        <v>186</v>
      </c>
      <c r="F807" s="1320"/>
      <c r="G807" s="1322"/>
      <c r="H807" s="165" t="s">
        <v>12</v>
      </c>
      <c r="I807" s="886"/>
      <c r="J807" s="886"/>
      <c r="K807" s="887"/>
      <c r="L807" s="887">
        <f t="shared" si="330"/>
        <v>0</v>
      </c>
      <c r="M807" s="887">
        <f t="shared" si="330"/>
        <v>0</v>
      </c>
      <c r="N807" s="887">
        <f t="shared" si="330"/>
        <v>0</v>
      </c>
      <c r="O807" s="887">
        <f t="shared" si="328"/>
        <v>0</v>
      </c>
      <c r="P807" s="887">
        <f t="shared" si="329"/>
        <v>0</v>
      </c>
      <c r="Q807" s="1323"/>
      <c r="R807" s="1323"/>
      <c r="S807" s="1323"/>
      <c r="T807" s="1323"/>
      <c r="U807" s="1323"/>
      <c r="V807" s="1323"/>
      <c r="W807" s="1323"/>
      <c r="X807" s="1323"/>
      <c r="Y807" s="1323"/>
      <c r="Z807" s="1323"/>
    </row>
    <row r="808" spans="1:26" ht="19.5" hidden="1">
      <c r="A808" s="1319"/>
      <c r="B808" s="1324"/>
      <c r="C808" s="1320"/>
      <c r="D808" s="1477" t="s">
        <v>20</v>
      </c>
      <c r="E808" s="841"/>
      <c r="F808" s="841"/>
      <c r="G808" s="1322"/>
      <c r="H808" s="644" t="s">
        <v>12</v>
      </c>
      <c r="I808" s="1000"/>
      <c r="J808" s="1000"/>
      <c r="K808" s="1001"/>
      <c r="L808" s="1352">
        <f t="shared" ref="L808:N808" si="331">L809+L810</f>
        <v>0</v>
      </c>
      <c r="M808" s="1352">
        <f t="shared" si="331"/>
        <v>0</v>
      </c>
      <c r="N808" s="1352">
        <f t="shared" si="331"/>
        <v>0</v>
      </c>
      <c r="O808" s="1352">
        <f t="shared" si="328"/>
        <v>0</v>
      </c>
      <c r="P808" s="1352">
        <f t="shared" si="329"/>
        <v>0</v>
      </c>
      <c r="Q808" s="1323"/>
      <c r="R808" s="1323"/>
      <c r="S808" s="1323"/>
      <c r="T808" s="1323"/>
      <c r="U808" s="1323"/>
      <c r="V808" s="1323"/>
      <c r="W808" s="1323"/>
      <c r="X808" s="1323"/>
      <c r="Y808" s="1323"/>
      <c r="Z808" s="1323"/>
    </row>
    <row r="809" spans="1:26" ht="18.75" hidden="1">
      <c r="A809" s="1319"/>
      <c r="B809" s="1320"/>
      <c r="C809" s="1320"/>
      <c r="D809" s="1333"/>
      <c r="E809" s="1320" t="s">
        <v>185</v>
      </c>
      <c r="F809" s="1320"/>
      <c r="G809" s="1322"/>
      <c r="H809" s="165" t="s">
        <v>12</v>
      </c>
      <c r="I809" s="886"/>
      <c r="J809" s="886"/>
      <c r="K809" s="887"/>
      <c r="L809" s="887">
        <v>0</v>
      </c>
      <c r="M809" s="887">
        <v>0</v>
      </c>
      <c r="N809" s="887">
        <v>0</v>
      </c>
      <c r="O809" s="887">
        <f t="shared" si="328"/>
        <v>0</v>
      </c>
      <c r="P809" s="887">
        <f t="shared" si="329"/>
        <v>0</v>
      </c>
      <c r="Q809" s="1323"/>
      <c r="R809" s="1323"/>
      <c r="S809" s="1323"/>
      <c r="T809" s="1323"/>
      <c r="U809" s="1323"/>
      <c r="V809" s="1323"/>
      <c r="W809" s="1323"/>
      <c r="X809" s="1323"/>
      <c r="Y809" s="1323"/>
      <c r="Z809" s="1323"/>
    </row>
    <row r="810" spans="1:26" ht="18.75" hidden="1">
      <c r="A810" s="1319"/>
      <c r="B810" s="1320"/>
      <c r="C810" s="1320"/>
      <c r="D810" s="1333"/>
      <c r="E810" s="1320" t="s">
        <v>186</v>
      </c>
      <c r="F810" s="1320"/>
      <c r="G810" s="1322"/>
      <c r="H810" s="165" t="s">
        <v>12</v>
      </c>
      <c r="I810" s="886"/>
      <c r="J810" s="886"/>
      <c r="K810" s="887"/>
      <c r="L810" s="887">
        <v>0</v>
      </c>
      <c r="M810" s="887">
        <v>0</v>
      </c>
      <c r="N810" s="887">
        <f>N811+N812+N813+N814</f>
        <v>0</v>
      </c>
      <c r="O810" s="887">
        <f t="shared" si="328"/>
        <v>0</v>
      </c>
      <c r="P810" s="887">
        <f t="shared" si="329"/>
        <v>0</v>
      </c>
      <c r="Q810" s="1323"/>
      <c r="R810" s="1323"/>
      <c r="S810" s="1323"/>
      <c r="T810" s="1323"/>
      <c r="U810" s="1323"/>
      <c r="V810" s="1323"/>
      <c r="W810" s="1323"/>
      <c r="X810" s="1323"/>
      <c r="Y810" s="1323"/>
      <c r="Z810" s="1323"/>
    </row>
    <row r="811" spans="1:26" ht="18.75" hidden="1">
      <c r="A811" s="1354"/>
      <c r="B811" s="1324"/>
      <c r="C811" s="1320"/>
      <c r="D811" s="1324"/>
      <c r="E811" s="1320"/>
      <c r="F811" s="1320" t="s">
        <v>187</v>
      </c>
      <c r="G811" s="1322"/>
      <c r="H811" s="165" t="s">
        <v>12</v>
      </c>
      <c r="I811" s="886"/>
      <c r="J811" s="886"/>
      <c r="K811" s="887"/>
      <c r="L811" s="887"/>
      <c r="M811" s="887"/>
      <c r="N811" s="887"/>
      <c r="O811" s="887"/>
      <c r="P811" s="887"/>
      <c r="Q811" s="1323"/>
      <c r="R811" s="1323"/>
      <c r="S811" s="1323"/>
      <c r="T811" s="1323"/>
      <c r="U811" s="1323"/>
      <c r="V811" s="1323"/>
      <c r="W811" s="1323"/>
      <c r="X811" s="1323"/>
      <c r="Y811" s="1323"/>
      <c r="Z811" s="1323"/>
    </row>
    <row r="812" spans="1:26" ht="18.75" hidden="1">
      <c r="A812" s="1354"/>
      <c r="B812" s="1324"/>
      <c r="C812" s="1320"/>
      <c r="D812" s="1324"/>
      <c r="E812" s="1320"/>
      <c r="F812" s="1320" t="s">
        <v>188</v>
      </c>
      <c r="G812" s="1322"/>
      <c r="H812" s="165" t="s">
        <v>12</v>
      </c>
      <c r="I812" s="886"/>
      <c r="J812" s="886"/>
      <c r="K812" s="887"/>
      <c r="L812" s="887"/>
      <c r="M812" s="887"/>
      <c r="N812" s="887"/>
      <c r="O812" s="887"/>
      <c r="P812" s="887"/>
      <c r="Q812" s="1323"/>
      <c r="R812" s="1323"/>
      <c r="S812" s="1323"/>
      <c r="T812" s="1323"/>
      <c r="U812" s="1323"/>
      <c r="V812" s="1323"/>
      <c r="W812" s="1323"/>
      <c r="X812" s="1323"/>
      <c r="Y812" s="1323"/>
      <c r="Z812" s="1323"/>
    </row>
    <row r="813" spans="1:26" ht="18.75" hidden="1">
      <c r="A813" s="1354"/>
      <c r="B813" s="1324"/>
      <c r="C813" s="1320"/>
      <c r="D813" s="1324"/>
      <c r="E813" s="1320"/>
      <c r="F813" s="1320" t="s">
        <v>189</v>
      </c>
      <c r="G813" s="1322"/>
      <c r="H813" s="165" t="s">
        <v>12</v>
      </c>
      <c r="I813" s="886"/>
      <c r="J813" s="886"/>
      <c r="K813" s="887"/>
      <c r="L813" s="887"/>
      <c r="M813" s="887"/>
      <c r="N813" s="887"/>
      <c r="O813" s="887"/>
      <c r="P813" s="887"/>
      <c r="Q813" s="1323"/>
      <c r="R813" s="1323"/>
      <c r="S813" s="1323"/>
      <c r="T813" s="1323"/>
      <c r="U813" s="1323"/>
      <c r="V813" s="1323"/>
      <c r="W813" s="1323"/>
      <c r="X813" s="1323"/>
      <c r="Y813" s="1323"/>
      <c r="Z813" s="1323"/>
    </row>
    <row r="814" spans="1:26" ht="18.75" hidden="1">
      <c r="A814" s="1354"/>
      <c r="B814" s="1324"/>
      <c r="C814" s="1320"/>
      <c r="D814" s="1324"/>
      <c r="E814" s="1320"/>
      <c r="F814" s="1320" t="s">
        <v>190</v>
      </c>
      <c r="G814" s="1322"/>
      <c r="H814" s="165" t="s">
        <v>12</v>
      </c>
      <c r="I814" s="886"/>
      <c r="J814" s="886"/>
      <c r="K814" s="887"/>
      <c r="L814" s="887"/>
      <c r="M814" s="887"/>
      <c r="N814" s="887"/>
      <c r="O814" s="887"/>
      <c r="P814" s="887"/>
      <c r="Q814" s="1323"/>
      <c r="R814" s="1323"/>
      <c r="S814" s="1323"/>
      <c r="T814" s="1323"/>
      <c r="U814" s="1323"/>
      <c r="V814" s="1323"/>
      <c r="W814" s="1323"/>
      <c r="X814" s="1323"/>
      <c r="Y814" s="1323"/>
      <c r="Z814" s="1323"/>
    </row>
    <row r="815" spans="1:26" ht="19.5" hidden="1">
      <c r="A815" s="1319"/>
      <c r="B815" s="1324"/>
      <c r="C815" s="1320"/>
      <c r="D815" s="1477" t="s">
        <v>21</v>
      </c>
      <c r="E815" s="841"/>
      <c r="F815" s="841"/>
      <c r="G815" s="1322"/>
      <c r="H815" s="781" t="s">
        <v>12</v>
      </c>
      <c r="I815" s="1000"/>
      <c r="J815" s="1000"/>
      <c r="K815" s="1001"/>
      <c r="L815" s="1352">
        <f t="shared" ref="L815:N815" si="332">L816+L817</f>
        <v>0</v>
      </c>
      <c r="M815" s="1352">
        <f t="shared" si="332"/>
        <v>0</v>
      </c>
      <c r="N815" s="1352">
        <f t="shared" si="332"/>
        <v>0</v>
      </c>
      <c r="O815" s="1352">
        <f t="shared" ref="O815:O817" si="333">IF(L815&gt;0,N815*100/L815,0)</f>
        <v>0</v>
      </c>
      <c r="P815" s="1352">
        <f t="shared" ref="P815:P817" si="334">IF(M815&gt;0,N815*100/M815,0)</f>
        <v>0</v>
      </c>
      <c r="Q815" s="1323"/>
      <c r="R815" s="1323"/>
      <c r="S815" s="1323"/>
      <c r="T815" s="1323"/>
      <c r="U815" s="1323"/>
      <c r="V815" s="1323"/>
      <c r="W815" s="1323"/>
      <c r="X815" s="1323"/>
      <c r="Y815" s="1323"/>
      <c r="Z815" s="1323"/>
    </row>
    <row r="816" spans="1:26" ht="18.75" hidden="1">
      <c r="A816" s="1319"/>
      <c r="B816" s="1324"/>
      <c r="C816" s="1320"/>
      <c r="D816" s="1324"/>
      <c r="E816" s="1320" t="s">
        <v>18</v>
      </c>
      <c r="F816" s="1320"/>
      <c r="G816" s="1322"/>
      <c r="H816" s="165" t="s">
        <v>12</v>
      </c>
      <c r="I816" s="1000"/>
      <c r="J816" s="1000"/>
      <c r="K816" s="1001"/>
      <c r="L816" s="887">
        <v>0</v>
      </c>
      <c r="M816" s="887">
        <v>0</v>
      </c>
      <c r="N816" s="887">
        <v>0</v>
      </c>
      <c r="O816" s="887">
        <f t="shared" si="333"/>
        <v>0</v>
      </c>
      <c r="P816" s="887">
        <f t="shared" si="334"/>
        <v>0</v>
      </c>
      <c r="Q816" s="1323"/>
      <c r="R816" s="1323"/>
      <c r="S816" s="1323"/>
      <c r="T816" s="1323"/>
      <c r="U816" s="1323"/>
      <c r="V816" s="1323"/>
      <c r="W816" s="1323"/>
      <c r="X816" s="1323"/>
      <c r="Y816" s="1323"/>
      <c r="Z816" s="1323"/>
    </row>
    <row r="817" spans="1:26" ht="18.75" hidden="1">
      <c r="A817" s="1319"/>
      <c r="B817" s="1324"/>
      <c r="C817" s="1320"/>
      <c r="D817" s="1324"/>
      <c r="E817" s="1320" t="s">
        <v>19</v>
      </c>
      <c r="F817" s="1320"/>
      <c r="G817" s="1322"/>
      <c r="H817" s="169" t="s">
        <v>12</v>
      </c>
      <c r="I817" s="1000"/>
      <c r="J817" s="1000"/>
      <c r="K817" s="1001"/>
      <c r="L817" s="887">
        <v>0</v>
      </c>
      <c r="M817" s="887">
        <v>0</v>
      </c>
      <c r="N817" s="887">
        <v>0</v>
      </c>
      <c r="O817" s="887">
        <f t="shared" si="333"/>
        <v>0</v>
      </c>
      <c r="P817" s="887">
        <f t="shared" si="334"/>
        <v>0</v>
      </c>
      <c r="Q817" s="1323"/>
      <c r="R817" s="1323"/>
      <c r="S817" s="1323"/>
      <c r="T817" s="1323"/>
      <c r="U817" s="1323"/>
      <c r="V817" s="1323"/>
      <c r="W817" s="1323"/>
      <c r="X817" s="1323"/>
      <c r="Y817" s="1323"/>
      <c r="Z817" s="1323"/>
    </row>
    <row r="818" spans="1:26" ht="19.5" hidden="1">
      <c r="A818" s="1332"/>
      <c r="B818" s="1333"/>
      <c r="C818" s="1320" t="s">
        <v>16</v>
      </c>
      <c r="D818" s="1478" t="s">
        <v>38</v>
      </c>
      <c r="E818" s="1356"/>
      <c r="F818" s="1356"/>
      <c r="G818" s="1357"/>
      <c r="H818" s="1113"/>
      <c r="I818" s="1000"/>
      <c r="J818" s="1000"/>
      <c r="K818" s="1001"/>
      <c r="L818" s="1001"/>
      <c r="M818" s="1001"/>
      <c r="N818" s="1001"/>
      <c r="O818" s="1001"/>
      <c r="P818" s="1001"/>
      <c r="Q818" s="1323"/>
      <c r="R818" s="1323"/>
      <c r="S818" s="1323"/>
      <c r="T818" s="1323"/>
      <c r="U818" s="1323"/>
      <c r="V818" s="1323"/>
      <c r="W818" s="1323"/>
      <c r="X818" s="1323"/>
      <c r="Y818" s="1323"/>
      <c r="Z818" s="1323"/>
    </row>
    <row r="819" spans="1:26" ht="19.5" hidden="1" thickBot="1">
      <c r="A819" s="1479"/>
      <c r="B819" s="1480"/>
      <c r="C819" s="1481"/>
      <c r="D819" s="1480"/>
      <c r="E819" s="1481" t="s">
        <v>324</v>
      </c>
      <c r="F819" s="1481"/>
      <c r="G819" s="1482"/>
      <c r="H819" s="817" t="s">
        <v>46</v>
      </c>
      <c r="I819" s="1483"/>
      <c r="J819" s="1483"/>
      <c r="K819" s="1484"/>
      <c r="L819" s="1484"/>
      <c r="M819" s="1484"/>
      <c r="N819" s="1484"/>
      <c r="O819" s="1484"/>
      <c r="P819" s="1484"/>
      <c r="Q819" s="1323"/>
      <c r="R819" s="1323"/>
      <c r="S819" s="1323"/>
      <c r="T819" s="1323"/>
      <c r="U819" s="1323"/>
      <c r="V819" s="1323"/>
      <c r="W819" s="1323"/>
      <c r="X819" s="1323"/>
      <c r="Y819" s="1323"/>
      <c r="Z819" s="1323"/>
    </row>
    <row r="820" spans="1:26" ht="19.5">
      <c r="A820" s="1485" t="s">
        <v>336</v>
      </c>
      <c r="B820" s="1486"/>
      <c r="C820" s="1486"/>
      <c r="D820" s="1487"/>
      <c r="E820" s="1486"/>
      <c r="F820" s="1486"/>
      <c r="G820" s="1488"/>
      <c r="H820" s="1489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0"/>
      <c r="J820" s="1490"/>
      <c r="K820" s="1491"/>
      <c r="L820" s="1491"/>
      <c r="M820" s="1491"/>
      <c r="N820" s="1491"/>
      <c r="O820" s="1491"/>
      <c r="P820" s="1491"/>
      <c r="Q820" s="1302"/>
      <c r="R820" s="1302"/>
      <c r="S820" s="1302"/>
      <c r="T820" s="1302"/>
      <c r="U820" s="1302"/>
      <c r="V820" s="1302"/>
      <c r="W820" s="1302"/>
      <c r="X820" s="1302"/>
      <c r="Y820" s="1302"/>
      <c r="Z820" s="1302"/>
    </row>
    <row r="821" spans="1:26" ht="18.75">
      <c r="A821" s="1429"/>
      <c r="B821" s="1301" t="s">
        <v>326</v>
      </c>
      <c r="C821" s="1301"/>
      <c r="D821" s="1300"/>
      <c r="E821" s="1301"/>
      <c r="F821" s="1301"/>
      <c r="G821" s="1016"/>
      <c r="H821" s="622" t="s">
        <v>12</v>
      </c>
      <c r="I821" s="880">
        <f ca="1">IFERROR(__xludf.DUMMYFUNCTION("IMPORTRANGE(""https://docs.google.com/spreadsheets/d/19vJNZY_5yjcGF2XGBMNZRCAIB0Kwfpjp8YEOfu-bneM/edit?usp=sharing"",""งานกองทุน!D76"")"),1126506.86)</f>
        <v>1126506.8600000001</v>
      </c>
      <c r="J821" s="880">
        <f ca="1">IFERROR(__xludf.DUMMYFUNCTION("IMPORTRANGE(""https://docs.google.com/spreadsheets/d/19vJNZY_5yjcGF2XGBMNZRCAIB0Kwfpjp8YEOfu-bneM/edit?usp=sharing"",""งานกองทุน!F76"")"),189457.92)</f>
        <v>189457.92000000001</v>
      </c>
      <c r="K821" s="881">
        <f t="shared" ref="K821:K828" ca="1" si="335">IF(I821&gt;0,J821*100/I821,0)</f>
        <v>16.818177210212461</v>
      </c>
      <c r="L821" s="881"/>
      <c r="M821" s="881"/>
      <c r="N821" s="881"/>
      <c r="O821" s="881"/>
      <c r="P821" s="881"/>
      <c r="Q821" s="1302"/>
      <c r="R821" s="1302"/>
      <c r="S821" s="1302"/>
      <c r="T821" s="1302"/>
      <c r="U821" s="1302"/>
      <c r="V821" s="1302"/>
      <c r="W821" s="1302"/>
      <c r="X821" s="1302"/>
      <c r="Y821" s="1302"/>
      <c r="Z821" s="1302"/>
    </row>
    <row r="822" spans="1:26" ht="18.75">
      <c r="A822" s="1429"/>
      <c r="B822" s="1301"/>
      <c r="C822" s="1301"/>
      <c r="D822" s="1300"/>
      <c r="E822" s="1301"/>
      <c r="F822" s="1301"/>
      <c r="G822" s="1016"/>
      <c r="H822" s="622" t="s">
        <v>35</v>
      </c>
      <c r="I822" s="880">
        <f ca="1">IFERROR(__xludf.DUMMYFUNCTION("IMPORTRANGE(""https://docs.google.com/spreadsheets/d/19vJNZY_5yjcGF2XGBMNZRCAIB0Kwfpjp8YEOfu-bneM/edit?usp=sharing"",""งานกองทุน!C76"")"),113)</f>
        <v>113</v>
      </c>
      <c r="J822" s="880">
        <f ca="1">IFERROR(__xludf.DUMMYFUNCTION("IMPORTRANGE(""https://docs.google.com/spreadsheets/d/19vJNZY_5yjcGF2XGBMNZRCAIB0Kwfpjp8YEOfu-bneM/edit?usp=sharing"",""งานกองทุน!E76"")"),14)</f>
        <v>14</v>
      </c>
      <c r="K822" s="881">
        <f t="shared" ca="1" si="335"/>
        <v>12.389380530973451</v>
      </c>
      <c r="L822" s="881"/>
      <c r="M822" s="881"/>
      <c r="N822" s="881"/>
      <c r="O822" s="881"/>
      <c r="P822" s="881"/>
      <c r="Q822" s="1302"/>
      <c r="R822" s="1302"/>
      <c r="S822" s="1302"/>
      <c r="T822" s="1302"/>
      <c r="U822" s="1302"/>
      <c r="V822" s="1302"/>
      <c r="W822" s="1302"/>
      <c r="X822" s="1302"/>
      <c r="Y822" s="1302"/>
      <c r="Z822" s="1302"/>
    </row>
    <row r="823" spans="1:26" ht="18.75">
      <c r="A823" s="1429"/>
      <c r="B823" s="1301" t="s">
        <v>327</v>
      </c>
      <c r="C823" s="1301"/>
      <c r="D823" s="1300"/>
      <c r="E823" s="1301"/>
      <c r="F823" s="1301"/>
      <c r="G823" s="1016"/>
      <c r="H823" s="622" t="s">
        <v>12</v>
      </c>
      <c r="I823" s="880">
        <f ca="1">IFERROR(__xludf.DUMMYFUNCTION("IMPORTRANGE(""https://docs.google.com/spreadsheets/d/19vJNZY_5yjcGF2XGBMNZRCAIB0Kwfpjp8YEOfu-bneM/edit?usp=sharing"",""งานกองทุน!I76"")"),455877.81)</f>
        <v>455877.81</v>
      </c>
      <c r="J823" s="880">
        <f ca="1">IFERROR(__xludf.DUMMYFUNCTION("IMPORTRANGE(""https://docs.google.com/spreadsheets/d/19vJNZY_5yjcGF2XGBMNZRCAIB0Kwfpjp8YEOfu-bneM/edit?usp=sharing"",""งานกองทุน!K76"")"),111337.12)</f>
        <v>111337.12</v>
      </c>
      <c r="K823" s="881">
        <f t="shared" ca="1" si="335"/>
        <v>24.422579374942597</v>
      </c>
      <c r="L823" s="881"/>
      <c r="M823" s="881"/>
      <c r="N823" s="881"/>
      <c r="O823" s="881"/>
      <c r="P823" s="881"/>
      <c r="Q823" s="1302"/>
      <c r="R823" s="1302"/>
      <c r="S823" s="1302"/>
      <c r="T823" s="1302"/>
      <c r="U823" s="1302"/>
      <c r="V823" s="1302"/>
      <c r="W823" s="1302"/>
      <c r="X823" s="1302"/>
      <c r="Y823" s="1302"/>
      <c r="Z823" s="1302"/>
    </row>
    <row r="824" spans="1:26" ht="18.75">
      <c r="A824" s="1429"/>
      <c r="B824" s="1301"/>
      <c r="C824" s="1301"/>
      <c r="D824" s="1300"/>
      <c r="E824" s="1301"/>
      <c r="F824" s="1301"/>
      <c r="G824" s="1016"/>
      <c r="H824" s="622" t="s">
        <v>35</v>
      </c>
      <c r="I824" s="880">
        <f ca="1">IFERROR(__xludf.DUMMYFUNCTION("IMPORTRANGE(""https://docs.google.com/spreadsheets/d/19vJNZY_5yjcGF2XGBMNZRCAIB0Kwfpjp8YEOfu-bneM/edit?usp=sharing"",""งานกองทุน!H76"")"),19)</f>
        <v>19</v>
      </c>
      <c r="J824" s="880">
        <f ca="1">IFERROR(__xludf.DUMMYFUNCTION("IMPORTRANGE(""https://docs.google.com/spreadsheets/d/19vJNZY_5yjcGF2XGBMNZRCAIB0Kwfpjp8YEOfu-bneM/edit?usp=sharing"",""งานกองทุน!J76"")"),6)</f>
        <v>6</v>
      </c>
      <c r="K824" s="881">
        <f t="shared" ca="1" si="335"/>
        <v>31.578947368421051</v>
      </c>
      <c r="L824" s="881"/>
      <c r="M824" s="881"/>
      <c r="N824" s="881"/>
      <c r="O824" s="881"/>
      <c r="P824" s="881"/>
      <c r="Q824" s="1302"/>
      <c r="R824" s="1302"/>
      <c r="S824" s="1302"/>
      <c r="T824" s="1302"/>
      <c r="U824" s="1302"/>
      <c r="V824" s="1302"/>
      <c r="W824" s="1302"/>
      <c r="X824" s="1302"/>
      <c r="Y824" s="1302"/>
      <c r="Z824" s="1302"/>
    </row>
    <row r="825" spans="1:26" ht="18.75">
      <c r="A825" s="1429"/>
      <c r="B825" s="1301" t="s">
        <v>328</v>
      </c>
      <c r="C825" s="1301"/>
      <c r="D825" s="1300"/>
      <c r="E825" s="1301"/>
      <c r="F825" s="1301"/>
      <c r="G825" s="1016"/>
      <c r="H825" s="622" t="s">
        <v>12</v>
      </c>
      <c r="I825" s="880">
        <f ca="1">IFERROR(__xludf.DUMMYFUNCTION("IMPORTRANGE(""https://docs.google.com/spreadsheets/d/19vJNZY_5yjcGF2XGBMNZRCAIB0Kwfpjp8YEOfu-bneM/edit?usp=sharing"",""งานกองทุน!N76"")"),0)</f>
        <v>0</v>
      </c>
      <c r="J825" s="880">
        <f ca="1">IFERROR(__xludf.DUMMYFUNCTION("IMPORTRANGE(""https://docs.google.com/spreadsheets/d/19vJNZY_5yjcGF2XGBMNZRCAIB0Kwfpjp8YEOfu-bneM/edit?usp=sharing"",""งานกองทุน!P76"")"),0)</f>
        <v>0</v>
      </c>
      <c r="K825" s="881">
        <f t="shared" ca="1" si="335"/>
        <v>0</v>
      </c>
      <c r="L825" s="881"/>
      <c r="M825" s="881"/>
      <c r="N825" s="881"/>
      <c r="O825" s="881"/>
      <c r="P825" s="881"/>
      <c r="Q825" s="1302"/>
      <c r="R825" s="1302"/>
      <c r="S825" s="1302"/>
      <c r="T825" s="1302"/>
      <c r="U825" s="1302"/>
      <c r="V825" s="1302"/>
      <c r="W825" s="1302"/>
      <c r="X825" s="1302"/>
      <c r="Y825" s="1302"/>
      <c r="Z825" s="1302"/>
    </row>
    <row r="826" spans="1:26" ht="18.75">
      <c r="A826" s="1429"/>
      <c r="B826" s="1301"/>
      <c r="C826" s="1301"/>
      <c r="D826" s="1300"/>
      <c r="E826" s="1301"/>
      <c r="F826" s="1301"/>
      <c r="G826" s="1016"/>
      <c r="H826" s="622" t="s">
        <v>35</v>
      </c>
      <c r="I826" s="880">
        <f ca="1">IFERROR(__xludf.DUMMYFUNCTION("IMPORTRANGE(""https://docs.google.com/spreadsheets/d/19vJNZY_5yjcGF2XGBMNZRCAIB0Kwfpjp8YEOfu-bneM/edit?usp=sharing"",""งานกองทุน!M76"")"),0)</f>
        <v>0</v>
      </c>
      <c r="J826" s="880">
        <f ca="1">IFERROR(__xludf.DUMMYFUNCTION("IMPORTRANGE(""https://docs.google.com/spreadsheets/d/19vJNZY_5yjcGF2XGBMNZRCAIB0Kwfpjp8YEOfu-bneM/edit?usp=sharing"",""งานกองทุน!O76"")"),0)</f>
        <v>0</v>
      </c>
      <c r="K826" s="881">
        <f t="shared" ca="1" si="335"/>
        <v>0</v>
      </c>
      <c r="L826" s="881"/>
      <c r="M826" s="881"/>
      <c r="N826" s="881"/>
      <c r="O826" s="881"/>
      <c r="P826" s="881"/>
      <c r="Q826" s="1302"/>
      <c r="R826" s="1302"/>
      <c r="S826" s="1302"/>
      <c r="T826" s="1302"/>
      <c r="U826" s="1302"/>
      <c r="V826" s="1302"/>
      <c r="W826" s="1302"/>
      <c r="X826" s="1302"/>
      <c r="Y826" s="1302"/>
      <c r="Z826" s="1302"/>
    </row>
    <row r="827" spans="1:26" ht="18.75">
      <c r="A827" s="1429"/>
      <c r="B827" s="1301" t="s">
        <v>329</v>
      </c>
      <c r="C827" s="1301"/>
      <c r="D827" s="1300"/>
      <c r="E827" s="1301"/>
      <c r="F827" s="1301"/>
      <c r="G827" s="1016"/>
      <c r="H827" s="622" t="s">
        <v>12</v>
      </c>
      <c r="I827" s="880">
        <f ca="1">IFERROR(__xludf.DUMMYFUNCTION("IMPORTRANGE(""https://docs.google.com/spreadsheets/d/19vJNZY_5yjcGF2XGBMNZRCAIB0Kwfpjp8YEOfu-bneM/edit?usp=sharing"",""งานกองทุน!S76"")"),1050000)</f>
        <v>1050000</v>
      </c>
      <c r="J827" s="880">
        <f ca="1">IFERROR(__xludf.DUMMYFUNCTION("IMPORTRANGE(""https://docs.google.com/spreadsheets/d/19vJNZY_5yjcGF2XGBMNZRCAIB0Kwfpjp8YEOfu-bneM/edit?usp=sharing"",""งานกองทุน!U76"")"),390000)</f>
        <v>390000</v>
      </c>
      <c r="K827" s="881">
        <f t="shared" ca="1" si="335"/>
        <v>37.142857142857146</v>
      </c>
      <c r="L827" s="881"/>
      <c r="M827" s="881"/>
      <c r="N827" s="881"/>
      <c r="O827" s="881"/>
      <c r="P827" s="881"/>
      <c r="Q827" s="1302"/>
      <c r="R827" s="1302"/>
      <c r="S827" s="1302"/>
      <c r="T827" s="1302"/>
      <c r="U827" s="1302"/>
      <c r="V827" s="1302"/>
      <c r="W827" s="1302"/>
      <c r="X827" s="1302"/>
      <c r="Y827" s="1302"/>
      <c r="Z827" s="1302"/>
    </row>
    <row r="828" spans="1:26" ht="18.75">
      <c r="A828" s="1430"/>
      <c r="B828" s="1432"/>
      <c r="C828" s="1432"/>
      <c r="D828" s="1431"/>
      <c r="E828" s="1432"/>
      <c r="F828" s="1432"/>
      <c r="G828" s="1492"/>
      <c r="H828" s="827" t="s">
        <v>35</v>
      </c>
      <c r="I828" s="1138">
        <f ca="1">IFERROR(__xludf.DUMMYFUNCTION("IMPORTRANGE(""https://docs.google.com/spreadsheets/d/19vJNZY_5yjcGF2XGBMNZRCAIB0Kwfpjp8YEOfu-bneM/edit?usp=sharing"",""งานกองทุน!R76"")"),42)</f>
        <v>42</v>
      </c>
      <c r="J828" s="1138">
        <f ca="1">IFERROR(__xludf.DUMMYFUNCTION("IMPORTRANGE(""https://docs.google.com/spreadsheets/d/19vJNZY_5yjcGF2XGBMNZRCAIB0Kwfpjp8YEOfu-bneM/edit?usp=sharing"",""งานกองทุน!T76"")"),13)</f>
        <v>13</v>
      </c>
      <c r="K828" s="1239">
        <f t="shared" ca="1" si="335"/>
        <v>30.952380952380953</v>
      </c>
      <c r="L828" s="1239"/>
      <c r="M828" s="1239"/>
      <c r="N828" s="1239"/>
      <c r="O828" s="1239"/>
      <c r="P828" s="1239"/>
      <c r="Q828" s="1302"/>
      <c r="R828" s="1302"/>
      <c r="S828" s="1302"/>
      <c r="T828" s="1302"/>
      <c r="U828" s="1302"/>
      <c r="V828" s="1302"/>
      <c r="W828" s="1302"/>
      <c r="X828" s="1302"/>
      <c r="Y828" s="1302"/>
      <c r="Z828" s="130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C76B3-11AB-4257-9D8E-884A5A0BE0F7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52" customWidth="1"/>
    <col min="4" max="6" width="5.85546875" style="852" customWidth="1"/>
    <col min="7" max="7" width="56.42578125" style="852" customWidth="1"/>
    <col min="8" max="8" width="9.42578125" style="852" customWidth="1"/>
    <col min="9" max="9" width="16.140625" style="852" bestFit="1" customWidth="1"/>
    <col min="10" max="10" width="13.7109375" style="852" bestFit="1" customWidth="1"/>
    <col min="11" max="11" width="13.28515625" style="852" bestFit="1" customWidth="1"/>
    <col min="12" max="15" width="20.28515625" style="852" bestFit="1" customWidth="1"/>
    <col min="16" max="16" width="22.140625" style="852" bestFit="1" customWidth="1"/>
    <col min="17" max="16384" width="12.5703125" style="852"/>
  </cols>
  <sheetData>
    <row r="1" spans="1:26" ht="19.5">
      <c r="A1" s="828" t="s">
        <v>0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51"/>
    </row>
    <row r="2" spans="1:26" ht="19.5">
      <c r="A2" s="828" t="s">
        <v>337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</row>
    <row r="3" spans="1:26" ht="19.5">
      <c r="A3" s="828" t="s">
        <v>330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</row>
    <row r="4" spans="1:26" ht="12.75">
      <c r="A4" s="853"/>
      <c r="B4" s="853"/>
      <c r="C4" s="853"/>
      <c r="D4" s="853"/>
      <c r="E4" s="853"/>
      <c r="F4" s="853"/>
      <c r="G4" s="853"/>
      <c r="H4" s="853"/>
      <c r="I4" s="853"/>
      <c r="J4" s="854"/>
      <c r="K4" s="855"/>
      <c r="L4" s="854"/>
      <c r="M4" s="854"/>
      <c r="N4" s="854"/>
      <c r="O4" s="853"/>
      <c r="P4" s="853"/>
    </row>
    <row r="5" spans="1:26" ht="19.5">
      <c r="A5" s="836" t="s">
        <v>2</v>
      </c>
      <c r="B5" s="851"/>
      <c r="C5" s="851"/>
      <c r="D5" s="851"/>
      <c r="E5" s="851"/>
      <c r="F5" s="851"/>
      <c r="G5" s="837"/>
      <c r="H5" s="830" t="s">
        <v>3</v>
      </c>
      <c r="I5" s="832" t="s">
        <v>4</v>
      </c>
      <c r="J5" s="833"/>
      <c r="K5" s="831"/>
      <c r="L5" s="834" t="s">
        <v>5</v>
      </c>
      <c r="M5" s="831"/>
      <c r="N5" s="835" t="s">
        <v>6</v>
      </c>
      <c r="O5" s="833"/>
      <c r="P5" s="831"/>
    </row>
    <row r="6" spans="1:26" ht="19.5">
      <c r="A6" s="838"/>
      <c r="B6" s="833"/>
      <c r="C6" s="833"/>
      <c r="D6" s="833"/>
      <c r="E6" s="833"/>
      <c r="F6" s="833"/>
      <c r="G6" s="831"/>
      <c r="H6" s="83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6" t="s">
        <v>15</v>
      </c>
      <c r="B7" s="833"/>
      <c r="C7" s="833"/>
      <c r="D7" s="833"/>
      <c r="E7" s="833"/>
      <c r="F7" s="833"/>
      <c r="G7" s="831"/>
      <c r="H7" s="857"/>
      <c r="I7" s="858"/>
      <c r="J7" s="858"/>
      <c r="K7" s="859"/>
      <c r="L7" s="859"/>
      <c r="M7" s="859"/>
      <c r="N7" s="859"/>
      <c r="O7" s="859"/>
      <c r="P7" s="859"/>
    </row>
    <row r="8" spans="1:26" ht="19.5">
      <c r="A8" s="860"/>
      <c r="B8" s="861"/>
      <c r="C8" s="862" t="s">
        <v>16</v>
      </c>
      <c r="D8" s="863" t="s">
        <v>17</v>
      </c>
      <c r="E8" s="861"/>
      <c r="F8" s="861"/>
      <c r="G8" s="864"/>
      <c r="H8" s="19" t="s">
        <v>12</v>
      </c>
      <c r="I8" s="865"/>
      <c r="J8" s="865"/>
      <c r="K8" s="866"/>
      <c r="L8" s="867">
        <f t="shared" ref="L8:N8" ca="1" si="0">L9+L10</f>
        <v>3539657</v>
      </c>
      <c r="M8" s="867">
        <f t="shared" ca="1" si="0"/>
        <v>3015152.7</v>
      </c>
      <c r="N8" s="867">
        <f t="shared" ca="1" si="0"/>
        <v>1816157.89</v>
      </c>
      <c r="O8" s="867">
        <f t="shared" ref="O8:O16" ca="1" si="1">IF(L8&gt;0,N8*100/L8,0)</f>
        <v>51.308866650073725</v>
      </c>
      <c r="P8" s="867">
        <f t="shared" ref="P8:P16" ca="1" si="2">IF(M8&gt;0,N8*100/M8,0)</f>
        <v>60.234358611422891</v>
      </c>
      <c r="Q8" s="868"/>
      <c r="R8" s="868"/>
      <c r="S8" s="868"/>
      <c r="T8" s="868"/>
      <c r="U8" s="868"/>
      <c r="V8" s="868"/>
      <c r="W8" s="868"/>
      <c r="X8" s="868"/>
      <c r="Y8" s="868"/>
      <c r="Z8" s="868"/>
    </row>
    <row r="9" spans="1:26" ht="18.75" hidden="1">
      <c r="A9" s="869"/>
      <c r="B9" s="870"/>
      <c r="C9" s="870"/>
      <c r="D9" s="870"/>
      <c r="E9" s="871" t="s">
        <v>18</v>
      </c>
      <c r="F9" s="870"/>
      <c r="G9" s="872"/>
      <c r="H9" s="28" t="s">
        <v>12</v>
      </c>
      <c r="I9" s="873"/>
      <c r="J9" s="873"/>
      <c r="K9" s="874"/>
      <c r="L9" s="874">
        <f t="shared" ref="L9:N10" si="3">L12+L15</f>
        <v>0</v>
      </c>
      <c r="M9" s="874">
        <f t="shared" si="3"/>
        <v>0</v>
      </c>
      <c r="N9" s="874">
        <f t="shared" si="3"/>
        <v>0</v>
      </c>
      <c r="O9" s="874">
        <f t="shared" si="1"/>
        <v>0</v>
      </c>
      <c r="P9" s="874">
        <f t="shared" si="2"/>
        <v>0</v>
      </c>
      <c r="Q9" s="875"/>
      <c r="R9" s="875"/>
      <c r="S9" s="875"/>
      <c r="T9" s="875"/>
      <c r="U9" s="875"/>
      <c r="V9" s="875"/>
      <c r="W9" s="875"/>
      <c r="X9" s="875"/>
      <c r="Y9" s="875"/>
      <c r="Z9" s="875"/>
    </row>
    <row r="10" spans="1:26" ht="18.75" hidden="1">
      <c r="A10" s="869"/>
      <c r="B10" s="870"/>
      <c r="C10" s="870"/>
      <c r="D10" s="870"/>
      <c r="E10" s="871" t="s">
        <v>19</v>
      </c>
      <c r="F10" s="870"/>
      <c r="G10" s="872"/>
      <c r="H10" s="28" t="s">
        <v>12</v>
      </c>
      <c r="I10" s="873"/>
      <c r="J10" s="873"/>
      <c r="K10" s="874"/>
      <c r="L10" s="874">
        <f t="shared" ca="1" si="3"/>
        <v>3539657</v>
      </c>
      <c r="M10" s="874">
        <f t="shared" ca="1" si="3"/>
        <v>3015152.7</v>
      </c>
      <c r="N10" s="874">
        <f t="shared" ca="1" si="3"/>
        <v>1816157.89</v>
      </c>
      <c r="O10" s="874">
        <f t="shared" ca="1" si="1"/>
        <v>51.308866650073725</v>
      </c>
      <c r="P10" s="874">
        <f t="shared" ca="1" si="2"/>
        <v>60.234358611422891</v>
      </c>
      <c r="Q10" s="875"/>
      <c r="R10" s="875"/>
      <c r="S10" s="875"/>
      <c r="T10" s="875"/>
      <c r="U10" s="875"/>
      <c r="V10" s="875"/>
      <c r="W10" s="875"/>
      <c r="X10" s="875"/>
      <c r="Y10" s="875"/>
      <c r="Z10" s="875"/>
    </row>
    <row r="11" spans="1:26" ht="18.75">
      <c r="A11" s="876"/>
      <c r="B11" s="877"/>
      <c r="C11" s="877"/>
      <c r="D11" s="878" t="s">
        <v>20</v>
      </c>
      <c r="E11" s="877"/>
      <c r="F11" s="877"/>
      <c r="G11" s="879"/>
      <c r="H11" s="622" t="s">
        <v>12</v>
      </c>
      <c r="I11" s="880"/>
      <c r="J11" s="880"/>
      <c r="K11" s="881"/>
      <c r="L11" s="881">
        <f t="shared" ref="L11:N11" ca="1" si="4">L12+L13</f>
        <v>3410057</v>
      </c>
      <c r="M11" s="881">
        <f t="shared" ca="1" si="4"/>
        <v>2885552.7</v>
      </c>
      <c r="N11" s="881">
        <f t="shared" ca="1" si="4"/>
        <v>1686557.89</v>
      </c>
      <c r="O11" s="881">
        <f t="shared" ca="1" si="1"/>
        <v>49.458348936689326</v>
      </c>
      <c r="P11" s="881">
        <f t="shared" ca="1" si="2"/>
        <v>58.448348214191334</v>
      </c>
      <c r="Q11" s="868"/>
      <c r="R11" s="868"/>
      <c r="S11" s="868"/>
      <c r="T11" s="868"/>
      <c r="U11" s="868"/>
      <c r="V11" s="868"/>
      <c r="W11" s="868"/>
      <c r="X11" s="868"/>
      <c r="Y11" s="868"/>
      <c r="Z11" s="868"/>
    </row>
    <row r="12" spans="1:26" ht="18.75" hidden="1">
      <c r="A12" s="882"/>
      <c r="B12" s="883"/>
      <c r="C12" s="883"/>
      <c r="D12" s="883"/>
      <c r="E12" s="884" t="s">
        <v>18</v>
      </c>
      <c r="F12" s="883"/>
      <c r="G12" s="885"/>
      <c r="H12" s="43" t="s">
        <v>12</v>
      </c>
      <c r="I12" s="886"/>
      <c r="J12" s="886"/>
      <c r="K12" s="887"/>
      <c r="L12" s="887">
        <f t="shared" ref="L12:N13" si="5">L22+L32</f>
        <v>0</v>
      </c>
      <c r="M12" s="887">
        <f t="shared" si="5"/>
        <v>0</v>
      </c>
      <c r="N12" s="887">
        <f t="shared" si="5"/>
        <v>0</v>
      </c>
      <c r="O12" s="887">
        <f t="shared" si="1"/>
        <v>0</v>
      </c>
      <c r="P12" s="887">
        <f t="shared" si="2"/>
        <v>0</v>
      </c>
      <c r="Q12" s="875"/>
      <c r="R12" s="875"/>
      <c r="S12" s="875"/>
      <c r="T12" s="875"/>
      <c r="U12" s="875"/>
      <c r="V12" s="875"/>
      <c r="W12" s="875"/>
      <c r="X12" s="875"/>
      <c r="Y12" s="875"/>
      <c r="Z12" s="875"/>
    </row>
    <row r="13" spans="1:26" ht="18.75" hidden="1">
      <c r="A13" s="882"/>
      <c r="B13" s="883"/>
      <c r="C13" s="883"/>
      <c r="D13" s="883"/>
      <c r="E13" s="884" t="s">
        <v>19</v>
      </c>
      <c r="F13" s="883"/>
      <c r="G13" s="885"/>
      <c r="H13" s="43" t="s">
        <v>12</v>
      </c>
      <c r="I13" s="886"/>
      <c r="J13" s="886"/>
      <c r="K13" s="887"/>
      <c r="L13" s="887">
        <f t="shared" ca="1" si="5"/>
        <v>3410057</v>
      </c>
      <c r="M13" s="887">
        <f t="shared" ca="1" si="5"/>
        <v>2885552.7</v>
      </c>
      <c r="N13" s="887">
        <f t="shared" ca="1" si="5"/>
        <v>1686557.89</v>
      </c>
      <c r="O13" s="887">
        <f t="shared" ca="1" si="1"/>
        <v>49.458348936689326</v>
      </c>
      <c r="P13" s="887">
        <f t="shared" ca="1" si="2"/>
        <v>58.448348214191334</v>
      </c>
      <c r="Q13" s="875"/>
      <c r="R13" s="875"/>
      <c r="S13" s="875"/>
      <c r="T13" s="875"/>
      <c r="U13" s="875"/>
      <c r="V13" s="875"/>
      <c r="W13" s="875"/>
      <c r="X13" s="875"/>
      <c r="Y13" s="875"/>
      <c r="Z13" s="875"/>
    </row>
    <row r="14" spans="1:26" ht="18.75">
      <c r="A14" s="876"/>
      <c r="B14" s="877"/>
      <c r="C14" s="877"/>
      <c r="D14" s="878" t="s">
        <v>21</v>
      </c>
      <c r="E14" s="877"/>
      <c r="F14" s="877"/>
      <c r="G14" s="879"/>
      <c r="H14" s="622" t="s">
        <v>12</v>
      </c>
      <c r="I14" s="880"/>
      <c r="J14" s="880"/>
      <c r="K14" s="881"/>
      <c r="L14" s="881">
        <f t="shared" ref="L14:N14" ca="1" si="6">L15+L16</f>
        <v>129600</v>
      </c>
      <c r="M14" s="881">
        <f t="shared" ca="1" si="6"/>
        <v>129600</v>
      </c>
      <c r="N14" s="881">
        <f t="shared" ca="1" si="6"/>
        <v>129600</v>
      </c>
      <c r="O14" s="881">
        <f t="shared" ca="1" si="1"/>
        <v>100</v>
      </c>
      <c r="P14" s="881">
        <f t="shared" ca="1" si="2"/>
        <v>100</v>
      </c>
      <c r="Q14" s="868"/>
      <c r="R14" s="868"/>
      <c r="S14" s="868"/>
      <c r="T14" s="868"/>
      <c r="U14" s="868"/>
      <c r="V14" s="868"/>
      <c r="W14" s="868"/>
      <c r="X14" s="868"/>
      <c r="Y14" s="868"/>
      <c r="Z14" s="868"/>
    </row>
    <row r="15" spans="1:26" ht="18.75" hidden="1">
      <c r="A15" s="882"/>
      <c r="B15" s="883"/>
      <c r="C15" s="883"/>
      <c r="D15" s="883"/>
      <c r="E15" s="884" t="s">
        <v>18</v>
      </c>
      <c r="F15" s="883"/>
      <c r="G15" s="885"/>
      <c r="H15" s="43" t="s">
        <v>12</v>
      </c>
      <c r="I15" s="886"/>
      <c r="J15" s="886"/>
      <c r="K15" s="887"/>
      <c r="L15" s="887">
        <f t="shared" ref="L15:N16" si="7">L25+L35</f>
        <v>0</v>
      </c>
      <c r="M15" s="887">
        <f t="shared" si="7"/>
        <v>0</v>
      </c>
      <c r="N15" s="887">
        <f t="shared" si="7"/>
        <v>0</v>
      </c>
      <c r="O15" s="887">
        <f t="shared" si="1"/>
        <v>0</v>
      </c>
      <c r="P15" s="887">
        <f t="shared" si="2"/>
        <v>0</v>
      </c>
      <c r="Q15" s="875"/>
      <c r="R15" s="875"/>
      <c r="S15" s="875"/>
      <c r="T15" s="875"/>
      <c r="U15" s="875"/>
      <c r="V15" s="875"/>
      <c r="W15" s="875"/>
      <c r="X15" s="875"/>
      <c r="Y15" s="875"/>
      <c r="Z15" s="875"/>
    </row>
    <row r="16" spans="1:26" ht="18.75" hidden="1">
      <c r="A16" s="888"/>
      <c r="B16" s="889"/>
      <c r="C16" s="889"/>
      <c r="D16" s="889"/>
      <c r="E16" s="890" t="s">
        <v>19</v>
      </c>
      <c r="F16" s="889"/>
      <c r="G16" s="891"/>
      <c r="H16" s="50" t="s">
        <v>12</v>
      </c>
      <c r="I16" s="892"/>
      <c r="J16" s="892"/>
      <c r="K16" s="893"/>
      <c r="L16" s="893">
        <f t="shared" ca="1" si="7"/>
        <v>129600</v>
      </c>
      <c r="M16" s="893">
        <f t="shared" ca="1" si="7"/>
        <v>129600</v>
      </c>
      <c r="N16" s="893">
        <f t="shared" ca="1" si="7"/>
        <v>129600</v>
      </c>
      <c r="O16" s="893">
        <f t="shared" ca="1" si="1"/>
        <v>100</v>
      </c>
      <c r="P16" s="893">
        <f t="shared" ca="1" si="2"/>
        <v>100</v>
      </c>
      <c r="Q16" s="875"/>
      <c r="R16" s="875"/>
      <c r="S16" s="875"/>
      <c r="T16" s="875"/>
      <c r="U16" s="875"/>
      <c r="V16" s="875"/>
      <c r="W16" s="875"/>
      <c r="X16" s="875"/>
      <c r="Y16" s="875"/>
      <c r="Z16" s="875"/>
    </row>
    <row r="17" spans="1:26" ht="19.5">
      <c r="A17" s="856" t="s">
        <v>22</v>
      </c>
      <c r="B17" s="833"/>
      <c r="C17" s="833"/>
      <c r="D17" s="833"/>
      <c r="E17" s="833"/>
      <c r="F17" s="833"/>
      <c r="G17" s="831"/>
      <c r="H17" s="857"/>
      <c r="I17" s="858"/>
      <c r="J17" s="858"/>
      <c r="K17" s="859"/>
      <c r="L17" s="859"/>
      <c r="M17" s="859"/>
      <c r="N17" s="859"/>
      <c r="O17" s="859"/>
      <c r="P17" s="859"/>
    </row>
    <row r="18" spans="1:26" ht="19.5">
      <c r="A18" s="860"/>
      <c r="B18" s="861"/>
      <c r="C18" s="862" t="s">
        <v>16</v>
      </c>
      <c r="D18" s="863" t="s">
        <v>17</v>
      </c>
      <c r="E18" s="861"/>
      <c r="F18" s="861"/>
      <c r="G18" s="864"/>
      <c r="H18" s="19" t="s">
        <v>12</v>
      </c>
      <c r="I18" s="865"/>
      <c r="J18" s="865"/>
      <c r="K18" s="866"/>
      <c r="L18" s="867">
        <f t="shared" ref="L18:N18" ca="1" si="8">L19+L20</f>
        <v>2695565</v>
      </c>
      <c r="M18" s="867">
        <f t="shared" ca="1" si="8"/>
        <v>2171060.7000000002</v>
      </c>
      <c r="N18" s="867">
        <f t="shared" ca="1" si="8"/>
        <v>1525596.65</v>
      </c>
      <c r="O18" s="867">
        <f t="shared" ref="O18:O26" ca="1" si="9">IF(L18&gt;0,N18*100/L18,0)</f>
        <v>56.596544694711497</v>
      </c>
      <c r="P18" s="867">
        <f t="shared" ref="P18:P26" ca="1" si="10">IF(M18&gt;0,N18*100/M18,0)</f>
        <v>70.269645155476297</v>
      </c>
      <c r="Q18" s="868"/>
      <c r="R18" s="868"/>
      <c r="S18" s="868"/>
      <c r="T18" s="868"/>
      <c r="U18" s="868"/>
      <c r="V18" s="868"/>
      <c r="W18" s="868"/>
      <c r="X18" s="868"/>
      <c r="Y18" s="868"/>
      <c r="Z18" s="868"/>
    </row>
    <row r="19" spans="1:26" ht="18.75" hidden="1">
      <c r="A19" s="869"/>
      <c r="B19" s="870"/>
      <c r="C19" s="870"/>
      <c r="D19" s="870"/>
      <c r="E19" s="871" t="s">
        <v>18</v>
      </c>
      <c r="F19" s="870"/>
      <c r="G19" s="872"/>
      <c r="H19" s="28" t="s">
        <v>12</v>
      </c>
      <c r="I19" s="873"/>
      <c r="J19" s="873"/>
      <c r="K19" s="874"/>
      <c r="L19" s="874">
        <f t="shared" ref="L19:N20" si="11">L22+L25</f>
        <v>0</v>
      </c>
      <c r="M19" s="874">
        <f t="shared" si="11"/>
        <v>0</v>
      </c>
      <c r="N19" s="874">
        <f t="shared" si="11"/>
        <v>0</v>
      </c>
      <c r="O19" s="874">
        <f t="shared" si="9"/>
        <v>0</v>
      </c>
      <c r="P19" s="874">
        <f t="shared" si="10"/>
        <v>0</v>
      </c>
      <c r="Q19" s="875"/>
      <c r="R19" s="875"/>
      <c r="S19" s="875"/>
      <c r="T19" s="875"/>
      <c r="U19" s="875"/>
      <c r="V19" s="875"/>
      <c r="W19" s="875"/>
      <c r="X19" s="875"/>
      <c r="Y19" s="875"/>
      <c r="Z19" s="875"/>
    </row>
    <row r="20" spans="1:26" ht="18.75" hidden="1">
      <c r="A20" s="869"/>
      <c r="B20" s="870"/>
      <c r="C20" s="870"/>
      <c r="D20" s="870"/>
      <c r="E20" s="871" t="s">
        <v>19</v>
      </c>
      <c r="F20" s="870"/>
      <c r="G20" s="872"/>
      <c r="H20" s="28" t="s">
        <v>12</v>
      </c>
      <c r="I20" s="873"/>
      <c r="J20" s="873"/>
      <c r="K20" s="874"/>
      <c r="L20" s="874">
        <f t="shared" ca="1" si="11"/>
        <v>2695565</v>
      </c>
      <c r="M20" s="874">
        <f t="shared" ca="1" si="11"/>
        <v>2171060.7000000002</v>
      </c>
      <c r="N20" s="874">
        <f t="shared" ca="1" si="11"/>
        <v>1525596.65</v>
      </c>
      <c r="O20" s="874">
        <f t="shared" ca="1" si="9"/>
        <v>56.596544694711497</v>
      </c>
      <c r="P20" s="874">
        <f t="shared" ca="1" si="10"/>
        <v>70.269645155476297</v>
      </c>
      <c r="Q20" s="875"/>
      <c r="R20" s="875"/>
      <c r="S20" s="875"/>
      <c r="T20" s="875"/>
      <c r="U20" s="875"/>
      <c r="V20" s="875"/>
      <c r="W20" s="875"/>
      <c r="X20" s="875"/>
      <c r="Y20" s="875"/>
      <c r="Z20" s="875"/>
    </row>
    <row r="21" spans="1:26" ht="18.75">
      <c r="A21" s="876"/>
      <c r="B21" s="877"/>
      <c r="C21" s="877"/>
      <c r="D21" s="878" t="s">
        <v>20</v>
      </c>
      <c r="E21" s="877"/>
      <c r="F21" s="877"/>
      <c r="G21" s="879"/>
      <c r="H21" s="622" t="s">
        <v>12</v>
      </c>
      <c r="I21" s="880"/>
      <c r="J21" s="880"/>
      <c r="K21" s="881"/>
      <c r="L21" s="881">
        <f t="shared" ref="L21:N21" ca="1" si="12">L22+L23</f>
        <v>2565965</v>
      </c>
      <c r="M21" s="881">
        <f t="shared" ca="1" si="12"/>
        <v>2041460.7</v>
      </c>
      <c r="N21" s="881">
        <f t="shared" ca="1" si="12"/>
        <v>1395996.65</v>
      </c>
      <c r="O21" s="881">
        <f t="shared" ca="1" si="9"/>
        <v>54.404352748381214</v>
      </c>
      <c r="P21" s="881">
        <f t="shared" ca="1" si="10"/>
        <v>68.382244634932235</v>
      </c>
      <c r="Q21" s="868"/>
      <c r="R21" s="868"/>
      <c r="S21" s="868"/>
      <c r="T21" s="868"/>
      <c r="U21" s="868"/>
      <c r="V21" s="868"/>
      <c r="W21" s="868"/>
      <c r="X21" s="868"/>
      <c r="Y21" s="868"/>
      <c r="Z21" s="868"/>
    </row>
    <row r="22" spans="1:26" ht="18.75" hidden="1">
      <c r="A22" s="882"/>
      <c r="B22" s="883"/>
      <c r="C22" s="883"/>
      <c r="D22" s="883"/>
      <c r="E22" s="884" t="s">
        <v>18</v>
      </c>
      <c r="F22" s="883"/>
      <c r="G22" s="885"/>
      <c r="H22" s="43" t="s">
        <v>12</v>
      </c>
      <c r="I22" s="886"/>
      <c r="J22" s="886"/>
      <c r="K22" s="887"/>
      <c r="L22" s="887">
        <f t="shared" ref="L22:N23" si="13">L45+L57+L70+L92+L123+L136+L153+L185+L169+L265+L281+L302+L319+L332+L349+L393+L406</f>
        <v>0</v>
      </c>
      <c r="M22" s="887">
        <f t="shared" si="13"/>
        <v>0</v>
      </c>
      <c r="N22" s="887">
        <f t="shared" si="13"/>
        <v>0</v>
      </c>
      <c r="O22" s="887">
        <f t="shared" si="9"/>
        <v>0</v>
      </c>
      <c r="P22" s="887">
        <f t="shared" si="10"/>
        <v>0</v>
      </c>
      <c r="Q22" s="875"/>
      <c r="R22" s="875"/>
      <c r="S22" s="875"/>
      <c r="T22" s="875"/>
      <c r="U22" s="875"/>
      <c r="V22" s="875"/>
      <c r="W22" s="875"/>
      <c r="X22" s="875"/>
      <c r="Y22" s="875"/>
      <c r="Z22" s="875"/>
    </row>
    <row r="23" spans="1:26" ht="18.75" hidden="1">
      <c r="A23" s="882"/>
      <c r="B23" s="883"/>
      <c r="C23" s="883"/>
      <c r="D23" s="883"/>
      <c r="E23" s="884" t="s">
        <v>19</v>
      </c>
      <c r="F23" s="883"/>
      <c r="G23" s="885"/>
      <c r="H23" s="43" t="s">
        <v>12</v>
      </c>
      <c r="I23" s="886"/>
      <c r="J23" s="886"/>
      <c r="K23" s="887"/>
      <c r="L23" s="887">
        <f t="shared" ca="1" si="13"/>
        <v>2565965</v>
      </c>
      <c r="M23" s="887">
        <f t="shared" ca="1" si="13"/>
        <v>2041460.7</v>
      </c>
      <c r="N23" s="887">
        <f t="shared" ca="1" si="13"/>
        <v>1395996.65</v>
      </c>
      <c r="O23" s="887">
        <f t="shared" ca="1" si="9"/>
        <v>54.404352748381214</v>
      </c>
      <c r="P23" s="887">
        <f t="shared" ca="1" si="10"/>
        <v>68.382244634932235</v>
      </c>
      <c r="Q23" s="875"/>
      <c r="R23" s="875"/>
      <c r="S23" s="875"/>
      <c r="T23" s="875"/>
      <c r="U23" s="875"/>
      <c r="V23" s="875"/>
      <c r="W23" s="875"/>
      <c r="X23" s="875"/>
      <c r="Y23" s="875"/>
      <c r="Z23" s="875"/>
    </row>
    <row r="24" spans="1:26" ht="18.75">
      <c r="A24" s="876"/>
      <c r="B24" s="877"/>
      <c r="C24" s="877"/>
      <c r="D24" s="878" t="s">
        <v>21</v>
      </c>
      <c r="E24" s="877"/>
      <c r="F24" s="877"/>
      <c r="G24" s="879"/>
      <c r="H24" s="622" t="s">
        <v>12</v>
      </c>
      <c r="I24" s="880"/>
      <c r="J24" s="880"/>
      <c r="K24" s="881"/>
      <c r="L24" s="881">
        <f t="shared" ref="L24:N24" ca="1" si="14">L25+L26</f>
        <v>129600</v>
      </c>
      <c r="M24" s="881">
        <f t="shared" ca="1" si="14"/>
        <v>129600</v>
      </c>
      <c r="N24" s="881">
        <f t="shared" ca="1" si="14"/>
        <v>129600</v>
      </c>
      <c r="O24" s="881">
        <f t="shared" ca="1" si="9"/>
        <v>100</v>
      </c>
      <c r="P24" s="881">
        <f t="shared" ca="1" si="10"/>
        <v>100</v>
      </c>
      <c r="Q24" s="868"/>
      <c r="R24" s="868"/>
      <c r="S24" s="868"/>
      <c r="T24" s="868"/>
      <c r="U24" s="868"/>
      <c r="V24" s="868"/>
      <c r="W24" s="868"/>
      <c r="X24" s="868"/>
      <c r="Y24" s="868"/>
      <c r="Z24" s="868"/>
    </row>
    <row r="25" spans="1:26" ht="18.75" hidden="1">
      <c r="A25" s="882"/>
      <c r="B25" s="883"/>
      <c r="C25" s="883"/>
      <c r="D25" s="883"/>
      <c r="E25" s="884" t="s">
        <v>18</v>
      </c>
      <c r="F25" s="883"/>
      <c r="G25" s="885"/>
      <c r="H25" s="43" t="s">
        <v>12</v>
      </c>
      <c r="I25" s="886"/>
      <c r="J25" s="886"/>
      <c r="K25" s="887"/>
      <c r="L25" s="887">
        <f t="shared" ref="L25:N26" si="15">L48+L60+L73+L95+L126+L139+L156+L188+L172+L268+L284+L305+L322+L335+L352+L396+L409</f>
        <v>0</v>
      </c>
      <c r="M25" s="887">
        <f t="shared" si="15"/>
        <v>0</v>
      </c>
      <c r="N25" s="887">
        <f t="shared" si="15"/>
        <v>0</v>
      </c>
      <c r="O25" s="887">
        <f t="shared" si="9"/>
        <v>0</v>
      </c>
      <c r="P25" s="887">
        <f t="shared" si="10"/>
        <v>0</v>
      </c>
      <c r="Q25" s="875"/>
      <c r="R25" s="875"/>
      <c r="S25" s="875"/>
      <c r="T25" s="875"/>
      <c r="U25" s="875"/>
      <c r="V25" s="875"/>
      <c r="W25" s="875"/>
      <c r="X25" s="875"/>
      <c r="Y25" s="875"/>
      <c r="Z25" s="875"/>
    </row>
    <row r="26" spans="1:26" ht="18.75" hidden="1">
      <c r="A26" s="888"/>
      <c r="B26" s="889"/>
      <c r="C26" s="889"/>
      <c r="D26" s="889"/>
      <c r="E26" s="890" t="s">
        <v>19</v>
      </c>
      <c r="F26" s="889"/>
      <c r="G26" s="891"/>
      <c r="H26" s="50" t="s">
        <v>12</v>
      </c>
      <c r="I26" s="892"/>
      <c r="J26" s="892"/>
      <c r="K26" s="893"/>
      <c r="L26" s="893">
        <f t="shared" ca="1" si="15"/>
        <v>129600</v>
      </c>
      <c r="M26" s="893">
        <f t="shared" ca="1" si="15"/>
        <v>129600</v>
      </c>
      <c r="N26" s="893">
        <f t="shared" ca="1" si="15"/>
        <v>129600</v>
      </c>
      <c r="O26" s="893">
        <f t="shared" ca="1" si="9"/>
        <v>100</v>
      </c>
      <c r="P26" s="893">
        <f t="shared" ca="1" si="10"/>
        <v>100</v>
      </c>
      <c r="Q26" s="875"/>
      <c r="R26" s="875"/>
      <c r="S26" s="875"/>
      <c r="T26" s="875"/>
      <c r="U26" s="875"/>
      <c r="V26" s="875"/>
      <c r="W26" s="875"/>
      <c r="X26" s="875"/>
      <c r="Y26" s="875"/>
      <c r="Z26" s="875"/>
    </row>
    <row r="27" spans="1:26" ht="19.5">
      <c r="A27" s="856" t="s">
        <v>23</v>
      </c>
      <c r="B27" s="833"/>
      <c r="C27" s="833"/>
      <c r="D27" s="833"/>
      <c r="E27" s="833"/>
      <c r="F27" s="833"/>
      <c r="G27" s="831"/>
      <c r="H27" s="857"/>
      <c r="I27" s="858"/>
      <c r="J27" s="858"/>
      <c r="K27" s="859"/>
      <c r="L27" s="859"/>
      <c r="M27" s="859"/>
      <c r="N27" s="859"/>
      <c r="O27" s="859"/>
      <c r="P27" s="859"/>
    </row>
    <row r="28" spans="1:26" ht="19.5">
      <c r="A28" s="860"/>
      <c r="B28" s="861"/>
      <c r="C28" s="862" t="s">
        <v>16</v>
      </c>
      <c r="D28" s="863" t="s">
        <v>17</v>
      </c>
      <c r="E28" s="861"/>
      <c r="F28" s="861"/>
      <c r="G28" s="864"/>
      <c r="H28" s="19" t="s">
        <v>12</v>
      </c>
      <c r="I28" s="865"/>
      <c r="J28" s="865"/>
      <c r="K28" s="866"/>
      <c r="L28" s="867">
        <f t="shared" ref="L28:N28" ca="1" si="16">L29+L30</f>
        <v>844092</v>
      </c>
      <c r="M28" s="867">
        <f t="shared" ca="1" si="16"/>
        <v>844092</v>
      </c>
      <c r="N28" s="867">
        <f t="shared" si="16"/>
        <v>290561.24</v>
      </c>
      <c r="O28" s="867">
        <f t="shared" ref="O28:O37" ca="1" si="17">IF(L28&gt;0,N28*100/L28,0)</f>
        <v>34.422934940741058</v>
      </c>
      <c r="P28" s="867">
        <f t="shared" ref="P28:P37" ca="1" si="18">IF(M28&gt;0,N28*100/M28,0)</f>
        <v>34.422934940741058</v>
      </c>
      <c r="Q28" s="868"/>
      <c r="R28" s="868"/>
      <c r="S28" s="868"/>
      <c r="T28" s="868"/>
      <c r="U28" s="868"/>
      <c r="V28" s="868"/>
      <c r="W28" s="868"/>
      <c r="X28" s="868"/>
      <c r="Y28" s="868"/>
      <c r="Z28" s="868"/>
    </row>
    <row r="29" spans="1:26" ht="18.75" hidden="1">
      <c r="A29" s="869"/>
      <c r="B29" s="870"/>
      <c r="C29" s="870"/>
      <c r="D29" s="870"/>
      <c r="E29" s="871" t="s">
        <v>18</v>
      </c>
      <c r="F29" s="870"/>
      <c r="G29" s="872"/>
      <c r="H29" s="28" t="s">
        <v>12</v>
      </c>
      <c r="I29" s="873"/>
      <c r="J29" s="873"/>
      <c r="K29" s="874"/>
      <c r="L29" s="874">
        <f t="shared" ref="L29:N30" si="19">L32+L35</f>
        <v>0</v>
      </c>
      <c r="M29" s="874">
        <f t="shared" si="19"/>
        <v>0</v>
      </c>
      <c r="N29" s="874">
        <f t="shared" si="19"/>
        <v>0</v>
      </c>
      <c r="O29" s="874">
        <f t="shared" si="17"/>
        <v>0</v>
      </c>
      <c r="P29" s="874">
        <f t="shared" si="18"/>
        <v>0</v>
      </c>
      <c r="Q29" s="875"/>
      <c r="R29" s="875"/>
      <c r="S29" s="875"/>
      <c r="T29" s="875"/>
      <c r="U29" s="875"/>
      <c r="V29" s="875"/>
      <c r="W29" s="875"/>
      <c r="X29" s="875"/>
      <c r="Y29" s="875"/>
      <c r="Z29" s="875"/>
    </row>
    <row r="30" spans="1:26" ht="18.75" hidden="1">
      <c r="A30" s="869"/>
      <c r="B30" s="870"/>
      <c r="C30" s="870"/>
      <c r="D30" s="870"/>
      <c r="E30" s="871" t="s">
        <v>19</v>
      </c>
      <c r="F30" s="870"/>
      <c r="G30" s="872"/>
      <c r="H30" s="28" t="s">
        <v>12</v>
      </c>
      <c r="I30" s="873"/>
      <c r="J30" s="873"/>
      <c r="K30" s="874"/>
      <c r="L30" s="874">
        <f t="shared" ca="1" si="19"/>
        <v>844092</v>
      </c>
      <c r="M30" s="874">
        <f t="shared" ca="1" si="19"/>
        <v>844092</v>
      </c>
      <c r="N30" s="874">
        <f t="shared" si="19"/>
        <v>290561.24</v>
      </c>
      <c r="O30" s="874">
        <f t="shared" ca="1" si="17"/>
        <v>34.422934940741058</v>
      </c>
      <c r="P30" s="874">
        <f t="shared" ca="1" si="18"/>
        <v>34.422934940741058</v>
      </c>
      <c r="Q30" s="875"/>
      <c r="R30" s="875"/>
      <c r="S30" s="875"/>
      <c r="T30" s="875"/>
      <c r="U30" s="875"/>
      <c r="V30" s="875"/>
      <c r="W30" s="875"/>
      <c r="X30" s="875"/>
      <c r="Y30" s="875"/>
      <c r="Z30" s="875"/>
    </row>
    <row r="31" spans="1:26" ht="18.75">
      <c r="A31" s="876"/>
      <c r="B31" s="877"/>
      <c r="C31" s="877"/>
      <c r="D31" s="878" t="s">
        <v>20</v>
      </c>
      <c r="E31" s="877"/>
      <c r="F31" s="877"/>
      <c r="G31" s="879"/>
      <c r="H31" s="622" t="s">
        <v>12</v>
      </c>
      <c r="I31" s="880"/>
      <c r="J31" s="880"/>
      <c r="K31" s="881"/>
      <c r="L31" s="881">
        <f t="shared" ref="L31:N31" ca="1" si="20">L32+L33</f>
        <v>844092</v>
      </c>
      <c r="M31" s="881">
        <f t="shared" ca="1" si="20"/>
        <v>844092</v>
      </c>
      <c r="N31" s="881">
        <f t="shared" si="20"/>
        <v>290561.24</v>
      </c>
      <c r="O31" s="881">
        <f t="shared" ca="1" si="17"/>
        <v>34.422934940741058</v>
      </c>
      <c r="P31" s="881">
        <f t="shared" ca="1" si="18"/>
        <v>34.422934940741058</v>
      </c>
      <c r="Q31" s="868"/>
      <c r="R31" s="868"/>
      <c r="S31" s="868"/>
      <c r="T31" s="868"/>
      <c r="U31" s="868"/>
      <c r="V31" s="868"/>
      <c r="W31" s="868"/>
      <c r="X31" s="868"/>
      <c r="Y31" s="868"/>
      <c r="Z31" s="868"/>
    </row>
    <row r="32" spans="1:26" ht="18.75" hidden="1">
      <c r="A32" s="882"/>
      <c r="B32" s="883"/>
      <c r="C32" s="883"/>
      <c r="D32" s="883"/>
      <c r="E32" s="884" t="s">
        <v>18</v>
      </c>
      <c r="F32" s="883"/>
      <c r="G32" s="885"/>
      <c r="H32" s="43" t="s">
        <v>12</v>
      </c>
      <c r="I32" s="886"/>
      <c r="J32" s="886"/>
      <c r="K32" s="887"/>
      <c r="L32" s="887">
        <f t="shared" ref="L32:N33" si="21">L423+L448+L471+L506+L527+L548+L633+L659+L689+L741+L758+L774+L790+L809</f>
        <v>0</v>
      </c>
      <c r="M32" s="887">
        <f t="shared" si="21"/>
        <v>0</v>
      </c>
      <c r="N32" s="887">
        <f t="shared" si="21"/>
        <v>0</v>
      </c>
      <c r="O32" s="887">
        <f t="shared" si="17"/>
        <v>0</v>
      </c>
      <c r="P32" s="887">
        <f t="shared" si="18"/>
        <v>0</v>
      </c>
      <c r="Q32" s="875"/>
      <c r="R32" s="875"/>
      <c r="S32" s="875"/>
      <c r="T32" s="875"/>
      <c r="U32" s="875"/>
      <c r="V32" s="875"/>
      <c r="W32" s="875"/>
      <c r="X32" s="875"/>
      <c r="Y32" s="875"/>
      <c r="Z32" s="875"/>
    </row>
    <row r="33" spans="1:26" ht="18.75" hidden="1">
      <c r="A33" s="882"/>
      <c r="B33" s="883"/>
      <c r="C33" s="883"/>
      <c r="D33" s="883"/>
      <c r="E33" s="884" t="s">
        <v>19</v>
      </c>
      <c r="F33" s="883"/>
      <c r="G33" s="885"/>
      <c r="H33" s="43" t="s">
        <v>12</v>
      </c>
      <c r="I33" s="886"/>
      <c r="J33" s="886"/>
      <c r="K33" s="887"/>
      <c r="L33" s="887">
        <f t="shared" ca="1" si="21"/>
        <v>844092</v>
      </c>
      <c r="M33" s="887">
        <f t="shared" ca="1" si="21"/>
        <v>844092</v>
      </c>
      <c r="N33" s="887">
        <f t="shared" si="21"/>
        <v>290561.24</v>
      </c>
      <c r="O33" s="887">
        <f t="shared" ca="1" si="17"/>
        <v>34.422934940741058</v>
      </c>
      <c r="P33" s="887">
        <f t="shared" ca="1" si="18"/>
        <v>34.422934940741058</v>
      </c>
      <c r="Q33" s="875"/>
      <c r="R33" s="875"/>
      <c r="S33" s="875"/>
      <c r="T33" s="875"/>
      <c r="U33" s="875"/>
      <c r="V33" s="875"/>
      <c r="W33" s="875"/>
      <c r="X33" s="875"/>
      <c r="Y33" s="875"/>
      <c r="Z33" s="875"/>
    </row>
    <row r="34" spans="1:26" ht="18.75">
      <c r="A34" s="876"/>
      <c r="B34" s="877"/>
      <c r="C34" s="877"/>
      <c r="D34" s="878" t="s">
        <v>21</v>
      </c>
      <c r="E34" s="877"/>
      <c r="F34" s="877"/>
      <c r="G34" s="879"/>
      <c r="H34" s="622" t="s">
        <v>12</v>
      </c>
      <c r="I34" s="880"/>
      <c r="J34" s="880"/>
      <c r="K34" s="881"/>
      <c r="L34" s="881">
        <f t="shared" ref="L34:N34" ca="1" si="22">L35+L36</f>
        <v>0</v>
      </c>
      <c r="M34" s="881">
        <f t="shared" si="22"/>
        <v>0</v>
      </c>
      <c r="N34" s="881">
        <f t="shared" si="22"/>
        <v>0</v>
      </c>
      <c r="O34" s="881">
        <f t="shared" ca="1" si="17"/>
        <v>0</v>
      </c>
      <c r="P34" s="881">
        <f t="shared" si="18"/>
        <v>0</v>
      </c>
      <c r="Q34" s="868"/>
      <c r="R34" s="868"/>
      <c r="S34" s="868"/>
      <c r="T34" s="868"/>
      <c r="U34" s="868"/>
      <c r="V34" s="868"/>
      <c r="W34" s="868"/>
      <c r="X34" s="868"/>
      <c r="Y34" s="868"/>
      <c r="Z34" s="868"/>
    </row>
    <row r="35" spans="1:26" ht="18.75" hidden="1">
      <c r="A35" s="882"/>
      <c r="B35" s="883"/>
      <c r="C35" s="883"/>
      <c r="D35" s="883"/>
      <c r="E35" s="884" t="s">
        <v>18</v>
      </c>
      <c r="F35" s="883"/>
      <c r="G35" s="885"/>
      <c r="H35" s="43" t="s">
        <v>12</v>
      </c>
      <c r="I35" s="886"/>
      <c r="J35" s="886"/>
      <c r="K35" s="887"/>
      <c r="L35" s="887">
        <f t="shared" ref="L35:N36" si="23">L430+L455+L478+L513+L534+L556+L640+L666+L696+L748+L765+L781+L797+L816</f>
        <v>0</v>
      </c>
      <c r="M35" s="887">
        <f t="shared" si="23"/>
        <v>0</v>
      </c>
      <c r="N35" s="887">
        <f t="shared" si="23"/>
        <v>0</v>
      </c>
      <c r="O35" s="887">
        <f t="shared" si="17"/>
        <v>0</v>
      </c>
      <c r="P35" s="887">
        <f t="shared" si="18"/>
        <v>0</v>
      </c>
      <c r="Q35" s="875"/>
      <c r="R35" s="875"/>
      <c r="S35" s="875"/>
      <c r="T35" s="875"/>
      <c r="U35" s="875"/>
      <c r="V35" s="875"/>
      <c r="W35" s="875"/>
      <c r="X35" s="875"/>
      <c r="Y35" s="875"/>
      <c r="Z35" s="875"/>
    </row>
    <row r="36" spans="1:26" ht="18.75" hidden="1">
      <c r="A36" s="888"/>
      <c r="B36" s="889"/>
      <c r="C36" s="889"/>
      <c r="D36" s="889"/>
      <c r="E36" s="890" t="s">
        <v>19</v>
      </c>
      <c r="F36" s="889"/>
      <c r="G36" s="891"/>
      <c r="H36" s="50" t="s">
        <v>12</v>
      </c>
      <c r="I36" s="892"/>
      <c r="J36" s="892"/>
      <c r="K36" s="893"/>
      <c r="L36" s="893">
        <f t="shared" ca="1" si="23"/>
        <v>0</v>
      </c>
      <c r="M36" s="893">
        <f t="shared" si="23"/>
        <v>0</v>
      </c>
      <c r="N36" s="893">
        <f t="shared" si="23"/>
        <v>0</v>
      </c>
      <c r="O36" s="893">
        <f t="shared" ca="1" si="17"/>
        <v>0</v>
      </c>
      <c r="P36" s="893">
        <f t="shared" si="18"/>
        <v>0</v>
      </c>
      <c r="Q36" s="875"/>
      <c r="R36" s="875"/>
      <c r="S36" s="875"/>
      <c r="T36" s="875"/>
      <c r="U36" s="875"/>
      <c r="V36" s="875"/>
      <c r="W36" s="875"/>
      <c r="X36" s="875"/>
      <c r="Y36" s="875"/>
      <c r="Z36" s="875"/>
    </row>
    <row r="37" spans="1:26" ht="19.5">
      <c r="A37" s="894" t="s">
        <v>24</v>
      </c>
      <c r="B37" s="895"/>
      <c r="C37" s="895"/>
      <c r="D37" s="895"/>
      <c r="E37" s="895"/>
      <c r="F37" s="895"/>
      <c r="G37" s="896"/>
      <c r="H37" s="897"/>
      <c r="I37" s="898"/>
      <c r="J37" s="898"/>
      <c r="K37" s="899"/>
      <c r="L37" s="900">
        <f t="shared" ref="L37:N37" ca="1" si="24">L41+L53+L66+L88+L119+L132+L149+L165+L181+L261+L277+L298+L315+L328+L345+L389+L402</f>
        <v>2695565</v>
      </c>
      <c r="M37" s="900">
        <f t="shared" ca="1" si="24"/>
        <v>2171060.7000000002</v>
      </c>
      <c r="N37" s="900">
        <f t="shared" ca="1" si="24"/>
        <v>1525596.65</v>
      </c>
      <c r="O37" s="900">
        <f t="shared" ca="1" si="17"/>
        <v>56.596544694711497</v>
      </c>
      <c r="P37" s="900">
        <f t="shared" ca="1" si="18"/>
        <v>70.269645155476297</v>
      </c>
    </row>
    <row r="38" spans="1:26" ht="19.5">
      <c r="A38" s="901" t="s">
        <v>25</v>
      </c>
      <c r="B38" s="902"/>
      <c r="C38" s="902"/>
      <c r="D38" s="902"/>
      <c r="E38" s="902"/>
      <c r="F38" s="902"/>
      <c r="G38" s="903"/>
      <c r="H38" s="904"/>
      <c r="I38" s="905"/>
      <c r="J38" s="905"/>
      <c r="K38" s="906"/>
      <c r="L38" s="906"/>
      <c r="M38" s="906"/>
      <c r="N38" s="906"/>
      <c r="O38" s="906"/>
      <c r="P38" s="906"/>
    </row>
    <row r="39" spans="1:26" ht="19.5">
      <c r="A39" s="907"/>
      <c r="B39" s="908" t="s">
        <v>26</v>
      </c>
      <c r="C39" s="909"/>
      <c r="D39" s="909"/>
      <c r="E39" s="909"/>
      <c r="F39" s="909"/>
      <c r="G39" s="910"/>
      <c r="H39" s="911"/>
      <c r="I39" s="912"/>
      <c r="J39" s="912"/>
      <c r="K39" s="913"/>
      <c r="L39" s="913"/>
      <c r="M39" s="913"/>
      <c r="N39" s="913"/>
      <c r="O39" s="913"/>
      <c r="P39" s="913"/>
    </row>
    <row r="40" spans="1:26" ht="19.5">
      <c r="A40" s="914"/>
      <c r="B40" s="915" t="s">
        <v>27</v>
      </c>
      <c r="C40" s="841"/>
      <c r="D40" s="841"/>
      <c r="E40" s="841"/>
      <c r="F40" s="841"/>
      <c r="G40" s="842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82" t="s">
        <v>12</v>
      </c>
      <c r="I41" s="924"/>
      <c r="J41" s="924"/>
      <c r="K41" s="925"/>
      <c r="L41" s="926">
        <f t="shared" ref="L41:N41" ca="1" si="25">L42+L43</f>
        <v>342700</v>
      </c>
      <c r="M41" s="926">
        <f t="shared" ca="1" si="25"/>
        <v>354225.7</v>
      </c>
      <c r="N41" s="926">
        <f t="shared" ca="1" si="25"/>
        <v>152058.96</v>
      </c>
      <c r="O41" s="926">
        <f t="shared" ref="O41:O49" ca="1" si="26">IF(L41&gt;0,N41*100/L41,0)</f>
        <v>44.370866647213305</v>
      </c>
      <c r="P41" s="926">
        <f t="shared" ref="P41:P49" ca="1" si="27">IF(M41&gt;0,N41*100/M41,0)</f>
        <v>42.927139391636459</v>
      </c>
      <c r="Q41" s="868"/>
      <c r="R41" s="868"/>
      <c r="S41" s="868"/>
      <c r="T41" s="868"/>
      <c r="U41" s="868"/>
      <c r="V41" s="868"/>
      <c r="W41" s="868"/>
      <c r="X41" s="868"/>
      <c r="Y41" s="868"/>
      <c r="Z41" s="868"/>
    </row>
    <row r="42" spans="1:26" ht="18.75" hidden="1">
      <c r="A42" s="927"/>
      <c r="B42" s="928"/>
      <c r="C42" s="928"/>
      <c r="D42" s="928"/>
      <c r="E42" s="929" t="s">
        <v>18</v>
      </c>
      <c r="F42" s="928"/>
      <c r="G42" s="930"/>
      <c r="H42" s="90" t="s">
        <v>12</v>
      </c>
      <c r="I42" s="931"/>
      <c r="J42" s="931"/>
      <c r="K42" s="932"/>
      <c r="L42" s="932">
        <f t="shared" ref="L42:N43" si="28">L45+L48</f>
        <v>0</v>
      </c>
      <c r="M42" s="932">
        <f t="shared" si="28"/>
        <v>0</v>
      </c>
      <c r="N42" s="932">
        <f t="shared" si="28"/>
        <v>0</v>
      </c>
      <c r="O42" s="932">
        <f t="shared" si="26"/>
        <v>0</v>
      </c>
      <c r="P42" s="932">
        <f t="shared" si="27"/>
        <v>0</v>
      </c>
      <c r="Q42" s="875"/>
      <c r="R42" s="875"/>
      <c r="S42" s="875"/>
      <c r="T42" s="875"/>
      <c r="U42" s="875"/>
      <c r="V42" s="875"/>
      <c r="W42" s="875"/>
      <c r="X42" s="875"/>
      <c r="Y42" s="875"/>
      <c r="Z42" s="875"/>
    </row>
    <row r="43" spans="1:26" ht="18.75" hidden="1">
      <c r="A43" s="927"/>
      <c r="B43" s="928"/>
      <c r="C43" s="928"/>
      <c r="D43" s="928"/>
      <c r="E43" s="929" t="s">
        <v>19</v>
      </c>
      <c r="F43" s="928"/>
      <c r="G43" s="930"/>
      <c r="H43" s="90" t="s">
        <v>12</v>
      </c>
      <c r="I43" s="931"/>
      <c r="J43" s="931"/>
      <c r="K43" s="932"/>
      <c r="L43" s="932">
        <f t="shared" ca="1" si="28"/>
        <v>342700</v>
      </c>
      <c r="M43" s="932">
        <f t="shared" ca="1" si="28"/>
        <v>354225.7</v>
      </c>
      <c r="N43" s="932">
        <f t="shared" ca="1" si="28"/>
        <v>152058.96</v>
      </c>
      <c r="O43" s="932">
        <f t="shared" ca="1" si="26"/>
        <v>44.370866647213305</v>
      </c>
      <c r="P43" s="932">
        <f t="shared" ca="1" si="27"/>
        <v>42.927139391636459</v>
      </c>
      <c r="Q43" s="875"/>
      <c r="R43" s="875"/>
      <c r="S43" s="875"/>
      <c r="T43" s="875"/>
      <c r="U43" s="875"/>
      <c r="V43" s="875"/>
      <c r="W43" s="875"/>
      <c r="X43" s="875"/>
      <c r="Y43" s="875"/>
      <c r="Z43" s="875"/>
    </row>
    <row r="44" spans="1:26" ht="18.75">
      <c r="A44" s="876"/>
      <c r="B44" s="877"/>
      <c r="C44" s="877"/>
      <c r="D44" s="878" t="s">
        <v>20</v>
      </c>
      <c r="E44" s="877"/>
      <c r="F44" s="877"/>
      <c r="G44" s="879"/>
      <c r="H44" s="622" t="s">
        <v>12</v>
      </c>
      <c r="I44" s="880"/>
      <c r="J44" s="880"/>
      <c r="K44" s="881"/>
      <c r="L44" s="881">
        <f t="shared" ref="L44:N44" ca="1" si="29">L45+L46</f>
        <v>342700</v>
      </c>
      <c r="M44" s="881">
        <f t="shared" ca="1" si="29"/>
        <v>354225.7</v>
      </c>
      <c r="N44" s="881">
        <f t="shared" ca="1" si="29"/>
        <v>152058.96</v>
      </c>
      <c r="O44" s="881">
        <f t="shared" ca="1" si="26"/>
        <v>44.370866647213305</v>
      </c>
      <c r="P44" s="881">
        <f t="shared" ca="1" si="27"/>
        <v>42.927139391636459</v>
      </c>
      <c r="Q44" s="868"/>
      <c r="R44" s="868"/>
      <c r="S44" s="868"/>
      <c r="T44" s="868"/>
      <c r="U44" s="868"/>
      <c r="V44" s="868"/>
      <c r="W44" s="868"/>
      <c r="X44" s="868"/>
      <c r="Y44" s="868"/>
      <c r="Z44" s="868"/>
    </row>
    <row r="45" spans="1:26" ht="18.75" hidden="1">
      <c r="A45" s="882"/>
      <c r="B45" s="883"/>
      <c r="C45" s="883"/>
      <c r="D45" s="883"/>
      <c r="E45" s="884" t="s">
        <v>18</v>
      </c>
      <c r="F45" s="883"/>
      <c r="G45" s="885"/>
      <c r="H45" s="43" t="s">
        <v>12</v>
      </c>
      <c r="I45" s="886"/>
      <c r="J45" s="886"/>
      <c r="K45" s="887"/>
      <c r="L45" s="887">
        <v>0</v>
      </c>
      <c r="M45" s="887">
        <v>0</v>
      </c>
      <c r="N45" s="887">
        <v>0</v>
      </c>
      <c r="O45" s="887">
        <f t="shared" si="26"/>
        <v>0</v>
      </c>
      <c r="P45" s="887">
        <f t="shared" si="27"/>
        <v>0</v>
      </c>
      <c r="Q45" s="875"/>
      <c r="R45" s="875"/>
      <c r="S45" s="875"/>
      <c r="T45" s="875"/>
      <c r="U45" s="875"/>
      <c r="V45" s="875"/>
      <c r="W45" s="875"/>
      <c r="X45" s="875"/>
      <c r="Y45" s="875"/>
      <c r="Z45" s="875"/>
    </row>
    <row r="46" spans="1:26" ht="18.75" hidden="1">
      <c r="A46" s="882"/>
      <c r="B46" s="883"/>
      <c r="C46" s="883"/>
      <c r="D46" s="883"/>
      <c r="E46" s="884" t="s">
        <v>19</v>
      </c>
      <c r="F46" s="883"/>
      <c r="G46" s="885"/>
      <c r="H46" s="43" t="s">
        <v>12</v>
      </c>
      <c r="I46" s="886"/>
      <c r="J46" s="886"/>
      <c r="K46" s="887"/>
      <c r="L46" s="887">
        <f ca="1">IFERROR(__xludf.DUMMYFUNCTION("IMPORTRANGE(""https://docs.google.com/spreadsheets/d/1MeEWN-I1oV_STSDYn1IFDPWt_1FKiwhDph83XaGc0o0/edit?usp=sharing"",""งบพรบ!M77"")"),342700)</f>
        <v>342700</v>
      </c>
      <c r="M46" s="887">
        <f ca="1">IFERROR(__xludf.DUMMYFUNCTION("IMPORTRANGE(""https://docs.google.com/spreadsheets/d/1MeEWN-I1oV_STSDYn1IFDPWt_1FKiwhDph83XaGc0o0/edit?usp=sharing"",""งบพรบ!R77"")"),354225.7)</f>
        <v>354225.7</v>
      </c>
      <c r="N46" s="887">
        <f ca="1">IFERROR(__xludf.DUMMYFUNCTION("IMPORTRANGE(""https://docs.google.com/spreadsheets/d/1MeEWN-I1oV_STSDYn1IFDPWt_1FKiwhDph83XaGc0o0/edit?usp=sharing"",""งบพรบ!T77"")"),152058.96)</f>
        <v>152058.96</v>
      </c>
      <c r="O46" s="887">
        <f t="shared" ca="1" si="26"/>
        <v>44.370866647213305</v>
      </c>
      <c r="P46" s="887">
        <f t="shared" ca="1" si="27"/>
        <v>42.927139391636459</v>
      </c>
      <c r="Q46" s="875"/>
      <c r="R46" s="875"/>
      <c r="S46" s="875"/>
      <c r="T46" s="875"/>
      <c r="U46" s="875"/>
      <c r="V46" s="875"/>
      <c r="W46" s="875"/>
      <c r="X46" s="875"/>
      <c r="Y46" s="875"/>
      <c r="Z46" s="875"/>
    </row>
    <row r="47" spans="1:26" ht="18.75">
      <c r="A47" s="876"/>
      <c r="B47" s="877"/>
      <c r="C47" s="877"/>
      <c r="D47" s="878" t="s">
        <v>21</v>
      </c>
      <c r="E47" s="877"/>
      <c r="F47" s="877"/>
      <c r="G47" s="879"/>
      <c r="H47" s="622" t="s">
        <v>12</v>
      </c>
      <c r="I47" s="880"/>
      <c r="J47" s="880"/>
      <c r="K47" s="881"/>
      <c r="L47" s="881">
        <f t="shared" ref="L47:N47" ca="1" si="30">L48+L49</f>
        <v>0</v>
      </c>
      <c r="M47" s="881">
        <f t="shared" ca="1" si="30"/>
        <v>0</v>
      </c>
      <c r="N47" s="881">
        <f t="shared" ca="1" si="30"/>
        <v>0</v>
      </c>
      <c r="O47" s="881">
        <f t="shared" ca="1" si="26"/>
        <v>0</v>
      </c>
      <c r="P47" s="881">
        <f t="shared" ca="1" si="27"/>
        <v>0</v>
      </c>
      <c r="Q47" s="868"/>
      <c r="R47" s="868"/>
      <c r="S47" s="868"/>
      <c r="T47" s="868"/>
      <c r="U47" s="868"/>
      <c r="V47" s="868"/>
      <c r="W47" s="868"/>
      <c r="X47" s="868"/>
      <c r="Y47" s="868"/>
      <c r="Z47" s="868"/>
    </row>
    <row r="48" spans="1:26" ht="18.75" hidden="1">
      <c r="A48" s="882"/>
      <c r="B48" s="883"/>
      <c r="C48" s="883"/>
      <c r="D48" s="883"/>
      <c r="E48" s="884" t="s">
        <v>18</v>
      </c>
      <c r="F48" s="883"/>
      <c r="G48" s="885"/>
      <c r="H48" s="43" t="s">
        <v>12</v>
      </c>
      <c r="I48" s="886"/>
      <c r="J48" s="886"/>
      <c r="K48" s="887"/>
      <c r="L48" s="887">
        <v>0</v>
      </c>
      <c r="M48" s="887">
        <v>0</v>
      </c>
      <c r="N48" s="887">
        <v>0</v>
      </c>
      <c r="O48" s="887">
        <f t="shared" si="26"/>
        <v>0</v>
      </c>
      <c r="P48" s="887">
        <f t="shared" si="27"/>
        <v>0</v>
      </c>
      <c r="Q48" s="875"/>
      <c r="R48" s="875"/>
      <c r="S48" s="875"/>
      <c r="T48" s="875"/>
      <c r="U48" s="875"/>
      <c r="V48" s="875"/>
      <c r="W48" s="875"/>
      <c r="X48" s="875"/>
      <c r="Y48" s="875"/>
      <c r="Z48" s="875"/>
    </row>
    <row r="49" spans="1:26" ht="18.75" hidden="1">
      <c r="A49" s="888"/>
      <c r="B49" s="889"/>
      <c r="C49" s="889"/>
      <c r="D49" s="889"/>
      <c r="E49" s="890" t="s">
        <v>19</v>
      </c>
      <c r="F49" s="889"/>
      <c r="G49" s="891"/>
      <c r="H49" s="50" t="s">
        <v>12</v>
      </c>
      <c r="I49" s="892"/>
      <c r="J49" s="892"/>
      <c r="K49" s="893"/>
      <c r="L49" s="893">
        <f ca="1">IFERROR(__xludf.DUMMYFUNCTION("IMPORTRANGE(""https://docs.google.com/spreadsheets/d/1MeEWN-I1oV_STSDYn1IFDPWt_1FKiwhDph83XaGc0o0/edit?usp=sharing"",""งบพรบ!P77"")"),0)</f>
        <v>0</v>
      </c>
      <c r="M49" s="893">
        <f ca="1">IFERROR(__xludf.DUMMYFUNCTION("IMPORTRANGE(""https://docs.google.com/spreadsheets/d/1MeEWN-I1oV_STSDYn1IFDPWt_1FKiwhDph83XaGc0o0/edit?usp=sharing"",""งบพรบ!S77"")"),0)</f>
        <v>0</v>
      </c>
      <c r="N49" s="893">
        <f ca="1">IFERROR(__xludf.DUMMYFUNCTION("IMPORTRANGE(""https://docs.google.com/spreadsheets/d/1MeEWN-I1oV_STSDYn1IFDPWt_1FKiwhDph83XaGc0o0/edit?usp=sharing"",""งบพรบ!U77"")"),0)</f>
        <v>0</v>
      </c>
      <c r="O49" s="893">
        <f t="shared" ca="1" si="26"/>
        <v>0</v>
      </c>
      <c r="P49" s="893">
        <f t="shared" ca="1" si="27"/>
        <v>0</v>
      </c>
      <c r="Q49" s="875"/>
      <c r="R49" s="875"/>
      <c r="S49" s="875"/>
      <c r="T49" s="875"/>
      <c r="U49" s="875"/>
      <c r="V49" s="875"/>
      <c r="W49" s="875"/>
      <c r="X49" s="875"/>
      <c r="Y49" s="875"/>
      <c r="Z49" s="875"/>
    </row>
    <row r="50" spans="1:26" ht="19.5">
      <c r="A50" s="933" t="s">
        <v>28</v>
      </c>
      <c r="B50" s="833"/>
      <c r="C50" s="833"/>
      <c r="D50" s="833"/>
      <c r="E50" s="833"/>
      <c r="F50" s="833"/>
      <c r="G50" s="831"/>
      <c r="H50" s="934"/>
      <c r="I50" s="935"/>
      <c r="J50" s="935"/>
      <c r="K50" s="936"/>
      <c r="L50" s="936"/>
      <c r="M50" s="936"/>
      <c r="N50" s="936"/>
      <c r="O50" s="936"/>
      <c r="P50" s="936"/>
    </row>
    <row r="51" spans="1:26" ht="19.5">
      <c r="A51" s="937"/>
      <c r="B51" s="938" t="s">
        <v>29</v>
      </c>
      <c r="C51" s="841"/>
      <c r="D51" s="841"/>
      <c r="E51" s="841"/>
      <c r="F51" s="841"/>
      <c r="G51" s="842"/>
      <c r="H51" s="939"/>
      <c r="I51" s="940"/>
      <c r="J51" s="940"/>
      <c r="K51" s="941"/>
      <c r="L51" s="941"/>
      <c r="M51" s="941"/>
      <c r="N51" s="941"/>
      <c r="O51" s="941"/>
      <c r="P51" s="941"/>
    </row>
    <row r="52" spans="1:26" ht="19.5">
      <c r="A52" s="942"/>
      <c r="B52" s="943" t="s">
        <v>30</v>
      </c>
      <c r="C52" s="944"/>
      <c r="D52" s="944"/>
      <c r="E52" s="944"/>
      <c r="F52" s="944"/>
      <c r="G52" s="945"/>
      <c r="H52" s="946"/>
      <c r="I52" s="947"/>
      <c r="J52" s="947"/>
      <c r="K52" s="948"/>
      <c r="L52" s="948"/>
      <c r="M52" s="948"/>
      <c r="N52" s="948"/>
      <c r="O52" s="948"/>
      <c r="P52" s="948"/>
    </row>
    <row r="53" spans="1:26" ht="19.5">
      <c r="A53" s="949"/>
      <c r="B53" s="950"/>
      <c r="C53" s="951" t="s">
        <v>16</v>
      </c>
      <c r="D53" s="952" t="s">
        <v>17</v>
      </c>
      <c r="E53" s="950"/>
      <c r="F53" s="950"/>
      <c r="G53" s="953"/>
      <c r="H53" s="113" t="s">
        <v>12</v>
      </c>
      <c r="I53" s="954"/>
      <c r="J53" s="954"/>
      <c r="K53" s="955"/>
      <c r="L53" s="956">
        <f t="shared" ref="L53:N53" ca="1" si="31">L54+L55</f>
        <v>728300</v>
      </c>
      <c r="M53" s="956">
        <f t="shared" ca="1" si="31"/>
        <v>546225</v>
      </c>
      <c r="N53" s="956">
        <f t="shared" ca="1" si="31"/>
        <v>426675.94</v>
      </c>
      <c r="O53" s="956">
        <f t="shared" ref="O53:O61" ca="1" si="32">IF(L53&gt;0,N53*100/L53,0)</f>
        <v>58.585190168886449</v>
      </c>
      <c r="P53" s="956">
        <f t="shared" ref="P53:P61" ca="1" si="33">IF(M53&gt;0,N53*100/M53,0)</f>
        <v>78.113586891848598</v>
      </c>
      <c r="Q53" s="868"/>
      <c r="R53" s="868"/>
      <c r="S53" s="868"/>
      <c r="T53" s="868"/>
      <c r="U53" s="868"/>
      <c r="V53" s="868"/>
      <c r="W53" s="868"/>
      <c r="X53" s="868"/>
      <c r="Y53" s="868"/>
      <c r="Z53" s="868"/>
    </row>
    <row r="54" spans="1:26" ht="18.75" hidden="1">
      <c r="A54" s="957"/>
      <c r="B54" s="958"/>
      <c r="C54" s="958"/>
      <c r="D54" s="958"/>
      <c r="E54" s="959" t="s">
        <v>18</v>
      </c>
      <c r="F54" s="958"/>
      <c r="G54" s="960"/>
      <c r="H54" s="121" t="s">
        <v>12</v>
      </c>
      <c r="I54" s="961"/>
      <c r="J54" s="961"/>
      <c r="K54" s="962"/>
      <c r="L54" s="962">
        <f t="shared" ref="L54:N55" si="34">L57+L60</f>
        <v>0</v>
      </c>
      <c r="M54" s="962">
        <f t="shared" si="34"/>
        <v>0</v>
      </c>
      <c r="N54" s="962">
        <f t="shared" si="34"/>
        <v>0</v>
      </c>
      <c r="O54" s="962">
        <f t="shared" si="32"/>
        <v>0</v>
      </c>
      <c r="P54" s="962">
        <f t="shared" si="33"/>
        <v>0</v>
      </c>
      <c r="Q54" s="875"/>
      <c r="R54" s="875"/>
      <c r="S54" s="875"/>
      <c r="T54" s="875"/>
      <c r="U54" s="875"/>
      <c r="V54" s="875"/>
      <c r="W54" s="875"/>
      <c r="X54" s="875"/>
      <c r="Y54" s="875"/>
      <c r="Z54" s="875"/>
    </row>
    <row r="55" spans="1:26" ht="18.75" hidden="1">
      <c r="A55" s="957"/>
      <c r="B55" s="958"/>
      <c r="C55" s="958"/>
      <c r="D55" s="958"/>
      <c r="E55" s="959" t="s">
        <v>19</v>
      </c>
      <c r="F55" s="958"/>
      <c r="G55" s="960"/>
      <c r="H55" s="121" t="s">
        <v>12</v>
      </c>
      <c r="I55" s="961"/>
      <c r="J55" s="961"/>
      <c r="K55" s="962"/>
      <c r="L55" s="962">
        <f t="shared" ca="1" si="34"/>
        <v>728300</v>
      </c>
      <c r="M55" s="962">
        <f t="shared" ca="1" si="34"/>
        <v>546225</v>
      </c>
      <c r="N55" s="962">
        <f t="shared" ca="1" si="34"/>
        <v>426675.94</v>
      </c>
      <c r="O55" s="962">
        <f t="shared" ca="1" si="32"/>
        <v>58.585190168886449</v>
      </c>
      <c r="P55" s="962">
        <f t="shared" ca="1" si="33"/>
        <v>78.113586891848598</v>
      </c>
      <c r="Q55" s="875"/>
      <c r="R55" s="875"/>
      <c r="S55" s="875"/>
      <c r="T55" s="875"/>
      <c r="U55" s="875"/>
      <c r="V55" s="875"/>
      <c r="W55" s="875"/>
      <c r="X55" s="875"/>
      <c r="Y55" s="875"/>
      <c r="Z55" s="875"/>
    </row>
    <row r="56" spans="1:26" ht="18.75">
      <c r="A56" s="876"/>
      <c r="B56" s="877"/>
      <c r="C56" s="877"/>
      <c r="D56" s="878" t="s">
        <v>20</v>
      </c>
      <c r="E56" s="877"/>
      <c r="F56" s="877"/>
      <c r="G56" s="879"/>
      <c r="H56" s="622" t="s">
        <v>12</v>
      </c>
      <c r="I56" s="880"/>
      <c r="J56" s="880"/>
      <c r="K56" s="881"/>
      <c r="L56" s="881">
        <f t="shared" ref="L56:N56" ca="1" si="35">L57+L58</f>
        <v>728300</v>
      </c>
      <c r="M56" s="881">
        <f t="shared" ca="1" si="35"/>
        <v>546225</v>
      </c>
      <c r="N56" s="881">
        <f t="shared" ca="1" si="35"/>
        <v>426675.94</v>
      </c>
      <c r="O56" s="881">
        <f t="shared" ca="1" si="32"/>
        <v>58.585190168886449</v>
      </c>
      <c r="P56" s="881">
        <f t="shared" ca="1" si="33"/>
        <v>78.113586891848598</v>
      </c>
      <c r="Q56" s="868"/>
      <c r="R56" s="868"/>
      <c r="S56" s="868"/>
      <c r="T56" s="868"/>
      <c r="U56" s="868"/>
      <c r="V56" s="868"/>
      <c r="W56" s="868"/>
      <c r="X56" s="868"/>
      <c r="Y56" s="868"/>
      <c r="Z56" s="868"/>
    </row>
    <row r="57" spans="1:26" ht="18.75" hidden="1">
      <c r="A57" s="882"/>
      <c r="B57" s="883"/>
      <c r="C57" s="883"/>
      <c r="D57" s="883"/>
      <c r="E57" s="884" t="s">
        <v>18</v>
      </c>
      <c r="F57" s="883"/>
      <c r="G57" s="885"/>
      <c r="H57" s="43" t="s">
        <v>12</v>
      </c>
      <c r="I57" s="886"/>
      <c r="J57" s="886"/>
      <c r="K57" s="887"/>
      <c r="L57" s="887">
        <v>0</v>
      </c>
      <c r="M57" s="887">
        <v>0</v>
      </c>
      <c r="N57" s="887">
        <v>0</v>
      </c>
      <c r="O57" s="887">
        <f t="shared" si="32"/>
        <v>0</v>
      </c>
      <c r="P57" s="887">
        <f t="shared" si="33"/>
        <v>0</v>
      </c>
      <c r="Q57" s="875"/>
      <c r="R57" s="875"/>
      <c r="S57" s="875"/>
      <c r="T57" s="875"/>
      <c r="U57" s="875"/>
      <c r="V57" s="875"/>
      <c r="W57" s="875"/>
      <c r="X57" s="875"/>
      <c r="Y57" s="875"/>
      <c r="Z57" s="875"/>
    </row>
    <row r="58" spans="1:26" ht="18.75" hidden="1">
      <c r="A58" s="882"/>
      <c r="B58" s="883"/>
      <c r="C58" s="883"/>
      <c r="D58" s="883"/>
      <c r="E58" s="884" t="s">
        <v>19</v>
      </c>
      <c r="F58" s="883"/>
      <c r="G58" s="885"/>
      <c r="H58" s="43" t="s">
        <v>12</v>
      </c>
      <c r="I58" s="886"/>
      <c r="J58" s="886"/>
      <c r="K58" s="887"/>
      <c r="L58" s="887">
        <f ca="1">IFERROR(__xludf.DUMMYFUNCTION("IMPORTRANGE(""https://docs.google.com/spreadsheets/d/1MeEWN-I1oV_STSDYn1IFDPWt_1FKiwhDph83XaGc0o0/edit?usp=sharing"",""งบพรบ!W77"")"),728300)</f>
        <v>728300</v>
      </c>
      <c r="M58" s="887">
        <f ca="1">IFERROR(__xludf.DUMMYFUNCTION("IMPORTRANGE(""https://docs.google.com/spreadsheets/d/1MeEWN-I1oV_STSDYn1IFDPWt_1FKiwhDph83XaGc0o0/edit?usp=sharing"",""งบพรบ!AB77"")"),546225)</f>
        <v>546225</v>
      </c>
      <c r="N58" s="887">
        <f ca="1">IFERROR(__xludf.DUMMYFUNCTION("IMPORTRANGE(""https://docs.google.com/spreadsheets/d/1MeEWN-I1oV_STSDYn1IFDPWt_1FKiwhDph83XaGc0o0/edit?usp=sharing"",""งบพรบ!AD77"")"),426675.94)</f>
        <v>426675.94</v>
      </c>
      <c r="O58" s="887">
        <f t="shared" ca="1" si="32"/>
        <v>58.585190168886449</v>
      </c>
      <c r="P58" s="887">
        <f t="shared" ca="1" si="33"/>
        <v>78.113586891848598</v>
      </c>
      <c r="Q58" s="875"/>
      <c r="R58" s="875"/>
      <c r="S58" s="875"/>
      <c r="T58" s="875"/>
      <c r="U58" s="875"/>
      <c r="V58" s="875"/>
      <c r="W58" s="875"/>
      <c r="X58" s="875"/>
      <c r="Y58" s="875"/>
      <c r="Z58" s="875"/>
    </row>
    <row r="59" spans="1:26" ht="18.75">
      <c r="A59" s="876"/>
      <c r="B59" s="877"/>
      <c r="C59" s="877"/>
      <c r="D59" s="878" t="s">
        <v>21</v>
      </c>
      <c r="E59" s="877"/>
      <c r="F59" s="877"/>
      <c r="G59" s="879"/>
      <c r="H59" s="622" t="s">
        <v>12</v>
      </c>
      <c r="I59" s="880"/>
      <c r="J59" s="880"/>
      <c r="K59" s="881"/>
      <c r="L59" s="881">
        <f t="shared" ref="L59:N59" ca="1" si="36">L60+L61</f>
        <v>0</v>
      </c>
      <c r="M59" s="881">
        <f t="shared" ca="1" si="36"/>
        <v>0</v>
      </c>
      <c r="N59" s="881">
        <f t="shared" ca="1" si="36"/>
        <v>0</v>
      </c>
      <c r="O59" s="881">
        <f t="shared" ca="1" si="32"/>
        <v>0</v>
      </c>
      <c r="P59" s="881">
        <f t="shared" ca="1" si="33"/>
        <v>0</v>
      </c>
      <c r="Q59" s="868"/>
      <c r="R59" s="868"/>
      <c r="S59" s="868"/>
      <c r="T59" s="868"/>
      <c r="U59" s="868"/>
      <c r="V59" s="868"/>
      <c r="W59" s="868"/>
      <c r="X59" s="868"/>
      <c r="Y59" s="868"/>
      <c r="Z59" s="868"/>
    </row>
    <row r="60" spans="1:26" ht="18.75" hidden="1">
      <c r="A60" s="882"/>
      <c r="B60" s="883"/>
      <c r="C60" s="883"/>
      <c r="D60" s="883"/>
      <c r="E60" s="884" t="s">
        <v>18</v>
      </c>
      <c r="F60" s="883"/>
      <c r="G60" s="885"/>
      <c r="H60" s="43" t="s">
        <v>12</v>
      </c>
      <c r="I60" s="886"/>
      <c r="J60" s="886"/>
      <c r="K60" s="887"/>
      <c r="L60" s="887">
        <v>0</v>
      </c>
      <c r="M60" s="887">
        <v>0</v>
      </c>
      <c r="N60" s="887">
        <v>0</v>
      </c>
      <c r="O60" s="887">
        <f t="shared" si="32"/>
        <v>0</v>
      </c>
      <c r="P60" s="887">
        <f t="shared" si="33"/>
        <v>0</v>
      </c>
      <c r="Q60" s="875"/>
      <c r="R60" s="875"/>
      <c r="S60" s="875"/>
      <c r="T60" s="875"/>
      <c r="U60" s="875"/>
      <c r="V60" s="875"/>
      <c r="W60" s="875"/>
      <c r="X60" s="875"/>
      <c r="Y60" s="875"/>
      <c r="Z60" s="875"/>
    </row>
    <row r="61" spans="1:26" ht="18.75" hidden="1">
      <c r="A61" s="888"/>
      <c r="B61" s="889"/>
      <c r="C61" s="889"/>
      <c r="D61" s="889"/>
      <c r="E61" s="890" t="s">
        <v>19</v>
      </c>
      <c r="F61" s="889"/>
      <c r="G61" s="891"/>
      <c r="H61" s="50" t="s">
        <v>12</v>
      </c>
      <c r="I61" s="892"/>
      <c r="J61" s="892"/>
      <c r="K61" s="893"/>
      <c r="L61" s="893">
        <f ca="1">IFERROR(__xludf.DUMMYFUNCTION("IMPORTRANGE(""https://docs.google.com/spreadsheets/d/1MeEWN-I1oV_STSDYn1IFDPWt_1FKiwhDph83XaGc0o0/edit?usp=sharing"",""งบพรบ!Z77"")"),0)</f>
        <v>0</v>
      </c>
      <c r="M61" s="893">
        <f ca="1">IFERROR(__xludf.DUMMYFUNCTION("IMPORTRANGE(""https://docs.google.com/spreadsheets/d/1MeEWN-I1oV_STSDYn1IFDPWt_1FKiwhDph83XaGc0o0/edit?usp=sharing"",""งบพรบ!AC77"")"),0)</f>
        <v>0</v>
      </c>
      <c r="N61" s="893">
        <f ca="1">IFERROR(__xludf.DUMMYFUNCTION("IMPORTRANGE(""https://docs.google.com/spreadsheets/d/1MeEWN-I1oV_STSDYn1IFDPWt_1FKiwhDph83XaGc0o0/edit?usp=sharing"",""งบพรบ!AE77"")"),0)</f>
        <v>0</v>
      </c>
      <c r="O61" s="893">
        <f t="shared" ca="1" si="32"/>
        <v>0</v>
      </c>
      <c r="P61" s="893">
        <f t="shared" ca="1" si="33"/>
        <v>0</v>
      </c>
      <c r="Q61" s="875"/>
      <c r="R61" s="875"/>
      <c r="S61" s="875"/>
      <c r="T61" s="875"/>
      <c r="U61" s="875"/>
      <c r="V61" s="875"/>
      <c r="W61" s="875"/>
      <c r="X61" s="875"/>
      <c r="Y61" s="875"/>
      <c r="Z61" s="875"/>
    </row>
    <row r="62" spans="1:26" ht="19.5">
      <c r="A62" s="963" t="s">
        <v>31</v>
      </c>
      <c r="B62" s="964"/>
      <c r="C62" s="964"/>
      <c r="D62" s="964"/>
      <c r="E62" s="965"/>
      <c r="F62" s="965"/>
      <c r="G62" s="966"/>
      <c r="H62" s="967"/>
      <c r="I62" s="968"/>
      <c r="J62" s="968"/>
      <c r="K62" s="969"/>
      <c r="L62" s="969"/>
      <c r="M62" s="969"/>
      <c r="N62" s="969"/>
      <c r="O62" s="969"/>
      <c r="P62" s="969"/>
    </row>
    <row r="63" spans="1:26" ht="19.5" hidden="1">
      <c r="A63" s="970" t="s">
        <v>32</v>
      </c>
      <c r="B63" s="971"/>
      <c r="C63" s="972"/>
      <c r="D63" s="971"/>
      <c r="E63" s="971"/>
      <c r="F63" s="971"/>
      <c r="G63" s="973"/>
      <c r="H63" s="974"/>
      <c r="I63" s="975"/>
      <c r="J63" s="975"/>
      <c r="K63" s="976"/>
      <c r="L63" s="976"/>
      <c r="M63" s="976"/>
      <c r="N63" s="976"/>
      <c r="O63" s="976"/>
      <c r="P63" s="976"/>
    </row>
    <row r="64" spans="1:26" ht="19.5" hidden="1">
      <c r="A64" s="977"/>
      <c r="B64" s="978" t="s">
        <v>33</v>
      </c>
      <c r="C64" s="979"/>
      <c r="D64" s="980"/>
      <c r="E64" s="979"/>
      <c r="F64" s="979"/>
      <c r="G64" s="981"/>
      <c r="H64" s="205" t="s">
        <v>34</v>
      </c>
      <c r="I64" s="982">
        <f t="shared" ref="I64:J65" ca="1" si="37">I76</f>
        <v>0</v>
      </c>
      <c r="J64" s="982">
        <f t="shared" si="37"/>
        <v>0</v>
      </c>
      <c r="K64" s="983">
        <f t="shared" ref="K64:K65" ca="1" si="38">IF(I64&gt;0,J64*100/I64,0)</f>
        <v>0</v>
      </c>
      <c r="L64" s="984"/>
      <c r="M64" s="984"/>
      <c r="N64" s="984"/>
      <c r="O64" s="984"/>
      <c r="P64" s="984"/>
    </row>
    <row r="65" spans="1:26" ht="19.5" hidden="1">
      <c r="A65" s="977"/>
      <c r="B65" s="979"/>
      <c r="C65" s="979"/>
      <c r="D65" s="980"/>
      <c r="E65" s="979"/>
      <c r="F65" s="979"/>
      <c r="G65" s="981"/>
      <c r="H65" s="205" t="s">
        <v>35</v>
      </c>
      <c r="I65" s="982">
        <f t="shared" ca="1" si="37"/>
        <v>0</v>
      </c>
      <c r="J65" s="982">
        <f t="shared" si="37"/>
        <v>0</v>
      </c>
      <c r="K65" s="983">
        <f t="shared" ca="1" si="38"/>
        <v>0</v>
      </c>
      <c r="L65" s="984"/>
      <c r="M65" s="984"/>
      <c r="N65" s="984"/>
      <c r="O65" s="984"/>
      <c r="P65" s="984"/>
    </row>
    <row r="66" spans="1:26" ht="19.5" hidden="1">
      <c r="A66" s="985"/>
      <c r="B66" s="986"/>
      <c r="C66" s="987" t="s">
        <v>16</v>
      </c>
      <c r="D66" s="988" t="s">
        <v>17</v>
      </c>
      <c r="E66" s="986"/>
      <c r="F66" s="986"/>
      <c r="G66" s="989"/>
      <c r="H66" s="152" t="s">
        <v>12</v>
      </c>
      <c r="I66" s="990"/>
      <c r="J66" s="990"/>
      <c r="K66" s="991"/>
      <c r="L66" s="992">
        <f t="shared" ref="L66:N66" ca="1" si="39">L67+L68</f>
        <v>0</v>
      </c>
      <c r="M66" s="992">
        <f t="shared" ca="1" si="39"/>
        <v>0</v>
      </c>
      <c r="N66" s="992">
        <f t="shared" ca="1" si="39"/>
        <v>0</v>
      </c>
      <c r="O66" s="992">
        <f t="shared" ref="O66:O74" ca="1" si="40">IF(L66&gt;0,N66*100/L66,0)</f>
        <v>0</v>
      </c>
      <c r="P66" s="992">
        <f t="shared" ref="P66:P74" ca="1" si="41">IF(M66&gt;0,N66*100/M66,0)</f>
        <v>0</v>
      </c>
      <c r="Q66" s="868"/>
      <c r="R66" s="868"/>
      <c r="S66" s="868"/>
      <c r="T66" s="868"/>
      <c r="U66" s="868"/>
      <c r="V66" s="868"/>
      <c r="W66" s="868"/>
      <c r="X66" s="868"/>
      <c r="Y66" s="868"/>
      <c r="Z66" s="868"/>
    </row>
    <row r="67" spans="1:26" ht="18.75" hidden="1">
      <c r="A67" s="993"/>
      <c r="B67" s="883"/>
      <c r="C67" s="883"/>
      <c r="D67" s="883"/>
      <c r="E67" s="884" t="s">
        <v>18</v>
      </c>
      <c r="F67" s="883"/>
      <c r="G67" s="994"/>
      <c r="H67" s="158" t="s">
        <v>12</v>
      </c>
      <c r="I67" s="886"/>
      <c r="J67" s="886"/>
      <c r="K67" s="887"/>
      <c r="L67" s="887">
        <f t="shared" ref="L67:N68" si="42">L70+L73</f>
        <v>0</v>
      </c>
      <c r="M67" s="887">
        <f t="shared" si="42"/>
        <v>0</v>
      </c>
      <c r="N67" s="887">
        <f t="shared" si="42"/>
        <v>0</v>
      </c>
      <c r="O67" s="887">
        <f t="shared" si="40"/>
        <v>0</v>
      </c>
      <c r="P67" s="887">
        <f t="shared" si="41"/>
        <v>0</v>
      </c>
      <c r="Q67" s="875"/>
      <c r="R67" s="875"/>
      <c r="S67" s="875"/>
      <c r="T67" s="875"/>
      <c r="U67" s="875"/>
      <c r="V67" s="875"/>
      <c r="W67" s="875"/>
      <c r="X67" s="875"/>
      <c r="Y67" s="875"/>
      <c r="Z67" s="875"/>
    </row>
    <row r="68" spans="1:26" ht="18.75" hidden="1">
      <c r="A68" s="993"/>
      <c r="B68" s="883"/>
      <c r="C68" s="883"/>
      <c r="D68" s="883"/>
      <c r="E68" s="884" t="s">
        <v>19</v>
      </c>
      <c r="F68" s="883"/>
      <c r="G68" s="994"/>
      <c r="H68" s="158" t="s">
        <v>12</v>
      </c>
      <c r="I68" s="886"/>
      <c r="J68" s="886"/>
      <c r="K68" s="887"/>
      <c r="L68" s="887">
        <f t="shared" ca="1" si="42"/>
        <v>0</v>
      </c>
      <c r="M68" s="887">
        <f t="shared" ca="1" si="42"/>
        <v>0</v>
      </c>
      <c r="N68" s="887">
        <f t="shared" ca="1" si="42"/>
        <v>0</v>
      </c>
      <c r="O68" s="887">
        <f t="shared" ca="1" si="40"/>
        <v>0</v>
      </c>
      <c r="P68" s="887">
        <f t="shared" ca="1" si="41"/>
        <v>0</v>
      </c>
      <c r="Q68" s="875"/>
      <c r="R68" s="875"/>
      <c r="S68" s="875"/>
      <c r="T68" s="875"/>
      <c r="U68" s="875"/>
      <c r="V68" s="875"/>
      <c r="W68" s="875"/>
      <c r="X68" s="875"/>
      <c r="Y68" s="875"/>
      <c r="Z68" s="875"/>
    </row>
    <row r="69" spans="1:26" ht="18.75" hidden="1">
      <c r="A69" s="995"/>
      <c r="B69" s="877"/>
      <c r="C69" s="996"/>
      <c r="D69" s="878" t="s">
        <v>20</v>
      </c>
      <c r="E69" s="877"/>
      <c r="F69" s="877"/>
      <c r="G69" s="879"/>
      <c r="H69" s="161" t="s">
        <v>12</v>
      </c>
      <c r="I69" s="997"/>
      <c r="J69" s="997"/>
      <c r="K69" s="998"/>
      <c r="L69" s="881">
        <f t="shared" ref="L69:N69" ca="1" si="43">L70+L71</f>
        <v>0</v>
      </c>
      <c r="M69" s="881">
        <f t="shared" ca="1" si="43"/>
        <v>0</v>
      </c>
      <c r="N69" s="881">
        <f t="shared" ca="1" si="43"/>
        <v>0</v>
      </c>
      <c r="O69" s="881">
        <f t="shared" ca="1" si="40"/>
        <v>0</v>
      </c>
      <c r="P69" s="881">
        <f t="shared" ca="1" si="41"/>
        <v>0</v>
      </c>
      <c r="Q69" s="868"/>
      <c r="R69" s="868"/>
      <c r="S69" s="868"/>
      <c r="T69" s="868"/>
      <c r="U69" s="868"/>
      <c r="V69" s="868"/>
      <c r="W69" s="868"/>
      <c r="X69" s="868"/>
      <c r="Y69" s="868"/>
      <c r="Z69" s="868"/>
    </row>
    <row r="70" spans="1:26" ht="19.5" hidden="1">
      <c r="A70" s="993"/>
      <c r="B70" s="883"/>
      <c r="C70" s="999"/>
      <c r="D70" s="883"/>
      <c r="E70" s="884" t="s">
        <v>36</v>
      </c>
      <c r="F70" s="883"/>
      <c r="G70" s="994"/>
      <c r="H70" s="165" t="s">
        <v>12</v>
      </c>
      <c r="I70" s="1000"/>
      <c r="J70" s="1000"/>
      <c r="K70" s="1001"/>
      <c r="L70" s="887">
        <v>0</v>
      </c>
      <c r="M70" s="887">
        <v>0</v>
      </c>
      <c r="N70" s="887">
        <v>0</v>
      </c>
      <c r="O70" s="887">
        <f t="shared" si="40"/>
        <v>0</v>
      </c>
      <c r="P70" s="887">
        <f t="shared" si="41"/>
        <v>0</v>
      </c>
      <c r="Q70" s="875"/>
      <c r="R70" s="875"/>
      <c r="S70" s="875"/>
      <c r="T70" s="875"/>
      <c r="U70" s="875"/>
      <c r="V70" s="875"/>
      <c r="W70" s="875"/>
      <c r="X70" s="875"/>
      <c r="Y70" s="875"/>
      <c r="Z70" s="875"/>
    </row>
    <row r="71" spans="1:26" ht="19.5" hidden="1">
      <c r="A71" s="993"/>
      <c r="B71" s="883"/>
      <c r="C71" s="999"/>
      <c r="D71" s="883"/>
      <c r="E71" s="884" t="s">
        <v>37</v>
      </c>
      <c r="F71" s="883"/>
      <c r="G71" s="994"/>
      <c r="H71" s="165" t="s">
        <v>12</v>
      </c>
      <c r="I71" s="1000"/>
      <c r="J71" s="1000"/>
      <c r="K71" s="1001"/>
      <c r="L71" s="887">
        <f ca="1">IFERROR(__xludf.DUMMYFUNCTION("IMPORTRANGE(""https://docs.google.com/spreadsheets/d/1MeEWN-I1oV_STSDYn1IFDPWt_1FKiwhDph83XaGc0o0/edit?usp=sharing"",""งบพรบ!AG77"")"),0)</f>
        <v>0</v>
      </c>
      <c r="M71" s="887">
        <f ca="1">IFERROR(__xludf.DUMMYFUNCTION("IMPORTRANGE(""https://docs.google.com/spreadsheets/d/1MeEWN-I1oV_STSDYn1IFDPWt_1FKiwhDph83XaGc0o0/edit?usp=sharing"",""งบพรบ!AL77"")"),0)</f>
        <v>0</v>
      </c>
      <c r="N71" s="887">
        <f ca="1">IFERROR(__xludf.DUMMYFUNCTION("IMPORTRANGE(""https://docs.google.com/spreadsheets/d/1MeEWN-I1oV_STSDYn1IFDPWt_1FKiwhDph83XaGc0o0/edit?usp=sharing"",""งบพรบ!AN77"")"),0)</f>
        <v>0</v>
      </c>
      <c r="O71" s="887">
        <f t="shared" ca="1" si="40"/>
        <v>0</v>
      </c>
      <c r="P71" s="887">
        <f t="shared" ca="1" si="41"/>
        <v>0</v>
      </c>
      <c r="Q71" s="875"/>
      <c r="R71" s="875"/>
      <c r="S71" s="875"/>
      <c r="T71" s="875"/>
      <c r="U71" s="875"/>
      <c r="V71" s="875"/>
      <c r="W71" s="875"/>
      <c r="X71" s="875"/>
      <c r="Y71" s="875"/>
      <c r="Z71" s="875"/>
    </row>
    <row r="72" spans="1:26" ht="18.75" hidden="1">
      <c r="A72" s="995"/>
      <c r="B72" s="877"/>
      <c r="C72" s="996"/>
      <c r="D72" s="878" t="s">
        <v>21</v>
      </c>
      <c r="E72" s="877"/>
      <c r="F72" s="877"/>
      <c r="G72" s="879"/>
      <c r="H72" s="168" t="s">
        <v>12</v>
      </c>
      <c r="I72" s="997"/>
      <c r="J72" s="997"/>
      <c r="K72" s="998"/>
      <c r="L72" s="881">
        <f t="shared" ref="L72:N72" ca="1" si="44">L73+L74</f>
        <v>0</v>
      </c>
      <c r="M72" s="881">
        <f t="shared" ca="1" si="44"/>
        <v>0</v>
      </c>
      <c r="N72" s="881">
        <f t="shared" ca="1" si="44"/>
        <v>0</v>
      </c>
      <c r="O72" s="881">
        <f t="shared" ca="1" si="40"/>
        <v>0</v>
      </c>
      <c r="P72" s="881">
        <f t="shared" ca="1" si="41"/>
        <v>0</v>
      </c>
      <c r="Q72" s="868"/>
      <c r="R72" s="868"/>
      <c r="S72" s="868"/>
      <c r="T72" s="868"/>
      <c r="U72" s="868"/>
      <c r="V72" s="868"/>
      <c r="W72" s="868"/>
      <c r="X72" s="868"/>
      <c r="Y72" s="868"/>
      <c r="Z72" s="868"/>
    </row>
    <row r="73" spans="1:26" ht="19.5" hidden="1">
      <c r="A73" s="993"/>
      <c r="B73" s="883"/>
      <c r="C73" s="999"/>
      <c r="D73" s="883"/>
      <c r="E73" s="884" t="s">
        <v>18</v>
      </c>
      <c r="F73" s="883"/>
      <c r="G73" s="994"/>
      <c r="H73" s="165" t="s">
        <v>12</v>
      </c>
      <c r="I73" s="1000"/>
      <c r="J73" s="1000"/>
      <c r="K73" s="1001"/>
      <c r="L73" s="887">
        <v>0</v>
      </c>
      <c r="M73" s="887"/>
      <c r="N73" s="887"/>
      <c r="O73" s="887">
        <f t="shared" si="40"/>
        <v>0</v>
      </c>
      <c r="P73" s="887">
        <f t="shared" si="41"/>
        <v>0</v>
      </c>
      <c r="Q73" s="875"/>
      <c r="R73" s="875"/>
      <c r="S73" s="875"/>
      <c r="T73" s="875"/>
      <c r="U73" s="875"/>
      <c r="V73" s="875"/>
      <c r="W73" s="875"/>
      <c r="X73" s="875"/>
      <c r="Y73" s="875"/>
      <c r="Z73" s="875"/>
    </row>
    <row r="74" spans="1:26" ht="19.5" hidden="1">
      <c r="A74" s="993"/>
      <c r="B74" s="883"/>
      <c r="C74" s="999"/>
      <c r="D74" s="883"/>
      <c r="E74" s="884" t="s">
        <v>19</v>
      </c>
      <c r="F74" s="883"/>
      <c r="G74" s="994"/>
      <c r="H74" s="169" t="s">
        <v>12</v>
      </c>
      <c r="I74" s="1000"/>
      <c r="J74" s="1000"/>
      <c r="K74" s="1001"/>
      <c r="L74" s="887">
        <f ca="1">IFERROR(__xludf.DUMMYFUNCTION("IMPORTRANGE(""https://docs.google.com/spreadsheets/d/1MeEWN-I1oV_STSDYn1IFDPWt_1FKiwhDph83XaGc0o0/edit?usp=sharing"",""งบพรบ!AJ77"")"),0)</f>
        <v>0</v>
      </c>
      <c r="M74" s="887">
        <f ca="1">IFERROR(__xludf.DUMMYFUNCTION("IMPORTRANGE(""https://docs.google.com/spreadsheets/d/1MeEWN-I1oV_STSDYn1IFDPWt_1FKiwhDph83XaGc0o0/edit?usp=sharing"",""งบพรบ!AM77"")"),0)</f>
        <v>0</v>
      </c>
      <c r="N74" s="887">
        <f ca="1">IFERROR(__xludf.DUMMYFUNCTION("IMPORTRANGE(""https://docs.google.com/spreadsheets/d/1MeEWN-I1oV_STSDYn1IFDPWt_1FKiwhDph83XaGc0o0/edit?usp=sharing"",""งบพรบ!AO77"")"),0)</f>
        <v>0</v>
      </c>
      <c r="O74" s="887">
        <f t="shared" ca="1" si="40"/>
        <v>0</v>
      </c>
      <c r="P74" s="887">
        <f t="shared" ca="1" si="41"/>
        <v>0</v>
      </c>
      <c r="Q74" s="875"/>
      <c r="R74" s="875"/>
      <c r="S74" s="875"/>
      <c r="T74" s="875"/>
      <c r="U74" s="875"/>
      <c r="V74" s="875"/>
      <c r="W74" s="875"/>
      <c r="X74" s="875"/>
      <c r="Y74" s="875"/>
      <c r="Z74" s="875"/>
    </row>
    <row r="75" spans="1:26" ht="19.5" hidden="1">
      <c r="A75" s="1002"/>
      <c r="B75" s="1003"/>
      <c r="C75" s="999" t="s">
        <v>16</v>
      </c>
      <c r="D75" s="1004" t="s">
        <v>38</v>
      </c>
      <c r="E75" s="1005"/>
      <c r="F75" s="1005"/>
      <c r="G75" s="1006"/>
      <c r="H75" s="1007"/>
      <c r="I75" s="997"/>
      <c r="J75" s="997"/>
      <c r="K75" s="998"/>
      <c r="L75" s="998"/>
      <c r="M75" s="998"/>
      <c r="N75" s="998"/>
      <c r="O75" s="998"/>
      <c r="P75" s="998"/>
    </row>
    <row r="76" spans="1:26" ht="19.5" hidden="1">
      <c r="A76" s="1002"/>
      <c r="B76" s="1003"/>
      <c r="C76" s="1003"/>
      <c r="D76" s="1008" t="s">
        <v>39</v>
      </c>
      <c r="E76" s="1009"/>
      <c r="F76" s="1010"/>
      <c r="G76" s="1011"/>
      <c r="H76" s="180" t="s">
        <v>34</v>
      </c>
      <c r="I76" s="880">
        <f t="shared" ref="I76:J77" ca="1" si="45">I78+I80+I82</f>
        <v>0</v>
      </c>
      <c r="J76" s="880">
        <f t="shared" si="45"/>
        <v>0</v>
      </c>
      <c r="K76" s="998">
        <f t="shared" ref="K76:K84" ca="1" si="46">IF(I76&gt;0,J76*100/I76,0)</f>
        <v>0</v>
      </c>
      <c r="L76" s="998"/>
      <c r="M76" s="998"/>
      <c r="N76" s="998"/>
      <c r="O76" s="998"/>
      <c r="P76" s="998"/>
    </row>
    <row r="77" spans="1:26" ht="19.5" hidden="1">
      <c r="A77" s="1002"/>
      <c r="B77" s="1003"/>
      <c r="C77" s="1003"/>
      <c r="D77" s="1003"/>
      <c r="E77" s="1010"/>
      <c r="F77" s="1010"/>
      <c r="G77" s="1011"/>
      <c r="H77" s="180" t="s">
        <v>35</v>
      </c>
      <c r="I77" s="880">
        <f t="shared" ca="1" si="45"/>
        <v>0</v>
      </c>
      <c r="J77" s="880">
        <f t="shared" si="45"/>
        <v>0</v>
      </c>
      <c r="K77" s="998">
        <f t="shared" ca="1" si="46"/>
        <v>0</v>
      </c>
      <c r="L77" s="998"/>
      <c r="M77" s="998"/>
      <c r="N77" s="998"/>
      <c r="O77" s="998"/>
      <c r="P77" s="998"/>
    </row>
    <row r="78" spans="1:26" ht="18.75" hidden="1">
      <c r="A78" s="1002"/>
      <c r="B78" s="1003"/>
      <c r="C78" s="1003"/>
      <c r="D78" s="1003"/>
      <c r="E78" s="1009" t="s">
        <v>40</v>
      </c>
      <c r="F78" s="1009"/>
      <c r="G78" s="1011"/>
      <c r="H78" s="762" t="s">
        <v>34</v>
      </c>
      <c r="I78" s="997">
        <f ca="1">IFERROR(__xludf.DUMMYFUNCTION("IMPORTRANGE(""https://docs.google.com/spreadsheets/d/1QqKyyYR6Q21VydFLVH3TRQUabQu_ym0Zz7PgGX0-kHA/edit?usp=sharing"",""แผน!H77"")"),0)</f>
        <v>0</v>
      </c>
      <c r="J78" s="1012">
        <v>0</v>
      </c>
      <c r="K78" s="998">
        <f t="shared" ca="1" si="46"/>
        <v>0</v>
      </c>
      <c r="L78" s="998"/>
      <c r="M78" s="998"/>
      <c r="N78" s="998"/>
      <c r="O78" s="998"/>
      <c r="P78" s="998"/>
    </row>
    <row r="79" spans="1:26" ht="18.75" hidden="1">
      <c r="A79" s="1002"/>
      <c r="B79" s="1003"/>
      <c r="C79" s="1003"/>
      <c r="D79" s="1003"/>
      <c r="E79" s="1010"/>
      <c r="F79" s="1010"/>
      <c r="G79" s="1011"/>
      <c r="H79" s="762" t="s">
        <v>35</v>
      </c>
      <c r="I79" s="997">
        <f ca="1">IFERROR(__xludf.DUMMYFUNCTION("IMPORTRANGE(""https://docs.google.com/spreadsheets/d/1QqKyyYR6Q21VydFLVH3TRQUabQu_ym0Zz7PgGX0-kHA/edit?usp=sharing"",""แผน!I77"")"),0)</f>
        <v>0</v>
      </c>
      <c r="J79" s="1012">
        <v>0</v>
      </c>
      <c r="K79" s="998">
        <f t="shared" ca="1" si="46"/>
        <v>0</v>
      </c>
      <c r="L79" s="998"/>
      <c r="M79" s="998"/>
      <c r="N79" s="998"/>
      <c r="O79" s="998"/>
      <c r="P79" s="998"/>
    </row>
    <row r="80" spans="1:26" ht="18.75" hidden="1">
      <c r="A80" s="1002"/>
      <c r="B80" s="1003"/>
      <c r="C80" s="1003"/>
      <c r="D80" s="1003"/>
      <c r="E80" s="1009" t="s">
        <v>41</v>
      </c>
      <c r="F80" s="1009"/>
      <c r="G80" s="1011"/>
      <c r="H80" s="762" t="s">
        <v>34</v>
      </c>
      <c r="I80" s="997">
        <f ca="1">IFERROR(__xludf.DUMMYFUNCTION("IMPORTRANGE(""https://docs.google.com/spreadsheets/d/1QqKyyYR6Q21VydFLVH3TRQUabQu_ym0Zz7PgGX0-kHA/edit?usp=sharing"",""แผน!F77"")"),0)</f>
        <v>0</v>
      </c>
      <c r="J80" s="1012">
        <v>0</v>
      </c>
      <c r="K80" s="998">
        <f t="shared" ca="1" si="46"/>
        <v>0</v>
      </c>
      <c r="L80" s="998"/>
      <c r="M80" s="998"/>
      <c r="N80" s="998"/>
      <c r="O80" s="998"/>
      <c r="P80" s="998"/>
    </row>
    <row r="81" spans="1:26" ht="18.75" hidden="1">
      <c r="A81" s="1002"/>
      <c r="B81" s="1003"/>
      <c r="C81" s="1003"/>
      <c r="D81" s="1003"/>
      <c r="E81" s="1010"/>
      <c r="F81" s="1010"/>
      <c r="G81" s="1011"/>
      <c r="H81" s="762" t="s">
        <v>35</v>
      </c>
      <c r="I81" s="997">
        <f ca="1">IFERROR(__xludf.DUMMYFUNCTION("IMPORTRANGE(""https://docs.google.com/spreadsheets/d/1QqKyyYR6Q21VydFLVH3TRQUabQu_ym0Zz7PgGX0-kHA/edit?usp=sharing"",""แผน!G77"")"),0)</f>
        <v>0</v>
      </c>
      <c r="J81" s="1012">
        <v>0</v>
      </c>
      <c r="K81" s="998">
        <f t="shared" ca="1" si="46"/>
        <v>0</v>
      </c>
      <c r="L81" s="998"/>
      <c r="M81" s="998"/>
      <c r="N81" s="998"/>
      <c r="O81" s="998"/>
      <c r="P81" s="998"/>
    </row>
    <row r="82" spans="1:26" ht="18.75" hidden="1">
      <c r="A82" s="1002"/>
      <c r="B82" s="1003"/>
      <c r="C82" s="1003"/>
      <c r="D82" s="1003"/>
      <c r="E82" s="1009" t="s">
        <v>42</v>
      </c>
      <c r="F82" s="1009"/>
      <c r="G82" s="1011"/>
      <c r="H82" s="762" t="s">
        <v>34</v>
      </c>
      <c r="I82" s="997">
        <f ca="1">IFERROR(__xludf.DUMMYFUNCTION("IMPORTRANGE(""https://docs.google.com/spreadsheets/d/1QqKyyYR6Q21VydFLVH3TRQUabQu_ym0Zz7PgGX0-kHA/edit?usp=sharing"",""แผน!D77"")"),0)</f>
        <v>0</v>
      </c>
      <c r="J82" s="1012">
        <v>0</v>
      </c>
      <c r="K82" s="998">
        <f t="shared" ca="1" si="46"/>
        <v>0</v>
      </c>
      <c r="L82" s="998"/>
      <c r="M82" s="998"/>
      <c r="N82" s="998"/>
      <c r="O82" s="998"/>
      <c r="P82" s="998"/>
    </row>
    <row r="83" spans="1:26" ht="18.75" hidden="1">
      <c r="A83" s="1002"/>
      <c r="B83" s="1003"/>
      <c r="C83" s="1003"/>
      <c r="D83" s="1003"/>
      <c r="E83" s="1010"/>
      <c r="F83" s="1010"/>
      <c r="G83" s="1011"/>
      <c r="H83" s="762" t="s">
        <v>35</v>
      </c>
      <c r="I83" s="997">
        <f ca="1">IFERROR(__xludf.DUMMYFUNCTION("IMPORTRANGE(""https://docs.google.com/spreadsheets/d/1QqKyyYR6Q21VydFLVH3TRQUabQu_ym0Zz7PgGX0-kHA/edit?usp=sharing"",""แผน!E77"")"),0)</f>
        <v>0</v>
      </c>
      <c r="J83" s="1012">
        <v>0</v>
      </c>
      <c r="K83" s="998">
        <f t="shared" ca="1" si="46"/>
        <v>0</v>
      </c>
      <c r="L83" s="998"/>
      <c r="M83" s="998"/>
      <c r="N83" s="998"/>
      <c r="O83" s="998"/>
      <c r="P83" s="998"/>
    </row>
    <row r="84" spans="1:26" ht="18.75" hidden="1">
      <c r="A84" s="1002"/>
      <c r="B84" s="1003"/>
      <c r="C84" s="1003"/>
      <c r="D84" s="1008" t="s">
        <v>43</v>
      </c>
      <c r="E84" s="1009"/>
      <c r="F84" s="1010"/>
      <c r="G84" s="1011"/>
      <c r="H84" s="185" t="s">
        <v>34</v>
      </c>
      <c r="I84" s="997">
        <f ca="1">IFERROR(__xludf.DUMMYFUNCTION("IMPORTRANGE(""https://docs.google.com/spreadsheets/d/1QqKyyYR6Q21VydFLVH3TRQUabQu_ym0Zz7PgGX0-kHA/edit?usp=sharing"",""แผน!J77"")"),0)</f>
        <v>0</v>
      </c>
      <c r="J84" s="1012">
        <v>0</v>
      </c>
      <c r="K84" s="998">
        <f t="shared" ca="1" si="46"/>
        <v>0</v>
      </c>
      <c r="L84" s="998"/>
      <c r="M84" s="998"/>
      <c r="N84" s="998"/>
      <c r="O84" s="998"/>
      <c r="P84" s="998"/>
    </row>
    <row r="85" spans="1:26" ht="19.5">
      <c r="A85" s="970" t="s">
        <v>44</v>
      </c>
      <c r="B85" s="971"/>
      <c r="C85" s="972"/>
      <c r="D85" s="971"/>
      <c r="E85" s="971"/>
      <c r="F85" s="971"/>
      <c r="G85" s="973"/>
      <c r="H85" s="974"/>
      <c r="I85" s="975"/>
      <c r="J85" s="975"/>
      <c r="K85" s="976"/>
      <c r="L85" s="976"/>
      <c r="M85" s="976"/>
      <c r="N85" s="976"/>
      <c r="O85" s="976"/>
      <c r="P85" s="976"/>
    </row>
    <row r="86" spans="1:26" ht="19.5">
      <c r="A86" s="977"/>
      <c r="B86" s="978" t="s">
        <v>45</v>
      </c>
      <c r="C86" s="979"/>
      <c r="D86" s="980"/>
      <c r="E86" s="979"/>
      <c r="F86" s="979"/>
      <c r="G86" s="981"/>
      <c r="H86" s="205" t="s">
        <v>46</v>
      </c>
      <c r="I86" s="982">
        <f t="shared" ref="I86:J87" ca="1" si="47">I98</f>
        <v>0</v>
      </c>
      <c r="J86" s="982">
        <f t="shared" si="47"/>
        <v>0</v>
      </c>
      <c r="K86" s="983">
        <f t="shared" ref="K86:K87" ca="1" si="48">IF(I86&gt;0,J86*100/I86,0)</f>
        <v>0</v>
      </c>
      <c r="L86" s="984"/>
      <c r="M86" s="984"/>
      <c r="N86" s="984"/>
      <c r="O86" s="984"/>
      <c r="P86" s="984"/>
    </row>
    <row r="87" spans="1:26" ht="19.5">
      <c r="A87" s="977"/>
      <c r="B87" s="979"/>
      <c r="C87" s="979"/>
      <c r="D87" s="980"/>
      <c r="E87" s="979"/>
      <c r="F87" s="979"/>
      <c r="G87" s="981"/>
      <c r="H87" s="205" t="s">
        <v>35</v>
      </c>
      <c r="I87" s="982">
        <f t="shared" ca="1" si="47"/>
        <v>0</v>
      </c>
      <c r="J87" s="982">
        <f t="shared" si="47"/>
        <v>0</v>
      </c>
      <c r="K87" s="983">
        <f t="shared" ca="1" si="48"/>
        <v>0</v>
      </c>
      <c r="L87" s="984"/>
      <c r="M87" s="984"/>
      <c r="N87" s="984"/>
      <c r="O87" s="984"/>
      <c r="P87" s="984"/>
    </row>
    <row r="88" spans="1:26" ht="19.5">
      <c r="A88" s="985"/>
      <c r="B88" s="986"/>
      <c r="C88" s="987" t="s">
        <v>16</v>
      </c>
      <c r="D88" s="988" t="s">
        <v>17</v>
      </c>
      <c r="E88" s="986"/>
      <c r="F88" s="986"/>
      <c r="G88" s="989"/>
      <c r="H88" s="152" t="s">
        <v>12</v>
      </c>
      <c r="I88" s="990"/>
      <c r="J88" s="990"/>
      <c r="K88" s="991"/>
      <c r="L88" s="992">
        <f t="shared" ref="L88:N88" ca="1" si="49">L89+L90</f>
        <v>203800</v>
      </c>
      <c r="M88" s="992">
        <f t="shared" ca="1" si="49"/>
        <v>133350</v>
      </c>
      <c r="N88" s="992">
        <f t="shared" ca="1" si="49"/>
        <v>103206.69</v>
      </c>
      <c r="O88" s="992">
        <f t="shared" ref="O88:O96" ca="1" si="50">IF(L88&gt;0,N88*100/L88,0)</f>
        <v>50.641162904808638</v>
      </c>
      <c r="P88" s="992">
        <f t="shared" ref="P88:P96" ca="1" si="51">IF(M88&gt;0,N88*100/M88,0)</f>
        <v>77.395343082114735</v>
      </c>
      <c r="Q88" s="868"/>
      <c r="R88" s="868"/>
      <c r="S88" s="868"/>
      <c r="T88" s="868"/>
      <c r="U88" s="868"/>
      <c r="V88" s="868"/>
      <c r="W88" s="868"/>
      <c r="X88" s="868"/>
      <c r="Y88" s="868"/>
      <c r="Z88" s="868"/>
    </row>
    <row r="89" spans="1:26" ht="18.75" hidden="1">
      <c r="A89" s="993"/>
      <c r="B89" s="883"/>
      <c r="C89" s="883"/>
      <c r="D89" s="883"/>
      <c r="E89" s="884" t="s">
        <v>18</v>
      </c>
      <c r="F89" s="883"/>
      <c r="G89" s="994"/>
      <c r="H89" s="158" t="s">
        <v>12</v>
      </c>
      <c r="I89" s="886"/>
      <c r="J89" s="886"/>
      <c r="K89" s="887"/>
      <c r="L89" s="887">
        <f t="shared" ref="L89:N90" si="52">L92+L95</f>
        <v>0</v>
      </c>
      <c r="M89" s="887">
        <f t="shared" si="52"/>
        <v>0</v>
      </c>
      <c r="N89" s="887">
        <f t="shared" si="52"/>
        <v>0</v>
      </c>
      <c r="O89" s="887">
        <f t="shared" si="50"/>
        <v>0</v>
      </c>
      <c r="P89" s="887">
        <f t="shared" si="51"/>
        <v>0</v>
      </c>
      <c r="Q89" s="875"/>
      <c r="R89" s="875"/>
      <c r="S89" s="875"/>
      <c r="T89" s="875"/>
      <c r="U89" s="875"/>
      <c r="V89" s="875"/>
      <c r="W89" s="875"/>
      <c r="X89" s="875"/>
      <c r="Y89" s="875"/>
      <c r="Z89" s="875"/>
    </row>
    <row r="90" spans="1:26" ht="18.75" hidden="1">
      <c r="A90" s="993"/>
      <c r="B90" s="883"/>
      <c r="C90" s="883"/>
      <c r="D90" s="883"/>
      <c r="E90" s="884" t="s">
        <v>19</v>
      </c>
      <c r="F90" s="883"/>
      <c r="G90" s="994"/>
      <c r="H90" s="158" t="s">
        <v>12</v>
      </c>
      <c r="I90" s="886"/>
      <c r="J90" s="886"/>
      <c r="K90" s="887"/>
      <c r="L90" s="887">
        <f t="shared" ca="1" si="52"/>
        <v>203800</v>
      </c>
      <c r="M90" s="887">
        <f t="shared" ca="1" si="52"/>
        <v>133350</v>
      </c>
      <c r="N90" s="887">
        <f t="shared" ca="1" si="52"/>
        <v>103206.69</v>
      </c>
      <c r="O90" s="887">
        <f t="shared" ca="1" si="50"/>
        <v>50.641162904808638</v>
      </c>
      <c r="P90" s="887">
        <f t="shared" ca="1" si="51"/>
        <v>77.395343082114735</v>
      </c>
      <c r="Q90" s="875"/>
      <c r="R90" s="875"/>
      <c r="S90" s="875"/>
      <c r="T90" s="875"/>
      <c r="U90" s="875"/>
      <c r="V90" s="875"/>
      <c r="W90" s="875"/>
      <c r="X90" s="875"/>
      <c r="Y90" s="875"/>
      <c r="Z90" s="875"/>
    </row>
    <row r="91" spans="1:26" ht="18.75">
      <c r="A91" s="995"/>
      <c r="B91" s="877"/>
      <c r="C91" s="996"/>
      <c r="D91" s="878" t="s">
        <v>20</v>
      </c>
      <c r="E91" s="877"/>
      <c r="F91" s="877"/>
      <c r="G91" s="879"/>
      <c r="H91" s="161" t="s">
        <v>12</v>
      </c>
      <c r="I91" s="997"/>
      <c r="J91" s="997"/>
      <c r="K91" s="998"/>
      <c r="L91" s="881">
        <f t="shared" ref="L91:N91" ca="1" si="53">L92+L93</f>
        <v>203800</v>
      </c>
      <c r="M91" s="881">
        <f t="shared" ca="1" si="53"/>
        <v>133350</v>
      </c>
      <c r="N91" s="881">
        <f t="shared" ca="1" si="53"/>
        <v>103206.69</v>
      </c>
      <c r="O91" s="881">
        <f t="shared" ca="1" si="50"/>
        <v>50.641162904808638</v>
      </c>
      <c r="P91" s="881">
        <f t="shared" ca="1" si="51"/>
        <v>77.395343082114735</v>
      </c>
      <c r="Q91" s="868"/>
      <c r="R91" s="868"/>
      <c r="S91" s="868"/>
      <c r="T91" s="868"/>
      <c r="U91" s="868"/>
      <c r="V91" s="868"/>
      <c r="W91" s="868"/>
      <c r="X91" s="868"/>
      <c r="Y91" s="868"/>
      <c r="Z91" s="868"/>
    </row>
    <row r="92" spans="1:26" ht="19.5" hidden="1">
      <c r="A92" s="993"/>
      <c r="B92" s="883"/>
      <c r="C92" s="999"/>
      <c r="D92" s="883"/>
      <c r="E92" s="884" t="s">
        <v>36</v>
      </c>
      <c r="F92" s="883"/>
      <c r="G92" s="994"/>
      <c r="H92" s="165" t="s">
        <v>12</v>
      </c>
      <c r="I92" s="1000"/>
      <c r="J92" s="1000"/>
      <c r="K92" s="1001"/>
      <c r="L92" s="887">
        <v>0</v>
      </c>
      <c r="M92" s="887">
        <v>0</v>
      </c>
      <c r="N92" s="887">
        <v>0</v>
      </c>
      <c r="O92" s="887">
        <f t="shared" si="50"/>
        <v>0</v>
      </c>
      <c r="P92" s="887">
        <f t="shared" si="51"/>
        <v>0</v>
      </c>
      <c r="Q92" s="875"/>
      <c r="R92" s="875"/>
      <c r="S92" s="875"/>
      <c r="T92" s="875"/>
      <c r="U92" s="875"/>
      <c r="V92" s="875"/>
      <c r="W92" s="875"/>
      <c r="X92" s="875"/>
      <c r="Y92" s="875"/>
      <c r="Z92" s="875"/>
    </row>
    <row r="93" spans="1:26" ht="19.5" hidden="1">
      <c r="A93" s="993"/>
      <c r="B93" s="883"/>
      <c r="C93" s="999"/>
      <c r="D93" s="883"/>
      <c r="E93" s="884" t="s">
        <v>37</v>
      </c>
      <c r="F93" s="883"/>
      <c r="G93" s="994"/>
      <c r="H93" s="165" t="s">
        <v>12</v>
      </c>
      <c r="I93" s="1000"/>
      <c r="J93" s="1000"/>
      <c r="K93" s="1001"/>
      <c r="L93" s="887">
        <f ca="1">IFERROR(__xludf.DUMMYFUNCTION("IMPORTRANGE(""https://docs.google.com/spreadsheets/d/1MeEWN-I1oV_STSDYn1IFDPWt_1FKiwhDph83XaGc0o0/edit?usp=sharing"",""งบพรบ!AQ77"")"),203800)</f>
        <v>203800</v>
      </c>
      <c r="M93" s="887">
        <f ca="1">IFERROR(__xludf.DUMMYFUNCTION("IMPORTRANGE(""https://docs.google.com/spreadsheets/d/1MeEWN-I1oV_STSDYn1IFDPWt_1FKiwhDph83XaGc0o0/edit?usp=sharing"",""งบพรบ!AV77"")"),133350)</f>
        <v>133350</v>
      </c>
      <c r="N93" s="887">
        <f ca="1">IFERROR(__xludf.DUMMYFUNCTION("IMPORTRANGE(""https://docs.google.com/spreadsheets/d/1MeEWN-I1oV_STSDYn1IFDPWt_1FKiwhDph83XaGc0o0/edit?usp=sharing"",""งบพรบ!AX77"")"),103206.69)</f>
        <v>103206.69</v>
      </c>
      <c r="O93" s="887">
        <f t="shared" ca="1" si="50"/>
        <v>50.641162904808638</v>
      </c>
      <c r="P93" s="887">
        <f t="shared" ca="1" si="51"/>
        <v>77.395343082114735</v>
      </c>
      <c r="Q93" s="875"/>
      <c r="R93" s="875"/>
      <c r="S93" s="875"/>
      <c r="T93" s="875"/>
      <c r="U93" s="875"/>
      <c r="V93" s="875"/>
      <c r="W93" s="875"/>
      <c r="X93" s="875"/>
      <c r="Y93" s="875"/>
      <c r="Z93" s="875"/>
    </row>
    <row r="94" spans="1:26" ht="18.75">
      <c r="A94" s="995"/>
      <c r="B94" s="877"/>
      <c r="C94" s="996"/>
      <c r="D94" s="878" t="s">
        <v>21</v>
      </c>
      <c r="E94" s="877"/>
      <c r="F94" s="877"/>
      <c r="G94" s="879"/>
      <c r="H94" s="168" t="s">
        <v>12</v>
      </c>
      <c r="I94" s="997"/>
      <c r="J94" s="997"/>
      <c r="K94" s="998"/>
      <c r="L94" s="881">
        <f t="shared" ref="L94:N94" ca="1" si="54">L95+L96</f>
        <v>0</v>
      </c>
      <c r="M94" s="881">
        <f t="shared" ca="1" si="54"/>
        <v>0</v>
      </c>
      <c r="N94" s="881">
        <f t="shared" ca="1" si="54"/>
        <v>0</v>
      </c>
      <c r="O94" s="881">
        <f t="shared" ca="1" si="50"/>
        <v>0</v>
      </c>
      <c r="P94" s="881">
        <f t="shared" ca="1" si="51"/>
        <v>0</v>
      </c>
      <c r="Q94" s="868"/>
      <c r="R94" s="868"/>
      <c r="S94" s="868"/>
      <c r="T94" s="868"/>
      <c r="U94" s="868"/>
      <c r="V94" s="868"/>
      <c r="W94" s="868"/>
      <c r="X94" s="868"/>
      <c r="Y94" s="868"/>
      <c r="Z94" s="868"/>
    </row>
    <row r="95" spans="1:26" ht="19.5" hidden="1">
      <c r="A95" s="993"/>
      <c r="B95" s="883"/>
      <c r="C95" s="999"/>
      <c r="D95" s="883"/>
      <c r="E95" s="884" t="s">
        <v>18</v>
      </c>
      <c r="F95" s="883"/>
      <c r="G95" s="994"/>
      <c r="H95" s="165" t="s">
        <v>12</v>
      </c>
      <c r="I95" s="1000"/>
      <c r="J95" s="1000"/>
      <c r="K95" s="1001"/>
      <c r="L95" s="887">
        <v>0</v>
      </c>
      <c r="M95" s="887">
        <v>0</v>
      </c>
      <c r="N95" s="887">
        <v>0</v>
      </c>
      <c r="O95" s="887">
        <f t="shared" si="50"/>
        <v>0</v>
      </c>
      <c r="P95" s="887">
        <f t="shared" si="51"/>
        <v>0</v>
      </c>
      <c r="Q95" s="875"/>
      <c r="R95" s="875"/>
      <c r="S95" s="875"/>
      <c r="T95" s="875"/>
      <c r="U95" s="875"/>
      <c r="V95" s="875"/>
      <c r="W95" s="875"/>
      <c r="X95" s="875"/>
      <c r="Y95" s="875"/>
      <c r="Z95" s="875"/>
    </row>
    <row r="96" spans="1:26" ht="19.5" hidden="1">
      <c r="A96" s="993"/>
      <c r="B96" s="883"/>
      <c r="C96" s="999"/>
      <c r="D96" s="883"/>
      <c r="E96" s="884" t="s">
        <v>19</v>
      </c>
      <c r="F96" s="883"/>
      <c r="G96" s="994"/>
      <c r="H96" s="169" t="s">
        <v>12</v>
      </c>
      <c r="I96" s="1000"/>
      <c r="J96" s="1000"/>
      <c r="K96" s="1001"/>
      <c r="L96" s="887">
        <f ca="1">IFERROR(__xludf.DUMMYFUNCTION("IMPORTRANGE(""https://docs.google.com/spreadsheets/d/1MeEWN-I1oV_STSDYn1IFDPWt_1FKiwhDph83XaGc0o0/edit?usp=sharing"",""งบพรบ!AT77"")"),0)</f>
        <v>0</v>
      </c>
      <c r="M96" s="887">
        <f ca="1">IFERROR(__xludf.DUMMYFUNCTION("IMPORTRANGE(""https://docs.google.com/spreadsheets/d/1MeEWN-I1oV_STSDYn1IFDPWt_1FKiwhDph83XaGc0o0/edit?usp=sharing"",""งบพรบ!AW77"")"),0)</f>
        <v>0</v>
      </c>
      <c r="N96" s="887">
        <f ca="1">IFERROR(__xludf.DUMMYFUNCTION("IMPORTRANGE(""https://docs.google.com/spreadsheets/d/1MeEWN-I1oV_STSDYn1IFDPWt_1FKiwhDph83XaGc0o0/edit?usp=sharing"",""งบพรบ!AY77"")"),0)</f>
        <v>0</v>
      </c>
      <c r="O96" s="887">
        <f t="shared" ca="1" si="50"/>
        <v>0</v>
      </c>
      <c r="P96" s="887">
        <f t="shared" ca="1" si="51"/>
        <v>0</v>
      </c>
      <c r="Q96" s="875"/>
      <c r="R96" s="875"/>
      <c r="S96" s="875"/>
      <c r="T96" s="875"/>
      <c r="U96" s="875"/>
      <c r="V96" s="875"/>
      <c r="W96" s="875"/>
      <c r="X96" s="875"/>
      <c r="Y96" s="875"/>
      <c r="Z96" s="875"/>
    </row>
    <row r="97" spans="1:16" ht="19.5">
      <c r="A97" s="1002"/>
      <c r="B97" s="1003"/>
      <c r="C97" s="999" t="s">
        <v>16</v>
      </c>
      <c r="D97" s="1004" t="s">
        <v>38</v>
      </c>
      <c r="E97" s="1005"/>
      <c r="F97" s="1005"/>
      <c r="G97" s="1006"/>
      <c r="H97" s="1007"/>
      <c r="I97" s="997"/>
      <c r="J97" s="880"/>
      <c r="K97" s="881"/>
      <c r="L97" s="881"/>
      <c r="M97" s="881"/>
      <c r="N97" s="881"/>
      <c r="O97" s="998"/>
      <c r="P97" s="998"/>
    </row>
    <row r="98" spans="1:16" ht="18.75">
      <c r="A98" s="1002"/>
      <c r="B98" s="1003"/>
      <c r="C98" s="1003"/>
      <c r="D98" s="1009" t="s">
        <v>47</v>
      </c>
      <c r="E98" s="1009"/>
      <c r="F98" s="1010"/>
      <c r="G98" s="1011"/>
      <c r="H98" s="622" t="s">
        <v>46</v>
      </c>
      <c r="I98" s="880">
        <f ca="1">IFERROR(__xludf.DUMMYFUNCTION("IMPORTRANGE(""https://docs.google.com/spreadsheets/d/1QqKyyYR6Q21VydFLVH3TRQUabQu_ym0Zz7PgGX0-kHA/edit?usp=sharing"",""แผน!K77"")"),0)</f>
        <v>0</v>
      </c>
      <c r="J98" s="880">
        <f>J102</f>
        <v>0</v>
      </c>
      <c r="K98" s="881">
        <f t="shared" ref="K98:K100" ca="1" si="55">IF(I98&gt;0,J98*100/I98,0)</f>
        <v>0</v>
      </c>
      <c r="L98" s="881"/>
      <c r="M98" s="881"/>
      <c r="N98" s="881"/>
      <c r="O98" s="998"/>
      <c r="P98" s="998"/>
    </row>
    <row r="99" spans="1:16" ht="18.75">
      <c r="A99" s="1002"/>
      <c r="B99" s="1003"/>
      <c r="C99" s="1003"/>
      <c r="D99" s="1009" t="s">
        <v>48</v>
      </c>
      <c r="E99" s="1009"/>
      <c r="F99" s="1010"/>
      <c r="G99" s="1011"/>
      <c r="H99" s="622" t="s">
        <v>35</v>
      </c>
      <c r="I99" s="880">
        <f ca="1">IFERROR(__xludf.DUMMYFUNCTION("IMPORTRANGE(""https://docs.google.com/spreadsheets/d/1QqKyyYR6Q21VydFLVH3TRQUabQu_ym0Zz7PgGX0-kHA/edit?usp=sharing"",""แผน!L77"")"),0)</f>
        <v>0</v>
      </c>
      <c r="J99" s="880">
        <f>J104</f>
        <v>0</v>
      </c>
      <c r="K99" s="881">
        <f t="shared" ca="1" si="55"/>
        <v>0</v>
      </c>
      <c r="L99" s="881"/>
      <c r="M99" s="881"/>
      <c r="N99" s="881"/>
      <c r="O99" s="998"/>
      <c r="P99" s="998"/>
    </row>
    <row r="100" spans="1:16" ht="18.75">
      <c r="A100" s="1002"/>
      <c r="B100" s="1003"/>
      <c r="C100" s="1003"/>
      <c r="D100" s="1003"/>
      <c r="E100" s="1010"/>
      <c r="F100" s="1010"/>
      <c r="G100" s="1011"/>
      <c r="H100" s="622" t="s">
        <v>49</v>
      </c>
      <c r="I100" s="880">
        <f ca="1">IFERROR(__xludf.DUMMYFUNCTION("IMPORTRANGE(""https://docs.google.com/spreadsheets/d/1QqKyyYR6Q21VydFLVH3TRQUabQu_ym0Zz7PgGX0-kHA/edit?usp=sharing"",""แผน!M77"")"),2)</f>
        <v>2</v>
      </c>
      <c r="J100" s="880">
        <f>J107+J110</f>
        <v>1</v>
      </c>
      <c r="K100" s="881">
        <f t="shared" ca="1" si="55"/>
        <v>50</v>
      </c>
      <c r="L100" s="881"/>
      <c r="M100" s="881"/>
      <c r="N100" s="881"/>
      <c r="O100" s="998"/>
      <c r="P100" s="998"/>
    </row>
    <row r="101" spans="1:16" ht="19.5">
      <c r="A101" s="1002"/>
      <c r="B101" s="1003"/>
      <c r="C101" s="1003"/>
      <c r="D101" s="1010"/>
      <c r="E101" s="1013" t="s">
        <v>50</v>
      </c>
      <c r="F101" s="1010"/>
      <c r="G101" s="1011"/>
      <c r="H101" s="622"/>
      <c r="I101" s="880"/>
      <c r="J101" s="880"/>
      <c r="K101" s="881"/>
      <c r="L101" s="881"/>
      <c r="M101" s="881"/>
      <c r="N101" s="881"/>
      <c r="O101" s="998"/>
      <c r="P101" s="998"/>
    </row>
    <row r="102" spans="1:16" ht="18.75">
      <c r="A102" s="1002"/>
      <c r="B102" s="1003"/>
      <c r="C102" s="1003"/>
      <c r="D102" s="1010"/>
      <c r="E102" s="1014" t="s">
        <v>47</v>
      </c>
      <c r="F102" s="1010"/>
      <c r="G102" s="1011"/>
      <c r="H102" s="622" t="s">
        <v>46</v>
      </c>
      <c r="I102" s="880">
        <f ca="1">IFERROR(__xludf.DUMMYFUNCTION("IMPORTRANGE(""https://docs.google.com/spreadsheets/d/1QqKyyYR6Q21VydFLVH3TRQUabQu_ym0Zz7PgGX0-kHA/edit?usp=sharing"",""แผน!N77"")"),0)</f>
        <v>0</v>
      </c>
      <c r="J102" s="1012">
        <v>0</v>
      </c>
      <c r="K102" s="881">
        <f t="shared" ref="K102:K104" ca="1" si="56">IF(I102&gt;0,J102*100/I102,0)</f>
        <v>0</v>
      </c>
      <c r="L102" s="881"/>
      <c r="M102" s="881"/>
      <c r="N102" s="881"/>
      <c r="O102" s="998"/>
      <c r="P102" s="998"/>
    </row>
    <row r="103" spans="1:16" ht="19.5">
      <c r="A103" s="1002"/>
      <c r="B103" s="1003"/>
      <c r="C103" s="1003"/>
      <c r="D103" s="1010"/>
      <c r="E103" s="1009" t="s">
        <v>51</v>
      </c>
      <c r="F103" s="1010"/>
      <c r="G103" s="1011"/>
      <c r="H103" s="622" t="s">
        <v>35</v>
      </c>
      <c r="I103" s="880">
        <f ca="1">IFERROR(__xludf.DUMMYFUNCTION("IMPORTRANGE(""https://docs.google.com/spreadsheets/d/1QqKyyYR6Q21VydFLVH3TRQUabQu_ym0Zz7PgGX0-kHA/edit?usp=sharing"",""แผน!O77"")"),0)</f>
        <v>0</v>
      </c>
      <c r="J103" s="1012">
        <v>0</v>
      </c>
      <c r="K103" s="881">
        <f t="shared" ca="1" si="56"/>
        <v>0</v>
      </c>
      <c r="L103" s="881"/>
      <c r="M103" s="881"/>
      <c r="N103" s="881"/>
      <c r="O103" s="998"/>
      <c r="P103" s="998"/>
    </row>
    <row r="104" spans="1:16" ht="18.75">
      <c r="A104" s="1002"/>
      <c r="B104" s="1003"/>
      <c r="C104" s="1003"/>
      <c r="D104" s="1010"/>
      <c r="E104" s="1015" t="s">
        <v>52</v>
      </c>
      <c r="F104" s="1010"/>
      <c r="G104" s="1011"/>
      <c r="H104" s="622" t="s">
        <v>35</v>
      </c>
      <c r="I104" s="880">
        <f ca="1">IFERROR(__xludf.DUMMYFUNCTION("IMPORTRANGE(""https://docs.google.com/spreadsheets/d/1QqKyyYR6Q21VydFLVH3TRQUabQu_ym0Zz7PgGX0-kHA/edit?usp=sharing"",""แผน!O77"")"),0)</f>
        <v>0</v>
      </c>
      <c r="J104" s="1012">
        <v>0</v>
      </c>
      <c r="K104" s="881">
        <f t="shared" ca="1" si="56"/>
        <v>0</v>
      </c>
      <c r="L104" s="881"/>
      <c r="M104" s="881"/>
      <c r="N104" s="881"/>
      <c r="O104" s="998"/>
      <c r="P104" s="998"/>
    </row>
    <row r="105" spans="1:16" ht="19.5">
      <c r="A105" s="1002"/>
      <c r="B105" s="1003"/>
      <c r="C105" s="1003"/>
      <c r="D105" s="1010"/>
      <c r="E105" s="1013" t="s">
        <v>53</v>
      </c>
      <c r="F105" s="1010"/>
      <c r="G105" s="1011"/>
      <c r="H105" s="1016"/>
      <c r="I105" s="880"/>
      <c r="J105" s="880"/>
      <c r="K105" s="881"/>
      <c r="L105" s="881"/>
      <c r="M105" s="881"/>
      <c r="N105" s="881"/>
      <c r="O105" s="998"/>
      <c r="P105" s="998"/>
    </row>
    <row r="106" spans="1:16" ht="19.5">
      <c r="A106" s="1002"/>
      <c r="B106" s="1003"/>
      <c r="C106" s="1003"/>
      <c r="D106" s="1010"/>
      <c r="E106" s="1009" t="s">
        <v>54</v>
      </c>
      <c r="F106" s="1010"/>
      <c r="G106" s="1011"/>
      <c r="H106" s="622" t="s">
        <v>49</v>
      </c>
      <c r="I106" s="880">
        <f ca="1">IFERROR(__xludf.DUMMYFUNCTION("IMPORTRANGE(""https://docs.google.com/spreadsheets/d/1QqKyyYR6Q21VydFLVH3TRQUabQu_ym0Zz7PgGX0-kHA/edit?usp=sharing"",""แผน!P77"")"),1)</f>
        <v>1</v>
      </c>
      <c r="J106" s="1012">
        <v>1</v>
      </c>
      <c r="K106" s="881">
        <f t="shared" ref="K106:K107" ca="1" si="57">IF(I106&gt;0,J106*100/I106,0)</f>
        <v>100</v>
      </c>
      <c r="L106" s="881"/>
      <c r="M106" s="881"/>
      <c r="N106" s="881"/>
      <c r="O106" s="998"/>
      <c r="P106" s="998"/>
    </row>
    <row r="107" spans="1:16" ht="18.75">
      <c r="A107" s="1002"/>
      <c r="B107" s="1003"/>
      <c r="C107" s="1003"/>
      <c r="D107" s="1010"/>
      <c r="E107" s="1015" t="s">
        <v>55</v>
      </c>
      <c r="F107" s="1010"/>
      <c r="G107" s="1011"/>
      <c r="H107" s="622" t="s">
        <v>49</v>
      </c>
      <c r="I107" s="880">
        <f ca="1">IFERROR(__xludf.DUMMYFUNCTION("IMPORTRANGE(""https://docs.google.com/spreadsheets/d/1QqKyyYR6Q21VydFLVH3TRQUabQu_ym0Zz7PgGX0-kHA/edit?usp=sharing"",""แผน!P77"")"),1)</f>
        <v>1</v>
      </c>
      <c r="J107" s="1012">
        <v>1</v>
      </c>
      <c r="K107" s="881">
        <f t="shared" ca="1" si="57"/>
        <v>100</v>
      </c>
      <c r="L107" s="881"/>
      <c r="M107" s="881"/>
      <c r="N107" s="881"/>
      <c r="O107" s="998"/>
      <c r="P107" s="998"/>
    </row>
    <row r="108" spans="1:16" ht="19.5">
      <c r="A108" s="1002"/>
      <c r="B108" s="1003"/>
      <c r="C108" s="1003"/>
      <c r="D108" s="1010"/>
      <c r="E108" s="1013" t="s">
        <v>56</v>
      </c>
      <c r="F108" s="1010"/>
      <c r="G108" s="1011"/>
      <c r="H108" s="1016"/>
      <c r="I108" s="880"/>
      <c r="J108" s="880"/>
      <c r="K108" s="881"/>
      <c r="L108" s="881"/>
      <c r="M108" s="881"/>
      <c r="N108" s="881"/>
      <c r="O108" s="998"/>
      <c r="P108" s="998"/>
    </row>
    <row r="109" spans="1:16" ht="19.5">
      <c r="A109" s="1002"/>
      <c r="B109" s="1003"/>
      <c r="C109" s="1003"/>
      <c r="D109" s="1010"/>
      <c r="E109" s="1009" t="s">
        <v>57</v>
      </c>
      <c r="F109" s="1010"/>
      <c r="G109" s="1011"/>
      <c r="H109" s="622" t="s">
        <v>49</v>
      </c>
      <c r="I109" s="880">
        <f ca="1">IFERROR(__xludf.DUMMYFUNCTION("IMPORTRANGE(""https://docs.google.com/spreadsheets/d/1QqKyyYR6Q21VydFLVH3TRQUabQu_ym0Zz7PgGX0-kHA/edit?usp=sharing"",""แผน!Q77"")"),1)</f>
        <v>1</v>
      </c>
      <c r="J109" s="1012">
        <v>0</v>
      </c>
      <c r="K109" s="881">
        <f t="shared" ref="K109:K116" ca="1" si="58">IF(I109&gt;0,J109*100/I109,0)</f>
        <v>0</v>
      </c>
      <c r="L109" s="881"/>
      <c r="M109" s="881"/>
      <c r="N109" s="881"/>
      <c r="O109" s="998"/>
      <c r="P109" s="998"/>
    </row>
    <row r="110" spans="1:16" ht="18.75">
      <c r="A110" s="1002"/>
      <c r="B110" s="1003"/>
      <c r="C110" s="1003"/>
      <c r="D110" s="1010"/>
      <c r="E110" s="1017" t="s">
        <v>58</v>
      </c>
      <c r="F110" s="1010"/>
      <c r="G110" s="1011"/>
      <c r="H110" s="622" t="s">
        <v>49</v>
      </c>
      <c r="I110" s="880">
        <f ca="1">IFERROR(__xludf.DUMMYFUNCTION("IMPORTRANGE(""https://docs.google.com/spreadsheets/d/1QqKyyYR6Q21VydFLVH3TRQUabQu_ym0Zz7PgGX0-kHA/edit?usp=sharing"",""แผน!Q77"")"),1)</f>
        <v>1</v>
      </c>
      <c r="J110" s="1012">
        <v>0</v>
      </c>
      <c r="K110" s="881">
        <f t="shared" ca="1" si="58"/>
        <v>0</v>
      </c>
      <c r="L110" s="881"/>
      <c r="M110" s="881"/>
      <c r="N110" s="881"/>
      <c r="O110" s="998"/>
      <c r="P110" s="998"/>
    </row>
    <row r="111" spans="1:16" ht="19.5">
      <c r="A111" s="1002"/>
      <c r="B111" s="1003"/>
      <c r="C111" s="1003"/>
      <c r="D111" s="1013" t="s">
        <v>59</v>
      </c>
      <c r="E111" s="1013"/>
      <c r="F111" s="1010"/>
      <c r="G111" s="1011"/>
      <c r="H111" s="765" t="s">
        <v>35</v>
      </c>
      <c r="I111" s="1018">
        <f ca="1">IFERROR(__xludf.DUMMYFUNCTION("IMPORTRANGE(""https://docs.google.com/spreadsheets/d/1QqKyyYR6Q21VydFLVH3TRQUabQu_ym0Zz7PgGX0-kHA/edit?usp=sharing"",""แผน!R77"")"),0)</f>
        <v>0</v>
      </c>
      <c r="J111" s="1019">
        <f>J114</f>
        <v>0</v>
      </c>
      <c r="K111" s="1020">
        <f t="shared" ca="1" si="58"/>
        <v>0</v>
      </c>
      <c r="L111" s="881"/>
      <c r="M111" s="881"/>
      <c r="N111" s="881"/>
      <c r="O111" s="998"/>
      <c r="P111" s="998"/>
    </row>
    <row r="112" spans="1:16" ht="19.5">
      <c r="A112" s="1002"/>
      <c r="B112" s="1003"/>
      <c r="C112" s="1003"/>
      <c r="D112" s="1003"/>
      <c r="E112" s="1010"/>
      <c r="F112" s="1010"/>
      <c r="G112" s="1011"/>
      <c r="H112" s="196" t="s">
        <v>49</v>
      </c>
      <c r="I112" s="1018">
        <f t="shared" ref="I112:J112" ca="1" si="59">I115+I116</f>
        <v>2</v>
      </c>
      <c r="J112" s="1019">
        <f t="shared" si="59"/>
        <v>0</v>
      </c>
      <c r="K112" s="1020">
        <f t="shared" ca="1" si="58"/>
        <v>0</v>
      </c>
      <c r="L112" s="881"/>
      <c r="M112" s="881"/>
      <c r="N112" s="881"/>
      <c r="O112" s="998"/>
      <c r="P112" s="998"/>
    </row>
    <row r="113" spans="1:26" ht="19.5">
      <c r="A113" s="1002"/>
      <c r="B113" s="1003"/>
      <c r="C113" s="1003"/>
      <c r="D113" s="1003"/>
      <c r="E113" s="1021" t="s">
        <v>60</v>
      </c>
      <c r="F113" s="1010"/>
      <c r="G113" s="1011"/>
      <c r="H113" s="198" t="s">
        <v>35</v>
      </c>
      <c r="I113" s="997">
        <f ca="1">IFERROR(__xludf.DUMMYFUNCTION("IMPORTRANGE(""https://docs.google.com/spreadsheets/d/1QqKyyYR6Q21VydFLVH3TRQUabQu_ym0Zz7PgGX0-kHA/edit?usp=sharing"",""แผน!R77"")"),0)</f>
        <v>0</v>
      </c>
      <c r="J113" s="1012">
        <v>0</v>
      </c>
      <c r="K113" s="881">
        <f t="shared" ca="1" si="58"/>
        <v>0</v>
      </c>
      <c r="L113" s="881"/>
      <c r="M113" s="881"/>
      <c r="N113" s="881"/>
      <c r="O113" s="998"/>
      <c r="P113" s="998"/>
    </row>
    <row r="114" spans="1:26" ht="19.5">
      <c r="A114" s="1002"/>
      <c r="B114" s="1003"/>
      <c r="C114" s="1003"/>
      <c r="D114" s="1003"/>
      <c r="E114" s="1009" t="s">
        <v>61</v>
      </c>
      <c r="F114" s="1010"/>
      <c r="G114" s="1011"/>
      <c r="H114" s="199" t="s">
        <v>35</v>
      </c>
      <c r="I114" s="997">
        <f ca="1">IFERROR(__xludf.DUMMYFUNCTION("IMPORTRANGE(""https://docs.google.com/spreadsheets/d/1QqKyyYR6Q21VydFLVH3TRQUabQu_ym0Zz7PgGX0-kHA/edit?usp=sharing"",""แผน!R77"")"),0)</f>
        <v>0</v>
      </c>
      <c r="J114" s="1012">
        <v>0</v>
      </c>
      <c r="K114" s="881">
        <f t="shared" ca="1" si="58"/>
        <v>0</v>
      </c>
      <c r="L114" s="881"/>
      <c r="M114" s="881"/>
      <c r="N114" s="881"/>
      <c r="O114" s="998"/>
      <c r="P114" s="998"/>
    </row>
    <row r="115" spans="1:26" ht="18.75">
      <c r="A115" s="1002"/>
      <c r="B115" s="1003"/>
      <c r="C115" s="1003"/>
      <c r="D115" s="1003"/>
      <c r="E115" s="1009" t="s">
        <v>62</v>
      </c>
      <c r="F115" s="1010"/>
      <c r="G115" s="1011"/>
      <c r="H115" s="199" t="s">
        <v>49</v>
      </c>
      <c r="I115" s="997">
        <f ca="1">IFERROR(__xludf.DUMMYFUNCTION("IMPORTRANGE(""https://docs.google.com/spreadsheets/d/1QqKyyYR6Q21VydFLVH3TRQUabQu_ym0Zz7PgGX0-kHA/edit?usp=sharing"",""แผน!S77"")"),1)</f>
        <v>1</v>
      </c>
      <c r="J115" s="1012">
        <v>0</v>
      </c>
      <c r="K115" s="881">
        <f t="shared" ca="1" si="58"/>
        <v>0</v>
      </c>
      <c r="L115" s="881"/>
      <c r="M115" s="881"/>
      <c r="N115" s="881"/>
      <c r="O115" s="998"/>
      <c r="P115" s="998"/>
    </row>
    <row r="116" spans="1:26" ht="18.75">
      <c r="A116" s="1002"/>
      <c r="B116" s="1003"/>
      <c r="C116" s="1003"/>
      <c r="D116" s="1003"/>
      <c r="E116" s="1009" t="s">
        <v>63</v>
      </c>
      <c r="F116" s="1010"/>
      <c r="G116" s="1011"/>
      <c r="H116" s="199" t="s">
        <v>49</v>
      </c>
      <c r="I116" s="997">
        <f ca="1">IFERROR(__xludf.DUMMYFUNCTION("IMPORTRANGE(""https://docs.google.com/spreadsheets/d/1QqKyyYR6Q21VydFLVH3TRQUabQu_ym0Zz7PgGX0-kHA/edit?usp=sharing"",""แผน!T77"")"),1)</f>
        <v>1</v>
      </c>
      <c r="J116" s="1012">
        <v>0</v>
      </c>
      <c r="K116" s="881">
        <f t="shared" ca="1" si="58"/>
        <v>0</v>
      </c>
      <c r="L116" s="881"/>
      <c r="M116" s="881"/>
      <c r="N116" s="881"/>
      <c r="O116" s="998"/>
      <c r="P116" s="998"/>
    </row>
    <row r="117" spans="1:26" ht="19.5" hidden="1">
      <c r="A117" s="970" t="s">
        <v>64</v>
      </c>
      <c r="B117" s="971"/>
      <c r="C117" s="1022"/>
      <c r="D117" s="971"/>
      <c r="E117" s="971"/>
      <c r="F117" s="971"/>
      <c r="G117" s="971"/>
      <c r="H117" s="1023"/>
      <c r="I117" s="1024"/>
      <c r="J117" s="1024"/>
      <c r="K117" s="1025"/>
      <c r="L117" s="976"/>
      <c r="M117" s="976"/>
      <c r="N117" s="976"/>
      <c r="O117" s="976"/>
      <c r="P117" s="976"/>
    </row>
    <row r="118" spans="1:26" ht="19.5" hidden="1">
      <c r="A118" s="977"/>
      <c r="B118" s="978" t="s">
        <v>65</v>
      </c>
      <c r="C118" s="1026"/>
      <c r="D118" s="980"/>
      <c r="E118" s="979"/>
      <c r="F118" s="979"/>
      <c r="G118" s="981"/>
      <c r="H118" s="205"/>
      <c r="I118" s="1027"/>
      <c r="J118" s="1027"/>
      <c r="K118" s="984"/>
      <c r="L118" s="984"/>
      <c r="M118" s="984"/>
      <c r="N118" s="984"/>
      <c r="O118" s="984"/>
      <c r="P118" s="984"/>
    </row>
    <row r="119" spans="1:26" ht="19.5" hidden="1">
      <c r="A119" s="985"/>
      <c r="B119" s="986"/>
      <c r="C119" s="987" t="s">
        <v>16</v>
      </c>
      <c r="D119" s="988" t="s">
        <v>17</v>
      </c>
      <c r="E119" s="986"/>
      <c r="F119" s="986"/>
      <c r="G119" s="989"/>
      <c r="H119" s="152" t="s">
        <v>12</v>
      </c>
      <c r="I119" s="990"/>
      <c r="J119" s="990"/>
      <c r="K119" s="991"/>
      <c r="L119" s="992">
        <f t="shared" ref="L119:N119" ca="1" si="60">L120+L121</f>
        <v>0</v>
      </c>
      <c r="M119" s="992">
        <f t="shared" ca="1" si="60"/>
        <v>0</v>
      </c>
      <c r="N119" s="992">
        <f t="shared" ca="1" si="60"/>
        <v>0</v>
      </c>
      <c r="O119" s="992">
        <f t="shared" ref="O119:O127" ca="1" si="61">IF(L119&gt;0,N119*100/L119,0)</f>
        <v>0</v>
      </c>
      <c r="P119" s="992">
        <f t="shared" ref="P119:P127" ca="1" si="62">IF(M119&gt;0,N119*100/M119,0)</f>
        <v>0</v>
      </c>
      <c r="Q119" s="868"/>
      <c r="R119" s="868"/>
      <c r="S119" s="868"/>
      <c r="T119" s="868"/>
      <c r="U119" s="868"/>
      <c r="V119" s="868"/>
      <c r="W119" s="868"/>
      <c r="X119" s="868"/>
      <c r="Y119" s="868"/>
      <c r="Z119" s="868"/>
    </row>
    <row r="120" spans="1:26" ht="18.75" hidden="1">
      <c r="A120" s="993"/>
      <c r="B120" s="883"/>
      <c r="C120" s="883"/>
      <c r="D120" s="883"/>
      <c r="E120" s="884" t="s">
        <v>18</v>
      </c>
      <c r="F120" s="883"/>
      <c r="G120" s="994"/>
      <c r="H120" s="158" t="s">
        <v>12</v>
      </c>
      <c r="I120" s="886"/>
      <c r="J120" s="886"/>
      <c r="K120" s="887"/>
      <c r="L120" s="887">
        <f t="shared" ref="L120:N121" si="63">L123+L126</f>
        <v>0</v>
      </c>
      <c r="M120" s="887">
        <f t="shared" si="63"/>
        <v>0</v>
      </c>
      <c r="N120" s="887">
        <f t="shared" si="63"/>
        <v>0</v>
      </c>
      <c r="O120" s="887">
        <f t="shared" si="61"/>
        <v>0</v>
      </c>
      <c r="P120" s="887">
        <f t="shared" si="62"/>
        <v>0</v>
      </c>
      <c r="Q120" s="875"/>
      <c r="R120" s="875"/>
      <c r="S120" s="875"/>
      <c r="T120" s="875"/>
      <c r="U120" s="875"/>
      <c r="V120" s="875"/>
      <c r="W120" s="875"/>
      <c r="X120" s="875"/>
      <c r="Y120" s="875"/>
      <c r="Z120" s="875"/>
    </row>
    <row r="121" spans="1:26" ht="18.75" hidden="1">
      <c r="A121" s="993"/>
      <c r="B121" s="883"/>
      <c r="C121" s="883"/>
      <c r="D121" s="883"/>
      <c r="E121" s="884" t="s">
        <v>19</v>
      </c>
      <c r="F121" s="883"/>
      <c r="G121" s="994"/>
      <c r="H121" s="158" t="s">
        <v>12</v>
      </c>
      <c r="I121" s="886"/>
      <c r="J121" s="886"/>
      <c r="K121" s="887"/>
      <c r="L121" s="887">
        <f t="shared" ca="1" si="63"/>
        <v>0</v>
      </c>
      <c r="M121" s="887">
        <f t="shared" ca="1" si="63"/>
        <v>0</v>
      </c>
      <c r="N121" s="887">
        <f t="shared" ca="1" si="63"/>
        <v>0</v>
      </c>
      <c r="O121" s="887">
        <f t="shared" ca="1" si="61"/>
        <v>0</v>
      </c>
      <c r="P121" s="887">
        <f t="shared" ca="1" si="62"/>
        <v>0</v>
      </c>
      <c r="Q121" s="875"/>
      <c r="R121" s="875"/>
      <c r="S121" s="875"/>
      <c r="T121" s="875"/>
      <c r="U121" s="875"/>
      <c r="V121" s="875"/>
      <c r="W121" s="875"/>
      <c r="X121" s="875"/>
      <c r="Y121" s="875"/>
      <c r="Z121" s="875"/>
    </row>
    <row r="122" spans="1:26" ht="18.75" hidden="1">
      <c r="A122" s="995"/>
      <c r="B122" s="877"/>
      <c r="C122" s="996"/>
      <c r="D122" s="878" t="s">
        <v>20</v>
      </c>
      <c r="E122" s="877"/>
      <c r="F122" s="877"/>
      <c r="G122" s="879"/>
      <c r="H122" s="161" t="s">
        <v>12</v>
      </c>
      <c r="I122" s="997"/>
      <c r="J122" s="997"/>
      <c r="K122" s="998"/>
      <c r="L122" s="881">
        <f t="shared" ref="L122:N122" ca="1" si="64">L123+L124</f>
        <v>0</v>
      </c>
      <c r="M122" s="881">
        <f t="shared" ca="1" si="64"/>
        <v>0</v>
      </c>
      <c r="N122" s="881">
        <f t="shared" ca="1" si="64"/>
        <v>0</v>
      </c>
      <c r="O122" s="881">
        <f t="shared" ca="1" si="61"/>
        <v>0</v>
      </c>
      <c r="P122" s="881">
        <f t="shared" ca="1" si="62"/>
        <v>0</v>
      </c>
      <c r="Q122" s="868"/>
      <c r="R122" s="868"/>
      <c r="S122" s="868"/>
      <c r="T122" s="868"/>
      <c r="U122" s="868"/>
      <c r="V122" s="868"/>
      <c r="W122" s="868"/>
      <c r="X122" s="868"/>
      <c r="Y122" s="868"/>
      <c r="Z122" s="868"/>
    </row>
    <row r="123" spans="1:26" ht="18.75" hidden="1">
      <c r="A123" s="993"/>
      <c r="B123" s="883"/>
      <c r="C123" s="884"/>
      <c r="D123" s="883"/>
      <c r="E123" s="884" t="s">
        <v>36</v>
      </c>
      <c r="F123" s="883"/>
      <c r="G123" s="994"/>
      <c r="H123" s="165" t="s">
        <v>12</v>
      </c>
      <c r="I123" s="1000"/>
      <c r="J123" s="1000"/>
      <c r="K123" s="1001"/>
      <c r="L123" s="887">
        <v>0</v>
      </c>
      <c r="M123" s="887">
        <v>0</v>
      </c>
      <c r="N123" s="887">
        <v>0</v>
      </c>
      <c r="O123" s="887">
        <f t="shared" si="61"/>
        <v>0</v>
      </c>
      <c r="P123" s="887">
        <f t="shared" si="62"/>
        <v>0</v>
      </c>
      <c r="Q123" s="875"/>
      <c r="R123" s="875"/>
      <c r="S123" s="875"/>
      <c r="T123" s="875"/>
      <c r="U123" s="875"/>
      <c r="V123" s="875"/>
      <c r="W123" s="875"/>
      <c r="X123" s="875"/>
      <c r="Y123" s="875"/>
      <c r="Z123" s="875"/>
    </row>
    <row r="124" spans="1:26" ht="18.75" hidden="1">
      <c r="A124" s="993"/>
      <c r="B124" s="883"/>
      <c r="C124" s="884"/>
      <c r="D124" s="883"/>
      <c r="E124" s="884" t="s">
        <v>37</v>
      </c>
      <c r="F124" s="883"/>
      <c r="G124" s="994"/>
      <c r="H124" s="165" t="s">
        <v>12</v>
      </c>
      <c r="I124" s="1000"/>
      <c r="J124" s="1000"/>
      <c r="K124" s="1001"/>
      <c r="L124" s="887">
        <f ca="1">IFERROR(__xludf.DUMMYFUNCTION("IMPORTRANGE(""https://docs.google.com/spreadsheets/d/1MeEWN-I1oV_STSDYn1IFDPWt_1FKiwhDph83XaGc0o0/edit?usp=sharing"",""งบพรบ!BA77"")"),0)</f>
        <v>0</v>
      </c>
      <c r="M124" s="887">
        <f ca="1">IFERROR(__xludf.DUMMYFUNCTION("IMPORTRANGE(""https://docs.google.com/spreadsheets/d/1MeEWN-I1oV_STSDYn1IFDPWt_1FKiwhDph83XaGc0o0/edit?usp=sharing"",""งบพรบ!BF77"")"),0)</f>
        <v>0</v>
      </c>
      <c r="N124" s="887">
        <f ca="1">IFERROR(__xludf.DUMMYFUNCTION("IMPORTRANGE(""https://docs.google.com/spreadsheets/d/1MeEWN-I1oV_STSDYn1IFDPWt_1FKiwhDph83XaGc0o0/edit?usp=sharing"",""งบพรบ!BH77"")"),0)</f>
        <v>0</v>
      </c>
      <c r="O124" s="887">
        <f t="shared" ca="1" si="61"/>
        <v>0</v>
      </c>
      <c r="P124" s="887">
        <f t="shared" ca="1" si="62"/>
        <v>0</v>
      </c>
      <c r="Q124" s="875"/>
      <c r="R124" s="875"/>
      <c r="S124" s="875"/>
      <c r="T124" s="875"/>
      <c r="U124" s="875"/>
      <c r="V124" s="875"/>
      <c r="W124" s="875"/>
      <c r="X124" s="875"/>
      <c r="Y124" s="875"/>
      <c r="Z124" s="875"/>
    </row>
    <row r="125" spans="1:26" ht="18.75" hidden="1">
      <c r="A125" s="995"/>
      <c r="B125" s="877"/>
      <c r="C125" s="996"/>
      <c r="D125" s="878" t="s">
        <v>21</v>
      </c>
      <c r="E125" s="877"/>
      <c r="F125" s="877"/>
      <c r="G125" s="879"/>
      <c r="H125" s="168" t="s">
        <v>12</v>
      </c>
      <c r="I125" s="997"/>
      <c r="J125" s="997"/>
      <c r="K125" s="998"/>
      <c r="L125" s="881">
        <f t="shared" ref="L125:N125" ca="1" si="65">L126+L127</f>
        <v>0</v>
      </c>
      <c r="M125" s="881">
        <f t="shared" ca="1" si="65"/>
        <v>0</v>
      </c>
      <c r="N125" s="881">
        <f t="shared" ca="1" si="65"/>
        <v>0</v>
      </c>
      <c r="O125" s="881">
        <f t="shared" ca="1" si="61"/>
        <v>0</v>
      </c>
      <c r="P125" s="881">
        <f t="shared" ca="1" si="62"/>
        <v>0</v>
      </c>
      <c r="Q125" s="868"/>
      <c r="R125" s="868"/>
      <c r="S125" s="868"/>
      <c r="T125" s="868"/>
      <c r="U125" s="868"/>
      <c r="V125" s="868"/>
      <c r="W125" s="868"/>
      <c r="X125" s="868"/>
      <c r="Y125" s="868"/>
      <c r="Z125" s="868"/>
    </row>
    <row r="126" spans="1:26" ht="19.5" hidden="1">
      <c r="A126" s="993"/>
      <c r="B126" s="883"/>
      <c r="C126" s="999"/>
      <c r="D126" s="883"/>
      <c r="E126" s="884" t="s">
        <v>18</v>
      </c>
      <c r="F126" s="883"/>
      <c r="G126" s="994"/>
      <c r="H126" s="165" t="s">
        <v>12</v>
      </c>
      <c r="I126" s="1000"/>
      <c r="J126" s="1000"/>
      <c r="K126" s="1001"/>
      <c r="L126" s="887">
        <v>0</v>
      </c>
      <c r="M126" s="887">
        <v>0</v>
      </c>
      <c r="N126" s="887">
        <v>0</v>
      </c>
      <c r="O126" s="887">
        <f t="shared" si="61"/>
        <v>0</v>
      </c>
      <c r="P126" s="887">
        <f t="shared" si="62"/>
        <v>0</v>
      </c>
      <c r="Q126" s="875"/>
      <c r="R126" s="875"/>
      <c r="S126" s="875"/>
      <c r="T126" s="875"/>
      <c r="U126" s="875"/>
      <c r="V126" s="875"/>
      <c r="W126" s="875"/>
      <c r="X126" s="875"/>
      <c r="Y126" s="875"/>
      <c r="Z126" s="875"/>
    </row>
    <row r="127" spans="1:26" ht="19.5" hidden="1">
      <c r="A127" s="993"/>
      <c r="B127" s="883"/>
      <c r="C127" s="999"/>
      <c r="D127" s="883"/>
      <c r="E127" s="884" t="s">
        <v>19</v>
      </c>
      <c r="F127" s="883"/>
      <c r="G127" s="994"/>
      <c r="H127" s="169" t="s">
        <v>12</v>
      </c>
      <c r="I127" s="1000"/>
      <c r="J127" s="1000"/>
      <c r="K127" s="1001"/>
      <c r="L127" s="887">
        <f ca="1">IFERROR(__xludf.DUMMYFUNCTION("IMPORTRANGE(""https://docs.google.com/spreadsheets/d/1MeEWN-I1oV_STSDYn1IFDPWt_1FKiwhDph83XaGc0o0/edit?usp=sharing"",""งบพรบ!BD77"")"),0)</f>
        <v>0</v>
      </c>
      <c r="M127" s="887">
        <f ca="1">IFERROR(__xludf.DUMMYFUNCTION("IMPORTRANGE(""https://docs.google.com/spreadsheets/d/1MeEWN-I1oV_STSDYn1IFDPWt_1FKiwhDph83XaGc0o0/edit?usp=sharing"",""งบพรบ!BG77"")"),0)</f>
        <v>0</v>
      </c>
      <c r="N127" s="887">
        <f ca="1">IFERROR(__xludf.DUMMYFUNCTION("IMPORTRANGE(""https://docs.google.com/spreadsheets/d/1MeEWN-I1oV_STSDYn1IFDPWt_1FKiwhDph83XaGc0o0/edit?usp=sharing"",""งบพรบ!BI77"")"),0)</f>
        <v>0</v>
      </c>
      <c r="O127" s="887">
        <f t="shared" ca="1" si="61"/>
        <v>0</v>
      </c>
      <c r="P127" s="887">
        <f t="shared" ca="1" si="62"/>
        <v>0</v>
      </c>
      <c r="Q127" s="875"/>
      <c r="R127" s="875"/>
      <c r="S127" s="875"/>
      <c r="T127" s="875"/>
      <c r="U127" s="875"/>
      <c r="V127" s="875"/>
      <c r="W127" s="875"/>
      <c r="X127" s="875"/>
      <c r="Y127" s="875"/>
      <c r="Z127" s="875"/>
    </row>
    <row r="128" spans="1:26" ht="19.5" hidden="1">
      <c r="A128" s="970" t="s">
        <v>67</v>
      </c>
      <c r="B128" s="971"/>
      <c r="C128" s="1022"/>
      <c r="D128" s="971"/>
      <c r="E128" s="971"/>
      <c r="F128" s="971"/>
      <c r="G128" s="971"/>
      <c r="H128" s="1023"/>
      <c r="I128" s="1024"/>
      <c r="J128" s="1024"/>
      <c r="K128" s="1025"/>
      <c r="L128" s="976"/>
      <c r="M128" s="976"/>
      <c r="N128" s="976"/>
      <c r="O128" s="976"/>
      <c r="P128" s="976"/>
    </row>
    <row r="129" spans="1:26" ht="19.5" hidden="1">
      <c r="A129" s="977"/>
      <c r="B129" s="978" t="s">
        <v>68</v>
      </c>
      <c r="C129" s="1026"/>
      <c r="D129" s="980"/>
      <c r="E129" s="979"/>
      <c r="F129" s="979"/>
      <c r="G129" s="979"/>
      <c r="H129" s="207"/>
      <c r="I129" s="1027"/>
      <c r="J129" s="1027"/>
      <c r="K129" s="984"/>
      <c r="L129" s="984"/>
      <c r="M129" s="984"/>
      <c r="N129" s="984"/>
      <c r="O129" s="984"/>
      <c r="P129" s="984"/>
    </row>
    <row r="130" spans="1:26" ht="19.5" hidden="1">
      <c r="A130" s="977"/>
      <c r="B130" s="978"/>
      <c r="C130" s="1028" t="s">
        <v>69</v>
      </c>
      <c r="D130" s="980"/>
      <c r="E130" s="979"/>
      <c r="F130" s="979"/>
      <c r="G130" s="981"/>
      <c r="H130" s="205" t="s">
        <v>66</v>
      </c>
      <c r="I130" s="982">
        <f t="shared" ref="I130:J130" ca="1" si="66">I146</f>
        <v>0</v>
      </c>
      <c r="J130" s="982">
        <f t="shared" si="66"/>
        <v>0</v>
      </c>
      <c r="K130" s="983">
        <f t="shared" ref="K130:K131" ca="1" si="67">IF(I130&gt;0,J130*100/I130,0)</f>
        <v>0</v>
      </c>
      <c r="L130" s="984"/>
      <c r="M130" s="984"/>
      <c r="N130" s="984"/>
      <c r="O130" s="984"/>
      <c r="P130" s="984"/>
    </row>
    <row r="131" spans="1:26" ht="19.5" hidden="1">
      <c r="A131" s="977"/>
      <c r="B131" s="978"/>
      <c r="C131" s="1028" t="s">
        <v>70</v>
      </c>
      <c r="D131" s="980"/>
      <c r="E131" s="979"/>
      <c r="F131" s="979"/>
      <c r="G131" s="981"/>
      <c r="H131" s="205" t="s">
        <v>35</v>
      </c>
      <c r="I131" s="982">
        <f t="shared" ref="I131:J131" ca="1" si="68">I143</f>
        <v>0</v>
      </c>
      <c r="J131" s="982">
        <f t="shared" ca="1" si="68"/>
        <v>0</v>
      </c>
      <c r="K131" s="983">
        <f t="shared" ca="1" si="67"/>
        <v>0</v>
      </c>
      <c r="L131" s="984"/>
      <c r="M131" s="984"/>
      <c r="N131" s="984"/>
      <c r="O131" s="984"/>
      <c r="P131" s="984"/>
    </row>
    <row r="132" spans="1:26" ht="19.5" hidden="1">
      <c r="A132" s="985"/>
      <c r="B132" s="986"/>
      <c r="C132" s="987" t="s">
        <v>16</v>
      </c>
      <c r="D132" s="988" t="s">
        <v>17</v>
      </c>
      <c r="E132" s="986"/>
      <c r="F132" s="986"/>
      <c r="G132" s="989"/>
      <c r="H132" s="152" t="s">
        <v>12</v>
      </c>
      <c r="I132" s="990"/>
      <c r="J132" s="990"/>
      <c r="K132" s="991"/>
      <c r="L132" s="992">
        <f t="shared" ref="L132:N132" ca="1" si="69">L133+L134</f>
        <v>0</v>
      </c>
      <c r="M132" s="992">
        <f t="shared" ca="1" si="69"/>
        <v>0</v>
      </c>
      <c r="N132" s="992">
        <f t="shared" ca="1" si="69"/>
        <v>0</v>
      </c>
      <c r="O132" s="992">
        <f t="shared" ref="O132:O140" ca="1" si="70">IF(L132&gt;0,N132*100/L132,0)</f>
        <v>0</v>
      </c>
      <c r="P132" s="992">
        <f t="shared" ref="P132:P140" ca="1" si="71">IF(M132&gt;0,N132*100/M132,0)</f>
        <v>0</v>
      </c>
      <c r="Q132" s="868"/>
      <c r="R132" s="868"/>
      <c r="S132" s="868"/>
      <c r="T132" s="868"/>
      <c r="U132" s="868"/>
      <c r="V132" s="868"/>
      <c r="W132" s="868"/>
      <c r="X132" s="868"/>
      <c r="Y132" s="868"/>
      <c r="Z132" s="868"/>
    </row>
    <row r="133" spans="1:26" ht="18.75" hidden="1">
      <c r="A133" s="993"/>
      <c r="B133" s="883"/>
      <c r="C133" s="883"/>
      <c r="D133" s="883"/>
      <c r="E133" s="884" t="s">
        <v>18</v>
      </c>
      <c r="F133" s="883"/>
      <c r="G133" s="994"/>
      <c r="H133" s="158" t="s">
        <v>12</v>
      </c>
      <c r="I133" s="886"/>
      <c r="J133" s="886"/>
      <c r="K133" s="887"/>
      <c r="L133" s="887">
        <f t="shared" ref="L133:N134" si="72">L136+L139</f>
        <v>0</v>
      </c>
      <c r="M133" s="887">
        <f t="shared" si="72"/>
        <v>0</v>
      </c>
      <c r="N133" s="887">
        <f t="shared" si="72"/>
        <v>0</v>
      </c>
      <c r="O133" s="887">
        <f t="shared" si="70"/>
        <v>0</v>
      </c>
      <c r="P133" s="887">
        <f t="shared" si="71"/>
        <v>0</v>
      </c>
      <c r="Q133" s="875"/>
      <c r="R133" s="875"/>
      <c r="S133" s="875"/>
      <c r="T133" s="875"/>
      <c r="U133" s="875"/>
      <c r="V133" s="875"/>
      <c r="W133" s="875"/>
      <c r="X133" s="875"/>
      <c r="Y133" s="875"/>
      <c r="Z133" s="875"/>
    </row>
    <row r="134" spans="1:26" ht="18.75" hidden="1">
      <c r="A134" s="993"/>
      <c r="B134" s="883"/>
      <c r="C134" s="883"/>
      <c r="D134" s="883"/>
      <c r="E134" s="884" t="s">
        <v>19</v>
      </c>
      <c r="F134" s="883"/>
      <c r="G134" s="994"/>
      <c r="H134" s="158" t="s">
        <v>12</v>
      </c>
      <c r="I134" s="886"/>
      <c r="J134" s="886"/>
      <c r="K134" s="887"/>
      <c r="L134" s="887">
        <f t="shared" ca="1" si="72"/>
        <v>0</v>
      </c>
      <c r="M134" s="887">
        <f t="shared" ca="1" si="72"/>
        <v>0</v>
      </c>
      <c r="N134" s="887">
        <f t="shared" ca="1" si="72"/>
        <v>0</v>
      </c>
      <c r="O134" s="887">
        <f t="shared" ca="1" si="70"/>
        <v>0</v>
      </c>
      <c r="P134" s="887">
        <f t="shared" ca="1" si="71"/>
        <v>0</v>
      </c>
      <c r="Q134" s="875"/>
      <c r="R134" s="875"/>
      <c r="S134" s="875"/>
      <c r="T134" s="875"/>
      <c r="U134" s="875"/>
      <c r="V134" s="875"/>
      <c r="W134" s="875"/>
      <c r="X134" s="875"/>
      <c r="Y134" s="875"/>
      <c r="Z134" s="875"/>
    </row>
    <row r="135" spans="1:26" ht="18.75" hidden="1">
      <c r="A135" s="995"/>
      <c r="B135" s="877"/>
      <c r="C135" s="996"/>
      <c r="D135" s="878" t="s">
        <v>20</v>
      </c>
      <c r="E135" s="877"/>
      <c r="F135" s="877"/>
      <c r="G135" s="879"/>
      <c r="H135" s="161" t="s">
        <v>12</v>
      </c>
      <c r="I135" s="997"/>
      <c r="J135" s="997"/>
      <c r="K135" s="998"/>
      <c r="L135" s="881">
        <f t="shared" ref="L135:N135" ca="1" si="73">L136+L137</f>
        <v>0</v>
      </c>
      <c r="M135" s="881">
        <f t="shared" ca="1" si="73"/>
        <v>0</v>
      </c>
      <c r="N135" s="881">
        <f t="shared" ca="1" si="73"/>
        <v>0</v>
      </c>
      <c r="O135" s="881">
        <f t="shared" ca="1" si="70"/>
        <v>0</v>
      </c>
      <c r="P135" s="881">
        <f t="shared" ca="1" si="71"/>
        <v>0</v>
      </c>
      <c r="Q135" s="868"/>
      <c r="R135" s="868"/>
      <c r="S135" s="868"/>
      <c r="T135" s="868"/>
      <c r="U135" s="868"/>
      <c r="V135" s="868"/>
      <c r="W135" s="868"/>
      <c r="X135" s="868"/>
      <c r="Y135" s="868"/>
      <c r="Z135" s="868"/>
    </row>
    <row r="136" spans="1:26" ht="19.5" hidden="1">
      <c r="A136" s="993"/>
      <c r="B136" s="883"/>
      <c r="C136" s="999"/>
      <c r="D136" s="883"/>
      <c r="E136" s="884" t="s">
        <v>36</v>
      </c>
      <c r="F136" s="883"/>
      <c r="G136" s="994"/>
      <c r="H136" s="165" t="s">
        <v>12</v>
      </c>
      <c r="I136" s="1000"/>
      <c r="J136" s="1000"/>
      <c r="K136" s="1001"/>
      <c r="L136" s="887">
        <v>0</v>
      </c>
      <c r="M136" s="887">
        <v>0</v>
      </c>
      <c r="N136" s="887">
        <v>0</v>
      </c>
      <c r="O136" s="887">
        <f t="shared" si="70"/>
        <v>0</v>
      </c>
      <c r="P136" s="887">
        <f t="shared" si="71"/>
        <v>0</v>
      </c>
      <c r="Q136" s="875"/>
      <c r="R136" s="875"/>
      <c r="S136" s="875"/>
      <c r="T136" s="875"/>
      <c r="U136" s="875"/>
      <c r="V136" s="875"/>
      <c r="W136" s="875"/>
      <c r="X136" s="875"/>
      <c r="Y136" s="875"/>
      <c r="Z136" s="875"/>
    </row>
    <row r="137" spans="1:26" ht="19.5" hidden="1">
      <c r="A137" s="993"/>
      <c r="B137" s="883"/>
      <c r="C137" s="999"/>
      <c r="D137" s="883"/>
      <c r="E137" s="884" t="s">
        <v>37</v>
      </c>
      <c r="F137" s="883"/>
      <c r="G137" s="994"/>
      <c r="H137" s="165" t="s">
        <v>12</v>
      </c>
      <c r="I137" s="1000"/>
      <c r="J137" s="1000"/>
      <c r="K137" s="1001"/>
      <c r="L137" s="887">
        <f ca="1">IFERROR(__xludf.DUMMYFUNCTION("IMPORTRANGE(""https://docs.google.com/spreadsheets/d/1MeEWN-I1oV_STSDYn1IFDPWt_1FKiwhDph83XaGc0o0/edit?usp=sharing"",""งบพรบ!BK77"")"),0)</f>
        <v>0</v>
      </c>
      <c r="M137" s="887">
        <f ca="1">IFERROR(__xludf.DUMMYFUNCTION("IMPORTRANGE(""https://docs.google.com/spreadsheets/d/1MeEWN-I1oV_STSDYn1IFDPWt_1FKiwhDph83XaGc0o0/edit?usp=sharing"",""งบพรบ!BP77"")"),0)</f>
        <v>0</v>
      </c>
      <c r="N137" s="887">
        <f ca="1">IFERROR(__xludf.DUMMYFUNCTION("IMPORTRANGE(""https://docs.google.com/spreadsheets/d/1MeEWN-I1oV_STSDYn1IFDPWt_1FKiwhDph83XaGc0o0/edit?usp=sharing"",""งบพรบ!BR77"")"),0)</f>
        <v>0</v>
      </c>
      <c r="O137" s="887">
        <f t="shared" ca="1" si="70"/>
        <v>0</v>
      </c>
      <c r="P137" s="887">
        <f t="shared" ca="1" si="71"/>
        <v>0</v>
      </c>
      <c r="Q137" s="875"/>
      <c r="R137" s="875"/>
      <c r="S137" s="875"/>
      <c r="T137" s="875"/>
      <c r="U137" s="875"/>
      <c r="V137" s="875"/>
      <c r="W137" s="875"/>
      <c r="X137" s="875"/>
      <c r="Y137" s="875"/>
      <c r="Z137" s="875"/>
    </row>
    <row r="138" spans="1:26" ht="18.75" hidden="1">
      <c r="A138" s="995"/>
      <c r="B138" s="877"/>
      <c r="C138" s="996"/>
      <c r="D138" s="878" t="s">
        <v>21</v>
      </c>
      <c r="E138" s="877"/>
      <c r="F138" s="877"/>
      <c r="G138" s="879"/>
      <c r="H138" s="168" t="s">
        <v>12</v>
      </c>
      <c r="I138" s="997"/>
      <c r="J138" s="997"/>
      <c r="K138" s="998"/>
      <c r="L138" s="881">
        <f t="shared" ref="L138:N138" ca="1" si="74">L139+L140</f>
        <v>0</v>
      </c>
      <c r="M138" s="881">
        <f t="shared" ca="1" si="74"/>
        <v>0</v>
      </c>
      <c r="N138" s="881">
        <f t="shared" ca="1" si="74"/>
        <v>0</v>
      </c>
      <c r="O138" s="881">
        <f t="shared" ca="1" si="70"/>
        <v>0</v>
      </c>
      <c r="P138" s="881">
        <f t="shared" ca="1" si="71"/>
        <v>0</v>
      </c>
      <c r="Q138" s="868"/>
      <c r="R138" s="868"/>
      <c r="S138" s="868"/>
      <c r="T138" s="868"/>
      <c r="U138" s="868"/>
      <c r="V138" s="868"/>
      <c r="W138" s="868"/>
      <c r="X138" s="868"/>
      <c r="Y138" s="868"/>
      <c r="Z138" s="868"/>
    </row>
    <row r="139" spans="1:26" ht="19.5" hidden="1">
      <c r="A139" s="993"/>
      <c r="B139" s="883"/>
      <c r="C139" s="999"/>
      <c r="D139" s="883"/>
      <c r="E139" s="884" t="s">
        <v>18</v>
      </c>
      <c r="F139" s="883"/>
      <c r="G139" s="994"/>
      <c r="H139" s="165" t="s">
        <v>12</v>
      </c>
      <c r="I139" s="1000"/>
      <c r="J139" s="1000"/>
      <c r="K139" s="1001"/>
      <c r="L139" s="887">
        <v>0</v>
      </c>
      <c r="M139" s="887">
        <v>0</v>
      </c>
      <c r="N139" s="887">
        <v>0</v>
      </c>
      <c r="O139" s="887">
        <f t="shared" si="70"/>
        <v>0</v>
      </c>
      <c r="P139" s="887">
        <f t="shared" si="71"/>
        <v>0</v>
      </c>
      <c r="Q139" s="875"/>
      <c r="R139" s="875"/>
      <c r="S139" s="875"/>
      <c r="T139" s="875"/>
      <c r="U139" s="875"/>
      <c r="V139" s="875"/>
      <c r="W139" s="875"/>
      <c r="X139" s="875"/>
      <c r="Y139" s="875"/>
      <c r="Z139" s="875"/>
    </row>
    <row r="140" spans="1:26" ht="19.5" hidden="1">
      <c r="A140" s="993"/>
      <c r="B140" s="883"/>
      <c r="C140" s="999"/>
      <c r="D140" s="883"/>
      <c r="E140" s="884" t="s">
        <v>19</v>
      </c>
      <c r="F140" s="883"/>
      <c r="G140" s="994"/>
      <c r="H140" s="169" t="s">
        <v>12</v>
      </c>
      <c r="I140" s="1000"/>
      <c r="J140" s="1000"/>
      <c r="K140" s="1001"/>
      <c r="L140" s="887">
        <f ca="1">IFERROR(__xludf.DUMMYFUNCTION("IMPORTRANGE(""https://docs.google.com/spreadsheets/d/1MeEWN-I1oV_STSDYn1IFDPWt_1FKiwhDph83XaGc0o0/edit?usp=sharing"",""งบพรบ!BN77"")"),0)</f>
        <v>0</v>
      </c>
      <c r="M140" s="887">
        <f ca="1">IFERROR(__xludf.DUMMYFUNCTION("IMPORTRANGE(""https://docs.google.com/spreadsheets/d/1MeEWN-I1oV_STSDYn1IFDPWt_1FKiwhDph83XaGc0o0/edit?usp=sharing"",""งบพรบ!BQ77"")"),0)</f>
        <v>0</v>
      </c>
      <c r="N140" s="887">
        <f ca="1">IFERROR(__xludf.DUMMYFUNCTION("IMPORTRANGE(""https://docs.google.com/spreadsheets/d/1MeEWN-I1oV_STSDYn1IFDPWt_1FKiwhDph83XaGc0o0/edit?usp=sharing"",""งบพรบ!BS77"")"),0)</f>
        <v>0</v>
      </c>
      <c r="O140" s="887">
        <f t="shared" ca="1" si="70"/>
        <v>0</v>
      </c>
      <c r="P140" s="887">
        <f t="shared" ca="1" si="71"/>
        <v>0</v>
      </c>
      <c r="Q140" s="875"/>
      <c r="R140" s="875"/>
      <c r="S140" s="875"/>
      <c r="T140" s="875"/>
      <c r="U140" s="875"/>
      <c r="V140" s="875"/>
      <c r="W140" s="875"/>
      <c r="X140" s="875"/>
      <c r="Y140" s="875"/>
      <c r="Z140" s="875"/>
    </row>
    <row r="141" spans="1:26" ht="19.5" hidden="1">
      <c r="A141" s="1002"/>
      <c r="B141" s="1003"/>
      <c r="C141" s="987" t="s">
        <v>16</v>
      </c>
      <c r="D141" s="1004" t="s">
        <v>38</v>
      </c>
      <c r="E141" s="1005"/>
      <c r="F141" s="1005"/>
      <c r="G141" s="1006"/>
      <c r="H141" s="168"/>
      <c r="I141" s="880"/>
      <c r="J141" s="880"/>
      <c r="K141" s="881"/>
      <c r="L141" s="881"/>
      <c r="M141" s="881"/>
      <c r="N141" s="881"/>
      <c r="O141" s="881"/>
      <c r="P141" s="881"/>
    </row>
    <row r="142" spans="1:26" ht="19.5" hidden="1">
      <c r="A142" s="995"/>
      <c r="B142" s="877"/>
      <c r="C142" s="1029"/>
      <c r="D142" s="996" t="s">
        <v>71</v>
      </c>
      <c r="E142" s="878"/>
      <c r="F142" s="877"/>
      <c r="G142" s="1030"/>
      <c r="H142" s="168"/>
      <c r="I142" s="880"/>
      <c r="J142" s="1012">
        <v>0</v>
      </c>
      <c r="K142" s="881"/>
      <c r="L142" s="881"/>
      <c r="M142" s="881"/>
      <c r="N142" s="881"/>
      <c r="O142" s="881"/>
      <c r="P142" s="881"/>
    </row>
    <row r="143" spans="1:26" ht="19.5" hidden="1">
      <c r="A143" s="995"/>
      <c r="B143" s="877"/>
      <c r="C143" s="1029"/>
      <c r="D143" s="996" t="s">
        <v>72</v>
      </c>
      <c r="E143" s="878"/>
      <c r="F143" s="877"/>
      <c r="G143" s="1030"/>
      <c r="H143" s="168" t="s">
        <v>35</v>
      </c>
      <c r="I143" s="880">
        <f ca="1">I145</f>
        <v>0</v>
      </c>
      <c r="J143" s="880">
        <f ca="1">IF(AND(J144&gt;=I144,J145&gt;=I145),J145,0)</f>
        <v>0</v>
      </c>
      <c r="K143" s="881">
        <f t="shared" ref="K143:K146" ca="1" si="75">IF(I143&gt;0,J143*100/I143,0)</f>
        <v>0</v>
      </c>
      <c r="L143" s="881"/>
      <c r="M143" s="881"/>
      <c r="N143" s="881"/>
      <c r="O143" s="881"/>
      <c r="P143" s="881"/>
    </row>
    <row r="144" spans="1:26" ht="19.5" hidden="1">
      <c r="A144" s="995"/>
      <c r="B144" s="877"/>
      <c r="C144" s="1029"/>
      <c r="D144" s="1010"/>
      <c r="E144" s="996" t="s">
        <v>73</v>
      </c>
      <c r="F144" s="877"/>
      <c r="G144" s="1030"/>
      <c r="H144" s="168" t="s">
        <v>35</v>
      </c>
      <c r="I144" s="880">
        <f ca="1">IFERROR(__xludf.DUMMYFUNCTION("IMPORTRANGE(""https://docs.google.com/spreadsheets/d/1QqKyyYR6Q21VydFLVH3TRQUabQu_ym0Zz7PgGX0-kHA/edit?usp=sharing"",""แผน!U77"")"),0)</f>
        <v>0</v>
      </c>
      <c r="J144" s="1012">
        <v>0</v>
      </c>
      <c r="K144" s="881">
        <f t="shared" ca="1" si="75"/>
        <v>0</v>
      </c>
      <c r="L144" s="881"/>
      <c r="M144" s="881"/>
      <c r="N144" s="881"/>
      <c r="O144" s="881"/>
      <c r="P144" s="881"/>
    </row>
    <row r="145" spans="1:26" ht="19.5" hidden="1">
      <c r="A145" s="995"/>
      <c r="B145" s="877"/>
      <c r="C145" s="1029"/>
      <c r="D145" s="1010"/>
      <c r="E145" s="996" t="s">
        <v>74</v>
      </c>
      <c r="F145" s="877"/>
      <c r="G145" s="1030"/>
      <c r="H145" s="168" t="s">
        <v>35</v>
      </c>
      <c r="I145" s="880">
        <f ca="1">IFERROR(__xludf.DUMMYFUNCTION("IMPORTRANGE(""https://docs.google.com/spreadsheets/d/1QqKyyYR6Q21VydFLVH3TRQUabQu_ym0Zz7PgGX0-kHA/edit?usp=sharing"",""แผน!V77"")"),0)</f>
        <v>0</v>
      </c>
      <c r="J145" s="1012">
        <v>0</v>
      </c>
      <c r="K145" s="881">
        <f t="shared" ca="1" si="75"/>
        <v>0</v>
      </c>
      <c r="L145" s="881"/>
      <c r="M145" s="881"/>
      <c r="N145" s="881"/>
      <c r="O145" s="881"/>
      <c r="P145" s="881"/>
    </row>
    <row r="146" spans="1:26" ht="19.5" hidden="1">
      <c r="A146" s="995"/>
      <c r="B146" s="877"/>
      <c r="C146" s="1029"/>
      <c r="D146" s="996" t="s">
        <v>75</v>
      </c>
      <c r="E146" s="878"/>
      <c r="F146" s="877"/>
      <c r="G146" s="1030"/>
      <c r="H146" s="168" t="s">
        <v>66</v>
      </c>
      <c r="I146" s="880">
        <f ca="1">IFERROR(__xludf.DUMMYFUNCTION("IMPORTRANGE(""https://docs.google.com/spreadsheets/d/1QqKyyYR6Q21VydFLVH3TRQUabQu_ym0Zz7PgGX0-kHA/edit?usp=sharing"",""แผน!W77"")"),0)</f>
        <v>0</v>
      </c>
      <c r="J146" s="1012">
        <v>0</v>
      </c>
      <c r="K146" s="881">
        <f t="shared" ca="1" si="75"/>
        <v>0</v>
      </c>
      <c r="L146" s="881"/>
      <c r="M146" s="881"/>
      <c r="N146" s="881"/>
      <c r="O146" s="881"/>
      <c r="P146" s="881"/>
    </row>
    <row r="147" spans="1:26" ht="19.5" hidden="1">
      <c r="A147" s="970" t="s">
        <v>76</v>
      </c>
      <c r="B147" s="971"/>
      <c r="C147" s="1022"/>
      <c r="D147" s="971"/>
      <c r="E147" s="971"/>
      <c r="F147" s="971"/>
      <c r="G147" s="971"/>
      <c r="H147" s="1023"/>
      <c r="I147" s="1024"/>
      <c r="J147" s="1024"/>
      <c r="K147" s="1025"/>
      <c r="L147" s="976"/>
      <c r="M147" s="976"/>
      <c r="N147" s="976"/>
      <c r="O147" s="976"/>
      <c r="P147" s="976"/>
    </row>
    <row r="148" spans="1:26" ht="19.5" hidden="1">
      <c r="A148" s="1031"/>
      <c r="B148" s="978" t="s">
        <v>77</v>
      </c>
      <c r="C148" s="978"/>
      <c r="D148" s="978"/>
      <c r="E148" s="1032"/>
      <c r="F148" s="1033"/>
      <c r="G148" s="1034"/>
      <c r="H148" s="221" t="s">
        <v>35</v>
      </c>
      <c r="I148" s="982">
        <f t="shared" ref="I148:J148" ca="1" si="76">I159</f>
        <v>0</v>
      </c>
      <c r="J148" s="982">
        <f t="shared" si="76"/>
        <v>0</v>
      </c>
      <c r="K148" s="983">
        <f ca="1">IF(I148&gt;0,J148*100/I148,0)</f>
        <v>0</v>
      </c>
      <c r="L148" s="983"/>
      <c r="M148" s="983"/>
      <c r="N148" s="983"/>
      <c r="O148" s="983"/>
      <c r="P148" s="98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85"/>
      <c r="B149" s="986"/>
      <c r="C149" s="987" t="s">
        <v>16</v>
      </c>
      <c r="D149" s="988" t="s">
        <v>17</v>
      </c>
      <c r="E149" s="986"/>
      <c r="F149" s="986"/>
      <c r="G149" s="989"/>
      <c r="H149" s="152" t="s">
        <v>12</v>
      </c>
      <c r="I149" s="990"/>
      <c r="J149" s="990"/>
      <c r="K149" s="991"/>
      <c r="L149" s="992">
        <f t="shared" ref="L149:N149" ca="1" si="77">L150+L151</f>
        <v>0</v>
      </c>
      <c r="M149" s="992">
        <f t="shared" ca="1" si="77"/>
        <v>0</v>
      </c>
      <c r="N149" s="992">
        <f t="shared" ca="1" si="77"/>
        <v>0</v>
      </c>
      <c r="O149" s="992">
        <f t="shared" ref="O149:O157" ca="1" si="78">IF(L149&gt;0,N149*100/L149,0)</f>
        <v>0</v>
      </c>
      <c r="P149" s="992">
        <f t="shared" ref="P149:P157" ca="1" si="79">IF(M149&gt;0,N149*100/M149,0)</f>
        <v>0</v>
      </c>
      <c r="Q149" s="868"/>
      <c r="R149" s="868"/>
      <c r="S149" s="868"/>
      <c r="T149" s="868"/>
      <c r="U149" s="868"/>
      <c r="V149" s="868"/>
      <c r="W149" s="868"/>
      <c r="X149" s="868"/>
      <c r="Y149" s="868"/>
      <c r="Z149" s="868"/>
    </row>
    <row r="150" spans="1:26" ht="18.75" hidden="1">
      <c r="A150" s="993"/>
      <c r="B150" s="883"/>
      <c r="C150" s="883"/>
      <c r="D150" s="883"/>
      <c r="E150" s="884" t="s">
        <v>18</v>
      </c>
      <c r="F150" s="883"/>
      <c r="G150" s="994"/>
      <c r="H150" s="158" t="s">
        <v>12</v>
      </c>
      <c r="I150" s="886"/>
      <c r="J150" s="886"/>
      <c r="K150" s="887"/>
      <c r="L150" s="887">
        <f t="shared" ref="L150:N151" si="80">L153+L156</f>
        <v>0</v>
      </c>
      <c r="M150" s="887">
        <f t="shared" si="80"/>
        <v>0</v>
      </c>
      <c r="N150" s="887">
        <f t="shared" si="80"/>
        <v>0</v>
      </c>
      <c r="O150" s="887">
        <f t="shared" si="78"/>
        <v>0</v>
      </c>
      <c r="P150" s="887">
        <f t="shared" si="79"/>
        <v>0</v>
      </c>
      <c r="Q150" s="875"/>
      <c r="R150" s="875"/>
      <c r="S150" s="875"/>
      <c r="T150" s="875"/>
      <c r="U150" s="875"/>
      <c r="V150" s="875"/>
      <c r="W150" s="875"/>
      <c r="X150" s="875"/>
      <c r="Y150" s="875"/>
      <c r="Z150" s="875"/>
    </row>
    <row r="151" spans="1:26" ht="18.75" hidden="1">
      <c r="A151" s="993"/>
      <c r="B151" s="883"/>
      <c r="C151" s="883"/>
      <c r="D151" s="883"/>
      <c r="E151" s="884" t="s">
        <v>19</v>
      </c>
      <c r="F151" s="883"/>
      <c r="G151" s="994"/>
      <c r="H151" s="158" t="s">
        <v>12</v>
      </c>
      <c r="I151" s="886"/>
      <c r="J151" s="886"/>
      <c r="K151" s="887"/>
      <c r="L151" s="887">
        <f t="shared" ca="1" si="80"/>
        <v>0</v>
      </c>
      <c r="M151" s="887">
        <f t="shared" ca="1" si="80"/>
        <v>0</v>
      </c>
      <c r="N151" s="887">
        <f t="shared" ca="1" si="80"/>
        <v>0</v>
      </c>
      <c r="O151" s="887">
        <f t="shared" ca="1" si="78"/>
        <v>0</v>
      </c>
      <c r="P151" s="887">
        <f t="shared" ca="1" si="79"/>
        <v>0</v>
      </c>
      <c r="Q151" s="875"/>
      <c r="R151" s="875"/>
      <c r="S151" s="875"/>
      <c r="T151" s="875"/>
      <c r="U151" s="875"/>
      <c r="V151" s="875"/>
      <c r="W151" s="875"/>
      <c r="X151" s="875"/>
      <c r="Y151" s="875"/>
      <c r="Z151" s="875"/>
    </row>
    <row r="152" spans="1:26" ht="18.75" hidden="1">
      <c r="A152" s="995"/>
      <c r="B152" s="877"/>
      <c r="C152" s="996"/>
      <c r="D152" s="878" t="s">
        <v>20</v>
      </c>
      <c r="E152" s="877"/>
      <c r="F152" s="877"/>
      <c r="G152" s="879"/>
      <c r="H152" s="161" t="s">
        <v>12</v>
      </c>
      <c r="I152" s="997"/>
      <c r="J152" s="997"/>
      <c r="K152" s="998"/>
      <c r="L152" s="881">
        <f t="shared" ref="L152:N152" ca="1" si="81">L153+L154</f>
        <v>0</v>
      </c>
      <c r="M152" s="881">
        <f t="shared" ca="1" si="81"/>
        <v>0</v>
      </c>
      <c r="N152" s="881">
        <f t="shared" ca="1" si="81"/>
        <v>0</v>
      </c>
      <c r="O152" s="881">
        <f t="shared" ca="1" si="78"/>
        <v>0</v>
      </c>
      <c r="P152" s="881">
        <f t="shared" ca="1" si="79"/>
        <v>0</v>
      </c>
      <c r="Q152" s="868"/>
      <c r="R152" s="868"/>
      <c r="S152" s="868"/>
      <c r="T152" s="868"/>
      <c r="U152" s="868"/>
      <c r="V152" s="868"/>
      <c r="W152" s="868"/>
      <c r="X152" s="868"/>
      <c r="Y152" s="868"/>
      <c r="Z152" s="868"/>
    </row>
    <row r="153" spans="1:26" ht="19.5" hidden="1">
      <c r="A153" s="993"/>
      <c r="B153" s="883"/>
      <c r="C153" s="999"/>
      <c r="D153" s="883"/>
      <c r="E153" s="884" t="s">
        <v>36</v>
      </c>
      <c r="F153" s="883"/>
      <c r="G153" s="994"/>
      <c r="H153" s="165" t="s">
        <v>12</v>
      </c>
      <c r="I153" s="1000"/>
      <c r="J153" s="1000"/>
      <c r="K153" s="1001"/>
      <c r="L153" s="887">
        <v>0</v>
      </c>
      <c r="M153" s="887">
        <v>0</v>
      </c>
      <c r="N153" s="887">
        <v>0</v>
      </c>
      <c r="O153" s="887">
        <f t="shared" si="78"/>
        <v>0</v>
      </c>
      <c r="P153" s="887">
        <f t="shared" si="79"/>
        <v>0</v>
      </c>
      <c r="Q153" s="875"/>
      <c r="R153" s="875"/>
      <c r="S153" s="875"/>
      <c r="T153" s="875"/>
      <c r="U153" s="875"/>
      <c r="V153" s="875"/>
      <c r="W153" s="875"/>
      <c r="X153" s="875"/>
      <c r="Y153" s="875"/>
      <c r="Z153" s="875"/>
    </row>
    <row r="154" spans="1:26" ht="19.5" hidden="1">
      <c r="A154" s="993"/>
      <c r="B154" s="883"/>
      <c r="C154" s="999"/>
      <c r="D154" s="883"/>
      <c r="E154" s="884" t="s">
        <v>37</v>
      </c>
      <c r="F154" s="883"/>
      <c r="G154" s="994"/>
      <c r="H154" s="165" t="s">
        <v>12</v>
      </c>
      <c r="I154" s="1000"/>
      <c r="J154" s="1000"/>
      <c r="K154" s="1001"/>
      <c r="L154" s="887">
        <f ca="1">IFERROR(__xludf.DUMMYFUNCTION("IMPORTRANGE(""https://docs.google.com/spreadsheets/d/1MeEWN-I1oV_STSDYn1IFDPWt_1FKiwhDph83XaGc0o0/edit?usp=sharing"",""งบพรบ!BU77"")"),0)</f>
        <v>0</v>
      </c>
      <c r="M154" s="887">
        <f ca="1">IFERROR(__xludf.DUMMYFUNCTION("IMPORTRANGE(""https://docs.google.com/spreadsheets/d/1MeEWN-I1oV_STSDYn1IFDPWt_1FKiwhDph83XaGc0o0/edit?usp=sharing"",""งบพรบ!BZ77"")"),0)</f>
        <v>0</v>
      </c>
      <c r="N154" s="887">
        <f ca="1">IFERROR(__xludf.DUMMYFUNCTION("IMPORTRANGE(""https://docs.google.com/spreadsheets/d/1MeEWN-I1oV_STSDYn1IFDPWt_1FKiwhDph83XaGc0o0/edit?usp=sharing"",""งบพรบ!CB77"")"),0)</f>
        <v>0</v>
      </c>
      <c r="O154" s="887">
        <f t="shared" ca="1" si="78"/>
        <v>0</v>
      </c>
      <c r="P154" s="887">
        <f t="shared" ca="1" si="79"/>
        <v>0</v>
      </c>
      <c r="Q154" s="875"/>
      <c r="R154" s="875"/>
      <c r="S154" s="875"/>
      <c r="T154" s="875"/>
      <c r="U154" s="875"/>
      <c r="V154" s="875"/>
      <c r="W154" s="875"/>
      <c r="X154" s="875"/>
      <c r="Y154" s="875"/>
      <c r="Z154" s="875"/>
    </row>
    <row r="155" spans="1:26" ht="18.75" hidden="1">
      <c r="A155" s="995"/>
      <c r="B155" s="877"/>
      <c r="C155" s="996"/>
      <c r="D155" s="878" t="s">
        <v>21</v>
      </c>
      <c r="E155" s="877"/>
      <c r="F155" s="877"/>
      <c r="G155" s="879"/>
      <c r="H155" s="168" t="s">
        <v>12</v>
      </c>
      <c r="I155" s="997"/>
      <c r="J155" s="997"/>
      <c r="K155" s="998"/>
      <c r="L155" s="881">
        <f t="shared" ref="L155:N155" ca="1" si="82">L156+L157</f>
        <v>0</v>
      </c>
      <c r="M155" s="881">
        <f t="shared" ca="1" si="82"/>
        <v>0</v>
      </c>
      <c r="N155" s="881">
        <f t="shared" ca="1" si="82"/>
        <v>0</v>
      </c>
      <c r="O155" s="881">
        <f t="shared" ca="1" si="78"/>
        <v>0</v>
      </c>
      <c r="P155" s="881">
        <f t="shared" ca="1" si="79"/>
        <v>0</v>
      </c>
      <c r="Q155" s="868"/>
      <c r="R155" s="868"/>
      <c r="S155" s="868"/>
      <c r="T155" s="868"/>
      <c r="U155" s="868"/>
      <c r="V155" s="868"/>
      <c r="W155" s="868"/>
      <c r="X155" s="868"/>
      <c r="Y155" s="868"/>
      <c r="Z155" s="868"/>
    </row>
    <row r="156" spans="1:26" ht="19.5" hidden="1">
      <c r="A156" s="993"/>
      <c r="B156" s="883"/>
      <c r="C156" s="999"/>
      <c r="D156" s="883"/>
      <c r="E156" s="884" t="s">
        <v>18</v>
      </c>
      <c r="F156" s="883"/>
      <c r="G156" s="994"/>
      <c r="H156" s="165" t="s">
        <v>12</v>
      </c>
      <c r="I156" s="1000"/>
      <c r="J156" s="1000"/>
      <c r="K156" s="1001"/>
      <c r="L156" s="887">
        <v>0</v>
      </c>
      <c r="M156" s="887">
        <v>0</v>
      </c>
      <c r="N156" s="887">
        <v>0</v>
      </c>
      <c r="O156" s="887">
        <f t="shared" si="78"/>
        <v>0</v>
      </c>
      <c r="P156" s="887">
        <f t="shared" si="79"/>
        <v>0</v>
      </c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</row>
    <row r="157" spans="1:26" ht="19.5" hidden="1">
      <c r="A157" s="993"/>
      <c r="B157" s="883"/>
      <c r="C157" s="999"/>
      <c r="D157" s="883"/>
      <c r="E157" s="884" t="s">
        <v>19</v>
      </c>
      <c r="F157" s="883"/>
      <c r="G157" s="994"/>
      <c r="H157" s="169" t="s">
        <v>12</v>
      </c>
      <c r="I157" s="1000"/>
      <c r="J157" s="1000"/>
      <c r="K157" s="1001"/>
      <c r="L157" s="887">
        <f ca="1">IFERROR(__xludf.DUMMYFUNCTION("IMPORTRANGE(""https://docs.google.com/spreadsheets/d/1MeEWN-I1oV_STSDYn1IFDPWt_1FKiwhDph83XaGc0o0/edit?usp=sharing"",""งบพรบ!BX77"")"),0)</f>
        <v>0</v>
      </c>
      <c r="M157" s="887">
        <f ca="1">IFERROR(__xludf.DUMMYFUNCTION("IMPORTRANGE(""https://docs.google.com/spreadsheets/d/1MeEWN-I1oV_STSDYn1IFDPWt_1FKiwhDph83XaGc0o0/edit?usp=sharing"",""งบพรบ!CA77"")"),0)</f>
        <v>0</v>
      </c>
      <c r="N157" s="887">
        <f ca="1">IFERROR(__xludf.DUMMYFUNCTION("IMPORTRANGE(""https://docs.google.com/spreadsheets/d/1MeEWN-I1oV_STSDYn1IFDPWt_1FKiwhDph83XaGc0o0/edit?usp=sharing"",""งบพรบ!CC77"")"),0)</f>
        <v>0</v>
      </c>
      <c r="O157" s="887">
        <f t="shared" ca="1" si="78"/>
        <v>0</v>
      </c>
      <c r="P157" s="887">
        <f t="shared" ca="1" si="79"/>
        <v>0</v>
      </c>
      <c r="Q157" s="875"/>
      <c r="R157" s="875"/>
      <c r="S157" s="875"/>
      <c r="T157" s="875"/>
      <c r="U157" s="875"/>
      <c r="V157" s="875"/>
      <c r="W157" s="875"/>
      <c r="X157" s="875"/>
      <c r="Y157" s="875"/>
      <c r="Z157" s="875"/>
    </row>
    <row r="158" spans="1:26" ht="19.5" hidden="1">
      <c r="A158" s="1002"/>
      <c r="B158" s="1003"/>
      <c r="C158" s="999" t="s">
        <v>16</v>
      </c>
      <c r="D158" s="1004" t="s">
        <v>38</v>
      </c>
      <c r="E158" s="1005"/>
      <c r="F158" s="1005"/>
      <c r="G158" s="1006"/>
      <c r="H158" s="168"/>
      <c r="I158" s="880"/>
      <c r="J158" s="880"/>
      <c r="K158" s="881"/>
      <c r="L158" s="881"/>
      <c r="M158" s="881"/>
      <c r="N158" s="881"/>
      <c r="O158" s="881"/>
      <c r="P158" s="881"/>
    </row>
    <row r="159" spans="1:26" ht="19.5" hidden="1">
      <c r="A159" s="995"/>
      <c r="B159" s="877"/>
      <c r="C159" s="1029"/>
      <c r="D159" s="996" t="s">
        <v>78</v>
      </c>
      <c r="E159" s="878"/>
      <c r="F159" s="877"/>
      <c r="G159" s="1030"/>
      <c r="H159" s="168" t="s">
        <v>35</v>
      </c>
      <c r="I159" s="880">
        <f ca="1">IFERROR(__xludf.DUMMYFUNCTION("IMPORTRANGE(""https://docs.google.com/spreadsheets/d/1QqKyyYR6Q21VydFLVH3TRQUabQu_ym0Zz7PgGX0-kHA/edit?usp=sharing"",""แผน!X77"")"),0)</f>
        <v>0</v>
      </c>
      <c r="J159" s="1012">
        <v>0</v>
      </c>
      <c r="K159" s="881">
        <f ca="1">IF(I159&gt;0,J159*100/I159,0)</f>
        <v>0</v>
      </c>
      <c r="L159" s="881"/>
      <c r="M159" s="881"/>
      <c r="N159" s="881"/>
      <c r="O159" s="881"/>
      <c r="P159" s="881"/>
    </row>
    <row r="160" spans="1:26" ht="19.5" hidden="1">
      <c r="A160" s="993"/>
      <c r="B160" s="883"/>
      <c r="C160" s="999"/>
      <c r="D160" s="884" t="s">
        <v>79</v>
      </c>
      <c r="E160" s="1035"/>
      <c r="F160" s="883"/>
      <c r="G160" s="994"/>
      <c r="H160" s="169" t="s">
        <v>35</v>
      </c>
      <c r="I160" s="886"/>
      <c r="J160" s="886"/>
      <c r="K160" s="887"/>
      <c r="L160" s="887"/>
      <c r="M160" s="887"/>
      <c r="N160" s="887"/>
      <c r="O160" s="887"/>
      <c r="P160" s="88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232" t="s">
        <v>35</v>
      </c>
      <c r="I161" s="1042"/>
      <c r="J161" s="1042"/>
      <c r="K161" s="1043"/>
      <c r="L161" s="1043"/>
      <c r="M161" s="1043"/>
      <c r="N161" s="1043"/>
      <c r="O161" s="1043"/>
      <c r="P161" s="104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44" t="s">
        <v>81</v>
      </c>
      <c r="B162" s="1045"/>
      <c r="C162" s="1045"/>
      <c r="D162" s="1045"/>
      <c r="E162" s="1046"/>
      <c r="F162" s="1046"/>
      <c r="G162" s="1047"/>
      <c r="H162" s="1048"/>
      <c r="I162" s="1049"/>
      <c r="J162" s="1049"/>
      <c r="K162" s="1050"/>
      <c r="L162" s="1050"/>
      <c r="M162" s="1050"/>
      <c r="N162" s="1050"/>
      <c r="O162" s="1050"/>
      <c r="P162" s="1050"/>
    </row>
    <row r="163" spans="1:26" ht="19.5">
      <c r="A163" s="1051" t="s">
        <v>82</v>
      </c>
      <c r="B163" s="1052"/>
      <c r="C163" s="1052"/>
      <c r="D163" s="1053"/>
      <c r="E163" s="1053"/>
      <c r="F163" s="1053"/>
      <c r="G163" s="1054"/>
      <c r="H163" s="1055"/>
      <c r="I163" s="1056"/>
      <c r="J163" s="1056"/>
      <c r="K163" s="1057"/>
      <c r="L163" s="1057"/>
      <c r="M163" s="1057"/>
      <c r="N163" s="1057"/>
      <c r="O163" s="1057"/>
      <c r="P163" s="1057"/>
    </row>
    <row r="164" spans="1:26" ht="19.5">
      <c r="A164" s="1058"/>
      <c r="B164" s="1059" t="s">
        <v>83</v>
      </c>
      <c r="C164" s="1060"/>
      <c r="D164" s="1005"/>
      <c r="E164" s="1005"/>
      <c r="F164" s="1005"/>
      <c r="G164" s="1006"/>
      <c r="H164" s="252" t="s">
        <v>35</v>
      </c>
      <c r="I164" s="1075">
        <f t="shared" ref="I164:J164" ca="1" si="83">I174+I177</f>
        <v>13</v>
      </c>
      <c r="J164" s="1075">
        <f t="shared" si="83"/>
        <v>13</v>
      </c>
      <c r="K164" s="1076">
        <f ca="1">IF(I164&gt;0,J164*100/I164,0)</f>
        <v>100</v>
      </c>
      <c r="L164" s="1062"/>
      <c r="M164" s="1062"/>
      <c r="N164" s="1062"/>
      <c r="O164" s="1062"/>
      <c r="P164" s="1062"/>
    </row>
    <row r="165" spans="1:26" ht="19.5">
      <c r="A165" s="985"/>
      <c r="B165" s="986"/>
      <c r="C165" s="987" t="s">
        <v>16</v>
      </c>
      <c r="D165" s="988" t="s">
        <v>17</v>
      </c>
      <c r="E165" s="986"/>
      <c r="F165" s="986"/>
      <c r="G165" s="989"/>
      <c r="H165" s="152" t="s">
        <v>12</v>
      </c>
      <c r="I165" s="990"/>
      <c r="J165" s="990"/>
      <c r="K165" s="991"/>
      <c r="L165" s="992">
        <f t="shared" ref="L165:N165" ca="1" si="84">L166+L167</f>
        <v>24065</v>
      </c>
      <c r="M165" s="992">
        <f t="shared" ca="1" si="84"/>
        <v>41315</v>
      </c>
      <c r="N165" s="992">
        <f t="shared" ca="1" si="84"/>
        <v>41315</v>
      </c>
      <c r="O165" s="992">
        <f t="shared" ref="O165:O173" ca="1" si="85">IF(L165&gt;0,N165*100/L165,0)</f>
        <v>171.68086432578434</v>
      </c>
      <c r="P165" s="992">
        <f t="shared" ref="P165:P173" ca="1" si="86">IF(M165&gt;0,N165*100/M165,0)</f>
        <v>100</v>
      </c>
      <c r="Q165" s="868"/>
      <c r="R165" s="868"/>
      <c r="S165" s="868"/>
      <c r="T165" s="868"/>
      <c r="U165" s="868"/>
      <c r="V165" s="868"/>
      <c r="W165" s="868"/>
      <c r="X165" s="868"/>
      <c r="Y165" s="868"/>
      <c r="Z165" s="868"/>
    </row>
    <row r="166" spans="1:26" ht="18.75" hidden="1">
      <c r="A166" s="993"/>
      <c r="B166" s="883"/>
      <c r="C166" s="883"/>
      <c r="D166" s="883"/>
      <c r="E166" s="884" t="s">
        <v>18</v>
      </c>
      <c r="F166" s="883"/>
      <c r="G166" s="994"/>
      <c r="H166" s="158" t="s">
        <v>12</v>
      </c>
      <c r="I166" s="886"/>
      <c r="J166" s="886"/>
      <c r="K166" s="887"/>
      <c r="L166" s="887">
        <f t="shared" ref="L166:N167" si="87">L169+L172</f>
        <v>0</v>
      </c>
      <c r="M166" s="887">
        <f t="shared" si="87"/>
        <v>0</v>
      </c>
      <c r="N166" s="887">
        <f t="shared" si="87"/>
        <v>0</v>
      </c>
      <c r="O166" s="887">
        <f t="shared" si="85"/>
        <v>0</v>
      </c>
      <c r="P166" s="887">
        <f t="shared" si="86"/>
        <v>0</v>
      </c>
      <c r="Q166" s="875"/>
      <c r="R166" s="875"/>
      <c r="S166" s="875"/>
      <c r="T166" s="875"/>
      <c r="U166" s="875"/>
      <c r="V166" s="875"/>
      <c r="W166" s="875"/>
      <c r="X166" s="875"/>
      <c r="Y166" s="875"/>
      <c r="Z166" s="875"/>
    </row>
    <row r="167" spans="1:26" ht="18.75" hidden="1">
      <c r="A167" s="993"/>
      <c r="B167" s="883"/>
      <c r="C167" s="883"/>
      <c r="D167" s="883"/>
      <c r="E167" s="884" t="s">
        <v>19</v>
      </c>
      <c r="F167" s="883"/>
      <c r="G167" s="994"/>
      <c r="H167" s="158" t="s">
        <v>12</v>
      </c>
      <c r="I167" s="886"/>
      <c r="J167" s="886"/>
      <c r="K167" s="887"/>
      <c r="L167" s="887">
        <f t="shared" ca="1" si="87"/>
        <v>24065</v>
      </c>
      <c r="M167" s="887">
        <f t="shared" ca="1" si="87"/>
        <v>41315</v>
      </c>
      <c r="N167" s="887">
        <f t="shared" ca="1" si="87"/>
        <v>41315</v>
      </c>
      <c r="O167" s="887">
        <f t="shared" ca="1" si="85"/>
        <v>171.68086432578434</v>
      </c>
      <c r="P167" s="887">
        <f t="shared" ca="1" si="86"/>
        <v>100</v>
      </c>
      <c r="Q167" s="875"/>
      <c r="R167" s="875"/>
      <c r="S167" s="875"/>
      <c r="T167" s="875"/>
      <c r="U167" s="875"/>
      <c r="V167" s="875"/>
      <c r="W167" s="875"/>
      <c r="X167" s="875"/>
      <c r="Y167" s="875"/>
      <c r="Z167" s="875"/>
    </row>
    <row r="168" spans="1:26" ht="18.75">
      <c r="A168" s="995"/>
      <c r="B168" s="877"/>
      <c r="C168" s="996"/>
      <c r="D168" s="878" t="s">
        <v>20</v>
      </c>
      <c r="E168" s="877"/>
      <c r="F168" s="877"/>
      <c r="G168" s="879"/>
      <c r="H168" s="161" t="s">
        <v>12</v>
      </c>
      <c r="I168" s="997"/>
      <c r="J168" s="997"/>
      <c r="K168" s="998"/>
      <c r="L168" s="881">
        <f t="shared" ref="L168:N168" ca="1" si="88">L169+L170</f>
        <v>24065</v>
      </c>
      <c r="M168" s="881">
        <f t="shared" ca="1" si="88"/>
        <v>41315</v>
      </c>
      <c r="N168" s="881">
        <f t="shared" ca="1" si="88"/>
        <v>41315</v>
      </c>
      <c r="O168" s="881">
        <f t="shared" ca="1" si="85"/>
        <v>171.68086432578434</v>
      </c>
      <c r="P168" s="881">
        <f t="shared" ca="1" si="86"/>
        <v>100</v>
      </c>
      <c r="Q168" s="868"/>
      <c r="R168" s="868"/>
      <c r="S168" s="868"/>
      <c r="T168" s="868"/>
      <c r="U168" s="868"/>
      <c r="V168" s="868"/>
      <c r="W168" s="868"/>
      <c r="X168" s="868"/>
      <c r="Y168" s="868"/>
      <c r="Z168" s="868"/>
    </row>
    <row r="169" spans="1:26" ht="19.5" hidden="1">
      <c r="A169" s="993"/>
      <c r="B169" s="883"/>
      <c r="C169" s="999"/>
      <c r="D169" s="883"/>
      <c r="E169" s="884" t="s">
        <v>36</v>
      </c>
      <c r="F169" s="883"/>
      <c r="G169" s="994"/>
      <c r="H169" s="165" t="s">
        <v>12</v>
      </c>
      <c r="I169" s="1000"/>
      <c r="J169" s="1000"/>
      <c r="K169" s="1001"/>
      <c r="L169" s="887">
        <v>0</v>
      </c>
      <c r="M169" s="887">
        <v>0</v>
      </c>
      <c r="N169" s="887">
        <v>0</v>
      </c>
      <c r="O169" s="887">
        <f t="shared" si="85"/>
        <v>0</v>
      </c>
      <c r="P169" s="887">
        <f t="shared" si="86"/>
        <v>0</v>
      </c>
      <c r="Q169" s="875"/>
      <c r="R169" s="875"/>
      <c r="S169" s="875"/>
      <c r="T169" s="875"/>
      <c r="U169" s="875"/>
      <c r="V169" s="875"/>
      <c r="W169" s="875"/>
      <c r="X169" s="875"/>
      <c r="Y169" s="875"/>
      <c r="Z169" s="875"/>
    </row>
    <row r="170" spans="1:26" ht="19.5" hidden="1">
      <c r="A170" s="993"/>
      <c r="B170" s="883"/>
      <c r="C170" s="999"/>
      <c r="D170" s="883"/>
      <c r="E170" s="884" t="s">
        <v>37</v>
      </c>
      <c r="F170" s="883"/>
      <c r="G170" s="994"/>
      <c r="H170" s="165" t="s">
        <v>12</v>
      </c>
      <c r="I170" s="1000"/>
      <c r="J170" s="1000"/>
      <c r="K170" s="1001"/>
      <c r="L170" s="887">
        <f ca="1">IFERROR(__xludf.DUMMYFUNCTION("IMPORTRANGE(""https://docs.google.com/spreadsheets/d/1MeEWN-I1oV_STSDYn1IFDPWt_1FKiwhDph83XaGc0o0/edit?usp=sharing"",""งบพรบ!CE77"")"),24065)</f>
        <v>24065</v>
      </c>
      <c r="M170" s="887">
        <f ca="1">IFERROR(__xludf.DUMMYFUNCTION("IMPORTRANGE(""https://docs.google.com/spreadsheets/d/1MeEWN-I1oV_STSDYn1IFDPWt_1FKiwhDph83XaGc0o0/edit?usp=sharing"",""งบพรบ!CJ77"")"),41315)</f>
        <v>41315</v>
      </c>
      <c r="N170" s="887">
        <f ca="1">IFERROR(__xludf.DUMMYFUNCTION("IMPORTRANGE(""https://docs.google.com/spreadsheets/d/1MeEWN-I1oV_STSDYn1IFDPWt_1FKiwhDph83XaGc0o0/edit?usp=sharing"",""งบพรบ!CL77"")"),41315)</f>
        <v>41315</v>
      </c>
      <c r="O170" s="887">
        <f t="shared" ca="1" si="85"/>
        <v>171.68086432578434</v>
      </c>
      <c r="P170" s="887">
        <f t="shared" ca="1" si="86"/>
        <v>100</v>
      </c>
      <c r="Q170" s="875"/>
      <c r="R170" s="875"/>
      <c r="S170" s="875"/>
      <c r="T170" s="875"/>
      <c r="U170" s="875"/>
      <c r="V170" s="875"/>
      <c r="W170" s="875"/>
      <c r="X170" s="875"/>
      <c r="Y170" s="875"/>
      <c r="Z170" s="875"/>
    </row>
    <row r="171" spans="1:26" ht="18.75">
      <c r="A171" s="995"/>
      <c r="B171" s="877"/>
      <c r="C171" s="996"/>
      <c r="D171" s="878" t="s">
        <v>21</v>
      </c>
      <c r="E171" s="877"/>
      <c r="F171" s="877"/>
      <c r="G171" s="879"/>
      <c r="H171" s="168" t="s">
        <v>12</v>
      </c>
      <c r="I171" s="997"/>
      <c r="J171" s="997"/>
      <c r="K171" s="998"/>
      <c r="L171" s="881">
        <f t="shared" ref="L171:N171" ca="1" si="89">L172+L173</f>
        <v>0</v>
      </c>
      <c r="M171" s="881">
        <f t="shared" ca="1" si="89"/>
        <v>0</v>
      </c>
      <c r="N171" s="881">
        <f t="shared" ca="1" si="89"/>
        <v>0</v>
      </c>
      <c r="O171" s="881">
        <f t="shared" ca="1" si="85"/>
        <v>0</v>
      </c>
      <c r="P171" s="881">
        <f t="shared" ca="1" si="86"/>
        <v>0</v>
      </c>
      <c r="Q171" s="868"/>
      <c r="R171" s="868"/>
      <c r="S171" s="868"/>
      <c r="T171" s="868"/>
      <c r="U171" s="868"/>
      <c r="V171" s="868"/>
      <c r="W171" s="868"/>
      <c r="X171" s="868"/>
      <c r="Y171" s="868"/>
      <c r="Z171" s="868"/>
    </row>
    <row r="172" spans="1:26" ht="19.5" hidden="1">
      <c r="A172" s="993"/>
      <c r="B172" s="883"/>
      <c r="C172" s="999"/>
      <c r="D172" s="883"/>
      <c r="E172" s="884" t="s">
        <v>18</v>
      </c>
      <c r="F172" s="883"/>
      <c r="G172" s="994"/>
      <c r="H172" s="165" t="s">
        <v>12</v>
      </c>
      <c r="I172" s="1000"/>
      <c r="J172" s="1000"/>
      <c r="K172" s="1001"/>
      <c r="L172" s="887">
        <v>0</v>
      </c>
      <c r="M172" s="887">
        <v>0</v>
      </c>
      <c r="N172" s="887">
        <v>0</v>
      </c>
      <c r="O172" s="887">
        <f t="shared" si="85"/>
        <v>0</v>
      </c>
      <c r="P172" s="887">
        <f t="shared" si="86"/>
        <v>0</v>
      </c>
      <c r="Q172" s="875"/>
      <c r="R172" s="875"/>
      <c r="S172" s="875"/>
      <c r="T172" s="875"/>
      <c r="U172" s="875"/>
      <c r="V172" s="875"/>
      <c r="W172" s="875"/>
      <c r="X172" s="875"/>
      <c r="Y172" s="875"/>
      <c r="Z172" s="875"/>
    </row>
    <row r="173" spans="1:26" ht="19.5" hidden="1">
      <c r="A173" s="993"/>
      <c r="B173" s="883"/>
      <c r="C173" s="999"/>
      <c r="D173" s="883"/>
      <c r="E173" s="884" t="s">
        <v>19</v>
      </c>
      <c r="F173" s="883"/>
      <c r="G173" s="994"/>
      <c r="H173" s="169" t="s">
        <v>12</v>
      </c>
      <c r="I173" s="1000"/>
      <c r="J173" s="1000"/>
      <c r="K173" s="1001"/>
      <c r="L173" s="887">
        <f ca="1">IFERROR(__xludf.DUMMYFUNCTION("IMPORTRANGE(""https://docs.google.com/spreadsheets/d/1MeEWN-I1oV_STSDYn1IFDPWt_1FKiwhDph83XaGc0o0/edit?usp=sharing"",""งบพรบ!CH77"")"),0)</f>
        <v>0</v>
      </c>
      <c r="M173" s="887">
        <f ca="1">IFERROR(__xludf.DUMMYFUNCTION("IMPORTRANGE(""https://docs.google.com/spreadsheets/d/1MeEWN-I1oV_STSDYn1IFDPWt_1FKiwhDph83XaGc0o0/edit?usp=sharing"",""งบพรบ!CK77"")"),0)</f>
        <v>0</v>
      </c>
      <c r="N173" s="887">
        <f ca="1">IFERROR(__xludf.DUMMYFUNCTION("IMPORTRANGE(""https://docs.google.com/spreadsheets/d/1MeEWN-I1oV_STSDYn1IFDPWt_1FKiwhDph83XaGc0o0/edit?usp=sharing"",""งบพรบ!CM77"")"),0)</f>
        <v>0</v>
      </c>
      <c r="O173" s="887">
        <f t="shared" ca="1" si="85"/>
        <v>0</v>
      </c>
      <c r="P173" s="887">
        <f t="shared" ca="1" si="86"/>
        <v>0</v>
      </c>
      <c r="Q173" s="875"/>
      <c r="R173" s="875"/>
      <c r="S173" s="875"/>
      <c r="T173" s="875"/>
      <c r="U173" s="875"/>
      <c r="V173" s="875"/>
      <c r="W173" s="875"/>
      <c r="X173" s="875"/>
      <c r="Y173" s="875"/>
      <c r="Z173" s="875"/>
    </row>
    <row r="174" spans="1:26" ht="19.5">
      <c r="A174" s="1063"/>
      <c r="B174" s="1064"/>
      <c r="C174" s="1065" t="s">
        <v>84</v>
      </c>
      <c r="D174" s="1064"/>
      <c r="E174" s="1064"/>
      <c r="F174" s="1064"/>
      <c r="G174" s="1066"/>
      <c r="H174" s="260" t="s">
        <v>35</v>
      </c>
      <c r="I174" s="1067">
        <f t="shared" ref="I174:J174" ca="1" si="90">I176</f>
        <v>13</v>
      </c>
      <c r="J174" s="1067">
        <f t="shared" si="90"/>
        <v>13</v>
      </c>
      <c r="K174" s="1068">
        <f ca="1">IF(I174&gt;0,J174*100/I174,0)</f>
        <v>100</v>
      </c>
      <c r="L174" s="1068"/>
      <c r="M174" s="1068"/>
      <c r="N174" s="1068"/>
      <c r="O174" s="1068"/>
      <c r="P174" s="1068"/>
    </row>
    <row r="175" spans="1:26" ht="19.5">
      <c r="A175" s="1002"/>
      <c r="B175" s="1003"/>
      <c r="C175" s="999" t="s">
        <v>16</v>
      </c>
      <c r="D175" s="1004" t="s">
        <v>38</v>
      </c>
      <c r="E175" s="1005"/>
      <c r="F175" s="1005"/>
      <c r="G175" s="1006"/>
      <c r="H175" s="1007"/>
      <c r="I175" s="997"/>
      <c r="J175" s="997"/>
      <c r="K175" s="998"/>
      <c r="L175" s="998"/>
      <c r="M175" s="998"/>
      <c r="N175" s="998"/>
      <c r="O175" s="998"/>
      <c r="P175" s="998"/>
    </row>
    <row r="176" spans="1:26" ht="18.75">
      <c r="A176" s="1002"/>
      <c r="B176" s="1003"/>
      <c r="C176" s="1003"/>
      <c r="D176" s="1069" t="s">
        <v>85</v>
      </c>
      <c r="E176" s="1010"/>
      <c r="F176" s="1010"/>
      <c r="G176" s="1011"/>
      <c r="H176" s="622" t="s">
        <v>35</v>
      </c>
      <c r="I176" s="880">
        <f ca="1">IFERROR(__xludf.DUMMYFUNCTION("IMPORTRANGE(""https://docs.google.com/spreadsheets/d/1QqKyyYR6Q21VydFLVH3TRQUabQu_ym0Zz7PgGX0-kHA/edit?usp=sharing"",""แผน!Y77"")"),13)</f>
        <v>13</v>
      </c>
      <c r="J176" s="1012">
        <v>13</v>
      </c>
      <c r="K176" s="998">
        <f ca="1">IF(I176&gt;0,J176*100/I176,0)</f>
        <v>100</v>
      </c>
      <c r="L176" s="998"/>
      <c r="M176" s="998"/>
      <c r="N176" s="998"/>
      <c r="O176" s="998"/>
      <c r="P176" s="998"/>
    </row>
    <row r="177" spans="1:26" ht="19.5" hidden="1">
      <c r="A177" s="1063"/>
      <c r="B177" s="1070"/>
      <c r="C177" s="1071" t="s">
        <v>86</v>
      </c>
      <c r="D177" s="1070"/>
      <c r="E177" s="1064"/>
      <c r="F177" s="1064"/>
      <c r="G177" s="1066"/>
      <c r="H177" s="266" t="s">
        <v>35</v>
      </c>
      <c r="I177" s="1067"/>
      <c r="J177" s="1067">
        <f>J179</f>
        <v>0</v>
      </c>
      <c r="K177" s="1068"/>
      <c r="L177" s="1068"/>
      <c r="M177" s="1068"/>
      <c r="N177" s="1068"/>
      <c r="O177" s="1068"/>
      <c r="P177" s="1068"/>
    </row>
    <row r="178" spans="1:26" ht="19.5" hidden="1">
      <c r="A178" s="1002"/>
      <c r="B178" s="1003"/>
      <c r="C178" s="999" t="s">
        <v>16</v>
      </c>
      <c r="D178" s="1072" t="s">
        <v>38</v>
      </c>
      <c r="E178" s="1005"/>
      <c r="F178" s="1005"/>
      <c r="G178" s="1006"/>
      <c r="H178" s="1007"/>
      <c r="I178" s="997"/>
      <c r="J178" s="997"/>
      <c r="K178" s="998"/>
      <c r="L178" s="998"/>
      <c r="M178" s="998"/>
      <c r="N178" s="998"/>
      <c r="O178" s="998"/>
      <c r="P178" s="998"/>
    </row>
    <row r="179" spans="1:26" ht="18.75" hidden="1">
      <c r="A179" s="1002"/>
      <c r="B179" s="1003"/>
      <c r="C179" s="1003"/>
      <c r="D179" s="1073" t="s">
        <v>87</v>
      </c>
      <c r="E179" s="1010"/>
      <c r="F179" s="1074"/>
      <c r="G179" s="1011"/>
      <c r="H179" s="43" t="s">
        <v>35</v>
      </c>
      <c r="I179" s="880"/>
      <c r="J179" s="880"/>
      <c r="K179" s="998"/>
      <c r="L179" s="998"/>
      <c r="M179" s="998"/>
      <c r="N179" s="998"/>
      <c r="O179" s="998"/>
      <c r="P179" s="998"/>
    </row>
    <row r="180" spans="1:26" ht="19.5">
      <c r="A180" s="1058"/>
      <c r="B180" s="1059" t="s">
        <v>88</v>
      </c>
      <c r="C180" s="1060"/>
      <c r="D180" s="1005"/>
      <c r="E180" s="1005"/>
      <c r="F180" s="1005"/>
      <c r="G180" s="1006"/>
      <c r="H180" s="252" t="s">
        <v>35</v>
      </c>
      <c r="I180" s="1075" t="e">
        <f t="shared" ref="I180:J180" ca="1" si="91">I225+I226</f>
        <v>#VALUE!</v>
      </c>
      <c r="J180" s="1075">
        <f t="shared" si="91"/>
        <v>10</v>
      </c>
      <c r="K180" s="1076" t="e">
        <f ca="1">IF(I180&gt;0,J180*100/I180,0)</f>
        <v>#VALUE!</v>
      </c>
      <c r="L180" s="1062"/>
      <c r="M180" s="1062"/>
      <c r="N180" s="1062"/>
      <c r="O180" s="1062"/>
      <c r="P180" s="1062"/>
    </row>
    <row r="181" spans="1:26" ht="19.5">
      <c r="A181" s="985"/>
      <c r="B181" s="986"/>
      <c r="C181" s="987" t="s">
        <v>16</v>
      </c>
      <c r="D181" s="988" t="s">
        <v>17</v>
      </c>
      <c r="E181" s="986"/>
      <c r="F181" s="986"/>
      <c r="G181" s="989"/>
      <c r="H181" s="152" t="s">
        <v>12</v>
      </c>
      <c r="I181" s="990"/>
      <c r="J181" s="990"/>
      <c r="K181" s="991"/>
      <c r="L181" s="992">
        <f t="shared" ref="L181:N181" ca="1" si="92">L182+L183</f>
        <v>206200</v>
      </c>
      <c r="M181" s="992">
        <f t="shared" ca="1" si="92"/>
        <v>158525</v>
      </c>
      <c r="N181" s="992">
        <f t="shared" ca="1" si="92"/>
        <v>139666.32999999999</v>
      </c>
      <c r="O181" s="992">
        <f t="shared" ref="O181:O189" ca="1" si="93">IF(L181&gt;0,N181*100/L181,0)</f>
        <v>67.733428709990292</v>
      </c>
      <c r="P181" s="992">
        <f t="shared" ref="P181:P189" ca="1" si="94">IF(M181&gt;0,N181*100/M181,0)</f>
        <v>88.103661882983744</v>
      </c>
      <c r="Q181" s="868"/>
      <c r="R181" s="868"/>
      <c r="S181" s="868"/>
      <c r="T181" s="868"/>
      <c r="U181" s="868"/>
      <c r="V181" s="868"/>
      <c r="W181" s="868"/>
      <c r="X181" s="868"/>
      <c r="Y181" s="868"/>
      <c r="Z181" s="868"/>
    </row>
    <row r="182" spans="1:26" ht="18.75" hidden="1">
      <c r="A182" s="993"/>
      <c r="B182" s="883"/>
      <c r="C182" s="883"/>
      <c r="D182" s="883"/>
      <c r="E182" s="884" t="s">
        <v>18</v>
      </c>
      <c r="F182" s="883"/>
      <c r="G182" s="994"/>
      <c r="H182" s="158" t="s">
        <v>12</v>
      </c>
      <c r="I182" s="886"/>
      <c r="J182" s="886"/>
      <c r="K182" s="887"/>
      <c r="L182" s="887">
        <f t="shared" ref="L182:N183" si="95">L185+L188</f>
        <v>0</v>
      </c>
      <c r="M182" s="887">
        <f t="shared" si="95"/>
        <v>0</v>
      </c>
      <c r="N182" s="887">
        <f t="shared" si="95"/>
        <v>0</v>
      </c>
      <c r="O182" s="887">
        <f t="shared" si="93"/>
        <v>0</v>
      </c>
      <c r="P182" s="887">
        <f t="shared" si="94"/>
        <v>0</v>
      </c>
      <c r="Q182" s="875"/>
      <c r="R182" s="875"/>
      <c r="S182" s="875"/>
      <c r="T182" s="875"/>
      <c r="U182" s="875"/>
      <c r="V182" s="875"/>
      <c r="W182" s="875"/>
      <c r="X182" s="875"/>
      <c r="Y182" s="875"/>
      <c r="Z182" s="875"/>
    </row>
    <row r="183" spans="1:26" ht="18.75" hidden="1">
      <c r="A183" s="993"/>
      <c r="B183" s="883"/>
      <c r="C183" s="883"/>
      <c r="D183" s="883"/>
      <c r="E183" s="884" t="s">
        <v>19</v>
      </c>
      <c r="F183" s="883"/>
      <c r="G183" s="994"/>
      <c r="H183" s="158" t="s">
        <v>12</v>
      </c>
      <c r="I183" s="886"/>
      <c r="J183" s="886"/>
      <c r="K183" s="887"/>
      <c r="L183" s="887">
        <f t="shared" ca="1" si="95"/>
        <v>206200</v>
      </c>
      <c r="M183" s="887">
        <f t="shared" ca="1" si="95"/>
        <v>158525</v>
      </c>
      <c r="N183" s="887">
        <f t="shared" ca="1" si="95"/>
        <v>139666.32999999999</v>
      </c>
      <c r="O183" s="887">
        <f t="shared" ca="1" si="93"/>
        <v>67.733428709990292</v>
      </c>
      <c r="P183" s="887">
        <f t="shared" ca="1" si="94"/>
        <v>88.103661882983744</v>
      </c>
      <c r="Q183" s="875"/>
      <c r="R183" s="875"/>
      <c r="S183" s="875"/>
      <c r="T183" s="875"/>
      <c r="U183" s="875"/>
      <c r="V183" s="875"/>
      <c r="W183" s="875"/>
      <c r="X183" s="875"/>
      <c r="Y183" s="875"/>
      <c r="Z183" s="875"/>
    </row>
    <row r="184" spans="1:26" ht="18.75">
      <c r="A184" s="995"/>
      <c r="B184" s="877"/>
      <c r="C184" s="996"/>
      <c r="D184" s="878" t="s">
        <v>20</v>
      </c>
      <c r="E184" s="877"/>
      <c r="F184" s="877"/>
      <c r="G184" s="879"/>
      <c r="H184" s="161" t="s">
        <v>12</v>
      </c>
      <c r="I184" s="997"/>
      <c r="J184" s="997"/>
      <c r="K184" s="998"/>
      <c r="L184" s="881">
        <f t="shared" ref="L184:N184" ca="1" si="96">L185+L186</f>
        <v>206200</v>
      </c>
      <c r="M184" s="881">
        <f t="shared" ca="1" si="96"/>
        <v>158525</v>
      </c>
      <c r="N184" s="881">
        <f t="shared" ca="1" si="96"/>
        <v>139666.32999999999</v>
      </c>
      <c r="O184" s="881">
        <f t="shared" ca="1" si="93"/>
        <v>67.733428709990292</v>
      </c>
      <c r="P184" s="881">
        <f t="shared" ca="1" si="94"/>
        <v>88.103661882983744</v>
      </c>
      <c r="Q184" s="868"/>
      <c r="R184" s="868"/>
      <c r="S184" s="868"/>
      <c r="T184" s="868"/>
      <c r="U184" s="868"/>
      <c r="V184" s="868"/>
      <c r="W184" s="868"/>
      <c r="X184" s="868"/>
      <c r="Y184" s="868"/>
      <c r="Z184" s="868"/>
    </row>
    <row r="185" spans="1:26" ht="19.5" hidden="1">
      <c r="A185" s="993"/>
      <c r="B185" s="883"/>
      <c r="C185" s="999"/>
      <c r="D185" s="883"/>
      <c r="E185" s="884" t="s">
        <v>36</v>
      </c>
      <c r="F185" s="883"/>
      <c r="G185" s="994"/>
      <c r="H185" s="165" t="s">
        <v>12</v>
      </c>
      <c r="I185" s="1000"/>
      <c r="J185" s="1000"/>
      <c r="K185" s="1001"/>
      <c r="L185" s="887">
        <v>0</v>
      </c>
      <c r="M185" s="887">
        <v>0</v>
      </c>
      <c r="N185" s="887">
        <v>0</v>
      </c>
      <c r="O185" s="887">
        <f t="shared" si="93"/>
        <v>0</v>
      </c>
      <c r="P185" s="887">
        <f t="shared" si="94"/>
        <v>0</v>
      </c>
      <c r="Q185" s="875"/>
      <c r="R185" s="875"/>
      <c r="S185" s="875"/>
      <c r="T185" s="875"/>
      <c r="U185" s="875"/>
      <c r="V185" s="875"/>
      <c r="W185" s="875"/>
      <c r="X185" s="875"/>
      <c r="Y185" s="875"/>
      <c r="Z185" s="875"/>
    </row>
    <row r="186" spans="1:26" ht="19.5" hidden="1">
      <c r="A186" s="993"/>
      <c r="B186" s="883"/>
      <c r="C186" s="999"/>
      <c r="D186" s="883"/>
      <c r="E186" s="884" t="s">
        <v>37</v>
      </c>
      <c r="F186" s="883"/>
      <c r="G186" s="994"/>
      <c r="H186" s="165" t="s">
        <v>12</v>
      </c>
      <c r="I186" s="1000"/>
      <c r="J186" s="1000"/>
      <c r="K186" s="1001"/>
      <c r="L186" s="887">
        <f ca="1">IFERROR(__xludf.DUMMYFUNCTION("IMPORTRANGE(""https://docs.google.com/spreadsheets/d/1MeEWN-I1oV_STSDYn1IFDPWt_1FKiwhDph83XaGc0o0/edit?usp=sharing"",""งบพรบ!CO77"")"),206200)</f>
        <v>206200</v>
      </c>
      <c r="M186" s="887">
        <f ca="1">IFERROR(__xludf.DUMMYFUNCTION("IMPORTRANGE(""https://docs.google.com/spreadsheets/d/1MeEWN-I1oV_STSDYn1IFDPWt_1FKiwhDph83XaGc0o0/edit?usp=sharing"",""งบพรบ!CT77"")"),158525)</f>
        <v>158525</v>
      </c>
      <c r="N186" s="887">
        <f ca="1">IFERROR(__xludf.DUMMYFUNCTION("IMPORTRANGE(""https://docs.google.com/spreadsheets/d/1MeEWN-I1oV_STSDYn1IFDPWt_1FKiwhDph83XaGc0o0/edit?usp=sharing"",""งบพรบ!CV77"")"),139666.33)</f>
        <v>139666.32999999999</v>
      </c>
      <c r="O186" s="887">
        <f t="shared" ca="1" si="93"/>
        <v>67.733428709990292</v>
      </c>
      <c r="P186" s="887">
        <f t="shared" ca="1" si="94"/>
        <v>88.103661882983744</v>
      </c>
      <c r="Q186" s="875"/>
      <c r="R186" s="875"/>
      <c r="S186" s="875"/>
      <c r="T186" s="875"/>
      <c r="U186" s="875"/>
      <c r="V186" s="875"/>
      <c r="W186" s="875"/>
      <c r="X186" s="875"/>
      <c r="Y186" s="875"/>
      <c r="Z186" s="875"/>
    </row>
    <row r="187" spans="1:26" ht="18.75">
      <c r="A187" s="995"/>
      <c r="B187" s="877"/>
      <c r="C187" s="996"/>
      <c r="D187" s="878" t="s">
        <v>21</v>
      </c>
      <c r="E187" s="877"/>
      <c r="F187" s="877"/>
      <c r="G187" s="879"/>
      <c r="H187" s="168" t="s">
        <v>12</v>
      </c>
      <c r="I187" s="997"/>
      <c r="J187" s="997"/>
      <c r="K187" s="998"/>
      <c r="L187" s="881">
        <f t="shared" ref="L187:N187" ca="1" si="97">L188+L189</f>
        <v>0</v>
      </c>
      <c r="M187" s="881">
        <f t="shared" ca="1" si="97"/>
        <v>0</v>
      </c>
      <c r="N187" s="881">
        <f t="shared" ca="1" si="97"/>
        <v>0</v>
      </c>
      <c r="O187" s="881">
        <f t="shared" ca="1" si="93"/>
        <v>0</v>
      </c>
      <c r="P187" s="881">
        <f t="shared" ca="1" si="94"/>
        <v>0</v>
      </c>
      <c r="Q187" s="868"/>
      <c r="R187" s="868"/>
      <c r="S187" s="868"/>
      <c r="T187" s="868"/>
      <c r="U187" s="868"/>
      <c r="V187" s="868"/>
      <c r="W187" s="868"/>
      <c r="X187" s="868"/>
      <c r="Y187" s="868"/>
      <c r="Z187" s="868"/>
    </row>
    <row r="188" spans="1:26" ht="19.5" hidden="1">
      <c r="A188" s="993"/>
      <c r="B188" s="883"/>
      <c r="C188" s="999"/>
      <c r="D188" s="883"/>
      <c r="E188" s="884" t="s">
        <v>18</v>
      </c>
      <c r="F188" s="883"/>
      <c r="G188" s="994"/>
      <c r="H188" s="165" t="s">
        <v>12</v>
      </c>
      <c r="I188" s="1000"/>
      <c r="J188" s="1000"/>
      <c r="K188" s="1001"/>
      <c r="L188" s="887">
        <v>0</v>
      </c>
      <c r="M188" s="887">
        <v>0</v>
      </c>
      <c r="N188" s="887">
        <v>0</v>
      </c>
      <c r="O188" s="887">
        <f t="shared" si="93"/>
        <v>0</v>
      </c>
      <c r="P188" s="887">
        <f t="shared" si="94"/>
        <v>0</v>
      </c>
      <c r="Q188" s="875"/>
      <c r="R188" s="875"/>
      <c r="S188" s="875"/>
      <c r="T188" s="875"/>
      <c r="U188" s="875"/>
      <c r="V188" s="875"/>
      <c r="W188" s="875"/>
      <c r="X188" s="875"/>
      <c r="Y188" s="875"/>
      <c r="Z188" s="875"/>
    </row>
    <row r="189" spans="1:26" ht="19.5" hidden="1">
      <c r="A189" s="993"/>
      <c r="B189" s="883"/>
      <c r="C189" s="999"/>
      <c r="D189" s="883"/>
      <c r="E189" s="884" t="s">
        <v>19</v>
      </c>
      <c r="F189" s="883"/>
      <c r="G189" s="994"/>
      <c r="H189" s="169" t="s">
        <v>12</v>
      </c>
      <c r="I189" s="1000"/>
      <c r="J189" s="1000"/>
      <c r="K189" s="1001"/>
      <c r="L189" s="887">
        <f ca="1">IFERROR(__xludf.DUMMYFUNCTION("IMPORTRANGE(""https://docs.google.com/spreadsheets/d/1MeEWN-I1oV_STSDYn1IFDPWt_1FKiwhDph83XaGc0o0/edit?usp=sharing"",""งบพรบ!CR77"")"),0)</f>
        <v>0</v>
      </c>
      <c r="M189" s="887">
        <f ca="1">IFERROR(__xludf.DUMMYFUNCTION("IMPORTRANGE(""https://docs.google.com/spreadsheets/d/1MeEWN-I1oV_STSDYn1IFDPWt_1FKiwhDph83XaGc0o0/edit?usp=sharing"",""งบพรบ!CU77"")"),0)</f>
        <v>0</v>
      </c>
      <c r="N189" s="887">
        <f ca="1">IFERROR(__xludf.DUMMYFUNCTION("IMPORTRANGE(""https://docs.google.com/spreadsheets/d/1MeEWN-I1oV_STSDYn1IFDPWt_1FKiwhDph83XaGc0o0/edit?usp=sharing"",""งบพรบ!CW77"")"),0)</f>
        <v>0</v>
      </c>
      <c r="O189" s="887">
        <f t="shared" ca="1" si="93"/>
        <v>0</v>
      </c>
      <c r="P189" s="887">
        <f t="shared" ca="1" si="94"/>
        <v>0</v>
      </c>
      <c r="Q189" s="875"/>
      <c r="R189" s="875"/>
      <c r="S189" s="875"/>
      <c r="T189" s="875"/>
      <c r="U189" s="875"/>
      <c r="V189" s="875"/>
      <c r="W189" s="875"/>
      <c r="X189" s="875"/>
      <c r="Y189" s="875"/>
      <c r="Z189" s="875"/>
    </row>
    <row r="190" spans="1:26" ht="19.5">
      <c r="A190" s="1063"/>
      <c r="B190" s="1070"/>
      <c r="C190" s="1077" t="s">
        <v>89</v>
      </c>
      <c r="D190" s="1064"/>
      <c r="E190" s="1064"/>
      <c r="F190" s="1064"/>
      <c r="G190" s="1066"/>
      <c r="H190" s="260" t="s">
        <v>90</v>
      </c>
      <c r="I190" s="1078">
        <f t="shared" ref="I190:J190" ca="1" si="98">I193</f>
        <v>4</v>
      </c>
      <c r="J190" s="1078">
        <f t="shared" si="98"/>
        <v>2</v>
      </c>
      <c r="K190" s="1079">
        <f ca="1">IF(I190&gt;0,J190*100/I190,0)</f>
        <v>50</v>
      </c>
      <c r="L190" s="1068"/>
      <c r="M190" s="1068"/>
      <c r="N190" s="1068"/>
      <c r="O190" s="1068"/>
      <c r="P190" s="1068"/>
    </row>
    <row r="191" spans="1:26" ht="19.5">
      <c r="A191" s="985"/>
      <c r="B191" s="986"/>
      <c r="C191" s="987" t="s">
        <v>16</v>
      </c>
      <c r="D191" s="1080" t="s">
        <v>17</v>
      </c>
      <c r="E191" s="986"/>
      <c r="F191" s="986"/>
      <c r="G191" s="989"/>
      <c r="H191" s="275" t="s">
        <v>12</v>
      </c>
      <c r="I191" s="990"/>
      <c r="J191" s="990"/>
      <c r="K191" s="991"/>
      <c r="L191" s="992">
        <f ca="1">IFERROR(__xludf.DUMMYFUNCTION("IMPORTRANGE(""https://docs.google.com/spreadsheets/d/1QqKyyYR6Q21VydFLVH3TRQUabQu_ym0Zz7PgGX0-kHA/edit?usp=sharing"",""แผน!Z77"")"),6000)</f>
        <v>6000</v>
      </c>
      <c r="M191" s="992"/>
      <c r="N191" s="1081">
        <v>480</v>
      </c>
      <c r="O191" s="992">
        <f ca="1">IF(L191&gt;0,N191*100/L191,0)</f>
        <v>8</v>
      </c>
      <c r="P191" s="992">
        <f>IF(M191&gt;0,N191*100/M191,0)</f>
        <v>0</v>
      </c>
      <c r="Q191" s="868"/>
      <c r="R191" s="868"/>
      <c r="S191" s="868"/>
      <c r="T191" s="868"/>
      <c r="U191" s="868"/>
      <c r="V191" s="868"/>
      <c r="W191" s="868"/>
      <c r="X191" s="868"/>
      <c r="Y191" s="868"/>
      <c r="Z191" s="868"/>
    </row>
    <row r="192" spans="1:26" ht="19.5">
      <c r="A192" s="1002"/>
      <c r="B192" s="1003"/>
      <c r="C192" s="1029" t="s">
        <v>16</v>
      </c>
      <c r="D192" s="1004" t="s">
        <v>38</v>
      </c>
      <c r="E192" s="1005"/>
      <c r="F192" s="1005"/>
      <c r="G192" s="1006"/>
      <c r="H192" s="1007"/>
      <c r="I192" s="880"/>
      <c r="J192" s="880"/>
      <c r="K192" s="881"/>
      <c r="L192" s="881"/>
      <c r="M192" s="881"/>
      <c r="N192" s="881"/>
      <c r="O192" s="881"/>
      <c r="P192" s="881"/>
      <c r="Q192" s="868"/>
      <c r="R192" s="868"/>
      <c r="S192" s="868"/>
      <c r="T192" s="868"/>
      <c r="U192" s="868"/>
      <c r="V192" s="868"/>
      <c r="W192" s="868"/>
      <c r="X192" s="868"/>
      <c r="Y192" s="868"/>
      <c r="Z192" s="868"/>
    </row>
    <row r="193" spans="1:26" ht="18.75">
      <c r="A193" s="1002"/>
      <c r="B193" s="1003"/>
      <c r="C193" s="1003"/>
      <c r="D193" s="1009" t="s">
        <v>91</v>
      </c>
      <c r="E193" s="1010"/>
      <c r="F193" s="1010"/>
      <c r="G193" s="1011"/>
      <c r="H193" s="762" t="s">
        <v>90</v>
      </c>
      <c r="I193" s="880">
        <f ca="1">IFERROR(__xludf.DUMMYFUNCTION("IMPORTRANGE(""https://docs.google.com/spreadsheets/d/1QqKyyYR6Q21VydFLVH3TRQUabQu_ym0Zz7PgGX0-kHA/edit?usp=sharing"",""แผน!AC77"")"),4)</f>
        <v>4</v>
      </c>
      <c r="J193" s="1012">
        <v>2</v>
      </c>
      <c r="K193" s="881">
        <f ca="1">IF(I193&gt;0,J193*100/I193,0)</f>
        <v>50</v>
      </c>
      <c r="L193" s="881"/>
      <c r="M193" s="881"/>
      <c r="N193" s="881"/>
      <c r="O193" s="881"/>
      <c r="P193" s="881"/>
      <c r="Q193" s="868"/>
      <c r="R193" s="868"/>
      <c r="S193" s="868"/>
      <c r="T193" s="868"/>
      <c r="U193" s="868"/>
      <c r="V193" s="868"/>
      <c r="W193" s="868"/>
      <c r="X193" s="868"/>
      <c r="Y193" s="868"/>
      <c r="Z193" s="868"/>
    </row>
    <row r="194" spans="1:26" ht="18.75">
      <c r="A194" s="1002"/>
      <c r="B194" s="1003"/>
      <c r="C194" s="1003"/>
      <c r="D194" s="1009" t="s">
        <v>92</v>
      </c>
      <c r="E194" s="1010"/>
      <c r="F194" s="1010"/>
      <c r="G194" s="1011"/>
      <c r="H194" s="277" t="s">
        <v>35</v>
      </c>
      <c r="I194" s="880"/>
      <c r="J194" s="880">
        <f>J195+J196</f>
        <v>62</v>
      </c>
      <c r="K194" s="881"/>
      <c r="L194" s="881"/>
      <c r="M194" s="881"/>
      <c r="N194" s="881"/>
      <c r="O194" s="881"/>
      <c r="P194" s="881"/>
      <c r="Q194" s="868"/>
      <c r="R194" s="868"/>
      <c r="S194" s="868"/>
      <c r="T194" s="868"/>
      <c r="U194" s="868"/>
      <c r="V194" s="868"/>
      <c r="W194" s="868"/>
      <c r="X194" s="868"/>
      <c r="Y194" s="868"/>
      <c r="Z194" s="868"/>
    </row>
    <row r="195" spans="1:26" ht="18.75">
      <c r="A195" s="1002"/>
      <c r="B195" s="1003"/>
      <c r="C195" s="1003"/>
      <c r="D195" s="1003"/>
      <c r="E195" s="1009" t="s">
        <v>93</v>
      </c>
      <c r="F195" s="1010"/>
      <c r="G195" s="1011"/>
      <c r="H195" s="277" t="s">
        <v>35</v>
      </c>
      <c r="I195" s="880"/>
      <c r="J195" s="1012">
        <v>62</v>
      </c>
      <c r="K195" s="881"/>
      <c r="L195" s="881"/>
      <c r="M195" s="881"/>
      <c r="N195" s="881"/>
      <c r="O195" s="881"/>
      <c r="P195" s="881"/>
      <c r="Q195" s="868"/>
      <c r="R195" s="868"/>
      <c r="S195" s="868"/>
      <c r="T195" s="868"/>
      <c r="U195" s="868"/>
      <c r="V195" s="868"/>
      <c r="W195" s="868"/>
      <c r="X195" s="868"/>
      <c r="Y195" s="868"/>
      <c r="Z195" s="868"/>
    </row>
    <row r="196" spans="1:26" ht="18.75">
      <c r="A196" s="1002"/>
      <c r="B196" s="1003"/>
      <c r="C196" s="1003"/>
      <c r="D196" s="1003"/>
      <c r="E196" s="1009" t="s">
        <v>94</v>
      </c>
      <c r="F196" s="1010"/>
      <c r="G196" s="1011"/>
      <c r="H196" s="277" t="s">
        <v>35</v>
      </c>
      <c r="I196" s="880"/>
      <c r="J196" s="1012">
        <v>0</v>
      </c>
      <c r="K196" s="881"/>
      <c r="L196" s="881"/>
      <c r="M196" s="881"/>
      <c r="N196" s="881"/>
      <c r="O196" s="881"/>
      <c r="P196" s="881"/>
      <c r="Q196" s="868"/>
      <c r="R196" s="868"/>
      <c r="S196" s="868"/>
      <c r="T196" s="868"/>
      <c r="U196" s="868"/>
      <c r="V196" s="868"/>
      <c r="W196" s="868"/>
      <c r="X196" s="868"/>
      <c r="Y196" s="868"/>
      <c r="Z196" s="868"/>
    </row>
    <row r="197" spans="1:26" ht="19.5">
      <c r="A197" s="1063"/>
      <c r="B197" s="1070"/>
      <c r="C197" s="1077" t="s">
        <v>95</v>
      </c>
      <c r="D197" s="1064"/>
      <c r="E197" s="1064"/>
      <c r="F197" s="1064"/>
      <c r="G197" s="1066"/>
      <c r="H197" s="278" t="s">
        <v>96</v>
      </c>
      <c r="I197" s="1078">
        <f t="shared" ref="I197:J197" ca="1" si="99">I204</f>
        <v>1</v>
      </c>
      <c r="J197" s="1078">
        <f t="shared" si="99"/>
        <v>1</v>
      </c>
      <c r="K197" s="1079">
        <f ca="1">IF(I197&gt;0,J197*100/I197,0)</f>
        <v>100</v>
      </c>
      <c r="L197" s="1068"/>
      <c r="M197" s="1068"/>
      <c r="N197" s="1068"/>
      <c r="O197" s="1068"/>
      <c r="P197" s="1068"/>
    </row>
    <row r="198" spans="1:26" ht="19.5">
      <c r="A198" s="985"/>
      <c r="B198" s="986"/>
      <c r="C198" s="987" t="s">
        <v>16</v>
      </c>
      <c r="D198" s="1080" t="s">
        <v>17</v>
      </c>
      <c r="E198" s="986"/>
      <c r="F198" s="986"/>
      <c r="G198" s="989"/>
      <c r="H198" s="275" t="s">
        <v>12</v>
      </c>
      <c r="I198" s="1082"/>
      <c r="J198" s="1082"/>
      <c r="K198" s="1083"/>
      <c r="L198" s="992">
        <f ca="1">L199+L200+L201+L202</f>
        <v>13000</v>
      </c>
      <c r="M198" s="992"/>
      <c r="N198" s="992">
        <f>N199+N200+N201+N202</f>
        <v>12223.619999999999</v>
      </c>
      <c r="O198" s="992">
        <f ca="1">IF(L198&gt;0,N198*100/L198,0)</f>
        <v>94.027846153846156</v>
      </c>
      <c r="P198" s="992">
        <f>IF(M198&gt;0,N198*100/M198,0)</f>
        <v>0</v>
      </c>
      <c r="Q198" s="868"/>
      <c r="R198" s="868"/>
      <c r="S198" s="868"/>
      <c r="T198" s="868"/>
      <c r="U198" s="868"/>
      <c r="V198" s="868"/>
      <c r="W198" s="868"/>
      <c r="X198" s="868"/>
      <c r="Y198" s="868"/>
      <c r="Z198" s="868"/>
    </row>
    <row r="199" spans="1:26" ht="18.75">
      <c r="A199" s="995"/>
      <c r="B199" s="1084"/>
      <c r="C199" s="877"/>
      <c r="D199" s="996" t="s">
        <v>97</v>
      </c>
      <c r="E199" s="877"/>
      <c r="F199" s="877"/>
      <c r="G199" s="879"/>
      <c r="H199" s="161" t="s">
        <v>12</v>
      </c>
      <c r="I199" s="997"/>
      <c r="J199" s="997"/>
      <c r="K199" s="998"/>
      <c r="L199" s="881">
        <f ca="1">IFERROR(__xludf.DUMMYFUNCTION("IMPORTRANGE(""https://docs.google.com/spreadsheets/d/1QqKyyYR6Q21VydFLVH3TRQUabQu_ym0Zz7PgGX0-kHA/edit?usp=sharing"",""แผน!AE77"")"),1000)</f>
        <v>1000</v>
      </c>
      <c r="M199" s="881"/>
      <c r="N199" s="1085">
        <v>240</v>
      </c>
      <c r="O199" s="881"/>
      <c r="P199" s="881"/>
      <c r="Q199" s="868"/>
      <c r="R199" s="868"/>
      <c r="S199" s="868"/>
      <c r="T199" s="868"/>
      <c r="U199" s="868"/>
      <c r="V199" s="868"/>
      <c r="W199" s="868"/>
      <c r="X199" s="868"/>
      <c r="Y199" s="868"/>
      <c r="Z199" s="868"/>
    </row>
    <row r="200" spans="1:26" ht="19.5">
      <c r="A200" s="1086"/>
      <c r="B200" s="1084"/>
      <c r="C200" s="1029"/>
      <c r="D200" s="996" t="s">
        <v>98</v>
      </c>
      <c r="E200" s="877"/>
      <c r="F200" s="877"/>
      <c r="G200" s="879"/>
      <c r="H200" s="622" t="s">
        <v>12</v>
      </c>
      <c r="I200" s="880"/>
      <c r="J200" s="880"/>
      <c r="K200" s="881"/>
      <c r="L200" s="881">
        <f ca="1">IFERROR(__xludf.DUMMYFUNCTION("IMPORTRANGE(""https://docs.google.com/spreadsheets/d/1QqKyyYR6Q21VydFLVH3TRQUabQu_ym0Zz7PgGX0-kHA/edit?usp=sharing"",""แผน!AF77"")"),8000)</f>
        <v>8000</v>
      </c>
      <c r="M200" s="881"/>
      <c r="N200" s="1085">
        <v>7983.62</v>
      </c>
      <c r="O200" s="881"/>
      <c r="P200" s="881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</row>
    <row r="201" spans="1:26" ht="19.5">
      <c r="A201" s="1086"/>
      <c r="B201" s="1084"/>
      <c r="C201" s="1029"/>
      <c r="D201" s="996" t="s">
        <v>99</v>
      </c>
      <c r="E201" s="877"/>
      <c r="F201" s="877"/>
      <c r="G201" s="879"/>
      <c r="H201" s="622" t="s">
        <v>12</v>
      </c>
      <c r="I201" s="880"/>
      <c r="J201" s="880"/>
      <c r="K201" s="881"/>
      <c r="L201" s="881">
        <f ca="1">IFERROR(__xludf.DUMMYFUNCTION("IMPORTRANGE(""https://docs.google.com/spreadsheets/d/1QqKyyYR6Q21VydFLVH3TRQUabQu_ym0Zz7PgGX0-kHA/edit?usp=sharing"",""แผน!AG77"")"),4000)</f>
        <v>4000</v>
      </c>
      <c r="M201" s="881"/>
      <c r="N201" s="1085">
        <v>4000</v>
      </c>
      <c r="O201" s="881"/>
      <c r="P201" s="881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</row>
    <row r="202" spans="1:26" ht="19.5">
      <c r="A202" s="1086"/>
      <c r="B202" s="1084"/>
      <c r="C202" s="1029"/>
      <c r="D202" s="996" t="s">
        <v>100</v>
      </c>
      <c r="E202" s="877"/>
      <c r="F202" s="877"/>
      <c r="G202" s="879"/>
      <c r="H202" s="622" t="s">
        <v>12</v>
      </c>
      <c r="I202" s="880"/>
      <c r="J202" s="880"/>
      <c r="K202" s="881"/>
      <c r="L202" s="881">
        <f ca="1">IFERROR(__xludf.DUMMYFUNCTION("IMPORTRANGE(""https://docs.google.com/spreadsheets/d/1QqKyyYR6Q21VydFLVH3TRQUabQu_ym0Zz7PgGX0-kHA/edit?usp=sharing"",""แผน!AH77"")"),0)</f>
        <v>0</v>
      </c>
      <c r="M202" s="881"/>
      <c r="N202" s="1085">
        <v>0</v>
      </c>
      <c r="O202" s="881"/>
      <c r="P202" s="881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</row>
    <row r="203" spans="1:26" ht="19.5">
      <c r="A203" s="1002"/>
      <c r="B203" s="1003"/>
      <c r="C203" s="1029" t="s">
        <v>16</v>
      </c>
      <c r="D203" s="1004" t="s">
        <v>38</v>
      </c>
      <c r="E203" s="1005"/>
      <c r="F203" s="1005"/>
      <c r="G203" s="1006"/>
      <c r="H203" s="1007"/>
      <c r="I203" s="997"/>
      <c r="J203" s="997"/>
      <c r="K203" s="998"/>
      <c r="L203" s="998"/>
      <c r="M203" s="998"/>
      <c r="N203" s="998"/>
      <c r="O203" s="998"/>
      <c r="P203" s="99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</row>
    <row r="204" spans="1:26" ht="18.75">
      <c r="A204" s="1002"/>
      <c r="B204" s="1003"/>
      <c r="C204" s="1003"/>
      <c r="D204" s="1008" t="s">
        <v>101</v>
      </c>
      <c r="E204" s="1010"/>
      <c r="F204" s="1010"/>
      <c r="G204" s="1011"/>
      <c r="H204" s="1007" t="s">
        <v>96</v>
      </c>
      <c r="I204" s="880">
        <f ca="1">IFERROR(__xludf.DUMMYFUNCTION("IMPORTRANGE(""https://docs.google.com/spreadsheets/d/1QqKyyYR6Q21VydFLVH3TRQUabQu_ym0Zz7PgGX0-kHA/edit?usp=sharing"",""แผน!AI77"")"),1)</f>
        <v>1</v>
      </c>
      <c r="J204" s="1012">
        <v>1</v>
      </c>
      <c r="K204" s="998">
        <f ca="1">IF(I204&gt;0,J204*100/I204,0)</f>
        <v>100</v>
      </c>
      <c r="L204" s="881"/>
      <c r="M204" s="881"/>
      <c r="N204" s="881"/>
      <c r="O204" s="881"/>
      <c r="P204" s="881"/>
      <c r="Q204" s="868"/>
      <c r="R204" s="868"/>
      <c r="S204" s="868"/>
      <c r="T204" s="868"/>
      <c r="U204" s="868"/>
      <c r="V204" s="868"/>
      <c r="W204" s="868"/>
      <c r="X204" s="868"/>
      <c r="Y204" s="868"/>
      <c r="Z204" s="868"/>
    </row>
    <row r="205" spans="1:26" ht="18.75">
      <c r="A205" s="1002"/>
      <c r="B205" s="1003"/>
      <c r="C205" s="1003"/>
      <c r="D205" s="1009" t="s">
        <v>59</v>
      </c>
      <c r="E205" s="1010"/>
      <c r="F205" s="1010"/>
      <c r="G205" s="1011"/>
      <c r="H205" s="1007"/>
      <c r="I205" s="880"/>
      <c r="J205" s="880"/>
      <c r="K205" s="998"/>
      <c r="L205" s="881"/>
      <c r="M205" s="881"/>
      <c r="N205" s="881"/>
      <c r="O205" s="881"/>
      <c r="P205" s="881"/>
      <c r="Q205" s="868"/>
      <c r="R205" s="868"/>
      <c r="S205" s="868"/>
      <c r="T205" s="868"/>
      <c r="U205" s="868"/>
      <c r="V205" s="868"/>
      <c r="W205" s="868"/>
      <c r="X205" s="868"/>
      <c r="Y205" s="868"/>
      <c r="Z205" s="868"/>
    </row>
    <row r="206" spans="1:26" ht="18.75">
      <c r="A206" s="1002"/>
      <c r="B206" s="1003"/>
      <c r="C206" s="1003"/>
      <c r="D206" s="1010"/>
      <c r="E206" s="1021" t="s">
        <v>102</v>
      </c>
      <c r="F206" s="1088"/>
      <c r="G206" s="1089"/>
      <c r="H206" s="1090" t="s">
        <v>96</v>
      </c>
      <c r="I206" s="880">
        <v>1</v>
      </c>
      <c r="J206" s="1012">
        <v>1</v>
      </c>
      <c r="K206" s="998">
        <f t="shared" ref="K206:K208" si="100">IF(I206&gt;0,J206*100/I206,0)</f>
        <v>100</v>
      </c>
      <c r="L206" s="881"/>
      <c r="M206" s="881"/>
      <c r="N206" s="881"/>
      <c r="O206" s="881"/>
      <c r="P206" s="881"/>
      <c r="Q206" s="868"/>
      <c r="R206" s="868"/>
      <c r="S206" s="868"/>
      <c r="T206" s="868"/>
      <c r="U206" s="868"/>
      <c r="V206" s="868"/>
      <c r="W206" s="868"/>
      <c r="X206" s="868"/>
      <c r="Y206" s="868"/>
      <c r="Z206" s="868"/>
    </row>
    <row r="207" spans="1:26" ht="18.75">
      <c r="A207" s="1002"/>
      <c r="B207" s="1003"/>
      <c r="C207" s="1003"/>
      <c r="D207" s="1009"/>
      <c r="E207" s="1009" t="s">
        <v>103</v>
      </c>
      <c r="F207" s="1010"/>
      <c r="G207" s="1010"/>
      <c r="H207" s="290" t="s">
        <v>104</v>
      </c>
      <c r="I207" s="880">
        <v>0</v>
      </c>
      <c r="J207" s="1012">
        <v>0</v>
      </c>
      <c r="K207" s="998">
        <f t="shared" si="100"/>
        <v>0</v>
      </c>
      <c r="L207" s="881"/>
      <c r="M207" s="881"/>
      <c r="N207" s="881"/>
      <c r="O207" s="881"/>
      <c r="P207" s="881"/>
      <c r="Q207" s="868"/>
      <c r="R207" s="868"/>
      <c r="S207" s="868"/>
      <c r="T207" s="868"/>
      <c r="U207" s="868"/>
      <c r="V207" s="868"/>
      <c r="W207" s="868"/>
      <c r="X207" s="868"/>
      <c r="Y207" s="868"/>
      <c r="Z207" s="868"/>
    </row>
    <row r="208" spans="1:26" ht="19.5" hidden="1">
      <c r="A208" s="1063"/>
      <c r="B208" s="1070"/>
      <c r="C208" s="1077" t="s">
        <v>105</v>
      </c>
      <c r="D208" s="1064"/>
      <c r="E208" s="1064"/>
      <c r="F208" s="1091"/>
      <c r="G208" s="1066"/>
      <c r="H208" s="278" t="s">
        <v>96</v>
      </c>
      <c r="I208" s="1078">
        <f t="shared" ref="I208:J208" ca="1" si="101">I215</f>
        <v>0</v>
      </c>
      <c r="J208" s="1078">
        <f t="shared" si="101"/>
        <v>0</v>
      </c>
      <c r="K208" s="1079">
        <f t="shared" ca="1" si="100"/>
        <v>0</v>
      </c>
      <c r="L208" s="1068"/>
      <c r="M208" s="1068"/>
      <c r="N208" s="1068"/>
      <c r="O208" s="1068"/>
      <c r="P208" s="1068"/>
    </row>
    <row r="209" spans="1:26" ht="19.5" hidden="1">
      <c r="A209" s="985"/>
      <c r="B209" s="986"/>
      <c r="C209" s="987" t="s">
        <v>16</v>
      </c>
      <c r="D209" s="1080" t="s">
        <v>17</v>
      </c>
      <c r="E209" s="986"/>
      <c r="F209" s="986"/>
      <c r="G209" s="989"/>
      <c r="H209" s="275" t="s">
        <v>12</v>
      </c>
      <c r="I209" s="1082"/>
      <c r="J209" s="1082"/>
      <c r="K209" s="1083"/>
      <c r="L209" s="992">
        <f ca="1">L210+L211+L212</f>
        <v>0</v>
      </c>
      <c r="M209" s="992"/>
      <c r="N209" s="992">
        <f>N210+N211+N212</f>
        <v>0</v>
      </c>
      <c r="O209" s="992">
        <f ca="1">IF(L209&gt;0,N209*100/L209,0)</f>
        <v>0</v>
      </c>
      <c r="P209" s="992">
        <f>IF(M209&gt;0,N209*100/M209,0)</f>
        <v>0</v>
      </c>
      <c r="Q209" s="868"/>
      <c r="R209" s="868"/>
      <c r="S209" s="868"/>
      <c r="T209" s="868"/>
      <c r="U209" s="868"/>
      <c r="V209" s="868"/>
      <c r="W209" s="868"/>
      <c r="X209" s="868"/>
      <c r="Y209" s="868"/>
      <c r="Z209" s="868"/>
    </row>
    <row r="210" spans="1:26" ht="18.75" hidden="1">
      <c r="A210" s="995"/>
      <c r="B210" s="1084"/>
      <c r="C210" s="877"/>
      <c r="D210" s="996" t="s">
        <v>97</v>
      </c>
      <c r="E210" s="877"/>
      <c r="F210" s="877"/>
      <c r="G210" s="879"/>
      <c r="H210" s="161" t="s">
        <v>12</v>
      </c>
      <c r="I210" s="997"/>
      <c r="J210" s="997"/>
      <c r="K210" s="998"/>
      <c r="L210" s="881">
        <f ca="1">IFERROR(__xludf.DUMMYFUNCTION("IMPORTRANGE(""https://docs.google.com/spreadsheets/d/1QqKyyYR6Q21VydFLVH3TRQUabQu_ym0Zz7PgGX0-kHA/edit?usp=sharing"",""แผน!AK77"")"),0)</f>
        <v>0</v>
      </c>
      <c r="M210" s="881"/>
      <c r="N210" s="1085">
        <v>0</v>
      </c>
      <c r="O210" s="881"/>
      <c r="P210" s="881"/>
      <c r="Q210" s="868"/>
      <c r="R210" s="868"/>
      <c r="S210" s="868"/>
      <c r="T210" s="868"/>
      <c r="U210" s="868"/>
      <c r="V210" s="868"/>
      <c r="W210" s="868"/>
      <c r="X210" s="868"/>
      <c r="Y210" s="868"/>
      <c r="Z210" s="868"/>
    </row>
    <row r="211" spans="1:26" ht="19.5" hidden="1">
      <c r="A211" s="1086"/>
      <c r="B211" s="1084"/>
      <c r="C211" s="1092"/>
      <c r="D211" s="996" t="s">
        <v>99</v>
      </c>
      <c r="E211" s="877"/>
      <c r="F211" s="877"/>
      <c r="G211" s="879"/>
      <c r="H211" s="161" t="s">
        <v>12</v>
      </c>
      <c r="I211" s="880"/>
      <c r="J211" s="880"/>
      <c r="K211" s="881"/>
      <c r="L211" s="881">
        <f ca="1">IFERROR(__xludf.DUMMYFUNCTION("IMPORTRANGE(""https://docs.google.com/spreadsheets/d/1QqKyyYR6Q21VydFLVH3TRQUabQu_ym0Zz7PgGX0-kHA/edit?usp=sharing"",""แผน!AL77"")"),0)</f>
        <v>0</v>
      </c>
      <c r="M211" s="881"/>
      <c r="N211" s="1085">
        <v>0</v>
      </c>
      <c r="O211" s="881"/>
      <c r="P211" s="881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</row>
    <row r="212" spans="1:26" ht="19.5" hidden="1">
      <c r="A212" s="1086"/>
      <c r="B212" s="1084"/>
      <c r="C212" s="1092"/>
      <c r="D212" s="996" t="s">
        <v>98</v>
      </c>
      <c r="E212" s="877"/>
      <c r="F212" s="877"/>
      <c r="G212" s="879"/>
      <c r="H212" s="161" t="s">
        <v>12</v>
      </c>
      <c r="I212" s="880"/>
      <c r="J212" s="880"/>
      <c r="K212" s="881"/>
      <c r="L212" s="881">
        <f ca="1">IFERROR(__xludf.DUMMYFUNCTION("IMPORTRANGE(""https://docs.google.com/spreadsheets/d/1QqKyyYR6Q21VydFLVH3TRQUabQu_ym0Zz7PgGX0-kHA/edit?usp=sharing"",""แผน!AM77"")"),0)</f>
        <v>0</v>
      </c>
      <c r="M212" s="881"/>
      <c r="N212" s="1085">
        <v>0</v>
      </c>
      <c r="O212" s="881"/>
      <c r="P212" s="881"/>
      <c r="Q212" s="1087"/>
      <c r="R212" s="1087"/>
      <c r="S212" s="1087"/>
      <c r="T212" s="1087"/>
      <c r="U212" s="1087"/>
      <c r="V212" s="1087"/>
      <c r="W212" s="1087"/>
      <c r="X212" s="1087"/>
      <c r="Y212" s="1087"/>
      <c r="Z212" s="1087"/>
    </row>
    <row r="213" spans="1:26" ht="19.5" hidden="1">
      <c r="A213" s="1002"/>
      <c r="B213" s="1003"/>
      <c r="C213" s="1092" t="s">
        <v>16</v>
      </c>
      <c r="D213" s="1004" t="s">
        <v>38</v>
      </c>
      <c r="E213" s="1005"/>
      <c r="F213" s="1005"/>
      <c r="G213" s="1006"/>
      <c r="H213" s="1007"/>
      <c r="I213" s="997"/>
      <c r="J213" s="880"/>
      <c r="K213" s="881"/>
      <c r="L213" s="881"/>
      <c r="M213" s="881"/>
      <c r="N213" s="881"/>
      <c r="O213" s="998"/>
      <c r="P213" s="998"/>
      <c r="Q213" s="868"/>
      <c r="R213" s="868"/>
      <c r="S213" s="868"/>
      <c r="T213" s="868"/>
      <c r="U213" s="868"/>
      <c r="V213" s="868"/>
      <c r="W213" s="868"/>
      <c r="X213" s="868"/>
      <c r="Y213" s="868"/>
      <c r="Z213" s="868"/>
    </row>
    <row r="214" spans="1:26" ht="18.75" hidden="1">
      <c r="A214" s="1002"/>
      <c r="B214" s="1003"/>
      <c r="C214" s="1003"/>
      <c r="D214" s="1008" t="s">
        <v>106</v>
      </c>
      <c r="E214" s="1010"/>
      <c r="F214" s="1010"/>
      <c r="G214" s="1011"/>
      <c r="H214" s="1007" t="s">
        <v>96</v>
      </c>
      <c r="I214" s="880">
        <f ca="1">IFERROR(__xludf.DUMMYFUNCTION("IMPORTRANGE(""https://docs.google.com/spreadsheets/d/1QqKyyYR6Q21VydFLVH3TRQUabQu_ym0Zz7PgGX0-kHA/edit?usp=sharing"",""แผน!AN77"")"),0)</f>
        <v>0</v>
      </c>
      <c r="J214" s="1012">
        <v>0</v>
      </c>
      <c r="K214" s="881">
        <f t="shared" ref="K214:K216" ca="1" si="102">IF(I214&gt;0,J214*100/I214,0)</f>
        <v>0</v>
      </c>
      <c r="L214" s="881"/>
      <c r="M214" s="881"/>
      <c r="N214" s="881"/>
      <c r="O214" s="881"/>
      <c r="P214" s="881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</row>
    <row r="215" spans="1:26" ht="18.75" hidden="1">
      <c r="A215" s="1002"/>
      <c r="B215" s="1003"/>
      <c r="C215" s="1003"/>
      <c r="D215" s="1008" t="s">
        <v>107</v>
      </c>
      <c r="E215" s="1010"/>
      <c r="F215" s="1010"/>
      <c r="G215" s="1011"/>
      <c r="H215" s="1007" t="s">
        <v>96</v>
      </c>
      <c r="I215" s="880">
        <f ca="1">IFERROR(__xludf.DUMMYFUNCTION("IMPORTRANGE(""https://docs.google.com/spreadsheets/d/1QqKyyYR6Q21VydFLVH3TRQUabQu_ym0Zz7PgGX0-kHA/edit?usp=sharing"",""แผน!AN77"")"),0)</f>
        <v>0</v>
      </c>
      <c r="J215" s="1012">
        <v>0</v>
      </c>
      <c r="K215" s="881">
        <f t="shared" ca="1" si="102"/>
        <v>0</v>
      </c>
      <c r="L215" s="881"/>
      <c r="M215" s="881"/>
      <c r="N215" s="881"/>
      <c r="O215" s="881"/>
      <c r="P215" s="881"/>
      <c r="Q215" s="868"/>
      <c r="R215" s="868"/>
      <c r="S215" s="868"/>
      <c r="T215" s="868"/>
      <c r="U215" s="868"/>
      <c r="V215" s="868"/>
      <c r="W215" s="868"/>
      <c r="X215" s="868"/>
      <c r="Y215" s="868"/>
      <c r="Z215" s="868"/>
    </row>
    <row r="216" spans="1:26" ht="19.5">
      <c r="A216" s="1063"/>
      <c r="B216" s="1070"/>
      <c r="C216" s="1077" t="s">
        <v>108</v>
      </c>
      <c r="D216" s="1064"/>
      <c r="E216" s="1064"/>
      <c r="F216" s="1091"/>
      <c r="G216" s="1066"/>
      <c r="H216" s="260" t="s">
        <v>109</v>
      </c>
      <c r="I216" s="1078">
        <f t="shared" ref="I216:J216" ca="1" si="103">I224</f>
        <v>10000</v>
      </c>
      <c r="J216" s="1078">
        <f t="shared" si="103"/>
        <v>0</v>
      </c>
      <c r="K216" s="1079">
        <f t="shared" ca="1" si="102"/>
        <v>0</v>
      </c>
      <c r="L216" s="1068"/>
      <c r="M216" s="1068"/>
      <c r="N216" s="1068"/>
      <c r="O216" s="1068"/>
      <c r="P216" s="1068"/>
    </row>
    <row r="217" spans="1:26" ht="19.5">
      <c r="A217" s="985"/>
      <c r="B217" s="986"/>
      <c r="C217" s="987" t="s">
        <v>16</v>
      </c>
      <c r="D217" s="1080" t="s">
        <v>17</v>
      </c>
      <c r="E217" s="986"/>
      <c r="F217" s="986"/>
      <c r="G217" s="989"/>
      <c r="H217" s="275" t="s">
        <v>12</v>
      </c>
      <c r="I217" s="1082"/>
      <c r="J217" s="1082"/>
      <c r="K217" s="1083"/>
      <c r="L217" s="992">
        <f ca="1">L218+L219+L220</f>
        <v>16500</v>
      </c>
      <c r="M217" s="992"/>
      <c r="N217" s="992">
        <f>N218+N219+N220</f>
        <v>10546.7</v>
      </c>
      <c r="O217" s="992">
        <f ca="1">IF(L217&gt;0,N217*100/L217,0)</f>
        <v>63.919393939393942</v>
      </c>
      <c r="P217" s="992">
        <f>IF(M217&gt;0,N217*100/M217,0)</f>
        <v>0</v>
      </c>
      <c r="Q217" s="868"/>
      <c r="R217" s="868"/>
      <c r="S217" s="868"/>
      <c r="T217" s="868"/>
      <c r="U217" s="868"/>
      <c r="V217" s="868"/>
      <c r="W217" s="868"/>
      <c r="X217" s="868"/>
      <c r="Y217" s="868"/>
      <c r="Z217" s="868"/>
    </row>
    <row r="218" spans="1:26" ht="18.75">
      <c r="A218" s="995"/>
      <c r="B218" s="1084"/>
      <c r="C218" s="877"/>
      <c r="D218" s="996" t="s">
        <v>97</v>
      </c>
      <c r="E218" s="877"/>
      <c r="F218" s="877"/>
      <c r="G218" s="879"/>
      <c r="H218" s="161" t="s">
        <v>12</v>
      </c>
      <c r="I218" s="997"/>
      <c r="J218" s="997"/>
      <c r="K218" s="998"/>
      <c r="L218" s="881">
        <f ca="1">IFERROR(__xludf.DUMMYFUNCTION("IMPORTRANGE(""https://docs.google.com/spreadsheets/d/1QqKyyYR6Q21VydFLVH3TRQUabQu_ym0Zz7PgGX0-kHA/edit?usp=sharing"",""แผน!AP77"")"),3000)</f>
        <v>3000</v>
      </c>
      <c r="M218" s="881"/>
      <c r="N218" s="1085">
        <f>1000+100+600</f>
        <v>1700</v>
      </c>
      <c r="O218" s="881"/>
      <c r="P218" s="881"/>
      <c r="Q218" s="868"/>
      <c r="R218" s="868"/>
      <c r="S218" s="868"/>
      <c r="T218" s="868"/>
      <c r="U218" s="868"/>
      <c r="V218" s="868"/>
      <c r="W218" s="868"/>
      <c r="X218" s="868"/>
      <c r="Y218" s="868"/>
      <c r="Z218" s="868"/>
    </row>
    <row r="219" spans="1:26" ht="19.5">
      <c r="A219" s="1086"/>
      <c r="B219" s="1084"/>
      <c r="C219" s="1092"/>
      <c r="D219" s="996" t="s">
        <v>110</v>
      </c>
      <c r="E219" s="877"/>
      <c r="F219" s="877"/>
      <c r="G219" s="879"/>
      <c r="H219" s="161" t="s">
        <v>12</v>
      </c>
      <c r="I219" s="880"/>
      <c r="J219" s="880"/>
      <c r="K219" s="881"/>
      <c r="L219" s="881">
        <f ca="1">IFERROR(__xludf.DUMMYFUNCTION("IMPORTRANGE(""https://docs.google.com/spreadsheets/d/1QqKyyYR6Q21VydFLVH3TRQUabQu_ym0Zz7PgGX0-kHA/edit?usp=sharing"",""แผน!AQ77"")"),3500)</f>
        <v>3500</v>
      </c>
      <c r="M219" s="881"/>
      <c r="N219" s="1085">
        <v>0</v>
      </c>
      <c r="O219" s="881"/>
      <c r="P219" s="881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</row>
    <row r="220" spans="1:26" ht="19.5">
      <c r="A220" s="1086"/>
      <c r="B220" s="1084"/>
      <c r="C220" s="1092"/>
      <c r="D220" s="996" t="s">
        <v>98</v>
      </c>
      <c r="E220" s="877"/>
      <c r="F220" s="877"/>
      <c r="G220" s="879"/>
      <c r="H220" s="161" t="s">
        <v>12</v>
      </c>
      <c r="I220" s="880"/>
      <c r="J220" s="880"/>
      <c r="K220" s="881"/>
      <c r="L220" s="881">
        <f ca="1">IFERROR(__xludf.DUMMYFUNCTION("IMPORTRANGE(""https://docs.google.com/spreadsheets/d/1QqKyyYR6Q21VydFLVH3TRQUabQu_ym0Zz7PgGX0-kHA/edit?usp=sharing"",""แผน!AR77"")"),10000)</f>
        <v>10000</v>
      </c>
      <c r="M220" s="881"/>
      <c r="N220" s="1085">
        <f>7420+560+866.7</f>
        <v>8846.7000000000007</v>
      </c>
      <c r="O220" s="881"/>
      <c r="P220" s="881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</row>
    <row r="221" spans="1:26" ht="19.5">
      <c r="A221" s="1002"/>
      <c r="B221" s="1003"/>
      <c r="C221" s="1092" t="s">
        <v>16</v>
      </c>
      <c r="D221" s="1004" t="s">
        <v>38</v>
      </c>
      <c r="E221" s="1005"/>
      <c r="F221" s="1005"/>
      <c r="G221" s="1006"/>
      <c r="H221" s="1007"/>
      <c r="I221" s="997"/>
      <c r="J221" s="997"/>
      <c r="K221" s="998"/>
      <c r="L221" s="998"/>
      <c r="M221" s="998"/>
      <c r="N221" s="998"/>
      <c r="O221" s="998"/>
      <c r="P221" s="99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8"/>
    </row>
    <row r="222" spans="1:26" ht="18.75">
      <c r="A222" s="1002"/>
      <c r="B222" s="1003"/>
      <c r="C222" s="1003"/>
      <c r="D222" s="996" t="s">
        <v>111</v>
      </c>
      <c r="E222" s="1010"/>
      <c r="F222" s="1010"/>
      <c r="G222" s="1011"/>
      <c r="H222" s="1007"/>
      <c r="I222" s="880"/>
      <c r="J222" s="880"/>
      <c r="K222" s="998"/>
      <c r="L222" s="998"/>
      <c r="M222" s="998"/>
      <c r="N222" s="998"/>
      <c r="O222" s="998"/>
      <c r="P222" s="998"/>
      <c r="Q222" s="868"/>
      <c r="R222" s="868"/>
      <c r="S222" s="868"/>
      <c r="T222" s="868"/>
      <c r="U222" s="868"/>
      <c r="V222" s="868"/>
      <c r="W222" s="868"/>
      <c r="X222" s="868"/>
      <c r="Y222" s="868"/>
      <c r="Z222" s="868"/>
    </row>
    <row r="223" spans="1:26" ht="18.75">
      <c r="A223" s="1002"/>
      <c r="B223" s="1003"/>
      <c r="C223" s="1003"/>
      <c r="D223" s="1003"/>
      <c r="E223" s="1008" t="s">
        <v>112</v>
      </c>
      <c r="F223" s="1010"/>
      <c r="G223" s="1011"/>
      <c r="H223" s="762" t="s">
        <v>109</v>
      </c>
      <c r="I223" s="880">
        <f ca="1">IFERROR(__xludf.DUMMYFUNCTION("IMPORTRANGE(""https://docs.google.com/spreadsheets/d/1QqKyyYR6Q21VydFLVH3TRQUabQu_ym0Zz7PgGX0-kHA/edit?usp=sharing"",""แผน!AT77"")"),10000)</f>
        <v>10000</v>
      </c>
      <c r="J223" s="1012">
        <v>0</v>
      </c>
      <c r="K223" s="998">
        <f t="shared" ref="K223:K226" ca="1" si="104">IF(I223&gt;0,J223*100/I223,0)</f>
        <v>0</v>
      </c>
      <c r="L223" s="998"/>
      <c r="M223" s="998"/>
      <c r="N223" s="998"/>
      <c r="O223" s="998"/>
      <c r="P223" s="998"/>
      <c r="Q223" s="868"/>
      <c r="R223" s="868"/>
      <c r="S223" s="868"/>
      <c r="T223" s="868"/>
      <c r="U223" s="868"/>
      <c r="V223" s="868"/>
      <c r="W223" s="868"/>
      <c r="X223" s="868"/>
      <c r="Y223" s="868"/>
      <c r="Z223" s="868"/>
    </row>
    <row r="224" spans="1:26" ht="18.75">
      <c r="A224" s="1002"/>
      <c r="B224" s="1003"/>
      <c r="C224" s="1003"/>
      <c r="D224" s="1003"/>
      <c r="E224" s="1008" t="s">
        <v>113</v>
      </c>
      <c r="F224" s="1010"/>
      <c r="G224" s="1011"/>
      <c r="H224" s="762" t="s">
        <v>109</v>
      </c>
      <c r="I224" s="880">
        <f ca="1">IFERROR(__xludf.DUMMYFUNCTION("IMPORTRANGE(""https://docs.google.com/spreadsheets/d/1QqKyyYR6Q21VydFLVH3TRQUabQu_ym0Zz7PgGX0-kHA/edit?usp=sharing"",""แผน!AT77"")"),10000)</f>
        <v>10000</v>
      </c>
      <c r="J224" s="1012">
        <v>0</v>
      </c>
      <c r="K224" s="998">
        <f t="shared" ca="1" si="104"/>
        <v>0</v>
      </c>
      <c r="L224" s="881"/>
      <c r="M224" s="881"/>
      <c r="N224" s="881"/>
      <c r="O224" s="881"/>
      <c r="P224" s="881"/>
      <c r="Q224" s="868"/>
      <c r="R224" s="868"/>
      <c r="S224" s="868"/>
      <c r="T224" s="868"/>
      <c r="U224" s="868"/>
      <c r="V224" s="868"/>
      <c r="W224" s="868"/>
      <c r="X224" s="868"/>
      <c r="Y224" s="868"/>
      <c r="Z224" s="868"/>
    </row>
    <row r="225" spans="1:26" ht="18.75">
      <c r="A225" s="1002"/>
      <c r="B225" s="1003"/>
      <c r="C225" s="1003"/>
      <c r="D225" s="996" t="s">
        <v>114</v>
      </c>
      <c r="E225" s="1010"/>
      <c r="F225" s="1010"/>
      <c r="G225" s="1011"/>
      <c r="H225" s="762" t="s">
        <v>35</v>
      </c>
      <c r="I225" s="880">
        <f ca="1">IFERROR(__xludf.DUMMYFUNCTION("IMPORTRANGE(""https://docs.google.com/spreadsheets/d/1QqKyyYR6Q21VydFLVH3TRQUabQu_ym0Zz7PgGX0-kHA/edit?usp=sharing"",""แผน!AS77"")"),10)</f>
        <v>10</v>
      </c>
      <c r="J225" s="1012">
        <v>10</v>
      </c>
      <c r="K225" s="998">
        <f t="shared" ca="1" si="104"/>
        <v>100</v>
      </c>
      <c r="L225" s="881"/>
      <c r="M225" s="881"/>
      <c r="N225" s="881"/>
      <c r="O225" s="881"/>
      <c r="P225" s="881"/>
      <c r="Q225" s="868"/>
      <c r="R225" s="868"/>
      <c r="S225" s="868"/>
      <c r="T225" s="868"/>
      <c r="U225" s="868"/>
      <c r="V225" s="868"/>
      <c r="W225" s="868"/>
      <c r="X225" s="868"/>
      <c r="Y225" s="868"/>
      <c r="Z225" s="868"/>
    </row>
    <row r="226" spans="1:26" ht="19.5" hidden="1">
      <c r="A226" s="1063"/>
      <c r="B226" s="1070"/>
      <c r="C226" s="1093" t="s">
        <v>115</v>
      </c>
      <c r="D226" s="1064"/>
      <c r="E226" s="1064"/>
      <c r="F226" s="1064"/>
      <c r="G226" s="1066"/>
      <c r="H226" s="266" t="s">
        <v>35</v>
      </c>
      <c r="I226" s="1094" t="e">
        <f t="shared" ref="I226:J226" ca="1" si="105">I237+I248</f>
        <v>#VALUE!</v>
      </c>
      <c r="J226" s="1094">
        <f t="shared" si="105"/>
        <v>0</v>
      </c>
      <c r="K226" s="1095" t="e">
        <f t="shared" ca="1" si="104"/>
        <v>#VALUE!</v>
      </c>
      <c r="L226" s="1068"/>
      <c r="M226" s="1068"/>
      <c r="N226" s="1068"/>
      <c r="O226" s="1068"/>
      <c r="P226" s="1068"/>
    </row>
    <row r="227" spans="1:26" ht="19.5" hidden="1">
      <c r="A227" s="1096"/>
      <c r="B227" s="1097"/>
      <c r="C227" s="1098" t="s">
        <v>16</v>
      </c>
      <c r="D227" s="1099" t="s">
        <v>17</v>
      </c>
      <c r="E227" s="1097"/>
      <c r="F227" s="1097"/>
      <c r="G227" s="1100"/>
      <c r="H227" s="353" t="s">
        <v>12</v>
      </c>
      <c r="I227" s="1101"/>
      <c r="J227" s="1101"/>
      <c r="K227" s="1102"/>
      <c r="L227" s="1103">
        <f t="shared" ref="L227:L231" ca="1" si="106">L238+L249</f>
        <v>0</v>
      </c>
      <c r="M227" s="1103"/>
      <c r="N227" s="1103">
        <f t="shared" ref="N227:N231" si="107">N238+N249</f>
        <v>0</v>
      </c>
      <c r="O227" s="1104"/>
      <c r="P227" s="1104"/>
      <c r="Q227" s="875"/>
      <c r="R227" s="875"/>
      <c r="S227" s="875"/>
      <c r="T227" s="875"/>
      <c r="U227" s="875"/>
      <c r="V227" s="875"/>
      <c r="W227" s="875"/>
      <c r="X227" s="875"/>
      <c r="Y227" s="875"/>
      <c r="Z227" s="875"/>
    </row>
    <row r="228" spans="1:26" ht="18.75" hidden="1">
      <c r="A228" s="993"/>
      <c r="B228" s="1105"/>
      <c r="C228" s="883"/>
      <c r="D228" s="884" t="s">
        <v>97</v>
      </c>
      <c r="E228" s="883"/>
      <c r="F228" s="883"/>
      <c r="G228" s="885"/>
      <c r="H228" s="165" t="s">
        <v>12</v>
      </c>
      <c r="I228" s="1000"/>
      <c r="J228" s="1000"/>
      <c r="K228" s="1001"/>
      <c r="L228" s="887">
        <f t="shared" ca="1" si="106"/>
        <v>0</v>
      </c>
      <c r="M228" s="887"/>
      <c r="N228" s="887">
        <f t="shared" si="107"/>
        <v>0</v>
      </c>
      <c r="O228" s="887"/>
      <c r="P228" s="887"/>
      <c r="Q228" s="875"/>
      <c r="R228" s="875"/>
      <c r="S228" s="875"/>
      <c r="T228" s="875"/>
      <c r="U228" s="875"/>
      <c r="V228" s="875"/>
      <c r="W228" s="875"/>
      <c r="X228" s="875"/>
      <c r="Y228" s="875"/>
      <c r="Z228" s="875"/>
    </row>
    <row r="229" spans="1:26" ht="19.5" hidden="1">
      <c r="A229" s="1106"/>
      <c r="B229" s="1105"/>
      <c r="C229" s="1107"/>
      <c r="D229" s="884" t="s">
        <v>98</v>
      </c>
      <c r="E229" s="883"/>
      <c r="F229" s="883"/>
      <c r="G229" s="885"/>
      <c r="H229" s="165" t="s">
        <v>12</v>
      </c>
      <c r="I229" s="886"/>
      <c r="J229" s="886"/>
      <c r="K229" s="887"/>
      <c r="L229" s="887">
        <f t="shared" ca="1" si="106"/>
        <v>0</v>
      </c>
      <c r="M229" s="887"/>
      <c r="N229" s="887">
        <f t="shared" si="107"/>
        <v>0</v>
      </c>
      <c r="O229" s="887"/>
      <c r="P229" s="887"/>
      <c r="Q229" s="1108"/>
      <c r="R229" s="1108"/>
      <c r="S229" s="1108"/>
      <c r="T229" s="1108"/>
      <c r="U229" s="1108"/>
      <c r="V229" s="1108"/>
      <c r="W229" s="1108"/>
      <c r="X229" s="1108"/>
      <c r="Y229" s="1108"/>
      <c r="Z229" s="1108"/>
    </row>
    <row r="230" spans="1:26" ht="19.5" hidden="1">
      <c r="A230" s="1106"/>
      <c r="B230" s="1105"/>
      <c r="C230" s="1107"/>
      <c r="D230" s="884" t="s">
        <v>116</v>
      </c>
      <c r="E230" s="883"/>
      <c r="F230" s="883"/>
      <c r="G230" s="885"/>
      <c r="H230" s="165" t="s">
        <v>12</v>
      </c>
      <c r="I230" s="886"/>
      <c r="J230" s="886"/>
      <c r="K230" s="887"/>
      <c r="L230" s="887">
        <f t="shared" ca="1" si="106"/>
        <v>0</v>
      </c>
      <c r="M230" s="887"/>
      <c r="N230" s="887">
        <f t="shared" si="107"/>
        <v>0</v>
      </c>
      <c r="O230" s="887"/>
      <c r="P230" s="887"/>
      <c r="Q230" s="1108"/>
      <c r="R230" s="1108"/>
      <c r="S230" s="1108"/>
      <c r="T230" s="1108"/>
      <c r="U230" s="1108"/>
      <c r="V230" s="1108"/>
      <c r="W230" s="1108"/>
      <c r="X230" s="1108"/>
      <c r="Y230" s="1108"/>
      <c r="Z230" s="1108"/>
    </row>
    <row r="231" spans="1:26" ht="19.5" hidden="1">
      <c r="A231" s="1106"/>
      <c r="B231" s="1105"/>
      <c r="C231" s="1107"/>
      <c r="D231" s="884" t="s">
        <v>100</v>
      </c>
      <c r="E231" s="883"/>
      <c r="F231" s="883"/>
      <c r="G231" s="885"/>
      <c r="H231" s="165" t="s">
        <v>12</v>
      </c>
      <c r="I231" s="886"/>
      <c r="J231" s="886"/>
      <c r="K231" s="887"/>
      <c r="L231" s="887">
        <f t="shared" ca="1" si="106"/>
        <v>0</v>
      </c>
      <c r="M231" s="887"/>
      <c r="N231" s="887">
        <f t="shared" si="107"/>
        <v>0</v>
      </c>
      <c r="O231" s="887"/>
      <c r="P231" s="887"/>
      <c r="Q231" s="1108"/>
      <c r="R231" s="1108"/>
      <c r="S231" s="1108"/>
      <c r="T231" s="1108"/>
      <c r="U231" s="1108"/>
      <c r="V231" s="1108"/>
      <c r="W231" s="1108"/>
      <c r="X231" s="1108"/>
      <c r="Y231" s="1108"/>
      <c r="Z231" s="1108"/>
    </row>
    <row r="232" spans="1:26" ht="19.5" hidden="1">
      <c r="A232" s="1109"/>
      <c r="B232" s="1110"/>
      <c r="C232" s="1107" t="s">
        <v>16</v>
      </c>
      <c r="D232" s="1072" t="s">
        <v>38</v>
      </c>
      <c r="E232" s="1111"/>
      <c r="F232" s="1111"/>
      <c r="G232" s="1112"/>
      <c r="H232" s="1113"/>
      <c r="I232" s="1000"/>
      <c r="J232" s="886"/>
      <c r="K232" s="887"/>
      <c r="L232" s="887"/>
      <c r="M232" s="887"/>
      <c r="N232" s="887"/>
      <c r="O232" s="1001"/>
      <c r="P232" s="1001"/>
      <c r="Q232" s="875"/>
      <c r="R232" s="875"/>
      <c r="S232" s="875"/>
      <c r="T232" s="875"/>
      <c r="U232" s="875"/>
      <c r="V232" s="875"/>
      <c r="W232" s="875"/>
      <c r="X232" s="875"/>
      <c r="Y232" s="875"/>
      <c r="Z232" s="875"/>
    </row>
    <row r="233" spans="1:26" ht="18.75" hidden="1">
      <c r="A233" s="1109"/>
      <c r="B233" s="1110"/>
      <c r="C233" s="1110"/>
      <c r="D233" s="1074" t="s">
        <v>117</v>
      </c>
      <c r="E233" s="1114"/>
      <c r="F233" s="1114"/>
      <c r="G233" s="1115"/>
      <c r="H233" s="370" t="s">
        <v>35</v>
      </c>
      <c r="I233" s="886" t="e">
        <f t="shared" ref="I233:J233" ca="1" si="108">I244+I255</f>
        <v>#VALUE!</v>
      </c>
      <c r="J233" s="886">
        <f t="shared" si="108"/>
        <v>0</v>
      </c>
      <c r="K233" s="887" t="e">
        <f ca="1">IF(I233&gt;0,J233*100/I233,0)</f>
        <v>#VALUE!</v>
      </c>
      <c r="L233" s="887"/>
      <c r="M233" s="887"/>
      <c r="N233" s="887"/>
      <c r="O233" s="887"/>
      <c r="P233" s="887"/>
      <c r="Q233" s="875"/>
      <c r="R233" s="875"/>
      <c r="S233" s="875"/>
      <c r="T233" s="875"/>
      <c r="U233" s="875"/>
      <c r="V233" s="875"/>
      <c r="W233" s="875"/>
      <c r="X233" s="875"/>
      <c r="Y233" s="875"/>
      <c r="Z233" s="875"/>
    </row>
    <row r="234" spans="1:26" ht="18.75" hidden="1">
      <c r="A234" s="1109"/>
      <c r="B234" s="1110"/>
      <c r="C234" s="1110"/>
      <c r="D234" s="1116" t="s">
        <v>43</v>
      </c>
      <c r="E234" s="1114"/>
      <c r="F234" s="1114"/>
      <c r="G234" s="1115"/>
      <c r="H234" s="370"/>
      <c r="I234" s="886"/>
      <c r="J234" s="886"/>
      <c r="K234" s="887"/>
      <c r="L234" s="887"/>
      <c r="M234" s="887"/>
      <c r="N234" s="887"/>
      <c r="O234" s="1001"/>
      <c r="P234" s="1001"/>
      <c r="Q234" s="875"/>
      <c r="R234" s="875"/>
      <c r="S234" s="875"/>
      <c r="T234" s="875"/>
      <c r="U234" s="875"/>
      <c r="V234" s="875"/>
      <c r="W234" s="875"/>
      <c r="X234" s="875"/>
      <c r="Y234" s="875"/>
      <c r="Z234" s="875"/>
    </row>
    <row r="235" spans="1:26" ht="18.75" hidden="1">
      <c r="A235" s="1109"/>
      <c r="B235" s="1110"/>
      <c r="C235" s="1110"/>
      <c r="D235" s="1110"/>
      <c r="E235" s="1073" t="s">
        <v>118</v>
      </c>
      <c r="F235" s="1114"/>
      <c r="G235" s="1115"/>
      <c r="H235" s="370" t="s">
        <v>35</v>
      </c>
      <c r="I235" s="886">
        <f t="shared" ref="I235:J236" si="109">I246+I257</f>
        <v>0</v>
      </c>
      <c r="J235" s="886">
        <f t="shared" si="109"/>
        <v>0</v>
      </c>
      <c r="K235" s="887">
        <f t="shared" ref="K235:K237" si="110">IF(I235&gt;0,J235*100/I235,0)</f>
        <v>0</v>
      </c>
      <c r="L235" s="887"/>
      <c r="M235" s="887"/>
      <c r="N235" s="887"/>
      <c r="O235" s="887"/>
      <c r="P235" s="887"/>
      <c r="Q235" s="875"/>
      <c r="R235" s="875"/>
      <c r="S235" s="875"/>
      <c r="T235" s="875"/>
      <c r="U235" s="875"/>
      <c r="V235" s="875"/>
      <c r="W235" s="875"/>
      <c r="X235" s="875"/>
      <c r="Y235" s="875"/>
      <c r="Z235" s="875"/>
    </row>
    <row r="236" spans="1:26" ht="18.75" hidden="1">
      <c r="A236" s="1109"/>
      <c r="B236" s="1110"/>
      <c r="C236" s="1110"/>
      <c r="D236" s="1110"/>
      <c r="E236" s="1073" t="s">
        <v>119</v>
      </c>
      <c r="F236" s="1114"/>
      <c r="G236" s="1115"/>
      <c r="H236" s="370" t="s">
        <v>66</v>
      </c>
      <c r="I236" s="886">
        <f t="shared" si="109"/>
        <v>0</v>
      </c>
      <c r="J236" s="886">
        <f t="shared" si="109"/>
        <v>0</v>
      </c>
      <c r="K236" s="887">
        <f t="shared" si="110"/>
        <v>0</v>
      </c>
      <c r="L236" s="887"/>
      <c r="M236" s="887"/>
      <c r="N236" s="887"/>
      <c r="O236" s="887"/>
      <c r="P236" s="887"/>
      <c r="Q236" s="875"/>
      <c r="R236" s="875"/>
      <c r="S236" s="875"/>
      <c r="T236" s="875"/>
      <c r="U236" s="875"/>
      <c r="V236" s="875"/>
      <c r="W236" s="875"/>
      <c r="X236" s="875"/>
      <c r="Y236" s="875"/>
      <c r="Z236" s="875"/>
    </row>
    <row r="237" spans="1:26" ht="19.5" hidden="1">
      <c r="A237" s="1063"/>
      <c r="B237" s="1070"/>
      <c r="C237" s="1077" t="s">
        <v>332</v>
      </c>
      <c r="D237" s="1064"/>
      <c r="E237" s="1064"/>
      <c r="F237" s="1064"/>
      <c r="G237" s="1066"/>
      <c r="H237" s="260" t="s">
        <v>35</v>
      </c>
      <c r="I237" s="1078">
        <f t="shared" ref="I237:J237" ca="1" si="111">I244</f>
        <v>0</v>
      </c>
      <c r="J237" s="1078">
        <f t="shared" si="111"/>
        <v>0</v>
      </c>
      <c r="K237" s="1079">
        <f t="shared" ca="1" si="110"/>
        <v>0</v>
      </c>
      <c r="L237" s="1068"/>
      <c r="M237" s="1068"/>
      <c r="N237" s="1068"/>
      <c r="O237" s="1068"/>
      <c r="P237" s="1068"/>
    </row>
    <row r="238" spans="1:26" ht="19.5" hidden="1">
      <c r="A238" s="985"/>
      <c r="B238" s="986"/>
      <c r="C238" s="987" t="s">
        <v>16</v>
      </c>
      <c r="D238" s="988" t="s">
        <v>17</v>
      </c>
      <c r="E238" s="986"/>
      <c r="F238" s="986"/>
      <c r="G238" s="989"/>
      <c r="H238" s="275" t="s">
        <v>12</v>
      </c>
      <c r="I238" s="1082"/>
      <c r="J238" s="1082"/>
      <c r="K238" s="1083"/>
      <c r="L238" s="992">
        <f ca="1">L239+L240+L241+L242</f>
        <v>0</v>
      </c>
      <c r="M238" s="992"/>
      <c r="N238" s="992">
        <f>N239+N240+N241+N242</f>
        <v>0</v>
      </c>
      <c r="O238" s="992">
        <f ca="1">IF(L238&gt;0,N238*100/L238,0)</f>
        <v>0</v>
      </c>
      <c r="P238" s="992">
        <f>IF(M238&gt;0,N238*100/M238,0)</f>
        <v>0</v>
      </c>
      <c r="Q238" s="868"/>
      <c r="R238" s="868"/>
      <c r="S238" s="868"/>
      <c r="T238" s="868"/>
      <c r="U238" s="868"/>
      <c r="V238" s="868"/>
      <c r="W238" s="868"/>
      <c r="X238" s="868"/>
      <c r="Y238" s="868"/>
      <c r="Z238" s="868"/>
    </row>
    <row r="239" spans="1:26" ht="18.75" hidden="1">
      <c r="A239" s="1117"/>
      <c r="B239" s="1118"/>
      <c r="C239" s="1119"/>
      <c r="D239" s="1120" t="s">
        <v>97</v>
      </c>
      <c r="E239" s="1119"/>
      <c r="F239" s="1119"/>
      <c r="G239" s="1121"/>
      <c r="H239" s="319" t="s">
        <v>12</v>
      </c>
      <c r="I239" s="1122"/>
      <c r="J239" s="1122"/>
      <c r="K239" s="1123"/>
      <c r="L239" s="1124">
        <f ca="1">IFERROR(__xludf.DUMMYFUNCTION("IMPORTRANGE(""https://docs.google.com/spreadsheets/d/1QqKyyYR6Q21VydFLVH3TRQUabQu_ym0Zz7PgGX0-kHA/edit?usp=sharing"",""แผน!AV77"")"),0)</f>
        <v>0</v>
      </c>
      <c r="M239" s="1124"/>
      <c r="N239" s="1125">
        <v>0</v>
      </c>
      <c r="O239" s="1124"/>
      <c r="P239" s="1124"/>
      <c r="Q239" s="1126"/>
      <c r="R239" s="1126"/>
      <c r="S239" s="1126"/>
      <c r="T239" s="1126"/>
      <c r="U239" s="1126"/>
      <c r="V239" s="1126"/>
      <c r="W239" s="1126"/>
      <c r="X239" s="1126"/>
      <c r="Y239" s="1126"/>
      <c r="Z239" s="1126"/>
    </row>
    <row r="240" spans="1:26" ht="19.5" hidden="1">
      <c r="A240" s="1127"/>
      <c r="B240" s="1118"/>
      <c r="C240" s="1128"/>
      <c r="D240" s="1120" t="s">
        <v>98</v>
      </c>
      <c r="E240" s="1119"/>
      <c r="F240" s="1119"/>
      <c r="G240" s="1121"/>
      <c r="H240" s="319" t="s">
        <v>12</v>
      </c>
      <c r="I240" s="1129"/>
      <c r="J240" s="1129"/>
      <c r="K240" s="1124"/>
      <c r="L240" s="1124">
        <f ca="1">IFERROR(__xludf.DUMMYFUNCTION("IMPORTRANGE(""https://docs.google.com/spreadsheets/d/1QqKyyYR6Q21VydFLVH3TRQUabQu_ym0Zz7PgGX0-kHA/edit?usp=sharing"",""แผน!AW77"")"),0)</f>
        <v>0</v>
      </c>
      <c r="M240" s="1124"/>
      <c r="N240" s="1125">
        <v>0</v>
      </c>
      <c r="O240" s="1124"/>
      <c r="P240" s="1124"/>
      <c r="Q240" s="1130"/>
      <c r="R240" s="1130"/>
      <c r="S240" s="1130"/>
      <c r="T240" s="1130"/>
      <c r="U240" s="1130"/>
      <c r="V240" s="1130"/>
      <c r="W240" s="1130"/>
      <c r="X240" s="1130"/>
      <c r="Y240" s="1130"/>
      <c r="Z240" s="1130"/>
    </row>
    <row r="241" spans="1:26" ht="19.5" hidden="1">
      <c r="A241" s="1127"/>
      <c r="B241" s="1118"/>
      <c r="C241" s="1128"/>
      <c r="D241" s="1120" t="s">
        <v>116</v>
      </c>
      <c r="E241" s="1119"/>
      <c r="F241" s="1119"/>
      <c r="G241" s="1121"/>
      <c r="H241" s="319" t="s">
        <v>12</v>
      </c>
      <c r="I241" s="1129"/>
      <c r="J241" s="1129"/>
      <c r="K241" s="1124"/>
      <c r="L241" s="1124">
        <f ca="1">IFERROR(__xludf.DUMMYFUNCTION("IMPORTRANGE(""https://docs.google.com/spreadsheets/d/1QqKyyYR6Q21VydFLVH3TRQUabQu_ym0Zz7PgGX0-kHA/edit?usp=sharing"",""แผน!AX77"")"),0)</f>
        <v>0</v>
      </c>
      <c r="M241" s="1124"/>
      <c r="N241" s="1125">
        <v>0</v>
      </c>
      <c r="O241" s="1124"/>
      <c r="P241" s="1124"/>
      <c r="Q241" s="1130"/>
      <c r="R241" s="1130"/>
      <c r="S241" s="1130"/>
      <c r="T241" s="1130"/>
      <c r="U241" s="1130"/>
      <c r="V241" s="1130"/>
      <c r="W241" s="1130"/>
      <c r="X241" s="1130"/>
      <c r="Y241" s="1130"/>
      <c r="Z241" s="1130"/>
    </row>
    <row r="242" spans="1:26" ht="19.5" hidden="1">
      <c r="A242" s="1127"/>
      <c r="B242" s="1118"/>
      <c r="C242" s="1128"/>
      <c r="D242" s="1120" t="s">
        <v>100</v>
      </c>
      <c r="E242" s="1119"/>
      <c r="F242" s="1119"/>
      <c r="G242" s="1121"/>
      <c r="H242" s="319" t="s">
        <v>12</v>
      </c>
      <c r="I242" s="1129"/>
      <c r="J242" s="1129"/>
      <c r="K242" s="1124"/>
      <c r="L242" s="1124">
        <f ca="1">IFERROR(__xludf.DUMMYFUNCTION("IMPORTRANGE(""https://docs.google.com/spreadsheets/d/1QqKyyYR6Q21VydFLVH3TRQUabQu_ym0Zz7PgGX0-kHA/edit?usp=sharing"",""แผน!AY77"")"),0)</f>
        <v>0</v>
      </c>
      <c r="M242" s="1124"/>
      <c r="N242" s="1125">
        <v>0</v>
      </c>
      <c r="O242" s="1124"/>
      <c r="P242" s="1124"/>
      <c r="Q242" s="1130"/>
      <c r="R242" s="1130"/>
      <c r="S242" s="1130"/>
      <c r="T242" s="1130"/>
      <c r="U242" s="1130"/>
      <c r="V242" s="1130"/>
      <c r="W242" s="1130"/>
      <c r="X242" s="1130"/>
      <c r="Y242" s="1130"/>
      <c r="Z242" s="1130"/>
    </row>
    <row r="243" spans="1:26" ht="19.5" hidden="1">
      <c r="A243" s="1002"/>
      <c r="B243" s="1003"/>
      <c r="C243" s="1092" t="s">
        <v>16</v>
      </c>
      <c r="D243" s="1004" t="s">
        <v>38</v>
      </c>
      <c r="E243" s="1005"/>
      <c r="F243" s="1005"/>
      <c r="G243" s="1006"/>
      <c r="H243" s="1007"/>
      <c r="I243" s="997"/>
      <c r="J243" s="880"/>
      <c r="K243" s="881"/>
      <c r="L243" s="881"/>
      <c r="M243" s="881"/>
      <c r="N243" s="881"/>
      <c r="O243" s="998"/>
      <c r="P243" s="998"/>
      <c r="Q243" s="868"/>
      <c r="R243" s="868"/>
      <c r="S243" s="868"/>
      <c r="T243" s="868"/>
      <c r="U243" s="868"/>
      <c r="V243" s="868"/>
      <c r="W243" s="868"/>
      <c r="X243" s="868"/>
      <c r="Y243" s="868"/>
      <c r="Z243" s="868"/>
    </row>
    <row r="244" spans="1:26" ht="18.75" hidden="1">
      <c r="A244" s="1002"/>
      <c r="B244" s="1003"/>
      <c r="C244" s="1003"/>
      <c r="D244" s="1009" t="s">
        <v>117</v>
      </c>
      <c r="E244" s="1010"/>
      <c r="F244" s="1010"/>
      <c r="G244" s="1011"/>
      <c r="H244" s="762" t="s">
        <v>35</v>
      </c>
      <c r="I244" s="880">
        <f ca="1">IFERROR(__xludf.DUMMYFUNCTION("IMPORTRANGE(""https://docs.google.com/spreadsheets/d/1QqKyyYR6Q21VydFLVH3TRQUabQu_ym0Zz7PgGX0-kHA/edit?usp=sharing"",""แผน!BE77"")"),0)</f>
        <v>0</v>
      </c>
      <c r="J244" s="1012">
        <v>0</v>
      </c>
      <c r="K244" s="881">
        <f ca="1">IF(I244&gt;0,J244*100/I244,0)</f>
        <v>0</v>
      </c>
      <c r="L244" s="881"/>
      <c r="M244" s="881"/>
      <c r="N244" s="881"/>
      <c r="O244" s="881"/>
      <c r="P244" s="881"/>
      <c r="Q244" s="868"/>
      <c r="R244" s="868"/>
      <c r="S244" s="868"/>
      <c r="T244" s="868"/>
      <c r="U244" s="868"/>
      <c r="V244" s="868"/>
      <c r="W244" s="868"/>
      <c r="X244" s="868"/>
      <c r="Y244" s="868"/>
      <c r="Z244" s="868"/>
    </row>
    <row r="245" spans="1:26" ht="18.75" hidden="1">
      <c r="A245" s="1002"/>
      <c r="B245" s="1003"/>
      <c r="C245" s="1003"/>
      <c r="D245" s="1131" t="s">
        <v>43</v>
      </c>
      <c r="E245" s="1010"/>
      <c r="F245" s="1010"/>
      <c r="G245" s="1011"/>
      <c r="H245" s="762"/>
      <c r="I245" s="880"/>
      <c r="J245" s="880"/>
      <c r="K245" s="881"/>
      <c r="L245" s="881"/>
      <c r="M245" s="881"/>
      <c r="N245" s="881"/>
      <c r="O245" s="998"/>
      <c r="P245" s="998"/>
      <c r="Q245" s="868"/>
      <c r="R245" s="868"/>
      <c r="S245" s="868"/>
      <c r="T245" s="868"/>
      <c r="U245" s="868"/>
      <c r="V245" s="868"/>
      <c r="W245" s="868"/>
      <c r="X245" s="868"/>
      <c r="Y245" s="868"/>
      <c r="Z245" s="868"/>
    </row>
    <row r="246" spans="1:26" ht="18.75" hidden="1">
      <c r="A246" s="1002"/>
      <c r="B246" s="1003"/>
      <c r="C246" s="1003"/>
      <c r="D246" s="1003"/>
      <c r="E246" s="1008" t="s">
        <v>118</v>
      </c>
      <c r="F246" s="1010"/>
      <c r="G246" s="1011"/>
      <c r="H246" s="762" t="s">
        <v>35</v>
      </c>
      <c r="I246" s="880"/>
      <c r="J246" s="1012">
        <v>0</v>
      </c>
      <c r="K246" s="881">
        <f t="shared" ref="K246:K248" si="112">IF(I246&gt;0,J246*100/I246,0)</f>
        <v>0</v>
      </c>
      <c r="L246" s="881"/>
      <c r="M246" s="881"/>
      <c r="N246" s="881"/>
      <c r="O246" s="881"/>
      <c r="P246" s="881"/>
      <c r="Q246" s="868"/>
      <c r="R246" s="868"/>
      <c r="S246" s="868"/>
      <c r="T246" s="868"/>
      <c r="U246" s="868"/>
      <c r="V246" s="868"/>
      <c r="W246" s="868"/>
      <c r="X246" s="868"/>
      <c r="Y246" s="868"/>
      <c r="Z246" s="868"/>
    </row>
    <row r="247" spans="1:26" ht="18.75" hidden="1">
      <c r="A247" s="1002"/>
      <c r="B247" s="1003"/>
      <c r="C247" s="1003"/>
      <c r="D247" s="1003"/>
      <c r="E247" s="1008" t="s">
        <v>119</v>
      </c>
      <c r="F247" s="1010"/>
      <c r="G247" s="1011"/>
      <c r="H247" s="762" t="s">
        <v>66</v>
      </c>
      <c r="I247" s="880"/>
      <c r="J247" s="1012">
        <v>0</v>
      </c>
      <c r="K247" s="881">
        <f t="shared" si="112"/>
        <v>0</v>
      </c>
      <c r="L247" s="881"/>
      <c r="M247" s="881"/>
      <c r="N247" s="881"/>
      <c r="O247" s="881"/>
      <c r="P247" s="881"/>
      <c r="Q247" s="868"/>
      <c r="R247" s="868"/>
      <c r="S247" s="868"/>
      <c r="T247" s="868"/>
      <c r="U247" s="868"/>
      <c r="V247" s="868"/>
      <c r="W247" s="868"/>
      <c r="X247" s="868"/>
      <c r="Y247" s="868"/>
      <c r="Z247" s="868"/>
    </row>
    <row r="248" spans="1:26" ht="19.5" hidden="1">
      <c r="A248" s="1063"/>
      <c r="B248" s="1070"/>
      <c r="C248" s="1077" t="s">
        <v>333</v>
      </c>
      <c r="D248" s="1064"/>
      <c r="E248" s="1064"/>
      <c r="F248" s="1064"/>
      <c r="G248" s="1066"/>
      <c r="H248" s="260" t="s">
        <v>35</v>
      </c>
      <c r="I248" s="1078" t="str">
        <f t="shared" ref="I248:J248" ca="1" si="113">I255</f>
        <v/>
      </c>
      <c r="J248" s="1078">
        <f t="shared" si="113"/>
        <v>0</v>
      </c>
      <c r="K248" s="1079" t="e">
        <f t="shared" ca="1" si="112"/>
        <v>#VALUE!</v>
      </c>
      <c r="L248" s="1068"/>
      <c r="M248" s="1068"/>
      <c r="N248" s="1068"/>
      <c r="O248" s="1068"/>
      <c r="P248" s="1068"/>
    </row>
    <row r="249" spans="1:26" ht="19.5" hidden="1">
      <c r="A249" s="985"/>
      <c r="B249" s="986"/>
      <c r="C249" s="987" t="s">
        <v>16</v>
      </c>
      <c r="D249" s="1080" t="s">
        <v>17</v>
      </c>
      <c r="E249" s="986"/>
      <c r="F249" s="986"/>
      <c r="G249" s="989"/>
      <c r="H249" s="275" t="s">
        <v>12</v>
      </c>
      <c r="I249" s="1082"/>
      <c r="J249" s="1082"/>
      <c r="K249" s="1083"/>
      <c r="L249" s="992">
        <f ca="1">L250+L251+L252+L253</f>
        <v>0</v>
      </c>
      <c r="M249" s="992"/>
      <c r="N249" s="992">
        <f>N250+N251+N252+N253</f>
        <v>0</v>
      </c>
      <c r="O249" s="992">
        <f ca="1">IF(L249&gt;0,N249*100/L249,0)</f>
        <v>0</v>
      </c>
      <c r="P249" s="992">
        <f>IF(M249&gt;0,N249*100/M249,0)</f>
        <v>0</v>
      </c>
      <c r="Q249" s="868"/>
      <c r="R249" s="868"/>
      <c r="S249" s="868"/>
      <c r="T249" s="868"/>
      <c r="U249" s="868"/>
      <c r="V249" s="868"/>
      <c r="W249" s="868"/>
      <c r="X249" s="868"/>
      <c r="Y249" s="868"/>
      <c r="Z249" s="868"/>
    </row>
    <row r="250" spans="1:26" ht="18.75" hidden="1">
      <c r="A250" s="1117"/>
      <c r="B250" s="1118"/>
      <c r="C250" s="1119"/>
      <c r="D250" s="1120" t="s">
        <v>97</v>
      </c>
      <c r="E250" s="1119"/>
      <c r="F250" s="1119"/>
      <c r="G250" s="1121"/>
      <c r="H250" s="319" t="s">
        <v>12</v>
      </c>
      <c r="I250" s="1122"/>
      <c r="J250" s="1122"/>
      <c r="K250" s="1123"/>
      <c r="L250" s="1124">
        <f ca="1">IFERROR(__xludf.DUMMYFUNCTION("IMPORTRANGE(""https://docs.google.com/spreadsheets/d/1QqKyyYR6Q21VydFLVH3TRQUabQu_ym0Zz7PgGX0-kHA/edit?usp=sharing"",""แผน!AZ77"")"),0)</f>
        <v>0</v>
      </c>
      <c r="M250" s="1124"/>
      <c r="N250" s="1125">
        <v>0</v>
      </c>
      <c r="O250" s="1124"/>
      <c r="P250" s="1124"/>
      <c r="Q250" s="1126"/>
      <c r="R250" s="1126"/>
      <c r="S250" s="1126"/>
      <c r="T250" s="1126"/>
      <c r="U250" s="1126"/>
      <c r="V250" s="1126"/>
      <c r="W250" s="1126"/>
      <c r="X250" s="1126"/>
      <c r="Y250" s="1126"/>
      <c r="Z250" s="1126"/>
    </row>
    <row r="251" spans="1:26" ht="19.5" hidden="1">
      <c r="A251" s="1127"/>
      <c r="B251" s="1118"/>
      <c r="C251" s="1128"/>
      <c r="D251" s="1120" t="s">
        <v>98</v>
      </c>
      <c r="E251" s="1119"/>
      <c r="F251" s="1119"/>
      <c r="G251" s="1121"/>
      <c r="H251" s="319" t="s">
        <v>12</v>
      </c>
      <c r="I251" s="1129"/>
      <c r="J251" s="1129"/>
      <c r="K251" s="1124"/>
      <c r="L251" s="1124">
        <f ca="1">IFERROR(__xludf.DUMMYFUNCTION("IMPORTRANGE(""https://docs.google.com/spreadsheets/d/1QqKyyYR6Q21VydFLVH3TRQUabQu_ym0Zz7PgGX0-kHA/edit?usp=sharing"",""แผน!BA77"")"),0)</f>
        <v>0</v>
      </c>
      <c r="M251" s="1124"/>
      <c r="N251" s="1125">
        <v>0</v>
      </c>
      <c r="O251" s="1124"/>
      <c r="P251" s="1124"/>
      <c r="Q251" s="1130"/>
      <c r="R251" s="1130"/>
      <c r="S251" s="1130"/>
      <c r="T251" s="1130"/>
      <c r="U251" s="1130"/>
      <c r="V251" s="1130"/>
      <c r="W251" s="1130"/>
      <c r="X251" s="1130"/>
      <c r="Y251" s="1130"/>
      <c r="Z251" s="1130"/>
    </row>
    <row r="252" spans="1:26" ht="19.5" hidden="1">
      <c r="A252" s="1127"/>
      <c r="B252" s="1118"/>
      <c r="C252" s="1128"/>
      <c r="D252" s="1120" t="s">
        <v>116</v>
      </c>
      <c r="E252" s="1119"/>
      <c r="F252" s="1119"/>
      <c r="G252" s="1121"/>
      <c r="H252" s="319" t="s">
        <v>12</v>
      </c>
      <c r="I252" s="1129"/>
      <c r="J252" s="1129"/>
      <c r="K252" s="1124"/>
      <c r="L252" s="1124">
        <f ca="1">IFERROR(__xludf.DUMMYFUNCTION("IMPORTRANGE(""https://docs.google.com/spreadsheets/d/1QqKyyYR6Q21VydFLVH3TRQUabQu_ym0Zz7PgGX0-kHA/edit?usp=sharing"",""แผน!BB77"")"),0)</f>
        <v>0</v>
      </c>
      <c r="M252" s="1124"/>
      <c r="N252" s="1125">
        <v>0</v>
      </c>
      <c r="O252" s="1124"/>
      <c r="P252" s="1124"/>
      <c r="Q252" s="1130"/>
      <c r="R252" s="1130"/>
      <c r="S252" s="1130"/>
      <c r="T252" s="1130"/>
      <c r="U252" s="1130"/>
      <c r="V252" s="1130"/>
      <c r="W252" s="1130"/>
      <c r="X252" s="1130"/>
      <c r="Y252" s="1130"/>
      <c r="Z252" s="1130"/>
    </row>
    <row r="253" spans="1:26" ht="19.5" hidden="1">
      <c r="A253" s="1127"/>
      <c r="B253" s="1118"/>
      <c r="C253" s="1128"/>
      <c r="D253" s="1120" t="s">
        <v>100</v>
      </c>
      <c r="E253" s="1119"/>
      <c r="F253" s="1119"/>
      <c r="G253" s="1121"/>
      <c r="H253" s="319" t="s">
        <v>12</v>
      </c>
      <c r="I253" s="1129"/>
      <c r="J253" s="1129"/>
      <c r="K253" s="1124"/>
      <c r="L253" s="1124">
        <f ca="1">IFERROR(__xludf.DUMMYFUNCTION("IMPORTRANGE(""https://docs.google.com/spreadsheets/d/1QqKyyYR6Q21VydFLVH3TRQUabQu_ym0Zz7PgGX0-kHA/edit?usp=sharing"",""แผน!BC77"")"),0)</f>
        <v>0</v>
      </c>
      <c r="M253" s="1124"/>
      <c r="N253" s="1125">
        <v>0</v>
      </c>
      <c r="O253" s="1124"/>
      <c r="P253" s="1124"/>
      <c r="Q253" s="1130"/>
      <c r="R253" s="1130"/>
      <c r="S253" s="1130"/>
      <c r="T253" s="1130"/>
      <c r="U253" s="1130"/>
      <c r="V253" s="1130"/>
      <c r="W253" s="1130"/>
      <c r="X253" s="1130"/>
      <c r="Y253" s="1130"/>
      <c r="Z253" s="1130"/>
    </row>
    <row r="254" spans="1:26" ht="19.5" hidden="1">
      <c r="A254" s="1002"/>
      <c r="B254" s="1003"/>
      <c r="C254" s="1092" t="s">
        <v>16</v>
      </c>
      <c r="D254" s="1004" t="s">
        <v>38</v>
      </c>
      <c r="E254" s="1005"/>
      <c r="F254" s="1005"/>
      <c r="G254" s="1006"/>
      <c r="H254" s="1007"/>
      <c r="I254" s="997"/>
      <c r="J254" s="880"/>
      <c r="K254" s="881"/>
      <c r="L254" s="881"/>
      <c r="M254" s="881"/>
      <c r="N254" s="881"/>
      <c r="O254" s="998"/>
      <c r="P254" s="998"/>
      <c r="Q254" s="868"/>
      <c r="R254" s="868"/>
      <c r="S254" s="868"/>
      <c r="T254" s="868"/>
      <c r="U254" s="868"/>
      <c r="V254" s="868"/>
      <c r="W254" s="868"/>
      <c r="X254" s="868"/>
      <c r="Y254" s="868"/>
      <c r="Z254" s="868"/>
    </row>
    <row r="255" spans="1:26" ht="18.75" hidden="1">
      <c r="A255" s="1002"/>
      <c r="B255" s="1003"/>
      <c r="C255" s="1003"/>
      <c r="D255" s="1009" t="s">
        <v>117</v>
      </c>
      <c r="E255" s="1010"/>
      <c r="F255" s="1010"/>
      <c r="G255" s="1011"/>
      <c r="H255" s="762" t="s">
        <v>35</v>
      </c>
      <c r="I255" s="880" t="str">
        <f ca="1">IFERROR(__xludf.DUMMYFUNCTION("IMPORTRANGE(""https://docs.google.com/spreadsheets/d/1QqKyyYR6Q21VydFLVH3TRQUabQu_ym0Zz7PgGX0-kHA/edit?usp=sharing"",""แผน!BF77"")"),"")</f>
        <v/>
      </c>
      <c r="J255" s="1012">
        <v>0</v>
      </c>
      <c r="K255" s="881" t="e">
        <f ca="1">IF(I255&gt;0,J255*100/I255,0)</f>
        <v>#VALUE!</v>
      </c>
      <c r="L255" s="881"/>
      <c r="M255" s="881"/>
      <c r="N255" s="881"/>
      <c r="O255" s="881"/>
      <c r="P255" s="881"/>
      <c r="Q255" s="868"/>
      <c r="R255" s="868"/>
      <c r="S255" s="868"/>
      <c r="T255" s="868"/>
      <c r="U255" s="868"/>
      <c r="V255" s="868"/>
      <c r="W255" s="868"/>
      <c r="X255" s="868"/>
      <c r="Y255" s="868"/>
      <c r="Z255" s="868"/>
    </row>
    <row r="256" spans="1:26" ht="18.75" hidden="1">
      <c r="A256" s="1002"/>
      <c r="B256" s="1003"/>
      <c r="C256" s="1003"/>
      <c r="D256" s="1131" t="s">
        <v>43</v>
      </c>
      <c r="E256" s="1010"/>
      <c r="F256" s="1010"/>
      <c r="G256" s="1011"/>
      <c r="H256" s="762"/>
      <c r="I256" s="880"/>
      <c r="J256" s="880"/>
      <c r="K256" s="881"/>
      <c r="L256" s="881"/>
      <c r="M256" s="881"/>
      <c r="N256" s="881"/>
      <c r="O256" s="998"/>
      <c r="P256" s="998"/>
      <c r="Q256" s="868"/>
      <c r="R256" s="868"/>
      <c r="S256" s="868"/>
      <c r="T256" s="868"/>
      <c r="U256" s="868"/>
      <c r="V256" s="868"/>
      <c r="W256" s="868"/>
      <c r="X256" s="868"/>
      <c r="Y256" s="868"/>
      <c r="Z256" s="868"/>
    </row>
    <row r="257" spans="1:26" ht="18.75" hidden="1">
      <c r="A257" s="1002"/>
      <c r="B257" s="1003"/>
      <c r="C257" s="1003"/>
      <c r="D257" s="1003"/>
      <c r="E257" s="1008" t="s">
        <v>118</v>
      </c>
      <c r="F257" s="1010"/>
      <c r="G257" s="1011"/>
      <c r="H257" s="762" t="s">
        <v>35</v>
      </c>
      <c r="I257" s="880"/>
      <c r="J257" s="1012">
        <v>0</v>
      </c>
      <c r="K257" s="881">
        <f t="shared" ref="K257:K258" si="114">IF(I257&gt;0,J257*100/I257,0)</f>
        <v>0</v>
      </c>
      <c r="L257" s="881"/>
      <c r="M257" s="881"/>
      <c r="N257" s="881"/>
      <c r="O257" s="881"/>
      <c r="P257" s="881"/>
      <c r="Q257" s="868"/>
      <c r="R257" s="868"/>
      <c r="S257" s="868"/>
      <c r="T257" s="868"/>
      <c r="U257" s="868"/>
      <c r="V257" s="868"/>
      <c r="W257" s="868"/>
      <c r="X257" s="868"/>
      <c r="Y257" s="868"/>
      <c r="Z257" s="868"/>
    </row>
    <row r="258" spans="1:26" ht="18.75" hidden="1">
      <c r="A258" s="1002"/>
      <c r="B258" s="1003"/>
      <c r="C258" s="1003"/>
      <c r="D258" s="1003"/>
      <c r="E258" s="1008" t="s">
        <v>119</v>
      </c>
      <c r="F258" s="1010"/>
      <c r="G258" s="1011"/>
      <c r="H258" s="762" t="s">
        <v>66</v>
      </c>
      <c r="I258" s="880"/>
      <c r="J258" s="1012">
        <v>0</v>
      </c>
      <c r="K258" s="881">
        <f t="shared" si="114"/>
        <v>0</v>
      </c>
      <c r="L258" s="881"/>
      <c r="M258" s="881"/>
      <c r="N258" s="881"/>
      <c r="O258" s="881"/>
      <c r="P258" s="881"/>
      <c r="Q258" s="868"/>
      <c r="R258" s="868"/>
      <c r="S258" s="868"/>
      <c r="T258" s="868"/>
      <c r="U258" s="868"/>
      <c r="V258" s="868"/>
      <c r="W258" s="868"/>
      <c r="X258" s="868"/>
      <c r="Y258" s="868"/>
      <c r="Z258" s="868"/>
    </row>
    <row r="259" spans="1:26" ht="19.5">
      <c r="A259" s="1051" t="s">
        <v>122</v>
      </c>
      <c r="B259" s="1052"/>
      <c r="C259" s="1052"/>
      <c r="D259" s="1053"/>
      <c r="E259" s="1053"/>
      <c r="F259" s="1053"/>
      <c r="G259" s="1054"/>
      <c r="H259" s="1055"/>
      <c r="I259" s="1056"/>
      <c r="J259" s="1056"/>
      <c r="K259" s="1057"/>
      <c r="L259" s="1057"/>
      <c r="M259" s="1057"/>
      <c r="N259" s="1057"/>
      <c r="O259" s="1057"/>
      <c r="P259" s="1057"/>
    </row>
    <row r="260" spans="1:26" ht="19.5">
      <c r="A260" s="1058"/>
      <c r="B260" s="1059" t="s">
        <v>123</v>
      </c>
      <c r="C260" s="1060"/>
      <c r="D260" s="1005"/>
      <c r="E260" s="1005"/>
      <c r="F260" s="1005"/>
      <c r="G260" s="1006"/>
      <c r="H260" s="252" t="s">
        <v>35</v>
      </c>
      <c r="I260" s="1075">
        <f t="shared" ref="I260:J260" ca="1" si="115">I271</f>
        <v>22</v>
      </c>
      <c r="J260" s="1075">
        <f t="shared" si="115"/>
        <v>22</v>
      </c>
      <c r="K260" s="1076">
        <f ca="1">IF(I260&gt;0,J260*100/I260,0)</f>
        <v>100</v>
      </c>
      <c r="L260" s="1062"/>
      <c r="M260" s="1062"/>
      <c r="N260" s="1062"/>
      <c r="O260" s="1062"/>
      <c r="P260" s="1062"/>
    </row>
    <row r="261" spans="1:26" ht="19.5">
      <c r="A261" s="985"/>
      <c r="B261" s="986"/>
      <c r="C261" s="987" t="s">
        <v>16</v>
      </c>
      <c r="D261" s="988" t="s">
        <v>17</v>
      </c>
      <c r="E261" s="986"/>
      <c r="F261" s="986"/>
      <c r="G261" s="989"/>
      <c r="H261" s="152" t="s">
        <v>12</v>
      </c>
      <c r="I261" s="990"/>
      <c r="J261" s="990"/>
      <c r="K261" s="991"/>
      <c r="L261" s="992">
        <f t="shared" ref="L261:N261" ca="1" si="116">L262+L263</f>
        <v>26900</v>
      </c>
      <c r="M261" s="992">
        <f t="shared" ca="1" si="116"/>
        <v>23900</v>
      </c>
      <c r="N261" s="992">
        <f t="shared" ca="1" si="116"/>
        <v>20900</v>
      </c>
      <c r="O261" s="992">
        <f t="shared" ref="O261:O269" ca="1" si="117">IF(L261&gt;0,N261*100/L261,0)</f>
        <v>77.695167286245351</v>
      </c>
      <c r="P261" s="992">
        <f t="shared" ref="P261:P269" ca="1" si="118">IF(M261&gt;0,N261*100/M261,0)</f>
        <v>87.44769874476988</v>
      </c>
      <c r="Q261" s="868"/>
      <c r="R261" s="868"/>
      <c r="S261" s="868"/>
      <c r="T261" s="868"/>
      <c r="U261" s="868"/>
      <c r="V261" s="868"/>
      <c r="W261" s="868"/>
      <c r="X261" s="868"/>
      <c r="Y261" s="868"/>
      <c r="Z261" s="868"/>
    </row>
    <row r="262" spans="1:26" ht="18.75" hidden="1">
      <c r="A262" s="993"/>
      <c r="B262" s="883"/>
      <c r="C262" s="883"/>
      <c r="D262" s="883"/>
      <c r="E262" s="884" t="s">
        <v>18</v>
      </c>
      <c r="F262" s="883"/>
      <c r="G262" s="994"/>
      <c r="H262" s="158" t="s">
        <v>12</v>
      </c>
      <c r="I262" s="886"/>
      <c r="J262" s="886"/>
      <c r="K262" s="887"/>
      <c r="L262" s="887">
        <f t="shared" ref="L262:N263" si="119">L265+L268</f>
        <v>0</v>
      </c>
      <c r="M262" s="887">
        <f t="shared" si="119"/>
        <v>0</v>
      </c>
      <c r="N262" s="887">
        <f t="shared" si="119"/>
        <v>0</v>
      </c>
      <c r="O262" s="887">
        <f t="shared" si="117"/>
        <v>0</v>
      </c>
      <c r="P262" s="887">
        <f t="shared" si="118"/>
        <v>0</v>
      </c>
      <c r="Q262" s="875"/>
      <c r="R262" s="875"/>
      <c r="S262" s="875"/>
      <c r="T262" s="875"/>
      <c r="U262" s="875"/>
      <c r="V262" s="875"/>
      <c r="W262" s="875"/>
      <c r="X262" s="875"/>
      <c r="Y262" s="875"/>
      <c r="Z262" s="875"/>
    </row>
    <row r="263" spans="1:26" ht="18.75" hidden="1">
      <c r="A263" s="993"/>
      <c r="B263" s="883"/>
      <c r="C263" s="883"/>
      <c r="D263" s="883"/>
      <c r="E263" s="884" t="s">
        <v>19</v>
      </c>
      <c r="F263" s="883"/>
      <c r="G263" s="994"/>
      <c r="H263" s="158" t="s">
        <v>12</v>
      </c>
      <c r="I263" s="886"/>
      <c r="J263" s="886"/>
      <c r="K263" s="887"/>
      <c r="L263" s="887">
        <f t="shared" ca="1" si="119"/>
        <v>26900</v>
      </c>
      <c r="M263" s="887">
        <f t="shared" ca="1" si="119"/>
        <v>23900</v>
      </c>
      <c r="N263" s="887">
        <f t="shared" ca="1" si="119"/>
        <v>20900</v>
      </c>
      <c r="O263" s="887">
        <f t="shared" ca="1" si="117"/>
        <v>77.695167286245351</v>
      </c>
      <c r="P263" s="887">
        <f t="shared" ca="1" si="118"/>
        <v>87.44769874476988</v>
      </c>
      <c r="Q263" s="875"/>
      <c r="R263" s="875"/>
      <c r="S263" s="875"/>
      <c r="T263" s="875"/>
      <c r="U263" s="875"/>
      <c r="V263" s="875"/>
      <c r="W263" s="875"/>
      <c r="X263" s="875"/>
      <c r="Y263" s="875"/>
      <c r="Z263" s="875"/>
    </row>
    <row r="264" spans="1:26" ht="18.75">
      <c r="A264" s="995"/>
      <c r="B264" s="877"/>
      <c r="C264" s="996"/>
      <c r="D264" s="878" t="s">
        <v>20</v>
      </c>
      <c r="E264" s="877"/>
      <c r="F264" s="877"/>
      <c r="G264" s="879"/>
      <c r="H264" s="161" t="s">
        <v>12</v>
      </c>
      <c r="I264" s="997"/>
      <c r="J264" s="997"/>
      <c r="K264" s="998"/>
      <c r="L264" s="881">
        <f t="shared" ref="L264:N264" ca="1" si="120">L265+L266</f>
        <v>26900</v>
      </c>
      <c r="M264" s="881">
        <f t="shared" ca="1" si="120"/>
        <v>23900</v>
      </c>
      <c r="N264" s="881">
        <f t="shared" ca="1" si="120"/>
        <v>20900</v>
      </c>
      <c r="O264" s="881">
        <f t="shared" ca="1" si="117"/>
        <v>77.695167286245351</v>
      </c>
      <c r="P264" s="881">
        <f t="shared" ca="1" si="118"/>
        <v>87.44769874476988</v>
      </c>
      <c r="Q264" s="868"/>
      <c r="R264" s="868"/>
      <c r="S264" s="868"/>
      <c r="T264" s="868"/>
      <c r="U264" s="868"/>
      <c r="V264" s="868"/>
      <c r="W264" s="868"/>
      <c r="X264" s="868"/>
      <c r="Y264" s="868"/>
      <c r="Z264" s="868"/>
    </row>
    <row r="265" spans="1:26" ht="19.5" hidden="1">
      <c r="A265" s="993"/>
      <c r="B265" s="883"/>
      <c r="C265" s="999"/>
      <c r="D265" s="883"/>
      <c r="E265" s="884" t="s">
        <v>36</v>
      </c>
      <c r="F265" s="883"/>
      <c r="G265" s="994"/>
      <c r="H265" s="165" t="s">
        <v>12</v>
      </c>
      <c r="I265" s="1000"/>
      <c r="J265" s="1000"/>
      <c r="K265" s="1001"/>
      <c r="L265" s="887">
        <v>0</v>
      </c>
      <c r="M265" s="887">
        <v>0</v>
      </c>
      <c r="N265" s="887">
        <v>0</v>
      </c>
      <c r="O265" s="887">
        <f t="shared" si="117"/>
        <v>0</v>
      </c>
      <c r="P265" s="887">
        <f t="shared" si="118"/>
        <v>0</v>
      </c>
      <c r="Q265" s="875"/>
      <c r="R265" s="875"/>
      <c r="S265" s="875"/>
      <c r="T265" s="875"/>
      <c r="U265" s="875"/>
      <c r="V265" s="875"/>
      <c r="W265" s="875"/>
      <c r="X265" s="875"/>
      <c r="Y265" s="875"/>
      <c r="Z265" s="875"/>
    </row>
    <row r="266" spans="1:26" ht="19.5" hidden="1">
      <c r="A266" s="993"/>
      <c r="B266" s="883"/>
      <c r="C266" s="999"/>
      <c r="D266" s="883"/>
      <c r="E266" s="884" t="s">
        <v>37</v>
      </c>
      <c r="F266" s="883"/>
      <c r="G266" s="994"/>
      <c r="H266" s="165" t="s">
        <v>12</v>
      </c>
      <c r="I266" s="1000"/>
      <c r="J266" s="1000"/>
      <c r="K266" s="1001"/>
      <c r="L266" s="887">
        <f ca="1">IFERROR(__xludf.DUMMYFUNCTION("IMPORTRANGE(""https://docs.google.com/spreadsheets/d/1MeEWN-I1oV_STSDYn1IFDPWt_1FKiwhDph83XaGc0o0/edit?usp=sharing"",""งบพรบ!CY77"")"),26900)</f>
        <v>26900</v>
      </c>
      <c r="M266" s="887">
        <f ca="1">IFERROR(__xludf.DUMMYFUNCTION("IMPORTRANGE(""https://docs.google.com/spreadsheets/d/1MeEWN-I1oV_STSDYn1IFDPWt_1FKiwhDph83XaGc0o0/edit?usp=sharing"",""งบพรบ!DD77"")"),23900)</f>
        <v>23900</v>
      </c>
      <c r="N266" s="887">
        <f ca="1">IFERROR(__xludf.DUMMYFUNCTION("IMPORTRANGE(""https://docs.google.com/spreadsheets/d/1MeEWN-I1oV_STSDYn1IFDPWt_1FKiwhDph83XaGc0o0/edit?usp=sharing"",""งบพรบ!DF77"")"),20900)</f>
        <v>20900</v>
      </c>
      <c r="O266" s="887">
        <f t="shared" ca="1" si="117"/>
        <v>77.695167286245351</v>
      </c>
      <c r="P266" s="887">
        <f t="shared" ca="1" si="118"/>
        <v>87.44769874476988</v>
      </c>
      <c r="Q266" s="875"/>
      <c r="R266" s="875"/>
      <c r="S266" s="875"/>
      <c r="T266" s="875"/>
      <c r="U266" s="875"/>
      <c r="V266" s="875"/>
      <c r="W266" s="875"/>
      <c r="X266" s="875"/>
      <c r="Y266" s="875"/>
      <c r="Z266" s="875"/>
    </row>
    <row r="267" spans="1:26" ht="18.75">
      <c r="A267" s="995"/>
      <c r="B267" s="877"/>
      <c r="C267" s="996"/>
      <c r="D267" s="878" t="s">
        <v>21</v>
      </c>
      <c r="E267" s="877"/>
      <c r="F267" s="877"/>
      <c r="G267" s="879"/>
      <c r="H267" s="168" t="s">
        <v>12</v>
      </c>
      <c r="I267" s="997"/>
      <c r="J267" s="997"/>
      <c r="K267" s="998"/>
      <c r="L267" s="881">
        <f t="shared" ref="L267:N267" ca="1" si="121">L268+L269</f>
        <v>0</v>
      </c>
      <c r="M267" s="881">
        <f t="shared" ca="1" si="121"/>
        <v>0</v>
      </c>
      <c r="N267" s="881">
        <f t="shared" ca="1" si="121"/>
        <v>0</v>
      </c>
      <c r="O267" s="881">
        <f t="shared" ca="1" si="117"/>
        <v>0</v>
      </c>
      <c r="P267" s="881">
        <f t="shared" ca="1" si="118"/>
        <v>0</v>
      </c>
      <c r="Q267" s="868"/>
      <c r="R267" s="868"/>
      <c r="S267" s="868"/>
      <c r="T267" s="868"/>
      <c r="U267" s="868"/>
      <c r="V267" s="868"/>
      <c r="W267" s="868"/>
      <c r="X267" s="868"/>
      <c r="Y267" s="868"/>
      <c r="Z267" s="868"/>
    </row>
    <row r="268" spans="1:26" ht="19.5" hidden="1">
      <c r="A268" s="993"/>
      <c r="B268" s="883"/>
      <c r="C268" s="999"/>
      <c r="D268" s="883"/>
      <c r="E268" s="884" t="s">
        <v>18</v>
      </c>
      <c r="F268" s="883"/>
      <c r="G268" s="994"/>
      <c r="H268" s="165" t="s">
        <v>12</v>
      </c>
      <c r="I268" s="1000"/>
      <c r="J268" s="1000"/>
      <c r="K268" s="1001"/>
      <c r="L268" s="887">
        <v>0</v>
      </c>
      <c r="M268" s="887">
        <v>0</v>
      </c>
      <c r="N268" s="887">
        <v>0</v>
      </c>
      <c r="O268" s="887">
        <f t="shared" si="117"/>
        <v>0</v>
      </c>
      <c r="P268" s="887">
        <f t="shared" si="118"/>
        <v>0</v>
      </c>
      <c r="Q268" s="875"/>
      <c r="R268" s="875"/>
      <c r="S268" s="875"/>
      <c r="T268" s="875"/>
      <c r="U268" s="875"/>
      <c r="V268" s="875"/>
      <c r="W268" s="875"/>
      <c r="X268" s="875"/>
      <c r="Y268" s="875"/>
      <c r="Z268" s="875"/>
    </row>
    <row r="269" spans="1:26" ht="19.5" hidden="1">
      <c r="A269" s="993"/>
      <c r="B269" s="883"/>
      <c r="C269" s="999"/>
      <c r="D269" s="883"/>
      <c r="E269" s="884" t="s">
        <v>19</v>
      </c>
      <c r="F269" s="883"/>
      <c r="G269" s="994"/>
      <c r="H269" s="169" t="s">
        <v>12</v>
      </c>
      <c r="I269" s="1000"/>
      <c r="J269" s="1000"/>
      <c r="K269" s="1001"/>
      <c r="L269" s="887">
        <f ca="1">IFERROR(__xludf.DUMMYFUNCTION("IMPORTRANGE(""https://docs.google.com/spreadsheets/d/1MeEWN-I1oV_STSDYn1IFDPWt_1FKiwhDph83XaGc0o0/edit?usp=sharing"",""งบพรบ!DB77"")"),0)</f>
        <v>0</v>
      </c>
      <c r="M269" s="887">
        <f ca="1">IFERROR(__xludf.DUMMYFUNCTION("IMPORTRANGE(""https://docs.google.com/spreadsheets/d/1MeEWN-I1oV_STSDYn1IFDPWt_1FKiwhDph83XaGc0o0/edit?usp=sharing"",""งบพรบ!DE77"")"),0)</f>
        <v>0</v>
      </c>
      <c r="N269" s="887">
        <f ca="1">IFERROR(__xludf.DUMMYFUNCTION("IMPORTRANGE(""https://docs.google.com/spreadsheets/d/1MeEWN-I1oV_STSDYn1IFDPWt_1FKiwhDph83XaGc0o0/edit?usp=sharing"",""งบพรบ!DG77"")"),0)</f>
        <v>0</v>
      </c>
      <c r="O269" s="887">
        <f t="shared" ca="1" si="117"/>
        <v>0</v>
      </c>
      <c r="P269" s="887">
        <f t="shared" ca="1" si="118"/>
        <v>0</v>
      </c>
      <c r="Q269" s="875"/>
      <c r="R269" s="875"/>
      <c r="S269" s="875"/>
      <c r="T269" s="875"/>
      <c r="U269" s="875"/>
      <c r="V269" s="875"/>
      <c r="W269" s="875"/>
      <c r="X269" s="875"/>
      <c r="Y269" s="875"/>
      <c r="Z269" s="875"/>
    </row>
    <row r="270" spans="1:26" ht="19.5">
      <c r="A270" s="1002"/>
      <c r="B270" s="1003"/>
      <c r="C270" s="996" t="s">
        <v>16</v>
      </c>
      <c r="D270" s="1004" t="s">
        <v>38</v>
      </c>
      <c r="E270" s="1005"/>
      <c r="F270" s="1005"/>
      <c r="G270" s="1006"/>
      <c r="H270" s="1007"/>
      <c r="I270" s="997"/>
      <c r="J270" s="997"/>
      <c r="K270" s="998"/>
      <c r="L270" s="998"/>
      <c r="M270" s="998"/>
      <c r="N270" s="998"/>
      <c r="O270" s="998"/>
      <c r="P270" s="998"/>
    </row>
    <row r="271" spans="1:26" ht="18.75">
      <c r="A271" s="1002"/>
      <c r="B271" s="1003"/>
      <c r="C271" s="1003"/>
      <c r="D271" s="1132" t="s">
        <v>124</v>
      </c>
      <c r="E271" s="1010"/>
      <c r="F271" s="1074"/>
      <c r="G271" s="1011"/>
      <c r="H271" s="377" t="s">
        <v>35</v>
      </c>
      <c r="I271" s="880">
        <f ca="1">IFERROR(__xludf.DUMMYFUNCTION("IMPORTRANGE(""https://docs.google.com/spreadsheets/d/1QqKyyYR6Q21VydFLVH3TRQUabQu_ym0Zz7PgGX0-kHA/edit?usp=sharing"",""แผน!EA77"")"),22)</f>
        <v>22</v>
      </c>
      <c r="J271" s="1012">
        <v>22</v>
      </c>
      <c r="K271" s="998">
        <f ca="1">IF(I271&gt;0,J271*100/I271,0)</f>
        <v>100</v>
      </c>
      <c r="L271" s="998"/>
      <c r="M271" s="998"/>
      <c r="N271" s="998"/>
      <c r="O271" s="998"/>
      <c r="P271" s="998"/>
    </row>
    <row r="272" spans="1:26" ht="18.75" hidden="1">
      <c r="A272" s="1133"/>
      <c r="B272" s="1134"/>
      <c r="C272" s="1134"/>
      <c r="D272" s="1135" t="s">
        <v>125</v>
      </c>
      <c r="E272" s="1136"/>
      <c r="F272" s="1136"/>
      <c r="G272" s="1137"/>
      <c r="H272" s="50" t="s">
        <v>35</v>
      </c>
      <c r="I272" s="1138">
        <v>0</v>
      </c>
      <c r="J272" s="1138">
        <v>0</v>
      </c>
      <c r="K272" s="1139">
        <v>0</v>
      </c>
      <c r="L272" s="1139"/>
      <c r="M272" s="1139"/>
      <c r="N272" s="1139"/>
      <c r="O272" s="1139"/>
      <c r="P272" s="1139"/>
    </row>
    <row r="273" spans="1:26" ht="19.5" hidden="1">
      <c r="A273" s="1140" t="s">
        <v>126</v>
      </c>
      <c r="B273" s="1141"/>
      <c r="C273" s="1141"/>
      <c r="D273" s="1141"/>
      <c r="E273" s="1142"/>
      <c r="F273" s="1142"/>
      <c r="G273" s="1143"/>
      <c r="H273" s="1144"/>
      <c r="I273" s="1145"/>
      <c r="J273" s="1145"/>
      <c r="K273" s="1146"/>
      <c r="L273" s="1146"/>
      <c r="M273" s="1146"/>
      <c r="N273" s="1146"/>
      <c r="O273" s="1146"/>
      <c r="P273" s="1146"/>
    </row>
    <row r="274" spans="1:26" ht="19.5" hidden="1">
      <c r="A274" s="1147" t="s">
        <v>127</v>
      </c>
      <c r="B274" s="1148"/>
      <c r="C274" s="1149"/>
      <c r="D274" s="1148"/>
      <c r="E274" s="1148"/>
      <c r="F274" s="1148"/>
      <c r="G274" s="1148"/>
      <c r="H274" s="1150"/>
      <c r="I274" s="1151"/>
      <c r="J274" s="1152"/>
      <c r="K274" s="1153"/>
      <c r="L274" s="1153"/>
      <c r="M274" s="1153"/>
      <c r="N274" s="1153"/>
      <c r="O274" s="1153"/>
      <c r="P274" s="1153"/>
    </row>
    <row r="275" spans="1:26" ht="19.5" hidden="1">
      <c r="A275" s="1154"/>
      <c r="B275" s="1155" t="s">
        <v>128</v>
      </c>
      <c r="C275" s="1156"/>
      <c r="D275" s="1157"/>
      <c r="E275" s="1156"/>
      <c r="F275" s="1156"/>
      <c r="G275" s="1158"/>
      <c r="H275" s="405" t="s">
        <v>35</v>
      </c>
      <c r="I275" s="1159">
        <f t="shared" ref="I275:J275" ca="1" si="122">I288</f>
        <v>0</v>
      </c>
      <c r="J275" s="1159">
        <f t="shared" ca="1" si="122"/>
        <v>0</v>
      </c>
      <c r="K275" s="1160">
        <f t="shared" ref="K275:K276" ca="1" si="123">IF(I275&gt;0,J275*100/I275,0)</f>
        <v>0</v>
      </c>
      <c r="L275" s="1161"/>
      <c r="M275" s="1161"/>
      <c r="N275" s="1161"/>
      <c r="O275" s="1161"/>
      <c r="P275" s="1161"/>
    </row>
    <row r="276" spans="1:26" ht="19.5" hidden="1">
      <c r="A276" s="1154"/>
      <c r="B276" s="1155"/>
      <c r="C276" s="1156"/>
      <c r="D276" s="1157"/>
      <c r="E276" s="1156"/>
      <c r="F276" s="1156"/>
      <c r="G276" s="1158"/>
      <c r="H276" s="405" t="s">
        <v>46</v>
      </c>
      <c r="I276" s="1493">
        <f t="shared" ref="I276:J276" ca="1" si="124">I287</f>
        <v>0</v>
      </c>
      <c r="J276" s="1493">
        <f t="shared" si="124"/>
        <v>0</v>
      </c>
      <c r="K276" s="1161">
        <f t="shared" ca="1" si="123"/>
        <v>0</v>
      </c>
      <c r="L276" s="1161"/>
      <c r="M276" s="1161"/>
      <c r="N276" s="1161"/>
      <c r="O276" s="1161"/>
      <c r="P276" s="1161"/>
    </row>
    <row r="277" spans="1:26" ht="19.5" hidden="1">
      <c r="A277" s="985"/>
      <c r="B277" s="986"/>
      <c r="C277" s="987" t="s">
        <v>16</v>
      </c>
      <c r="D277" s="988" t="s">
        <v>17</v>
      </c>
      <c r="E277" s="986"/>
      <c r="F277" s="986"/>
      <c r="G277" s="989"/>
      <c r="H277" s="152" t="s">
        <v>12</v>
      </c>
      <c r="I277" s="990"/>
      <c r="J277" s="990"/>
      <c r="K277" s="991"/>
      <c r="L277" s="992">
        <f t="shared" ref="L277:N277" ca="1" si="125">L278+L279</f>
        <v>0</v>
      </c>
      <c r="M277" s="992">
        <f t="shared" ca="1" si="125"/>
        <v>0</v>
      </c>
      <c r="N277" s="992">
        <f t="shared" ca="1" si="125"/>
        <v>0</v>
      </c>
      <c r="O277" s="992">
        <f t="shared" ref="O277:O285" ca="1" si="126">IF(L277&gt;0,N277*100/L277,0)</f>
        <v>0</v>
      </c>
      <c r="P277" s="992">
        <f t="shared" ref="P277:P285" ca="1" si="127">IF(M277&gt;0,N277*100/M277,0)</f>
        <v>0</v>
      </c>
      <c r="Q277" s="868"/>
      <c r="R277" s="868"/>
      <c r="S277" s="868"/>
      <c r="T277" s="868"/>
      <c r="U277" s="868"/>
      <c r="V277" s="868"/>
      <c r="W277" s="868"/>
      <c r="X277" s="868"/>
      <c r="Y277" s="868"/>
      <c r="Z277" s="868"/>
    </row>
    <row r="278" spans="1:26" ht="18.75" hidden="1">
      <c r="A278" s="993"/>
      <c r="B278" s="883"/>
      <c r="C278" s="883"/>
      <c r="D278" s="883"/>
      <c r="E278" s="884" t="s">
        <v>18</v>
      </c>
      <c r="F278" s="883"/>
      <c r="G278" s="994"/>
      <c r="H278" s="158" t="s">
        <v>12</v>
      </c>
      <c r="I278" s="886"/>
      <c r="J278" s="886"/>
      <c r="K278" s="887"/>
      <c r="L278" s="887">
        <f t="shared" ref="L278:N279" si="128">L281+L284</f>
        <v>0</v>
      </c>
      <c r="M278" s="887">
        <f t="shared" si="128"/>
        <v>0</v>
      </c>
      <c r="N278" s="887">
        <f t="shared" si="128"/>
        <v>0</v>
      </c>
      <c r="O278" s="887">
        <f t="shared" si="126"/>
        <v>0</v>
      </c>
      <c r="P278" s="887">
        <f t="shared" si="127"/>
        <v>0</v>
      </c>
      <c r="Q278" s="875"/>
      <c r="R278" s="875"/>
      <c r="S278" s="875"/>
      <c r="T278" s="875"/>
      <c r="U278" s="875"/>
      <c r="V278" s="875"/>
      <c r="W278" s="875"/>
      <c r="X278" s="875"/>
      <c r="Y278" s="875"/>
      <c r="Z278" s="875"/>
    </row>
    <row r="279" spans="1:26" ht="18.75" hidden="1">
      <c r="A279" s="993"/>
      <c r="B279" s="883"/>
      <c r="C279" s="883"/>
      <c r="D279" s="883"/>
      <c r="E279" s="884" t="s">
        <v>19</v>
      </c>
      <c r="F279" s="883"/>
      <c r="G279" s="994"/>
      <c r="H279" s="158" t="s">
        <v>12</v>
      </c>
      <c r="I279" s="886"/>
      <c r="J279" s="886"/>
      <c r="K279" s="887"/>
      <c r="L279" s="887">
        <f t="shared" ca="1" si="128"/>
        <v>0</v>
      </c>
      <c r="M279" s="887">
        <f t="shared" ca="1" si="128"/>
        <v>0</v>
      </c>
      <c r="N279" s="887">
        <f t="shared" ca="1" si="128"/>
        <v>0</v>
      </c>
      <c r="O279" s="887">
        <f t="shared" ca="1" si="126"/>
        <v>0</v>
      </c>
      <c r="P279" s="887">
        <f t="shared" ca="1" si="127"/>
        <v>0</v>
      </c>
      <c r="Q279" s="875"/>
      <c r="R279" s="875"/>
      <c r="S279" s="875"/>
      <c r="T279" s="875"/>
      <c r="U279" s="875"/>
      <c r="V279" s="875"/>
      <c r="W279" s="875"/>
      <c r="X279" s="875"/>
      <c r="Y279" s="875"/>
      <c r="Z279" s="875"/>
    </row>
    <row r="280" spans="1:26" ht="18.75" hidden="1">
      <c r="A280" s="995"/>
      <c r="B280" s="877"/>
      <c r="C280" s="996"/>
      <c r="D280" s="878" t="s">
        <v>20</v>
      </c>
      <c r="E280" s="877"/>
      <c r="F280" s="877"/>
      <c r="G280" s="879"/>
      <c r="H280" s="161" t="s">
        <v>12</v>
      </c>
      <c r="I280" s="997"/>
      <c r="J280" s="997"/>
      <c r="K280" s="998"/>
      <c r="L280" s="881">
        <f t="shared" ref="L280:N280" ca="1" si="129">L281+L282</f>
        <v>0</v>
      </c>
      <c r="M280" s="881">
        <f t="shared" ca="1" si="129"/>
        <v>0</v>
      </c>
      <c r="N280" s="881">
        <f t="shared" ca="1" si="129"/>
        <v>0</v>
      </c>
      <c r="O280" s="881">
        <f t="shared" ca="1" si="126"/>
        <v>0</v>
      </c>
      <c r="P280" s="881">
        <f t="shared" ca="1" si="127"/>
        <v>0</v>
      </c>
      <c r="Q280" s="868"/>
      <c r="R280" s="868"/>
      <c r="S280" s="868"/>
      <c r="T280" s="868"/>
      <c r="U280" s="868"/>
      <c r="V280" s="868"/>
      <c r="W280" s="868"/>
      <c r="X280" s="868"/>
      <c r="Y280" s="868"/>
      <c r="Z280" s="868"/>
    </row>
    <row r="281" spans="1:26" ht="19.5" hidden="1">
      <c r="A281" s="993"/>
      <c r="B281" s="883"/>
      <c r="C281" s="999"/>
      <c r="D281" s="883"/>
      <c r="E281" s="884" t="s">
        <v>36</v>
      </c>
      <c r="F281" s="883"/>
      <c r="G281" s="994"/>
      <c r="H281" s="165" t="s">
        <v>12</v>
      </c>
      <c r="I281" s="1000"/>
      <c r="J281" s="1000"/>
      <c r="K281" s="1001"/>
      <c r="L281" s="887">
        <v>0</v>
      </c>
      <c r="M281" s="887">
        <v>0</v>
      </c>
      <c r="N281" s="887">
        <v>0</v>
      </c>
      <c r="O281" s="887">
        <f t="shared" si="126"/>
        <v>0</v>
      </c>
      <c r="P281" s="887">
        <f t="shared" si="127"/>
        <v>0</v>
      </c>
      <c r="Q281" s="875"/>
      <c r="R281" s="875"/>
      <c r="S281" s="875"/>
      <c r="T281" s="875"/>
      <c r="U281" s="875"/>
      <c r="V281" s="875"/>
      <c r="W281" s="875"/>
      <c r="X281" s="875"/>
      <c r="Y281" s="875"/>
      <c r="Z281" s="875"/>
    </row>
    <row r="282" spans="1:26" ht="19.5" hidden="1">
      <c r="A282" s="993"/>
      <c r="B282" s="883"/>
      <c r="C282" s="999"/>
      <c r="D282" s="883"/>
      <c r="E282" s="884" t="s">
        <v>37</v>
      </c>
      <c r="F282" s="883"/>
      <c r="G282" s="994"/>
      <c r="H282" s="165" t="s">
        <v>12</v>
      </c>
      <c r="I282" s="1000"/>
      <c r="J282" s="1000"/>
      <c r="K282" s="1001"/>
      <c r="L282" s="887">
        <f ca="1">IFERROR(__xludf.DUMMYFUNCTION("IMPORTRANGE(""https://docs.google.com/spreadsheets/d/1MeEWN-I1oV_STSDYn1IFDPWt_1FKiwhDph83XaGc0o0/edit?usp=sharing"",""งบพรบ!DI77"")"),0)</f>
        <v>0</v>
      </c>
      <c r="M282" s="887">
        <f ca="1">IFERROR(__xludf.DUMMYFUNCTION("IMPORTRANGE(""https://docs.google.com/spreadsheets/d/1MeEWN-I1oV_STSDYn1IFDPWt_1FKiwhDph83XaGc0o0/edit?usp=sharing"",""งบพรบ!DN77"")"),0)</f>
        <v>0</v>
      </c>
      <c r="N282" s="887">
        <f ca="1">IFERROR(__xludf.DUMMYFUNCTION("IMPORTRANGE(""https://docs.google.com/spreadsheets/d/1MeEWN-I1oV_STSDYn1IFDPWt_1FKiwhDph83XaGc0o0/edit?usp=sharing"",""งบพรบ!DP77"")"),0)</f>
        <v>0</v>
      </c>
      <c r="O282" s="887">
        <f t="shared" ca="1" si="126"/>
        <v>0</v>
      </c>
      <c r="P282" s="887">
        <f t="shared" ca="1" si="127"/>
        <v>0</v>
      </c>
      <c r="Q282" s="875"/>
      <c r="R282" s="875"/>
      <c r="S282" s="875"/>
      <c r="T282" s="875"/>
      <c r="U282" s="875"/>
      <c r="V282" s="875"/>
      <c r="W282" s="875"/>
      <c r="X282" s="875"/>
      <c r="Y282" s="875"/>
      <c r="Z282" s="875"/>
    </row>
    <row r="283" spans="1:26" ht="18.75" hidden="1">
      <c r="A283" s="995"/>
      <c r="B283" s="877"/>
      <c r="C283" s="996"/>
      <c r="D283" s="878" t="s">
        <v>21</v>
      </c>
      <c r="E283" s="877"/>
      <c r="F283" s="877"/>
      <c r="G283" s="879"/>
      <c r="H283" s="168" t="s">
        <v>12</v>
      </c>
      <c r="I283" s="997"/>
      <c r="J283" s="997"/>
      <c r="K283" s="998"/>
      <c r="L283" s="881">
        <f t="shared" ref="L283:N283" ca="1" si="130">L284+L285</f>
        <v>0</v>
      </c>
      <c r="M283" s="881">
        <f t="shared" ca="1" si="130"/>
        <v>0</v>
      </c>
      <c r="N283" s="881">
        <f t="shared" ca="1" si="130"/>
        <v>0</v>
      </c>
      <c r="O283" s="881">
        <f t="shared" ca="1" si="126"/>
        <v>0</v>
      </c>
      <c r="P283" s="881">
        <f t="shared" ca="1" si="127"/>
        <v>0</v>
      </c>
      <c r="Q283" s="868"/>
      <c r="R283" s="868"/>
      <c r="S283" s="868"/>
      <c r="T283" s="868"/>
      <c r="U283" s="868"/>
      <c r="V283" s="868"/>
      <c r="W283" s="868"/>
      <c r="X283" s="868"/>
      <c r="Y283" s="868"/>
      <c r="Z283" s="868"/>
    </row>
    <row r="284" spans="1:26" ht="19.5" hidden="1">
      <c r="A284" s="993"/>
      <c r="B284" s="883"/>
      <c r="C284" s="999"/>
      <c r="D284" s="883"/>
      <c r="E284" s="884" t="s">
        <v>18</v>
      </c>
      <c r="F284" s="883"/>
      <c r="G284" s="994"/>
      <c r="H284" s="165" t="s">
        <v>12</v>
      </c>
      <c r="I284" s="1000"/>
      <c r="J284" s="1000"/>
      <c r="K284" s="1001"/>
      <c r="L284" s="887">
        <v>0</v>
      </c>
      <c r="M284" s="887">
        <v>0</v>
      </c>
      <c r="N284" s="887">
        <v>0</v>
      </c>
      <c r="O284" s="887">
        <f t="shared" si="126"/>
        <v>0</v>
      </c>
      <c r="P284" s="887">
        <f t="shared" si="127"/>
        <v>0</v>
      </c>
      <c r="Q284" s="875"/>
      <c r="R284" s="875"/>
      <c r="S284" s="875"/>
      <c r="T284" s="875"/>
      <c r="U284" s="875"/>
      <c r="V284" s="875"/>
      <c r="W284" s="875"/>
      <c r="X284" s="875"/>
      <c r="Y284" s="875"/>
      <c r="Z284" s="875"/>
    </row>
    <row r="285" spans="1:26" ht="19.5" hidden="1">
      <c r="A285" s="993"/>
      <c r="B285" s="883"/>
      <c r="C285" s="999"/>
      <c r="D285" s="883"/>
      <c r="E285" s="884" t="s">
        <v>19</v>
      </c>
      <c r="F285" s="883"/>
      <c r="G285" s="994"/>
      <c r="H285" s="169" t="s">
        <v>12</v>
      </c>
      <c r="I285" s="1000"/>
      <c r="J285" s="1000"/>
      <c r="K285" s="1001"/>
      <c r="L285" s="887">
        <f ca="1">IFERROR(__xludf.DUMMYFUNCTION("IMPORTRANGE(""https://docs.google.com/spreadsheets/d/1MeEWN-I1oV_STSDYn1IFDPWt_1FKiwhDph83XaGc0o0/edit?usp=sharing"",""งบพรบ!DL77"")"),0)</f>
        <v>0</v>
      </c>
      <c r="M285" s="887">
        <f ca="1">IFERROR(__xludf.DUMMYFUNCTION("IMPORTRANGE(""https://docs.google.com/spreadsheets/d/1MeEWN-I1oV_STSDYn1IFDPWt_1FKiwhDph83XaGc0o0/edit?usp=sharing"",""งบพรบ!DO77"")"),0)</f>
        <v>0</v>
      </c>
      <c r="N285" s="887">
        <f ca="1">IFERROR(__xludf.DUMMYFUNCTION("IMPORTRANGE(""https://docs.google.com/spreadsheets/d/1MeEWN-I1oV_STSDYn1IFDPWt_1FKiwhDph83XaGc0o0/edit?usp=sharing"",""งบพรบ!DQ77"")"),0)</f>
        <v>0</v>
      </c>
      <c r="O285" s="887">
        <f t="shared" ca="1" si="126"/>
        <v>0</v>
      </c>
      <c r="P285" s="887">
        <f t="shared" ca="1" si="127"/>
        <v>0</v>
      </c>
      <c r="Q285" s="875"/>
      <c r="R285" s="875"/>
      <c r="S285" s="875"/>
      <c r="T285" s="875"/>
      <c r="U285" s="875"/>
      <c r="V285" s="875"/>
      <c r="W285" s="875"/>
      <c r="X285" s="875"/>
      <c r="Y285" s="875"/>
      <c r="Z285" s="875"/>
    </row>
    <row r="286" spans="1:26" ht="19.5" hidden="1">
      <c r="A286" s="1002"/>
      <c r="B286" s="1003"/>
      <c r="C286" s="999" t="s">
        <v>16</v>
      </c>
      <c r="D286" s="1004" t="s">
        <v>38</v>
      </c>
      <c r="E286" s="1005"/>
      <c r="F286" s="1005"/>
      <c r="G286" s="1006"/>
      <c r="H286" s="1007"/>
      <c r="I286" s="997"/>
      <c r="J286" s="997"/>
      <c r="K286" s="998"/>
      <c r="L286" s="998"/>
      <c r="M286" s="998"/>
      <c r="N286" s="998"/>
      <c r="O286" s="998"/>
      <c r="P286" s="998"/>
    </row>
    <row r="287" spans="1:26" ht="18.75" hidden="1">
      <c r="A287" s="1002"/>
      <c r="B287" s="1003"/>
      <c r="C287" s="1003"/>
      <c r="D287" s="1014" t="s">
        <v>129</v>
      </c>
      <c r="E287" s="1003"/>
      <c r="F287" s="1010"/>
      <c r="G287" s="1011"/>
      <c r="H287" s="185" t="s">
        <v>46</v>
      </c>
      <c r="I287" s="880">
        <f ca="1">IFERROR(__xludf.DUMMYFUNCTION("IMPORTRANGE(""https://docs.google.com/spreadsheets/d/1QqKyyYR6Q21VydFLVH3TRQUabQu_ym0Zz7PgGX0-kHA/edit?usp=sharing"",""แผน!EC77"")"),0)</f>
        <v>0</v>
      </c>
      <c r="J287" s="880">
        <v>0</v>
      </c>
      <c r="K287" s="998">
        <f t="shared" ref="K287:K288" ca="1" si="131">IF(I287&gt;0,J287*100/I287,0)</f>
        <v>0</v>
      </c>
      <c r="L287" s="998"/>
      <c r="M287" s="998"/>
      <c r="N287" s="998"/>
      <c r="O287" s="998"/>
      <c r="P287" s="998"/>
    </row>
    <row r="288" spans="1:26" ht="19.5" hidden="1">
      <c r="A288" s="1002"/>
      <c r="B288" s="1003"/>
      <c r="C288" s="1003"/>
      <c r="D288" s="1014" t="s">
        <v>130</v>
      </c>
      <c r="E288" s="1003"/>
      <c r="F288" s="1010"/>
      <c r="G288" s="1011"/>
      <c r="H288" s="180" t="s">
        <v>35</v>
      </c>
      <c r="I288" s="1019">
        <f ca="1">IFERROR(__xludf.DUMMYFUNCTION("IMPORTRANGE(""https://docs.google.com/spreadsheets/d/1QqKyyYR6Q21VydFLVH3TRQUabQu_ym0Zz7PgGX0-kHA/edit?usp=sharing"",""แผน!EB77"")"),0)</f>
        <v>0</v>
      </c>
      <c r="J288" s="1019">
        <f ca="1">IF(AND(J291&gt;=I288,J294&gt;=I288),J294,0)</f>
        <v>0</v>
      </c>
      <c r="K288" s="1162">
        <f t="shared" ca="1" si="131"/>
        <v>0</v>
      </c>
      <c r="L288" s="998"/>
      <c r="M288" s="998"/>
      <c r="N288" s="998"/>
      <c r="O288" s="998"/>
      <c r="P288" s="998"/>
    </row>
    <row r="289" spans="1:26" ht="19.5" hidden="1">
      <c r="A289" s="1002"/>
      <c r="B289" s="1003"/>
      <c r="C289" s="1003"/>
      <c r="D289" s="1163"/>
      <c r="E289" s="1164" t="s">
        <v>131</v>
      </c>
      <c r="F289" s="1010"/>
      <c r="G289" s="1011"/>
      <c r="H289" s="762"/>
      <c r="I289" s="997"/>
      <c r="J289" s="880"/>
      <c r="K289" s="998"/>
      <c r="L289" s="998"/>
      <c r="M289" s="998"/>
      <c r="N289" s="998"/>
      <c r="O289" s="998"/>
      <c r="P289" s="998"/>
    </row>
    <row r="290" spans="1:26" ht="19.5" hidden="1">
      <c r="A290" s="1002"/>
      <c r="B290" s="1003"/>
      <c r="C290" s="1003"/>
      <c r="D290" s="1163"/>
      <c r="E290" s="1014" t="s">
        <v>132</v>
      </c>
      <c r="F290" s="1010"/>
      <c r="G290" s="1011"/>
      <c r="H290" s="762" t="s">
        <v>35</v>
      </c>
      <c r="I290" s="997">
        <f ca="1">IFERROR(__xludf.DUMMYFUNCTION("IMPORTRANGE(""https://docs.google.com/spreadsheets/d/1QqKyyYR6Q21VydFLVH3TRQUabQu_ym0Zz7PgGX0-kHA/edit?usp=sharing"",""แผน!EB77"")"),0)</f>
        <v>0</v>
      </c>
      <c r="J290" s="1012">
        <v>0</v>
      </c>
      <c r="K290" s="998">
        <f t="shared" ref="K290:K291" ca="1" si="132">IF(I290&gt;0,J290*100/I290,0)</f>
        <v>0</v>
      </c>
      <c r="L290" s="998"/>
      <c r="M290" s="998"/>
      <c r="N290" s="998"/>
      <c r="O290" s="998"/>
      <c r="P290" s="998"/>
    </row>
    <row r="291" spans="1:26" ht="19.5" hidden="1">
      <c r="A291" s="1002"/>
      <c r="B291" s="1003"/>
      <c r="C291" s="1003"/>
      <c r="D291" s="1010"/>
      <c r="E291" s="1014" t="s">
        <v>338</v>
      </c>
      <c r="F291" s="1010"/>
      <c r="G291" s="1011"/>
      <c r="H291" s="762" t="s">
        <v>35</v>
      </c>
      <c r="I291" s="997">
        <f ca="1">IFERROR(__xludf.DUMMYFUNCTION("IMPORTRANGE(""https://docs.google.com/spreadsheets/d/1QqKyyYR6Q21VydFLVH3TRQUabQu_ym0Zz7PgGX0-kHA/edit?usp=sharing"",""แผน!EB77"")"),0)</f>
        <v>0</v>
      </c>
      <c r="J291" s="1012">
        <v>0</v>
      </c>
      <c r="K291" s="998">
        <f t="shared" ca="1" si="132"/>
        <v>0</v>
      </c>
      <c r="L291" s="998"/>
      <c r="M291" s="998"/>
      <c r="N291" s="998"/>
      <c r="O291" s="998"/>
      <c r="P291" s="998"/>
    </row>
    <row r="292" spans="1:26" ht="19.5" hidden="1">
      <c r="A292" s="1165"/>
      <c r="B292" s="1166"/>
      <c r="C292" s="1166"/>
      <c r="D292" s="1167"/>
      <c r="E292" s="1168" t="s">
        <v>134</v>
      </c>
      <c r="F292" s="1088"/>
      <c r="G292" s="1089"/>
      <c r="H292" s="419"/>
      <c r="I292" s="1082"/>
      <c r="J292" s="990"/>
      <c r="K292" s="1083"/>
      <c r="L292" s="1083"/>
      <c r="M292" s="1083"/>
      <c r="N292" s="1083"/>
      <c r="O292" s="1083"/>
      <c r="P292" s="1083"/>
    </row>
    <row r="293" spans="1:26" ht="19.5" hidden="1">
      <c r="A293" s="1002"/>
      <c r="B293" s="1003"/>
      <c r="C293" s="1003"/>
      <c r="D293" s="1163"/>
      <c r="E293" s="1014" t="s">
        <v>132</v>
      </c>
      <c r="F293" s="1010"/>
      <c r="G293" s="1011"/>
      <c r="H293" s="762" t="s">
        <v>35</v>
      </c>
      <c r="I293" s="997">
        <f ca="1">IFERROR(__xludf.DUMMYFUNCTION("IMPORTRANGE(""https://docs.google.com/spreadsheets/d/1QqKyyYR6Q21VydFLVH3TRQUabQu_ym0Zz7PgGX0-kHA/edit?usp=sharing"",""แผน!EB77"")"),0)</f>
        <v>0</v>
      </c>
      <c r="J293" s="1012">
        <v>0</v>
      </c>
      <c r="K293" s="998">
        <f t="shared" ref="K293:K294" ca="1" si="133">IF(I293&gt;0,J293*100/I293,0)</f>
        <v>0</v>
      </c>
      <c r="L293" s="998"/>
      <c r="M293" s="998"/>
      <c r="N293" s="998"/>
      <c r="O293" s="998"/>
      <c r="P293" s="998"/>
    </row>
    <row r="294" spans="1:26" ht="19.5" hidden="1">
      <c r="A294" s="1133"/>
      <c r="B294" s="1134"/>
      <c r="C294" s="1134"/>
      <c r="D294" s="1136"/>
      <c r="E294" s="1169" t="s">
        <v>338</v>
      </c>
      <c r="F294" s="1136"/>
      <c r="G294" s="1137"/>
      <c r="H294" s="423" t="s">
        <v>35</v>
      </c>
      <c r="I294" s="1170">
        <f ca="1">IFERROR(__xludf.DUMMYFUNCTION("IMPORTRANGE(""https://docs.google.com/spreadsheets/d/1QqKyyYR6Q21VydFLVH3TRQUabQu_ym0Zz7PgGX0-kHA/edit?usp=sharing"",""แผน!EB77"")"),0)</f>
        <v>0</v>
      </c>
      <c r="J294" s="1171">
        <v>0</v>
      </c>
      <c r="K294" s="1139">
        <f t="shared" ca="1" si="133"/>
        <v>0</v>
      </c>
      <c r="L294" s="1139"/>
      <c r="M294" s="1139"/>
      <c r="N294" s="1139"/>
      <c r="O294" s="1139"/>
      <c r="P294" s="1139"/>
    </row>
    <row r="295" spans="1:26" ht="19.5">
      <c r="A295" s="1172" t="s">
        <v>137</v>
      </c>
      <c r="B295" s="1173"/>
      <c r="C295" s="1173"/>
      <c r="D295" s="1173"/>
      <c r="E295" s="1174"/>
      <c r="F295" s="1174"/>
      <c r="G295" s="1175"/>
      <c r="H295" s="1176"/>
      <c r="I295" s="1177"/>
      <c r="J295" s="1177"/>
      <c r="K295" s="1178"/>
      <c r="L295" s="1178"/>
      <c r="M295" s="1178"/>
      <c r="N295" s="1178"/>
      <c r="O295" s="1178"/>
      <c r="P295" s="1178"/>
    </row>
    <row r="296" spans="1:26" ht="19.5" hidden="1">
      <c r="A296" s="1179" t="s">
        <v>138</v>
      </c>
      <c r="B296" s="1180"/>
      <c r="C296" s="1180"/>
      <c r="D296" s="1181"/>
      <c r="E296" s="1181"/>
      <c r="F296" s="1181"/>
      <c r="G296" s="1182"/>
      <c r="H296" s="1183"/>
      <c r="I296" s="1184"/>
      <c r="J296" s="1184"/>
      <c r="K296" s="1185"/>
      <c r="L296" s="1185"/>
      <c r="M296" s="1185"/>
      <c r="N296" s="1185"/>
      <c r="O296" s="1185"/>
      <c r="P296" s="1185"/>
    </row>
    <row r="297" spans="1:26" ht="19.5" hidden="1">
      <c r="A297" s="1186"/>
      <c r="B297" s="1187" t="s">
        <v>139</v>
      </c>
      <c r="C297" s="1188"/>
      <c r="D297" s="1188"/>
      <c r="E297" s="1188"/>
      <c r="F297" s="1188"/>
      <c r="G297" s="1189"/>
      <c r="H297" s="444" t="s">
        <v>35</v>
      </c>
      <c r="I297" s="1190">
        <f t="shared" ref="I297:J297" ca="1" si="134">I309</f>
        <v>0</v>
      </c>
      <c r="J297" s="1190">
        <f t="shared" si="134"/>
        <v>0</v>
      </c>
      <c r="K297" s="1191">
        <f ca="1">IF(I297&gt;0,J297*100/I297,0)</f>
        <v>0</v>
      </c>
      <c r="L297" s="1192"/>
      <c r="M297" s="1192"/>
      <c r="N297" s="1192"/>
      <c r="O297" s="1192"/>
      <c r="P297" s="1192"/>
    </row>
    <row r="298" spans="1:26" ht="19.5" hidden="1">
      <c r="A298" s="985"/>
      <c r="B298" s="986"/>
      <c r="C298" s="987" t="s">
        <v>16</v>
      </c>
      <c r="D298" s="988" t="s">
        <v>17</v>
      </c>
      <c r="E298" s="986"/>
      <c r="F298" s="986"/>
      <c r="G298" s="989"/>
      <c r="H298" s="152" t="s">
        <v>12</v>
      </c>
      <c r="I298" s="990"/>
      <c r="J298" s="990"/>
      <c r="K298" s="991"/>
      <c r="L298" s="992">
        <f t="shared" ref="L298:N298" ca="1" si="135">L299+L300</f>
        <v>0</v>
      </c>
      <c r="M298" s="992">
        <f t="shared" ca="1" si="135"/>
        <v>0</v>
      </c>
      <c r="N298" s="992">
        <f t="shared" ca="1" si="135"/>
        <v>0</v>
      </c>
      <c r="O298" s="992">
        <f t="shared" ref="O298:O306" ca="1" si="136">IF(L298&gt;0,N298*100/L298,0)</f>
        <v>0</v>
      </c>
      <c r="P298" s="992">
        <f t="shared" ref="P298:P306" ca="1" si="137">IF(M298&gt;0,N298*100/M298,0)</f>
        <v>0</v>
      </c>
      <c r="Q298" s="868"/>
      <c r="R298" s="868"/>
      <c r="S298" s="868"/>
      <c r="T298" s="868"/>
      <c r="U298" s="868"/>
      <c r="V298" s="868"/>
      <c r="W298" s="868"/>
      <c r="X298" s="868"/>
      <c r="Y298" s="868"/>
      <c r="Z298" s="868"/>
    </row>
    <row r="299" spans="1:26" ht="18.75" hidden="1">
      <c r="A299" s="993"/>
      <c r="B299" s="883"/>
      <c r="C299" s="883"/>
      <c r="D299" s="883"/>
      <c r="E299" s="884" t="s">
        <v>18</v>
      </c>
      <c r="F299" s="883"/>
      <c r="G299" s="994"/>
      <c r="H299" s="158" t="s">
        <v>12</v>
      </c>
      <c r="I299" s="886"/>
      <c r="J299" s="886"/>
      <c r="K299" s="887"/>
      <c r="L299" s="887">
        <f t="shared" ref="L299:N300" si="138">L302+L305</f>
        <v>0</v>
      </c>
      <c r="M299" s="887">
        <f t="shared" si="138"/>
        <v>0</v>
      </c>
      <c r="N299" s="887">
        <f t="shared" si="138"/>
        <v>0</v>
      </c>
      <c r="O299" s="887">
        <f t="shared" si="136"/>
        <v>0</v>
      </c>
      <c r="P299" s="887">
        <f t="shared" si="137"/>
        <v>0</v>
      </c>
      <c r="Q299" s="875"/>
      <c r="R299" s="875"/>
      <c r="S299" s="875"/>
      <c r="T299" s="875"/>
      <c r="U299" s="875"/>
      <c r="V299" s="875"/>
      <c r="W299" s="875"/>
      <c r="X299" s="875"/>
      <c r="Y299" s="875"/>
      <c r="Z299" s="875"/>
    </row>
    <row r="300" spans="1:26" ht="18.75" hidden="1">
      <c r="A300" s="993"/>
      <c r="B300" s="883"/>
      <c r="C300" s="883"/>
      <c r="D300" s="883"/>
      <c r="E300" s="884" t="s">
        <v>19</v>
      </c>
      <c r="F300" s="883"/>
      <c r="G300" s="994"/>
      <c r="H300" s="158" t="s">
        <v>12</v>
      </c>
      <c r="I300" s="886"/>
      <c r="J300" s="886"/>
      <c r="K300" s="887"/>
      <c r="L300" s="887">
        <f t="shared" ca="1" si="138"/>
        <v>0</v>
      </c>
      <c r="M300" s="887">
        <f t="shared" ca="1" si="138"/>
        <v>0</v>
      </c>
      <c r="N300" s="887">
        <f t="shared" ca="1" si="138"/>
        <v>0</v>
      </c>
      <c r="O300" s="887">
        <f t="shared" ca="1" si="136"/>
        <v>0</v>
      </c>
      <c r="P300" s="887">
        <f t="shared" ca="1" si="137"/>
        <v>0</v>
      </c>
      <c r="Q300" s="875"/>
      <c r="R300" s="875"/>
      <c r="S300" s="875"/>
      <c r="T300" s="875"/>
      <c r="U300" s="875"/>
      <c r="V300" s="875"/>
      <c r="W300" s="875"/>
      <c r="X300" s="875"/>
      <c r="Y300" s="875"/>
      <c r="Z300" s="875"/>
    </row>
    <row r="301" spans="1:26" ht="18.75" hidden="1">
      <c r="A301" s="995"/>
      <c r="B301" s="877"/>
      <c r="C301" s="996"/>
      <c r="D301" s="878" t="s">
        <v>20</v>
      </c>
      <c r="E301" s="877"/>
      <c r="F301" s="877"/>
      <c r="G301" s="879"/>
      <c r="H301" s="161" t="s">
        <v>12</v>
      </c>
      <c r="I301" s="997"/>
      <c r="J301" s="997"/>
      <c r="K301" s="998"/>
      <c r="L301" s="881">
        <f t="shared" ref="L301:N301" ca="1" si="139">L302+L303</f>
        <v>0</v>
      </c>
      <c r="M301" s="881">
        <f t="shared" ca="1" si="139"/>
        <v>0</v>
      </c>
      <c r="N301" s="881">
        <f t="shared" ca="1" si="139"/>
        <v>0</v>
      </c>
      <c r="O301" s="881">
        <f t="shared" ca="1" si="136"/>
        <v>0</v>
      </c>
      <c r="P301" s="881">
        <f t="shared" ca="1" si="137"/>
        <v>0</v>
      </c>
      <c r="Q301" s="868"/>
      <c r="R301" s="868"/>
      <c r="S301" s="868"/>
      <c r="T301" s="868"/>
      <c r="U301" s="868"/>
      <c r="V301" s="868"/>
      <c r="W301" s="868"/>
      <c r="X301" s="868"/>
      <c r="Y301" s="868"/>
      <c r="Z301" s="868"/>
    </row>
    <row r="302" spans="1:26" ht="19.5" hidden="1">
      <c r="A302" s="993"/>
      <c r="B302" s="883"/>
      <c r="C302" s="999"/>
      <c r="D302" s="883"/>
      <c r="E302" s="884" t="s">
        <v>36</v>
      </c>
      <c r="F302" s="883"/>
      <c r="G302" s="994"/>
      <c r="H302" s="165" t="s">
        <v>12</v>
      </c>
      <c r="I302" s="1000"/>
      <c r="J302" s="1000"/>
      <c r="K302" s="1001"/>
      <c r="L302" s="887">
        <v>0</v>
      </c>
      <c r="M302" s="887">
        <v>0</v>
      </c>
      <c r="N302" s="887">
        <v>0</v>
      </c>
      <c r="O302" s="887">
        <f t="shared" si="136"/>
        <v>0</v>
      </c>
      <c r="P302" s="887">
        <f t="shared" si="137"/>
        <v>0</v>
      </c>
      <c r="Q302" s="875"/>
      <c r="R302" s="875"/>
      <c r="S302" s="875"/>
      <c r="T302" s="875"/>
      <c r="U302" s="875"/>
      <c r="V302" s="875"/>
      <c r="W302" s="875"/>
      <c r="X302" s="875"/>
      <c r="Y302" s="875"/>
      <c r="Z302" s="875"/>
    </row>
    <row r="303" spans="1:26" ht="19.5" hidden="1">
      <c r="A303" s="993"/>
      <c r="B303" s="883"/>
      <c r="C303" s="999"/>
      <c r="D303" s="883"/>
      <c r="E303" s="884" t="s">
        <v>37</v>
      </c>
      <c r="F303" s="883"/>
      <c r="G303" s="994"/>
      <c r="H303" s="165" t="s">
        <v>12</v>
      </c>
      <c r="I303" s="1000"/>
      <c r="J303" s="1000"/>
      <c r="K303" s="1001"/>
      <c r="L303" s="887">
        <f ca="1">IFERROR(__xludf.DUMMYFUNCTION("IMPORTRANGE(""https://docs.google.com/spreadsheets/d/1MeEWN-I1oV_STSDYn1IFDPWt_1FKiwhDph83XaGc0o0/edit?usp=sharing"",""งบพรบ!DS77"")"),0)</f>
        <v>0</v>
      </c>
      <c r="M303" s="887">
        <f ca="1">IFERROR(__xludf.DUMMYFUNCTION("IMPORTRANGE(""https://docs.google.com/spreadsheets/d/1MeEWN-I1oV_STSDYn1IFDPWt_1FKiwhDph83XaGc0o0/edit?usp=sharing"",""งบพรบ!DX77"")"),0)</f>
        <v>0</v>
      </c>
      <c r="N303" s="887">
        <f ca="1">IFERROR(__xludf.DUMMYFUNCTION("IMPORTRANGE(""https://docs.google.com/spreadsheets/d/1MeEWN-I1oV_STSDYn1IFDPWt_1FKiwhDph83XaGc0o0/edit?usp=sharing"",""งบพรบ!DZ77"")"),0)</f>
        <v>0</v>
      </c>
      <c r="O303" s="887">
        <f t="shared" ca="1" si="136"/>
        <v>0</v>
      </c>
      <c r="P303" s="887">
        <f t="shared" ca="1" si="137"/>
        <v>0</v>
      </c>
      <c r="Q303" s="875"/>
      <c r="R303" s="875"/>
      <c r="S303" s="875"/>
      <c r="T303" s="875"/>
      <c r="U303" s="875"/>
      <c r="V303" s="875"/>
      <c r="W303" s="875"/>
      <c r="X303" s="875"/>
      <c r="Y303" s="875"/>
      <c r="Z303" s="875"/>
    </row>
    <row r="304" spans="1:26" ht="18.75" hidden="1">
      <c r="A304" s="995"/>
      <c r="B304" s="877"/>
      <c r="C304" s="996"/>
      <c r="D304" s="878" t="s">
        <v>21</v>
      </c>
      <c r="E304" s="877"/>
      <c r="F304" s="877"/>
      <c r="G304" s="879"/>
      <c r="H304" s="168" t="s">
        <v>12</v>
      </c>
      <c r="I304" s="997"/>
      <c r="J304" s="997"/>
      <c r="K304" s="998"/>
      <c r="L304" s="881">
        <f t="shared" ref="L304:N304" ca="1" si="140">L305+L306</f>
        <v>0</v>
      </c>
      <c r="M304" s="881">
        <f t="shared" ca="1" si="140"/>
        <v>0</v>
      </c>
      <c r="N304" s="881">
        <f t="shared" ca="1" si="140"/>
        <v>0</v>
      </c>
      <c r="O304" s="881">
        <f t="shared" ca="1" si="136"/>
        <v>0</v>
      </c>
      <c r="P304" s="881">
        <f t="shared" ca="1" si="137"/>
        <v>0</v>
      </c>
      <c r="Q304" s="868"/>
      <c r="R304" s="868"/>
      <c r="S304" s="868"/>
      <c r="T304" s="868"/>
      <c r="U304" s="868"/>
      <c r="V304" s="868"/>
      <c r="W304" s="868"/>
      <c r="X304" s="868"/>
      <c r="Y304" s="868"/>
      <c r="Z304" s="868"/>
    </row>
    <row r="305" spans="1:26" ht="19.5" hidden="1">
      <c r="A305" s="993"/>
      <c r="B305" s="883"/>
      <c r="C305" s="999"/>
      <c r="D305" s="883"/>
      <c r="E305" s="884" t="s">
        <v>18</v>
      </c>
      <c r="F305" s="883"/>
      <c r="G305" s="994"/>
      <c r="H305" s="165" t="s">
        <v>12</v>
      </c>
      <c r="I305" s="1000"/>
      <c r="J305" s="1000"/>
      <c r="K305" s="1001"/>
      <c r="L305" s="887">
        <v>0</v>
      </c>
      <c r="M305" s="887">
        <v>0</v>
      </c>
      <c r="N305" s="887">
        <v>0</v>
      </c>
      <c r="O305" s="887">
        <f t="shared" si="136"/>
        <v>0</v>
      </c>
      <c r="P305" s="887">
        <f t="shared" si="137"/>
        <v>0</v>
      </c>
      <c r="Q305" s="875"/>
      <c r="R305" s="875"/>
      <c r="S305" s="875"/>
      <c r="T305" s="875"/>
      <c r="U305" s="875"/>
      <c r="V305" s="875"/>
      <c r="W305" s="875"/>
      <c r="X305" s="875"/>
      <c r="Y305" s="875"/>
      <c r="Z305" s="875"/>
    </row>
    <row r="306" spans="1:26" ht="19.5" hidden="1">
      <c r="A306" s="993"/>
      <c r="B306" s="883"/>
      <c r="C306" s="999"/>
      <c r="D306" s="883"/>
      <c r="E306" s="884" t="s">
        <v>19</v>
      </c>
      <c r="F306" s="883"/>
      <c r="G306" s="994"/>
      <c r="H306" s="169" t="s">
        <v>12</v>
      </c>
      <c r="I306" s="1000"/>
      <c r="J306" s="1000"/>
      <c r="K306" s="1001"/>
      <c r="L306" s="887">
        <f ca="1">IFERROR(__xludf.DUMMYFUNCTION("IMPORTRANGE(""https://docs.google.com/spreadsheets/d/1MeEWN-I1oV_STSDYn1IFDPWt_1FKiwhDph83XaGc0o0/edit?usp=sharing"",""งบพรบ!DV77"")"),0)</f>
        <v>0</v>
      </c>
      <c r="M306" s="887">
        <f ca="1">IFERROR(__xludf.DUMMYFUNCTION("IMPORTRANGE(""https://docs.google.com/spreadsheets/d/1MeEWN-I1oV_STSDYn1IFDPWt_1FKiwhDph83XaGc0o0/edit?usp=sharing"",""งบพรบ!DY77"")"),0)</f>
        <v>0</v>
      </c>
      <c r="N306" s="887">
        <f ca="1">IFERROR(__xludf.DUMMYFUNCTION("IMPORTRANGE(""https://docs.google.com/spreadsheets/d/1MeEWN-I1oV_STSDYn1IFDPWt_1FKiwhDph83XaGc0o0/edit?usp=sharing"",""งบพรบ!EA77"")"),0)</f>
        <v>0</v>
      </c>
      <c r="O306" s="887">
        <f t="shared" ca="1" si="136"/>
        <v>0</v>
      </c>
      <c r="P306" s="887">
        <f t="shared" ca="1" si="137"/>
        <v>0</v>
      </c>
      <c r="Q306" s="875"/>
      <c r="R306" s="875"/>
      <c r="S306" s="875"/>
      <c r="T306" s="875"/>
      <c r="U306" s="875"/>
      <c r="V306" s="875"/>
      <c r="W306" s="875"/>
      <c r="X306" s="875"/>
      <c r="Y306" s="875"/>
      <c r="Z306" s="875"/>
    </row>
    <row r="307" spans="1:26" ht="19.5" hidden="1">
      <c r="A307" s="1002"/>
      <c r="B307" s="1003"/>
      <c r="C307" s="999" t="s">
        <v>16</v>
      </c>
      <c r="D307" s="1004" t="s">
        <v>38</v>
      </c>
      <c r="E307" s="1005"/>
      <c r="F307" s="1005"/>
      <c r="G307" s="1006"/>
      <c r="H307" s="1007"/>
      <c r="I307" s="880"/>
      <c r="J307" s="880"/>
      <c r="K307" s="881"/>
      <c r="L307" s="881"/>
      <c r="M307" s="881"/>
      <c r="N307" s="881"/>
      <c r="O307" s="881"/>
      <c r="P307" s="881"/>
    </row>
    <row r="308" spans="1:26" ht="18.75" hidden="1">
      <c r="A308" s="1002"/>
      <c r="B308" s="1003"/>
      <c r="C308" s="1003"/>
      <c r="D308" s="1009" t="s">
        <v>140</v>
      </c>
      <c r="E308" s="1009"/>
      <c r="F308" s="1009"/>
      <c r="G308" s="1011"/>
      <c r="H308" s="762"/>
      <c r="I308" s="880"/>
      <c r="J308" s="1012">
        <v>0</v>
      </c>
      <c r="K308" s="881"/>
      <c r="L308" s="881"/>
      <c r="M308" s="881"/>
      <c r="N308" s="881"/>
      <c r="O308" s="881"/>
      <c r="P308" s="881"/>
    </row>
    <row r="309" spans="1:26" ht="18.75" hidden="1">
      <c r="A309" s="1002"/>
      <c r="B309" s="1003"/>
      <c r="C309" s="1003"/>
      <c r="D309" s="1009" t="s">
        <v>141</v>
      </c>
      <c r="E309" s="1009"/>
      <c r="F309" s="1009"/>
      <c r="G309" s="1011"/>
      <c r="H309" s="762" t="s">
        <v>35</v>
      </c>
      <c r="I309" s="880">
        <f ca="1">IFERROR(__xludf.DUMMYFUNCTION("IMPORTRANGE(""https://docs.google.com/spreadsheets/d/1QqKyyYR6Q21VydFLVH3TRQUabQu_ym0Zz7PgGX0-kHA/edit?usp=sharing"",""แผน!ED77"")"),0)</f>
        <v>0</v>
      </c>
      <c r="J309" s="1012">
        <v>0</v>
      </c>
      <c r="K309" s="881">
        <f t="shared" ref="K309:K312" ca="1" si="141">IF(I309&gt;0,J309*100/I309,0)</f>
        <v>0</v>
      </c>
      <c r="L309" s="881"/>
      <c r="M309" s="881"/>
      <c r="N309" s="881"/>
      <c r="O309" s="881"/>
      <c r="P309" s="881"/>
    </row>
    <row r="310" spans="1:26" ht="18.75" hidden="1">
      <c r="A310" s="1002"/>
      <c r="B310" s="1003"/>
      <c r="C310" s="1003"/>
      <c r="D310" s="1009" t="s">
        <v>142</v>
      </c>
      <c r="E310" s="1009"/>
      <c r="F310" s="1009"/>
      <c r="G310" s="1011"/>
      <c r="H310" s="762" t="s">
        <v>35</v>
      </c>
      <c r="I310" s="880">
        <f ca="1">IFERROR(__xludf.DUMMYFUNCTION("IMPORTRANGE(""https://docs.google.com/spreadsheets/d/1QqKyyYR6Q21VydFLVH3TRQUabQu_ym0Zz7PgGX0-kHA/edit?usp=sharing"",""แผน!ED77"")"),0)</f>
        <v>0</v>
      </c>
      <c r="J310" s="1012">
        <v>0</v>
      </c>
      <c r="K310" s="881">
        <f t="shared" ca="1" si="141"/>
        <v>0</v>
      </c>
      <c r="L310" s="881"/>
      <c r="M310" s="881"/>
      <c r="N310" s="881"/>
      <c r="O310" s="881"/>
      <c r="P310" s="881"/>
    </row>
    <row r="311" spans="1:26" ht="18.75" hidden="1">
      <c r="A311" s="1002"/>
      <c r="B311" s="1003"/>
      <c r="C311" s="1003"/>
      <c r="D311" s="1009" t="s">
        <v>59</v>
      </c>
      <c r="E311" s="1009"/>
      <c r="F311" s="1009"/>
      <c r="G311" s="1011"/>
      <c r="H311" s="762" t="s">
        <v>35</v>
      </c>
      <c r="I311" s="880">
        <f ca="1">IFERROR(__xludf.DUMMYFUNCTION("IMPORTRANGE(""https://docs.google.com/spreadsheets/d/1QqKyyYR6Q21VydFLVH3TRQUabQu_ym0Zz7PgGX0-kHA/edit?usp=sharing"",""แผน!ED77"")"),0)</f>
        <v>0</v>
      </c>
      <c r="J311" s="1012">
        <v>0</v>
      </c>
      <c r="K311" s="881">
        <f t="shared" ca="1" si="141"/>
        <v>0</v>
      </c>
      <c r="L311" s="881"/>
      <c r="M311" s="881"/>
      <c r="N311" s="881"/>
      <c r="O311" s="881"/>
      <c r="P311" s="881"/>
    </row>
    <row r="312" spans="1:26" ht="18.75" hidden="1">
      <c r="A312" s="1002"/>
      <c r="B312" s="1003"/>
      <c r="C312" s="1003"/>
      <c r="D312" s="1009" t="s">
        <v>143</v>
      </c>
      <c r="E312" s="1009"/>
      <c r="F312" s="1009"/>
      <c r="G312" s="1011"/>
      <c r="H312" s="762" t="s">
        <v>35</v>
      </c>
      <c r="I312" s="880">
        <f ca="1">IFERROR(__xludf.DUMMYFUNCTION("IMPORTRANGE(""https://docs.google.com/spreadsheets/d/1QqKyyYR6Q21VydFLVH3TRQUabQu_ym0Zz7PgGX0-kHA/edit?usp=sharing"",""แผน!EE77"")"),0)</f>
        <v>0</v>
      </c>
      <c r="J312" s="1012">
        <v>0</v>
      </c>
      <c r="K312" s="881">
        <f t="shared" ca="1" si="141"/>
        <v>0</v>
      </c>
      <c r="L312" s="881"/>
      <c r="M312" s="881"/>
      <c r="N312" s="881"/>
      <c r="O312" s="881"/>
      <c r="P312" s="881"/>
    </row>
    <row r="313" spans="1:26" ht="19.5" hidden="1">
      <c r="A313" s="1179" t="s">
        <v>144</v>
      </c>
      <c r="B313" s="1180"/>
      <c r="C313" s="1180"/>
      <c r="D313" s="1181"/>
      <c r="E313" s="1180"/>
      <c r="F313" s="1180"/>
      <c r="G313" s="1180"/>
      <c r="H313" s="1193"/>
      <c r="I313" s="1184"/>
      <c r="J313" s="1184"/>
      <c r="K313" s="1185"/>
      <c r="L313" s="1185"/>
      <c r="M313" s="1185"/>
      <c r="N313" s="1185"/>
      <c r="O313" s="1185"/>
      <c r="P313" s="1185"/>
    </row>
    <row r="314" spans="1:26" ht="19.5" hidden="1">
      <c r="A314" s="1194"/>
      <c r="B314" s="1187" t="s">
        <v>145</v>
      </c>
      <c r="C314" s="1195"/>
      <c r="D314" s="1196"/>
      <c r="E314" s="1188"/>
      <c r="F314" s="1188"/>
      <c r="G314" s="1189"/>
      <c r="H314" s="444" t="s">
        <v>146</v>
      </c>
      <c r="I314" s="1190">
        <f t="shared" ref="I314:J314" ca="1" si="142">I325</f>
        <v>0</v>
      </c>
      <c r="J314" s="1190">
        <f t="shared" si="142"/>
        <v>0</v>
      </c>
      <c r="K314" s="1191">
        <f ca="1">IF(I314&gt;0,J314*100/I314,0)</f>
        <v>0</v>
      </c>
      <c r="L314" s="1192"/>
      <c r="M314" s="1192"/>
      <c r="N314" s="1192"/>
      <c r="O314" s="1192"/>
      <c r="P314" s="1192"/>
    </row>
    <row r="315" spans="1:26" ht="19.5" hidden="1">
      <c r="A315" s="985"/>
      <c r="B315" s="986"/>
      <c r="C315" s="987" t="s">
        <v>16</v>
      </c>
      <c r="D315" s="988" t="s">
        <v>17</v>
      </c>
      <c r="E315" s="986"/>
      <c r="F315" s="986"/>
      <c r="G315" s="989"/>
      <c r="H315" s="152" t="s">
        <v>12</v>
      </c>
      <c r="I315" s="990"/>
      <c r="J315" s="990"/>
      <c r="K315" s="991"/>
      <c r="L315" s="992">
        <f t="shared" ref="L315:N315" ca="1" si="143">L316+L317</f>
        <v>0</v>
      </c>
      <c r="M315" s="992">
        <f t="shared" ca="1" si="143"/>
        <v>0</v>
      </c>
      <c r="N315" s="992">
        <f t="shared" ca="1" si="143"/>
        <v>0</v>
      </c>
      <c r="O315" s="992">
        <f t="shared" ref="O315:O323" ca="1" si="144">IF(L315&gt;0,N315*100/L315,0)</f>
        <v>0</v>
      </c>
      <c r="P315" s="992">
        <f t="shared" ref="P315:P323" ca="1" si="145">IF(M315&gt;0,N315*100/M315,0)</f>
        <v>0</v>
      </c>
      <c r="Q315" s="868"/>
      <c r="R315" s="868"/>
      <c r="S315" s="868"/>
      <c r="T315" s="868"/>
      <c r="U315" s="868"/>
      <c r="V315" s="868"/>
      <c r="W315" s="868"/>
      <c r="X315" s="868"/>
      <c r="Y315" s="868"/>
      <c r="Z315" s="868"/>
    </row>
    <row r="316" spans="1:26" ht="18.75" hidden="1">
      <c r="A316" s="993"/>
      <c r="B316" s="883"/>
      <c r="C316" s="883"/>
      <c r="D316" s="883"/>
      <c r="E316" s="884" t="s">
        <v>18</v>
      </c>
      <c r="F316" s="883"/>
      <c r="G316" s="994"/>
      <c r="H316" s="158" t="s">
        <v>12</v>
      </c>
      <c r="I316" s="886"/>
      <c r="J316" s="886"/>
      <c r="K316" s="887"/>
      <c r="L316" s="887">
        <f t="shared" ref="L316:N317" si="146">L319+L322</f>
        <v>0</v>
      </c>
      <c r="M316" s="887">
        <f t="shared" si="146"/>
        <v>0</v>
      </c>
      <c r="N316" s="887">
        <f t="shared" si="146"/>
        <v>0</v>
      </c>
      <c r="O316" s="887">
        <f t="shared" si="144"/>
        <v>0</v>
      </c>
      <c r="P316" s="887">
        <f t="shared" si="145"/>
        <v>0</v>
      </c>
      <c r="Q316" s="875"/>
      <c r="R316" s="875"/>
      <c r="S316" s="875"/>
      <c r="T316" s="875"/>
      <c r="U316" s="875"/>
      <c r="V316" s="875"/>
      <c r="W316" s="875"/>
      <c r="X316" s="875"/>
      <c r="Y316" s="875"/>
      <c r="Z316" s="875"/>
    </row>
    <row r="317" spans="1:26" ht="18.75" hidden="1">
      <c r="A317" s="993"/>
      <c r="B317" s="883"/>
      <c r="C317" s="883"/>
      <c r="D317" s="883"/>
      <c r="E317" s="884" t="s">
        <v>19</v>
      </c>
      <c r="F317" s="883"/>
      <c r="G317" s="994"/>
      <c r="H317" s="158" t="s">
        <v>12</v>
      </c>
      <c r="I317" s="886"/>
      <c r="J317" s="886"/>
      <c r="K317" s="887"/>
      <c r="L317" s="887">
        <f t="shared" ca="1" si="146"/>
        <v>0</v>
      </c>
      <c r="M317" s="887">
        <f t="shared" ca="1" si="146"/>
        <v>0</v>
      </c>
      <c r="N317" s="887">
        <f t="shared" ca="1" si="146"/>
        <v>0</v>
      </c>
      <c r="O317" s="887">
        <f t="shared" ca="1" si="144"/>
        <v>0</v>
      </c>
      <c r="P317" s="887">
        <f t="shared" ca="1" si="145"/>
        <v>0</v>
      </c>
      <c r="Q317" s="875"/>
      <c r="R317" s="875"/>
      <c r="S317" s="875"/>
      <c r="T317" s="875"/>
      <c r="U317" s="875"/>
      <c r="V317" s="875"/>
      <c r="W317" s="875"/>
      <c r="X317" s="875"/>
      <c r="Y317" s="875"/>
      <c r="Z317" s="875"/>
    </row>
    <row r="318" spans="1:26" ht="18.75" hidden="1">
      <c r="A318" s="995"/>
      <c r="B318" s="877"/>
      <c r="C318" s="996"/>
      <c r="D318" s="878" t="s">
        <v>20</v>
      </c>
      <c r="E318" s="877"/>
      <c r="F318" s="877"/>
      <c r="G318" s="879"/>
      <c r="H318" s="161" t="s">
        <v>12</v>
      </c>
      <c r="I318" s="997"/>
      <c r="J318" s="997"/>
      <c r="K318" s="998"/>
      <c r="L318" s="881">
        <f t="shared" ref="L318:N318" ca="1" si="147">L319+L320</f>
        <v>0</v>
      </c>
      <c r="M318" s="881">
        <f t="shared" ca="1" si="147"/>
        <v>0</v>
      </c>
      <c r="N318" s="881">
        <f t="shared" ca="1" si="147"/>
        <v>0</v>
      </c>
      <c r="O318" s="881">
        <f t="shared" ca="1" si="144"/>
        <v>0</v>
      </c>
      <c r="P318" s="881">
        <f t="shared" ca="1" si="145"/>
        <v>0</v>
      </c>
      <c r="Q318" s="868"/>
      <c r="R318" s="868"/>
      <c r="S318" s="868"/>
      <c r="T318" s="868"/>
      <c r="U318" s="868"/>
      <c r="V318" s="868"/>
      <c r="W318" s="868"/>
      <c r="X318" s="868"/>
      <c r="Y318" s="868"/>
      <c r="Z318" s="868"/>
    </row>
    <row r="319" spans="1:26" ht="19.5" hidden="1">
      <c r="A319" s="993"/>
      <c r="B319" s="883"/>
      <c r="C319" s="999"/>
      <c r="D319" s="883"/>
      <c r="E319" s="884" t="s">
        <v>36</v>
      </c>
      <c r="F319" s="883"/>
      <c r="G319" s="994"/>
      <c r="H319" s="165" t="s">
        <v>12</v>
      </c>
      <c r="I319" s="1000"/>
      <c r="J319" s="1000"/>
      <c r="K319" s="1001"/>
      <c r="L319" s="887">
        <v>0</v>
      </c>
      <c r="M319" s="887">
        <v>0</v>
      </c>
      <c r="N319" s="887">
        <v>0</v>
      </c>
      <c r="O319" s="887">
        <f t="shared" si="144"/>
        <v>0</v>
      </c>
      <c r="P319" s="887">
        <f t="shared" si="145"/>
        <v>0</v>
      </c>
      <c r="Q319" s="875"/>
      <c r="R319" s="875"/>
      <c r="S319" s="875"/>
      <c r="T319" s="875"/>
      <c r="U319" s="875"/>
      <c r="V319" s="875"/>
      <c r="W319" s="875"/>
      <c r="X319" s="875"/>
      <c r="Y319" s="875"/>
      <c r="Z319" s="875"/>
    </row>
    <row r="320" spans="1:26" ht="19.5" hidden="1">
      <c r="A320" s="993"/>
      <c r="B320" s="883"/>
      <c r="C320" s="999"/>
      <c r="D320" s="883"/>
      <c r="E320" s="884" t="s">
        <v>37</v>
      </c>
      <c r="F320" s="883"/>
      <c r="G320" s="994"/>
      <c r="H320" s="165" t="s">
        <v>12</v>
      </c>
      <c r="I320" s="1000"/>
      <c r="J320" s="1000"/>
      <c r="K320" s="1001"/>
      <c r="L320" s="887">
        <f ca="1">IFERROR(__xludf.DUMMYFUNCTION("IMPORTRANGE(""https://docs.google.com/spreadsheets/d/1MeEWN-I1oV_STSDYn1IFDPWt_1FKiwhDph83XaGc0o0/edit?usp=sharing"",""งบพรบ!EC77"")"),0)</f>
        <v>0</v>
      </c>
      <c r="M320" s="887">
        <f ca="1">IFERROR(__xludf.DUMMYFUNCTION("IMPORTRANGE(""https://docs.google.com/spreadsheets/d/1MeEWN-I1oV_STSDYn1IFDPWt_1FKiwhDph83XaGc0o0/edit?usp=sharing"",""งบพรบ!EH77"")"),0)</f>
        <v>0</v>
      </c>
      <c r="N320" s="887">
        <f ca="1">IFERROR(__xludf.DUMMYFUNCTION("IMPORTRANGE(""https://docs.google.com/spreadsheets/d/1MeEWN-I1oV_STSDYn1IFDPWt_1FKiwhDph83XaGc0o0/edit?usp=sharing"",""งบพรบ!EJ77"")"),0)</f>
        <v>0</v>
      </c>
      <c r="O320" s="887">
        <f t="shared" ca="1" si="144"/>
        <v>0</v>
      </c>
      <c r="P320" s="887">
        <f t="shared" ca="1" si="145"/>
        <v>0</v>
      </c>
      <c r="Q320" s="875"/>
      <c r="R320" s="875"/>
      <c r="S320" s="875"/>
      <c r="T320" s="875"/>
      <c r="U320" s="875"/>
      <c r="V320" s="875"/>
      <c r="W320" s="875"/>
      <c r="X320" s="875"/>
      <c r="Y320" s="875"/>
      <c r="Z320" s="875"/>
    </row>
    <row r="321" spans="1:26" ht="18.75" hidden="1">
      <c r="A321" s="995"/>
      <c r="B321" s="877"/>
      <c r="C321" s="996"/>
      <c r="D321" s="878" t="s">
        <v>21</v>
      </c>
      <c r="E321" s="877"/>
      <c r="F321" s="877"/>
      <c r="G321" s="879"/>
      <c r="H321" s="168" t="s">
        <v>12</v>
      </c>
      <c r="I321" s="997"/>
      <c r="J321" s="997"/>
      <c r="K321" s="998"/>
      <c r="L321" s="881">
        <f t="shared" ref="L321:N321" ca="1" si="148">L322+L323</f>
        <v>0</v>
      </c>
      <c r="M321" s="881">
        <f t="shared" ca="1" si="148"/>
        <v>0</v>
      </c>
      <c r="N321" s="881">
        <f t="shared" ca="1" si="148"/>
        <v>0</v>
      </c>
      <c r="O321" s="881">
        <f t="shared" ca="1" si="144"/>
        <v>0</v>
      </c>
      <c r="P321" s="881">
        <f t="shared" ca="1" si="145"/>
        <v>0</v>
      </c>
      <c r="Q321" s="868"/>
      <c r="R321" s="868"/>
      <c r="S321" s="868"/>
      <c r="T321" s="868"/>
      <c r="U321" s="868"/>
      <c r="V321" s="868"/>
      <c r="W321" s="868"/>
      <c r="X321" s="868"/>
      <c r="Y321" s="868"/>
      <c r="Z321" s="868"/>
    </row>
    <row r="322" spans="1:26" ht="19.5" hidden="1">
      <c r="A322" s="993"/>
      <c r="B322" s="883"/>
      <c r="C322" s="999"/>
      <c r="D322" s="883"/>
      <c r="E322" s="884" t="s">
        <v>18</v>
      </c>
      <c r="F322" s="883"/>
      <c r="G322" s="994"/>
      <c r="H322" s="165" t="s">
        <v>12</v>
      </c>
      <c r="I322" s="1000"/>
      <c r="J322" s="1000"/>
      <c r="K322" s="1001"/>
      <c r="L322" s="887">
        <v>0</v>
      </c>
      <c r="M322" s="887">
        <v>0</v>
      </c>
      <c r="N322" s="887">
        <v>0</v>
      </c>
      <c r="O322" s="887">
        <f t="shared" si="144"/>
        <v>0</v>
      </c>
      <c r="P322" s="887">
        <f t="shared" si="145"/>
        <v>0</v>
      </c>
      <c r="Q322" s="875"/>
      <c r="R322" s="875"/>
      <c r="S322" s="875"/>
      <c r="T322" s="875"/>
      <c r="U322" s="875"/>
      <c r="V322" s="875"/>
      <c r="W322" s="875"/>
      <c r="X322" s="875"/>
      <c r="Y322" s="875"/>
      <c r="Z322" s="875"/>
    </row>
    <row r="323" spans="1:26" ht="19.5" hidden="1">
      <c r="A323" s="993"/>
      <c r="B323" s="883"/>
      <c r="C323" s="999"/>
      <c r="D323" s="883"/>
      <c r="E323" s="884" t="s">
        <v>19</v>
      </c>
      <c r="F323" s="883"/>
      <c r="G323" s="994"/>
      <c r="H323" s="169" t="s">
        <v>12</v>
      </c>
      <c r="I323" s="1000"/>
      <c r="J323" s="1000"/>
      <c r="K323" s="1001"/>
      <c r="L323" s="887">
        <f ca="1">IFERROR(__xludf.DUMMYFUNCTION("IMPORTRANGE(""https://docs.google.com/spreadsheets/d/1MeEWN-I1oV_STSDYn1IFDPWt_1FKiwhDph83XaGc0o0/edit?usp=sharing"",""งบพรบ!EF77"")"),0)</f>
        <v>0</v>
      </c>
      <c r="M323" s="887">
        <f ca="1">IFERROR(__xludf.DUMMYFUNCTION("IMPORTRANGE(""https://docs.google.com/spreadsheets/d/1MeEWN-I1oV_STSDYn1IFDPWt_1FKiwhDph83XaGc0o0/edit?usp=sharing"",""งบพรบ!EI77"")"),0)</f>
        <v>0</v>
      </c>
      <c r="N323" s="887">
        <f ca="1">IFERROR(__xludf.DUMMYFUNCTION("IMPORTRANGE(""https://docs.google.com/spreadsheets/d/1MeEWN-I1oV_STSDYn1IFDPWt_1FKiwhDph83XaGc0o0/edit?usp=sharing"",""งบพรบ!EK77"")"),0)</f>
        <v>0</v>
      </c>
      <c r="O323" s="887">
        <f t="shared" ca="1" si="144"/>
        <v>0</v>
      </c>
      <c r="P323" s="887">
        <f t="shared" ca="1" si="145"/>
        <v>0</v>
      </c>
      <c r="Q323" s="875"/>
      <c r="R323" s="875"/>
      <c r="S323" s="875"/>
      <c r="T323" s="875"/>
      <c r="U323" s="875"/>
      <c r="V323" s="875"/>
      <c r="W323" s="875"/>
      <c r="X323" s="875"/>
      <c r="Y323" s="875"/>
      <c r="Z323" s="875"/>
    </row>
    <row r="324" spans="1:26" ht="19.5" hidden="1">
      <c r="A324" s="1002"/>
      <c r="B324" s="1003"/>
      <c r="C324" s="999" t="s">
        <v>16</v>
      </c>
      <c r="D324" s="1004" t="s">
        <v>38</v>
      </c>
      <c r="E324" s="1005"/>
      <c r="F324" s="1005"/>
      <c r="G324" s="1006"/>
      <c r="H324" s="1007"/>
      <c r="I324" s="997"/>
      <c r="J324" s="880"/>
      <c r="K324" s="881"/>
      <c r="L324" s="881"/>
      <c r="M324" s="881"/>
      <c r="N324" s="881"/>
      <c r="O324" s="998"/>
      <c r="P324" s="998"/>
    </row>
    <row r="325" spans="1:26" ht="18.75" hidden="1">
      <c r="A325" s="1002"/>
      <c r="B325" s="1003"/>
      <c r="C325" s="1003"/>
      <c r="D325" s="1008" t="s">
        <v>147</v>
      </c>
      <c r="E325" s="1010"/>
      <c r="F325" s="1009"/>
      <c r="G325" s="1011"/>
      <c r="H325" s="622" t="s">
        <v>146</v>
      </c>
      <c r="I325" s="880">
        <f ca="1">IFERROR(__xludf.DUMMYFUNCTION("IMPORTRANGE(""https://docs.google.com/spreadsheets/d/1QqKyyYR6Q21VydFLVH3TRQUabQu_ym0Zz7PgGX0-kHA/edit?usp=sharing"",""แผน!EF77"")"),0)</f>
        <v>0</v>
      </c>
      <c r="J325" s="1012">
        <v>0</v>
      </c>
      <c r="K325" s="881">
        <f ca="1">IF(I325&gt;0,J325*100/I325,0)</f>
        <v>0</v>
      </c>
      <c r="L325" s="881"/>
      <c r="M325" s="881"/>
      <c r="N325" s="881"/>
      <c r="O325" s="998"/>
      <c r="P325" s="998"/>
    </row>
    <row r="326" spans="1:26" ht="19.5">
      <c r="A326" s="1179" t="s">
        <v>148</v>
      </c>
      <c r="B326" s="1180"/>
      <c r="C326" s="1180"/>
      <c r="D326" s="1181"/>
      <c r="E326" s="1180"/>
      <c r="F326" s="1180"/>
      <c r="G326" s="1180"/>
      <c r="H326" s="1193"/>
      <c r="I326" s="1184"/>
      <c r="J326" s="1184"/>
      <c r="K326" s="1185"/>
      <c r="L326" s="1185"/>
      <c r="M326" s="1185"/>
      <c r="N326" s="1185"/>
      <c r="O326" s="1185"/>
      <c r="P326" s="1185"/>
    </row>
    <row r="327" spans="1:26" ht="19.5">
      <c r="A327" s="1186"/>
      <c r="B327" s="1187" t="s">
        <v>149</v>
      </c>
      <c r="C327" s="1196"/>
      <c r="D327" s="1188"/>
      <c r="E327" s="1188"/>
      <c r="F327" s="1188"/>
      <c r="G327" s="1189"/>
      <c r="H327" s="444" t="s">
        <v>35</v>
      </c>
      <c r="I327" s="1190">
        <f ca="1">IFERROR(__xludf.DUMMYFUNCTION("IMPORTRANGE(""https://docs.google.com/spreadsheets/d/1QqKyyYR6Q21VydFLVH3TRQUabQu_ym0Zz7PgGX0-kHA/edit?usp=sharing"",""แผน!EG77"")"),1700)</f>
        <v>1700</v>
      </c>
      <c r="J327" s="1190">
        <f ca="1">J338+J341+J342+J343</f>
        <v>2716</v>
      </c>
      <c r="K327" s="1191">
        <f ca="1">IF(I327&gt;0,J327*100/I327,0)</f>
        <v>159.76470588235293</v>
      </c>
      <c r="L327" s="1192"/>
      <c r="M327" s="1192"/>
      <c r="N327" s="1192"/>
      <c r="O327" s="1192"/>
      <c r="P327" s="1192"/>
    </row>
    <row r="328" spans="1:26" ht="19.5">
      <c r="A328" s="985"/>
      <c r="B328" s="986"/>
      <c r="C328" s="987" t="s">
        <v>16</v>
      </c>
      <c r="D328" s="988" t="s">
        <v>17</v>
      </c>
      <c r="E328" s="986"/>
      <c r="F328" s="986"/>
      <c r="G328" s="989"/>
      <c r="H328" s="152" t="s">
        <v>12</v>
      </c>
      <c r="I328" s="990"/>
      <c r="J328" s="990"/>
      <c r="K328" s="991"/>
      <c r="L328" s="992">
        <f t="shared" ref="L328:N328" ca="1" si="149">L329+L330</f>
        <v>166000</v>
      </c>
      <c r="M328" s="992">
        <f t="shared" ca="1" si="149"/>
        <v>127000</v>
      </c>
      <c r="N328" s="992">
        <f t="shared" ca="1" si="149"/>
        <v>87044.75</v>
      </c>
      <c r="O328" s="992">
        <f t="shared" ref="O328:O336" ca="1" si="150">IF(L328&gt;0,N328*100/L328,0)</f>
        <v>52.436596385542167</v>
      </c>
      <c r="P328" s="992">
        <f t="shared" ref="P328:P336" ca="1" si="151">IF(M328&gt;0,N328*100/M328,0)</f>
        <v>68.539173228346456</v>
      </c>
      <c r="Q328" s="868"/>
      <c r="R328" s="868"/>
      <c r="S328" s="868"/>
      <c r="T328" s="868"/>
      <c r="U328" s="868"/>
      <c r="V328" s="868"/>
      <c r="W328" s="868"/>
      <c r="X328" s="868"/>
      <c r="Y328" s="868"/>
      <c r="Z328" s="868"/>
    </row>
    <row r="329" spans="1:26" ht="18.75" hidden="1">
      <c r="A329" s="993"/>
      <c r="B329" s="883"/>
      <c r="C329" s="883"/>
      <c r="D329" s="883"/>
      <c r="E329" s="884" t="s">
        <v>18</v>
      </c>
      <c r="F329" s="883"/>
      <c r="G329" s="994"/>
      <c r="H329" s="158" t="s">
        <v>12</v>
      </c>
      <c r="I329" s="886"/>
      <c r="J329" s="886"/>
      <c r="K329" s="887"/>
      <c r="L329" s="887">
        <f t="shared" ref="L329:N330" si="152">L332+L335</f>
        <v>0</v>
      </c>
      <c r="M329" s="887">
        <f t="shared" si="152"/>
        <v>0</v>
      </c>
      <c r="N329" s="887">
        <f t="shared" si="152"/>
        <v>0</v>
      </c>
      <c r="O329" s="887">
        <f t="shared" si="150"/>
        <v>0</v>
      </c>
      <c r="P329" s="887">
        <f t="shared" si="151"/>
        <v>0</v>
      </c>
      <c r="Q329" s="875"/>
      <c r="R329" s="875"/>
      <c r="S329" s="875"/>
      <c r="T329" s="875"/>
      <c r="U329" s="875"/>
      <c r="V329" s="875"/>
      <c r="W329" s="875"/>
      <c r="X329" s="875"/>
      <c r="Y329" s="875"/>
      <c r="Z329" s="875"/>
    </row>
    <row r="330" spans="1:26" ht="18.75" hidden="1">
      <c r="A330" s="993"/>
      <c r="B330" s="883"/>
      <c r="C330" s="883"/>
      <c r="D330" s="883"/>
      <c r="E330" s="884" t="s">
        <v>19</v>
      </c>
      <c r="F330" s="883"/>
      <c r="G330" s="994"/>
      <c r="H330" s="158" t="s">
        <v>12</v>
      </c>
      <c r="I330" s="886"/>
      <c r="J330" s="886"/>
      <c r="K330" s="887"/>
      <c r="L330" s="887">
        <f t="shared" ca="1" si="152"/>
        <v>166000</v>
      </c>
      <c r="M330" s="887">
        <f t="shared" ca="1" si="152"/>
        <v>127000</v>
      </c>
      <c r="N330" s="887">
        <f t="shared" ca="1" si="152"/>
        <v>87044.75</v>
      </c>
      <c r="O330" s="887">
        <f t="shared" ca="1" si="150"/>
        <v>52.436596385542167</v>
      </c>
      <c r="P330" s="887">
        <f t="shared" ca="1" si="151"/>
        <v>68.539173228346456</v>
      </c>
      <c r="Q330" s="875"/>
      <c r="R330" s="875"/>
      <c r="S330" s="875"/>
      <c r="T330" s="875"/>
      <c r="U330" s="875"/>
      <c r="V330" s="875"/>
      <c r="W330" s="875"/>
      <c r="X330" s="875"/>
      <c r="Y330" s="875"/>
      <c r="Z330" s="875"/>
    </row>
    <row r="331" spans="1:26" ht="18.75">
      <c r="A331" s="995"/>
      <c r="B331" s="877"/>
      <c r="C331" s="996"/>
      <c r="D331" s="878" t="s">
        <v>20</v>
      </c>
      <c r="E331" s="877"/>
      <c r="F331" s="877"/>
      <c r="G331" s="879"/>
      <c r="H331" s="161" t="s">
        <v>12</v>
      </c>
      <c r="I331" s="997"/>
      <c r="J331" s="997"/>
      <c r="K331" s="998"/>
      <c r="L331" s="881">
        <f t="shared" ref="L331:N331" ca="1" si="153">L332+L333</f>
        <v>166000</v>
      </c>
      <c r="M331" s="881">
        <f t="shared" ca="1" si="153"/>
        <v>127000</v>
      </c>
      <c r="N331" s="881">
        <f t="shared" ca="1" si="153"/>
        <v>87044.75</v>
      </c>
      <c r="O331" s="881">
        <f t="shared" ca="1" si="150"/>
        <v>52.436596385542167</v>
      </c>
      <c r="P331" s="881">
        <f t="shared" ca="1" si="151"/>
        <v>68.539173228346456</v>
      </c>
      <c r="Q331" s="868"/>
      <c r="R331" s="868"/>
      <c r="S331" s="868"/>
      <c r="T331" s="868"/>
      <c r="U331" s="868"/>
      <c r="V331" s="868"/>
      <c r="W331" s="868"/>
      <c r="X331" s="868"/>
      <c r="Y331" s="868"/>
      <c r="Z331" s="868"/>
    </row>
    <row r="332" spans="1:26" ht="19.5" hidden="1">
      <c r="A332" s="993"/>
      <c r="B332" s="883"/>
      <c r="C332" s="999"/>
      <c r="D332" s="883"/>
      <c r="E332" s="884" t="s">
        <v>36</v>
      </c>
      <c r="F332" s="883"/>
      <c r="G332" s="994"/>
      <c r="H332" s="165" t="s">
        <v>12</v>
      </c>
      <c r="I332" s="1000"/>
      <c r="J332" s="1000"/>
      <c r="K332" s="1001"/>
      <c r="L332" s="887">
        <v>0</v>
      </c>
      <c r="M332" s="887">
        <v>0</v>
      </c>
      <c r="N332" s="887">
        <v>0</v>
      </c>
      <c r="O332" s="887">
        <f t="shared" si="150"/>
        <v>0</v>
      </c>
      <c r="P332" s="887">
        <f t="shared" si="151"/>
        <v>0</v>
      </c>
      <c r="Q332" s="875"/>
      <c r="R332" s="875"/>
      <c r="S332" s="875"/>
      <c r="T332" s="875"/>
      <c r="U332" s="875"/>
      <c r="V332" s="875"/>
      <c r="W332" s="875"/>
      <c r="X332" s="875"/>
      <c r="Y332" s="875"/>
      <c r="Z332" s="875"/>
    </row>
    <row r="333" spans="1:26" ht="19.5" hidden="1">
      <c r="A333" s="993"/>
      <c r="B333" s="883"/>
      <c r="C333" s="999"/>
      <c r="D333" s="883"/>
      <c r="E333" s="884" t="s">
        <v>37</v>
      </c>
      <c r="F333" s="883"/>
      <c r="G333" s="994"/>
      <c r="H333" s="165" t="s">
        <v>12</v>
      </c>
      <c r="I333" s="1000"/>
      <c r="J333" s="1000"/>
      <c r="K333" s="1001"/>
      <c r="L333" s="887">
        <f ca="1">IFERROR(__xludf.DUMMYFUNCTION("IMPORTRANGE(""https://docs.google.com/spreadsheets/d/1MeEWN-I1oV_STSDYn1IFDPWt_1FKiwhDph83XaGc0o0/edit?usp=sharing"",""งบพรบ!EM77"")"),166000)</f>
        <v>166000</v>
      </c>
      <c r="M333" s="887">
        <f ca="1">IFERROR(__xludf.DUMMYFUNCTION("IMPORTRANGE(""https://docs.google.com/spreadsheets/d/1MeEWN-I1oV_STSDYn1IFDPWt_1FKiwhDph83XaGc0o0/edit?usp=sharing"",""งบพรบ!ER77"")"),127000)</f>
        <v>127000</v>
      </c>
      <c r="N333" s="887">
        <f ca="1">IFERROR(__xludf.DUMMYFUNCTION("IMPORTRANGE(""https://docs.google.com/spreadsheets/d/1MeEWN-I1oV_STSDYn1IFDPWt_1FKiwhDph83XaGc0o0/edit?usp=sharing"",""งบพรบ!ET77"")"),87044.75)</f>
        <v>87044.75</v>
      </c>
      <c r="O333" s="887">
        <f t="shared" ca="1" si="150"/>
        <v>52.436596385542167</v>
      </c>
      <c r="P333" s="887">
        <f t="shared" ca="1" si="151"/>
        <v>68.539173228346456</v>
      </c>
      <c r="Q333" s="875"/>
      <c r="R333" s="875"/>
      <c r="S333" s="875"/>
      <c r="T333" s="875"/>
      <c r="U333" s="875"/>
      <c r="V333" s="875"/>
      <c r="W333" s="875"/>
      <c r="X333" s="875"/>
      <c r="Y333" s="875"/>
      <c r="Z333" s="875"/>
    </row>
    <row r="334" spans="1:26" ht="18.75">
      <c r="A334" s="995"/>
      <c r="B334" s="877"/>
      <c r="C334" s="996"/>
      <c r="D334" s="878" t="s">
        <v>21</v>
      </c>
      <c r="E334" s="877"/>
      <c r="F334" s="877"/>
      <c r="G334" s="879"/>
      <c r="H334" s="168" t="s">
        <v>12</v>
      </c>
      <c r="I334" s="997"/>
      <c r="J334" s="997"/>
      <c r="K334" s="998"/>
      <c r="L334" s="881">
        <f t="shared" ref="L334:N334" ca="1" si="154">L335+L336</f>
        <v>0</v>
      </c>
      <c r="M334" s="881">
        <f t="shared" ca="1" si="154"/>
        <v>0</v>
      </c>
      <c r="N334" s="881">
        <f t="shared" ca="1" si="154"/>
        <v>0</v>
      </c>
      <c r="O334" s="881">
        <f t="shared" ca="1" si="150"/>
        <v>0</v>
      </c>
      <c r="P334" s="881">
        <f t="shared" ca="1" si="151"/>
        <v>0</v>
      </c>
      <c r="Q334" s="868"/>
      <c r="R334" s="868"/>
      <c r="S334" s="868"/>
      <c r="T334" s="868"/>
      <c r="U334" s="868"/>
      <c r="V334" s="868"/>
      <c r="W334" s="868"/>
      <c r="X334" s="868"/>
      <c r="Y334" s="868"/>
      <c r="Z334" s="868"/>
    </row>
    <row r="335" spans="1:26" ht="19.5" hidden="1">
      <c r="A335" s="993"/>
      <c r="B335" s="883"/>
      <c r="C335" s="999"/>
      <c r="D335" s="883"/>
      <c r="E335" s="884" t="s">
        <v>18</v>
      </c>
      <c r="F335" s="883"/>
      <c r="G335" s="994"/>
      <c r="H335" s="165" t="s">
        <v>12</v>
      </c>
      <c r="I335" s="1000"/>
      <c r="J335" s="1000"/>
      <c r="K335" s="1001"/>
      <c r="L335" s="887">
        <v>0</v>
      </c>
      <c r="M335" s="887">
        <v>0</v>
      </c>
      <c r="N335" s="887">
        <v>0</v>
      </c>
      <c r="O335" s="887">
        <f t="shared" si="150"/>
        <v>0</v>
      </c>
      <c r="P335" s="887">
        <f t="shared" si="151"/>
        <v>0</v>
      </c>
      <c r="Q335" s="875"/>
      <c r="R335" s="875"/>
      <c r="S335" s="875"/>
      <c r="T335" s="875"/>
      <c r="U335" s="875"/>
      <c r="V335" s="875"/>
      <c r="W335" s="875"/>
      <c r="X335" s="875"/>
      <c r="Y335" s="875"/>
      <c r="Z335" s="875"/>
    </row>
    <row r="336" spans="1:26" ht="19.5" hidden="1">
      <c r="A336" s="993"/>
      <c r="B336" s="883"/>
      <c r="C336" s="999"/>
      <c r="D336" s="883"/>
      <c r="E336" s="884" t="s">
        <v>19</v>
      </c>
      <c r="F336" s="883"/>
      <c r="G336" s="994"/>
      <c r="H336" s="169" t="s">
        <v>12</v>
      </c>
      <c r="I336" s="1000"/>
      <c r="J336" s="1000"/>
      <c r="K336" s="1001"/>
      <c r="L336" s="887">
        <f ca="1">IFERROR(__xludf.DUMMYFUNCTION("IMPORTRANGE(""https://docs.google.com/spreadsheets/d/1MeEWN-I1oV_STSDYn1IFDPWt_1FKiwhDph83XaGc0o0/edit?usp=sharing"",""งบพรบ!EP77"")"),0)</f>
        <v>0</v>
      </c>
      <c r="M336" s="887">
        <f ca="1">IFERROR(__xludf.DUMMYFUNCTION("IMPORTRANGE(""https://docs.google.com/spreadsheets/d/1MeEWN-I1oV_STSDYn1IFDPWt_1FKiwhDph83XaGc0o0/edit?usp=sharing"",""งบพรบ!ES77"")"),0)</f>
        <v>0</v>
      </c>
      <c r="N336" s="887">
        <f ca="1">IFERROR(__xludf.DUMMYFUNCTION("IMPORTRANGE(""https://docs.google.com/spreadsheets/d/1MeEWN-I1oV_STSDYn1IFDPWt_1FKiwhDph83XaGc0o0/edit?usp=sharing"",""งบพรบ!EU77"")"),0)</f>
        <v>0</v>
      </c>
      <c r="O336" s="887">
        <f t="shared" ca="1" si="150"/>
        <v>0</v>
      </c>
      <c r="P336" s="887">
        <f t="shared" ca="1" si="151"/>
        <v>0</v>
      </c>
      <c r="Q336" s="875"/>
      <c r="R336" s="875"/>
      <c r="S336" s="875"/>
      <c r="T336" s="875"/>
      <c r="U336" s="875"/>
      <c r="V336" s="875"/>
      <c r="W336" s="875"/>
      <c r="X336" s="875"/>
      <c r="Y336" s="875"/>
      <c r="Z336" s="875"/>
    </row>
    <row r="337" spans="1:26" ht="19.5">
      <c r="A337" s="1002"/>
      <c r="B337" s="1003"/>
      <c r="C337" s="999" t="s">
        <v>16</v>
      </c>
      <c r="D337" s="1004" t="s">
        <v>38</v>
      </c>
      <c r="E337" s="1005"/>
      <c r="F337" s="1005"/>
      <c r="G337" s="1006"/>
      <c r="H337" s="1007"/>
      <c r="I337" s="997"/>
      <c r="J337" s="880"/>
      <c r="K337" s="881"/>
      <c r="L337" s="881"/>
      <c r="M337" s="881"/>
      <c r="N337" s="881"/>
      <c r="O337" s="998"/>
      <c r="P337" s="998"/>
    </row>
    <row r="338" spans="1:26" ht="18.75">
      <c r="A338" s="1086"/>
      <c r="B338" s="877"/>
      <c r="C338" s="1084"/>
      <c r="D338" s="1009" t="s">
        <v>150</v>
      </c>
      <c r="E338" s="1003"/>
      <c r="F338" s="877"/>
      <c r="G338" s="879"/>
      <c r="H338" s="277" t="s">
        <v>35</v>
      </c>
      <c r="I338" s="880">
        <f ca="1">IFERROR(__xludf.DUMMYFUNCTION("IMPORTRANGE(""https://docs.google.com/spreadsheets/d/1QqKyyYR6Q21VydFLVH3TRQUabQu_ym0Zz7PgGX0-kHA/edit?usp=sharing"",""แผน!EG77"")"),1700)</f>
        <v>1700</v>
      </c>
      <c r="J338" s="880">
        <f ca="1">IFERROR(__xludf.DUMMYFUNCTION("IMPORTRANGE(""https://docs.google.com/spreadsheets/d/1kVcqe37tkHyjCSG3S0O1AXqVkqjo8mSIZil3BcpIysc/edit?usp=sharing"",""ศูนย์!D77"")"),2561)</f>
        <v>2561</v>
      </c>
      <c r="K338" s="881">
        <f ca="1">IF(I338&gt;0,J338*100/I338,0)</f>
        <v>150.64705882352942</v>
      </c>
      <c r="L338" s="881"/>
      <c r="M338" s="881"/>
      <c r="N338" s="881"/>
      <c r="O338" s="881"/>
      <c r="P338" s="881"/>
    </row>
    <row r="339" spans="1:26" ht="18.75">
      <c r="A339" s="1086"/>
      <c r="B339" s="877"/>
      <c r="C339" s="1084"/>
      <c r="D339" s="1009" t="s">
        <v>151</v>
      </c>
      <c r="E339" s="1003"/>
      <c r="F339" s="877"/>
      <c r="G339" s="879"/>
      <c r="H339" s="277"/>
      <c r="I339" s="880"/>
      <c r="J339" s="880"/>
      <c r="K339" s="881"/>
      <c r="L339" s="881"/>
      <c r="M339" s="881"/>
      <c r="N339" s="881"/>
      <c r="O339" s="881"/>
      <c r="P339" s="881"/>
    </row>
    <row r="340" spans="1:26" ht="18.75">
      <c r="A340" s="1086"/>
      <c r="B340" s="877"/>
      <c r="C340" s="1084"/>
      <c r="D340" s="1010"/>
      <c r="E340" s="1009" t="s">
        <v>152</v>
      </c>
      <c r="F340" s="877"/>
      <c r="G340" s="879"/>
      <c r="H340" s="277" t="s">
        <v>153</v>
      </c>
      <c r="I340" s="880">
        <f ca="1">IFERROR(__xludf.DUMMYFUNCTION("IMPORTRANGE(""https://docs.google.com/spreadsheets/d/1QqKyyYR6Q21VydFLVH3TRQUabQu_ym0Zz7PgGX0-kHA/edit?usp=sharing"",""แผน!EH77"")"),4)</f>
        <v>4</v>
      </c>
      <c r="J340" s="880">
        <f ca="1">IFERROR(__xludf.DUMMYFUNCTION("IMPORTRANGE(""https://docs.google.com/spreadsheets/d/1kVcqe37tkHyjCSG3S0O1AXqVkqjo8mSIZil3BcpIysc/edit?usp=sharing"",""ศูนย์!E77"")"),4)</f>
        <v>4</v>
      </c>
      <c r="K340" s="881">
        <f ca="1">IF(I340&gt;0,J340*100/I340,0)</f>
        <v>100</v>
      </c>
      <c r="L340" s="881"/>
      <c r="M340" s="881"/>
      <c r="N340" s="881"/>
      <c r="O340" s="881"/>
      <c r="P340" s="881"/>
    </row>
    <row r="341" spans="1:26" ht="18.75">
      <c r="A341" s="1086"/>
      <c r="B341" s="877"/>
      <c r="C341" s="1084"/>
      <c r="D341" s="1010"/>
      <c r="E341" s="1009" t="s">
        <v>154</v>
      </c>
      <c r="F341" s="877"/>
      <c r="G341" s="879"/>
      <c r="H341" s="277" t="s">
        <v>35</v>
      </c>
      <c r="I341" s="880"/>
      <c r="J341" s="880">
        <f ca="1">IFERROR(__xludf.DUMMYFUNCTION("IMPORTRANGE(""https://docs.google.com/spreadsheets/d/1kVcqe37tkHyjCSG3S0O1AXqVkqjo8mSIZil3BcpIysc/edit?usp=sharing"",""ศูนย์!F77"")"),155)</f>
        <v>155</v>
      </c>
      <c r="K341" s="881"/>
      <c r="L341" s="881"/>
      <c r="M341" s="881"/>
      <c r="N341" s="881"/>
      <c r="O341" s="881"/>
      <c r="P341" s="881"/>
    </row>
    <row r="342" spans="1:26" ht="18.75">
      <c r="A342" s="1086"/>
      <c r="B342" s="877"/>
      <c r="C342" s="1084"/>
      <c r="D342" s="1009" t="s">
        <v>155</v>
      </c>
      <c r="E342" s="1010"/>
      <c r="F342" s="1010"/>
      <c r="G342" s="879"/>
      <c r="H342" s="277" t="s">
        <v>35</v>
      </c>
      <c r="I342" s="880"/>
      <c r="J342" s="880">
        <f ca="1">IFERROR(__xludf.DUMMYFUNCTION("IMPORTRANGE(""https://docs.google.com/spreadsheets/d/1kVcqe37tkHyjCSG3S0O1AXqVkqjo8mSIZil3BcpIysc/edit?usp=sharing"",""ศูนย์!G77"")"),0)</f>
        <v>0</v>
      </c>
      <c r="K342" s="881"/>
      <c r="L342" s="881"/>
      <c r="M342" s="881"/>
      <c r="N342" s="881"/>
      <c r="O342" s="881"/>
      <c r="P342" s="881"/>
    </row>
    <row r="343" spans="1:26" ht="18.75">
      <c r="A343" s="1086"/>
      <c r="B343" s="877"/>
      <c r="C343" s="1084"/>
      <c r="D343" s="1009" t="s">
        <v>156</v>
      </c>
      <c r="E343" s="1010"/>
      <c r="F343" s="1010"/>
      <c r="G343" s="879"/>
      <c r="H343" s="277" t="s">
        <v>35</v>
      </c>
      <c r="I343" s="880"/>
      <c r="J343" s="880">
        <f ca="1">IFERROR(__xludf.DUMMYFUNCTION("IMPORTRANGE(""https://docs.google.com/spreadsheets/d/1kVcqe37tkHyjCSG3S0O1AXqVkqjo8mSIZil3BcpIysc/edit?usp=sharing"",""ศูนย์!H77"")"),0)</f>
        <v>0</v>
      </c>
      <c r="K343" s="881"/>
      <c r="L343" s="881"/>
      <c r="M343" s="881"/>
      <c r="N343" s="881"/>
      <c r="O343" s="881"/>
      <c r="P343" s="881"/>
    </row>
    <row r="344" spans="1:26" ht="19.5">
      <c r="A344" s="1186"/>
      <c r="B344" s="1187" t="s">
        <v>157</v>
      </c>
      <c r="C344" s="1196"/>
      <c r="D344" s="1188"/>
      <c r="E344" s="1188"/>
      <c r="F344" s="1188"/>
      <c r="G344" s="1189"/>
      <c r="H344" s="444"/>
      <c r="I344" s="1197"/>
      <c r="J344" s="1197"/>
      <c r="K344" s="1192"/>
      <c r="L344" s="1192"/>
      <c r="M344" s="1192"/>
      <c r="N344" s="1192"/>
      <c r="O344" s="1192"/>
      <c r="P344" s="1192"/>
    </row>
    <row r="345" spans="1:26" ht="19.5">
      <c r="A345" s="985"/>
      <c r="B345" s="986"/>
      <c r="C345" s="987" t="s">
        <v>16</v>
      </c>
      <c r="D345" s="988" t="s">
        <v>17</v>
      </c>
      <c r="E345" s="986"/>
      <c r="F345" s="986"/>
      <c r="G345" s="989"/>
      <c r="H345" s="152" t="s">
        <v>12</v>
      </c>
      <c r="I345" s="990"/>
      <c r="J345" s="990"/>
      <c r="K345" s="991"/>
      <c r="L345" s="992">
        <f t="shared" ref="L345:N345" ca="1" si="155">L346+L347</f>
        <v>997600</v>
      </c>
      <c r="M345" s="992">
        <f t="shared" ca="1" si="155"/>
        <v>786520</v>
      </c>
      <c r="N345" s="992">
        <f t="shared" ca="1" si="155"/>
        <v>554728.98</v>
      </c>
      <c r="O345" s="992">
        <f t="shared" ref="O345:O353" ca="1" si="156">IF(L345&gt;0,N345*100/L345,0)</f>
        <v>55.606353247794708</v>
      </c>
      <c r="P345" s="992">
        <f t="shared" ref="P345:P353" ca="1" si="157">IF(M345&gt;0,N345*100/M345,0)</f>
        <v>70.529545338961498</v>
      </c>
      <c r="Q345" s="868"/>
      <c r="R345" s="868"/>
      <c r="S345" s="868"/>
      <c r="T345" s="868"/>
      <c r="U345" s="868"/>
      <c r="V345" s="868"/>
      <c r="W345" s="868"/>
      <c r="X345" s="868"/>
      <c r="Y345" s="868"/>
      <c r="Z345" s="868"/>
    </row>
    <row r="346" spans="1:26" ht="18.75" hidden="1">
      <c r="A346" s="993"/>
      <c r="B346" s="883"/>
      <c r="C346" s="883"/>
      <c r="D346" s="883"/>
      <c r="E346" s="884" t="s">
        <v>18</v>
      </c>
      <c r="F346" s="883"/>
      <c r="G346" s="994"/>
      <c r="H346" s="158" t="s">
        <v>12</v>
      </c>
      <c r="I346" s="886"/>
      <c r="J346" s="886"/>
      <c r="K346" s="887"/>
      <c r="L346" s="887">
        <f t="shared" ref="L346:N347" si="158">L349+L352</f>
        <v>0</v>
      </c>
      <c r="M346" s="887">
        <f t="shared" si="158"/>
        <v>0</v>
      </c>
      <c r="N346" s="887">
        <f t="shared" si="158"/>
        <v>0</v>
      </c>
      <c r="O346" s="887">
        <f t="shared" si="156"/>
        <v>0</v>
      </c>
      <c r="P346" s="887">
        <f t="shared" si="157"/>
        <v>0</v>
      </c>
      <c r="Q346" s="875"/>
      <c r="R346" s="875"/>
      <c r="S346" s="875"/>
      <c r="T346" s="875"/>
      <c r="U346" s="875"/>
      <c r="V346" s="875"/>
      <c r="W346" s="875"/>
      <c r="X346" s="875"/>
      <c r="Y346" s="875"/>
      <c r="Z346" s="875"/>
    </row>
    <row r="347" spans="1:26" ht="18.75" hidden="1">
      <c r="A347" s="993"/>
      <c r="B347" s="883"/>
      <c r="C347" s="883"/>
      <c r="D347" s="883"/>
      <c r="E347" s="884" t="s">
        <v>19</v>
      </c>
      <c r="F347" s="883"/>
      <c r="G347" s="994"/>
      <c r="H347" s="158" t="s">
        <v>12</v>
      </c>
      <c r="I347" s="886"/>
      <c r="J347" s="886"/>
      <c r="K347" s="887"/>
      <c r="L347" s="887">
        <f t="shared" ca="1" si="158"/>
        <v>997600</v>
      </c>
      <c r="M347" s="887">
        <f t="shared" ca="1" si="158"/>
        <v>786520</v>
      </c>
      <c r="N347" s="887">
        <f t="shared" ca="1" si="158"/>
        <v>554728.98</v>
      </c>
      <c r="O347" s="887">
        <f t="shared" ca="1" si="156"/>
        <v>55.606353247794708</v>
      </c>
      <c r="P347" s="887">
        <f t="shared" ca="1" si="157"/>
        <v>70.529545338961498</v>
      </c>
      <c r="Q347" s="875"/>
      <c r="R347" s="875"/>
      <c r="S347" s="875"/>
      <c r="T347" s="875"/>
      <c r="U347" s="875"/>
      <c r="V347" s="875"/>
      <c r="W347" s="875"/>
      <c r="X347" s="875"/>
      <c r="Y347" s="875"/>
      <c r="Z347" s="875"/>
    </row>
    <row r="348" spans="1:26" ht="18.75">
      <c r="A348" s="995"/>
      <c r="B348" s="877"/>
      <c r="C348" s="996"/>
      <c r="D348" s="878" t="s">
        <v>20</v>
      </c>
      <c r="E348" s="877"/>
      <c r="F348" s="877"/>
      <c r="G348" s="879"/>
      <c r="H348" s="161" t="s">
        <v>12</v>
      </c>
      <c r="I348" s="997"/>
      <c r="J348" s="997"/>
      <c r="K348" s="998"/>
      <c r="L348" s="881">
        <f t="shared" ref="L348:N348" ca="1" si="159">L349+L350</f>
        <v>868000</v>
      </c>
      <c r="M348" s="881">
        <f t="shared" ca="1" si="159"/>
        <v>656920</v>
      </c>
      <c r="N348" s="881">
        <f t="shared" ca="1" si="159"/>
        <v>425128.98</v>
      </c>
      <c r="O348" s="881">
        <f t="shared" ca="1" si="156"/>
        <v>48.977993087557607</v>
      </c>
      <c r="P348" s="881">
        <f t="shared" ca="1" si="157"/>
        <v>64.715487426170611</v>
      </c>
      <c r="Q348" s="868"/>
      <c r="R348" s="868"/>
      <c r="S348" s="868"/>
      <c r="T348" s="868"/>
      <c r="U348" s="868"/>
      <c r="V348" s="868"/>
      <c r="W348" s="868"/>
      <c r="X348" s="868"/>
      <c r="Y348" s="868"/>
      <c r="Z348" s="868"/>
    </row>
    <row r="349" spans="1:26" ht="19.5" hidden="1">
      <c r="A349" s="993"/>
      <c r="B349" s="883"/>
      <c r="C349" s="999"/>
      <c r="D349" s="883"/>
      <c r="E349" s="884" t="s">
        <v>36</v>
      </c>
      <c r="F349" s="883"/>
      <c r="G349" s="994"/>
      <c r="H349" s="165" t="s">
        <v>12</v>
      </c>
      <c r="I349" s="1000"/>
      <c r="J349" s="1000"/>
      <c r="K349" s="1001"/>
      <c r="L349" s="887">
        <v>0</v>
      </c>
      <c r="M349" s="887">
        <v>0</v>
      </c>
      <c r="N349" s="887">
        <v>0</v>
      </c>
      <c r="O349" s="887">
        <f t="shared" si="156"/>
        <v>0</v>
      </c>
      <c r="P349" s="887">
        <f t="shared" si="157"/>
        <v>0</v>
      </c>
      <c r="Q349" s="875"/>
      <c r="R349" s="875"/>
      <c r="S349" s="875"/>
      <c r="T349" s="875"/>
      <c r="U349" s="875"/>
      <c r="V349" s="875"/>
      <c r="W349" s="875"/>
      <c r="X349" s="875"/>
      <c r="Y349" s="875"/>
      <c r="Z349" s="875"/>
    </row>
    <row r="350" spans="1:26" ht="19.5" hidden="1">
      <c r="A350" s="993"/>
      <c r="B350" s="883"/>
      <c r="C350" s="999"/>
      <c r="D350" s="883"/>
      <c r="E350" s="884" t="s">
        <v>37</v>
      </c>
      <c r="F350" s="883"/>
      <c r="G350" s="994"/>
      <c r="H350" s="165" t="s">
        <v>12</v>
      </c>
      <c r="I350" s="1000"/>
      <c r="J350" s="1000"/>
      <c r="K350" s="1001"/>
      <c r="L350" s="887">
        <f ca="1">IFERROR(__xludf.DUMMYFUNCTION("IMPORTRANGE(""https://docs.google.com/spreadsheets/d/1MeEWN-I1oV_STSDYn1IFDPWt_1FKiwhDph83XaGc0o0/edit?usp=sharing"",""งบพรบ!EW77"")"),868000)</f>
        <v>868000</v>
      </c>
      <c r="M350" s="887">
        <f ca="1">IFERROR(__xludf.DUMMYFUNCTION("IMPORTRANGE(""https://docs.google.com/spreadsheets/d/1MeEWN-I1oV_STSDYn1IFDPWt_1FKiwhDph83XaGc0o0/edit?usp=sharing"",""งบพรบ!FB77"")"),656920)</f>
        <v>656920</v>
      </c>
      <c r="N350" s="887">
        <f ca="1">IFERROR(__xludf.DUMMYFUNCTION("IMPORTRANGE(""https://docs.google.com/spreadsheets/d/1MeEWN-I1oV_STSDYn1IFDPWt_1FKiwhDph83XaGc0o0/edit?usp=sharing"",""งบพรบ!FD77"")"),425128.98)</f>
        <v>425128.98</v>
      </c>
      <c r="O350" s="887">
        <f t="shared" ca="1" si="156"/>
        <v>48.977993087557607</v>
      </c>
      <c r="P350" s="887">
        <f t="shared" ca="1" si="157"/>
        <v>64.715487426170611</v>
      </c>
      <c r="Q350" s="875"/>
      <c r="R350" s="875"/>
      <c r="S350" s="875"/>
      <c r="T350" s="875"/>
      <c r="U350" s="875"/>
      <c r="V350" s="875"/>
      <c r="W350" s="875"/>
      <c r="X350" s="875"/>
      <c r="Y350" s="875"/>
      <c r="Z350" s="875"/>
    </row>
    <row r="351" spans="1:26" ht="18.75">
      <c r="A351" s="995"/>
      <c r="B351" s="877"/>
      <c r="C351" s="996"/>
      <c r="D351" s="878" t="s">
        <v>21</v>
      </c>
      <c r="E351" s="877"/>
      <c r="F351" s="877"/>
      <c r="G351" s="879"/>
      <c r="H351" s="168" t="s">
        <v>12</v>
      </c>
      <c r="I351" s="997"/>
      <c r="J351" s="997"/>
      <c r="K351" s="998"/>
      <c r="L351" s="881">
        <f t="shared" ref="L351:N351" ca="1" si="160">L352+L353</f>
        <v>129600</v>
      </c>
      <c r="M351" s="881">
        <f t="shared" ca="1" si="160"/>
        <v>129600</v>
      </c>
      <c r="N351" s="881">
        <f t="shared" ca="1" si="160"/>
        <v>129600</v>
      </c>
      <c r="O351" s="881">
        <f t="shared" ca="1" si="156"/>
        <v>100</v>
      </c>
      <c r="P351" s="881">
        <f t="shared" ca="1" si="157"/>
        <v>100</v>
      </c>
      <c r="Q351" s="868"/>
      <c r="R351" s="868"/>
      <c r="S351" s="868"/>
      <c r="T351" s="868"/>
      <c r="U351" s="868"/>
      <c r="V351" s="868"/>
      <c r="W351" s="868"/>
      <c r="X351" s="868"/>
      <c r="Y351" s="868"/>
      <c r="Z351" s="868"/>
    </row>
    <row r="352" spans="1:26" ht="19.5" hidden="1">
      <c r="A352" s="993"/>
      <c r="B352" s="883"/>
      <c r="C352" s="999"/>
      <c r="D352" s="883"/>
      <c r="E352" s="884" t="s">
        <v>18</v>
      </c>
      <c r="F352" s="883"/>
      <c r="G352" s="994"/>
      <c r="H352" s="165" t="s">
        <v>12</v>
      </c>
      <c r="I352" s="1000"/>
      <c r="J352" s="1000"/>
      <c r="K352" s="1001"/>
      <c r="L352" s="887">
        <v>0</v>
      </c>
      <c r="M352" s="887">
        <v>0</v>
      </c>
      <c r="N352" s="887">
        <v>0</v>
      </c>
      <c r="O352" s="887">
        <f t="shared" si="156"/>
        <v>0</v>
      </c>
      <c r="P352" s="887">
        <f t="shared" si="157"/>
        <v>0</v>
      </c>
      <c r="Q352" s="875"/>
      <c r="R352" s="875"/>
      <c r="S352" s="875"/>
      <c r="T352" s="875"/>
      <c r="U352" s="875"/>
      <c r="V352" s="875"/>
      <c r="W352" s="875"/>
      <c r="X352" s="875"/>
      <c r="Y352" s="875"/>
      <c r="Z352" s="875"/>
    </row>
    <row r="353" spans="1:26" ht="19.5" hidden="1">
      <c r="A353" s="993"/>
      <c r="B353" s="883"/>
      <c r="C353" s="999"/>
      <c r="D353" s="883"/>
      <c r="E353" s="884" t="s">
        <v>19</v>
      </c>
      <c r="F353" s="883"/>
      <c r="G353" s="994"/>
      <c r="H353" s="169" t="s">
        <v>12</v>
      </c>
      <c r="I353" s="1000"/>
      <c r="J353" s="1000"/>
      <c r="K353" s="1001"/>
      <c r="L353" s="887">
        <f ca="1">IFERROR(__xludf.DUMMYFUNCTION("IMPORTRANGE(""https://docs.google.com/spreadsheets/d/1MeEWN-I1oV_STSDYn1IFDPWt_1FKiwhDph83XaGc0o0/edit?usp=sharing"",""งบพรบ!EZ77"")"),129600)</f>
        <v>129600</v>
      </c>
      <c r="M353" s="887">
        <f ca="1">IFERROR(__xludf.DUMMYFUNCTION("IMPORTRANGE(""https://docs.google.com/spreadsheets/d/1MeEWN-I1oV_STSDYn1IFDPWt_1FKiwhDph83XaGc0o0/edit?usp=sharing"",""งบพรบ!FC77"")"),129600)</f>
        <v>129600</v>
      </c>
      <c r="N353" s="887">
        <f ca="1">IFERROR(__xludf.DUMMYFUNCTION("IMPORTRANGE(""https://docs.google.com/spreadsheets/d/1MeEWN-I1oV_STSDYn1IFDPWt_1FKiwhDph83XaGc0o0/edit?usp=sharing"",""งบพรบ!FE77"")"),129600)</f>
        <v>129600</v>
      </c>
      <c r="O353" s="887">
        <f t="shared" ca="1" si="156"/>
        <v>100</v>
      </c>
      <c r="P353" s="887">
        <f t="shared" ca="1" si="157"/>
        <v>100</v>
      </c>
      <c r="Q353" s="875"/>
      <c r="R353" s="875"/>
      <c r="S353" s="875"/>
      <c r="T353" s="875"/>
      <c r="U353" s="875"/>
      <c r="V353" s="875"/>
      <c r="W353" s="875"/>
      <c r="X353" s="875"/>
      <c r="Y353" s="875"/>
      <c r="Z353" s="875"/>
    </row>
    <row r="354" spans="1:26" ht="19.5">
      <c r="A354" s="1063"/>
      <c r="B354" s="1070"/>
      <c r="C354" s="1064"/>
      <c r="D354" s="1198" t="s">
        <v>158</v>
      </c>
      <c r="E354" s="1064"/>
      <c r="F354" s="1064"/>
      <c r="G354" s="1066"/>
      <c r="H354" s="1199"/>
      <c r="I354" s="1067"/>
      <c r="J354" s="1067"/>
      <c r="K354" s="1068"/>
      <c r="L354" s="1068"/>
      <c r="M354" s="1068"/>
      <c r="N354" s="1068"/>
      <c r="O354" s="1068"/>
      <c r="P354" s="1068"/>
    </row>
    <row r="355" spans="1:26" ht="19.5">
      <c r="A355" s="1200"/>
      <c r="B355" s="1201"/>
      <c r="C355" s="1202"/>
      <c r="D355" s="1203" t="s">
        <v>159</v>
      </c>
      <c r="E355" s="1204"/>
      <c r="F355" s="1204"/>
      <c r="G355" s="1205"/>
      <c r="H355" s="463" t="s">
        <v>35</v>
      </c>
      <c r="I355" s="1206">
        <f ca="1">IFERROR(__xludf.DUMMYFUNCTION("IMPORTRANGE(""https://docs.google.com/spreadsheets/d/1QqKyyYR6Q21VydFLVH3TRQUabQu_ym0Zz7PgGX0-kHA/edit?usp=sharing"",""แผน!EP77"")"),332)</f>
        <v>332</v>
      </c>
      <c r="J355" s="1206">
        <f ca="1">J362</f>
        <v>69</v>
      </c>
      <c r="K355" s="1207">
        <f ca="1">IF(I355&gt;0,J355*100/I355,0)</f>
        <v>20.783132530120483</v>
      </c>
      <c r="L355" s="1208"/>
      <c r="M355" s="1208"/>
      <c r="N355" s="1208"/>
      <c r="O355" s="1208"/>
      <c r="P355" s="1208"/>
    </row>
    <row r="356" spans="1:26" ht="19.5">
      <c r="A356" s="1200"/>
      <c r="B356" s="1201"/>
      <c r="C356" s="1202"/>
      <c r="D356" s="1209" t="s">
        <v>160</v>
      </c>
      <c r="E356" s="1204"/>
      <c r="F356" s="1204"/>
      <c r="G356" s="1205"/>
      <c r="H356" s="1210"/>
      <c r="I356" s="1211"/>
      <c r="J356" s="1211"/>
      <c r="K356" s="1208"/>
      <c r="L356" s="1208"/>
      <c r="M356" s="1208"/>
      <c r="N356" s="1208"/>
      <c r="O356" s="1208"/>
      <c r="P356" s="1208"/>
    </row>
    <row r="357" spans="1:26" ht="19.5">
      <c r="A357" s="1002"/>
      <c r="B357" s="1003"/>
      <c r="C357" s="999" t="s">
        <v>16</v>
      </c>
      <c r="D357" s="1004" t="s">
        <v>38</v>
      </c>
      <c r="E357" s="1005"/>
      <c r="F357" s="1005"/>
      <c r="G357" s="1006"/>
      <c r="H357" s="1007"/>
      <c r="I357" s="880"/>
      <c r="J357" s="880"/>
      <c r="K357" s="881"/>
      <c r="L357" s="998"/>
      <c r="M357" s="998"/>
      <c r="N357" s="998"/>
      <c r="O357" s="998"/>
      <c r="P357" s="998"/>
    </row>
    <row r="358" spans="1:26" ht="18.75">
      <c r="A358" s="1002"/>
      <c r="B358" s="1010"/>
      <c r="C358" s="1003"/>
      <c r="D358" s="1010"/>
      <c r="E358" s="1008" t="s">
        <v>161</v>
      </c>
      <c r="F358" s="1010"/>
      <c r="G358" s="1011"/>
      <c r="H358" s="185" t="s">
        <v>35</v>
      </c>
      <c r="I358" s="880">
        <v>0</v>
      </c>
      <c r="J358" s="880">
        <f ca="1">IFERROR(__xludf.DUMMYFUNCTION("IMPORTRANGE(""https://docs.google.com/spreadsheets/d/1XWAQStnk-4SwqDmLtmXYiTMKHgktTP8We1SCoS47DrQ/edit?usp=sharing"",""จัดที่ดิน!W77"")"),170)</f>
        <v>170</v>
      </c>
      <c r="K358" s="881">
        <f t="shared" ref="K358:K365" si="161">IF(I358&gt;0,J358*100/I358,0)</f>
        <v>0</v>
      </c>
      <c r="L358" s="998"/>
      <c r="M358" s="998"/>
      <c r="N358" s="998"/>
      <c r="O358" s="998"/>
      <c r="P358" s="998"/>
    </row>
    <row r="359" spans="1:26" ht="18.75">
      <c r="A359" s="1002"/>
      <c r="B359" s="1010"/>
      <c r="C359" s="1003"/>
      <c r="D359" s="1010"/>
      <c r="E359" s="1010"/>
      <c r="F359" s="1010"/>
      <c r="G359" s="1011"/>
      <c r="H359" s="185" t="s">
        <v>46</v>
      </c>
      <c r="I359" s="880">
        <f ca="1">IFERROR(__xludf.DUMMYFUNCTION("IMPORTRANGE(""https://docs.google.com/spreadsheets/d/1QqKyyYR6Q21VydFLVH3TRQUabQu_ym0Zz7PgGX0-kHA/edit?usp=sharing"",""แผน!EO77"")"),2700)</f>
        <v>2700</v>
      </c>
      <c r="J359" s="880">
        <f ca="1">IFERROR(__xludf.DUMMYFUNCTION("IMPORTRANGE(""https://docs.google.com/spreadsheets/d/1XWAQStnk-4SwqDmLtmXYiTMKHgktTP8We1SCoS47DrQ/edit?usp=sharing"",""จัดที่ดิน!X77"")"),1302.63999999999)</f>
        <v>1302.6399999999901</v>
      </c>
      <c r="K359" s="881">
        <f t="shared" ca="1" si="161"/>
        <v>48.245925925925562</v>
      </c>
      <c r="L359" s="998"/>
      <c r="M359" s="998"/>
      <c r="N359" s="998"/>
      <c r="O359" s="998"/>
      <c r="P359" s="998"/>
    </row>
    <row r="360" spans="1:26" ht="18.75">
      <c r="A360" s="1002"/>
      <c r="B360" s="1010"/>
      <c r="C360" s="1003"/>
      <c r="D360" s="1010"/>
      <c r="E360" s="1008" t="s">
        <v>162</v>
      </c>
      <c r="F360" s="1010"/>
      <c r="G360" s="1011"/>
      <c r="H360" s="762" t="s">
        <v>35</v>
      </c>
      <c r="I360" s="880">
        <f ca="1">IFERROR(__xludf.DUMMYFUNCTION("IMPORTRANGE(""https://docs.google.com/spreadsheets/d/1QqKyyYR6Q21VydFLVH3TRQUabQu_ym0Zz7PgGX0-kHA/edit?usp=sharing"",""แผน!EP77"")"),332)</f>
        <v>332</v>
      </c>
      <c r="J360" s="880">
        <f ca="1">IFERROR(__xludf.DUMMYFUNCTION("IMPORTRANGE(""https://docs.google.com/spreadsheets/d/1XWAQStnk-4SwqDmLtmXYiTMKHgktTP8We1SCoS47DrQ/edit?usp=sharing"",""จัดที่ดิน!Y77"")"),95)</f>
        <v>95</v>
      </c>
      <c r="K360" s="881">
        <f t="shared" ca="1" si="161"/>
        <v>28.6144578313253</v>
      </c>
      <c r="L360" s="998"/>
      <c r="M360" s="998"/>
      <c r="N360" s="998"/>
      <c r="O360" s="998"/>
      <c r="P360" s="998"/>
    </row>
    <row r="361" spans="1:26" ht="18.75">
      <c r="A361" s="1002"/>
      <c r="B361" s="1010"/>
      <c r="C361" s="1003"/>
      <c r="D361" s="1010"/>
      <c r="E361" s="1010"/>
      <c r="F361" s="1010"/>
      <c r="G361" s="1011"/>
      <c r="H361" s="762" t="s">
        <v>46</v>
      </c>
      <c r="I361" s="880">
        <v>0</v>
      </c>
      <c r="J361" s="880">
        <f ca="1">IFERROR(__xludf.DUMMYFUNCTION("IMPORTRANGE(""https://docs.google.com/spreadsheets/d/1XWAQStnk-4SwqDmLtmXYiTMKHgktTP8We1SCoS47DrQ/edit?usp=sharing"",""จัดที่ดิน!Z77"")"),912.03)</f>
        <v>912.03</v>
      </c>
      <c r="K361" s="881">
        <f t="shared" si="161"/>
        <v>0</v>
      </c>
      <c r="L361" s="998"/>
      <c r="M361" s="998"/>
      <c r="N361" s="998"/>
      <c r="O361" s="998"/>
      <c r="P361" s="998"/>
    </row>
    <row r="362" spans="1:26" ht="18.75">
      <c r="A362" s="1002"/>
      <c r="B362" s="1010"/>
      <c r="C362" s="1003"/>
      <c r="D362" s="1010"/>
      <c r="E362" s="1008" t="s">
        <v>163</v>
      </c>
      <c r="F362" s="1010"/>
      <c r="G362" s="1011"/>
      <c r="H362" s="762" t="s">
        <v>35</v>
      </c>
      <c r="I362" s="880">
        <f ca="1">IFERROR(__xludf.DUMMYFUNCTION("IMPORTRANGE(""https://docs.google.com/spreadsheets/d/1QqKyyYR6Q21VydFLVH3TRQUabQu_ym0Zz7PgGX0-kHA/edit?usp=sharing"",""แผน!EP77"")"),332)</f>
        <v>332</v>
      </c>
      <c r="J362" s="880">
        <f ca="1">IFERROR(__xludf.DUMMYFUNCTION("IMPORTRANGE(""https://docs.google.com/spreadsheets/d/1XWAQStnk-4SwqDmLtmXYiTMKHgktTP8We1SCoS47DrQ/edit?usp=sharing"",""จัดที่ดิน!AA77"")"),69)</f>
        <v>69</v>
      </c>
      <c r="K362" s="881">
        <f t="shared" ca="1" si="161"/>
        <v>20.783132530120483</v>
      </c>
      <c r="L362" s="998"/>
      <c r="M362" s="998"/>
      <c r="N362" s="998"/>
      <c r="O362" s="998"/>
      <c r="P362" s="998"/>
    </row>
    <row r="363" spans="1:26" ht="18.75">
      <c r="A363" s="1212" t="s">
        <v>164</v>
      </c>
      <c r="B363" s="1010"/>
      <c r="C363" s="1003"/>
      <c r="D363" s="1010"/>
      <c r="E363" s="1009"/>
      <c r="F363" s="1010"/>
      <c r="G363" s="1011"/>
      <c r="H363" s="762" t="s">
        <v>46</v>
      </c>
      <c r="I363" s="880">
        <v>0</v>
      </c>
      <c r="J363" s="880">
        <f ca="1">IFERROR(__xludf.DUMMYFUNCTION("IMPORTRANGE(""https://docs.google.com/spreadsheets/d/1XWAQStnk-4SwqDmLtmXYiTMKHgktTP8We1SCoS47DrQ/edit?usp=sharing"",""จัดที่ดิน!AB77"")"),718.64)</f>
        <v>718.64</v>
      </c>
      <c r="K363" s="881">
        <f t="shared" si="161"/>
        <v>0</v>
      </c>
      <c r="L363" s="998"/>
      <c r="M363" s="998"/>
      <c r="N363" s="998"/>
      <c r="O363" s="998"/>
      <c r="P363" s="998"/>
    </row>
    <row r="364" spans="1:26" ht="19.5">
      <c r="A364" s="1213"/>
      <c r="B364" s="1214"/>
      <c r="C364" s="1215"/>
      <c r="D364" s="1216" t="s">
        <v>165</v>
      </c>
      <c r="E364" s="1217"/>
      <c r="F364" s="1217"/>
      <c r="G364" s="1218"/>
      <c r="H364" s="478" t="s">
        <v>35</v>
      </c>
      <c r="I364" s="1219">
        <f t="shared" ref="I364:J364" ca="1" si="162">I365+I374</f>
        <v>502</v>
      </c>
      <c r="J364" s="1219">
        <f t="shared" ca="1" si="162"/>
        <v>113</v>
      </c>
      <c r="K364" s="1220">
        <f t="shared" ca="1" si="161"/>
        <v>22.509960159362549</v>
      </c>
      <c r="L364" s="1221"/>
      <c r="M364" s="1221"/>
      <c r="N364" s="1221"/>
      <c r="O364" s="1221"/>
      <c r="P364" s="122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222"/>
      <c r="B365" s="1223"/>
      <c r="C365" s="1224"/>
      <c r="D365" s="1224" t="s">
        <v>166</v>
      </c>
      <c r="E365" s="1225"/>
      <c r="F365" s="1225"/>
      <c r="G365" s="1226"/>
      <c r="H365" s="489" t="s">
        <v>35</v>
      </c>
      <c r="I365" s="1227">
        <f ca="1">IFERROR(__xludf.DUMMYFUNCTION("IMPORTRANGE(""https://docs.google.com/spreadsheets/d/1QqKyyYR6Q21VydFLVH3TRQUabQu_ym0Zz7PgGX0-kHA/edit?usp=sharing"",""แผน!EJ77"")"),182)</f>
        <v>182</v>
      </c>
      <c r="J365" s="1227">
        <f ca="1">J372</f>
        <v>69</v>
      </c>
      <c r="K365" s="1228">
        <f t="shared" ca="1" si="161"/>
        <v>37.912087912087912</v>
      </c>
      <c r="L365" s="1229"/>
      <c r="M365" s="1229"/>
      <c r="N365" s="1229"/>
      <c r="O365" s="1229"/>
      <c r="P365" s="1229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222"/>
      <c r="B366" s="1223"/>
      <c r="C366" s="1224"/>
      <c r="D366" s="1230" t="s">
        <v>167</v>
      </c>
      <c r="E366" s="1225"/>
      <c r="F366" s="1225"/>
      <c r="G366" s="1226"/>
      <c r="H366" s="1231"/>
      <c r="I366" s="1232"/>
      <c r="J366" s="1232"/>
      <c r="K366" s="1229"/>
      <c r="L366" s="1229"/>
      <c r="M366" s="1229"/>
      <c r="N366" s="1229"/>
      <c r="O366" s="1229"/>
      <c r="P366" s="1229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002"/>
      <c r="B367" s="1003"/>
      <c r="C367" s="999" t="s">
        <v>16</v>
      </c>
      <c r="D367" s="1004" t="s">
        <v>38</v>
      </c>
      <c r="E367" s="1005"/>
      <c r="F367" s="1005"/>
      <c r="G367" s="1006"/>
      <c r="H367" s="1007"/>
      <c r="I367" s="880"/>
      <c r="J367" s="880"/>
      <c r="K367" s="881"/>
      <c r="L367" s="998"/>
      <c r="M367" s="998"/>
      <c r="N367" s="998"/>
      <c r="O367" s="998"/>
      <c r="P367" s="998"/>
    </row>
    <row r="368" spans="1:26" ht="18.75">
      <c r="A368" s="1002"/>
      <c r="B368" s="1010"/>
      <c r="C368" s="1003"/>
      <c r="D368" s="1010"/>
      <c r="E368" s="1008" t="s">
        <v>161</v>
      </c>
      <c r="F368" s="1010"/>
      <c r="G368" s="1011"/>
      <c r="H368" s="185" t="s">
        <v>35</v>
      </c>
      <c r="I368" s="880">
        <v>0</v>
      </c>
      <c r="J368" s="880">
        <f ca="1">IFERROR(__xludf.DUMMYFUNCTION("IMPORTRANGE(""https://docs.google.com/spreadsheets/d/1XWAQStnk-4SwqDmLtmXYiTMKHgktTP8We1SCoS47DrQ/edit?usp=sharing"",""จัดที่ดิน!E77"")"),71)</f>
        <v>71</v>
      </c>
      <c r="K368" s="881">
        <f t="shared" ref="K368:K374" si="163">IF(I368&gt;0,J368*100/I368,0)</f>
        <v>0</v>
      </c>
      <c r="L368" s="998"/>
      <c r="M368" s="998"/>
      <c r="N368" s="998"/>
      <c r="O368" s="998"/>
      <c r="P368" s="998"/>
    </row>
    <row r="369" spans="1:26" ht="18.75">
      <c r="A369" s="1002"/>
      <c r="B369" s="1010"/>
      <c r="C369" s="1003"/>
      <c r="D369" s="1010"/>
      <c r="E369" s="1010"/>
      <c r="F369" s="1010"/>
      <c r="G369" s="1011"/>
      <c r="H369" s="185" t="s">
        <v>46</v>
      </c>
      <c r="I369" s="880">
        <f ca="1">IFERROR(__xludf.DUMMYFUNCTION("IMPORTRANGE(""https://docs.google.com/spreadsheets/d/1QqKyyYR6Q21VydFLVH3TRQUabQu_ym0Zz7PgGX0-kHA/edit?usp=sharing"",""แผน!EI77"")"),1300)</f>
        <v>1300</v>
      </c>
      <c r="J369" s="880">
        <f ca="1">IFERROR(__xludf.DUMMYFUNCTION("IMPORTRANGE(""https://docs.google.com/spreadsheets/d/1XWAQStnk-4SwqDmLtmXYiTMKHgktTP8We1SCoS47DrQ/edit?usp=sharing"",""จัดที่ดิน!F77"")"),689.1)</f>
        <v>689.1</v>
      </c>
      <c r="K369" s="881">
        <f t="shared" ca="1" si="163"/>
        <v>53.007692307692309</v>
      </c>
      <c r="L369" s="998"/>
      <c r="M369" s="998"/>
      <c r="N369" s="998"/>
      <c r="O369" s="998"/>
      <c r="P369" s="998"/>
    </row>
    <row r="370" spans="1:26" ht="18.75">
      <c r="A370" s="1002"/>
      <c r="B370" s="1010"/>
      <c r="C370" s="1003"/>
      <c r="D370" s="1010"/>
      <c r="E370" s="1008" t="s">
        <v>162</v>
      </c>
      <c r="F370" s="1010"/>
      <c r="G370" s="1011"/>
      <c r="H370" s="762" t="s">
        <v>35</v>
      </c>
      <c r="I370" s="880">
        <f ca="1">IFERROR(__xludf.DUMMYFUNCTION("IMPORTRANGE(""https://docs.google.com/spreadsheets/d/1QqKyyYR6Q21VydFLVH3TRQUabQu_ym0Zz7PgGX0-kHA/edit?usp=sharing"",""แผน!EJ77"")"),182)</f>
        <v>182</v>
      </c>
      <c r="J370" s="880">
        <f ca="1">IFERROR(__xludf.DUMMYFUNCTION("IMPORTRANGE(""https://docs.google.com/spreadsheets/d/1XWAQStnk-4SwqDmLtmXYiTMKHgktTP8We1SCoS47DrQ/edit?usp=sharing"",""จัดที่ดิน!G77"")"),77)</f>
        <v>77</v>
      </c>
      <c r="K370" s="881">
        <f t="shared" ca="1" si="163"/>
        <v>42.307692307692307</v>
      </c>
      <c r="L370" s="998"/>
      <c r="M370" s="998"/>
      <c r="N370" s="998"/>
      <c r="O370" s="998"/>
      <c r="P370" s="998"/>
    </row>
    <row r="371" spans="1:26" ht="18.75">
      <c r="A371" s="1002"/>
      <c r="B371" s="1010"/>
      <c r="C371" s="1003"/>
      <c r="D371" s="1010"/>
      <c r="E371" s="1010"/>
      <c r="F371" s="1010"/>
      <c r="G371" s="1011"/>
      <c r="H371" s="762" t="s">
        <v>46</v>
      </c>
      <c r="I371" s="880">
        <v>0</v>
      </c>
      <c r="J371" s="880">
        <f ca="1">IFERROR(__xludf.DUMMYFUNCTION("IMPORTRANGE(""https://docs.google.com/spreadsheets/d/1XWAQStnk-4SwqDmLtmXYiTMKHgktTP8We1SCoS47DrQ/edit?usp=sharing"",""จัดที่ดิน!H77"")"),825.81)</f>
        <v>825.81</v>
      </c>
      <c r="K371" s="881">
        <f t="shared" si="163"/>
        <v>0</v>
      </c>
      <c r="L371" s="998"/>
      <c r="M371" s="998"/>
      <c r="N371" s="998"/>
      <c r="O371" s="998"/>
      <c r="P371" s="998"/>
    </row>
    <row r="372" spans="1:26" ht="18.75">
      <c r="A372" s="1002"/>
      <c r="B372" s="1010"/>
      <c r="C372" s="1003"/>
      <c r="D372" s="1010"/>
      <c r="E372" s="1008" t="s">
        <v>163</v>
      </c>
      <c r="F372" s="1010"/>
      <c r="G372" s="1011"/>
      <c r="H372" s="762" t="s">
        <v>35</v>
      </c>
      <c r="I372" s="880">
        <f ca="1">IFERROR(__xludf.DUMMYFUNCTION("IMPORTRANGE(""https://docs.google.com/spreadsheets/d/1QqKyyYR6Q21VydFLVH3TRQUabQu_ym0Zz7PgGX0-kHA/edit?usp=sharing"",""แผน!EJ77"")"),182)</f>
        <v>182</v>
      </c>
      <c r="J372" s="880">
        <f ca="1">IFERROR(__xludf.DUMMYFUNCTION("IMPORTRANGE(""https://docs.google.com/spreadsheets/d/1XWAQStnk-4SwqDmLtmXYiTMKHgktTP8We1SCoS47DrQ/edit?usp=sharing"",""จัดที่ดิน!I77"")"),69)</f>
        <v>69</v>
      </c>
      <c r="K372" s="881">
        <f t="shared" ca="1" si="163"/>
        <v>37.912087912087912</v>
      </c>
      <c r="L372" s="998"/>
      <c r="M372" s="998"/>
      <c r="N372" s="998"/>
      <c r="O372" s="998"/>
      <c r="P372" s="998"/>
    </row>
    <row r="373" spans="1:26" ht="18.75">
      <c r="A373" s="1212" t="s">
        <v>164</v>
      </c>
      <c r="B373" s="1010"/>
      <c r="C373" s="1003"/>
      <c r="D373" s="1010"/>
      <c r="E373" s="1009"/>
      <c r="F373" s="1010"/>
      <c r="G373" s="1011"/>
      <c r="H373" s="762" t="s">
        <v>46</v>
      </c>
      <c r="I373" s="880">
        <v>0</v>
      </c>
      <c r="J373" s="880">
        <f ca="1">IFERROR(__xludf.DUMMYFUNCTION("IMPORTRANGE(""https://docs.google.com/spreadsheets/d/1XWAQStnk-4SwqDmLtmXYiTMKHgktTP8We1SCoS47DrQ/edit?usp=sharing"",""จัดที่ดิน!J77"")"),718.64)</f>
        <v>718.64</v>
      </c>
      <c r="K373" s="881">
        <f t="shared" si="163"/>
        <v>0</v>
      </c>
      <c r="L373" s="998"/>
      <c r="M373" s="998"/>
      <c r="N373" s="998"/>
      <c r="O373" s="998"/>
      <c r="P373" s="998"/>
    </row>
    <row r="374" spans="1:26" ht="19.5">
      <c r="A374" s="1222"/>
      <c r="B374" s="1223"/>
      <c r="C374" s="1224"/>
      <c r="D374" s="1224" t="s">
        <v>168</v>
      </c>
      <c r="E374" s="1225"/>
      <c r="F374" s="1225"/>
      <c r="G374" s="1226"/>
      <c r="H374" s="489" t="s">
        <v>35</v>
      </c>
      <c r="I374" s="1233">
        <f ca="1">IFERROR(__xludf.DUMMYFUNCTION("IMPORTRANGE(""https://docs.google.com/spreadsheets/d/1QqKyyYR6Q21VydFLVH3TRQUabQu_ym0Zz7PgGX0-kHA/edit?usp=sharing"",""แผน!EU77"")"),320)</f>
        <v>320</v>
      </c>
      <c r="J374" s="1227">
        <f ca="1">J381</f>
        <v>44</v>
      </c>
      <c r="K374" s="1228">
        <f t="shared" ca="1" si="163"/>
        <v>13.75</v>
      </c>
      <c r="L374" s="1229"/>
      <c r="M374" s="1229"/>
      <c r="N374" s="1229"/>
      <c r="O374" s="1229"/>
      <c r="P374" s="1229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222"/>
      <c r="B375" s="1223"/>
      <c r="C375" s="1224"/>
      <c r="D375" s="1230" t="s">
        <v>169</v>
      </c>
      <c r="E375" s="1225"/>
      <c r="F375" s="1225"/>
      <c r="G375" s="1226"/>
      <c r="H375" s="1231"/>
      <c r="I375" s="1232"/>
      <c r="J375" s="1232"/>
      <c r="K375" s="1229"/>
      <c r="L375" s="1229"/>
      <c r="M375" s="1229"/>
      <c r="N375" s="1229"/>
      <c r="O375" s="1229"/>
      <c r="P375" s="1229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002"/>
      <c r="B376" s="1003"/>
      <c r="C376" s="999" t="s">
        <v>16</v>
      </c>
      <c r="D376" s="1004" t="s">
        <v>38</v>
      </c>
      <c r="E376" s="1005"/>
      <c r="F376" s="1005"/>
      <c r="G376" s="1006"/>
      <c r="H376" s="1007"/>
      <c r="I376" s="880"/>
      <c r="J376" s="880"/>
      <c r="K376" s="881"/>
      <c r="L376" s="998"/>
      <c r="M376" s="998"/>
      <c r="N376" s="998"/>
      <c r="O376" s="998"/>
      <c r="P376" s="998"/>
    </row>
    <row r="377" spans="1:26" ht="18.75">
      <c r="A377" s="1002"/>
      <c r="B377" s="1010"/>
      <c r="C377" s="1003"/>
      <c r="D377" s="1010"/>
      <c r="E377" s="1008" t="s">
        <v>161</v>
      </c>
      <c r="F377" s="1010"/>
      <c r="G377" s="1011"/>
      <c r="H377" s="185" t="s">
        <v>35</v>
      </c>
      <c r="I377" s="880">
        <v>0</v>
      </c>
      <c r="J377" s="880">
        <f ca="1">IFERROR(__xludf.DUMMYFUNCTION("IMPORTRANGE(""https://docs.google.com/spreadsheets/d/1XWAQStnk-4SwqDmLtmXYiTMKHgktTP8We1SCoS47DrQ/edit?usp=sharing"",""จัดที่ดิน!AH77"")"),99)</f>
        <v>99</v>
      </c>
      <c r="K377" s="881">
        <f t="shared" ref="K377:K382" si="164">IF(I377&gt;0,J377*100/I377,0)</f>
        <v>0</v>
      </c>
      <c r="L377" s="998"/>
      <c r="M377" s="998"/>
      <c r="N377" s="998"/>
      <c r="O377" s="998"/>
      <c r="P377" s="998"/>
    </row>
    <row r="378" spans="1:26" ht="18.75">
      <c r="A378" s="1002"/>
      <c r="B378" s="1010"/>
      <c r="C378" s="1003"/>
      <c r="D378" s="1010"/>
      <c r="E378" s="1010"/>
      <c r="F378" s="1010"/>
      <c r="G378" s="1011"/>
      <c r="H378" s="185" t="s">
        <v>46</v>
      </c>
      <c r="I378" s="880">
        <f ca="1">IFERROR(__xludf.DUMMYFUNCTION("IMPORTRANGE(""https://docs.google.com/spreadsheets/d/1QqKyyYR6Q21VydFLVH3TRQUabQu_ym0Zz7PgGX0-kHA/edit?usp=sharing"",""แผน!ET77"")"),1400)</f>
        <v>1400</v>
      </c>
      <c r="J378" s="880">
        <f ca="1">IFERROR(__xludf.DUMMYFUNCTION("IMPORTRANGE(""https://docs.google.com/spreadsheets/d/1XWAQStnk-4SwqDmLtmXYiTMKHgktTP8We1SCoS47DrQ/edit?usp=sharing"",""จัดที่ดิน!AI77"")"),613.54)</f>
        <v>613.54</v>
      </c>
      <c r="K378" s="881">
        <f t="shared" ca="1" si="164"/>
        <v>43.824285714285715</v>
      </c>
      <c r="L378" s="998"/>
      <c r="M378" s="998"/>
      <c r="N378" s="998"/>
      <c r="O378" s="998"/>
      <c r="P378" s="998"/>
    </row>
    <row r="379" spans="1:26" ht="18.75">
      <c r="A379" s="1002"/>
      <c r="B379" s="1010"/>
      <c r="C379" s="1003"/>
      <c r="D379" s="1010"/>
      <c r="E379" s="1008" t="s">
        <v>162</v>
      </c>
      <c r="F379" s="1010"/>
      <c r="G379" s="1011"/>
      <c r="H379" s="762" t="s">
        <v>35</v>
      </c>
      <c r="I379" s="880">
        <f ca="1">IFERROR(__xludf.DUMMYFUNCTION("IMPORTRANGE(""https://docs.google.com/spreadsheets/d/1QqKyyYR6Q21VydFLVH3TRQUabQu_ym0Zz7PgGX0-kHA/edit?usp=sharing"",""แผน!EU77"")"),320)</f>
        <v>320</v>
      </c>
      <c r="J379" s="880">
        <f ca="1">IFERROR(__xludf.DUMMYFUNCTION("IMPORTRANGE(""https://docs.google.com/spreadsheets/d/1XWAQStnk-4SwqDmLtmXYiTMKHgktTP8We1SCoS47DrQ/edit?usp=sharing"",""จัดที่ดิน!AJ77"")"),62)</f>
        <v>62</v>
      </c>
      <c r="K379" s="881">
        <f t="shared" ca="1" si="164"/>
        <v>19.375</v>
      </c>
      <c r="L379" s="998"/>
      <c r="M379" s="998"/>
      <c r="N379" s="998"/>
      <c r="O379" s="998"/>
      <c r="P379" s="998"/>
    </row>
    <row r="380" spans="1:26" ht="18.75">
      <c r="A380" s="1002"/>
      <c r="B380" s="1010"/>
      <c r="C380" s="1003"/>
      <c r="D380" s="1010"/>
      <c r="E380" s="1010"/>
      <c r="F380" s="1010"/>
      <c r="G380" s="1011"/>
      <c r="H380" s="762" t="s">
        <v>46</v>
      </c>
      <c r="I380" s="880">
        <v>0</v>
      </c>
      <c r="J380" s="880">
        <f ca="1">IFERROR(__xludf.DUMMYFUNCTION("IMPORTRANGE(""https://docs.google.com/spreadsheets/d/1XWAQStnk-4SwqDmLtmXYiTMKHgktTP8We1SCoS47DrQ/edit?usp=sharing"",""จัดที่ดิน!AK77"")"),556.2)</f>
        <v>556.20000000000005</v>
      </c>
      <c r="K380" s="881">
        <f t="shared" si="164"/>
        <v>0</v>
      </c>
      <c r="L380" s="998"/>
      <c r="M380" s="998"/>
      <c r="N380" s="998"/>
      <c r="O380" s="998"/>
      <c r="P380" s="998"/>
    </row>
    <row r="381" spans="1:26" ht="18.75">
      <c r="A381" s="1002"/>
      <c r="B381" s="1010"/>
      <c r="C381" s="1003"/>
      <c r="D381" s="1010"/>
      <c r="E381" s="1008" t="s">
        <v>163</v>
      </c>
      <c r="F381" s="1010"/>
      <c r="G381" s="1011"/>
      <c r="H381" s="762" t="s">
        <v>35</v>
      </c>
      <c r="I381" s="880">
        <f ca="1">IFERROR(__xludf.DUMMYFUNCTION("IMPORTRANGE(""https://docs.google.com/spreadsheets/d/1QqKyyYR6Q21VydFLVH3TRQUabQu_ym0Zz7PgGX0-kHA/edit?usp=sharing"",""แผน!EU77"")"),320)</f>
        <v>320</v>
      </c>
      <c r="J381" s="880">
        <f ca="1">IFERROR(__xludf.DUMMYFUNCTION("IMPORTRANGE(""https://docs.google.com/spreadsheets/d/1XWAQStnk-4SwqDmLtmXYiTMKHgktTP8We1SCoS47DrQ/edit?usp=sharing"",""จัดที่ดิน!AL77"")"),44)</f>
        <v>44</v>
      </c>
      <c r="K381" s="881">
        <f t="shared" ca="1" si="164"/>
        <v>13.75</v>
      </c>
      <c r="L381" s="998"/>
      <c r="M381" s="998"/>
      <c r="N381" s="998"/>
      <c r="O381" s="998"/>
      <c r="P381" s="998"/>
    </row>
    <row r="382" spans="1:26" ht="18.75">
      <c r="A382" s="1212" t="s">
        <v>164</v>
      </c>
      <c r="B382" s="1010"/>
      <c r="C382" s="1003"/>
      <c r="D382" s="1010"/>
      <c r="E382" s="1009"/>
      <c r="F382" s="1010"/>
      <c r="G382" s="1011"/>
      <c r="H382" s="762" t="s">
        <v>46</v>
      </c>
      <c r="I382" s="880">
        <v>0</v>
      </c>
      <c r="J382" s="880">
        <f ca="1">IFERROR(__xludf.DUMMYFUNCTION("IMPORTRANGE(""https://docs.google.com/spreadsheets/d/1XWAQStnk-4SwqDmLtmXYiTMKHgktTP8We1SCoS47DrQ/edit?usp=sharing"",""จัดที่ดิน!AM77"")"),469.98)</f>
        <v>469.98</v>
      </c>
      <c r="K382" s="881">
        <f t="shared" si="164"/>
        <v>0</v>
      </c>
      <c r="L382" s="998"/>
      <c r="M382" s="998"/>
      <c r="N382" s="998"/>
      <c r="O382" s="998"/>
      <c r="P382" s="998"/>
    </row>
    <row r="383" spans="1:26" ht="19.5">
      <c r="A383" s="1234"/>
      <c r="B383" s="1235"/>
      <c r="C383" s="1091"/>
      <c r="D383" s="1236" t="s">
        <v>170</v>
      </c>
      <c r="E383" s="1091"/>
      <c r="F383" s="1091"/>
      <c r="G383" s="1237"/>
      <c r="H383" s="1199"/>
      <c r="I383" s="1067"/>
      <c r="J383" s="1067"/>
      <c r="K383" s="1068"/>
      <c r="L383" s="1068"/>
      <c r="M383" s="1068"/>
      <c r="N383" s="1068"/>
      <c r="O383" s="1068"/>
      <c r="P383" s="1068"/>
    </row>
    <row r="384" spans="1:26" ht="19.5">
      <c r="A384" s="1002"/>
      <c r="B384" s="1003"/>
      <c r="C384" s="877" t="s">
        <v>16</v>
      </c>
      <c r="D384" s="1004" t="s">
        <v>38</v>
      </c>
      <c r="E384" s="1005"/>
      <c r="F384" s="1005"/>
      <c r="G384" s="1006"/>
      <c r="H384" s="1007"/>
      <c r="I384" s="880"/>
      <c r="J384" s="880"/>
      <c r="K384" s="881"/>
      <c r="L384" s="998"/>
      <c r="M384" s="998"/>
      <c r="N384" s="998"/>
      <c r="O384" s="998"/>
      <c r="P384" s="998"/>
    </row>
    <row r="385" spans="1:26" ht="18.75">
      <c r="A385" s="1133"/>
      <c r="B385" s="1136"/>
      <c r="C385" s="1134"/>
      <c r="D385" s="1136"/>
      <c r="E385" s="1238" t="s">
        <v>171</v>
      </c>
      <c r="F385" s="1136"/>
      <c r="G385" s="1137"/>
      <c r="H385" s="504" t="s">
        <v>35</v>
      </c>
      <c r="I385" s="1138">
        <f ca="1">IFERROR(__xludf.DUMMYFUNCTION("IMPORTRANGE(""https://docs.google.com/spreadsheets/d/1QqKyyYR6Q21VydFLVH3TRQUabQu_ym0Zz7PgGX0-kHA/edit?usp=sharing"",""แผน!EW77"")"),20)</f>
        <v>20</v>
      </c>
      <c r="J385" s="1138">
        <f ca="1">IFERROR(__xludf.DUMMYFUNCTION("IMPORTRANGE(""https://docs.google.com/spreadsheets/d/1XWAQStnk-4SwqDmLtmXYiTMKHgktTP8We1SCoS47DrQ/edit?usp=sharing"",""จัดที่ดิน!AP77"")"),4)</f>
        <v>4</v>
      </c>
      <c r="K385" s="1239">
        <f ca="1">IF(I385&gt;0,J385*100/I385,0)</f>
        <v>20</v>
      </c>
      <c r="L385" s="1139"/>
      <c r="M385" s="1139"/>
      <c r="N385" s="1139"/>
      <c r="O385" s="1139"/>
      <c r="P385" s="1139"/>
    </row>
    <row r="386" spans="1:26" ht="19.5" hidden="1">
      <c r="A386" s="1240" t="s">
        <v>172</v>
      </c>
      <c r="B386" s="1241"/>
      <c r="C386" s="1241"/>
      <c r="D386" s="1241"/>
      <c r="E386" s="1242"/>
      <c r="F386" s="1242"/>
      <c r="G386" s="1243"/>
      <c r="H386" s="1244"/>
      <c r="I386" s="1245"/>
      <c r="J386" s="1245"/>
      <c r="K386" s="1246"/>
      <c r="L386" s="1246"/>
      <c r="M386" s="1246"/>
      <c r="N386" s="1246"/>
      <c r="O386" s="1246"/>
      <c r="P386" s="1246"/>
    </row>
    <row r="387" spans="1:26" ht="19.5" hidden="1">
      <c r="A387" s="1247" t="s">
        <v>173</v>
      </c>
      <c r="B387" s="1248"/>
      <c r="C387" s="1248"/>
      <c r="D387" s="1249"/>
      <c r="E387" s="1248"/>
      <c r="F387" s="1248"/>
      <c r="G387" s="1248"/>
      <c r="H387" s="1250"/>
      <c r="I387" s="1251"/>
      <c r="J387" s="1251"/>
      <c r="K387" s="1252"/>
      <c r="L387" s="1252"/>
      <c r="M387" s="1252"/>
      <c r="N387" s="1252"/>
      <c r="O387" s="1252"/>
      <c r="P387" s="1252"/>
    </row>
    <row r="388" spans="1:26" ht="19.5" hidden="1">
      <c r="A388" s="1253"/>
      <c r="B388" s="1254" t="s">
        <v>174</v>
      </c>
      <c r="C388" s="1255"/>
      <c r="D388" s="1256"/>
      <c r="E388" s="1256"/>
      <c r="F388" s="1256"/>
      <c r="G388" s="1257"/>
      <c r="H388" s="525" t="s">
        <v>66</v>
      </c>
      <c r="I388" s="1258">
        <f t="shared" ref="I388:J388" si="165">I400</f>
        <v>0</v>
      </c>
      <c r="J388" s="1258">
        <f t="shared" si="165"/>
        <v>0</v>
      </c>
      <c r="K388" s="1259">
        <f>IF(I388&gt;0,J388*100/I388,0)</f>
        <v>0</v>
      </c>
      <c r="L388" s="1260"/>
      <c r="M388" s="1260"/>
      <c r="N388" s="1260"/>
      <c r="O388" s="1260"/>
      <c r="P388" s="1260"/>
    </row>
    <row r="389" spans="1:26" ht="19.5" hidden="1">
      <c r="A389" s="985"/>
      <c r="B389" s="986"/>
      <c r="C389" s="987" t="s">
        <v>16</v>
      </c>
      <c r="D389" s="988" t="s">
        <v>17</v>
      </c>
      <c r="E389" s="986"/>
      <c r="F389" s="986"/>
      <c r="G389" s="989"/>
      <c r="H389" s="152" t="s">
        <v>12</v>
      </c>
      <c r="I389" s="990"/>
      <c r="J389" s="990"/>
      <c r="K389" s="991"/>
      <c r="L389" s="992">
        <f t="shared" ref="L389:N389" ca="1" si="166">L390+L391</f>
        <v>0</v>
      </c>
      <c r="M389" s="992">
        <f t="shared" ca="1" si="166"/>
        <v>0</v>
      </c>
      <c r="N389" s="992">
        <f t="shared" ca="1" si="166"/>
        <v>0</v>
      </c>
      <c r="O389" s="992">
        <f t="shared" ref="O389:O397" ca="1" si="167">IF(L389&gt;0,N389*100/L389,0)</f>
        <v>0</v>
      </c>
      <c r="P389" s="992">
        <f t="shared" ref="P389:P397" ca="1" si="168">IF(M389&gt;0,N389*100/M389,0)</f>
        <v>0</v>
      </c>
      <c r="Q389" s="868"/>
      <c r="R389" s="868"/>
      <c r="S389" s="868"/>
      <c r="T389" s="868"/>
      <c r="U389" s="868"/>
      <c r="V389" s="868"/>
      <c r="W389" s="868"/>
      <c r="X389" s="868"/>
      <c r="Y389" s="868"/>
      <c r="Z389" s="868"/>
    </row>
    <row r="390" spans="1:26" ht="18.75" hidden="1">
      <c r="A390" s="993"/>
      <c r="B390" s="883"/>
      <c r="C390" s="883"/>
      <c r="D390" s="883"/>
      <c r="E390" s="884" t="s">
        <v>18</v>
      </c>
      <c r="F390" s="883"/>
      <c r="G390" s="994"/>
      <c r="H390" s="158" t="s">
        <v>12</v>
      </c>
      <c r="I390" s="886"/>
      <c r="J390" s="886"/>
      <c r="K390" s="887"/>
      <c r="L390" s="887">
        <f t="shared" ref="L390:N391" si="169">L393+L396</f>
        <v>0</v>
      </c>
      <c r="M390" s="887">
        <f t="shared" si="169"/>
        <v>0</v>
      </c>
      <c r="N390" s="887">
        <f t="shared" si="169"/>
        <v>0</v>
      </c>
      <c r="O390" s="887">
        <f t="shared" si="167"/>
        <v>0</v>
      </c>
      <c r="P390" s="887">
        <f t="shared" si="168"/>
        <v>0</v>
      </c>
      <c r="Q390" s="875"/>
      <c r="R390" s="875"/>
      <c r="S390" s="875"/>
      <c r="T390" s="875"/>
      <c r="U390" s="875"/>
      <c r="V390" s="875"/>
      <c r="W390" s="875"/>
      <c r="X390" s="875"/>
      <c r="Y390" s="875"/>
      <c r="Z390" s="875"/>
    </row>
    <row r="391" spans="1:26" ht="18.75" hidden="1">
      <c r="A391" s="993"/>
      <c r="B391" s="883"/>
      <c r="C391" s="883"/>
      <c r="D391" s="883"/>
      <c r="E391" s="884" t="s">
        <v>19</v>
      </c>
      <c r="F391" s="883"/>
      <c r="G391" s="994"/>
      <c r="H391" s="158" t="s">
        <v>12</v>
      </c>
      <c r="I391" s="886"/>
      <c r="J391" s="886"/>
      <c r="K391" s="887"/>
      <c r="L391" s="887">
        <f t="shared" ca="1" si="169"/>
        <v>0</v>
      </c>
      <c r="M391" s="887">
        <f t="shared" ca="1" si="169"/>
        <v>0</v>
      </c>
      <c r="N391" s="887">
        <f t="shared" ca="1" si="169"/>
        <v>0</v>
      </c>
      <c r="O391" s="887">
        <f t="shared" ca="1" si="167"/>
        <v>0</v>
      </c>
      <c r="P391" s="887">
        <f t="shared" ca="1" si="168"/>
        <v>0</v>
      </c>
      <c r="Q391" s="875"/>
      <c r="R391" s="875"/>
      <c r="S391" s="875"/>
      <c r="T391" s="875"/>
      <c r="U391" s="875"/>
      <c r="V391" s="875"/>
      <c r="W391" s="875"/>
      <c r="X391" s="875"/>
      <c r="Y391" s="875"/>
      <c r="Z391" s="875"/>
    </row>
    <row r="392" spans="1:26" ht="18.75" hidden="1">
      <c r="A392" s="995"/>
      <c r="B392" s="877"/>
      <c r="C392" s="996"/>
      <c r="D392" s="878" t="s">
        <v>20</v>
      </c>
      <c r="E392" s="877"/>
      <c r="F392" s="877"/>
      <c r="G392" s="879"/>
      <c r="H392" s="161" t="s">
        <v>12</v>
      </c>
      <c r="I392" s="997"/>
      <c r="J392" s="997"/>
      <c r="K392" s="998"/>
      <c r="L392" s="881">
        <f t="shared" ref="L392:N392" ca="1" si="170">L393+L394</f>
        <v>0</v>
      </c>
      <c r="M392" s="881">
        <f t="shared" ca="1" si="170"/>
        <v>0</v>
      </c>
      <c r="N392" s="881">
        <f t="shared" ca="1" si="170"/>
        <v>0</v>
      </c>
      <c r="O392" s="881">
        <f t="shared" ca="1" si="167"/>
        <v>0</v>
      </c>
      <c r="P392" s="881">
        <f t="shared" ca="1" si="168"/>
        <v>0</v>
      </c>
      <c r="Q392" s="868"/>
      <c r="R392" s="868"/>
      <c r="S392" s="868"/>
      <c r="T392" s="868"/>
      <c r="U392" s="868"/>
      <c r="V392" s="868"/>
      <c r="W392" s="868"/>
      <c r="X392" s="868"/>
      <c r="Y392" s="868"/>
      <c r="Z392" s="868"/>
    </row>
    <row r="393" spans="1:26" ht="19.5" hidden="1">
      <c r="A393" s="993"/>
      <c r="B393" s="883"/>
      <c r="C393" s="999"/>
      <c r="D393" s="883"/>
      <c r="E393" s="884" t="s">
        <v>36</v>
      </c>
      <c r="F393" s="883"/>
      <c r="G393" s="994"/>
      <c r="H393" s="165" t="s">
        <v>12</v>
      </c>
      <c r="I393" s="1000"/>
      <c r="J393" s="1000"/>
      <c r="K393" s="1001"/>
      <c r="L393" s="887">
        <v>0</v>
      </c>
      <c r="M393" s="887">
        <v>0</v>
      </c>
      <c r="N393" s="887">
        <v>0</v>
      </c>
      <c r="O393" s="887">
        <f t="shared" si="167"/>
        <v>0</v>
      </c>
      <c r="P393" s="887">
        <f t="shared" si="168"/>
        <v>0</v>
      </c>
      <c r="Q393" s="875"/>
      <c r="R393" s="875"/>
      <c r="S393" s="875"/>
      <c r="T393" s="875"/>
      <c r="U393" s="875"/>
      <c r="V393" s="875"/>
      <c r="W393" s="875"/>
      <c r="X393" s="875"/>
      <c r="Y393" s="875"/>
      <c r="Z393" s="875"/>
    </row>
    <row r="394" spans="1:26" ht="19.5" hidden="1">
      <c r="A394" s="993"/>
      <c r="B394" s="883"/>
      <c r="C394" s="999"/>
      <c r="D394" s="883"/>
      <c r="E394" s="884" t="s">
        <v>37</v>
      </c>
      <c r="F394" s="883"/>
      <c r="G394" s="994"/>
      <c r="H394" s="165" t="s">
        <v>12</v>
      </c>
      <c r="I394" s="1000"/>
      <c r="J394" s="1000"/>
      <c r="K394" s="1001"/>
      <c r="L394" s="887">
        <f ca="1">IFERROR(__xludf.DUMMYFUNCTION("IMPORTRANGE(""https://docs.google.com/spreadsheets/d/1MeEWN-I1oV_STSDYn1IFDPWt_1FKiwhDph83XaGc0o0/edit?usp=sharing"",""งบพรบ!FG77"")"),0)</f>
        <v>0</v>
      </c>
      <c r="M394" s="887">
        <f ca="1">IFERROR(__xludf.DUMMYFUNCTION("IMPORTRANGE(""https://docs.google.com/spreadsheets/d/1MeEWN-I1oV_STSDYn1IFDPWt_1FKiwhDph83XaGc0o0/edit?usp=sharing"",""งบพรบ!FL77"")"),0)</f>
        <v>0</v>
      </c>
      <c r="N394" s="887">
        <f ca="1">IFERROR(__xludf.DUMMYFUNCTION("IMPORTRANGE(""https://docs.google.com/spreadsheets/d/1MeEWN-I1oV_STSDYn1IFDPWt_1FKiwhDph83XaGc0o0/edit?usp=sharing"",""งบพรบ!FN77"")"),0)</f>
        <v>0</v>
      </c>
      <c r="O394" s="887">
        <f t="shared" ca="1" si="167"/>
        <v>0</v>
      </c>
      <c r="P394" s="887">
        <f t="shared" ca="1" si="168"/>
        <v>0</v>
      </c>
      <c r="Q394" s="875"/>
      <c r="R394" s="875"/>
      <c r="S394" s="875"/>
      <c r="T394" s="875"/>
      <c r="U394" s="875"/>
      <c r="V394" s="875"/>
      <c r="W394" s="875"/>
      <c r="X394" s="875"/>
      <c r="Y394" s="875"/>
      <c r="Z394" s="875"/>
    </row>
    <row r="395" spans="1:26" ht="18.75" hidden="1">
      <c r="A395" s="995"/>
      <c r="B395" s="877"/>
      <c r="C395" s="996"/>
      <c r="D395" s="878" t="s">
        <v>21</v>
      </c>
      <c r="E395" s="877"/>
      <c r="F395" s="877"/>
      <c r="G395" s="879"/>
      <c r="H395" s="168" t="s">
        <v>12</v>
      </c>
      <c r="I395" s="997"/>
      <c r="J395" s="997"/>
      <c r="K395" s="998"/>
      <c r="L395" s="881">
        <f t="shared" ref="L395:N395" ca="1" si="171">L396+L397</f>
        <v>0</v>
      </c>
      <c r="M395" s="881">
        <f t="shared" ca="1" si="171"/>
        <v>0</v>
      </c>
      <c r="N395" s="881">
        <f t="shared" ca="1" si="171"/>
        <v>0</v>
      </c>
      <c r="O395" s="881">
        <f t="shared" ca="1" si="167"/>
        <v>0</v>
      </c>
      <c r="P395" s="881">
        <f t="shared" ca="1" si="168"/>
        <v>0</v>
      </c>
      <c r="Q395" s="868"/>
      <c r="R395" s="868"/>
      <c r="S395" s="868"/>
      <c r="T395" s="868"/>
      <c r="U395" s="868"/>
      <c r="V395" s="868"/>
      <c r="W395" s="868"/>
      <c r="X395" s="868"/>
      <c r="Y395" s="868"/>
      <c r="Z395" s="868"/>
    </row>
    <row r="396" spans="1:26" ht="19.5" hidden="1">
      <c r="A396" s="993"/>
      <c r="B396" s="883"/>
      <c r="C396" s="999"/>
      <c r="D396" s="883"/>
      <c r="E396" s="884" t="s">
        <v>18</v>
      </c>
      <c r="F396" s="883"/>
      <c r="G396" s="994"/>
      <c r="H396" s="165" t="s">
        <v>12</v>
      </c>
      <c r="I396" s="1000"/>
      <c r="J396" s="1000"/>
      <c r="K396" s="1001"/>
      <c r="L396" s="887">
        <v>0</v>
      </c>
      <c r="M396" s="887">
        <v>0</v>
      </c>
      <c r="N396" s="887">
        <v>0</v>
      </c>
      <c r="O396" s="887">
        <f t="shared" si="167"/>
        <v>0</v>
      </c>
      <c r="P396" s="887">
        <f t="shared" si="168"/>
        <v>0</v>
      </c>
      <c r="Q396" s="875"/>
      <c r="R396" s="875"/>
      <c r="S396" s="875"/>
      <c r="T396" s="875"/>
      <c r="U396" s="875"/>
      <c r="V396" s="875"/>
      <c r="W396" s="875"/>
      <c r="X396" s="875"/>
      <c r="Y396" s="875"/>
      <c r="Z396" s="875"/>
    </row>
    <row r="397" spans="1:26" ht="19.5" hidden="1">
      <c r="A397" s="993"/>
      <c r="B397" s="883"/>
      <c r="C397" s="999"/>
      <c r="D397" s="883"/>
      <c r="E397" s="884" t="s">
        <v>19</v>
      </c>
      <c r="F397" s="883"/>
      <c r="G397" s="994"/>
      <c r="H397" s="169" t="s">
        <v>12</v>
      </c>
      <c r="I397" s="1000"/>
      <c r="J397" s="1000"/>
      <c r="K397" s="1001"/>
      <c r="L397" s="887">
        <f ca="1">IFERROR(__xludf.DUMMYFUNCTION("IMPORTRANGE(""https://docs.google.com/spreadsheets/d/1MeEWN-I1oV_STSDYn1IFDPWt_1FKiwhDph83XaGc0o0/edit?usp=sharing"",""งบพรบ!FJ77"")"),0)</f>
        <v>0</v>
      </c>
      <c r="M397" s="887">
        <f ca="1">IFERROR(__xludf.DUMMYFUNCTION("IMPORTRANGE(""https://docs.google.com/spreadsheets/d/1MeEWN-I1oV_STSDYn1IFDPWt_1FKiwhDph83XaGc0o0/edit?usp=sharing"",""งบพรบ!FM77"")"),0)</f>
        <v>0</v>
      </c>
      <c r="N397" s="887">
        <f ca="1">IFERROR(__xludf.DUMMYFUNCTION("IMPORTRANGE(""https://docs.google.com/spreadsheets/d/1MeEWN-I1oV_STSDYn1IFDPWt_1FKiwhDph83XaGc0o0/edit?usp=sharing"",""งบพรบ!FO77"")"),0)</f>
        <v>0</v>
      </c>
      <c r="O397" s="887">
        <f t="shared" ca="1" si="167"/>
        <v>0</v>
      </c>
      <c r="P397" s="887">
        <f t="shared" ca="1" si="168"/>
        <v>0</v>
      </c>
      <c r="Q397" s="875"/>
      <c r="R397" s="875"/>
      <c r="S397" s="875"/>
      <c r="T397" s="875"/>
      <c r="U397" s="875"/>
      <c r="V397" s="875"/>
      <c r="W397" s="875"/>
      <c r="X397" s="875"/>
      <c r="Y397" s="875"/>
      <c r="Z397" s="875"/>
    </row>
    <row r="398" spans="1:26" ht="19.5" hidden="1">
      <c r="A398" s="1002"/>
      <c r="B398" s="1003"/>
      <c r="C398" s="999" t="s">
        <v>16</v>
      </c>
      <c r="D398" s="1004" t="s">
        <v>38</v>
      </c>
      <c r="E398" s="1005"/>
      <c r="F398" s="1005"/>
      <c r="G398" s="1006"/>
      <c r="H398" s="1007"/>
      <c r="I398" s="997"/>
      <c r="J398" s="880"/>
      <c r="K398" s="881"/>
      <c r="L398" s="881"/>
      <c r="M398" s="881"/>
      <c r="N398" s="881"/>
      <c r="O398" s="998"/>
      <c r="P398" s="998"/>
    </row>
    <row r="399" spans="1:26" ht="18.75" hidden="1">
      <c r="A399" s="1261"/>
      <c r="B399" s="986"/>
      <c r="C399" s="1262"/>
      <c r="D399" s="1021" t="s">
        <v>175</v>
      </c>
      <c r="E399" s="1166"/>
      <c r="F399" s="986"/>
      <c r="G399" s="989"/>
      <c r="H399" s="532" t="s">
        <v>9</v>
      </c>
      <c r="I399" s="880">
        <v>0</v>
      </c>
      <c r="J399" s="1012">
        <v>0</v>
      </c>
      <c r="K399" s="881">
        <f t="shared" ref="K399:K401" si="172">IF(I399&gt;0,J399*100/I399,0)</f>
        <v>0</v>
      </c>
      <c r="L399" s="1263"/>
      <c r="M399" s="1263"/>
      <c r="N399" s="1263"/>
      <c r="O399" s="1263"/>
      <c r="P399" s="1263"/>
      <c r="Q399" s="868"/>
      <c r="R399" s="868"/>
      <c r="S399" s="868"/>
      <c r="T399" s="868"/>
      <c r="U399" s="868"/>
      <c r="V399" s="868"/>
      <c r="W399" s="868"/>
      <c r="X399" s="868"/>
      <c r="Y399" s="868"/>
      <c r="Z399" s="868"/>
    </row>
    <row r="400" spans="1:26" ht="18.75" hidden="1">
      <c r="A400" s="1086"/>
      <c r="B400" s="877"/>
      <c r="C400" s="1084"/>
      <c r="D400" s="1009" t="s">
        <v>176</v>
      </c>
      <c r="E400" s="1003"/>
      <c r="F400" s="877"/>
      <c r="G400" s="879"/>
      <c r="H400" s="277" t="s">
        <v>66</v>
      </c>
      <c r="I400" s="880">
        <v>0</v>
      </c>
      <c r="J400" s="1012">
        <v>0</v>
      </c>
      <c r="K400" s="881">
        <f t="shared" si="172"/>
        <v>0</v>
      </c>
      <c r="L400" s="881"/>
      <c r="M400" s="881"/>
      <c r="N400" s="881"/>
      <c r="O400" s="881"/>
      <c r="P400" s="881"/>
    </row>
    <row r="401" spans="1:26" ht="19.5" hidden="1">
      <c r="A401" s="1253"/>
      <c r="B401" s="1254" t="s">
        <v>177</v>
      </c>
      <c r="C401" s="1255"/>
      <c r="D401" s="1256"/>
      <c r="E401" s="1256"/>
      <c r="F401" s="1256"/>
      <c r="G401" s="1257"/>
      <c r="H401" s="525" t="s">
        <v>66</v>
      </c>
      <c r="I401" s="1258">
        <f t="shared" ref="I401:J401" si="173">I412</f>
        <v>0</v>
      </c>
      <c r="J401" s="1258">
        <f t="shared" si="173"/>
        <v>0</v>
      </c>
      <c r="K401" s="1259">
        <f t="shared" si="172"/>
        <v>0</v>
      </c>
      <c r="L401" s="1260"/>
      <c r="M401" s="1260"/>
      <c r="N401" s="1260"/>
      <c r="O401" s="1260"/>
      <c r="P401" s="1260"/>
    </row>
    <row r="402" spans="1:26" ht="19.5" hidden="1">
      <c r="A402" s="985"/>
      <c r="B402" s="986"/>
      <c r="C402" s="987" t="s">
        <v>16</v>
      </c>
      <c r="D402" s="988" t="s">
        <v>17</v>
      </c>
      <c r="E402" s="986"/>
      <c r="F402" s="986"/>
      <c r="G402" s="989"/>
      <c r="H402" s="152" t="s">
        <v>12</v>
      </c>
      <c r="I402" s="990"/>
      <c r="J402" s="990"/>
      <c r="K402" s="991"/>
      <c r="L402" s="992">
        <f t="shared" ref="L402:N402" ca="1" si="174">L403+L404</f>
        <v>0</v>
      </c>
      <c r="M402" s="992">
        <f t="shared" ca="1" si="174"/>
        <v>0</v>
      </c>
      <c r="N402" s="992">
        <f t="shared" ca="1" si="174"/>
        <v>0</v>
      </c>
      <c r="O402" s="992">
        <f t="shared" ref="O402:O410" ca="1" si="175">IF(L402&gt;0,N402*100/L402,0)</f>
        <v>0</v>
      </c>
      <c r="P402" s="992">
        <f t="shared" ref="P402:P410" ca="1" si="176">IF(M402&gt;0,N402*100/M402,0)</f>
        <v>0</v>
      </c>
      <c r="Q402" s="868"/>
      <c r="R402" s="868"/>
      <c r="S402" s="868"/>
      <c r="T402" s="868"/>
      <c r="U402" s="868"/>
      <c r="V402" s="868"/>
      <c r="W402" s="868"/>
      <c r="X402" s="868"/>
      <c r="Y402" s="868"/>
      <c r="Z402" s="868"/>
    </row>
    <row r="403" spans="1:26" ht="18.75" hidden="1">
      <c r="A403" s="993"/>
      <c r="B403" s="883"/>
      <c r="C403" s="883"/>
      <c r="D403" s="883"/>
      <c r="E403" s="884" t="s">
        <v>18</v>
      </c>
      <c r="F403" s="883"/>
      <c r="G403" s="994"/>
      <c r="H403" s="158" t="s">
        <v>12</v>
      </c>
      <c r="I403" s="886"/>
      <c r="J403" s="886"/>
      <c r="K403" s="887"/>
      <c r="L403" s="887">
        <f t="shared" ref="L403:N404" si="177">L406+L409</f>
        <v>0</v>
      </c>
      <c r="M403" s="887">
        <f t="shared" si="177"/>
        <v>0</v>
      </c>
      <c r="N403" s="887">
        <f t="shared" si="177"/>
        <v>0</v>
      </c>
      <c r="O403" s="887">
        <f t="shared" si="175"/>
        <v>0</v>
      </c>
      <c r="P403" s="887">
        <f t="shared" si="176"/>
        <v>0</v>
      </c>
      <c r="Q403" s="875"/>
      <c r="R403" s="875"/>
      <c r="S403" s="875"/>
      <c r="T403" s="875"/>
      <c r="U403" s="875"/>
      <c r="V403" s="875"/>
      <c r="W403" s="875"/>
      <c r="X403" s="875"/>
      <c r="Y403" s="875"/>
      <c r="Z403" s="875"/>
    </row>
    <row r="404" spans="1:26" ht="18.75" hidden="1">
      <c r="A404" s="993"/>
      <c r="B404" s="883"/>
      <c r="C404" s="883"/>
      <c r="D404" s="883"/>
      <c r="E404" s="884" t="s">
        <v>19</v>
      </c>
      <c r="F404" s="883"/>
      <c r="G404" s="994"/>
      <c r="H404" s="158" t="s">
        <v>12</v>
      </c>
      <c r="I404" s="886"/>
      <c r="J404" s="886"/>
      <c r="K404" s="887"/>
      <c r="L404" s="887">
        <f t="shared" ca="1" si="177"/>
        <v>0</v>
      </c>
      <c r="M404" s="887">
        <f t="shared" ca="1" si="177"/>
        <v>0</v>
      </c>
      <c r="N404" s="887">
        <f t="shared" ca="1" si="177"/>
        <v>0</v>
      </c>
      <c r="O404" s="887">
        <f t="shared" ca="1" si="175"/>
        <v>0</v>
      </c>
      <c r="P404" s="887">
        <f t="shared" ca="1" si="176"/>
        <v>0</v>
      </c>
      <c r="Q404" s="875"/>
      <c r="R404" s="875"/>
      <c r="S404" s="875"/>
      <c r="T404" s="875"/>
      <c r="U404" s="875"/>
      <c r="V404" s="875"/>
      <c r="W404" s="875"/>
      <c r="X404" s="875"/>
      <c r="Y404" s="875"/>
      <c r="Z404" s="875"/>
    </row>
    <row r="405" spans="1:26" ht="18.75" hidden="1">
      <c r="A405" s="995"/>
      <c r="B405" s="877"/>
      <c r="C405" s="996"/>
      <c r="D405" s="878" t="s">
        <v>20</v>
      </c>
      <c r="E405" s="877"/>
      <c r="F405" s="877"/>
      <c r="G405" s="879"/>
      <c r="H405" s="161" t="s">
        <v>12</v>
      </c>
      <c r="I405" s="997"/>
      <c r="J405" s="997"/>
      <c r="K405" s="998"/>
      <c r="L405" s="881">
        <f t="shared" ref="L405:N405" ca="1" si="178">L406+L407</f>
        <v>0</v>
      </c>
      <c r="M405" s="881">
        <f t="shared" ca="1" si="178"/>
        <v>0</v>
      </c>
      <c r="N405" s="881">
        <f t="shared" ca="1" si="178"/>
        <v>0</v>
      </c>
      <c r="O405" s="881">
        <f t="shared" ca="1" si="175"/>
        <v>0</v>
      </c>
      <c r="P405" s="881">
        <f t="shared" ca="1" si="176"/>
        <v>0</v>
      </c>
      <c r="Q405" s="868"/>
      <c r="R405" s="868"/>
      <c r="S405" s="868"/>
      <c r="T405" s="868"/>
      <c r="U405" s="868"/>
      <c r="V405" s="868"/>
      <c r="W405" s="868"/>
      <c r="X405" s="868"/>
      <c r="Y405" s="868"/>
      <c r="Z405" s="868"/>
    </row>
    <row r="406" spans="1:26" ht="19.5" hidden="1">
      <c r="A406" s="993"/>
      <c r="B406" s="883"/>
      <c r="C406" s="999"/>
      <c r="D406" s="883"/>
      <c r="E406" s="884" t="s">
        <v>36</v>
      </c>
      <c r="F406" s="883"/>
      <c r="G406" s="994"/>
      <c r="H406" s="165" t="s">
        <v>12</v>
      </c>
      <c r="I406" s="1000"/>
      <c r="J406" s="1000"/>
      <c r="K406" s="1001"/>
      <c r="L406" s="887">
        <v>0</v>
      </c>
      <c r="M406" s="887">
        <v>0</v>
      </c>
      <c r="N406" s="887">
        <v>0</v>
      </c>
      <c r="O406" s="887">
        <f t="shared" si="175"/>
        <v>0</v>
      </c>
      <c r="P406" s="887">
        <f t="shared" si="176"/>
        <v>0</v>
      </c>
      <c r="Q406" s="875"/>
      <c r="R406" s="875"/>
      <c r="S406" s="875"/>
      <c r="T406" s="875"/>
      <c r="U406" s="875"/>
      <c r="V406" s="875"/>
      <c r="W406" s="875"/>
      <c r="X406" s="875"/>
      <c r="Y406" s="875"/>
      <c r="Z406" s="875"/>
    </row>
    <row r="407" spans="1:26" ht="19.5" hidden="1">
      <c r="A407" s="993"/>
      <c r="B407" s="883"/>
      <c r="C407" s="999"/>
      <c r="D407" s="883"/>
      <c r="E407" s="884" t="s">
        <v>37</v>
      </c>
      <c r="F407" s="883"/>
      <c r="G407" s="994"/>
      <c r="H407" s="165" t="s">
        <v>12</v>
      </c>
      <c r="I407" s="1000"/>
      <c r="J407" s="1000"/>
      <c r="K407" s="1001"/>
      <c r="L407" s="887">
        <f ca="1">IFERROR(__xludf.DUMMYFUNCTION("IMPORTRANGE(""https://docs.google.com/spreadsheets/d/1MeEWN-I1oV_STSDYn1IFDPWt_1FKiwhDph83XaGc0o0/edit?usp=sharing"",""งบพรบ!FQ77"")"),0)</f>
        <v>0</v>
      </c>
      <c r="M407" s="887">
        <f ca="1">IFERROR(__xludf.DUMMYFUNCTION("IMPORTRANGE(""https://docs.google.com/spreadsheets/d/1MeEWN-I1oV_STSDYn1IFDPWt_1FKiwhDph83XaGc0o0/edit?usp=sharing"",""งบพรบ!FV77"")"),0)</f>
        <v>0</v>
      </c>
      <c r="N407" s="887">
        <f ca="1">IFERROR(__xludf.DUMMYFUNCTION("IMPORTRANGE(""https://docs.google.com/spreadsheets/d/1MeEWN-I1oV_STSDYn1IFDPWt_1FKiwhDph83XaGc0o0/edit?usp=sharing"",""งบพรบ!FX77"")"),0)</f>
        <v>0</v>
      </c>
      <c r="O407" s="887">
        <f t="shared" ca="1" si="175"/>
        <v>0</v>
      </c>
      <c r="P407" s="887">
        <f t="shared" ca="1" si="176"/>
        <v>0</v>
      </c>
      <c r="Q407" s="875"/>
      <c r="R407" s="875"/>
      <c r="S407" s="875"/>
      <c r="T407" s="875"/>
      <c r="U407" s="875"/>
      <c r="V407" s="875"/>
      <c r="W407" s="875"/>
      <c r="X407" s="875"/>
      <c r="Y407" s="875"/>
      <c r="Z407" s="875"/>
    </row>
    <row r="408" spans="1:26" ht="18.75" hidden="1">
      <c r="A408" s="995"/>
      <c r="B408" s="877"/>
      <c r="C408" s="996"/>
      <c r="D408" s="878" t="s">
        <v>21</v>
      </c>
      <c r="E408" s="877"/>
      <c r="F408" s="877"/>
      <c r="G408" s="879"/>
      <c r="H408" s="168" t="s">
        <v>12</v>
      </c>
      <c r="I408" s="997"/>
      <c r="J408" s="997"/>
      <c r="K408" s="998"/>
      <c r="L408" s="881">
        <f t="shared" ref="L408:N408" ca="1" si="179">L409+L410</f>
        <v>0</v>
      </c>
      <c r="M408" s="881">
        <f t="shared" ca="1" si="179"/>
        <v>0</v>
      </c>
      <c r="N408" s="881">
        <f t="shared" ca="1" si="179"/>
        <v>0</v>
      </c>
      <c r="O408" s="881">
        <f t="shared" ca="1" si="175"/>
        <v>0</v>
      </c>
      <c r="P408" s="881">
        <f t="shared" ca="1" si="176"/>
        <v>0</v>
      </c>
      <c r="Q408" s="868"/>
      <c r="R408" s="868"/>
      <c r="S408" s="868"/>
      <c r="T408" s="868"/>
      <c r="U408" s="868"/>
      <c r="V408" s="868"/>
      <c r="W408" s="868"/>
      <c r="X408" s="868"/>
      <c r="Y408" s="868"/>
      <c r="Z408" s="868"/>
    </row>
    <row r="409" spans="1:26" ht="19.5" hidden="1">
      <c r="A409" s="993"/>
      <c r="B409" s="883"/>
      <c r="C409" s="999"/>
      <c r="D409" s="883"/>
      <c r="E409" s="884" t="s">
        <v>18</v>
      </c>
      <c r="F409" s="883"/>
      <c r="G409" s="994"/>
      <c r="H409" s="165" t="s">
        <v>12</v>
      </c>
      <c r="I409" s="1000"/>
      <c r="J409" s="1000"/>
      <c r="K409" s="1001"/>
      <c r="L409" s="887">
        <v>0</v>
      </c>
      <c r="M409" s="887">
        <v>0</v>
      </c>
      <c r="N409" s="887">
        <v>0</v>
      </c>
      <c r="O409" s="887">
        <f t="shared" si="175"/>
        <v>0</v>
      </c>
      <c r="P409" s="887">
        <f t="shared" si="176"/>
        <v>0</v>
      </c>
      <c r="Q409" s="875"/>
      <c r="R409" s="875"/>
      <c r="S409" s="875"/>
      <c r="T409" s="875"/>
      <c r="U409" s="875"/>
      <c r="V409" s="875"/>
      <c r="W409" s="875"/>
      <c r="X409" s="875"/>
      <c r="Y409" s="875"/>
      <c r="Z409" s="875"/>
    </row>
    <row r="410" spans="1:26" ht="19.5" hidden="1">
      <c r="A410" s="993"/>
      <c r="B410" s="883"/>
      <c r="C410" s="999"/>
      <c r="D410" s="883"/>
      <c r="E410" s="884" t="s">
        <v>19</v>
      </c>
      <c r="F410" s="883"/>
      <c r="G410" s="994"/>
      <c r="H410" s="169" t="s">
        <v>12</v>
      </c>
      <c r="I410" s="1000"/>
      <c r="J410" s="1000"/>
      <c r="K410" s="1001"/>
      <c r="L410" s="887">
        <f ca="1">IFERROR(__xludf.DUMMYFUNCTION("IMPORTRANGE(""https://docs.google.com/spreadsheets/d/1MeEWN-I1oV_STSDYn1IFDPWt_1FKiwhDph83XaGc0o0/edit?usp=sharing"",""งบพรบ!FT77"")"),0)</f>
        <v>0</v>
      </c>
      <c r="M410" s="887">
        <f ca="1">IFERROR(__xludf.DUMMYFUNCTION("IMPORTRANGE(""https://docs.google.com/spreadsheets/d/1MeEWN-I1oV_STSDYn1IFDPWt_1FKiwhDph83XaGc0o0/edit?usp=sharing"",""งบพรบ!FW77"")"),0)</f>
        <v>0</v>
      </c>
      <c r="N410" s="887">
        <f ca="1">IFERROR(__xludf.DUMMYFUNCTION("IMPORTRANGE(""https://docs.google.com/spreadsheets/d/1MeEWN-I1oV_STSDYn1IFDPWt_1FKiwhDph83XaGc0o0/edit?usp=sharing"",""งบพรบ!FY77"")"),0)</f>
        <v>0</v>
      </c>
      <c r="O410" s="887">
        <f t="shared" ca="1" si="175"/>
        <v>0</v>
      </c>
      <c r="P410" s="887">
        <f t="shared" ca="1" si="176"/>
        <v>0</v>
      </c>
      <c r="Q410" s="875"/>
      <c r="R410" s="875"/>
      <c r="S410" s="875"/>
      <c r="T410" s="875"/>
      <c r="U410" s="875"/>
      <c r="V410" s="875"/>
      <c r="W410" s="875"/>
      <c r="X410" s="875"/>
      <c r="Y410" s="875"/>
      <c r="Z410" s="875"/>
    </row>
    <row r="411" spans="1:26" ht="19.5" hidden="1">
      <c r="A411" s="1002"/>
      <c r="B411" s="1003"/>
      <c r="C411" s="999" t="s">
        <v>16</v>
      </c>
      <c r="D411" s="1264" t="s">
        <v>38</v>
      </c>
      <c r="E411" s="1265"/>
      <c r="F411" s="1265"/>
      <c r="G411" s="1266"/>
      <c r="H411" s="1007"/>
      <c r="I411" s="880"/>
      <c r="J411" s="880"/>
      <c r="K411" s="881"/>
      <c r="L411" s="998"/>
      <c r="M411" s="998"/>
      <c r="N411" s="998"/>
      <c r="O411" s="998"/>
      <c r="P411" s="998"/>
    </row>
    <row r="412" spans="1:26" ht="18.75" hidden="1">
      <c r="A412" s="1002"/>
      <c r="B412" s="1010"/>
      <c r="C412" s="1010"/>
      <c r="D412" s="1009" t="s">
        <v>178</v>
      </c>
      <c r="E412" s="1010"/>
      <c r="F412" s="1010"/>
      <c r="G412" s="1011"/>
      <c r="H412" s="537" t="s">
        <v>66</v>
      </c>
      <c r="I412" s="880">
        <v>0</v>
      </c>
      <c r="J412" s="1012">
        <v>0</v>
      </c>
      <c r="K412" s="881">
        <f t="shared" ref="K412:K413" si="180">IF(I412&gt;0,J412*100/I412,0)</f>
        <v>0</v>
      </c>
      <c r="L412" s="998"/>
      <c r="M412" s="998"/>
      <c r="N412" s="998"/>
      <c r="O412" s="998"/>
      <c r="P412" s="998"/>
    </row>
    <row r="413" spans="1:26" ht="19.5" hidden="1" thickBot="1">
      <c r="A413" s="1267"/>
      <c r="B413" s="1268"/>
      <c r="C413" s="1268"/>
      <c r="D413" s="1269" t="s">
        <v>179</v>
      </c>
      <c r="E413" s="1268"/>
      <c r="F413" s="1268"/>
      <c r="G413" s="1270"/>
      <c r="H413" s="542" t="s">
        <v>180</v>
      </c>
      <c r="I413" s="1271">
        <v>0</v>
      </c>
      <c r="J413" s="1272">
        <v>0</v>
      </c>
      <c r="K413" s="1273">
        <f t="shared" si="180"/>
        <v>0</v>
      </c>
      <c r="L413" s="1274"/>
      <c r="M413" s="1274"/>
      <c r="N413" s="1274"/>
      <c r="O413" s="1274"/>
      <c r="P413" s="1274"/>
    </row>
    <row r="414" spans="1:26" ht="19.5">
      <c r="A414" s="1275" t="s">
        <v>181</v>
      </c>
      <c r="B414" s="1276"/>
      <c r="C414" s="1276"/>
      <c r="D414" s="1276"/>
      <c r="E414" s="1276"/>
      <c r="F414" s="1276"/>
      <c r="G414" s="1277"/>
      <c r="H414" s="1278"/>
      <c r="I414" s="1279"/>
      <c r="J414" s="1279"/>
      <c r="K414" s="1280"/>
      <c r="L414" s="1281">
        <f t="shared" ref="L414:N414" ca="1" si="181">L419+L444+L467+L502+L523+L544+L629+L655+L685+L737+L754+L770+L786+L805</f>
        <v>844092</v>
      </c>
      <c r="M414" s="1281">
        <f t="shared" ca="1" si="181"/>
        <v>844092</v>
      </c>
      <c r="N414" s="1281">
        <f t="shared" si="181"/>
        <v>290561.24</v>
      </c>
      <c r="O414" s="1281">
        <f ca="1">IF(L414&gt;0,N414*100/L414,0)</f>
        <v>34.422934940741058</v>
      </c>
      <c r="P414" s="1281">
        <f ca="1">IF(M414&gt;0,N414*100/M414,0)</f>
        <v>34.422934940741058</v>
      </c>
    </row>
    <row r="415" spans="1:26" ht="19.5">
      <c r="A415" s="1282" t="s">
        <v>182</v>
      </c>
      <c r="B415" s="1283"/>
      <c r="C415" s="1283"/>
      <c r="D415" s="1283"/>
      <c r="E415" s="1283"/>
      <c r="F415" s="1283"/>
      <c r="G415" s="1283"/>
      <c r="H415" s="1284"/>
      <c r="I415" s="1285"/>
      <c r="J415" s="1285"/>
      <c r="K415" s="1286"/>
      <c r="L415" s="1287"/>
      <c r="M415" s="1287"/>
      <c r="N415" s="1287"/>
      <c r="O415" s="1287"/>
      <c r="P415" s="1287"/>
    </row>
    <row r="416" spans="1:26" ht="19.5">
      <c r="A416" s="1282" t="s">
        <v>183</v>
      </c>
      <c r="B416" s="1283"/>
      <c r="C416" s="1283"/>
      <c r="D416" s="1283"/>
      <c r="E416" s="1283"/>
      <c r="F416" s="1283"/>
      <c r="G416" s="1288"/>
      <c r="H416" s="1289"/>
      <c r="I416" s="1290"/>
      <c r="J416" s="1290"/>
      <c r="K416" s="1287"/>
      <c r="L416" s="1287"/>
      <c r="M416" s="1287"/>
      <c r="N416" s="1287"/>
      <c r="O416" s="1287"/>
      <c r="P416" s="1287"/>
    </row>
    <row r="417" spans="1:26" ht="39">
      <c r="A417" s="563">
        <v>1</v>
      </c>
      <c r="B417" s="1291" t="s">
        <v>184</v>
      </c>
      <c r="C417" s="1291"/>
      <c r="D417" s="1292"/>
      <c r="E417" s="1292"/>
      <c r="F417" s="1292"/>
      <c r="G417" s="1293"/>
      <c r="H417" s="568" t="s">
        <v>35</v>
      </c>
      <c r="I417" s="1294">
        <f t="shared" ref="I417:J418" ca="1" si="182">I433</f>
        <v>15</v>
      </c>
      <c r="J417" s="1294">
        <f t="shared" ca="1" si="182"/>
        <v>15</v>
      </c>
      <c r="K417" s="1295">
        <f t="shared" ref="K417:K418" ca="1" si="183">IF(I417&gt;0,J417*100/I417,0)</f>
        <v>100</v>
      </c>
      <c r="L417" s="1296"/>
      <c r="M417" s="1296"/>
      <c r="N417" s="1296"/>
      <c r="O417" s="1296"/>
      <c r="P417" s="1296"/>
    </row>
    <row r="418" spans="1:26" ht="19.5">
      <c r="A418" s="1297"/>
      <c r="B418" s="563"/>
      <c r="C418" s="1291"/>
      <c r="D418" s="1292"/>
      <c r="E418" s="1292"/>
      <c r="F418" s="1292"/>
      <c r="G418" s="1293"/>
      <c r="H418" s="568" t="s">
        <v>49</v>
      </c>
      <c r="I418" s="1294">
        <f t="shared" ca="1" si="182"/>
        <v>1</v>
      </c>
      <c r="J418" s="1294">
        <f t="shared" si="182"/>
        <v>1</v>
      </c>
      <c r="K418" s="1295">
        <f t="shared" ca="1" si="183"/>
        <v>100</v>
      </c>
      <c r="L418" s="1296"/>
      <c r="M418" s="1296"/>
      <c r="N418" s="1296"/>
      <c r="O418" s="1296"/>
      <c r="P418" s="1296"/>
    </row>
    <row r="419" spans="1:26" ht="19.5">
      <c r="A419" s="985"/>
      <c r="B419" s="986"/>
      <c r="C419" s="986" t="s">
        <v>16</v>
      </c>
      <c r="D419" s="1298" t="s">
        <v>17</v>
      </c>
      <c r="E419" s="846"/>
      <c r="F419" s="846"/>
      <c r="G419" s="989"/>
      <c r="H419" s="275" t="s">
        <v>12</v>
      </c>
      <c r="I419" s="990"/>
      <c r="J419" s="990"/>
      <c r="K419" s="991"/>
      <c r="L419" s="992">
        <f t="shared" ref="L419:N419" ca="1" si="184">L420+L421</f>
        <v>66560</v>
      </c>
      <c r="M419" s="992">
        <f t="shared" ca="1" si="184"/>
        <v>66560</v>
      </c>
      <c r="N419" s="992">
        <f t="shared" si="184"/>
        <v>50881.59</v>
      </c>
      <c r="O419" s="992">
        <f t="shared" ref="O419:O424" ca="1" si="185">IF(L419&gt;0,N419*100/L419,0)</f>
        <v>76.444696514423072</v>
      </c>
      <c r="P419" s="992">
        <f t="shared" ref="P419:P424" ca="1" si="186">IF(M419&gt;0,N419*100/M419,0)</f>
        <v>76.444696514423072</v>
      </c>
      <c r="Q419" s="868"/>
      <c r="R419" s="868"/>
      <c r="S419" s="868"/>
      <c r="T419" s="868"/>
      <c r="U419" s="868"/>
      <c r="V419" s="868"/>
      <c r="W419" s="868"/>
      <c r="X419" s="868"/>
      <c r="Y419" s="868"/>
      <c r="Z419" s="868"/>
    </row>
    <row r="420" spans="1:26" ht="18.75" hidden="1">
      <c r="A420" s="993"/>
      <c r="B420" s="883"/>
      <c r="C420" s="883"/>
      <c r="D420" s="1114"/>
      <c r="E420" s="884" t="s">
        <v>185</v>
      </c>
      <c r="F420" s="883"/>
      <c r="G420" s="994"/>
      <c r="H420" s="165" t="s">
        <v>12</v>
      </c>
      <c r="I420" s="886"/>
      <c r="J420" s="886"/>
      <c r="K420" s="887"/>
      <c r="L420" s="887">
        <f t="shared" ref="L420:N421" si="187">L423+L430</f>
        <v>0</v>
      </c>
      <c r="M420" s="887">
        <f t="shared" si="187"/>
        <v>0</v>
      </c>
      <c r="N420" s="887">
        <f t="shared" si="187"/>
        <v>0</v>
      </c>
      <c r="O420" s="887">
        <f t="shared" si="185"/>
        <v>0</v>
      </c>
      <c r="P420" s="887">
        <f t="shared" si="186"/>
        <v>0</v>
      </c>
      <c r="Q420" s="875"/>
      <c r="R420" s="875"/>
      <c r="S420" s="875"/>
      <c r="T420" s="875"/>
      <c r="U420" s="875"/>
      <c r="V420" s="875"/>
      <c r="W420" s="875"/>
      <c r="X420" s="875"/>
      <c r="Y420" s="875"/>
      <c r="Z420" s="875"/>
    </row>
    <row r="421" spans="1:26" ht="18.75" hidden="1">
      <c r="A421" s="993"/>
      <c r="B421" s="883"/>
      <c r="C421" s="883"/>
      <c r="D421" s="1114"/>
      <c r="E421" s="884" t="s">
        <v>186</v>
      </c>
      <c r="F421" s="883"/>
      <c r="G421" s="994"/>
      <c r="H421" s="165" t="s">
        <v>12</v>
      </c>
      <c r="I421" s="886"/>
      <c r="J421" s="886"/>
      <c r="K421" s="887"/>
      <c r="L421" s="887">
        <f t="shared" ca="1" si="187"/>
        <v>66560</v>
      </c>
      <c r="M421" s="887">
        <f t="shared" ca="1" si="187"/>
        <v>66560</v>
      </c>
      <c r="N421" s="887">
        <f t="shared" si="187"/>
        <v>50881.59</v>
      </c>
      <c r="O421" s="887">
        <f t="shared" ca="1" si="185"/>
        <v>76.444696514423072</v>
      </c>
      <c r="P421" s="887">
        <f t="shared" ca="1" si="186"/>
        <v>76.444696514423072</v>
      </c>
      <c r="Q421" s="875"/>
      <c r="R421" s="875"/>
      <c r="S421" s="875"/>
      <c r="T421" s="875"/>
      <c r="U421" s="875"/>
      <c r="V421" s="875"/>
      <c r="W421" s="875"/>
      <c r="X421" s="875"/>
      <c r="Y421" s="875"/>
      <c r="Z421" s="875"/>
    </row>
    <row r="422" spans="1:26" ht="18.75">
      <c r="A422" s="995"/>
      <c r="B422" s="1084"/>
      <c r="C422" s="877"/>
      <c r="D422" s="878" t="s">
        <v>20</v>
      </c>
      <c r="E422" s="877"/>
      <c r="F422" s="877"/>
      <c r="G422" s="879"/>
      <c r="H422" s="161" t="s">
        <v>12</v>
      </c>
      <c r="I422" s="997"/>
      <c r="J422" s="997"/>
      <c r="K422" s="998"/>
      <c r="L422" s="881">
        <f t="shared" ref="L422:N422" ca="1" si="188">L423+L424</f>
        <v>66560</v>
      </c>
      <c r="M422" s="881">
        <f t="shared" ca="1" si="188"/>
        <v>66560</v>
      </c>
      <c r="N422" s="881">
        <f t="shared" si="188"/>
        <v>50881.59</v>
      </c>
      <c r="O422" s="881">
        <f t="shared" ca="1" si="185"/>
        <v>76.444696514423072</v>
      </c>
      <c r="P422" s="881">
        <f t="shared" ca="1" si="186"/>
        <v>76.444696514423072</v>
      </c>
      <c r="Q422" s="868"/>
      <c r="R422" s="868"/>
      <c r="S422" s="868"/>
      <c r="T422" s="868"/>
      <c r="U422" s="868"/>
      <c r="V422" s="868"/>
      <c r="W422" s="868"/>
      <c r="X422" s="868"/>
      <c r="Y422" s="868"/>
      <c r="Z422" s="868"/>
    </row>
    <row r="423" spans="1:26" ht="18.75" hidden="1">
      <c r="A423" s="993"/>
      <c r="B423" s="883"/>
      <c r="C423" s="883"/>
      <c r="D423" s="1114"/>
      <c r="E423" s="884" t="s">
        <v>185</v>
      </c>
      <c r="F423" s="883"/>
      <c r="G423" s="994"/>
      <c r="H423" s="165" t="s">
        <v>12</v>
      </c>
      <c r="I423" s="886"/>
      <c r="J423" s="886"/>
      <c r="K423" s="887"/>
      <c r="L423" s="887">
        <v>0</v>
      </c>
      <c r="M423" s="887">
        <v>0</v>
      </c>
      <c r="N423" s="887">
        <v>0</v>
      </c>
      <c r="O423" s="887">
        <f t="shared" si="185"/>
        <v>0</v>
      </c>
      <c r="P423" s="887">
        <f t="shared" si="186"/>
        <v>0</v>
      </c>
      <c r="Q423" s="875"/>
      <c r="R423" s="875"/>
      <c r="S423" s="875"/>
      <c r="T423" s="875"/>
      <c r="U423" s="875"/>
      <c r="V423" s="875"/>
      <c r="W423" s="875"/>
      <c r="X423" s="875"/>
      <c r="Y423" s="875"/>
      <c r="Z423" s="875"/>
    </row>
    <row r="424" spans="1:26" ht="18.75" hidden="1">
      <c r="A424" s="993"/>
      <c r="B424" s="883"/>
      <c r="C424" s="883"/>
      <c r="D424" s="1114"/>
      <c r="E424" s="884" t="s">
        <v>186</v>
      </c>
      <c r="F424" s="883"/>
      <c r="G424" s="994"/>
      <c r="H424" s="165" t="s">
        <v>12</v>
      </c>
      <c r="I424" s="886"/>
      <c r="J424" s="886"/>
      <c r="K424" s="887"/>
      <c r="L424" s="887">
        <f ca="1">IFERROR(__xludf.DUMMYFUNCTION("IMPORTRANGE(""https://docs.google.com/spreadsheets/d/1QqKyyYR6Q21VydFLVH3TRQUabQu_ym0Zz7PgGX0-kHA/edit?usp=sharing"",""แผน!EY77"")"),66560)</f>
        <v>66560</v>
      </c>
      <c r="M424" s="887">
        <f ca="1">L424</f>
        <v>66560</v>
      </c>
      <c r="N424" s="887">
        <f>N425+N426+N427+N428</f>
        <v>50881.59</v>
      </c>
      <c r="O424" s="887">
        <f t="shared" ca="1" si="185"/>
        <v>76.444696514423072</v>
      </c>
      <c r="P424" s="887">
        <f t="shared" ca="1" si="186"/>
        <v>76.444696514423072</v>
      </c>
      <c r="Q424" s="875"/>
      <c r="R424" s="875"/>
      <c r="S424" s="875"/>
      <c r="T424" s="875"/>
      <c r="U424" s="875"/>
      <c r="V424" s="875"/>
      <c r="W424" s="875"/>
      <c r="X424" s="875"/>
      <c r="Y424" s="875"/>
      <c r="Z424" s="875"/>
    </row>
    <row r="425" spans="1:26" ht="18.75">
      <c r="A425" s="1299"/>
      <c r="B425" s="1300"/>
      <c r="C425" s="1301"/>
      <c r="D425" s="1301"/>
      <c r="E425" s="1301"/>
      <c r="F425" s="1301" t="s">
        <v>187</v>
      </c>
      <c r="G425" s="1016"/>
      <c r="H425" s="161" t="s">
        <v>12</v>
      </c>
      <c r="I425" s="880"/>
      <c r="J425" s="880"/>
      <c r="K425" s="881"/>
      <c r="L425" s="881"/>
      <c r="M425" s="881"/>
      <c r="N425" s="1085">
        <v>36300</v>
      </c>
      <c r="O425" s="881"/>
      <c r="P425" s="881"/>
      <c r="Q425" s="1302"/>
      <c r="R425" s="1302"/>
      <c r="S425" s="1302"/>
      <c r="T425" s="1302"/>
      <c r="U425" s="1302"/>
      <c r="V425" s="1302"/>
      <c r="W425" s="1302"/>
      <c r="X425" s="1302"/>
      <c r="Y425" s="1302"/>
      <c r="Z425" s="1302"/>
    </row>
    <row r="426" spans="1:26" ht="18.75">
      <c r="A426" s="1299"/>
      <c r="B426" s="1300"/>
      <c r="C426" s="1301"/>
      <c r="D426" s="1301"/>
      <c r="E426" s="1301"/>
      <c r="F426" s="1301" t="s">
        <v>188</v>
      </c>
      <c r="G426" s="1016"/>
      <c r="H426" s="161" t="s">
        <v>12</v>
      </c>
      <c r="I426" s="880"/>
      <c r="J426" s="880"/>
      <c r="K426" s="881"/>
      <c r="L426" s="881"/>
      <c r="M426" s="881"/>
      <c r="N426" s="1085">
        <v>0</v>
      </c>
      <c r="O426" s="881"/>
      <c r="P426" s="881"/>
      <c r="Q426" s="1302"/>
      <c r="R426" s="1302"/>
      <c r="S426" s="1302"/>
      <c r="T426" s="1302"/>
      <c r="U426" s="1302"/>
      <c r="V426" s="1302"/>
      <c r="W426" s="1302"/>
      <c r="X426" s="1302"/>
      <c r="Y426" s="1302"/>
      <c r="Z426" s="1302"/>
    </row>
    <row r="427" spans="1:26" ht="18.75">
      <c r="A427" s="1299"/>
      <c r="B427" s="1300"/>
      <c r="C427" s="1301"/>
      <c r="D427" s="1301"/>
      <c r="E427" s="1301"/>
      <c r="F427" s="1301" t="s">
        <v>189</v>
      </c>
      <c r="G427" s="1016"/>
      <c r="H427" s="161" t="s">
        <v>12</v>
      </c>
      <c r="I427" s="880"/>
      <c r="J427" s="880"/>
      <c r="K427" s="881"/>
      <c r="L427" s="881"/>
      <c r="M427" s="881"/>
      <c r="N427" s="1085">
        <v>0</v>
      </c>
      <c r="O427" s="881"/>
      <c r="P427" s="881"/>
      <c r="Q427" s="1302"/>
      <c r="R427" s="1302"/>
      <c r="S427" s="1302"/>
      <c r="T427" s="1302"/>
      <c r="U427" s="1302"/>
      <c r="V427" s="1302"/>
      <c r="W427" s="1302"/>
      <c r="X427" s="1302"/>
      <c r="Y427" s="1302"/>
      <c r="Z427" s="1302"/>
    </row>
    <row r="428" spans="1:26" ht="18.75">
      <c r="A428" s="1086"/>
      <c r="B428" s="1084"/>
      <c r="C428" s="877"/>
      <c r="D428" s="877"/>
      <c r="E428" s="877"/>
      <c r="F428" s="996" t="s">
        <v>190</v>
      </c>
      <c r="G428" s="1030"/>
      <c r="H428" s="161" t="s">
        <v>12</v>
      </c>
      <c r="I428" s="880"/>
      <c r="J428" s="880"/>
      <c r="K428" s="881"/>
      <c r="L428" s="881"/>
      <c r="M428" s="881"/>
      <c r="N428" s="1085">
        <f>618.25+13963.34</f>
        <v>14581.59</v>
      </c>
      <c r="O428" s="881"/>
      <c r="P428" s="881"/>
      <c r="Q428" s="868"/>
      <c r="R428" s="868"/>
      <c r="S428" s="868"/>
      <c r="T428" s="868"/>
      <c r="U428" s="868"/>
      <c r="V428" s="868"/>
      <c r="W428" s="868"/>
      <c r="X428" s="868"/>
      <c r="Y428" s="868"/>
      <c r="Z428" s="868"/>
    </row>
    <row r="429" spans="1:26" ht="18.75">
      <c r="A429" s="995"/>
      <c r="B429" s="1084"/>
      <c r="C429" s="877"/>
      <c r="D429" s="878" t="s">
        <v>21</v>
      </c>
      <c r="E429" s="877"/>
      <c r="F429" s="877"/>
      <c r="G429" s="879"/>
      <c r="H429" s="168" t="s">
        <v>12</v>
      </c>
      <c r="I429" s="997"/>
      <c r="J429" s="997"/>
      <c r="K429" s="998"/>
      <c r="L429" s="881">
        <f t="shared" ref="L429:N429" ca="1" si="189">L430+L431</f>
        <v>0</v>
      </c>
      <c r="M429" s="881">
        <f t="shared" si="189"/>
        <v>0</v>
      </c>
      <c r="N429" s="881">
        <f t="shared" si="189"/>
        <v>0</v>
      </c>
      <c r="O429" s="881">
        <f t="shared" ref="O429:O431" ca="1" si="190">IF(L429&gt;0,N429*100/L429,0)</f>
        <v>0</v>
      </c>
      <c r="P429" s="881">
        <f t="shared" ref="P429:P431" si="191">IF(M429&gt;0,N429*100/M429,0)</f>
        <v>0</v>
      </c>
      <c r="Q429" s="868"/>
      <c r="R429" s="868"/>
      <c r="S429" s="868"/>
      <c r="T429" s="868"/>
      <c r="U429" s="868"/>
      <c r="V429" s="868"/>
      <c r="W429" s="868"/>
      <c r="X429" s="868"/>
      <c r="Y429" s="868"/>
      <c r="Z429" s="868"/>
    </row>
    <row r="430" spans="1:26" ht="18.75" hidden="1">
      <c r="A430" s="993"/>
      <c r="B430" s="1105"/>
      <c r="C430" s="883"/>
      <c r="D430" s="883"/>
      <c r="E430" s="884" t="s">
        <v>18</v>
      </c>
      <c r="F430" s="883"/>
      <c r="G430" s="885"/>
      <c r="H430" s="165" t="s">
        <v>12</v>
      </c>
      <c r="I430" s="1000"/>
      <c r="J430" s="1000"/>
      <c r="K430" s="1001"/>
      <c r="L430" s="887">
        <v>0</v>
      </c>
      <c r="M430" s="887">
        <v>0</v>
      </c>
      <c r="N430" s="887">
        <v>0</v>
      </c>
      <c r="O430" s="887">
        <f t="shared" si="190"/>
        <v>0</v>
      </c>
      <c r="P430" s="887">
        <f t="shared" si="191"/>
        <v>0</v>
      </c>
      <c r="Q430" s="875"/>
      <c r="R430" s="875"/>
      <c r="S430" s="875"/>
      <c r="T430" s="875"/>
      <c r="U430" s="875"/>
      <c r="V430" s="875"/>
      <c r="W430" s="875"/>
      <c r="X430" s="875"/>
      <c r="Y430" s="875"/>
      <c r="Z430" s="875"/>
    </row>
    <row r="431" spans="1:26" ht="18.75" hidden="1">
      <c r="A431" s="993"/>
      <c r="B431" s="1105"/>
      <c r="C431" s="883"/>
      <c r="D431" s="883"/>
      <c r="E431" s="884" t="s">
        <v>19</v>
      </c>
      <c r="F431" s="883"/>
      <c r="G431" s="885"/>
      <c r="H431" s="169" t="s">
        <v>12</v>
      </c>
      <c r="I431" s="1000"/>
      <c r="J431" s="1000"/>
      <c r="K431" s="1001"/>
      <c r="L431" s="887">
        <f ca="1">IFERROR(__xludf.DUMMYFUNCTION("IMPORTRANGE(""https://docs.google.com/spreadsheets/d/1QqKyyYR6Q21VydFLVH3TRQUabQu_ym0Zz7PgGX0-kHA/edit?usp=sharing"",""แผน!FB77"")"),0)</f>
        <v>0</v>
      </c>
      <c r="M431" s="887">
        <v>0</v>
      </c>
      <c r="N431" s="887">
        <v>0</v>
      </c>
      <c r="O431" s="887">
        <f t="shared" ca="1" si="190"/>
        <v>0</v>
      </c>
      <c r="P431" s="887">
        <f t="shared" si="191"/>
        <v>0</v>
      </c>
      <c r="Q431" s="875"/>
      <c r="R431" s="875"/>
      <c r="S431" s="875"/>
      <c r="T431" s="875"/>
      <c r="U431" s="875"/>
      <c r="V431" s="875"/>
      <c r="W431" s="875"/>
      <c r="X431" s="875"/>
      <c r="Y431" s="875"/>
      <c r="Z431" s="875"/>
    </row>
    <row r="432" spans="1:26" ht="19.5">
      <c r="A432" s="1165"/>
      <c r="B432" s="1166"/>
      <c r="C432" s="986" t="s">
        <v>16</v>
      </c>
      <c r="D432" s="1303" t="s">
        <v>38</v>
      </c>
      <c r="E432" s="1304"/>
      <c r="F432" s="1304"/>
      <c r="G432" s="1305"/>
      <c r="H432" s="1306"/>
      <c r="I432" s="990"/>
      <c r="J432" s="990"/>
      <c r="K432" s="991"/>
      <c r="L432" s="991"/>
      <c r="M432" s="991"/>
      <c r="N432" s="991"/>
      <c r="O432" s="991"/>
      <c r="P432" s="991"/>
      <c r="Q432" s="868"/>
      <c r="R432" s="868"/>
      <c r="S432" s="868"/>
      <c r="T432" s="868"/>
      <c r="U432" s="868"/>
      <c r="V432" s="868"/>
      <c r="W432" s="868"/>
      <c r="X432" s="868"/>
      <c r="Y432" s="868"/>
      <c r="Z432" s="868"/>
    </row>
    <row r="433" spans="1:26" ht="19.5">
      <c r="A433" s="1002"/>
      <c r="B433" s="1003"/>
      <c r="C433" s="1003"/>
      <c r="D433" s="1013" t="s">
        <v>191</v>
      </c>
      <c r="E433" s="1010"/>
      <c r="F433" s="1010"/>
      <c r="G433" s="1011"/>
      <c r="H433" s="196" t="s">
        <v>35</v>
      </c>
      <c r="I433" s="1019">
        <f ca="1">I435</f>
        <v>15</v>
      </c>
      <c r="J433" s="1019">
        <f ca="1">IF(AND(J435=I435,J437=I437,J439=I439),I437+I439,IF(AND(J435=I437,J437=I437),I437,IF(AND(J435=I439,J439=I439),I439,0)))</f>
        <v>15</v>
      </c>
      <c r="K433" s="1020">
        <f t="shared" ref="K433:K435" ca="1" si="192">IF(I433&gt;0,J433*100/I433,0)</f>
        <v>100</v>
      </c>
      <c r="L433" s="881"/>
      <c r="M433" s="881"/>
      <c r="N433" s="881"/>
      <c r="O433" s="881"/>
      <c r="P433" s="881"/>
      <c r="Q433" s="868"/>
      <c r="R433" s="868"/>
      <c r="S433" s="868"/>
      <c r="T433" s="868"/>
      <c r="U433" s="868"/>
      <c r="V433" s="868"/>
      <c r="W433" s="868"/>
      <c r="X433" s="868"/>
      <c r="Y433" s="868"/>
      <c r="Z433" s="868"/>
    </row>
    <row r="434" spans="1:26" ht="19.5">
      <c r="A434" s="1002"/>
      <c r="B434" s="1003"/>
      <c r="C434" s="1003"/>
      <c r="D434" s="1013" t="s">
        <v>192</v>
      </c>
      <c r="E434" s="1010"/>
      <c r="F434" s="1010"/>
      <c r="G434" s="1011"/>
      <c r="H434" s="196" t="s">
        <v>49</v>
      </c>
      <c r="I434" s="1019">
        <f t="shared" ref="I434:J434" ca="1" si="193">I438+I440</f>
        <v>1</v>
      </c>
      <c r="J434" s="1019">
        <f t="shared" si="193"/>
        <v>1</v>
      </c>
      <c r="K434" s="1020">
        <f t="shared" ca="1" si="192"/>
        <v>100</v>
      </c>
      <c r="L434" s="881"/>
      <c r="M434" s="881"/>
      <c r="N434" s="881"/>
      <c r="O434" s="881"/>
      <c r="P434" s="881"/>
      <c r="Q434" s="868"/>
      <c r="R434" s="868"/>
      <c r="S434" s="868"/>
      <c r="T434" s="868"/>
      <c r="U434" s="868"/>
      <c r="V434" s="868"/>
      <c r="W434" s="868"/>
      <c r="X434" s="868"/>
      <c r="Y434" s="868"/>
      <c r="Z434" s="868"/>
    </row>
    <row r="435" spans="1:26" ht="18.75">
      <c r="A435" s="1002"/>
      <c r="B435" s="1003"/>
      <c r="C435" s="1003"/>
      <c r="D435" s="1009" t="s">
        <v>193</v>
      </c>
      <c r="E435" s="1010"/>
      <c r="F435" s="1010"/>
      <c r="G435" s="1011"/>
      <c r="H435" s="622" t="s">
        <v>35</v>
      </c>
      <c r="I435" s="582">
        <f ca="1">IFERROR(__xludf.DUMMYFUNCTION("IMPORTRANGE(""https://docs.google.com/spreadsheets/d/1QqKyyYR6Q21VydFLVH3TRQUabQu_ym0Zz7PgGX0-kHA/edit?usp=sharing"",""แผน!FC77"")"),15)</f>
        <v>15</v>
      </c>
      <c r="J435" s="583">
        <v>15</v>
      </c>
      <c r="K435" s="881">
        <f t="shared" ca="1" si="192"/>
        <v>100</v>
      </c>
      <c r="L435" s="881"/>
      <c r="M435" s="881"/>
      <c r="N435" s="881"/>
      <c r="O435" s="881"/>
      <c r="P435" s="881"/>
      <c r="Q435" s="868"/>
      <c r="R435" s="868"/>
      <c r="S435" s="868"/>
      <c r="T435" s="868"/>
      <c r="U435" s="868"/>
      <c r="V435" s="868"/>
      <c r="W435" s="868"/>
      <c r="X435" s="868"/>
      <c r="Y435" s="868"/>
      <c r="Z435" s="868"/>
    </row>
    <row r="436" spans="1:26" ht="18.75">
      <c r="A436" s="1002"/>
      <c r="B436" s="1003"/>
      <c r="C436" s="1003"/>
      <c r="D436" s="1009" t="s">
        <v>194</v>
      </c>
      <c r="E436" s="1010"/>
      <c r="F436" s="1010"/>
      <c r="G436" s="1011"/>
      <c r="H436" s="622"/>
      <c r="I436" s="880"/>
      <c r="J436" s="880"/>
      <c r="K436" s="881"/>
      <c r="L436" s="881"/>
      <c r="M436" s="881"/>
      <c r="N436" s="881"/>
      <c r="O436" s="881"/>
      <c r="P436" s="881"/>
      <c r="Q436" s="868"/>
      <c r="R436" s="868"/>
      <c r="S436" s="868"/>
      <c r="T436" s="868"/>
      <c r="U436" s="868"/>
      <c r="V436" s="868"/>
      <c r="W436" s="868"/>
      <c r="X436" s="868"/>
      <c r="Y436" s="868"/>
      <c r="Z436" s="868"/>
    </row>
    <row r="437" spans="1:26" ht="18.75">
      <c r="A437" s="1002"/>
      <c r="B437" s="1003"/>
      <c r="C437" s="1003"/>
      <c r="D437" s="1009" t="s">
        <v>195</v>
      </c>
      <c r="E437" s="1010"/>
      <c r="F437" s="1010"/>
      <c r="G437" s="1011"/>
      <c r="H437" s="622" t="s">
        <v>35</v>
      </c>
      <c r="I437" s="582">
        <f ca="1">IFERROR(__xludf.DUMMYFUNCTION("IMPORTRANGE(""https://docs.google.com/spreadsheets/d/1QqKyyYR6Q21VydFLVH3TRQUabQu_ym0Zz7PgGX0-kHA/edit?usp=sharing"",""แผน!FD77"")"),0)</f>
        <v>0</v>
      </c>
      <c r="J437" s="583">
        <v>0</v>
      </c>
      <c r="K437" s="881">
        <f t="shared" ref="K437:K443" ca="1" si="194">IF(I437&gt;0,J437*100/I437,0)</f>
        <v>0</v>
      </c>
      <c r="L437" s="881"/>
      <c r="M437" s="881"/>
      <c r="N437" s="881"/>
      <c r="O437" s="881"/>
      <c r="P437" s="881"/>
      <c r="Q437" s="868"/>
      <c r="R437" s="868"/>
      <c r="S437" s="868"/>
      <c r="T437" s="868"/>
      <c r="U437" s="868"/>
      <c r="V437" s="868"/>
      <c r="W437" s="868"/>
      <c r="X437" s="868"/>
      <c r="Y437" s="868"/>
      <c r="Z437" s="868"/>
    </row>
    <row r="438" spans="1:26" ht="18.75">
      <c r="A438" s="1002"/>
      <c r="B438" s="1003"/>
      <c r="C438" s="1003"/>
      <c r="D438" s="1009" t="s">
        <v>196</v>
      </c>
      <c r="E438" s="1010"/>
      <c r="F438" s="1010"/>
      <c r="G438" s="1011"/>
      <c r="H438" s="622" t="s">
        <v>49</v>
      </c>
      <c r="I438" s="880">
        <f ca="1">IFERROR(__xludf.DUMMYFUNCTION("IMPORTRANGE(""https://docs.google.com/spreadsheets/d/1QqKyyYR6Q21VydFLVH3TRQUabQu_ym0Zz7PgGX0-kHA/edit?usp=sharing"",""แผน!FE77"")"),0)</f>
        <v>0</v>
      </c>
      <c r="J438" s="1012">
        <v>0</v>
      </c>
      <c r="K438" s="881">
        <f t="shared" ca="1" si="194"/>
        <v>0</v>
      </c>
      <c r="L438" s="881"/>
      <c r="M438" s="881"/>
      <c r="N438" s="881"/>
      <c r="O438" s="881"/>
      <c r="P438" s="881"/>
      <c r="Q438" s="868"/>
      <c r="R438" s="868"/>
      <c r="S438" s="868"/>
      <c r="T438" s="868"/>
      <c r="U438" s="868"/>
      <c r="V438" s="868"/>
      <c r="W438" s="868"/>
      <c r="X438" s="868"/>
      <c r="Y438" s="868"/>
      <c r="Z438" s="868"/>
    </row>
    <row r="439" spans="1:26" ht="18.75">
      <c r="A439" s="1002"/>
      <c r="B439" s="1003"/>
      <c r="C439" s="1003"/>
      <c r="D439" s="1009" t="s">
        <v>197</v>
      </c>
      <c r="E439" s="1010"/>
      <c r="F439" s="1010"/>
      <c r="G439" s="1011"/>
      <c r="H439" s="622" t="s">
        <v>35</v>
      </c>
      <c r="I439" s="582">
        <f ca="1">IFERROR(__xludf.DUMMYFUNCTION("IMPORTRANGE(""https://docs.google.com/spreadsheets/d/1QqKyyYR6Q21VydFLVH3TRQUabQu_ym0Zz7PgGX0-kHA/edit?usp=sharing"",""แผน!FF77"")"),15)</f>
        <v>15</v>
      </c>
      <c r="J439" s="583">
        <v>15</v>
      </c>
      <c r="K439" s="881">
        <f t="shared" ca="1" si="194"/>
        <v>100</v>
      </c>
      <c r="L439" s="881"/>
      <c r="M439" s="881"/>
      <c r="N439" s="881"/>
      <c r="O439" s="881"/>
      <c r="P439" s="881"/>
      <c r="Q439" s="868"/>
      <c r="R439" s="868"/>
      <c r="S439" s="868"/>
      <c r="T439" s="868"/>
      <c r="U439" s="868"/>
      <c r="V439" s="868"/>
      <c r="W439" s="868"/>
      <c r="X439" s="868"/>
      <c r="Y439" s="868"/>
      <c r="Z439" s="868"/>
    </row>
    <row r="440" spans="1:26" ht="18.75">
      <c r="A440" s="1002"/>
      <c r="B440" s="1003"/>
      <c r="C440" s="1003"/>
      <c r="D440" s="1009" t="s">
        <v>198</v>
      </c>
      <c r="E440" s="1010"/>
      <c r="F440" s="1010"/>
      <c r="G440" s="1011"/>
      <c r="H440" s="622" t="s">
        <v>49</v>
      </c>
      <c r="I440" s="880">
        <f ca="1">IFERROR(__xludf.DUMMYFUNCTION("IMPORTRANGE(""https://docs.google.com/spreadsheets/d/1QqKyyYR6Q21VydFLVH3TRQUabQu_ym0Zz7PgGX0-kHA/edit?usp=sharing"",""แผน!FG77"")"),1)</f>
        <v>1</v>
      </c>
      <c r="J440" s="1012">
        <v>1</v>
      </c>
      <c r="K440" s="881">
        <f t="shared" ca="1" si="194"/>
        <v>100</v>
      </c>
      <c r="L440" s="881"/>
      <c r="M440" s="881"/>
      <c r="N440" s="881"/>
      <c r="O440" s="881"/>
      <c r="P440" s="881"/>
      <c r="Q440" s="868"/>
      <c r="R440" s="868"/>
      <c r="S440" s="868"/>
      <c r="T440" s="868"/>
      <c r="U440" s="868"/>
      <c r="V440" s="868"/>
      <c r="W440" s="868"/>
      <c r="X440" s="868"/>
      <c r="Y440" s="868"/>
      <c r="Z440" s="868"/>
    </row>
    <row r="441" spans="1:26" ht="18.75">
      <c r="A441" s="1002"/>
      <c r="B441" s="1003"/>
      <c r="C441" s="1003"/>
      <c r="D441" s="1009" t="s">
        <v>199</v>
      </c>
      <c r="E441" s="1010"/>
      <c r="F441" s="1010"/>
      <c r="G441" s="1011"/>
      <c r="H441" s="622" t="s">
        <v>35</v>
      </c>
      <c r="I441" s="880">
        <f ca="1">IFERROR(__xludf.DUMMYFUNCTION("IMPORTRANGE(""https://docs.google.com/spreadsheets/d/1QqKyyYR6Q21VydFLVH3TRQUabQu_ym0Zz7PgGX0-kHA/edit?usp=sharing"",""แผน!FH77"")"),0)</f>
        <v>0</v>
      </c>
      <c r="J441" s="880">
        <v>0</v>
      </c>
      <c r="K441" s="881">
        <f t="shared" ca="1" si="194"/>
        <v>0</v>
      </c>
      <c r="L441" s="881"/>
      <c r="M441" s="881"/>
      <c r="N441" s="881"/>
      <c r="O441" s="881"/>
      <c r="P441" s="881"/>
      <c r="Q441" s="868"/>
      <c r="R441" s="868"/>
      <c r="S441" s="868"/>
      <c r="T441" s="868"/>
      <c r="U441" s="868"/>
      <c r="V441" s="868"/>
      <c r="W441" s="868"/>
      <c r="X441" s="868"/>
      <c r="Y441" s="868"/>
      <c r="Z441" s="868"/>
    </row>
    <row r="442" spans="1:26" ht="19.5">
      <c r="A442" s="584">
        <v>2</v>
      </c>
      <c r="B442" s="1307" t="s">
        <v>200</v>
      </c>
      <c r="C442" s="1308"/>
      <c r="D442" s="1308"/>
      <c r="E442" s="1308"/>
      <c r="F442" s="1308"/>
      <c r="G442" s="1309"/>
      <c r="H442" s="588" t="s">
        <v>35</v>
      </c>
      <c r="I442" s="1310">
        <f t="shared" ref="I442:J442" ca="1" si="195">I460</f>
        <v>10</v>
      </c>
      <c r="J442" s="1310">
        <f t="shared" si="195"/>
        <v>10</v>
      </c>
      <c r="K442" s="1311">
        <f t="shared" ca="1" si="194"/>
        <v>100</v>
      </c>
      <c r="L442" s="1312"/>
      <c r="M442" s="1312"/>
      <c r="N442" s="1312"/>
      <c r="O442" s="1312"/>
      <c r="P442" s="1312"/>
      <c r="Q442" s="1302"/>
      <c r="R442" s="1302"/>
      <c r="S442" s="1302"/>
      <c r="T442" s="1302"/>
      <c r="U442" s="1302"/>
      <c r="V442" s="1302"/>
      <c r="W442" s="1302"/>
      <c r="X442" s="1302"/>
      <c r="Y442" s="1302"/>
      <c r="Z442" s="1302"/>
    </row>
    <row r="443" spans="1:26" ht="19.5">
      <c r="A443" s="1313"/>
      <c r="B443" s="1314"/>
      <c r="C443" s="1315"/>
      <c r="D443" s="1315"/>
      <c r="E443" s="1315"/>
      <c r="F443" s="1315"/>
      <c r="G443" s="1316"/>
      <c r="H443" s="568" t="s">
        <v>46</v>
      </c>
      <c r="I443" s="1294">
        <f t="shared" ref="I443:J443" ca="1" si="196">I462</f>
        <v>30</v>
      </c>
      <c r="J443" s="1294">
        <f t="shared" si="196"/>
        <v>30</v>
      </c>
      <c r="K443" s="1295">
        <f t="shared" ca="1" si="194"/>
        <v>100</v>
      </c>
      <c r="L443" s="1296"/>
      <c r="M443" s="1296"/>
      <c r="N443" s="1296"/>
      <c r="O443" s="1296"/>
      <c r="P443" s="1296"/>
      <c r="Q443" s="1302"/>
      <c r="R443" s="1302"/>
      <c r="S443" s="1302"/>
      <c r="T443" s="1302"/>
      <c r="U443" s="1302"/>
      <c r="V443" s="1302"/>
      <c r="W443" s="1302"/>
      <c r="X443" s="1302"/>
      <c r="Y443" s="1302"/>
      <c r="Z443" s="1302"/>
    </row>
    <row r="444" spans="1:26" ht="19.5">
      <c r="A444" s="1317"/>
      <c r="B444" s="1301"/>
      <c r="C444" s="1301" t="s">
        <v>16</v>
      </c>
      <c r="D444" s="1318" t="s">
        <v>17</v>
      </c>
      <c r="E444" s="841"/>
      <c r="F444" s="841"/>
      <c r="G444" s="1016"/>
      <c r="H444" s="597" t="s">
        <v>12</v>
      </c>
      <c r="I444" s="880"/>
      <c r="J444" s="880"/>
      <c r="K444" s="881"/>
      <c r="L444" s="1020">
        <f t="shared" ref="L444:N444" ca="1" si="197">L445+L446</f>
        <v>87960</v>
      </c>
      <c r="M444" s="1020">
        <f t="shared" ca="1" si="197"/>
        <v>87960</v>
      </c>
      <c r="N444" s="1020">
        <f t="shared" si="197"/>
        <v>24858.959999999999</v>
      </c>
      <c r="O444" s="1020">
        <f t="shared" ref="O444:O449" ca="1" si="198">IF(L444&gt;0,N444*100/L444,0)</f>
        <v>28.261664392905868</v>
      </c>
      <c r="P444" s="1020">
        <f t="shared" ref="P444:P449" ca="1" si="199">IF(M444&gt;0,N444*100/M444,0)</f>
        <v>28.261664392905868</v>
      </c>
      <c r="Q444" s="1302"/>
      <c r="R444" s="1302"/>
      <c r="S444" s="1302"/>
      <c r="T444" s="1302"/>
      <c r="U444" s="1302"/>
      <c r="V444" s="1302"/>
      <c r="W444" s="1302"/>
      <c r="X444" s="1302"/>
      <c r="Y444" s="1302"/>
      <c r="Z444" s="1302"/>
    </row>
    <row r="445" spans="1:26" ht="18.75" hidden="1">
      <c r="A445" s="1319"/>
      <c r="B445" s="1320"/>
      <c r="C445" s="1320"/>
      <c r="D445" s="1321"/>
      <c r="E445" s="1320" t="s">
        <v>185</v>
      </c>
      <c r="F445" s="1320"/>
      <c r="G445" s="1322"/>
      <c r="H445" s="165" t="s">
        <v>12</v>
      </c>
      <c r="I445" s="886"/>
      <c r="J445" s="886"/>
      <c r="K445" s="887"/>
      <c r="L445" s="887">
        <f t="shared" ref="L445:N446" si="200">L448+L455</f>
        <v>0</v>
      </c>
      <c r="M445" s="887">
        <f t="shared" si="200"/>
        <v>0</v>
      </c>
      <c r="N445" s="887">
        <f t="shared" si="200"/>
        <v>0</v>
      </c>
      <c r="O445" s="887">
        <f t="shared" si="198"/>
        <v>0</v>
      </c>
      <c r="P445" s="887">
        <f t="shared" si="199"/>
        <v>0</v>
      </c>
      <c r="Q445" s="1323"/>
      <c r="R445" s="1323"/>
      <c r="S445" s="1323"/>
      <c r="T445" s="1323"/>
      <c r="U445" s="1323"/>
      <c r="V445" s="1323"/>
      <c r="W445" s="1323"/>
      <c r="X445" s="1323"/>
      <c r="Y445" s="1323"/>
      <c r="Z445" s="1323"/>
    </row>
    <row r="446" spans="1:26" ht="18.75" hidden="1">
      <c r="A446" s="1319"/>
      <c r="B446" s="1324"/>
      <c r="C446" s="1320"/>
      <c r="D446" s="1321"/>
      <c r="E446" s="1320" t="s">
        <v>186</v>
      </c>
      <c r="F446" s="1320"/>
      <c r="G446" s="1322"/>
      <c r="H446" s="165" t="s">
        <v>12</v>
      </c>
      <c r="I446" s="886"/>
      <c r="J446" s="886"/>
      <c r="K446" s="887"/>
      <c r="L446" s="887">
        <f t="shared" ca="1" si="200"/>
        <v>87960</v>
      </c>
      <c r="M446" s="887">
        <f t="shared" ca="1" si="200"/>
        <v>87960</v>
      </c>
      <c r="N446" s="887">
        <f t="shared" si="200"/>
        <v>24858.959999999999</v>
      </c>
      <c r="O446" s="887">
        <f t="shared" ca="1" si="198"/>
        <v>28.261664392905868</v>
      </c>
      <c r="P446" s="887">
        <f t="shared" ca="1" si="199"/>
        <v>28.261664392905868</v>
      </c>
      <c r="Q446" s="1323"/>
      <c r="R446" s="1323"/>
      <c r="S446" s="1323"/>
      <c r="T446" s="1323"/>
      <c r="U446" s="1323"/>
      <c r="V446" s="1323"/>
      <c r="W446" s="1323"/>
      <c r="X446" s="1323"/>
      <c r="Y446" s="1323"/>
      <c r="Z446" s="1323"/>
    </row>
    <row r="447" spans="1:26" ht="18.75">
      <c r="A447" s="1317"/>
      <c r="B447" s="1300"/>
      <c r="C447" s="1301"/>
      <c r="D447" s="1325" t="s">
        <v>20</v>
      </c>
      <c r="E447" s="1301"/>
      <c r="F447" s="1301"/>
      <c r="G447" s="1016"/>
      <c r="H447" s="161" t="s">
        <v>12</v>
      </c>
      <c r="I447" s="997"/>
      <c r="J447" s="997"/>
      <c r="K447" s="998"/>
      <c r="L447" s="881">
        <f t="shared" ref="L447:N447" ca="1" si="201">L448+L449</f>
        <v>87960</v>
      </c>
      <c r="M447" s="881">
        <f t="shared" ca="1" si="201"/>
        <v>87960</v>
      </c>
      <c r="N447" s="881">
        <f t="shared" si="201"/>
        <v>24858.959999999999</v>
      </c>
      <c r="O447" s="881">
        <f t="shared" ca="1" si="198"/>
        <v>28.261664392905868</v>
      </c>
      <c r="P447" s="881">
        <f t="shared" ca="1" si="199"/>
        <v>28.261664392905868</v>
      </c>
      <c r="Q447" s="1302"/>
      <c r="R447" s="1302"/>
      <c r="S447" s="1302"/>
      <c r="T447" s="1302"/>
      <c r="U447" s="1302"/>
      <c r="V447" s="1302"/>
      <c r="W447" s="1302"/>
      <c r="X447" s="1302"/>
      <c r="Y447" s="1302"/>
      <c r="Z447" s="1302"/>
    </row>
    <row r="448" spans="1:26" ht="18.75" hidden="1">
      <c r="A448" s="1319"/>
      <c r="B448" s="1324"/>
      <c r="C448" s="1320"/>
      <c r="D448" s="1321"/>
      <c r="E448" s="1320" t="s">
        <v>185</v>
      </c>
      <c r="F448" s="1320"/>
      <c r="G448" s="1322"/>
      <c r="H448" s="165" t="s">
        <v>12</v>
      </c>
      <c r="I448" s="886"/>
      <c r="J448" s="886"/>
      <c r="K448" s="887"/>
      <c r="L448" s="887">
        <v>0</v>
      </c>
      <c r="M448" s="887">
        <v>0</v>
      </c>
      <c r="N448" s="887">
        <v>0</v>
      </c>
      <c r="O448" s="887">
        <f t="shared" si="198"/>
        <v>0</v>
      </c>
      <c r="P448" s="887">
        <f t="shared" si="199"/>
        <v>0</v>
      </c>
      <c r="Q448" s="1323"/>
      <c r="R448" s="1323"/>
      <c r="S448" s="1323"/>
      <c r="T448" s="1323"/>
      <c r="U448" s="1323"/>
      <c r="V448" s="1323"/>
      <c r="W448" s="1323"/>
      <c r="X448" s="1323"/>
      <c r="Y448" s="1323"/>
      <c r="Z448" s="1323"/>
    </row>
    <row r="449" spans="1:26" ht="18.75" hidden="1">
      <c r="A449" s="1319"/>
      <c r="B449" s="1324"/>
      <c r="C449" s="1320"/>
      <c r="D449" s="1321"/>
      <c r="E449" s="1320" t="s">
        <v>186</v>
      </c>
      <c r="F449" s="1320"/>
      <c r="G449" s="1322"/>
      <c r="H449" s="165" t="s">
        <v>12</v>
      </c>
      <c r="I449" s="886"/>
      <c r="J449" s="886"/>
      <c r="K449" s="887"/>
      <c r="L449" s="887">
        <f ca="1">IFERROR(__xludf.DUMMYFUNCTION("IMPORTRANGE(""https://docs.google.com/spreadsheets/d/1QqKyyYR6Q21VydFLVH3TRQUabQu_ym0Zz7PgGX0-kHA/edit?usp=sharing"",""แผน!FJ77"")"),87960)</f>
        <v>87960</v>
      </c>
      <c r="M449" s="887">
        <f ca="1">L449</f>
        <v>87960</v>
      </c>
      <c r="N449" s="887">
        <f>N450+N451+N452+N453</f>
        <v>24858.959999999999</v>
      </c>
      <c r="O449" s="887">
        <f t="shared" ca="1" si="198"/>
        <v>28.261664392905868</v>
      </c>
      <c r="P449" s="887">
        <f t="shared" ca="1" si="199"/>
        <v>28.261664392905868</v>
      </c>
      <c r="Q449" s="1323"/>
      <c r="R449" s="1323"/>
      <c r="S449" s="1323"/>
      <c r="T449" s="1323"/>
      <c r="U449" s="1323"/>
      <c r="V449" s="1323"/>
      <c r="W449" s="1323"/>
      <c r="X449" s="1323"/>
      <c r="Y449" s="1323"/>
      <c r="Z449" s="1323"/>
    </row>
    <row r="450" spans="1:26" ht="18.75">
      <c r="A450" s="1299"/>
      <c r="B450" s="1300"/>
      <c r="C450" s="1301"/>
      <c r="D450" s="1301"/>
      <c r="E450" s="1301"/>
      <c r="F450" s="1301" t="s">
        <v>187</v>
      </c>
      <c r="G450" s="1016"/>
      <c r="H450" s="161" t="s">
        <v>12</v>
      </c>
      <c r="I450" s="880"/>
      <c r="J450" s="880"/>
      <c r="K450" s="881"/>
      <c r="L450" s="881"/>
      <c r="M450" s="881"/>
      <c r="N450" s="1085">
        <v>16953.599999999999</v>
      </c>
      <c r="O450" s="881"/>
      <c r="P450" s="881"/>
      <c r="Q450" s="1302"/>
      <c r="R450" s="1302"/>
      <c r="S450" s="1302"/>
      <c r="T450" s="1302"/>
      <c r="U450" s="1302"/>
      <c r="V450" s="1302"/>
      <c r="W450" s="1302"/>
      <c r="X450" s="1302"/>
      <c r="Y450" s="1302"/>
      <c r="Z450" s="1302"/>
    </row>
    <row r="451" spans="1:26" ht="18.75">
      <c r="A451" s="1299"/>
      <c r="B451" s="1300"/>
      <c r="C451" s="1301"/>
      <c r="D451" s="1301"/>
      <c r="E451" s="1301"/>
      <c r="F451" s="1301" t="s">
        <v>188</v>
      </c>
      <c r="G451" s="1016"/>
      <c r="H451" s="161" t="s">
        <v>12</v>
      </c>
      <c r="I451" s="880"/>
      <c r="J451" s="880"/>
      <c r="K451" s="881"/>
      <c r="L451" s="881"/>
      <c r="M451" s="881"/>
      <c r="N451" s="1085">
        <v>0</v>
      </c>
      <c r="O451" s="881"/>
      <c r="P451" s="881"/>
      <c r="Q451" s="1302"/>
      <c r="R451" s="1302"/>
      <c r="S451" s="1302"/>
      <c r="T451" s="1302"/>
      <c r="U451" s="1302"/>
      <c r="V451" s="1302"/>
      <c r="W451" s="1302"/>
      <c r="X451" s="1302"/>
      <c r="Y451" s="1302"/>
      <c r="Z451" s="1302"/>
    </row>
    <row r="452" spans="1:26" ht="18.75">
      <c r="A452" s="1299"/>
      <c r="B452" s="1300"/>
      <c r="C452" s="1300"/>
      <c r="D452" s="1300"/>
      <c r="E452" s="1300"/>
      <c r="F452" s="1301" t="s">
        <v>189</v>
      </c>
      <c r="G452" s="1016"/>
      <c r="H452" s="161" t="s">
        <v>12</v>
      </c>
      <c r="I452" s="880"/>
      <c r="J452" s="880"/>
      <c r="K452" s="881"/>
      <c r="L452" s="881"/>
      <c r="M452" s="881"/>
      <c r="N452" s="1085">
        <v>0</v>
      </c>
      <c r="O452" s="881"/>
      <c r="P452" s="881"/>
      <c r="Q452" s="1302"/>
      <c r="R452" s="1302"/>
      <c r="S452" s="1302"/>
      <c r="T452" s="1302"/>
      <c r="U452" s="1302"/>
      <c r="V452" s="1302"/>
      <c r="W452" s="1302"/>
      <c r="X452" s="1302"/>
      <c r="Y452" s="1302"/>
      <c r="Z452" s="1302"/>
    </row>
    <row r="453" spans="1:26" ht="18.75">
      <c r="A453" s="1299"/>
      <c r="B453" s="1300"/>
      <c r="C453" s="1300"/>
      <c r="D453" s="1300"/>
      <c r="E453" s="1300"/>
      <c r="F453" s="1301" t="s">
        <v>190</v>
      </c>
      <c r="G453" s="1016"/>
      <c r="H453" s="161" t="s">
        <v>12</v>
      </c>
      <c r="I453" s="880"/>
      <c r="J453" s="880"/>
      <c r="K453" s="881"/>
      <c r="L453" s="881"/>
      <c r="M453" s="881"/>
      <c r="N453" s="1085">
        <f>3445.4+4459.96</f>
        <v>7905.3600000000006</v>
      </c>
      <c r="O453" s="881"/>
      <c r="P453" s="881"/>
      <c r="Q453" s="1302"/>
      <c r="R453" s="1302"/>
      <c r="S453" s="1302"/>
      <c r="T453" s="1302"/>
      <c r="U453" s="1302"/>
      <c r="V453" s="1302"/>
      <c r="W453" s="1302"/>
      <c r="X453" s="1302"/>
      <c r="Y453" s="1302"/>
      <c r="Z453" s="1302"/>
    </row>
    <row r="454" spans="1:26" ht="18.75">
      <c r="A454" s="1317"/>
      <c r="B454" s="1300"/>
      <c r="C454" s="1300"/>
      <c r="D454" s="1325" t="s">
        <v>21</v>
      </c>
      <c r="E454" s="1300"/>
      <c r="F454" s="1301"/>
      <c r="G454" s="1016"/>
      <c r="H454" s="168" t="s">
        <v>12</v>
      </c>
      <c r="I454" s="997"/>
      <c r="J454" s="997"/>
      <c r="K454" s="998"/>
      <c r="L454" s="881">
        <f t="shared" ref="L454:N454" ca="1" si="202">L455+L456</f>
        <v>0</v>
      </c>
      <c r="M454" s="881">
        <f t="shared" si="202"/>
        <v>0</v>
      </c>
      <c r="N454" s="881">
        <f t="shared" si="202"/>
        <v>0</v>
      </c>
      <c r="O454" s="881">
        <f t="shared" ref="O454:O456" ca="1" si="203">IF(L454&gt;0,N454*100/L454,0)</f>
        <v>0</v>
      </c>
      <c r="P454" s="881">
        <f t="shared" ref="P454:P456" si="204">IF(M454&gt;0,N454*100/M454,0)</f>
        <v>0</v>
      </c>
      <c r="Q454" s="1302"/>
      <c r="R454" s="1302"/>
      <c r="S454" s="1302"/>
      <c r="T454" s="1302"/>
      <c r="U454" s="1302"/>
      <c r="V454" s="1302"/>
      <c r="W454" s="1302"/>
      <c r="X454" s="1302"/>
      <c r="Y454" s="1302"/>
      <c r="Z454" s="1302"/>
    </row>
    <row r="455" spans="1:26" ht="18.75" hidden="1">
      <c r="A455" s="1319"/>
      <c r="B455" s="1324"/>
      <c r="C455" s="1324"/>
      <c r="D455" s="1324"/>
      <c r="E455" s="1324" t="s">
        <v>18</v>
      </c>
      <c r="F455" s="1320"/>
      <c r="G455" s="1322"/>
      <c r="H455" s="165" t="s">
        <v>12</v>
      </c>
      <c r="I455" s="1000"/>
      <c r="J455" s="1000"/>
      <c r="K455" s="1001"/>
      <c r="L455" s="887">
        <v>0</v>
      </c>
      <c r="M455" s="887">
        <v>0</v>
      </c>
      <c r="N455" s="887">
        <v>0</v>
      </c>
      <c r="O455" s="887">
        <f t="shared" si="203"/>
        <v>0</v>
      </c>
      <c r="P455" s="887">
        <f t="shared" si="204"/>
        <v>0</v>
      </c>
      <c r="Q455" s="1323"/>
      <c r="R455" s="1323"/>
      <c r="S455" s="1323"/>
      <c r="T455" s="1323"/>
      <c r="U455" s="1323"/>
      <c r="V455" s="1323"/>
      <c r="W455" s="1323"/>
      <c r="X455" s="1323"/>
      <c r="Y455" s="1323"/>
      <c r="Z455" s="1323"/>
    </row>
    <row r="456" spans="1:26" ht="18.75" hidden="1">
      <c r="A456" s="1319"/>
      <c r="B456" s="1324"/>
      <c r="C456" s="1324"/>
      <c r="D456" s="1324"/>
      <c r="E456" s="1324" t="s">
        <v>19</v>
      </c>
      <c r="F456" s="1320"/>
      <c r="G456" s="1322"/>
      <c r="H456" s="169" t="s">
        <v>12</v>
      </c>
      <c r="I456" s="1000"/>
      <c r="J456" s="1000"/>
      <c r="K456" s="1001"/>
      <c r="L456" s="887">
        <f ca="1">IFERROR(__xludf.DUMMYFUNCTION("IMPORTRANGE(""https://docs.google.com/spreadsheets/d/1QqKyyYR6Q21VydFLVH3TRQUabQu_ym0Zz7PgGX0-kHA/edit?usp=sharing"",""แผน!FM77"")"),0)</f>
        <v>0</v>
      </c>
      <c r="M456" s="887">
        <v>0</v>
      </c>
      <c r="N456" s="887">
        <v>0</v>
      </c>
      <c r="O456" s="887">
        <f t="shared" ca="1" si="203"/>
        <v>0</v>
      </c>
      <c r="P456" s="887">
        <f t="shared" si="204"/>
        <v>0</v>
      </c>
      <c r="Q456" s="1323"/>
      <c r="R456" s="1323"/>
      <c r="S456" s="1323"/>
      <c r="T456" s="1323"/>
      <c r="U456" s="1323"/>
      <c r="V456" s="1323"/>
      <c r="W456" s="1323"/>
      <c r="X456" s="1323"/>
      <c r="Y456" s="1323"/>
      <c r="Z456" s="1323"/>
    </row>
    <row r="457" spans="1:26" ht="19.5">
      <c r="A457" s="1326"/>
      <c r="B457" s="1327"/>
      <c r="C457" s="1300" t="s">
        <v>16</v>
      </c>
      <c r="D457" s="1328" t="s">
        <v>38</v>
      </c>
      <c r="E457" s="1329"/>
      <c r="F457" s="1330"/>
      <c r="G457" s="1331"/>
      <c r="H457" s="1007"/>
      <c r="I457" s="880"/>
      <c r="J457" s="880"/>
      <c r="K457" s="881"/>
      <c r="L457" s="881"/>
      <c r="M457" s="881"/>
      <c r="N457" s="881"/>
      <c r="O457" s="881"/>
      <c r="P457" s="881"/>
      <c r="Q457" s="1302"/>
      <c r="R457" s="1302"/>
      <c r="S457" s="1302"/>
      <c r="T457" s="1302"/>
      <c r="U457" s="1302"/>
      <c r="V457" s="1302"/>
      <c r="W457" s="1302"/>
      <c r="X457" s="1302"/>
      <c r="Y457" s="1302"/>
      <c r="Z457" s="1302"/>
    </row>
    <row r="458" spans="1:26" ht="18.75" hidden="1">
      <c r="A458" s="1332"/>
      <c r="B458" s="1333"/>
      <c r="C458" s="1333"/>
      <c r="D458" s="1333" t="s">
        <v>201</v>
      </c>
      <c r="E458" s="1333"/>
      <c r="F458" s="1321"/>
      <c r="G458" s="1113"/>
      <c r="H458" s="370" t="s">
        <v>35</v>
      </c>
      <c r="I458" s="886">
        <v>0</v>
      </c>
      <c r="J458" s="886">
        <v>0</v>
      </c>
      <c r="K458" s="887">
        <f>IF(I458&gt;0,J458*100/I458,0)</f>
        <v>0</v>
      </c>
      <c r="L458" s="887"/>
      <c r="M458" s="887"/>
      <c r="N458" s="887"/>
      <c r="O458" s="887"/>
      <c r="P458" s="887"/>
      <c r="Q458" s="1323"/>
      <c r="R458" s="1323"/>
      <c r="S458" s="1323"/>
      <c r="T458" s="1323"/>
      <c r="U458" s="1323"/>
      <c r="V458" s="1323"/>
      <c r="W458" s="1323"/>
      <c r="X458" s="1323"/>
      <c r="Y458" s="1323"/>
      <c r="Z458" s="1323"/>
    </row>
    <row r="459" spans="1:26" ht="18.75" hidden="1">
      <c r="A459" s="1332"/>
      <c r="B459" s="1333"/>
      <c r="C459" s="1333"/>
      <c r="D459" s="1333" t="s">
        <v>202</v>
      </c>
      <c r="E459" s="1333"/>
      <c r="F459" s="1321"/>
      <c r="G459" s="1113"/>
      <c r="H459" s="370"/>
      <c r="I459" s="886"/>
      <c r="J459" s="886"/>
      <c r="K459" s="887"/>
      <c r="L459" s="887"/>
      <c r="M459" s="887"/>
      <c r="N459" s="887"/>
      <c r="O459" s="887"/>
      <c r="P459" s="887"/>
      <c r="Q459" s="1323"/>
      <c r="R459" s="1323"/>
      <c r="S459" s="1323"/>
      <c r="T459" s="1323"/>
      <c r="U459" s="1323"/>
      <c r="V459" s="1323"/>
      <c r="W459" s="1323"/>
      <c r="X459" s="1323"/>
      <c r="Y459" s="1323"/>
      <c r="Z459" s="1323"/>
    </row>
    <row r="460" spans="1:26" ht="18.75">
      <c r="A460" s="1326"/>
      <c r="B460" s="1327"/>
      <c r="C460" s="1327"/>
      <c r="D460" s="1327" t="s">
        <v>203</v>
      </c>
      <c r="E460" s="1327"/>
      <c r="F460" s="1014"/>
      <c r="G460" s="1007"/>
      <c r="H460" s="762" t="s">
        <v>35</v>
      </c>
      <c r="I460" s="880">
        <f ca="1">IFERROR(__xludf.DUMMYFUNCTION("IMPORTRANGE(""https://docs.google.com/spreadsheets/d/1QqKyyYR6Q21VydFLVH3TRQUabQu_ym0Zz7PgGX0-kHA/edit?usp=sharing"",""แผน!FN77"")"),10)</f>
        <v>10</v>
      </c>
      <c r="J460" s="1012">
        <v>10</v>
      </c>
      <c r="K460" s="881">
        <f ca="1">IF(I460&gt;0,J460*100/I460,0)</f>
        <v>100</v>
      </c>
      <c r="L460" s="881"/>
      <c r="M460" s="881"/>
      <c r="N460" s="881"/>
      <c r="O460" s="881"/>
      <c r="P460" s="881"/>
      <c r="Q460" s="1302"/>
      <c r="R460" s="1302"/>
      <c r="S460" s="1302"/>
      <c r="T460" s="1302"/>
      <c r="U460" s="1302"/>
      <c r="V460" s="1302"/>
      <c r="W460" s="1302"/>
      <c r="X460" s="1302"/>
      <c r="Y460" s="1302"/>
      <c r="Z460" s="1302"/>
    </row>
    <row r="461" spans="1:26" ht="18.75">
      <c r="A461" s="1326"/>
      <c r="B461" s="1327"/>
      <c r="C461" s="1327"/>
      <c r="D461" s="1327" t="s">
        <v>204</v>
      </c>
      <c r="E461" s="1014"/>
      <c r="F461" s="1014"/>
      <c r="G461" s="1007"/>
      <c r="H461" s="762"/>
      <c r="I461" s="880"/>
      <c r="J461" s="880"/>
      <c r="K461" s="881"/>
      <c r="L461" s="881"/>
      <c r="M461" s="881"/>
      <c r="N461" s="881"/>
      <c r="O461" s="881"/>
      <c r="P461" s="881"/>
      <c r="Q461" s="1302"/>
      <c r="R461" s="1302"/>
      <c r="S461" s="1302"/>
      <c r="T461" s="1302"/>
      <c r="U461" s="1302"/>
      <c r="V461" s="1302"/>
      <c r="W461" s="1302"/>
      <c r="X461" s="1302"/>
      <c r="Y461" s="1302"/>
      <c r="Z461" s="1302"/>
    </row>
    <row r="462" spans="1:26" ht="18.75">
      <c r="A462" s="1326"/>
      <c r="B462" s="1327"/>
      <c r="C462" s="1327"/>
      <c r="D462" s="1327" t="s">
        <v>205</v>
      </c>
      <c r="E462" s="1014"/>
      <c r="F462" s="1014"/>
      <c r="G462" s="1007"/>
      <c r="H462" s="762" t="s">
        <v>46</v>
      </c>
      <c r="I462" s="880">
        <f ca="1">IFERROR(__xludf.DUMMYFUNCTION("IMPORTRANGE(""https://docs.google.com/spreadsheets/d/1QqKyyYR6Q21VydFLVH3TRQUabQu_ym0Zz7PgGX0-kHA/edit?usp=sharing"",""แผน!FO77"")"),30)</f>
        <v>30</v>
      </c>
      <c r="J462" s="1012">
        <v>30</v>
      </c>
      <c r="K462" s="881">
        <f ca="1">IF(I462&gt;0,J462*100/I462,0)</f>
        <v>100</v>
      </c>
      <c r="L462" s="881"/>
      <c r="M462" s="881"/>
      <c r="N462" s="881"/>
      <c r="O462" s="881"/>
      <c r="P462" s="881"/>
      <c r="Q462" s="1302"/>
      <c r="R462" s="1302"/>
      <c r="S462" s="1302"/>
      <c r="T462" s="1302"/>
      <c r="U462" s="1302"/>
      <c r="V462" s="1302"/>
      <c r="W462" s="1302"/>
      <c r="X462" s="1302"/>
      <c r="Y462" s="1302"/>
      <c r="Z462" s="1302"/>
    </row>
    <row r="463" spans="1:26" ht="18.75">
      <c r="A463" s="1326"/>
      <c r="B463" s="1327"/>
      <c r="C463" s="1327"/>
      <c r="D463" s="1327" t="s">
        <v>59</v>
      </c>
      <c r="E463" s="1014"/>
      <c r="F463" s="1301"/>
      <c r="G463" s="1016"/>
      <c r="H463" s="762" t="s">
        <v>46</v>
      </c>
      <c r="I463" s="880">
        <f ca="1">IFERROR(__xludf.DUMMYFUNCTION("IMPORTRANGE(""https://docs.google.com/spreadsheets/d/1QqKyyYR6Q21VydFLVH3TRQUabQu_ym0Zz7PgGX0-kHA/edit?usp=sharing"",""แผน!FO77"")"),30)</f>
        <v>30</v>
      </c>
      <c r="J463" s="1012">
        <v>0</v>
      </c>
      <c r="K463" s="881"/>
      <c r="L463" s="881"/>
      <c r="M463" s="881"/>
      <c r="N463" s="881"/>
      <c r="O463" s="881"/>
      <c r="P463" s="881"/>
      <c r="Q463" s="1302"/>
      <c r="R463" s="1302"/>
      <c r="S463" s="1302"/>
      <c r="T463" s="1302"/>
      <c r="U463" s="1302"/>
      <c r="V463" s="1302"/>
      <c r="W463" s="1302"/>
      <c r="X463" s="1302"/>
      <c r="Y463" s="1302"/>
      <c r="Z463" s="1302"/>
    </row>
    <row r="464" spans="1:26" ht="19.5">
      <c r="A464" s="1326"/>
      <c r="B464" s="1327"/>
      <c r="C464" s="1327"/>
      <c r="D464" s="1327"/>
      <c r="E464" s="1014"/>
      <c r="F464" s="1014"/>
      <c r="G464" s="1334"/>
      <c r="H464" s="762" t="s">
        <v>35</v>
      </c>
      <c r="I464" s="880">
        <f ca="1">IFERROR(__xludf.DUMMYFUNCTION("IMPORTRANGE(""https://docs.google.com/spreadsheets/d/1QqKyyYR6Q21VydFLVH3TRQUabQu_ym0Zz7PgGX0-kHA/edit?usp=sharing"",""แผน!FN77"")"),10)</f>
        <v>10</v>
      </c>
      <c r="J464" s="1012">
        <v>0</v>
      </c>
      <c r="K464" s="881"/>
      <c r="L464" s="881"/>
      <c r="M464" s="881"/>
      <c r="N464" s="881"/>
      <c r="O464" s="881"/>
      <c r="P464" s="881"/>
      <c r="Q464" s="1302"/>
      <c r="R464" s="1302"/>
      <c r="S464" s="1302"/>
      <c r="T464" s="1302"/>
      <c r="U464" s="1302"/>
      <c r="V464" s="1302"/>
      <c r="W464" s="1302"/>
      <c r="X464" s="1302"/>
      <c r="Y464" s="1302"/>
      <c r="Z464" s="1302"/>
    </row>
    <row r="465" spans="1:26" ht="19.5">
      <c r="A465" s="584">
        <v>3</v>
      </c>
      <c r="B465" s="1307" t="s">
        <v>206</v>
      </c>
      <c r="C465" s="1308"/>
      <c r="D465" s="1308"/>
      <c r="E465" s="1308"/>
      <c r="F465" s="1308"/>
      <c r="G465" s="1309"/>
      <c r="H465" s="588" t="s">
        <v>35</v>
      </c>
      <c r="I465" s="1310">
        <f ca="1">IFERROR(__xludf.DUMMYFUNCTION("IMPORTRANGE(""https://docs.google.com/spreadsheets/d/1QqKyyYR6Q21VydFLVH3TRQUabQu_ym0Zz7PgGX0-kHA/edit?usp=sharing"",""แผน!FX77"")"),41)</f>
        <v>41</v>
      </c>
      <c r="J465" s="1310">
        <f>J485+J489+J492</f>
        <v>41</v>
      </c>
      <c r="K465" s="1311">
        <f t="shared" ref="K465:K466" ca="1" si="205">IF(I465&gt;0,J465*100/I465,0)</f>
        <v>100</v>
      </c>
      <c r="L465" s="1312"/>
      <c r="M465" s="1312"/>
      <c r="N465" s="1312"/>
      <c r="O465" s="1312"/>
      <c r="P465" s="1312"/>
      <c r="Q465" s="1302"/>
      <c r="R465" s="1302"/>
      <c r="S465" s="1302"/>
      <c r="T465" s="1302"/>
      <c r="U465" s="1302"/>
      <c r="V465" s="1302"/>
      <c r="W465" s="1302"/>
      <c r="X465" s="1302"/>
      <c r="Y465" s="1302"/>
      <c r="Z465" s="1302"/>
    </row>
    <row r="466" spans="1:26" ht="19.5">
      <c r="A466" s="1313"/>
      <c r="B466" s="1314"/>
      <c r="C466" s="1315"/>
      <c r="D466" s="1315"/>
      <c r="E466" s="1315"/>
      <c r="F466" s="1315"/>
      <c r="G466" s="1316"/>
      <c r="H466" s="568" t="s">
        <v>46</v>
      </c>
      <c r="I466" s="1294">
        <f ca="1">IFERROR(__xludf.DUMMYFUNCTION("IMPORTRANGE(""https://docs.google.com/spreadsheets/d/1QqKyyYR6Q21VydFLVH3TRQUabQu_ym0Zz7PgGX0-kHA/edit?usp=sharing"",""แผน!FW77"")"),400)</f>
        <v>400</v>
      </c>
      <c r="J466" s="1294">
        <f>J495+J498</f>
        <v>0</v>
      </c>
      <c r="K466" s="1295">
        <f t="shared" ca="1" si="205"/>
        <v>0</v>
      </c>
      <c r="L466" s="1296"/>
      <c r="M466" s="1296"/>
      <c r="N466" s="1296"/>
      <c r="O466" s="1296"/>
      <c r="P466" s="1296"/>
      <c r="Q466" s="1302"/>
      <c r="R466" s="1302"/>
      <c r="S466" s="1302"/>
      <c r="T466" s="1302"/>
      <c r="U466" s="1302"/>
      <c r="V466" s="1302"/>
      <c r="W466" s="1302"/>
      <c r="X466" s="1302"/>
      <c r="Y466" s="1302"/>
      <c r="Z466" s="1302"/>
    </row>
    <row r="467" spans="1:26" ht="19.5">
      <c r="A467" s="1317"/>
      <c r="B467" s="1301"/>
      <c r="C467" s="1301" t="s">
        <v>16</v>
      </c>
      <c r="D467" s="1318" t="s">
        <v>17</v>
      </c>
      <c r="E467" s="841"/>
      <c r="F467" s="841"/>
      <c r="G467" s="1016"/>
      <c r="H467" s="597" t="s">
        <v>12</v>
      </c>
      <c r="I467" s="880"/>
      <c r="J467" s="880"/>
      <c r="K467" s="881"/>
      <c r="L467" s="1020">
        <f t="shared" ref="L467:N467" ca="1" si="206">L468+L469</f>
        <v>341043</v>
      </c>
      <c r="M467" s="1020">
        <f t="shared" ca="1" si="206"/>
        <v>341043</v>
      </c>
      <c r="N467" s="1020">
        <f t="shared" si="206"/>
        <v>69240.27</v>
      </c>
      <c r="O467" s="1020">
        <f t="shared" ref="O467:O472" ca="1" si="207">IF(L467&gt;0,N467*100/L467,0)</f>
        <v>20.302504376280996</v>
      </c>
      <c r="P467" s="1020">
        <f t="shared" ref="P467:P472" ca="1" si="208">IF(M467&gt;0,N467*100/M467,0)</f>
        <v>20.302504376280996</v>
      </c>
      <c r="Q467" s="1302"/>
      <c r="R467" s="1302"/>
      <c r="S467" s="1302"/>
      <c r="T467" s="1302"/>
      <c r="U467" s="1302"/>
      <c r="V467" s="1302"/>
      <c r="W467" s="1302"/>
      <c r="X467" s="1302"/>
      <c r="Y467" s="1302"/>
      <c r="Z467" s="1302"/>
    </row>
    <row r="468" spans="1:26" ht="18.75" hidden="1">
      <c r="A468" s="1319"/>
      <c r="B468" s="1320"/>
      <c r="C468" s="1320"/>
      <c r="D468" s="1321"/>
      <c r="E468" s="1320" t="s">
        <v>185</v>
      </c>
      <c r="F468" s="1320"/>
      <c r="G468" s="1322"/>
      <c r="H468" s="165" t="s">
        <v>12</v>
      </c>
      <c r="I468" s="886"/>
      <c r="J468" s="886"/>
      <c r="K468" s="887"/>
      <c r="L468" s="887">
        <f t="shared" ref="L468:N469" si="209">L471+L478</f>
        <v>0</v>
      </c>
      <c r="M468" s="887">
        <f t="shared" si="209"/>
        <v>0</v>
      </c>
      <c r="N468" s="887">
        <f t="shared" si="209"/>
        <v>0</v>
      </c>
      <c r="O468" s="887">
        <f t="shared" si="207"/>
        <v>0</v>
      </c>
      <c r="P468" s="887">
        <f t="shared" si="208"/>
        <v>0</v>
      </c>
      <c r="Q468" s="1323"/>
      <c r="R468" s="1323"/>
      <c r="S468" s="1323"/>
      <c r="T468" s="1323"/>
      <c r="U468" s="1323"/>
      <c r="V468" s="1323"/>
      <c r="W468" s="1323"/>
      <c r="X468" s="1323"/>
      <c r="Y468" s="1323"/>
      <c r="Z468" s="1323"/>
    </row>
    <row r="469" spans="1:26" ht="18.75" hidden="1">
      <c r="A469" s="1319"/>
      <c r="B469" s="1324"/>
      <c r="C469" s="1320"/>
      <c r="D469" s="1321"/>
      <c r="E469" s="1320" t="s">
        <v>186</v>
      </c>
      <c r="F469" s="1320"/>
      <c r="G469" s="1322"/>
      <c r="H469" s="165" t="s">
        <v>12</v>
      </c>
      <c r="I469" s="886"/>
      <c r="J469" s="886"/>
      <c r="K469" s="887"/>
      <c r="L469" s="887">
        <f t="shared" ca="1" si="209"/>
        <v>341043</v>
      </c>
      <c r="M469" s="887">
        <f t="shared" ca="1" si="209"/>
        <v>341043</v>
      </c>
      <c r="N469" s="887">
        <f t="shared" si="209"/>
        <v>69240.27</v>
      </c>
      <c r="O469" s="887">
        <f t="shared" ca="1" si="207"/>
        <v>20.302504376280996</v>
      </c>
      <c r="P469" s="887">
        <f t="shared" ca="1" si="208"/>
        <v>20.302504376280996</v>
      </c>
      <c r="Q469" s="1323"/>
      <c r="R469" s="1323"/>
      <c r="S469" s="1323"/>
      <c r="T469" s="1323"/>
      <c r="U469" s="1323"/>
      <c r="V469" s="1323"/>
      <c r="W469" s="1323"/>
      <c r="X469" s="1323"/>
      <c r="Y469" s="1323"/>
      <c r="Z469" s="1323"/>
    </row>
    <row r="470" spans="1:26" ht="18.75">
      <c r="A470" s="1317"/>
      <c r="B470" s="1300"/>
      <c r="C470" s="1301"/>
      <c r="D470" s="1325" t="s">
        <v>20</v>
      </c>
      <c r="E470" s="1301"/>
      <c r="F470" s="1301"/>
      <c r="G470" s="1016"/>
      <c r="H470" s="161" t="s">
        <v>12</v>
      </c>
      <c r="I470" s="997"/>
      <c r="J470" s="997"/>
      <c r="K470" s="998"/>
      <c r="L470" s="881">
        <f t="shared" ref="L470:N470" ca="1" si="210">L471+L472</f>
        <v>341043</v>
      </c>
      <c r="M470" s="881">
        <f t="shared" ca="1" si="210"/>
        <v>341043</v>
      </c>
      <c r="N470" s="881">
        <f t="shared" si="210"/>
        <v>69240.27</v>
      </c>
      <c r="O470" s="881">
        <f t="shared" ca="1" si="207"/>
        <v>20.302504376280996</v>
      </c>
      <c r="P470" s="881">
        <f t="shared" ca="1" si="208"/>
        <v>20.302504376280996</v>
      </c>
      <c r="Q470" s="1302"/>
      <c r="R470" s="1302"/>
      <c r="S470" s="1302"/>
      <c r="T470" s="1302"/>
      <c r="U470" s="1302"/>
      <c r="V470" s="1302"/>
      <c r="W470" s="1302"/>
      <c r="X470" s="1302"/>
      <c r="Y470" s="1302"/>
      <c r="Z470" s="1302"/>
    </row>
    <row r="471" spans="1:26" ht="18.75" hidden="1">
      <c r="A471" s="1319"/>
      <c r="B471" s="1324"/>
      <c r="C471" s="1320"/>
      <c r="D471" s="1321"/>
      <c r="E471" s="1320" t="s">
        <v>185</v>
      </c>
      <c r="F471" s="1320"/>
      <c r="G471" s="1322"/>
      <c r="H471" s="165" t="s">
        <v>12</v>
      </c>
      <c r="I471" s="886"/>
      <c r="J471" s="886"/>
      <c r="K471" s="887"/>
      <c r="L471" s="887">
        <v>0</v>
      </c>
      <c r="M471" s="887">
        <v>0</v>
      </c>
      <c r="N471" s="887">
        <v>0</v>
      </c>
      <c r="O471" s="887">
        <f t="shared" si="207"/>
        <v>0</v>
      </c>
      <c r="P471" s="887">
        <f t="shared" si="208"/>
        <v>0</v>
      </c>
      <c r="Q471" s="1323"/>
      <c r="R471" s="1323"/>
      <c r="S471" s="1323"/>
      <c r="T471" s="1323"/>
      <c r="U471" s="1323"/>
      <c r="V471" s="1323"/>
      <c r="W471" s="1323"/>
      <c r="X471" s="1323"/>
      <c r="Y471" s="1323"/>
      <c r="Z471" s="1323"/>
    </row>
    <row r="472" spans="1:26" ht="18.75" hidden="1">
      <c r="A472" s="1319"/>
      <c r="B472" s="1324"/>
      <c r="C472" s="1320"/>
      <c r="D472" s="1321"/>
      <c r="E472" s="1320" t="s">
        <v>186</v>
      </c>
      <c r="F472" s="1320"/>
      <c r="G472" s="1322"/>
      <c r="H472" s="165" t="s">
        <v>12</v>
      </c>
      <c r="I472" s="886"/>
      <c r="J472" s="886"/>
      <c r="K472" s="887"/>
      <c r="L472" s="887">
        <f ca="1">IFERROR(__xludf.DUMMYFUNCTION("IMPORTRANGE(""https://docs.google.com/spreadsheets/d/1QqKyyYR6Q21VydFLVH3TRQUabQu_ym0Zz7PgGX0-kHA/edit?usp=sharing"",""แผน!FS77"")"),341043)</f>
        <v>341043</v>
      </c>
      <c r="M472" s="887">
        <f ca="1">L472</f>
        <v>341043</v>
      </c>
      <c r="N472" s="887">
        <f>N473+N474+N475+N476</f>
        <v>69240.27</v>
      </c>
      <c r="O472" s="887">
        <f t="shared" ca="1" si="207"/>
        <v>20.302504376280996</v>
      </c>
      <c r="P472" s="887">
        <f t="shared" ca="1" si="208"/>
        <v>20.302504376280996</v>
      </c>
      <c r="Q472" s="1323"/>
      <c r="R472" s="1323"/>
      <c r="S472" s="1323"/>
      <c r="T472" s="1323"/>
      <c r="U472" s="1323"/>
      <c r="V472" s="1323"/>
      <c r="W472" s="1323"/>
      <c r="X472" s="1323"/>
      <c r="Y472" s="1323"/>
      <c r="Z472" s="1323"/>
    </row>
    <row r="473" spans="1:26" ht="18.75">
      <c r="A473" s="1299"/>
      <c r="B473" s="1300"/>
      <c r="C473" s="1301"/>
      <c r="D473" s="1301"/>
      <c r="E473" s="1301"/>
      <c r="F473" s="1301" t="s">
        <v>187</v>
      </c>
      <c r="G473" s="1016"/>
      <c r="H473" s="161" t="s">
        <v>12</v>
      </c>
      <c r="I473" s="880"/>
      <c r="J473" s="880"/>
      <c r="K473" s="881"/>
      <c r="L473" s="881"/>
      <c r="M473" s="881"/>
      <c r="N473" s="1085">
        <v>61176.72</v>
      </c>
      <c r="O473" s="881"/>
      <c r="P473" s="881"/>
      <c r="Q473" s="1302"/>
      <c r="R473" s="1302"/>
      <c r="S473" s="1302"/>
      <c r="T473" s="1302"/>
      <c r="U473" s="1302"/>
      <c r="V473" s="1302"/>
      <c r="W473" s="1302"/>
      <c r="X473" s="1302"/>
      <c r="Y473" s="1302"/>
      <c r="Z473" s="1302"/>
    </row>
    <row r="474" spans="1:26" ht="18.75">
      <c r="A474" s="1299"/>
      <c r="B474" s="1300"/>
      <c r="C474" s="1301"/>
      <c r="D474" s="1301"/>
      <c r="E474" s="1301"/>
      <c r="F474" s="1301" t="s">
        <v>188</v>
      </c>
      <c r="G474" s="1016"/>
      <c r="H474" s="161" t="s">
        <v>12</v>
      </c>
      <c r="I474" s="880"/>
      <c r="J474" s="880"/>
      <c r="K474" s="881"/>
      <c r="L474" s="881"/>
      <c r="M474" s="881"/>
      <c r="N474" s="1085">
        <v>0</v>
      </c>
      <c r="O474" s="881"/>
      <c r="P474" s="881"/>
      <c r="Q474" s="1302"/>
      <c r="R474" s="1302"/>
      <c r="S474" s="1302"/>
      <c r="T474" s="1302"/>
      <c r="U474" s="1302"/>
      <c r="V474" s="1302"/>
      <c r="W474" s="1302"/>
      <c r="X474" s="1302"/>
      <c r="Y474" s="1302"/>
      <c r="Z474" s="1302"/>
    </row>
    <row r="475" spans="1:26" ht="18.75">
      <c r="A475" s="1299"/>
      <c r="B475" s="1300"/>
      <c r="C475" s="1300"/>
      <c r="D475" s="1300"/>
      <c r="E475" s="1300"/>
      <c r="F475" s="1301" t="s">
        <v>189</v>
      </c>
      <c r="G475" s="1016"/>
      <c r="H475" s="161" t="s">
        <v>12</v>
      </c>
      <c r="I475" s="880"/>
      <c r="J475" s="880"/>
      <c r="K475" s="881"/>
      <c r="L475" s="881"/>
      <c r="M475" s="881"/>
      <c r="N475" s="1085">
        <v>0</v>
      </c>
      <c r="O475" s="881"/>
      <c r="P475" s="881"/>
      <c r="Q475" s="1302"/>
      <c r="R475" s="1302"/>
      <c r="S475" s="1302"/>
      <c r="T475" s="1302"/>
      <c r="U475" s="1302"/>
      <c r="V475" s="1302"/>
      <c r="W475" s="1302"/>
      <c r="X475" s="1302"/>
      <c r="Y475" s="1302"/>
      <c r="Z475" s="1302"/>
    </row>
    <row r="476" spans="1:26" ht="18.75">
      <c r="A476" s="1299"/>
      <c r="B476" s="1300"/>
      <c r="C476" s="1300"/>
      <c r="D476" s="1300"/>
      <c r="E476" s="1300"/>
      <c r="F476" s="1301" t="s">
        <v>190</v>
      </c>
      <c r="G476" s="1016"/>
      <c r="H476" s="161" t="s">
        <v>12</v>
      </c>
      <c r="I476" s="880"/>
      <c r="J476" s="880"/>
      <c r="K476" s="881"/>
      <c r="L476" s="881"/>
      <c r="M476" s="881"/>
      <c r="N476" s="1085">
        <f>1100+317.17+6646.38</f>
        <v>8063.55</v>
      </c>
      <c r="O476" s="881"/>
      <c r="P476" s="881"/>
      <c r="Q476" s="1302"/>
      <c r="R476" s="1302"/>
      <c r="S476" s="1302"/>
      <c r="T476" s="1302"/>
      <c r="U476" s="1302"/>
      <c r="V476" s="1302"/>
      <c r="W476" s="1302"/>
      <c r="X476" s="1302"/>
      <c r="Y476" s="1302"/>
      <c r="Z476" s="1302"/>
    </row>
    <row r="477" spans="1:26" ht="18.75">
      <c r="A477" s="1317"/>
      <c r="B477" s="1300"/>
      <c r="C477" s="1300"/>
      <c r="D477" s="1325" t="s">
        <v>21</v>
      </c>
      <c r="E477" s="1300"/>
      <c r="F477" s="1300"/>
      <c r="G477" s="1016"/>
      <c r="H477" s="168" t="s">
        <v>12</v>
      </c>
      <c r="I477" s="997"/>
      <c r="J477" s="997"/>
      <c r="K477" s="998"/>
      <c r="L477" s="881">
        <f t="shared" ref="L477:N477" ca="1" si="211">L478+L479</f>
        <v>0</v>
      </c>
      <c r="M477" s="881">
        <f t="shared" si="211"/>
        <v>0</v>
      </c>
      <c r="N477" s="881">
        <f t="shared" si="211"/>
        <v>0</v>
      </c>
      <c r="O477" s="881">
        <f t="shared" ref="O477:O479" ca="1" si="212">IF(L477&gt;0,N477*100/L477,0)</f>
        <v>0</v>
      </c>
      <c r="P477" s="881">
        <f t="shared" ref="P477:P479" si="213">IF(M477&gt;0,N477*100/M477,0)</f>
        <v>0</v>
      </c>
      <c r="Q477" s="1302"/>
      <c r="R477" s="1302"/>
      <c r="S477" s="1302"/>
      <c r="T477" s="1302"/>
      <c r="U477" s="1302"/>
      <c r="V477" s="1302"/>
      <c r="W477" s="1302"/>
      <c r="X477" s="1302"/>
      <c r="Y477" s="1302"/>
      <c r="Z477" s="1302"/>
    </row>
    <row r="478" spans="1:26" ht="18.75" hidden="1">
      <c r="A478" s="1319"/>
      <c r="B478" s="1324"/>
      <c r="C478" s="1324"/>
      <c r="D478" s="1324"/>
      <c r="E478" s="1324" t="s">
        <v>18</v>
      </c>
      <c r="F478" s="1324"/>
      <c r="G478" s="1322"/>
      <c r="H478" s="165" t="s">
        <v>12</v>
      </c>
      <c r="I478" s="1000"/>
      <c r="J478" s="1000"/>
      <c r="K478" s="1001"/>
      <c r="L478" s="887">
        <v>0</v>
      </c>
      <c r="M478" s="887">
        <v>0</v>
      </c>
      <c r="N478" s="887">
        <v>0</v>
      </c>
      <c r="O478" s="887">
        <f t="shared" si="212"/>
        <v>0</v>
      </c>
      <c r="P478" s="887">
        <f t="shared" si="213"/>
        <v>0</v>
      </c>
      <c r="Q478" s="1323"/>
      <c r="R478" s="1323"/>
      <c r="S478" s="1323"/>
      <c r="T478" s="1323"/>
      <c r="U478" s="1323"/>
      <c r="V478" s="1323"/>
      <c r="W478" s="1323"/>
      <c r="X478" s="1323"/>
      <c r="Y478" s="1323"/>
      <c r="Z478" s="1323"/>
    </row>
    <row r="479" spans="1:26" ht="18.75" hidden="1">
      <c r="A479" s="1319"/>
      <c r="B479" s="1324"/>
      <c r="C479" s="1324"/>
      <c r="D479" s="1324"/>
      <c r="E479" s="1324" t="s">
        <v>19</v>
      </c>
      <c r="F479" s="1324"/>
      <c r="G479" s="1322"/>
      <c r="H479" s="169" t="s">
        <v>12</v>
      </c>
      <c r="I479" s="1000"/>
      <c r="J479" s="1000"/>
      <c r="K479" s="1001"/>
      <c r="L479" s="887">
        <f ca="1">IFERROR(__xludf.DUMMYFUNCTION("IMPORTRANGE(""https://docs.google.com/spreadsheets/d/1QqKyyYR6Q21VydFLVH3TRQUabQu_ym0Zz7PgGX0-kHA/edit?usp=sharing"",""แผน!FV77"")"),0)</f>
        <v>0</v>
      </c>
      <c r="M479" s="887">
        <v>0</v>
      </c>
      <c r="N479" s="887">
        <v>0</v>
      </c>
      <c r="O479" s="887">
        <f t="shared" ca="1" si="212"/>
        <v>0</v>
      </c>
      <c r="P479" s="887">
        <f t="shared" si="213"/>
        <v>0</v>
      </c>
      <c r="Q479" s="1323"/>
      <c r="R479" s="1323"/>
      <c r="S479" s="1323"/>
      <c r="T479" s="1323"/>
      <c r="U479" s="1323"/>
      <c r="V479" s="1323"/>
      <c r="W479" s="1323"/>
      <c r="X479" s="1323"/>
      <c r="Y479" s="1323"/>
      <c r="Z479" s="1323"/>
    </row>
    <row r="480" spans="1:26" ht="19.5">
      <c r="A480" s="1326"/>
      <c r="B480" s="1327"/>
      <c r="C480" s="1300" t="s">
        <v>16</v>
      </c>
      <c r="D480" s="1335" t="s">
        <v>38</v>
      </c>
      <c r="E480" s="1329"/>
      <c r="F480" s="1330"/>
      <c r="G480" s="1331"/>
      <c r="H480" s="1007"/>
      <c r="I480" s="880"/>
      <c r="J480" s="880"/>
      <c r="K480" s="881"/>
      <c r="L480" s="881"/>
      <c r="M480" s="881"/>
      <c r="N480" s="881"/>
      <c r="O480" s="881"/>
      <c r="P480" s="881"/>
      <c r="Q480" s="1302"/>
      <c r="R480" s="1302"/>
      <c r="S480" s="1302"/>
      <c r="T480" s="1302"/>
      <c r="U480" s="1302"/>
      <c r="V480" s="1302"/>
      <c r="W480" s="1302"/>
      <c r="X480" s="1302"/>
      <c r="Y480" s="1302"/>
      <c r="Z480" s="1302"/>
    </row>
    <row r="481" spans="1:26" ht="19.5">
      <c r="A481" s="1326"/>
      <c r="B481" s="1327"/>
      <c r="C481" s="1327"/>
      <c r="D481" s="1336" t="s">
        <v>207</v>
      </c>
      <c r="E481" s="1327"/>
      <c r="F481" s="1327"/>
      <c r="G481" s="1007"/>
      <c r="H481" s="1016"/>
      <c r="I481" s="880"/>
      <c r="J481" s="880"/>
      <c r="K481" s="881"/>
      <c r="L481" s="881"/>
      <c r="M481" s="881"/>
      <c r="N481" s="881"/>
      <c r="O481" s="881"/>
      <c r="P481" s="881"/>
      <c r="Q481" s="1302"/>
      <c r="R481" s="1302"/>
      <c r="S481" s="1302"/>
      <c r="T481" s="1302"/>
      <c r="U481" s="1302"/>
      <c r="V481" s="1302"/>
      <c r="W481" s="1302"/>
      <c r="X481" s="1302"/>
      <c r="Y481" s="1302"/>
      <c r="Z481" s="1302"/>
    </row>
    <row r="482" spans="1:26" ht="18.75">
      <c r="A482" s="1326"/>
      <c r="B482" s="1327"/>
      <c r="C482" s="1327"/>
      <c r="D482" s="1327"/>
      <c r="E482" s="1327" t="s">
        <v>208</v>
      </c>
      <c r="F482" s="1327"/>
      <c r="G482" s="1007"/>
      <c r="H482" s="1016"/>
      <c r="I482" s="880"/>
      <c r="J482" s="880"/>
      <c r="K482" s="881"/>
      <c r="L482" s="881"/>
      <c r="M482" s="881"/>
      <c r="N482" s="881"/>
      <c r="O482" s="881"/>
      <c r="P482" s="881"/>
      <c r="Q482" s="1302"/>
      <c r="R482" s="1302"/>
      <c r="S482" s="1302"/>
      <c r="T482" s="1302"/>
      <c r="U482" s="1302"/>
      <c r="V482" s="1302"/>
      <c r="W482" s="1302"/>
      <c r="X482" s="1302"/>
      <c r="Y482" s="1302"/>
      <c r="Z482" s="1302"/>
    </row>
    <row r="483" spans="1:26" ht="18.75">
      <c r="A483" s="1326"/>
      <c r="B483" s="1327"/>
      <c r="C483" s="1327"/>
      <c r="D483" s="1327"/>
      <c r="E483" s="1327"/>
      <c r="F483" s="1327" t="s">
        <v>209</v>
      </c>
      <c r="G483" s="1007"/>
      <c r="H483" s="622" t="s">
        <v>46</v>
      </c>
      <c r="I483" s="880">
        <f ca="1">IFERROR(__xludf.DUMMYFUNCTION("IMPORTRANGE(""https://docs.google.com/spreadsheets/d/1QqKyyYR6Q21VydFLVH3TRQUabQu_ym0Zz7PgGX0-kHA/edit?usp=sharing"",""แผน!FY77"")"),360)</f>
        <v>360</v>
      </c>
      <c r="J483" s="1012">
        <v>360</v>
      </c>
      <c r="K483" s="881">
        <f ca="1">IF(I483&gt;0,J483*100/I483,0)</f>
        <v>100</v>
      </c>
      <c r="L483" s="881"/>
      <c r="M483" s="881"/>
      <c r="N483" s="881"/>
      <c r="O483" s="881"/>
      <c r="P483" s="881"/>
      <c r="Q483" s="1302"/>
      <c r="R483" s="1302"/>
      <c r="S483" s="1302"/>
      <c r="T483" s="1302"/>
      <c r="U483" s="1302"/>
      <c r="V483" s="1302"/>
      <c r="W483" s="1302"/>
      <c r="X483" s="1302"/>
      <c r="Y483" s="1302"/>
      <c r="Z483" s="1302"/>
    </row>
    <row r="484" spans="1:26" ht="18.75">
      <c r="A484" s="1326"/>
      <c r="B484" s="1327"/>
      <c r="C484" s="1327"/>
      <c r="D484" s="1327"/>
      <c r="E484" s="1327"/>
      <c r="F484" s="1327" t="s">
        <v>210</v>
      </c>
      <c r="G484" s="1007"/>
      <c r="H484" s="622" t="s">
        <v>35</v>
      </c>
      <c r="I484" s="880"/>
      <c r="J484" s="1012">
        <v>36</v>
      </c>
      <c r="K484" s="881"/>
      <c r="L484" s="881"/>
      <c r="M484" s="881"/>
      <c r="N484" s="881"/>
      <c r="O484" s="881"/>
      <c r="P484" s="881"/>
      <c r="Q484" s="1302"/>
      <c r="R484" s="1302"/>
      <c r="S484" s="1302"/>
      <c r="T484" s="1302"/>
      <c r="U484" s="1302"/>
      <c r="V484" s="1302"/>
      <c r="W484" s="1302"/>
      <c r="X484" s="1302"/>
      <c r="Y484" s="1302"/>
      <c r="Z484" s="1302"/>
    </row>
    <row r="485" spans="1:26" ht="18.75">
      <c r="A485" s="1326"/>
      <c r="B485" s="1327"/>
      <c r="C485" s="1327"/>
      <c r="D485" s="1327"/>
      <c r="E485" s="1327"/>
      <c r="F485" s="1327" t="s">
        <v>211</v>
      </c>
      <c r="G485" s="1007"/>
      <c r="H485" s="622" t="s">
        <v>35</v>
      </c>
      <c r="I485" s="880">
        <f ca="1">IFERROR(__xludf.DUMMYFUNCTION("IMPORTRANGE(""https://docs.google.com/spreadsheets/d/1QqKyyYR6Q21VydFLVH3TRQUabQu_ym0Zz7PgGX0-kHA/edit?usp=sharing"",""แผน!FZ77"")"),36)</f>
        <v>36</v>
      </c>
      <c r="J485" s="1012">
        <v>36</v>
      </c>
      <c r="K485" s="881">
        <f ca="1">IF(I485&gt;0,J485*100/I485,0)</f>
        <v>100</v>
      </c>
      <c r="L485" s="881"/>
      <c r="M485" s="881"/>
      <c r="N485" s="881"/>
      <c r="O485" s="881"/>
      <c r="P485" s="881"/>
      <c r="Q485" s="1302"/>
      <c r="R485" s="1302"/>
      <c r="S485" s="1302"/>
      <c r="T485" s="1302"/>
      <c r="U485" s="1302"/>
      <c r="V485" s="1302"/>
      <c r="W485" s="1302"/>
      <c r="X485" s="1302"/>
      <c r="Y485" s="1302"/>
      <c r="Z485" s="1302"/>
    </row>
    <row r="486" spans="1:26" ht="18.75">
      <c r="A486" s="1326"/>
      <c r="B486" s="1327"/>
      <c r="C486" s="1327"/>
      <c r="D486" s="1327"/>
      <c r="E486" s="1327" t="s">
        <v>62</v>
      </c>
      <c r="F486" s="1327"/>
      <c r="G486" s="1007"/>
      <c r="H486" s="622"/>
      <c r="I486" s="880"/>
      <c r="J486" s="880"/>
      <c r="K486" s="881"/>
      <c r="L486" s="881"/>
      <c r="M486" s="881"/>
      <c r="N486" s="881"/>
      <c r="O486" s="881"/>
      <c r="P486" s="881"/>
      <c r="Q486" s="1302"/>
      <c r="R486" s="1302"/>
      <c r="S486" s="1302"/>
      <c r="T486" s="1302"/>
      <c r="U486" s="1302"/>
      <c r="V486" s="1302"/>
      <c r="W486" s="1302"/>
      <c r="X486" s="1302"/>
      <c r="Y486" s="1302"/>
      <c r="Z486" s="1302"/>
    </row>
    <row r="487" spans="1:26" ht="18.75">
      <c r="A487" s="1326"/>
      <c r="B487" s="1327"/>
      <c r="C487" s="1327"/>
      <c r="D487" s="1327"/>
      <c r="E487" s="1327"/>
      <c r="F487" s="1327" t="s">
        <v>209</v>
      </c>
      <c r="G487" s="1007"/>
      <c r="H487" s="622" t="s">
        <v>46</v>
      </c>
      <c r="I487" s="880">
        <f ca="1">IFERROR(__xludf.DUMMYFUNCTION("IMPORTRANGE(""https://docs.google.com/spreadsheets/d/1QqKyyYR6Q21VydFLVH3TRQUabQu_ym0Zz7PgGX0-kHA/edit?usp=sharing"",""แผน!GA77"")"),40)</f>
        <v>40</v>
      </c>
      <c r="J487" s="1012">
        <v>40</v>
      </c>
      <c r="K487" s="881">
        <f ca="1">IF(I487&gt;0,J487*100/I487,0)</f>
        <v>100</v>
      </c>
      <c r="L487" s="881"/>
      <c r="M487" s="881"/>
      <c r="N487" s="881"/>
      <c r="O487" s="881"/>
      <c r="P487" s="881"/>
      <c r="Q487" s="1302"/>
      <c r="R487" s="1302"/>
      <c r="S487" s="1302"/>
      <c r="T487" s="1302"/>
      <c r="U487" s="1302"/>
      <c r="V487" s="1302"/>
      <c r="W487" s="1302"/>
      <c r="X487" s="1302"/>
      <c r="Y487" s="1302"/>
      <c r="Z487" s="1302"/>
    </row>
    <row r="488" spans="1:26" ht="18.75">
      <c r="A488" s="1326"/>
      <c r="B488" s="1327"/>
      <c r="C488" s="1327"/>
      <c r="D488" s="1327"/>
      <c r="E488" s="1327"/>
      <c r="F488" s="1327" t="s">
        <v>212</v>
      </c>
      <c r="G488" s="1007"/>
      <c r="H488" s="622" t="s">
        <v>35</v>
      </c>
      <c r="I488" s="880"/>
      <c r="J488" s="1012">
        <v>4</v>
      </c>
      <c r="K488" s="881"/>
      <c r="L488" s="881"/>
      <c r="M488" s="881"/>
      <c r="N488" s="881"/>
      <c r="O488" s="881"/>
      <c r="P488" s="881"/>
      <c r="Q488" s="1302"/>
      <c r="R488" s="1302"/>
      <c r="S488" s="1302"/>
      <c r="T488" s="1302"/>
      <c r="U488" s="1302"/>
      <c r="V488" s="1302"/>
      <c r="W488" s="1302"/>
      <c r="X488" s="1302"/>
      <c r="Y488" s="1302"/>
      <c r="Z488" s="1302"/>
    </row>
    <row r="489" spans="1:26" ht="18.75">
      <c r="A489" s="1326"/>
      <c r="B489" s="1327"/>
      <c r="C489" s="1327"/>
      <c r="D489" s="1327"/>
      <c r="E489" s="1327"/>
      <c r="F489" s="1327" t="s">
        <v>213</v>
      </c>
      <c r="G489" s="1007"/>
      <c r="H489" s="622" t="s">
        <v>35</v>
      </c>
      <c r="I489" s="880">
        <f ca="1">IFERROR(__xludf.DUMMYFUNCTION("IMPORTRANGE(""https://docs.google.com/spreadsheets/d/1QqKyyYR6Q21VydFLVH3TRQUabQu_ym0Zz7PgGX0-kHA/edit?usp=sharing"",""แผน!GB77"")"),4)</f>
        <v>4</v>
      </c>
      <c r="J489" s="1012">
        <v>4</v>
      </c>
      <c r="K489" s="881">
        <f ca="1">IF(I489&gt;0,J489*100/I489,0)</f>
        <v>100</v>
      </c>
      <c r="L489" s="881"/>
      <c r="M489" s="881"/>
      <c r="N489" s="881"/>
      <c r="O489" s="881"/>
      <c r="P489" s="881"/>
      <c r="Q489" s="1302"/>
      <c r="R489" s="1302"/>
      <c r="S489" s="1302"/>
      <c r="T489" s="1302"/>
      <c r="U489" s="1302"/>
      <c r="V489" s="1302"/>
      <c r="W489" s="1302"/>
      <c r="X489" s="1302"/>
      <c r="Y489" s="1302"/>
      <c r="Z489" s="1302"/>
    </row>
    <row r="490" spans="1:26" ht="18.75">
      <c r="A490" s="1326"/>
      <c r="B490" s="1327"/>
      <c r="C490" s="1327"/>
      <c r="D490" s="1327"/>
      <c r="E490" s="1327" t="s">
        <v>63</v>
      </c>
      <c r="F490" s="1014"/>
      <c r="G490" s="1007"/>
      <c r="H490" s="622"/>
      <c r="I490" s="880"/>
      <c r="J490" s="880"/>
      <c r="K490" s="881"/>
      <c r="L490" s="881"/>
      <c r="M490" s="881"/>
      <c r="N490" s="881"/>
      <c r="O490" s="881"/>
      <c r="P490" s="881"/>
      <c r="Q490" s="1302"/>
      <c r="R490" s="1302"/>
      <c r="S490" s="1302"/>
      <c r="T490" s="1302"/>
      <c r="U490" s="1302"/>
      <c r="V490" s="1302"/>
      <c r="W490" s="1302"/>
      <c r="X490" s="1302"/>
      <c r="Y490" s="1302"/>
      <c r="Z490" s="1302"/>
    </row>
    <row r="491" spans="1:26" ht="18.75">
      <c r="A491" s="1326"/>
      <c r="B491" s="1327"/>
      <c r="C491" s="1327"/>
      <c r="D491" s="1327"/>
      <c r="E491" s="1327"/>
      <c r="F491" s="1327" t="s">
        <v>214</v>
      </c>
      <c r="G491" s="1007"/>
      <c r="H491" s="622" t="s">
        <v>35</v>
      </c>
      <c r="I491" s="880"/>
      <c r="J491" s="1012">
        <v>1</v>
      </c>
      <c r="K491" s="881"/>
      <c r="L491" s="881"/>
      <c r="M491" s="881"/>
      <c r="N491" s="881"/>
      <c r="O491" s="881"/>
      <c r="P491" s="881"/>
      <c r="Q491" s="1302"/>
      <c r="R491" s="1302"/>
      <c r="S491" s="1302"/>
      <c r="T491" s="1302"/>
      <c r="U491" s="1302"/>
      <c r="V491" s="1302"/>
      <c r="W491" s="1302"/>
      <c r="X491" s="1302"/>
      <c r="Y491" s="1302"/>
      <c r="Z491" s="1302"/>
    </row>
    <row r="492" spans="1:26" ht="18.75">
      <c r="A492" s="1326"/>
      <c r="B492" s="1327"/>
      <c r="C492" s="1327"/>
      <c r="D492" s="1327"/>
      <c r="E492" s="1327"/>
      <c r="F492" s="1327" t="s">
        <v>215</v>
      </c>
      <c r="G492" s="1007"/>
      <c r="H492" s="622" t="s">
        <v>35</v>
      </c>
      <c r="I492" s="880">
        <f ca="1">IFERROR(__xludf.DUMMYFUNCTION("IMPORTRANGE(""https://docs.google.com/spreadsheets/d/1QqKyyYR6Q21VydFLVH3TRQUabQu_ym0Zz7PgGX0-kHA/edit?usp=sharing"",""แผน!GC77"")"),1)</f>
        <v>1</v>
      </c>
      <c r="J492" s="1012">
        <v>1</v>
      </c>
      <c r="K492" s="881">
        <f ca="1">IF(I492&gt;0,J492*100/I492,0)</f>
        <v>100</v>
      </c>
      <c r="L492" s="881"/>
      <c r="M492" s="881"/>
      <c r="N492" s="881"/>
      <c r="O492" s="881"/>
      <c r="P492" s="881"/>
      <c r="Q492" s="1302"/>
      <c r="R492" s="1302"/>
      <c r="S492" s="1302"/>
      <c r="T492" s="1302"/>
      <c r="U492" s="1302"/>
      <c r="V492" s="1302"/>
      <c r="W492" s="1302"/>
      <c r="X492" s="1302"/>
      <c r="Y492" s="1302"/>
      <c r="Z492" s="1302"/>
    </row>
    <row r="493" spans="1:26" ht="19.5">
      <c r="A493" s="1326"/>
      <c r="B493" s="1327"/>
      <c r="C493" s="1327"/>
      <c r="D493" s="1336" t="s">
        <v>59</v>
      </c>
      <c r="E493" s="1327"/>
      <c r="F493" s="1014"/>
      <c r="G493" s="1007"/>
      <c r="H493" s="1016"/>
      <c r="I493" s="880"/>
      <c r="J493" s="880"/>
      <c r="K493" s="881"/>
      <c r="L493" s="881"/>
      <c r="M493" s="881"/>
      <c r="N493" s="881"/>
      <c r="O493" s="881"/>
      <c r="P493" s="881"/>
      <c r="Q493" s="1302"/>
      <c r="R493" s="1302"/>
      <c r="S493" s="1302"/>
      <c r="T493" s="1302"/>
      <c r="U493" s="1302"/>
      <c r="V493" s="1302"/>
      <c r="W493" s="1302"/>
      <c r="X493" s="1302"/>
      <c r="Y493" s="1302"/>
      <c r="Z493" s="1302"/>
    </row>
    <row r="494" spans="1:26" ht="18.75">
      <c r="A494" s="1326"/>
      <c r="B494" s="1327"/>
      <c r="C494" s="1327"/>
      <c r="D494" s="1327"/>
      <c r="E494" s="1327" t="s">
        <v>208</v>
      </c>
      <c r="F494" s="1014"/>
      <c r="G494" s="1007"/>
      <c r="H494" s="1016"/>
      <c r="I494" s="880"/>
      <c r="J494" s="880"/>
      <c r="K494" s="881"/>
      <c r="L494" s="881"/>
      <c r="M494" s="881"/>
      <c r="N494" s="881"/>
      <c r="O494" s="881"/>
      <c r="P494" s="881"/>
      <c r="Q494" s="1302"/>
      <c r="R494" s="1302"/>
      <c r="S494" s="1302"/>
      <c r="T494" s="1302"/>
      <c r="U494" s="1302"/>
      <c r="V494" s="1302"/>
      <c r="W494" s="1302"/>
      <c r="X494" s="1302"/>
      <c r="Y494" s="1302"/>
      <c r="Z494" s="1302"/>
    </row>
    <row r="495" spans="1:26" ht="18.75">
      <c r="A495" s="1326"/>
      <c r="B495" s="1327"/>
      <c r="C495" s="1327"/>
      <c r="D495" s="1327"/>
      <c r="E495" s="1327"/>
      <c r="F495" s="1014" t="s">
        <v>216</v>
      </c>
      <c r="G495" s="1007"/>
      <c r="H495" s="622" t="s">
        <v>46</v>
      </c>
      <c r="I495" s="880">
        <f ca="1">IFERROR(__xludf.DUMMYFUNCTION("IMPORTRANGE(""https://docs.google.com/spreadsheets/d/1QqKyyYR6Q21VydFLVH3TRQUabQu_ym0Zz7PgGX0-kHA/edit?usp=sharing"",""แผน!FY77"")"),360)</f>
        <v>360</v>
      </c>
      <c r="J495" s="1012">
        <v>0</v>
      </c>
      <c r="K495" s="881">
        <f ca="1">IF(I495&gt;0,J495*100/I495,0)</f>
        <v>0</v>
      </c>
      <c r="L495" s="881"/>
      <c r="M495" s="881"/>
      <c r="N495" s="881"/>
      <c r="O495" s="881"/>
      <c r="P495" s="881"/>
      <c r="Q495" s="1302"/>
      <c r="R495" s="1302"/>
      <c r="S495" s="1302"/>
      <c r="T495" s="1302"/>
      <c r="U495" s="1302"/>
      <c r="V495" s="1302"/>
      <c r="W495" s="1302"/>
      <c r="X495" s="1302"/>
      <c r="Y495" s="1302"/>
      <c r="Z495" s="1302"/>
    </row>
    <row r="496" spans="1:26" ht="18.75">
      <c r="A496" s="1326"/>
      <c r="B496" s="1327"/>
      <c r="C496" s="1327"/>
      <c r="D496" s="1327"/>
      <c r="E496" s="1327"/>
      <c r="F496" s="1014" t="s">
        <v>217</v>
      </c>
      <c r="G496" s="1007"/>
      <c r="H496" s="622" t="s">
        <v>46</v>
      </c>
      <c r="I496" s="880"/>
      <c r="J496" s="1012">
        <v>0</v>
      </c>
      <c r="K496" s="881"/>
      <c r="L496" s="881"/>
      <c r="M496" s="881"/>
      <c r="N496" s="881"/>
      <c r="O496" s="881"/>
      <c r="P496" s="881"/>
      <c r="Q496" s="1302"/>
      <c r="R496" s="1302"/>
      <c r="S496" s="1302"/>
      <c r="T496" s="1302"/>
      <c r="U496" s="1302"/>
      <c r="V496" s="1302"/>
      <c r="W496" s="1302"/>
      <c r="X496" s="1302"/>
      <c r="Y496" s="1302"/>
      <c r="Z496" s="1302"/>
    </row>
    <row r="497" spans="1:26" ht="18.75">
      <c r="A497" s="1326"/>
      <c r="B497" s="1327"/>
      <c r="C497" s="1327"/>
      <c r="D497" s="1327"/>
      <c r="E497" s="1327" t="s">
        <v>62</v>
      </c>
      <c r="F497" s="1014"/>
      <c r="G497" s="1007"/>
      <c r="H497" s="1016"/>
      <c r="I497" s="880"/>
      <c r="J497" s="880"/>
      <c r="K497" s="881"/>
      <c r="L497" s="881"/>
      <c r="M497" s="881"/>
      <c r="N497" s="881"/>
      <c r="O497" s="881"/>
      <c r="P497" s="881"/>
      <c r="Q497" s="1302"/>
      <c r="R497" s="1302"/>
      <c r="S497" s="1302"/>
      <c r="T497" s="1302"/>
      <c r="U497" s="1302"/>
      <c r="V497" s="1302"/>
      <c r="W497" s="1302"/>
      <c r="X497" s="1302"/>
      <c r="Y497" s="1302"/>
      <c r="Z497" s="1302"/>
    </row>
    <row r="498" spans="1:26" ht="18.75">
      <c r="A498" s="1326"/>
      <c r="B498" s="1327"/>
      <c r="C498" s="1327"/>
      <c r="D498" s="1327"/>
      <c r="E498" s="1014"/>
      <c r="F498" s="1014" t="s">
        <v>218</v>
      </c>
      <c r="G498" s="1007"/>
      <c r="H498" s="622" t="s">
        <v>46</v>
      </c>
      <c r="I498" s="880">
        <f ca="1">IFERROR(__xludf.DUMMYFUNCTION("IMPORTRANGE(""https://docs.google.com/spreadsheets/d/1QqKyyYR6Q21VydFLVH3TRQUabQu_ym0Zz7PgGX0-kHA/edit?usp=sharing"",""แผน!GA77"")"),40)</f>
        <v>40</v>
      </c>
      <c r="J498" s="1012">
        <v>0</v>
      </c>
      <c r="K498" s="881">
        <f ca="1">IF(I498&gt;0,J498*100/I498,0)</f>
        <v>0</v>
      </c>
      <c r="L498" s="881"/>
      <c r="M498" s="881"/>
      <c r="N498" s="881"/>
      <c r="O498" s="881"/>
      <c r="P498" s="881"/>
      <c r="Q498" s="1302"/>
      <c r="R498" s="1302"/>
      <c r="S498" s="1302"/>
      <c r="T498" s="1302"/>
      <c r="U498" s="1302"/>
      <c r="V498" s="1302"/>
      <c r="W498" s="1302"/>
      <c r="X498" s="1302"/>
      <c r="Y498" s="1302"/>
      <c r="Z498" s="1302"/>
    </row>
    <row r="499" spans="1:26" ht="18.75">
      <c r="A499" s="1326"/>
      <c r="B499" s="1327"/>
      <c r="C499" s="1327"/>
      <c r="D499" s="1327"/>
      <c r="E499" s="1014"/>
      <c r="F499" s="1014" t="s">
        <v>219</v>
      </c>
      <c r="G499" s="1007"/>
      <c r="H499" s="622" t="s">
        <v>46</v>
      </c>
      <c r="I499" s="880"/>
      <c r="J499" s="1012">
        <v>0</v>
      </c>
      <c r="K499" s="881"/>
      <c r="L499" s="881"/>
      <c r="M499" s="881"/>
      <c r="N499" s="881"/>
      <c r="O499" s="881"/>
      <c r="P499" s="881"/>
      <c r="Q499" s="1302"/>
      <c r="R499" s="1302"/>
      <c r="S499" s="1302"/>
      <c r="T499" s="1302"/>
      <c r="U499" s="1302"/>
      <c r="V499" s="1302"/>
      <c r="W499" s="1302"/>
      <c r="X499" s="1302"/>
      <c r="Y499" s="1302"/>
      <c r="Z499" s="1302"/>
    </row>
    <row r="500" spans="1:26" ht="19.5" hidden="1">
      <c r="A500" s="626">
        <v>4</v>
      </c>
      <c r="B500" s="1337" t="s">
        <v>220</v>
      </c>
      <c r="C500" s="1338"/>
      <c r="D500" s="1339"/>
      <c r="E500" s="1339"/>
      <c r="F500" s="1339"/>
      <c r="G500" s="1340"/>
      <c r="H500" s="631" t="s">
        <v>109</v>
      </c>
      <c r="I500" s="1341"/>
      <c r="J500" s="1341">
        <f t="shared" ref="J500:J501" si="214">J516</f>
        <v>0</v>
      </c>
      <c r="K500" s="1342">
        <f t="shared" ref="K500:K501" si="215">IF(I500&gt;0,J500*100/I500,0)</f>
        <v>0</v>
      </c>
      <c r="L500" s="1343"/>
      <c r="M500" s="1343"/>
      <c r="N500" s="1343"/>
      <c r="O500" s="1343"/>
      <c r="P500" s="1343"/>
      <c r="Q500" s="1323"/>
      <c r="R500" s="1323"/>
      <c r="S500" s="1323"/>
      <c r="T500" s="1323"/>
      <c r="U500" s="1323"/>
      <c r="V500" s="1323"/>
      <c r="W500" s="1323"/>
      <c r="X500" s="1323"/>
      <c r="Y500" s="1323"/>
      <c r="Z500" s="1323"/>
    </row>
    <row r="501" spans="1:26" ht="19.5" hidden="1">
      <c r="A501" s="1344"/>
      <c r="B501" s="1345" t="s">
        <v>221</v>
      </c>
      <c r="C501" s="1345"/>
      <c r="D501" s="1346"/>
      <c r="E501" s="1346"/>
      <c r="F501" s="1346"/>
      <c r="G501" s="1347"/>
      <c r="H501" s="640" t="s">
        <v>35</v>
      </c>
      <c r="I501" s="1348"/>
      <c r="J501" s="1348">
        <f t="shared" si="214"/>
        <v>0</v>
      </c>
      <c r="K501" s="1349">
        <f t="shared" si="215"/>
        <v>0</v>
      </c>
      <c r="L501" s="1350"/>
      <c r="M501" s="1350"/>
      <c r="N501" s="1350"/>
      <c r="O501" s="1350"/>
      <c r="P501" s="1350"/>
      <c r="Q501" s="1323"/>
      <c r="R501" s="1323"/>
      <c r="S501" s="1323"/>
      <c r="T501" s="1323"/>
      <c r="U501" s="1323"/>
      <c r="V501" s="1323"/>
      <c r="W501" s="1323"/>
      <c r="X501" s="1323"/>
      <c r="Y501" s="1323"/>
      <c r="Z501" s="1323"/>
    </row>
    <row r="502" spans="1:26" ht="19.5" hidden="1">
      <c r="A502" s="1319"/>
      <c r="B502" s="1320"/>
      <c r="C502" s="1320" t="s">
        <v>16</v>
      </c>
      <c r="D502" s="1351" t="s">
        <v>17</v>
      </c>
      <c r="E502" s="841"/>
      <c r="F502" s="841"/>
      <c r="G502" s="1322"/>
      <c r="H502" s="644" t="s">
        <v>12</v>
      </c>
      <c r="I502" s="886"/>
      <c r="J502" s="886"/>
      <c r="K502" s="887"/>
      <c r="L502" s="1352">
        <f t="shared" ref="L502:N502" si="216">L503+L504</f>
        <v>0</v>
      </c>
      <c r="M502" s="1352">
        <f t="shared" si="216"/>
        <v>0</v>
      </c>
      <c r="N502" s="1352">
        <f t="shared" si="216"/>
        <v>0</v>
      </c>
      <c r="O502" s="1352">
        <f t="shared" ref="O502:O507" si="217">IF(L502&gt;0,N502*100/L502,0)</f>
        <v>0</v>
      </c>
      <c r="P502" s="1352">
        <f t="shared" ref="P502:P507" si="218">IF(M502&gt;0,N502*100/M502,0)</f>
        <v>0</v>
      </c>
      <c r="Q502" s="1323"/>
      <c r="R502" s="1323"/>
      <c r="S502" s="1323"/>
      <c r="T502" s="1323"/>
      <c r="U502" s="1323"/>
      <c r="V502" s="1323"/>
      <c r="W502" s="1323"/>
      <c r="X502" s="1323"/>
      <c r="Y502" s="1323"/>
      <c r="Z502" s="1323"/>
    </row>
    <row r="503" spans="1:26" ht="18.75" hidden="1">
      <c r="A503" s="1319"/>
      <c r="B503" s="1320"/>
      <c r="C503" s="1320"/>
      <c r="D503" s="1321"/>
      <c r="E503" s="1320" t="s">
        <v>185</v>
      </c>
      <c r="F503" s="1320"/>
      <c r="G503" s="1322"/>
      <c r="H503" s="165" t="s">
        <v>12</v>
      </c>
      <c r="I503" s="886"/>
      <c r="J503" s="886"/>
      <c r="K503" s="887"/>
      <c r="L503" s="887">
        <f t="shared" ref="L503:N504" si="219">L506+L513</f>
        <v>0</v>
      </c>
      <c r="M503" s="887">
        <f t="shared" si="219"/>
        <v>0</v>
      </c>
      <c r="N503" s="887">
        <f t="shared" si="219"/>
        <v>0</v>
      </c>
      <c r="O503" s="887">
        <f t="shared" si="217"/>
        <v>0</v>
      </c>
      <c r="P503" s="887">
        <f t="shared" si="218"/>
        <v>0</v>
      </c>
      <c r="Q503" s="1323"/>
      <c r="R503" s="1323"/>
      <c r="S503" s="1323"/>
      <c r="T503" s="1323"/>
      <c r="U503" s="1323"/>
      <c r="V503" s="1323"/>
      <c r="W503" s="1323"/>
      <c r="X503" s="1323"/>
      <c r="Y503" s="1323"/>
      <c r="Z503" s="1323"/>
    </row>
    <row r="504" spans="1:26" ht="18.75" hidden="1">
      <c r="A504" s="1319"/>
      <c r="B504" s="1324"/>
      <c r="C504" s="1320"/>
      <c r="D504" s="1321"/>
      <c r="E504" s="1320" t="s">
        <v>186</v>
      </c>
      <c r="F504" s="1320"/>
      <c r="G504" s="1322"/>
      <c r="H504" s="165" t="s">
        <v>12</v>
      </c>
      <c r="I504" s="886"/>
      <c r="J504" s="886"/>
      <c r="K504" s="887"/>
      <c r="L504" s="887">
        <f t="shared" si="219"/>
        <v>0</v>
      </c>
      <c r="M504" s="887">
        <f t="shared" si="219"/>
        <v>0</v>
      </c>
      <c r="N504" s="887">
        <f t="shared" si="219"/>
        <v>0</v>
      </c>
      <c r="O504" s="887">
        <f t="shared" si="217"/>
        <v>0</v>
      </c>
      <c r="P504" s="887">
        <f t="shared" si="218"/>
        <v>0</v>
      </c>
      <c r="Q504" s="1323"/>
      <c r="R504" s="1323"/>
      <c r="S504" s="1323"/>
      <c r="T504" s="1323"/>
      <c r="U504" s="1323"/>
      <c r="V504" s="1323"/>
      <c r="W504" s="1323"/>
      <c r="X504" s="1323"/>
      <c r="Y504" s="1323"/>
      <c r="Z504" s="1323"/>
    </row>
    <row r="505" spans="1:26" ht="18.75" hidden="1">
      <c r="A505" s="1319"/>
      <c r="B505" s="1324"/>
      <c r="C505" s="1320"/>
      <c r="D505" s="1353" t="s">
        <v>20</v>
      </c>
      <c r="E505" s="1320"/>
      <c r="F505" s="1320"/>
      <c r="G505" s="1322"/>
      <c r="H505" s="165" t="s">
        <v>12</v>
      </c>
      <c r="I505" s="1000"/>
      <c r="J505" s="1000"/>
      <c r="K505" s="1001"/>
      <c r="L505" s="887">
        <f t="shared" ref="L505:N505" si="220">L506+L507</f>
        <v>0</v>
      </c>
      <c r="M505" s="887">
        <f t="shared" si="220"/>
        <v>0</v>
      </c>
      <c r="N505" s="887">
        <f t="shared" si="220"/>
        <v>0</v>
      </c>
      <c r="O505" s="887">
        <f t="shared" si="217"/>
        <v>0</v>
      </c>
      <c r="P505" s="887">
        <f t="shared" si="218"/>
        <v>0</v>
      </c>
      <c r="Q505" s="1323"/>
      <c r="R505" s="1323"/>
      <c r="S505" s="1323"/>
      <c r="T505" s="1323"/>
      <c r="U505" s="1323"/>
      <c r="V505" s="1323"/>
      <c r="W505" s="1323"/>
      <c r="X505" s="1323"/>
      <c r="Y505" s="1323"/>
      <c r="Z505" s="1323"/>
    </row>
    <row r="506" spans="1:26" ht="18.75" hidden="1">
      <c r="A506" s="1319"/>
      <c r="B506" s="1324"/>
      <c r="C506" s="1320"/>
      <c r="D506" s="1321"/>
      <c r="E506" s="1320" t="s">
        <v>185</v>
      </c>
      <c r="F506" s="1320"/>
      <c r="G506" s="1322"/>
      <c r="H506" s="165" t="s">
        <v>12</v>
      </c>
      <c r="I506" s="886"/>
      <c r="J506" s="886"/>
      <c r="K506" s="887"/>
      <c r="L506" s="887">
        <v>0</v>
      </c>
      <c r="M506" s="887">
        <v>0</v>
      </c>
      <c r="N506" s="887">
        <v>0</v>
      </c>
      <c r="O506" s="887">
        <f t="shared" si="217"/>
        <v>0</v>
      </c>
      <c r="P506" s="887">
        <f t="shared" si="218"/>
        <v>0</v>
      </c>
      <c r="Q506" s="1323"/>
      <c r="R506" s="1323"/>
      <c r="S506" s="1323"/>
      <c r="T506" s="1323"/>
      <c r="U506" s="1323"/>
      <c r="V506" s="1323"/>
      <c r="W506" s="1323"/>
      <c r="X506" s="1323"/>
      <c r="Y506" s="1323"/>
      <c r="Z506" s="1323"/>
    </row>
    <row r="507" spans="1:26" ht="18.75" hidden="1">
      <c r="A507" s="1319"/>
      <c r="B507" s="1324"/>
      <c r="C507" s="1320"/>
      <c r="D507" s="1321"/>
      <c r="E507" s="1320" t="s">
        <v>186</v>
      </c>
      <c r="F507" s="1320"/>
      <c r="G507" s="1322"/>
      <c r="H507" s="165" t="s">
        <v>12</v>
      </c>
      <c r="I507" s="886"/>
      <c r="J507" s="886"/>
      <c r="K507" s="887"/>
      <c r="L507" s="887">
        <v>0</v>
      </c>
      <c r="M507" s="887">
        <v>0</v>
      </c>
      <c r="N507" s="887">
        <f>N508+N509+N510+N511</f>
        <v>0</v>
      </c>
      <c r="O507" s="887">
        <f t="shared" si="217"/>
        <v>0</v>
      </c>
      <c r="P507" s="887">
        <f t="shared" si="218"/>
        <v>0</v>
      </c>
      <c r="Q507" s="1323"/>
      <c r="R507" s="1323"/>
      <c r="S507" s="1323"/>
      <c r="T507" s="1323"/>
      <c r="U507" s="1323"/>
      <c r="V507" s="1323"/>
      <c r="W507" s="1323"/>
      <c r="X507" s="1323"/>
      <c r="Y507" s="1323"/>
      <c r="Z507" s="1323"/>
    </row>
    <row r="508" spans="1:26" ht="18.75" hidden="1">
      <c r="A508" s="1354"/>
      <c r="B508" s="1324"/>
      <c r="C508" s="1320"/>
      <c r="D508" s="1320"/>
      <c r="E508" s="1320"/>
      <c r="F508" s="1320" t="s">
        <v>187</v>
      </c>
      <c r="G508" s="1322"/>
      <c r="H508" s="165" t="s">
        <v>12</v>
      </c>
      <c r="I508" s="886"/>
      <c r="J508" s="886"/>
      <c r="K508" s="887"/>
      <c r="L508" s="887"/>
      <c r="M508" s="887"/>
      <c r="N508" s="887">
        <v>0</v>
      </c>
      <c r="O508" s="887"/>
      <c r="P508" s="887"/>
      <c r="Q508" s="1323"/>
      <c r="R508" s="1323"/>
      <c r="S508" s="1323"/>
      <c r="T508" s="1323"/>
      <c r="U508" s="1323"/>
      <c r="V508" s="1323"/>
      <c r="W508" s="1323"/>
      <c r="X508" s="1323"/>
      <c r="Y508" s="1323"/>
      <c r="Z508" s="1323"/>
    </row>
    <row r="509" spans="1:26" ht="18.75" hidden="1">
      <c r="A509" s="1354"/>
      <c r="B509" s="1324"/>
      <c r="C509" s="1320"/>
      <c r="D509" s="1320"/>
      <c r="E509" s="1320"/>
      <c r="F509" s="1320" t="s">
        <v>188</v>
      </c>
      <c r="G509" s="1322"/>
      <c r="H509" s="165" t="s">
        <v>12</v>
      </c>
      <c r="I509" s="886"/>
      <c r="J509" s="886"/>
      <c r="K509" s="887"/>
      <c r="L509" s="887"/>
      <c r="M509" s="887"/>
      <c r="N509" s="887">
        <v>0</v>
      </c>
      <c r="O509" s="887"/>
      <c r="P509" s="887"/>
      <c r="Q509" s="1323"/>
      <c r="R509" s="1323"/>
      <c r="S509" s="1323"/>
      <c r="T509" s="1323"/>
      <c r="U509" s="1323"/>
      <c r="V509" s="1323"/>
      <c r="W509" s="1323"/>
      <c r="X509" s="1323"/>
      <c r="Y509" s="1323"/>
      <c r="Z509" s="1323"/>
    </row>
    <row r="510" spans="1:26" ht="18.75" hidden="1">
      <c r="A510" s="1354"/>
      <c r="B510" s="1324"/>
      <c r="C510" s="1324"/>
      <c r="D510" s="1324"/>
      <c r="E510" s="1320"/>
      <c r="F510" s="1320" t="s">
        <v>189</v>
      </c>
      <c r="G510" s="1322"/>
      <c r="H510" s="165" t="s">
        <v>12</v>
      </c>
      <c r="I510" s="886"/>
      <c r="J510" s="886"/>
      <c r="K510" s="887"/>
      <c r="L510" s="887"/>
      <c r="M510" s="887"/>
      <c r="N510" s="887">
        <v>0</v>
      </c>
      <c r="O510" s="887"/>
      <c r="P510" s="887"/>
      <c r="Q510" s="1323"/>
      <c r="R510" s="1323"/>
      <c r="S510" s="1323"/>
      <c r="T510" s="1323"/>
      <c r="U510" s="1323"/>
      <c r="V510" s="1323"/>
      <c r="W510" s="1323"/>
      <c r="X510" s="1323"/>
      <c r="Y510" s="1323"/>
      <c r="Z510" s="1323"/>
    </row>
    <row r="511" spans="1:26" ht="18.75" hidden="1">
      <c r="A511" s="1354"/>
      <c r="B511" s="1324"/>
      <c r="C511" s="1324"/>
      <c r="D511" s="1324"/>
      <c r="E511" s="1320"/>
      <c r="F511" s="1320" t="s">
        <v>190</v>
      </c>
      <c r="G511" s="1322"/>
      <c r="H511" s="165" t="s">
        <v>12</v>
      </c>
      <c r="I511" s="886"/>
      <c r="J511" s="886"/>
      <c r="K511" s="887"/>
      <c r="L511" s="887"/>
      <c r="M511" s="887"/>
      <c r="N511" s="887">
        <v>0</v>
      </c>
      <c r="O511" s="887"/>
      <c r="P511" s="887"/>
      <c r="Q511" s="1323"/>
      <c r="R511" s="1323"/>
      <c r="S511" s="1323"/>
      <c r="T511" s="1323"/>
      <c r="U511" s="1323"/>
      <c r="V511" s="1323"/>
      <c r="W511" s="1323"/>
      <c r="X511" s="1323"/>
      <c r="Y511" s="1323"/>
      <c r="Z511" s="1323"/>
    </row>
    <row r="512" spans="1:26" ht="18.75" hidden="1">
      <c r="A512" s="1319"/>
      <c r="B512" s="1324"/>
      <c r="C512" s="1324"/>
      <c r="D512" s="1353" t="s">
        <v>21</v>
      </c>
      <c r="E512" s="1324"/>
      <c r="F512" s="1320"/>
      <c r="G512" s="1322"/>
      <c r="H512" s="169" t="s">
        <v>12</v>
      </c>
      <c r="I512" s="1000"/>
      <c r="J512" s="1000"/>
      <c r="K512" s="1001"/>
      <c r="L512" s="887">
        <f t="shared" ref="L512:N512" si="221">L513+L514</f>
        <v>0</v>
      </c>
      <c r="M512" s="887">
        <f t="shared" si="221"/>
        <v>0</v>
      </c>
      <c r="N512" s="887">
        <f t="shared" si="221"/>
        <v>0</v>
      </c>
      <c r="O512" s="887">
        <f t="shared" ref="O512:O514" si="222">IF(L512&gt;0,N512*100/L512,0)</f>
        <v>0</v>
      </c>
      <c r="P512" s="887">
        <f t="shared" ref="P512:P514" si="223">IF(M512&gt;0,N512*100/M512,0)</f>
        <v>0</v>
      </c>
      <c r="Q512" s="1323"/>
      <c r="R512" s="1323"/>
      <c r="S512" s="1323"/>
      <c r="T512" s="1323"/>
      <c r="U512" s="1323"/>
      <c r="V512" s="1323"/>
      <c r="W512" s="1323"/>
      <c r="X512" s="1323"/>
      <c r="Y512" s="1323"/>
      <c r="Z512" s="1323"/>
    </row>
    <row r="513" spans="1:26" ht="18.75" hidden="1">
      <c r="A513" s="1319"/>
      <c r="B513" s="1324"/>
      <c r="C513" s="1324"/>
      <c r="D513" s="1324"/>
      <c r="E513" s="1324" t="s">
        <v>18</v>
      </c>
      <c r="F513" s="1320"/>
      <c r="G513" s="1322"/>
      <c r="H513" s="165" t="s">
        <v>12</v>
      </c>
      <c r="I513" s="1000"/>
      <c r="J513" s="1000"/>
      <c r="K513" s="1001"/>
      <c r="L513" s="887">
        <v>0</v>
      </c>
      <c r="M513" s="887">
        <v>0</v>
      </c>
      <c r="N513" s="887">
        <v>0</v>
      </c>
      <c r="O513" s="887">
        <f t="shared" si="222"/>
        <v>0</v>
      </c>
      <c r="P513" s="887">
        <f t="shared" si="223"/>
        <v>0</v>
      </c>
      <c r="Q513" s="1323"/>
      <c r="R513" s="1323"/>
      <c r="S513" s="1323"/>
      <c r="T513" s="1323"/>
      <c r="U513" s="1323"/>
      <c r="V513" s="1323"/>
      <c r="W513" s="1323"/>
      <c r="X513" s="1323"/>
      <c r="Y513" s="1323"/>
      <c r="Z513" s="1323"/>
    </row>
    <row r="514" spans="1:26" ht="18.75" hidden="1">
      <c r="A514" s="1319"/>
      <c r="B514" s="1324"/>
      <c r="C514" s="1324"/>
      <c r="D514" s="1320"/>
      <c r="E514" s="1324" t="s">
        <v>19</v>
      </c>
      <c r="F514" s="1320"/>
      <c r="G514" s="1322"/>
      <c r="H514" s="169" t="s">
        <v>12</v>
      </c>
      <c r="I514" s="1000"/>
      <c r="J514" s="1000"/>
      <c r="K514" s="1001"/>
      <c r="L514" s="887">
        <v>0</v>
      </c>
      <c r="M514" s="887">
        <v>0</v>
      </c>
      <c r="N514" s="887">
        <v>0</v>
      </c>
      <c r="O514" s="887">
        <f t="shared" si="222"/>
        <v>0</v>
      </c>
      <c r="P514" s="887">
        <f t="shared" si="223"/>
        <v>0</v>
      </c>
      <c r="Q514" s="1323"/>
      <c r="R514" s="1323"/>
      <c r="S514" s="1323"/>
      <c r="T514" s="1323"/>
      <c r="U514" s="1323"/>
      <c r="V514" s="1323"/>
      <c r="W514" s="1323"/>
      <c r="X514" s="1323"/>
      <c r="Y514" s="1323"/>
      <c r="Z514" s="1323"/>
    </row>
    <row r="515" spans="1:26" ht="19.5" hidden="1">
      <c r="A515" s="1332"/>
      <c r="B515" s="1333"/>
      <c r="C515" s="1324" t="s">
        <v>16</v>
      </c>
      <c r="D515" s="1355" t="s">
        <v>38</v>
      </c>
      <c r="E515" s="1356"/>
      <c r="F515" s="1356"/>
      <c r="G515" s="1357"/>
      <c r="H515" s="1113"/>
      <c r="I515" s="1000"/>
      <c r="J515" s="1000"/>
      <c r="K515" s="1001"/>
      <c r="L515" s="1001"/>
      <c r="M515" s="1001"/>
      <c r="N515" s="1001"/>
      <c r="O515" s="1001"/>
      <c r="P515" s="1001"/>
      <c r="Q515" s="1323"/>
      <c r="R515" s="1323"/>
      <c r="S515" s="1323"/>
      <c r="T515" s="1323"/>
      <c r="U515" s="1323"/>
      <c r="V515" s="1323"/>
      <c r="W515" s="1323"/>
      <c r="X515" s="1323"/>
      <c r="Y515" s="1323"/>
      <c r="Z515" s="1323"/>
    </row>
    <row r="516" spans="1:26" ht="18.75" hidden="1">
      <c r="A516" s="1332"/>
      <c r="B516" s="1333"/>
      <c r="C516" s="1333"/>
      <c r="D516" s="1333" t="s">
        <v>222</v>
      </c>
      <c r="E516" s="1321"/>
      <c r="F516" s="1321"/>
      <c r="G516" s="1113"/>
      <c r="H516" s="651" t="s">
        <v>109</v>
      </c>
      <c r="I516" s="886"/>
      <c r="J516" s="886">
        <v>0</v>
      </c>
      <c r="K516" s="1001">
        <f t="shared" ref="K516:K517" si="224">IF(I516&gt;0,J516*100/I516,0)</f>
        <v>0</v>
      </c>
      <c r="L516" s="1001"/>
      <c r="M516" s="1001"/>
      <c r="N516" s="1001"/>
      <c r="O516" s="1001"/>
      <c r="P516" s="1001"/>
      <c r="Q516" s="1323"/>
      <c r="R516" s="1323"/>
      <c r="S516" s="1323"/>
      <c r="T516" s="1323"/>
      <c r="U516" s="1323"/>
      <c r="V516" s="1323"/>
      <c r="W516" s="1323"/>
      <c r="X516" s="1323"/>
      <c r="Y516" s="1323"/>
      <c r="Z516" s="1323"/>
    </row>
    <row r="517" spans="1:26" ht="19.5" hidden="1">
      <c r="A517" s="1332"/>
      <c r="B517" s="1333"/>
      <c r="C517" s="1333"/>
      <c r="D517" s="1333" t="s">
        <v>223</v>
      </c>
      <c r="E517" s="1321"/>
      <c r="F517" s="1321"/>
      <c r="G517" s="1113"/>
      <c r="H517" s="652" t="s">
        <v>35</v>
      </c>
      <c r="I517" s="1358"/>
      <c r="J517" s="1358">
        <f>J518+J519</f>
        <v>0</v>
      </c>
      <c r="K517" s="1359">
        <f t="shared" si="224"/>
        <v>0</v>
      </c>
      <c r="L517" s="1001"/>
      <c r="M517" s="1001"/>
      <c r="N517" s="1001"/>
      <c r="O517" s="1001"/>
      <c r="P517" s="1001"/>
      <c r="Q517" s="1323"/>
      <c r="R517" s="1323"/>
      <c r="S517" s="1323"/>
      <c r="T517" s="1323"/>
      <c r="U517" s="1323"/>
      <c r="V517" s="1323"/>
      <c r="W517" s="1323"/>
      <c r="X517" s="1323"/>
      <c r="Y517" s="1323"/>
      <c r="Z517" s="1323"/>
    </row>
    <row r="518" spans="1:26" ht="18.75" hidden="1">
      <c r="A518" s="1332"/>
      <c r="B518" s="1333"/>
      <c r="C518" s="1333"/>
      <c r="D518" s="1333"/>
      <c r="E518" s="1333" t="s">
        <v>224</v>
      </c>
      <c r="F518" s="1321"/>
      <c r="G518" s="1113"/>
      <c r="H518" s="370" t="s">
        <v>35</v>
      </c>
      <c r="I518" s="886"/>
      <c r="J518" s="886"/>
      <c r="K518" s="1001"/>
      <c r="L518" s="1001"/>
      <c r="M518" s="1001"/>
      <c r="N518" s="1001"/>
      <c r="O518" s="1001"/>
      <c r="P518" s="1001"/>
      <c r="Q518" s="1323"/>
      <c r="R518" s="1323"/>
      <c r="S518" s="1323"/>
      <c r="T518" s="1323"/>
      <c r="U518" s="1323"/>
      <c r="V518" s="1323"/>
      <c r="W518" s="1323"/>
      <c r="X518" s="1323"/>
      <c r="Y518" s="1323"/>
      <c r="Z518" s="1323"/>
    </row>
    <row r="519" spans="1:26" ht="18.75" hidden="1">
      <c r="A519" s="1332"/>
      <c r="B519" s="1333"/>
      <c r="C519" s="1333"/>
      <c r="D519" s="1333"/>
      <c r="E519" s="1333" t="s">
        <v>225</v>
      </c>
      <c r="F519" s="1321"/>
      <c r="G519" s="1113"/>
      <c r="H519" s="651" t="s">
        <v>35</v>
      </c>
      <c r="I519" s="886"/>
      <c r="J519" s="886"/>
      <c r="K519" s="1001"/>
      <c r="L519" s="1001"/>
      <c r="M519" s="1001"/>
      <c r="N519" s="1001"/>
      <c r="O519" s="1001"/>
      <c r="P519" s="1001"/>
      <c r="Q519" s="1323"/>
      <c r="R519" s="1323"/>
      <c r="S519" s="1323"/>
      <c r="T519" s="1323"/>
      <c r="U519" s="1323"/>
      <c r="V519" s="1323"/>
      <c r="W519" s="1323"/>
      <c r="X519" s="1323"/>
      <c r="Y519" s="1323"/>
      <c r="Z519" s="1323"/>
    </row>
    <row r="520" spans="1:26" ht="19.5">
      <c r="A520" s="1360" t="s">
        <v>137</v>
      </c>
      <c r="B520" s="1361"/>
      <c r="C520" s="1361"/>
      <c r="D520" s="1362"/>
      <c r="E520" s="1362"/>
      <c r="F520" s="1362"/>
      <c r="G520" s="1363"/>
      <c r="H520" s="1364"/>
      <c r="I520" s="1365"/>
      <c r="J520" s="1365"/>
      <c r="K520" s="1366"/>
      <c r="L520" s="1366"/>
      <c r="M520" s="1366"/>
      <c r="N520" s="1366"/>
      <c r="O520" s="1366"/>
      <c r="P520" s="1366"/>
    </row>
    <row r="521" spans="1:26" ht="19.5" hidden="1">
      <c r="A521" s="662">
        <v>5</v>
      </c>
      <c r="B521" s="1367" t="s">
        <v>226</v>
      </c>
      <c r="C521" s="1368"/>
      <c r="D521" s="1369"/>
      <c r="E521" s="1369"/>
      <c r="F521" s="1369"/>
      <c r="G521" s="1369"/>
      <c r="H521" s="1370"/>
      <c r="I521" s="1371"/>
      <c r="J521" s="1371"/>
      <c r="K521" s="1372"/>
      <c r="L521" s="1372"/>
      <c r="M521" s="1372"/>
      <c r="N521" s="1372"/>
      <c r="O521" s="1372"/>
      <c r="P521" s="1372"/>
      <c r="Q521" s="1302"/>
      <c r="R521" s="1302"/>
      <c r="S521" s="1302"/>
      <c r="T521" s="1302"/>
      <c r="U521" s="1302"/>
      <c r="V521" s="1302"/>
      <c r="W521" s="1302"/>
      <c r="X521" s="1302"/>
      <c r="Y521" s="1302"/>
      <c r="Z521" s="1302"/>
    </row>
    <row r="522" spans="1:26" ht="19.5" hidden="1">
      <c r="A522" s="1373"/>
      <c r="B522" s="1374" t="s">
        <v>227</v>
      </c>
      <c r="C522" s="1375"/>
      <c r="D522" s="1375"/>
      <c r="E522" s="1375"/>
      <c r="F522" s="1375"/>
      <c r="G522" s="1376"/>
      <c r="H522" s="673" t="s">
        <v>35</v>
      </c>
      <c r="I522" s="1377">
        <f t="shared" ref="I522:J522" ca="1" si="225">I537</f>
        <v>0</v>
      </c>
      <c r="J522" s="1377">
        <f t="shared" ca="1" si="225"/>
        <v>0</v>
      </c>
      <c r="K522" s="1378">
        <f ca="1">IF(I522&gt;0,J522*100/I522,0)</f>
        <v>0</v>
      </c>
      <c r="L522" s="1379"/>
      <c r="M522" s="1379"/>
      <c r="N522" s="1379"/>
      <c r="O522" s="1379"/>
      <c r="P522" s="1379"/>
      <c r="Q522" s="1302"/>
      <c r="R522" s="1302"/>
      <c r="S522" s="1302"/>
      <c r="T522" s="1302"/>
      <c r="U522" s="1302"/>
      <c r="V522" s="1302"/>
      <c r="W522" s="1302"/>
      <c r="X522" s="1302"/>
      <c r="Y522" s="1302"/>
      <c r="Z522" s="1302"/>
    </row>
    <row r="523" spans="1:26" ht="19.5" hidden="1">
      <c r="A523" s="1317"/>
      <c r="B523" s="1301"/>
      <c r="C523" s="1301" t="s">
        <v>16</v>
      </c>
      <c r="D523" s="1318" t="s">
        <v>17</v>
      </c>
      <c r="E523" s="841"/>
      <c r="F523" s="841"/>
      <c r="G523" s="1016"/>
      <c r="H523" s="597" t="s">
        <v>12</v>
      </c>
      <c r="I523" s="880"/>
      <c r="J523" s="880"/>
      <c r="K523" s="881"/>
      <c r="L523" s="1020">
        <f t="shared" ref="L523:N523" ca="1" si="226">L524+L525</f>
        <v>0</v>
      </c>
      <c r="M523" s="1020">
        <f t="shared" si="226"/>
        <v>0</v>
      </c>
      <c r="N523" s="1020">
        <f t="shared" si="226"/>
        <v>0</v>
      </c>
      <c r="O523" s="1020">
        <f t="shared" ref="O523:O528" ca="1" si="227">IF(L523&gt;0,N523*100/L523,0)</f>
        <v>0</v>
      </c>
      <c r="P523" s="1020">
        <f t="shared" ref="P523:P528" si="228">IF(M523&gt;0,N523*100/M523,0)</f>
        <v>0</v>
      </c>
      <c r="Q523" s="1302"/>
      <c r="R523" s="1302"/>
      <c r="S523" s="1302"/>
      <c r="T523" s="1302"/>
      <c r="U523" s="1302"/>
      <c r="V523" s="1302"/>
      <c r="W523" s="1302"/>
      <c r="X523" s="1302"/>
      <c r="Y523" s="1302"/>
      <c r="Z523" s="1302"/>
    </row>
    <row r="524" spans="1:26" ht="18.75" hidden="1">
      <c r="A524" s="1319"/>
      <c r="B524" s="1320"/>
      <c r="C524" s="1320"/>
      <c r="D524" s="1321"/>
      <c r="E524" s="1320" t="s">
        <v>185</v>
      </c>
      <c r="F524" s="1320"/>
      <c r="G524" s="1322"/>
      <c r="H524" s="165" t="s">
        <v>12</v>
      </c>
      <c r="I524" s="886"/>
      <c r="J524" s="886"/>
      <c r="K524" s="887"/>
      <c r="L524" s="887">
        <f t="shared" ref="L524:N525" si="229">L527+L534</f>
        <v>0</v>
      </c>
      <c r="M524" s="887">
        <f t="shared" si="229"/>
        <v>0</v>
      </c>
      <c r="N524" s="887">
        <f t="shared" si="229"/>
        <v>0</v>
      </c>
      <c r="O524" s="887">
        <f t="shared" si="227"/>
        <v>0</v>
      </c>
      <c r="P524" s="887">
        <f t="shared" si="228"/>
        <v>0</v>
      </c>
      <c r="Q524" s="1323"/>
      <c r="R524" s="1323"/>
      <c r="S524" s="1323"/>
      <c r="T524" s="1323"/>
      <c r="U524" s="1323"/>
      <c r="V524" s="1323"/>
      <c r="W524" s="1323"/>
      <c r="X524" s="1323"/>
      <c r="Y524" s="1323"/>
      <c r="Z524" s="1323"/>
    </row>
    <row r="525" spans="1:26" ht="18.75" hidden="1">
      <c r="A525" s="1319"/>
      <c r="B525" s="1324"/>
      <c r="C525" s="1320"/>
      <c r="D525" s="1321"/>
      <c r="E525" s="1320" t="s">
        <v>186</v>
      </c>
      <c r="F525" s="1320"/>
      <c r="G525" s="1322"/>
      <c r="H525" s="165" t="s">
        <v>12</v>
      </c>
      <c r="I525" s="886"/>
      <c r="J525" s="886"/>
      <c r="K525" s="887"/>
      <c r="L525" s="887">
        <f t="shared" ca="1" si="229"/>
        <v>0</v>
      </c>
      <c r="M525" s="887">
        <f t="shared" si="229"/>
        <v>0</v>
      </c>
      <c r="N525" s="887">
        <f t="shared" si="229"/>
        <v>0</v>
      </c>
      <c r="O525" s="887">
        <f t="shared" ca="1" si="227"/>
        <v>0</v>
      </c>
      <c r="P525" s="887">
        <f t="shared" si="228"/>
        <v>0</v>
      </c>
      <c r="Q525" s="1323"/>
      <c r="R525" s="1323"/>
      <c r="S525" s="1323"/>
      <c r="T525" s="1323"/>
      <c r="U525" s="1323"/>
      <c r="V525" s="1323"/>
      <c r="W525" s="1323"/>
      <c r="X525" s="1323"/>
      <c r="Y525" s="1323"/>
      <c r="Z525" s="1323"/>
    </row>
    <row r="526" spans="1:26" ht="18.75" hidden="1">
      <c r="A526" s="1317"/>
      <c r="B526" s="1300"/>
      <c r="C526" s="1301"/>
      <c r="D526" s="1325" t="s">
        <v>20</v>
      </c>
      <c r="E526" s="1301"/>
      <c r="F526" s="1301"/>
      <c r="G526" s="1016"/>
      <c r="H526" s="161" t="s">
        <v>12</v>
      </c>
      <c r="I526" s="997"/>
      <c r="J526" s="997"/>
      <c r="K526" s="998"/>
      <c r="L526" s="881">
        <f t="shared" ref="L526:N526" ca="1" si="230">L527+L528</f>
        <v>0</v>
      </c>
      <c r="M526" s="881">
        <f t="shared" si="230"/>
        <v>0</v>
      </c>
      <c r="N526" s="881">
        <f t="shared" si="230"/>
        <v>0</v>
      </c>
      <c r="O526" s="881">
        <f t="shared" ca="1" si="227"/>
        <v>0</v>
      </c>
      <c r="P526" s="881">
        <f t="shared" si="228"/>
        <v>0</v>
      </c>
      <c r="Q526" s="1302"/>
      <c r="R526" s="1302"/>
      <c r="S526" s="1302"/>
      <c r="T526" s="1302"/>
      <c r="U526" s="1302"/>
      <c r="V526" s="1302"/>
      <c r="W526" s="1302"/>
      <c r="X526" s="1302"/>
      <c r="Y526" s="1302"/>
      <c r="Z526" s="1302"/>
    </row>
    <row r="527" spans="1:26" ht="18.75" hidden="1">
      <c r="A527" s="1319"/>
      <c r="B527" s="1324"/>
      <c r="C527" s="1320"/>
      <c r="D527" s="1321"/>
      <c r="E527" s="1320" t="s">
        <v>185</v>
      </c>
      <c r="F527" s="1320"/>
      <c r="G527" s="1322"/>
      <c r="H527" s="165" t="s">
        <v>12</v>
      </c>
      <c r="I527" s="886"/>
      <c r="J527" s="886"/>
      <c r="K527" s="887"/>
      <c r="L527" s="887">
        <v>0</v>
      </c>
      <c r="M527" s="887">
        <v>0</v>
      </c>
      <c r="N527" s="887">
        <v>0</v>
      </c>
      <c r="O527" s="887">
        <f t="shared" si="227"/>
        <v>0</v>
      </c>
      <c r="P527" s="887">
        <f t="shared" si="228"/>
        <v>0</v>
      </c>
      <c r="Q527" s="1323"/>
      <c r="R527" s="1323"/>
      <c r="S527" s="1323"/>
      <c r="T527" s="1323"/>
      <c r="U527" s="1323"/>
      <c r="V527" s="1323"/>
      <c r="W527" s="1323"/>
      <c r="X527" s="1323"/>
      <c r="Y527" s="1323"/>
      <c r="Z527" s="1323"/>
    </row>
    <row r="528" spans="1:26" ht="18.75" hidden="1">
      <c r="A528" s="1319"/>
      <c r="B528" s="1324"/>
      <c r="C528" s="1320"/>
      <c r="D528" s="1321"/>
      <c r="E528" s="1320" t="s">
        <v>186</v>
      </c>
      <c r="F528" s="1320"/>
      <c r="G528" s="1322"/>
      <c r="H528" s="165" t="s">
        <v>12</v>
      </c>
      <c r="I528" s="886"/>
      <c r="J528" s="886"/>
      <c r="K528" s="887"/>
      <c r="L528" s="887">
        <f ca="1">IFERROR(__xludf.DUMMYFUNCTION("IMPORTRANGE(""https://docs.google.com/spreadsheets/d/1QqKyyYR6Q21VydFLVH3TRQUabQu_ym0Zz7PgGX0-kHA/edit?usp=sharing"",""แผน!GQ77"")"),0)</f>
        <v>0</v>
      </c>
      <c r="M528" s="887">
        <v>0</v>
      </c>
      <c r="N528" s="887">
        <f>N529+N530+N531+N532</f>
        <v>0</v>
      </c>
      <c r="O528" s="887">
        <f t="shared" ca="1" si="227"/>
        <v>0</v>
      </c>
      <c r="P528" s="887">
        <f t="shared" si="228"/>
        <v>0</v>
      </c>
      <c r="Q528" s="1323"/>
      <c r="R528" s="1323"/>
      <c r="S528" s="1323"/>
      <c r="T528" s="1323"/>
      <c r="U528" s="1323"/>
      <c r="V528" s="1323"/>
      <c r="W528" s="1323"/>
      <c r="X528" s="1323"/>
      <c r="Y528" s="1323"/>
      <c r="Z528" s="1323"/>
    </row>
    <row r="529" spans="1:26" ht="18.75" hidden="1">
      <c r="A529" s="1299"/>
      <c r="B529" s="1300"/>
      <c r="C529" s="1301"/>
      <c r="D529" s="1301"/>
      <c r="E529" s="1301"/>
      <c r="F529" s="1301" t="s">
        <v>187</v>
      </c>
      <c r="G529" s="1016"/>
      <c r="H529" s="161" t="s">
        <v>12</v>
      </c>
      <c r="I529" s="880"/>
      <c r="J529" s="880"/>
      <c r="K529" s="881"/>
      <c r="L529" s="881"/>
      <c r="M529" s="881"/>
      <c r="N529" s="1085">
        <v>0</v>
      </c>
      <c r="O529" s="881"/>
      <c r="P529" s="881"/>
      <c r="Q529" s="1302"/>
      <c r="R529" s="1302"/>
      <c r="S529" s="1302"/>
      <c r="T529" s="1302"/>
      <c r="U529" s="1302"/>
      <c r="V529" s="1302"/>
      <c r="W529" s="1302"/>
      <c r="X529" s="1302"/>
      <c r="Y529" s="1302"/>
      <c r="Z529" s="1302"/>
    </row>
    <row r="530" spans="1:26" ht="18.75" hidden="1">
      <c r="A530" s="1299"/>
      <c r="B530" s="1300"/>
      <c r="C530" s="1301"/>
      <c r="D530" s="1301"/>
      <c r="E530" s="1301"/>
      <c r="F530" s="1301" t="s">
        <v>188</v>
      </c>
      <c r="G530" s="1016"/>
      <c r="H530" s="161" t="s">
        <v>12</v>
      </c>
      <c r="I530" s="880"/>
      <c r="J530" s="880"/>
      <c r="K530" s="881"/>
      <c r="L530" s="881"/>
      <c r="M530" s="881"/>
      <c r="N530" s="1085">
        <v>0</v>
      </c>
      <c r="O530" s="881"/>
      <c r="P530" s="881"/>
      <c r="Q530" s="1302"/>
      <c r="R530" s="1302"/>
      <c r="S530" s="1302"/>
      <c r="T530" s="1302"/>
      <c r="U530" s="1302"/>
      <c r="V530" s="1302"/>
      <c r="W530" s="1302"/>
      <c r="X530" s="1302"/>
      <c r="Y530" s="1302"/>
      <c r="Z530" s="1302"/>
    </row>
    <row r="531" spans="1:26" ht="18.75" hidden="1">
      <c r="A531" s="1299"/>
      <c r="B531" s="1300"/>
      <c r="C531" s="1301"/>
      <c r="D531" s="1301"/>
      <c r="E531" s="1301"/>
      <c r="F531" s="1301" t="s">
        <v>189</v>
      </c>
      <c r="G531" s="1016"/>
      <c r="H531" s="161" t="s">
        <v>12</v>
      </c>
      <c r="I531" s="880"/>
      <c r="J531" s="880"/>
      <c r="K531" s="881"/>
      <c r="L531" s="881"/>
      <c r="M531" s="881"/>
      <c r="N531" s="1085">
        <v>0</v>
      </c>
      <c r="O531" s="881"/>
      <c r="P531" s="881"/>
      <c r="Q531" s="1302"/>
      <c r="R531" s="1302"/>
      <c r="S531" s="1302"/>
      <c r="T531" s="1302"/>
      <c r="U531" s="1302"/>
      <c r="V531" s="1302"/>
      <c r="W531" s="1302"/>
      <c r="X531" s="1302"/>
      <c r="Y531" s="1302"/>
      <c r="Z531" s="1302"/>
    </row>
    <row r="532" spans="1:26" ht="18.75" hidden="1">
      <c r="A532" s="1299"/>
      <c r="B532" s="1300"/>
      <c r="C532" s="1301"/>
      <c r="D532" s="1301"/>
      <c r="E532" s="1301"/>
      <c r="F532" s="1301" t="s">
        <v>190</v>
      </c>
      <c r="G532" s="1016"/>
      <c r="H532" s="161" t="s">
        <v>12</v>
      </c>
      <c r="I532" s="880"/>
      <c r="J532" s="880"/>
      <c r="K532" s="881"/>
      <c r="L532" s="881"/>
      <c r="M532" s="881"/>
      <c r="N532" s="1085">
        <v>0</v>
      </c>
      <c r="O532" s="881"/>
      <c r="P532" s="881"/>
      <c r="Q532" s="1302"/>
      <c r="R532" s="1302"/>
      <c r="S532" s="1302"/>
      <c r="T532" s="1302"/>
      <c r="U532" s="1302"/>
      <c r="V532" s="1302"/>
      <c r="W532" s="1302"/>
      <c r="X532" s="1302"/>
      <c r="Y532" s="1302"/>
      <c r="Z532" s="1302"/>
    </row>
    <row r="533" spans="1:26" ht="18.75" hidden="1">
      <c r="A533" s="1317"/>
      <c r="B533" s="1300"/>
      <c r="C533" s="1301"/>
      <c r="D533" s="1325" t="s">
        <v>21</v>
      </c>
      <c r="E533" s="1301"/>
      <c r="F533" s="1301"/>
      <c r="G533" s="1016"/>
      <c r="H533" s="168" t="s">
        <v>12</v>
      </c>
      <c r="I533" s="997"/>
      <c r="J533" s="997"/>
      <c r="K533" s="998"/>
      <c r="L533" s="881">
        <f t="shared" ref="L533:N533" ca="1" si="231">L534+L535</f>
        <v>0</v>
      </c>
      <c r="M533" s="881">
        <f t="shared" si="231"/>
        <v>0</v>
      </c>
      <c r="N533" s="881">
        <f t="shared" si="231"/>
        <v>0</v>
      </c>
      <c r="O533" s="881">
        <f t="shared" ref="O533:O535" ca="1" si="232">IF(L533&gt;0,N533*100/L533,0)</f>
        <v>0</v>
      </c>
      <c r="P533" s="881">
        <f t="shared" ref="P533:P535" si="233">IF(M533&gt;0,N533*100/M533,0)</f>
        <v>0</v>
      </c>
      <c r="Q533" s="1302"/>
      <c r="R533" s="1302"/>
      <c r="S533" s="1302"/>
      <c r="T533" s="1302"/>
      <c r="U533" s="1302"/>
      <c r="V533" s="1302"/>
      <c r="W533" s="1302"/>
      <c r="X533" s="1302"/>
      <c r="Y533" s="1302"/>
      <c r="Z533" s="1302"/>
    </row>
    <row r="534" spans="1:26" ht="18.75" hidden="1">
      <c r="A534" s="1319"/>
      <c r="B534" s="1324"/>
      <c r="C534" s="1320"/>
      <c r="D534" s="1320"/>
      <c r="E534" s="1320" t="s">
        <v>18</v>
      </c>
      <c r="F534" s="1320"/>
      <c r="G534" s="1322"/>
      <c r="H534" s="165" t="s">
        <v>12</v>
      </c>
      <c r="I534" s="1000"/>
      <c r="J534" s="1000"/>
      <c r="K534" s="1001"/>
      <c r="L534" s="887">
        <v>0</v>
      </c>
      <c r="M534" s="887">
        <v>0</v>
      </c>
      <c r="N534" s="887">
        <v>0</v>
      </c>
      <c r="O534" s="887">
        <f t="shared" si="232"/>
        <v>0</v>
      </c>
      <c r="P534" s="887">
        <f t="shared" si="233"/>
        <v>0</v>
      </c>
      <c r="Q534" s="1323"/>
      <c r="R534" s="1323"/>
      <c r="S534" s="1323"/>
      <c r="T534" s="1323"/>
      <c r="U534" s="1323"/>
      <c r="V534" s="1323"/>
      <c r="W534" s="1323"/>
      <c r="X534" s="1323"/>
      <c r="Y534" s="1323"/>
      <c r="Z534" s="1323"/>
    </row>
    <row r="535" spans="1:26" ht="18.75" hidden="1">
      <c r="A535" s="1319"/>
      <c r="B535" s="1324"/>
      <c r="C535" s="1320"/>
      <c r="D535" s="1320"/>
      <c r="E535" s="1320" t="s">
        <v>19</v>
      </c>
      <c r="F535" s="1320"/>
      <c r="G535" s="1322"/>
      <c r="H535" s="169" t="s">
        <v>12</v>
      </c>
      <c r="I535" s="1000"/>
      <c r="J535" s="1000"/>
      <c r="K535" s="1001"/>
      <c r="L535" s="887">
        <f ca="1">IFERROR(__xludf.DUMMYFUNCTION("IMPORTRANGE(""https://docs.google.com/spreadsheets/d/1QqKyyYR6Q21VydFLVH3TRQUabQu_ym0Zz7PgGX0-kHA/edit?usp=sharing"",""แผน!GT77"")"),0)</f>
        <v>0</v>
      </c>
      <c r="M535" s="887">
        <v>0</v>
      </c>
      <c r="N535" s="887">
        <v>0</v>
      </c>
      <c r="O535" s="887">
        <f t="shared" ca="1" si="232"/>
        <v>0</v>
      </c>
      <c r="P535" s="887">
        <f t="shared" si="233"/>
        <v>0</v>
      </c>
      <c r="Q535" s="1323"/>
      <c r="R535" s="1323"/>
      <c r="S535" s="1323"/>
      <c r="T535" s="1323"/>
      <c r="U535" s="1323"/>
      <c r="V535" s="1323"/>
      <c r="W535" s="1323"/>
      <c r="X535" s="1323"/>
      <c r="Y535" s="1323"/>
      <c r="Z535" s="1323"/>
    </row>
    <row r="536" spans="1:26" ht="19.5" hidden="1">
      <c r="A536" s="1326"/>
      <c r="B536" s="1327"/>
      <c r="C536" s="1301" t="s">
        <v>16</v>
      </c>
      <c r="D536" s="1380" t="s">
        <v>38</v>
      </c>
      <c r="E536" s="1330"/>
      <c r="F536" s="1330"/>
      <c r="G536" s="1331"/>
      <c r="H536" s="1007"/>
      <c r="I536" s="997"/>
      <c r="J536" s="997"/>
      <c r="K536" s="998"/>
      <c r="L536" s="998"/>
      <c r="M536" s="998"/>
      <c r="N536" s="998"/>
      <c r="O536" s="998"/>
      <c r="P536" s="998"/>
      <c r="Q536" s="1302"/>
      <c r="R536" s="1302"/>
      <c r="S536" s="1302"/>
      <c r="T536" s="1302"/>
      <c r="U536" s="1302"/>
      <c r="V536" s="1302"/>
      <c r="W536" s="1302"/>
      <c r="X536" s="1302"/>
      <c r="Y536" s="1302"/>
      <c r="Z536" s="1302"/>
    </row>
    <row r="537" spans="1:26" ht="19.5" hidden="1">
      <c r="A537" s="1299"/>
      <c r="B537" s="1300"/>
      <c r="C537" s="1301"/>
      <c r="D537" s="1301" t="s">
        <v>228</v>
      </c>
      <c r="E537" s="1301"/>
      <c r="F537" s="1301"/>
      <c r="G537" s="1016"/>
      <c r="H537" s="622" t="s">
        <v>35</v>
      </c>
      <c r="I537" s="1019">
        <f ca="1">IFERROR(__xludf.DUMMYFUNCTION("IMPORTRANGE(""https://docs.google.com/spreadsheets/d/1QqKyyYR6Q21VydFLVH3TRQUabQu_ym0Zz7PgGX0-kHA/edit?usp=sharing"",""แผน!GU77"")"),0)</f>
        <v>0</v>
      </c>
      <c r="J537" s="1019">
        <f ca="1">IF(AND(J538=I538,J539=I539,J540=I540,J541=I541),I537,0)</f>
        <v>0</v>
      </c>
      <c r="K537" s="881">
        <f t="shared" ref="K537:K543" ca="1" si="234">IF(I537&gt;0,J537*100/I537,0)</f>
        <v>0</v>
      </c>
      <c r="L537" s="881"/>
      <c r="M537" s="881"/>
      <c r="N537" s="881"/>
      <c r="O537" s="881"/>
      <c r="P537" s="881"/>
      <c r="Q537" s="1381"/>
      <c r="R537" s="1381"/>
      <c r="S537" s="1381"/>
      <c r="T537" s="1381"/>
      <c r="U537" s="1381"/>
      <c r="V537" s="1381"/>
      <c r="W537" s="1381"/>
      <c r="X537" s="1381"/>
      <c r="Y537" s="1381"/>
      <c r="Z537" s="1381"/>
    </row>
    <row r="538" spans="1:26" ht="18.75" hidden="1">
      <c r="A538" s="1299"/>
      <c r="B538" s="1300"/>
      <c r="C538" s="1301"/>
      <c r="D538" s="1301"/>
      <c r="E538" s="1301" t="s">
        <v>229</v>
      </c>
      <c r="F538" s="1301"/>
      <c r="G538" s="1016"/>
      <c r="H538" s="622" t="s">
        <v>35</v>
      </c>
      <c r="I538" s="880">
        <f ca="1">IFERROR(__xludf.DUMMYFUNCTION("IMPORTRANGE(""https://docs.google.com/spreadsheets/d/1QqKyyYR6Q21VydFLVH3TRQUabQu_ym0Zz7PgGX0-kHA/edit?usp=sharing"",""แผน!GV77"")"),0)</f>
        <v>0</v>
      </c>
      <c r="J538" s="1012">
        <v>0</v>
      </c>
      <c r="K538" s="881">
        <f t="shared" ca="1" si="234"/>
        <v>0</v>
      </c>
      <c r="L538" s="881"/>
      <c r="M538" s="881"/>
      <c r="N538" s="881"/>
      <c r="O538" s="881"/>
      <c r="P538" s="881"/>
      <c r="Q538" s="1381"/>
      <c r="R538" s="1381"/>
      <c r="S538" s="1381"/>
      <c r="T538" s="1381"/>
      <c r="U538" s="1381"/>
      <c r="V538" s="1381"/>
      <c r="W538" s="1381"/>
      <c r="X538" s="1381"/>
      <c r="Y538" s="1381"/>
      <c r="Z538" s="1381"/>
    </row>
    <row r="539" spans="1:26" ht="18.75" hidden="1">
      <c r="A539" s="1299"/>
      <c r="B539" s="1300"/>
      <c r="C539" s="1301"/>
      <c r="D539" s="1301"/>
      <c r="E539" s="1301" t="s">
        <v>230</v>
      </c>
      <c r="F539" s="1301"/>
      <c r="G539" s="1016"/>
      <c r="H539" s="622" t="s">
        <v>35</v>
      </c>
      <c r="I539" s="880">
        <f ca="1">IFERROR(__xludf.DUMMYFUNCTION("IMPORTRANGE(""https://docs.google.com/spreadsheets/d/1QqKyyYR6Q21VydFLVH3TRQUabQu_ym0Zz7PgGX0-kHA/edit?usp=sharing"",""แผน!GW77"")"),0)</f>
        <v>0</v>
      </c>
      <c r="J539" s="1012">
        <v>0</v>
      </c>
      <c r="K539" s="881">
        <f t="shared" ca="1" si="234"/>
        <v>0</v>
      </c>
      <c r="L539" s="881"/>
      <c r="M539" s="881"/>
      <c r="N539" s="881"/>
      <c r="O539" s="881"/>
      <c r="P539" s="881"/>
      <c r="Q539" s="1381"/>
      <c r="R539" s="1381"/>
      <c r="S539" s="1381"/>
      <c r="T539" s="1381"/>
      <c r="U539" s="1381"/>
      <c r="V539" s="1381"/>
      <c r="W539" s="1381"/>
      <c r="X539" s="1381"/>
      <c r="Y539" s="1381"/>
      <c r="Z539" s="1381"/>
    </row>
    <row r="540" spans="1:26" ht="18.75" hidden="1">
      <c r="A540" s="1299"/>
      <c r="B540" s="1300"/>
      <c r="C540" s="1301"/>
      <c r="D540" s="1301"/>
      <c r="E540" s="1301" t="s">
        <v>231</v>
      </c>
      <c r="F540" s="1301"/>
      <c r="G540" s="1016"/>
      <c r="H540" s="622" t="s">
        <v>35</v>
      </c>
      <c r="I540" s="880">
        <f ca="1">IFERROR(__xludf.DUMMYFUNCTION("IMPORTRANGE(""https://docs.google.com/spreadsheets/d/1QqKyyYR6Q21VydFLVH3TRQUabQu_ym0Zz7PgGX0-kHA/edit?usp=sharing"",""แผน!GX77"")"),0)</f>
        <v>0</v>
      </c>
      <c r="J540" s="1012">
        <v>0</v>
      </c>
      <c r="K540" s="881">
        <f t="shared" ca="1" si="234"/>
        <v>0</v>
      </c>
      <c r="L540" s="881"/>
      <c r="M540" s="881"/>
      <c r="N540" s="881"/>
      <c r="O540" s="881"/>
      <c r="P540" s="881"/>
      <c r="Q540" s="1381"/>
      <c r="R540" s="1381"/>
      <c r="S540" s="1381"/>
      <c r="T540" s="1381"/>
      <c r="U540" s="1381"/>
      <c r="V540" s="1381"/>
      <c r="W540" s="1381"/>
      <c r="X540" s="1381"/>
      <c r="Y540" s="1381"/>
      <c r="Z540" s="1381"/>
    </row>
    <row r="541" spans="1:26" ht="18.75" hidden="1">
      <c r="A541" s="1299"/>
      <c r="B541" s="1300"/>
      <c r="C541" s="1301"/>
      <c r="D541" s="1301"/>
      <c r="E541" s="1382" t="s">
        <v>232</v>
      </c>
      <c r="F541" s="1301"/>
      <c r="G541" s="1016"/>
      <c r="H541" s="622" t="s">
        <v>35</v>
      </c>
      <c r="I541" s="880">
        <f ca="1">IFERROR(__xludf.DUMMYFUNCTION("IMPORTRANGE(""https://docs.google.com/spreadsheets/d/1QqKyyYR6Q21VydFLVH3TRQUabQu_ym0Zz7PgGX0-kHA/edit?usp=sharing"",""แผน!GY77"")"),0)</f>
        <v>0</v>
      </c>
      <c r="J541" s="1012">
        <v>0</v>
      </c>
      <c r="K541" s="881">
        <f t="shared" ca="1" si="234"/>
        <v>0</v>
      </c>
      <c r="L541" s="881"/>
      <c r="M541" s="881"/>
      <c r="N541" s="881"/>
      <c r="O541" s="881"/>
      <c r="P541" s="881"/>
      <c r="Q541" s="1381"/>
      <c r="R541" s="1381"/>
      <c r="S541" s="1381"/>
      <c r="T541" s="1381"/>
      <c r="U541" s="1381"/>
      <c r="V541" s="1381"/>
      <c r="W541" s="1381"/>
      <c r="X541" s="1381"/>
      <c r="Y541" s="1381"/>
      <c r="Z541" s="1381"/>
    </row>
    <row r="542" spans="1:26" ht="18.75" hidden="1">
      <c r="A542" s="1299"/>
      <c r="B542" s="1300"/>
      <c r="C542" s="1301"/>
      <c r="D542" s="1301" t="s">
        <v>59</v>
      </c>
      <c r="E542" s="1301"/>
      <c r="F542" s="1301"/>
      <c r="G542" s="1016"/>
      <c r="H542" s="622" t="s">
        <v>35</v>
      </c>
      <c r="I542" s="880">
        <f ca="1">IFERROR(__xludf.DUMMYFUNCTION("IMPORTRANGE(""https://docs.google.com/spreadsheets/d/1QqKyyYR6Q21VydFLVH3TRQUabQu_ym0Zz7PgGX0-kHA/edit?usp=sharing"",""แผน!GZ77"")"),0)</f>
        <v>0</v>
      </c>
      <c r="J542" s="1012">
        <v>0</v>
      </c>
      <c r="K542" s="881">
        <f t="shared" ca="1" si="234"/>
        <v>0</v>
      </c>
      <c r="L542" s="881"/>
      <c r="M542" s="881"/>
      <c r="N542" s="881"/>
      <c r="O542" s="881"/>
      <c r="P542" s="881"/>
      <c r="Q542" s="1381"/>
      <c r="R542" s="1381"/>
      <c r="S542" s="1381"/>
      <c r="T542" s="1381"/>
      <c r="U542" s="1381"/>
      <c r="V542" s="1381"/>
      <c r="W542" s="1381"/>
      <c r="X542" s="1381"/>
      <c r="Y542" s="1381"/>
      <c r="Z542" s="1381"/>
    </row>
    <row r="543" spans="1:26" ht="19.5">
      <c r="A543" s="662">
        <v>6</v>
      </c>
      <c r="B543" s="1383" t="s">
        <v>233</v>
      </c>
      <c r="C543" s="1369"/>
      <c r="D543" s="1369"/>
      <c r="E543" s="1369"/>
      <c r="F543" s="1369"/>
      <c r="G543" s="1370"/>
      <c r="H543" s="684" t="s">
        <v>46</v>
      </c>
      <c r="I543" s="1384">
        <f t="shared" ref="I543:J543" ca="1" si="235">I559</f>
        <v>28605</v>
      </c>
      <c r="J543" s="1384">
        <f t="shared" si="235"/>
        <v>0</v>
      </c>
      <c r="K543" s="1385">
        <f t="shared" ca="1" si="234"/>
        <v>0</v>
      </c>
      <c r="L543" s="1372"/>
      <c r="M543" s="1372"/>
      <c r="N543" s="1372"/>
      <c r="O543" s="1372"/>
      <c r="P543" s="1372"/>
      <c r="Q543" s="1302"/>
      <c r="R543" s="1302"/>
      <c r="S543" s="1302"/>
      <c r="T543" s="1302"/>
      <c r="U543" s="1302"/>
      <c r="V543" s="1302"/>
      <c r="W543" s="1302"/>
      <c r="X543" s="1302"/>
      <c r="Y543" s="1302"/>
      <c r="Z543" s="1302"/>
    </row>
    <row r="544" spans="1:26" ht="19.5">
      <c r="A544" s="1386"/>
      <c r="B544" s="1387"/>
      <c r="C544" s="1387" t="s">
        <v>16</v>
      </c>
      <c r="D544" s="1388" t="s">
        <v>17</v>
      </c>
      <c r="E544" s="846"/>
      <c r="F544" s="846"/>
      <c r="G544" s="1389"/>
      <c r="H544" s="275" t="s">
        <v>12</v>
      </c>
      <c r="I544" s="990"/>
      <c r="J544" s="990"/>
      <c r="K544" s="991"/>
      <c r="L544" s="992">
        <f t="shared" ref="L544:N544" ca="1" si="236">L545+L546</f>
        <v>348529</v>
      </c>
      <c r="M544" s="992">
        <f t="shared" ca="1" si="236"/>
        <v>348529</v>
      </c>
      <c r="N544" s="992">
        <f t="shared" si="236"/>
        <v>145580.41999999998</v>
      </c>
      <c r="O544" s="992">
        <f t="shared" ref="O544:O549" ca="1" si="237">IF(L544&gt;0,N544*100/L544,0)</f>
        <v>41.769958884339601</v>
      </c>
      <c r="P544" s="992">
        <f t="shared" ref="P544:P549" ca="1" si="238">IF(M544&gt;0,N544*100/M544,0)</f>
        <v>41.769958884339601</v>
      </c>
      <c r="Q544" s="1302"/>
      <c r="R544" s="1302"/>
      <c r="S544" s="1302"/>
      <c r="T544" s="1302"/>
      <c r="U544" s="1302"/>
      <c r="V544" s="1302"/>
      <c r="W544" s="1302"/>
      <c r="X544" s="1302"/>
      <c r="Y544" s="1302"/>
      <c r="Z544" s="1302"/>
    </row>
    <row r="545" spans="1:26" ht="18.75" hidden="1">
      <c r="A545" s="1319"/>
      <c r="B545" s="1320"/>
      <c r="C545" s="1320"/>
      <c r="D545" s="1320"/>
      <c r="E545" s="1320" t="s">
        <v>185</v>
      </c>
      <c r="F545" s="1320"/>
      <c r="G545" s="1322"/>
      <c r="H545" s="165" t="s">
        <v>12</v>
      </c>
      <c r="I545" s="886"/>
      <c r="J545" s="886"/>
      <c r="K545" s="887"/>
      <c r="L545" s="887">
        <f t="shared" ref="L545:L546" si="239">L548+L556</f>
        <v>0</v>
      </c>
      <c r="M545" s="887">
        <f t="shared" ref="M545:N546" si="240">M548+M555</f>
        <v>0</v>
      </c>
      <c r="N545" s="887">
        <f t="shared" si="240"/>
        <v>0</v>
      </c>
      <c r="O545" s="887">
        <f t="shared" si="237"/>
        <v>0</v>
      </c>
      <c r="P545" s="887">
        <f t="shared" si="238"/>
        <v>0</v>
      </c>
      <c r="Q545" s="1323"/>
      <c r="R545" s="1323"/>
      <c r="S545" s="1323"/>
      <c r="T545" s="1323"/>
      <c r="U545" s="1323"/>
      <c r="V545" s="1323"/>
      <c r="W545" s="1323"/>
      <c r="X545" s="1323"/>
      <c r="Y545" s="1323"/>
      <c r="Z545" s="1323"/>
    </row>
    <row r="546" spans="1:26" ht="18.75" hidden="1">
      <c r="A546" s="1319"/>
      <c r="B546" s="1324"/>
      <c r="C546" s="1320"/>
      <c r="D546" s="1320"/>
      <c r="E546" s="1320" t="s">
        <v>186</v>
      </c>
      <c r="F546" s="1320"/>
      <c r="G546" s="1322"/>
      <c r="H546" s="165" t="s">
        <v>12</v>
      </c>
      <c r="I546" s="886"/>
      <c r="J546" s="886"/>
      <c r="K546" s="887"/>
      <c r="L546" s="887">
        <f t="shared" ca="1" si="239"/>
        <v>348529</v>
      </c>
      <c r="M546" s="887">
        <f t="shared" ca="1" si="240"/>
        <v>348529</v>
      </c>
      <c r="N546" s="887">
        <f t="shared" si="240"/>
        <v>145580.41999999998</v>
      </c>
      <c r="O546" s="887">
        <f t="shared" ca="1" si="237"/>
        <v>41.769958884339601</v>
      </c>
      <c r="P546" s="887">
        <f t="shared" ca="1" si="238"/>
        <v>41.769958884339601</v>
      </c>
      <c r="Q546" s="1323"/>
      <c r="R546" s="1323"/>
      <c r="S546" s="1323"/>
      <c r="T546" s="1323"/>
      <c r="U546" s="1323"/>
      <c r="V546" s="1323"/>
      <c r="W546" s="1323"/>
      <c r="X546" s="1323"/>
      <c r="Y546" s="1323"/>
      <c r="Z546" s="1323"/>
    </row>
    <row r="547" spans="1:26" ht="18.75">
      <c r="A547" s="1317"/>
      <c r="B547" s="1300"/>
      <c r="C547" s="1301"/>
      <c r="D547" s="1325" t="s">
        <v>20</v>
      </c>
      <c r="E547" s="1301"/>
      <c r="F547" s="1301"/>
      <c r="G547" s="1016"/>
      <c r="H547" s="161" t="s">
        <v>12</v>
      </c>
      <c r="I547" s="997"/>
      <c r="J547" s="997"/>
      <c r="K547" s="998"/>
      <c r="L547" s="881">
        <f t="shared" ref="L547:N547" ca="1" si="241">L548+L549</f>
        <v>348529</v>
      </c>
      <c r="M547" s="881">
        <f t="shared" ca="1" si="241"/>
        <v>348529</v>
      </c>
      <c r="N547" s="881">
        <f t="shared" si="241"/>
        <v>145580.41999999998</v>
      </c>
      <c r="O547" s="881">
        <f t="shared" ca="1" si="237"/>
        <v>41.769958884339601</v>
      </c>
      <c r="P547" s="881">
        <f t="shared" ca="1" si="238"/>
        <v>41.769958884339601</v>
      </c>
      <c r="Q547" s="1302"/>
      <c r="R547" s="1302"/>
      <c r="S547" s="1302"/>
      <c r="T547" s="1302"/>
      <c r="U547" s="1302"/>
      <c r="V547" s="1302"/>
      <c r="W547" s="1302"/>
      <c r="X547" s="1302"/>
      <c r="Y547" s="1302"/>
      <c r="Z547" s="1302"/>
    </row>
    <row r="548" spans="1:26" ht="18.75" hidden="1">
      <c r="A548" s="1319"/>
      <c r="B548" s="1324"/>
      <c r="C548" s="1320"/>
      <c r="D548" s="1321"/>
      <c r="E548" s="1320" t="s">
        <v>185</v>
      </c>
      <c r="F548" s="1320"/>
      <c r="G548" s="1322"/>
      <c r="H548" s="165" t="s">
        <v>12</v>
      </c>
      <c r="I548" s="886"/>
      <c r="J548" s="886"/>
      <c r="K548" s="887"/>
      <c r="L548" s="887">
        <v>0</v>
      </c>
      <c r="M548" s="887">
        <v>0</v>
      </c>
      <c r="N548" s="887">
        <v>0</v>
      </c>
      <c r="O548" s="887">
        <f t="shared" si="237"/>
        <v>0</v>
      </c>
      <c r="P548" s="887">
        <f t="shared" si="238"/>
        <v>0</v>
      </c>
      <c r="Q548" s="1323"/>
      <c r="R548" s="1323"/>
      <c r="S548" s="1323"/>
      <c r="T548" s="1323"/>
      <c r="U548" s="1323"/>
      <c r="V548" s="1323"/>
      <c r="W548" s="1323"/>
      <c r="X548" s="1323"/>
      <c r="Y548" s="1323"/>
      <c r="Z548" s="1323"/>
    </row>
    <row r="549" spans="1:26" ht="18.75" hidden="1">
      <c r="A549" s="1319"/>
      <c r="B549" s="1324"/>
      <c r="C549" s="1320"/>
      <c r="D549" s="1321"/>
      <c r="E549" s="1320" t="s">
        <v>186</v>
      </c>
      <c r="F549" s="1320"/>
      <c r="G549" s="1322"/>
      <c r="H549" s="165" t="s">
        <v>12</v>
      </c>
      <c r="I549" s="886"/>
      <c r="J549" s="886"/>
      <c r="K549" s="887"/>
      <c r="L549" s="887">
        <f ca="1">IFERROR(__xludf.DUMMYFUNCTION("IMPORTRANGE(""https://docs.google.com/spreadsheets/d/1QqKyyYR6Q21VydFLVH3TRQUabQu_ym0Zz7PgGX0-kHA/edit?usp=sharing"",""แผน!HB77"")"),348529)</f>
        <v>348529</v>
      </c>
      <c r="M549" s="887">
        <f ca="1">L549</f>
        <v>348529</v>
      </c>
      <c r="N549" s="887">
        <f>N550+N551+N552+N553+N554</f>
        <v>145580.41999999998</v>
      </c>
      <c r="O549" s="887">
        <f t="shared" ca="1" si="237"/>
        <v>41.769958884339601</v>
      </c>
      <c r="P549" s="887">
        <f t="shared" ca="1" si="238"/>
        <v>41.769958884339601</v>
      </c>
      <c r="Q549" s="1323"/>
      <c r="R549" s="1323"/>
      <c r="S549" s="1323"/>
      <c r="T549" s="1323"/>
      <c r="U549" s="1323"/>
      <c r="V549" s="1323"/>
      <c r="W549" s="1323"/>
      <c r="X549" s="1323"/>
      <c r="Y549" s="1323"/>
      <c r="Z549" s="1323"/>
    </row>
    <row r="550" spans="1:26" ht="18.75">
      <c r="A550" s="1299"/>
      <c r="B550" s="1300"/>
      <c r="C550" s="1301"/>
      <c r="D550" s="1301"/>
      <c r="E550" s="1301"/>
      <c r="F550" s="1301" t="s">
        <v>187</v>
      </c>
      <c r="G550" s="1016"/>
      <c r="H550" s="161" t="s">
        <v>12</v>
      </c>
      <c r="I550" s="880"/>
      <c r="J550" s="880"/>
      <c r="K550" s="881"/>
      <c r="L550" s="881"/>
      <c r="M550" s="881"/>
      <c r="N550" s="1085">
        <v>0</v>
      </c>
      <c r="O550" s="881"/>
      <c r="P550" s="881"/>
      <c r="Q550" s="1302"/>
      <c r="R550" s="1302"/>
      <c r="S550" s="1302"/>
      <c r="T550" s="1302"/>
      <c r="U550" s="1302"/>
      <c r="V550" s="1302"/>
      <c r="W550" s="1302"/>
      <c r="X550" s="1302"/>
      <c r="Y550" s="1302"/>
      <c r="Z550" s="1302"/>
    </row>
    <row r="551" spans="1:26" ht="18.75">
      <c r="A551" s="1299"/>
      <c r="B551" s="1300"/>
      <c r="C551" s="1300"/>
      <c r="D551" s="1300"/>
      <c r="E551" s="1301"/>
      <c r="F551" s="1301" t="s">
        <v>188</v>
      </c>
      <c r="G551" s="1016"/>
      <c r="H551" s="161" t="s">
        <v>12</v>
      </c>
      <c r="I551" s="880"/>
      <c r="J551" s="880"/>
      <c r="K551" s="881"/>
      <c r="L551" s="881"/>
      <c r="M551" s="881"/>
      <c r="N551" s="1085">
        <v>0</v>
      </c>
      <c r="O551" s="881"/>
      <c r="P551" s="881"/>
      <c r="Q551" s="1302"/>
      <c r="R551" s="1302"/>
      <c r="S551" s="1302"/>
      <c r="T551" s="1302"/>
      <c r="U551" s="1302"/>
      <c r="V551" s="1302"/>
      <c r="W551" s="1302"/>
      <c r="X551" s="1302"/>
      <c r="Y551" s="1302"/>
      <c r="Z551" s="1302"/>
    </row>
    <row r="552" spans="1:26" ht="18.75">
      <c r="A552" s="1299"/>
      <c r="B552" s="1300"/>
      <c r="C552" s="1301"/>
      <c r="D552" s="1301"/>
      <c r="E552" s="1301"/>
      <c r="F552" s="1301" t="s">
        <v>189</v>
      </c>
      <c r="G552" s="1016"/>
      <c r="H552" s="161" t="s">
        <v>12</v>
      </c>
      <c r="I552" s="880"/>
      <c r="J552" s="880"/>
      <c r="K552" s="881"/>
      <c r="L552" s="881"/>
      <c r="M552" s="881"/>
      <c r="N552" s="1085">
        <v>65000</v>
      </c>
      <c r="O552" s="881"/>
      <c r="P552" s="881"/>
      <c r="Q552" s="1302"/>
      <c r="R552" s="1302"/>
      <c r="S552" s="1302"/>
      <c r="T552" s="1302"/>
      <c r="U552" s="1302"/>
      <c r="V552" s="1302"/>
      <c r="W552" s="1302"/>
      <c r="X552" s="1302"/>
      <c r="Y552" s="1302"/>
      <c r="Z552" s="1302"/>
    </row>
    <row r="553" spans="1:26" ht="18.75">
      <c r="A553" s="1299"/>
      <c r="B553" s="1300"/>
      <c r="C553" s="1300"/>
      <c r="D553" s="1300"/>
      <c r="E553" s="1301"/>
      <c r="F553" s="1301" t="s">
        <v>190</v>
      </c>
      <c r="G553" s="1016"/>
      <c r="H553" s="161" t="s">
        <v>12</v>
      </c>
      <c r="I553" s="880"/>
      <c r="J553" s="880"/>
      <c r="K553" s="881"/>
      <c r="L553" s="881"/>
      <c r="M553" s="881"/>
      <c r="N553" s="1085">
        <f>1200+28045+3750+33051.28+3660+10874.14</f>
        <v>80580.42</v>
      </c>
      <c r="O553" s="881"/>
      <c r="P553" s="881"/>
      <c r="Q553" s="1302"/>
      <c r="R553" s="1302"/>
      <c r="S553" s="1302"/>
      <c r="T553" s="1302"/>
      <c r="U553" s="1302"/>
      <c r="V553" s="1302"/>
      <c r="W553" s="1302"/>
      <c r="X553" s="1302"/>
      <c r="Y553" s="1302"/>
      <c r="Z553" s="1302"/>
    </row>
    <row r="554" spans="1:26" ht="18.75">
      <c r="A554" s="1299"/>
      <c r="B554" s="1300"/>
      <c r="C554" s="1300"/>
      <c r="D554" s="1300"/>
      <c r="E554" s="1301"/>
      <c r="F554" s="1301" t="s">
        <v>234</v>
      </c>
      <c r="G554" s="1016"/>
      <c r="H554" s="161" t="s">
        <v>12</v>
      </c>
      <c r="I554" s="880"/>
      <c r="J554" s="880"/>
      <c r="K554" s="881"/>
      <c r="L554" s="881"/>
      <c r="M554" s="881"/>
      <c r="N554" s="1085">
        <v>0</v>
      </c>
      <c r="O554" s="881"/>
      <c r="P554" s="881"/>
      <c r="Q554" s="1302"/>
      <c r="R554" s="1302"/>
      <c r="S554" s="1302"/>
      <c r="T554" s="1302"/>
      <c r="U554" s="1302"/>
      <c r="V554" s="1302"/>
      <c r="W554" s="1302"/>
      <c r="X554" s="1302"/>
      <c r="Y554" s="1302"/>
      <c r="Z554" s="1302"/>
    </row>
    <row r="555" spans="1:26" ht="18.75">
      <c r="A555" s="1317"/>
      <c r="B555" s="1300"/>
      <c r="C555" s="1300"/>
      <c r="D555" s="1325" t="s">
        <v>21</v>
      </c>
      <c r="E555" s="1301"/>
      <c r="F555" s="1301"/>
      <c r="G555" s="1016"/>
      <c r="H555" s="168" t="s">
        <v>12</v>
      </c>
      <c r="I555" s="997"/>
      <c r="J555" s="997"/>
      <c r="K555" s="998"/>
      <c r="L555" s="881">
        <f t="shared" ref="L555:N555" ca="1" si="242">L556+L557</f>
        <v>0</v>
      </c>
      <c r="M555" s="881">
        <f t="shared" si="242"/>
        <v>0</v>
      </c>
      <c r="N555" s="881">
        <f t="shared" si="242"/>
        <v>0</v>
      </c>
      <c r="O555" s="881">
        <f t="shared" ref="O555:O557" ca="1" si="243">IF(L555&gt;0,N555*100/L555,0)</f>
        <v>0</v>
      </c>
      <c r="P555" s="881">
        <f t="shared" ref="P555:P557" si="244">IF(M555&gt;0,N555*100/M555,0)</f>
        <v>0</v>
      </c>
      <c r="Q555" s="1302"/>
      <c r="R555" s="1302"/>
      <c r="S555" s="1302"/>
      <c r="T555" s="1302"/>
      <c r="U555" s="1302"/>
      <c r="V555" s="1302"/>
      <c r="W555" s="1302"/>
      <c r="X555" s="1302"/>
      <c r="Y555" s="1302"/>
      <c r="Z555" s="1302"/>
    </row>
    <row r="556" spans="1:26" ht="18.75" hidden="1">
      <c r="A556" s="1319"/>
      <c r="B556" s="1324"/>
      <c r="C556" s="1324"/>
      <c r="D556" s="1320"/>
      <c r="E556" s="1320" t="s">
        <v>18</v>
      </c>
      <c r="F556" s="1320"/>
      <c r="G556" s="1322"/>
      <c r="H556" s="165" t="s">
        <v>12</v>
      </c>
      <c r="I556" s="1000"/>
      <c r="J556" s="1000"/>
      <c r="K556" s="1001"/>
      <c r="L556" s="887">
        <v>0</v>
      </c>
      <c r="M556" s="887">
        <v>0</v>
      </c>
      <c r="N556" s="887">
        <v>0</v>
      </c>
      <c r="O556" s="887">
        <f t="shared" si="243"/>
        <v>0</v>
      </c>
      <c r="P556" s="887">
        <f t="shared" si="244"/>
        <v>0</v>
      </c>
      <c r="Q556" s="1323"/>
      <c r="R556" s="1323"/>
      <c r="S556" s="1323"/>
      <c r="T556" s="1323"/>
      <c r="U556" s="1323"/>
      <c r="V556" s="1323"/>
      <c r="W556" s="1323"/>
      <c r="X556" s="1323"/>
      <c r="Y556" s="1323"/>
      <c r="Z556" s="1323"/>
    </row>
    <row r="557" spans="1:26" ht="18.75" hidden="1">
      <c r="A557" s="1319"/>
      <c r="B557" s="1324"/>
      <c r="C557" s="1324"/>
      <c r="D557" s="1320"/>
      <c r="E557" s="1320" t="s">
        <v>19</v>
      </c>
      <c r="F557" s="1320"/>
      <c r="G557" s="1322"/>
      <c r="H557" s="169" t="s">
        <v>12</v>
      </c>
      <c r="I557" s="1000"/>
      <c r="J557" s="1000"/>
      <c r="K557" s="1001"/>
      <c r="L557" s="887">
        <f ca="1">IFERROR(__xludf.DUMMYFUNCTION("IMPORTRANGE(""https://docs.google.com/spreadsheets/d/1QqKyyYR6Q21VydFLVH3TRQUabQu_ym0Zz7PgGX0-kHA/edit?usp=sharing"",""แผน!HF77"")"),0)</f>
        <v>0</v>
      </c>
      <c r="M557" s="887">
        <v>0</v>
      </c>
      <c r="N557" s="887">
        <v>0</v>
      </c>
      <c r="O557" s="887">
        <f t="shared" ca="1" si="243"/>
        <v>0</v>
      </c>
      <c r="P557" s="887">
        <f t="shared" si="244"/>
        <v>0</v>
      </c>
      <c r="Q557" s="1323"/>
      <c r="R557" s="1323"/>
      <c r="S557" s="1323"/>
      <c r="T557" s="1323"/>
      <c r="U557" s="1323"/>
      <c r="V557" s="1323"/>
      <c r="W557" s="1323"/>
      <c r="X557" s="1323"/>
      <c r="Y557" s="1323"/>
      <c r="Z557" s="1323"/>
    </row>
    <row r="558" spans="1:26" ht="19.5">
      <c r="A558" s="1326"/>
      <c r="B558" s="1327"/>
      <c r="C558" s="1300" t="s">
        <v>16</v>
      </c>
      <c r="D558" s="1380" t="s">
        <v>38</v>
      </c>
      <c r="E558" s="1330"/>
      <c r="F558" s="1330"/>
      <c r="G558" s="1331"/>
      <c r="H558" s="1007"/>
      <c r="I558" s="997"/>
      <c r="J558" s="997"/>
      <c r="K558" s="998"/>
      <c r="L558" s="998"/>
      <c r="M558" s="998"/>
      <c r="N558" s="998"/>
      <c r="O558" s="998"/>
      <c r="P558" s="998"/>
      <c r="Q558" s="1302"/>
      <c r="R558" s="1302"/>
      <c r="S558" s="1302"/>
      <c r="T558" s="1302"/>
      <c r="U558" s="1302"/>
      <c r="V558" s="1302"/>
      <c r="W558" s="1302"/>
      <c r="X558" s="1302"/>
      <c r="Y558" s="1302"/>
      <c r="Z558" s="1302"/>
    </row>
    <row r="559" spans="1:26" ht="19.5">
      <c r="A559" s="1390"/>
      <c r="B559" s="1391" t="s">
        <v>235</v>
      </c>
      <c r="C559" s="1392"/>
      <c r="D559" s="1392"/>
      <c r="E559" s="1375"/>
      <c r="F559" s="1375"/>
      <c r="G559" s="1376"/>
      <c r="H559" s="693" t="s">
        <v>46</v>
      </c>
      <c r="I559" s="1377">
        <f t="shared" ref="I559:J559" ca="1" si="245">I576</f>
        <v>28605</v>
      </c>
      <c r="J559" s="1377">
        <f t="shared" si="245"/>
        <v>0</v>
      </c>
      <c r="K559" s="1378">
        <f t="shared" ref="K559:K561" ca="1" si="246">IF(I559&gt;0,J559*100/I559,0)</f>
        <v>0</v>
      </c>
      <c r="L559" s="1379"/>
      <c r="M559" s="1379"/>
      <c r="N559" s="1379"/>
      <c r="O559" s="1379"/>
      <c r="P559" s="1379"/>
      <c r="Q559" s="1302"/>
      <c r="R559" s="1302"/>
      <c r="S559" s="1302"/>
      <c r="T559" s="1302"/>
      <c r="U559" s="1302"/>
      <c r="V559" s="1302"/>
      <c r="W559" s="1302"/>
      <c r="X559" s="1302"/>
      <c r="Y559" s="1302"/>
      <c r="Z559" s="1302"/>
    </row>
    <row r="560" spans="1:26" ht="19.5">
      <c r="A560" s="1326"/>
      <c r="B560" s="1327"/>
      <c r="C560" s="1336" t="s">
        <v>236</v>
      </c>
      <c r="D560" s="1327"/>
      <c r="E560" s="1014"/>
      <c r="F560" s="1014"/>
      <c r="G560" s="1007"/>
      <c r="H560" s="765" t="s">
        <v>46</v>
      </c>
      <c r="I560" s="1018">
        <f ca="1">IFERROR(__xludf.DUMMYFUNCTION("IMPORTRANGE(""https://docs.google.com/spreadsheets/d/1QqKyyYR6Q21VydFLVH3TRQUabQu_ym0Zz7PgGX0-kHA/edit?usp=sharing"",""แผน!HH77"")"),28605)</f>
        <v>28605</v>
      </c>
      <c r="J560" s="1018">
        <f t="shared" ref="J560:J561" si="247">J562+J564+J566</f>
        <v>28605.34</v>
      </c>
      <c r="K560" s="1162">
        <f t="shared" ca="1" si="246"/>
        <v>100.00118860339101</v>
      </c>
      <c r="L560" s="998"/>
      <c r="M560" s="998"/>
      <c r="N560" s="998"/>
      <c r="O560" s="998"/>
      <c r="P560" s="998"/>
      <c r="Q560" s="1302"/>
      <c r="R560" s="1302"/>
      <c r="S560" s="1302"/>
      <c r="T560" s="1302"/>
      <c r="U560" s="1302"/>
      <c r="V560" s="1302"/>
      <c r="W560" s="1302"/>
      <c r="X560" s="1302"/>
      <c r="Y560" s="1302"/>
      <c r="Z560" s="1302"/>
    </row>
    <row r="561" spans="1:26" ht="19.5">
      <c r="A561" s="1326"/>
      <c r="B561" s="1327"/>
      <c r="C561" s="1327"/>
      <c r="D561" s="1014"/>
      <c r="E561" s="1014"/>
      <c r="F561" s="1014"/>
      <c r="G561" s="1007"/>
      <c r="H561" s="765" t="s">
        <v>34</v>
      </c>
      <c r="I561" s="1018">
        <f ca="1">IFERROR(__xludf.DUMMYFUNCTION("IMPORTRANGE(""https://docs.google.com/spreadsheets/d/1QqKyyYR6Q21VydFLVH3TRQUabQu_ym0Zz7PgGX0-kHA/edit?usp=sharing"",""แผน!HG77"")"),3927)</f>
        <v>3927</v>
      </c>
      <c r="J561" s="1018">
        <f t="shared" si="247"/>
        <v>3927</v>
      </c>
      <c r="K561" s="1162">
        <f t="shared" ca="1" si="246"/>
        <v>100</v>
      </c>
      <c r="L561" s="998"/>
      <c r="M561" s="998"/>
      <c r="N561" s="998"/>
      <c r="O561" s="998"/>
      <c r="P561" s="998"/>
      <c r="Q561" s="1302"/>
      <c r="R561" s="1302"/>
      <c r="S561" s="1302"/>
      <c r="T561" s="1302"/>
      <c r="U561" s="1302"/>
      <c r="V561" s="1302"/>
      <c r="W561" s="1302"/>
      <c r="X561" s="1302"/>
      <c r="Y561" s="1302"/>
      <c r="Z561" s="1302"/>
    </row>
    <row r="562" spans="1:26" ht="18.75">
      <c r="A562" s="1326"/>
      <c r="B562" s="1327"/>
      <c r="C562" s="1327"/>
      <c r="D562" s="1014" t="s">
        <v>237</v>
      </c>
      <c r="E562" s="1014"/>
      <c r="F562" s="1014"/>
      <c r="G562" s="1007"/>
      <c r="H562" s="762" t="s">
        <v>46</v>
      </c>
      <c r="I562" s="997"/>
      <c r="J562" s="1012">
        <v>24700</v>
      </c>
      <c r="K562" s="998"/>
      <c r="L562" s="998"/>
      <c r="M562" s="998"/>
      <c r="N562" s="998"/>
      <c r="O562" s="998"/>
      <c r="P562" s="998"/>
      <c r="Q562" s="1302"/>
      <c r="R562" s="1302"/>
      <c r="S562" s="1302"/>
      <c r="T562" s="1302"/>
      <c r="U562" s="1302"/>
      <c r="V562" s="1302"/>
      <c r="W562" s="1302"/>
      <c r="X562" s="1302"/>
      <c r="Y562" s="1302"/>
      <c r="Z562" s="1302"/>
    </row>
    <row r="563" spans="1:26" ht="18.75">
      <c r="A563" s="1326"/>
      <c r="B563" s="1327"/>
      <c r="C563" s="1327"/>
      <c r="D563" s="1327"/>
      <c r="E563" s="1014"/>
      <c r="F563" s="1014"/>
      <c r="G563" s="1007"/>
      <c r="H563" s="762" t="s">
        <v>34</v>
      </c>
      <c r="I563" s="997"/>
      <c r="J563" s="1012">
        <v>3423</v>
      </c>
      <c r="K563" s="998"/>
      <c r="L563" s="998"/>
      <c r="M563" s="998"/>
      <c r="N563" s="998"/>
      <c r="O563" s="998"/>
      <c r="P563" s="998"/>
      <c r="Q563" s="1302"/>
      <c r="R563" s="1302"/>
      <c r="S563" s="1302"/>
      <c r="T563" s="1302"/>
      <c r="U563" s="1302"/>
      <c r="V563" s="1302"/>
      <c r="W563" s="1302"/>
      <c r="X563" s="1302"/>
      <c r="Y563" s="1302"/>
      <c r="Z563" s="1302"/>
    </row>
    <row r="564" spans="1:26" ht="18.75">
      <c r="A564" s="1326"/>
      <c r="B564" s="1327"/>
      <c r="C564" s="1327"/>
      <c r="D564" s="1014" t="s">
        <v>238</v>
      </c>
      <c r="E564" s="1014"/>
      <c r="F564" s="1014"/>
      <c r="G564" s="1007"/>
      <c r="H564" s="762" t="s">
        <v>46</v>
      </c>
      <c r="I564" s="997"/>
      <c r="J564" s="1012">
        <v>2580</v>
      </c>
      <c r="K564" s="998"/>
      <c r="L564" s="998"/>
      <c r="M564" s="998"/>
      <c r="N564" s="998"/>
      <c r="O564" s="998"/>
      <c r="P564" s="998"/>
      <c r="Q564" s="1302"/>
      <c r="R564" s="1302"/>
      <c r="S564" s="1302"/>
      <c r="T564" s="1302"/>
      <c r="U564" s="1302"/>
      <c r="V564" s="1302"/>
      <c r="W564" s="1302"/>
      <c r="X564" s="1302"/>
      <c r="Y564" s="1302"/>
      <c r="Z564" s="1302"/>
    </row>
    <row r="565" spans="1:26" ht="18.75">
      <c r="A565" s="1326"/>
      <c r="B565" s="1327"/>
      <c r="C565" s="1327"/>
      <c r="D565" s="1014"/>
      <c r="E565" s="1014"/>
      <c r="F565" s="1014"/>
      <c r="G565" s="1007"/>
      <c r="H565" s="762" t="s">
        <v>34</v>
      </c>
      <c r="I565" s="997"/>
      <c r="J565" s="1012">
        <v>343</v>
      </c>
      <c r="K565" s="998"/>
      <c r="L565" s="998"/>
      <c r="M565" s="998"/>
      <c r="N565" s="998"/>
      <c r="O565" s="998"/>
      <c r="P565" s="998"/>
      <c r="Q565" s="1302"/>
      <c r="R565" s="1302"/>
      <c r="S565" s="1302"/>
      <c r="T565" s="1302"/>
      <c r="U565" s="1302"/>
      <c r="V565" s="1302"/>
      <c r="W565" s="1302"/>
      <c r="X565" s="1302"/>
      <c r="Y565" s="1302"/>
      <c r="Z565" s="1302"/>
    </row>
    <row r="566" spans="1:26" ht="18.75">
      <c r="A566" s="1326"/>
      <c r="B566" s="1327"/>
      <c r="C566" s="1327"/>
      <c r="D566" s="1014" t="s">
        <v>239</v>
      </c>
      <c r="E566" s="1014"/>
      <c r="F566" s="1014"/>
      <c r="G566" s="1007"/>
      <c r="H566" s="762" t="s">
        <v>46</v>
      </c>
      <c r="I566" s="997"/>
      <c r="J566" s="1012">
        <v>1325.34</v>
      </c>
      <c r="K566" s="998"/>
      <c r="L566" s="998"/>
      <c r="M566" s="998"/>
      <c r="N566" s="998"/>
      <c r="O566" s="998"/>
      <c r="P566" s="998"/>
      <c r="Q566" s="1302"/>
      <c r="R566" s="1302"/>
      <c r="S566" s="1302"/>
      <c r="T566" s="1302"/>
      <c r="U566" s="1302"/>
      <c r="V566" s="1302"/>
      <c r="W566" s="1302"/>
      <c r="X566" s="1302"/>
      <c r="Y566" s="1302"/>
      <c r="Z566" s="1302"/>
    </row>
    <row r="567" spans="1:26" ht="18.75">
      <c r="A567" s="1326"/>
      <c r="B567" s="1327"/>
      <c r="C567" s="1327"/>
      <c r="D567" s="1014"/>
      <c r="E567" s="1014"/>
      <c r="F567" s="1014"/>
      <c r="G567" s="1007"/>
      <c r="H567" s="762" t="s">
        <v>34</v>
      </c>
      <c r="I567" s="997"/>
      <c r="J567" s="1012">
        <v>161</v>
      </c>
      <c r="K567" s="998"/>
      <c r="L567" s="998"/>
      <c r="M567" s="998"/>
      <c r="N567" s="998"/>
      <c r="O567" s="998"/>
      <c r="P567" s="998"/>
      <c r="Q567" s="1302"/>
      <c r="R567" s="1302"/>
      <c r="S567" s="1302"/>
      <c r="T567" s="1302"/>
      <c r="U567" s="1302"/>
      <c r="V567" s="1302"/>
      <c r="W567" s="1302"/>
      <c r="X567" s="1302"/>
      <c r="Y567" s="1302"/>
      <c r="Z567" s="1302"/>
    </row>
    <row r="568" spans="1:26" ht="19.5">
      <c r="A568" s="1326"/>
      <c r="B568" s="1327"/>
      <c r="C568" s="1336" t="s">
        <v>240</v>
      </c>
      <c r="D568" s="1014"/>
      <c r="E568" s="1014"/>
      <c r="F568" s="1014"/>
      <c r="G568" s="1007"/>
      <c r="H568" s="765" t="s">
        <v>46</v>
      </c>
      <c r="I568" s="1018">
        <f ca="1">IFERROR(__xludf.DUMMYFUNCTION("IMPORTRANGE(""https://docs.google.com/spreadsheets/d/1QqKyyYR6Q21VydFLVH3TRQUabQu_ym0Zz7PgGX0-kHA/edit?usp=sharing"",""แผน!HH77"")"),28605)</f>
        <v>28605</v>
      </c>
      <c r="J568" s="1019">
        <f t="shared" ref="J568:J569" si="248">J570+J572+J574</f>
        <v>28605</v>
      </c>
      <c r="K568" s="1162">
        <f t="shared" ref="K568:K569" ca="1" si="249">IF(I568&gt;0,J568*100/I568,0)</f>
        <v>100</v>
      </c>
      <c r="L568" s="998"/>
      <c r="M568" s="998"/>
      <c r="N568" s="998"/>
      <c r="O568" s="998"/>
      <c r="P568" s="998"/>
      <c r="Q568" s="1302"/>
      <c r="R568" s="1302"/>
      <c r="S568" s="1302"/>
      <c r="T568" s="1302"/>
      <c r="U568" s="1302"/>
      <c r="V568" s="1302"/>
      <c r="W568" s="1302"/>
      <c r="X568" s="1302"/>
      <c r="Y568" s="1302"/>
      <c r="Z568" s="1302"/>
    </row>
    <row r="569" spans="1:26" ht="19.5">
      <c r="A569" s="1326"/>
      <c r="B569" s="1327"/>
      <c r="C569" s="1327"/>
      <c r="D569" s="1327"/>
      <c r="E569" s="1014"/>
      <c r="F569" s="1014"/>
      <c r="G569" s="1007"/>
      <c r="H569" s="765" t="s">
        <v>34</v>
      </c>
      <c r="I569" s="1018">
        <f ca="1">IFERROR(__xludf.DUMMYFUNCTION("IMPORTRANGE(""https://docs.google.com/spreadsheets/d/1QqKyyYR6Q21VydFLVH3TRQUabQu_ym0Zz7PgGX0-kHA/edit?usp=sharing"",""แผน!HG77"")"),3927)</f>
        <v>3927</v>
      </c>
      <c r="J569" s="1019">
        <f t="shared" si="248"/>
        <v>3927</v>
      </c>
      <c r="K569" s="1162">
        <f t="shared" ca="1" si="249"/>
        <v>100</v>
      </c>
      <c r="L569" s="998"/>
      <c r="M569" s="998"/>
      <c r="N569" s="998"/>
      <c r="O569" s="998"/>
      <c r="P569" s="998"/>
      <c r="Q569" s="1302"/>
      <c r="R569" s="1302"/>
      <c r="S569" s="1302"/>
      <c r="T569" s="1302"/>
      <c r="U569" s="1302"/>
      <c r="V569" s="1302"/>
      <c r="W569" s="1302"/>
      <c r="X569" s="1302"/>
      <c r="Y569" s="1302"/>
      <c r="Z569" s="1302"/>
    </row>
    <row r="570" spans="1:26" ht="18.75">
      <c r="A570" s="1326"/>
      <c r="B570" s="1327"/>
      <c r="C570" s="1327"/>
      <c r="D570" s="1014" t="s">
        <v>241</v>
      </c>
      <c r="E570" s="1327"/>
      <c r="F570" s="1014"/>
      <c r="G570" s="1007"/>
      <c r="H570" s="762" t="s">
        <v>46</v>
      </c>
      <c r="I570" s="997"/>
      <c r="J570" s="1012">
        <v>24700</v>
      </c>
      <c r="K570" s="998"/>
      <c r="L570" s="998"/>
      <c r="M570" s="998"/>
      <c r="N570" s="998"/>
      <c r="O570" s="998"/>
      <c r="P570" s="998"/>
      <c r="Q570" s="1302"/>
      <c r="R570" s="1302"/>
      <c r="S570" s="1302"/>
      <c r="T570" s="1302"/>
      <c r="U570" s="1302"/>
      <c r="V570" s="1302"/>
      <c r="W570" s="1302"/>
      <c r="X570" s="1302"/>
      <c r="Y570" s="1302"/>
      <c r="Z570" s="1302"/>
    </row>
    <row r="571" spans="1:26" ht="18.75">
      <c r="A571" s="1326"/>
      <c r="B571" s="1327"/>
      <c r="C571" s="1327"/>
      <c r="D571" s="1327"/>
      <c r="E571" s="1014"/>
      <c r="F571" s="1014"/>
      <c r="G571" s="1007"/>
      <c r="H571" s="762" t="s">
        <v>34</v>
      </c>
      <c r="I571" s="997"/>
      <c r="J571" s="1012">
        <v>3423</v>
      </c>
      <c r="K571" s="998"/>
      <c r="L571" s="998"/>
      <c r="M571" s="998"/>
      <c r="N571" s="998"/>
      <c r="O571" s="998"/>
      <c r="P571" s="998"/>
      <c r="Q571" s="1302"/>
      <c r="R571" s="1302"/>
      <c r="S571" s="1302"/>
      <c r="T571" s="1302"/>
      <c r="U571" s="1302"/>
      <c r="V571" s="1302"/>
      <c r="W571" s="1302"/>
      <c r="X571" s="1302"/>
      <c r="Y571" s="1302"/>
      <c r="Z571" s="1302"/>
    </row>
    <row r="572" spans="1:26" ht="18.75">
      <c r="A572" s="1326"/>
      <c r="B572" s="1327"/>
      <c r="C572" s="1327"/>
      <c r="D572" s="1014" t="s">
        <v>242</v>
      </c>
      <c r="E572" s="1014"/>
      <c r="F572" s="1014"/>
      <c r="G572" s="1007"/>
      <c r="H572" s="762" t="s">
        <v>46</v>
      </c>
      <c r="I572" s="997"/>
      <c r="J572" s="1012">
        <v>2580</v>
      </c>
      <c r="K572" s="998"/>
      <c r="L572" s="998"/>
      <c r="M572" s="998"/>
      <c r="N572" s="998"/>
      <c r="O572" s="998"/>
      <c r="P572" s="998"/>
      <c r="Q572" s="1302"/>
      <c r="R572" s="1302"/>
      <c r="S572" s="1302"/>
      <c r="T572" s="1302"/>
      <c r="U572" s="1302"/>
      <c r="V572" s="1302"/>
      <c r="W572" s="1302"/>
      <c r="X572" s="1302"/>
      <c r="Y572" s="1302"/>
      <c r="Z572" s="1302"/>
    </row>
    <row r="573" spans="1:26" ht="18.75">
      <c r="A573" s="1326"/>
      <c r="B573" s="1327"/>
      <c r="C573" s="1327"/>
      <c r="D573" s="1014"/>
      <c r="E573" s="1014"/>
      <c r="F573" s="1014"/>
      <c r="G573" s="1007"/>
      <c r="H573" s="762" t="s">
        <v>34</v>
      </c>
      <c r="I573" s="997"/>
      <c r="J573" s="1012">
        <v>343</v>
      </c>
      <c r="K573" s="998"/>
      <c r="L573" s="998"/>
      <c r="M573" s="998"/>
      <c r="N573" s="998"/>
      <c r="O573" s="998"/>
      <c r="P573" s="998"/>
      <c r="Q573" s="1302"/>
      <c r="R573" s="1302"/>
      <c r="S573" s="1302"/>
      <c r="T573" s="1302"/>
      <c r="U573" s="1302"/>
      <c r="V573" s="1302"/>
      <c r="W573" s="1302"/>
      <c r="X573" s="1302"/>
      <c r="Y573" s="1302"/>
      <c r="Z573" s="1302"/>
    </row>
    <row r="574" spans="1:26" ht="18.75">
      <c r="A574" s="1326"/>
      <c r="B574" s="1327"/>
      <c r="C574" s="1327"/>
      <c r="D574" s="1014" t="s">
        <v>243</v>
      </c>
      <c r="E574" s="1014"/>
      <c r="F574" s="1014"/>
      <c r="G574" s="1007"/>
      <c r="H574" s="762" t="s">
        <v>46</v>
      </c>
      <c r="I574" s="997"/>
      <c r="J574" s="1012">
        <v>1325</v>
      </c>
      <c r="K574" s="998"/>
      <c r="L574" s="998"/>
      <c r="M574" s="998"/>
      <c r="N574" s="998"/>
      <c r="O574" s="998"/>
      <c r="P574" s="998"/>
      <c r="Q574" s="1302"/>
      <c r="R574" s="1302"/>
      <c r="S574" s="1302"/>
      <c r="T574" s="1302"/>
      <c r="U574" s="1302"/>
      <c r="V574" s="1302"/>
      <c r="W574" s="1302"/>
      <c r="X574" s="1302"/>
      <c r="Y574" s="1302"/>
      <c r="Z574" s="1302"/>
    </row>
    <row r="575" spans="1:26" ht="18.75">
      <c r="A575" s="1326"/>
      <c r="B575" s="1327"/>
      <c r="C575" s="1327"/>
      <c r="D575" s="1327"/>
      <c r="E575" s="1014"/>
      <c r="F575" s="1014"/>
      <c r="G575" s="1007"/>
      <c r="H575" s="762" t="s">
        <v>34</v>
      </c>
      <c r="I575" s="997"/>
      <c r="J575" s="1012">
        <v>161</v>
      </c>
      <c r="K575" s="998"/>
      <c r="L575" s="998"/>
      <c r="M575" s="998"/>
      <c r="N575" s="998"/>
      <c r="O575" s="998"/>
      <c r="P575" s="998"/>
      <c r="Q575" s="1302"/>
      <c r="R575" s="1302"/>
      <c r="S575" s="1302"/>
      <c r="T575" s="1302"/>
      <c r="U575" s="1302"/>
      <c r="V575" s="1302"/>
      <c r="W575" s="1302"/>
      <c r="X575" s="1302"/>
      <c r="Y575" s="1302"/>
      <c r="Z575" s="1302"/>
    </row>
    <row r="576" spans="1:26" ht="19.5">
      <c r="A576" s="1326"/>
      <c r="B576" s="1327"/>
      <c r="C576" s="1336" t="s">
        <v>244</v>
      </c>
      <c r="D576" s="1327"/>
      <c r="E576" s="1327"/>
      <c r="F576" s="1014"/>
      <c r="G576" s="1007"/>
      <c r="H576" s="765" t="s">
        <v>46</v>
      </c>
      <c r="I576" s="1018">
        <f ca="1">IFERROR(__xludf.DUMMYFUNCTION("IMPORTRANGE(""https://docs.google.com/spreadsheets/d/1QqKyyYR6Q21VydFLVH3TRQUabQu_ym0Zz7PgGX0-kHA/edit?usp=sharing"",""แผน!HH77"")"),28605)</f>
        <v>28605</v>
      </c>
      <c r="J576" s="1019">
        <f t="shared" ref="J576:J577" si="250">J578+J580+J582+J588+J590</f>
        <v>0</v>
      </c>
      <c r="K576" s="1162">
        <f t="shared" ref="K576:K577" ca="1" si="251">IF(I576&gt;0,J576*100/I576,0)</f>
        <v>0</v>
      </c>
      <c r="L576" s="998"/>
      <c r="M576" s="998"/>
      <c r="N576" s="998"/>
      <c r="O576" s="998"/>
      <c r="P576" s="998"/>
      <c r="Q576" s="1302"/>
      <c r="R576" s="1302"/>
      <c r="S576" s="1302"/>
      <c r="T576" s="1302"/>
      <c r="U576" s="1302"/>
      <c r="V576" s="1302"/>
      <c r="W576" s="1302"/>
      <c r="X576" s="1302"/>
      <c r="Y576" s="1302"/>
      <c r="Z576" s="1302"/>
    </row>
    <row r="577" spans="1:26" ht="19.5">
      <c r="A577" s="1326"/>
      <c r="B577" s="1327"/>
      <c r="C577" s="1327"/>
      <c r="D577" s="1327"/>
      <c r="E577" s="1014"/>
      <c r="F577" s="1014"/>
      <c r="G577" s="1007"/>
      <c r="H577" s="765" t="s">
        <v>34</v>
      </c>
      <c r="I577" s="1018">
        <f ca="1">IFERROR(__xludf.DUMMYFUNCTION("IMPORTRANGE(""https://docs.google.com/spreadsheets/d/1QqKyyYR6Q21VydFLVH3TRQUabQu_ym0Zz7PgGX0-kHA/edit?usp=sharing"",""แผน!HG77"")"),3927)</f>
        <v>3927</v>
      </c>
      <c r="J577" s="1019">
        <f t="shared" si="250"/>
        <v>0</v>
      </c>
      <c r="K577" s="1162">
        <f t="shared" ca="1" si="251"/>
        <v>0</v>
      </c>
      <c r="L577" s="998"/>
      <c r="M577" s="998"/>
      <c r="N577" s="998"/>
      <c r="O577" s="998"/>
      <c r="P577" s="998"/>
      <c r="Q577" s="1302"/>
      <c r="R577" s="1302"/>
      <c r="S577" s="1302"/>
      <c r="T577" s="1302"/>
      <c r="U577" s="1302"/>
      <c r="V577" s="1302"/>
      <c r="W577" s="1302"/>
      <c r="X577" s="1302"/>
      <c r="Y577" s="1302"/>
      <c r="Z577" s="1302"/>
    </row>
    <row r="578" spans="1:26" ht="18.75">
      <c r="A578" s="1326"/>
      <c r="B578" s="1327"/>
      <c r="C578" s="1327"/>
      <c r="D578" s="1014" t="s">
        <v>245</v>
      </c>
      <c r="E578" s="1014"/>
      <c r="F578" s="1014"/>
      <c r="G578" s="1007"/>
      <c r="H578" s="762" t="s">
        <v>46</v>
      </c>
      <c r="I578" s="997"/>
      <c r="J578" s="1012">
        <v>0</v>
      </c>
      <c r="K578" s="998"/>
      <c r="L578" s="998"/>
      <c r="M578" s="998"/>
      <c r="N578" s="998"/>
      <c r="O578" s="998"/>
      <c r="P578" s="998"/>
      <c r="Q578" s="1302"/>
      <c r="R578" s="1302"/>
      <c r="S578" s="1302"/>
      <c r="T578" s="1302"/>
      <c r="U578" s="1302"/>
      <c r="V578" s="1302"/>
      <c r="W578" s="1302"/>
      <c r="X578" s="1302"/>
      <c r="Y578" s="1302"/>
      <c r="Z578" s="1302"/>
    </row>
    <row r="579" spans="1:26" ht="18.75">
      <c r="A579" s="1326"/>
      <c r="B579" s="1327"/>
      <c r="C579" s="1327"/>
      <c r="D579" s="1327"/>
      <c r="E579" s="1014"/>
      <c r="F579" s="1014"/>
      <c r="G579" s="1007"/>
      <c r="H579" s="762" t="s">
        <v>34</v>
      </c>
      <c r="I579" s="997"/>
      <c r="J579" s="1012">
        <v>0</v>
      </c>
      <c r="K579" s="998"/>
      <c r="L579" s="998"/>
      <c r="M579" s="998"/>
      <c r="N579" s="998"/>
      <c r="O579" s="998"/>
      <c r="P579" s="998"/>
      <c r="Q579" s="1302"/>
      <c r="R579" s="1302"/>
      <c r="S579" s="1302"/>
      <c r="T579" s="1302"/>
      <c r="U579" s="1302"/>
      <c r="V579" s="1302"/>
      <c r="W579" s="1302"/>
      <c r="X579" s="1302"/>
      <c r="Y579" s="1302"/>
      <c r="Z579" s="1302"/>
    </row>
    <row r="580" spans="1:26" ht="18.75">
      <c r="A580" s="1326"/>
      <c r="B580" s="1327"/>
      <c r="C580" s="1327"/>
      <c r="D580" s="1014" t="s">
        <v>246</v>
      </c>
      <c r="E580" s="1014"/>
      <c r="F580" s="1014"/>
      <c r="G580" s="1007"/>
      <c r="H580" s="762" t="s">
        <v>46</v>
      </c>
      <c r="I580" s="997"/>
      <c r="J580" s="1012">
        <v>0</v>
      </c>
      <c r="K580" s="998"/>
      <c r="L580" s="998"/>
      <c r="M580" s="998"/>
      <c r="N580" s="998"/>
      <c r="O580" s="998"/>
      <c r="P580" s="998"/>
      <c r="Q580" s="1302"/>
      <c r="R580" s="1302"/>
      <c r="S580" s="1302"/>
      <c r="T580" s="1302"/>
      <c r="U580" s="1302"/>
      <c r="V580" s="1302"/>
      <c r="W580" s="1302"/>
      <c r="X580" s="1302"/>
      <c r="Y580" s="1302"/>
      <c r="Z580" s="1302"/>
    </row>
    <row r="581" spans="1:26" ht="18.75">
      <c r="A581" s="1326"/>
      <c r="B581" s="1327"/>
      <c r="C581" s="1327"/>
      <c r="D581" s="1327"/>
      <c r="E581" s="1014"/>
      <c r="F581" s="1014"/>
      <c r="G581" s="1007"/>
      <c r="H581" s="762" t="s">
        <v>34</v>
      </c>
      <c r="I581" s="997"/>
      <c r="J581" s="1012">
        <v>0</v>
      </c>
      <c r="K581" s="998"/>
      <c r="L581" s="998"/>
      <c r="M581" s="998"/>
      <c r="N581" s="998"/>
      <c r="O581" s="998"/>
      <c r="P581" s="998"/>
      <c r="Q581" s="1302"/>
      <c r="R581" s="1302"/>
      <c r="S581" s="1302"/>
      <c r="T581" s="1302"/>
      <c r="U581" s="1302"/>
      <c r="V581" s="1302"/>
      <c r="W581" s="1302"/>
      <c r="X581" s="1302"/>
      <c r="Y581" s="1302"/>
      <c r="Z581" s="1302"/>
    </row>
    <row r="582" spans="1:26" ht="19.5">
      <c r="A582" s="1326"/>
      <c r="B582" s="1327"/>
      <c r="C582" s="1327"/>
      <c r="D582" s="1014" t="s">
        <v>247</v>
      </c>
      <c r="E582" s="1014"/>
      <c r="F582" s="1014"/>
      <c r="G582" s="1007"/>
      <c r="H582" s="762" t="s">
        <v>46</v>
      </c>
      <c r="I582" s="997"/>
      <c r="J582" s="1019">
        <f t="shared" ref="J582:J583" si="252">J584+J586</f>
        <v>0</v>
      </c>
      <c r="K582" s="1162"/>
      <c r="L582" s="998"/>
      <c r="M582" s="998"/>
      <c r="N582" s="998"/>
      <c r="O582" s="998"/>
      <c r="P582" s="998"/>
      <c r="Q582" s="1302"/>
      <c r="R582" s="1302"/>
      <c r="S582" s="1302"/>
      <c r="T582" s="1302"/>
      <c r="U582" s="1302"/>
      <c r="V582" s="1302"/>
      <c r="W582" s="1302"/>
      <c r="X582" s="1302"/>
      <c r="Y582" s="1302"/>
      <c r="Z582" s="1302"/>
    </row>
    <row r="583" spans="1:26" ht="19.5">
      <c r="A583" s="1326"/>
      <c r="B583" s="1327"/>
      <c r="C583" s="1327"/>
      <c r="D583" s="1327"/>
      <c r="E583" s="1014"/>
      <c r="F583" s="1014"/>
      <c r="G583" s="1007"/>
      <c r="H583" s="762" t="s">
        <v>34</v>
      </c>
      <c r="I583" s="997"/>
      <c r="J583" s="1019">
        <f t="shared" si="252"/>
        <v>0</v>
      </c>
      <c r="K583" s="1162"/>
      <c r="L583" s="998"/>
      <c r="M583" s="998"/>
      <c r="N583" s="998"/>
      <c r="O583" s="998"/>
      <c r="P583" s="998"/>
      <c r="Q583" s="1302"/>
      <c r="R583" s="1302"/>
      <c r="S583" s="1302"/>
      <c r="T583" s="1302"/>
      <c r="U583" s="1302"/>
      <c r="V583" s="1302"/>
      <c r="W583" s="1302"/>
      <c r="X583" s="1302"/>
      <c r="Y583" s="1302"/>
      <c r="Z583" s="1302"/>
    </row>
    <row r="584" spans="1:26" ht="18.75">
      <c r="A584" s="1326"/>
      <c r="B584" s="1327"/>
      <c r="C584" s="1327"/>
      <c r="D584" s="1327"/>
      <c r="E584" s="1014" t="s">
        <v>248</v>
      </c>
      <c r="F584" s="1014"/>
      <c r="G584" s="1007"/>
      <c r="H584" s="762" t="s">
        <v>46</v>
      </c>
      <c r="I584" s="997"/>
      <c r="J584" s="1012">
        <v>0</v>
      </c>
      <c r="K584" s="998"/>
      <c r="L584" s="998"/>
      <c r="M584" s="998"/>
      <c r="N584" s="998"/>
      <c r="O584" s="998"/>
      <c r="P584" s="998"/>
      <c r="Q584" s="1302"/>
      <c r="R584" s="1302"/>
      <c r="S584" s="1302"/>
      <c r="T584" s="1302"/>
      <c r="U584" s="1302"/>
      <c r="V584" s="1302"/>
      <c r="W584" s="1302"/>
      <c r="X584" s="1302"/>
      <c r="Y584" s="1302"/>
      <c r="Z584" s="1302"/>
    </row>
    <row r="585" spans="1:26" ht="18.75">
      <c r="A585" s="1326"/>
      <c r="B585" s="1327"/>
      <c r="C585" s="1327"/>
      <c r="D585" s="1327"/>
      <c r="E585" s="1014"/>
      <c r="F585" s="1014"/>
      <c r="G585" s="1007"/>
      <c r="H585" s="762" t="s">
        <v>34</v>
      </c>
      <c r="I585" s="997"/>
      <c r="J585" s="1012">
        <v>0</v>
      </c>
      <c r="K585" s="998"/>
      <c r="L585" s="998"/>
      <c r="M585" s="998"/>
      <c r="N585" s="998"/>
      <c r="O585" s="998"/>
      <c r="P585" s="998"/>
      <c r="Q585" s="1302"/>
      <c r="R585" s="1302"/>
      <c r="S585" s="1302"/>
      <c r="T585" s="1302"/>
      <c r="U585" s="1302"/>
      <c r="V585" s="1302"/>
      <c r="W585" s="1302"/>
      <c r="X585" s="1302"/>
      <c r="Y585" s="1302"/>
      <c r="Z585" s="1302"/>
    </row>
    <row r="586" spans="1:26" ht="18.75">
      <c r="A586" s="1326"/>
      <c r="B586" s="1327"/>
      <c r="C586" s="1327"/>
      <c r="D586" s="1327"/>
      <c r="E586" s="1014" t="s">
        <v>249</v>
      </c>
      <c r="F586" s="1014"/>
      <c r="G586" s="1007"/>
      <c r="H586" s="762" t="s">
        <v>46</v>
      </c>
      <c r="I586" s="997"/>
      <c r="J586" s="1012">
        <v>0</v>
      </c>
      <c r="K586" s="998"/>
      <c r="L586" s="998"/>
      <c r="M586" s="998"/>
      <c r="N586" s="998"/>
      <c r="O586" s="998"/>
      <c r="P586" s="998"/>
      <c r="Q586" s="1302"/>
      <c r="R586" s="1302"/>
      <c r="S586" s="1302"/>
      <c r="T586" s="1302"/>
      <c r="U586" s="1302"/>
      <c r="V586" s="1302"/>
      <c r="W586" s="1302"/>
      <c r="X586" s="1302"/>
      <c r="Y586" s="1302"/>
      <c r="Z586" s="1302"/>
    </row>
    <row r="587" spans="1:26" ht="18.75">
      <c r="A587" s="1326"/>
      <c r="B587" s="1327"/>
      <c r="C587" s="1327"/>
      <c r="D587" s="1327"/>
      <c r="E587" s="1327"/>
      <c r="F587" s="1014"/>
      <c r="G587" s="1007"/>
      <c r="H587" s="762" t="s">
        <v>34</v>
      </c>
      <c r="I587" s="997"/>
      <c r="J587" s="1012">
        <v>0</v>
      </c>
      <c r="K587" s="998"/>
      <c r="L587" s="998"/>
      <c r="M587" s="998"/>
      <c r="N587" s="998"/>
      <c r="O587" s="998"/>
      <c r="P587" s="998"/>
      <c r="Q587" s="1302"/>
      <c r="R587" s="1302"/>
      <c r="S587" s="1302"/>
      <c r="T587" s="1302"/>
      <c r="U587" s="1302"/>
      <c r="V587" s="1302"/>
      <c r="W587" s="1302"/>
      <c r="X587" s="1302"/>
      <c r="Y587" s="1302"/>
      <c r="Z587" s="1302"/>
    </row>
    <row r="588" spans="1:26" ht="18.75">
      <c r="A588" s="1326"/>
      <c r="B588" s="1327"/>
      <c r="C588" s="1327"/>
      <c r="D588" s="1014" t="s">
        <v>250</v>
      </c>
      <c r="E588" s="1014"/>
      <c r="F588" s="1014"/>
      <c r="G588" s="1007"/>
      <c r="H588" s="762" t="s">
        <v>46</v>
      </c>
      <c r="I588" s="997"/>
      <c r="J588" s="1012">
        <v>0</v>
      </c>
      <c r="K588" s="998"/>
      <c r="L588" s="998"/>
      <c r="M588" s="998"/>
      <c r="N588" s="998"/>
      <c r="O588" s="998"/>
      <c r="P588" s="998"/>
      <c r="Q588" s="1302"/>
      <c r="R588" s="1302"/>
      <c r="S588" s="1302"/>
      <c r="T588" s="1302"/>
      <c r="U588" s="1302"/>
      <c r="V588" s="1302"/>
      <c r="W588" s="1302"/>
      <c r="X588" s="1302"/>
      <c r="Y588" s="1302"/>
      <c r="Z588" s="1302"/>
    </row>
    <row r="589" spans="1:26" ht="18.75">
      <c r="A589" s="1326"/>
      <c r="B589" s="1327"/>
      <c r="C589" s="1327"/>
      <c r="D589" s="1327"/>
      <c r="E589" s="1327"/>
      <c r="F589" s="1014"/>
      <c r="G589" s="1007"/>
      <c r="H589" s="762" t="s">
        <v>34</v>
      </c>
      <c r="I589" s="997"/>
      <c r="J589" s="1012">
        <v>0</v>
      </c>
      <c r="K589" s="998"/>
      <c r="L589" s="998"/>
      <c r="M589" s="998"/>
      <c r="N589" s="998"/>
      <c r="O589" s="998"/>
      <c r="P589" s="998"/>
      <c r="Q589" s="1302"/>
      <c r="R589" s="1302"/>
      <c r="S589" s="1302"/>
      <c r="T589" s="1302"/>
      <c r="U589" s="1302"/>
      <c r="V589" s="1302"/>
      <c r="W589" s="1302"/>
      <c r="X589" s="1302"/>
      <c r="Y589" s="1302"/>
      <c r="Z589" s="1302"/>
    </row>
    <row r="590" spans="1:26" ht="18.75">
      <c r="A590" s="1326"/>
      <c r="B590" s="1327"/>
      <c r="C590" s="1327"/>
      <c r="D590" s="1014" t="s">
        <v>251</v>
      </c>
      <c r="E590" s="1014"/>
      <c r="F590" s="1014"/>
      <c r="G590" s="1007"/>
      <c r="H590" s="762" t="s">
        <v>46</v>
      </c>
      <c r="I590" s="997"/>
      <c r="J590" s="1012">
        <v>0</v>
      </c>
      <c r="K590" s="998"/>
      <c r="L590" s="998"/>
      <c r="M590" s="998"/>
      <c r="N590" s="998"/>
      <c r="O590" s="998"/>
      <c r="P590" s="998"/>
      <c r="Q590" s="1302"/>
      <c r="R590" s="1302"/>
      <c r="S590" s="1302"/>
      <c r="T590" s="1302"/>
      <c r="U590" s="1302"/>
      <c r="V590" s="1302"/>
      <c r="W590" s="1302"/>
      <c r="X590" s="1302"/>
      <c r="Y590" s="1302"/>
      <c r="Z590" s="1302"/>
    </row>
    <row r="591" spans="1:26" ht="18.75">
      <c r="A591" s="1393"/>
      <c r="B591" s="1394"/>
      <c r="C591" s="1394"/>
      <c r="D591" s="1394"/>
      <c r="E591" s="1302"/>
      <c r="F591" s="1302"/>
      <c r="G591" s="1395"/>
      <c r="H591" s="697" t="s">
        <v>34</v>
      </c>
      <c r="I591" s="1396"/>
      <c r="J591" s="1397">
        <v>0</v>
      </c>
      <c r="K591" s="1398"/>
      <c r="L591" s="1398"/>
      <c r="M591" s="1398"/>
      <c r="N591" s="1398"/>
      <c r="O591" s="1398"/>
      <c r="P591" s="1398"/>
      <c r="Q591" s="1302"/>
      <c r="R591" s="1302"/>
      <c r="S591" s="1302"/>
      <c r="T591" s="1302"/>
      <c r="U591" s="1302"/>
      <c r="V591" s="1302"/>
      <c r="W591" s="1302"/>
      <c r="X591" s="1302"/>
      <c r="Y591" s="1302"/>
      <c r="Z591" s="1302"/>
    </row>
    <row r="592" spans="1:26" ht="19.5">
      <c r="A592" s="1390"/>
      <c r="B592" s="1391" t="s">
        <v>252</v>
      </c>
      <c r="C592" s="1392"/>
      <c r="D592" s="1392"/>
      <c r="E592" s="1375"/>
      <c r="F592" s="1375"/>
      <c r="G592" s="1376"/>
      <c r="H592" s="693" t="s">
        <v>46</v>
      </c>
      <c r="I592" s="1399">
        <f t="shared" ref="I592:J592" ca="1" si="253">I593</f>
        <v>1717.29</v>
      </c>
      <c r="J592" s="1377">
        <f t="shared" si="253"/>
        <v>0</v>
      </c>
      <c r="K592" s="1378">
        <f t="shared" ref="K592:K594" ca="1" si="254">IF(I592&gt;0,J592*100/I592,0)</f>
        <v>0</v>
      </c>
      <c r="L592" s="1379"/>
      <c r="M592" s="1379"/>
      <c r="N592" s="1379"/>
      <c r="O592" s="1379"/>
      <c r="P592" s="1379"/>
      <c r="Q592" s="1302"/>
      <c r="R592" s="1302"/>
      <c r="S592" s="1302"/>
      <c r="T592" s="1302"/>
      <c r="U592" s="1302"/>
      <c r="V592" s="1302"/>
      <c r="W592" s="1302"/>
      <c r="X592" s="1302"/>
      <c r="Y592" s="1302"/>
      <c r="Z592" s="1302"/>
    </row>
    <row r="593" spans="1:26" ht="19.5">
      <c r="A593" s="1326"/>
      <c r="B593" s="1327"/>
      <c r="C593" s="1336" t="s">
        <v>253</v>
      </c>
      <c r="D593" s="1327"/>
      <c r="E593" s="1327"/>
      <c r="F593" s="1014"/>
      <c r="G593" s="1007"/>
      <c r="H593" s="765" t="s">
        <v>46</v>
      </c>
      <c r="I593" s="1400">
        <f ca="1">IFERROR(__xludf.DUMMYFUNCTION("IMPORTRANGE(""https://docs.google.com/spreadsheets/d/1QqKyyYR6Q21VydFLVH3TRQUabQu_ym0Zz7PgGX0-kHA/edit?usp=sharing"",""แผน!HJ77"")"),1717.29)</f>
        <v>1717.29</v>
      </c>
      <c r="J593" s="1018">
        <f t="shared" ref="J593:J594" si="255">J595+J603+J609</f>
        <v>0</v>
      </c>
      <c r="K593" s="1162">
        <f t="shared" ca="1" si="254"/>
        <v>0</v>
      </c>
      <c r="L593" s="998"/>
      <c r="M593" s="998"/>
      <c r="N593" s="998"/>
      <c r="O593" s="998"/>
      <c r="P593" s="998"/>
      <c r="Q593" s="1302"/>
      <c r="R593" s="1302"/>
      <c r="S593" s="1302"/>
      <c r="T593" s="1302"/>
      <c r="U593" s="1302"/>
      <c r="V593" s="1302"/>
      <c r="W593" s="1302"/>
      <c r="X593" s="1302"/>
      <c r="Y593" s="1302"/>
      <c r="Z593" s="1302"/>
    </row>
    <row r="594" spans="1:26" ht="19.5">
      <c r="A594" s="1326"/>
      <c r="B594" s="1327"/>
      <c r="C594" s="1327"/>
      <c r="D594" s="1327"/>
      <c r="E594" s="1014"/>
      <c r="F594" s="1014"/>
      <c r="G594" s="1007"/>
      <c r="H594" s="765" t="s">
        <v>34</v>
      </c>
      <c r="I594" s="1018">
        <f ca="1">IFERROR(__xludf.DUMMYFUNCTION("IMPORTRANGE(""https://docs.google.com/spreadsheets/d/1QqKyyYR6Q21VydFLVH3TRQUabQu_ym0Zz7PgGX0-kHA/edit?usp=sharing"",""แผน!HI77"")"),137)</f>
        <v>137</v>
      </c>
      <c r="J594" s="1018">
        <f t="shared" si="255"/>
        <v>0</v>
      </c>
      <c r="K594" s="1162">
        <f t="shared" ca="1" si="254"/>
        <v>0</v>
      </c>
      <c r="L594" s="998"/>
      <c r="M594" s="998"/>
      <c r="N594" s="998"/>
      <c r="O594" s="998"/>
      <c r="P594" s="998"/>
      <c r="Q594" s="1302"/>
      <c r="R594" s="1302"/>
      <c r="S594" s="1302"/>
      <c r="T594" s="1302"/>
      <c r="U594" s="1302"/>
      <c r="V594" s="1302"/>
      <c r="W594" s="1302"/>
      <c r="X594" s="1302"/>
      <c r="Y594" s="1302"/>
      <c r="Z594" s="1302"/>
    </row>
    <row r="595" spans="1:26" ht="18.75">
      <c r="A595" s="1326"/>
      <c r="B595" s="1327"/>
      <c r="C595" s="1327" t="s">
        <v>254</v>
      </c>
      <c r="D595" s="1327"/>
      <c r="E595" s="1327"/>
      <c r="F595" s="1014"/>
      <c r="G595" s="1007"/>
      <c r="H595" s="762" t="s">
        <v>46</v>
      </c>
      <c r="I595" s="997"/>
      <c r="J595" s="997">
        <f t="shared" ref="J595:J596" si="256">J597+J599</f>
        <v>0</v>
      </c>
      <c r="K595" s="998"/>
      <c r="L595" s="998"/>
      <c r="M595" s="998"/>
      <c r="N595" s="998"/>
      <c r="O595" s="998"/>
      <c r="P595" s="998"/>
      <c r="Q595" s="1302"/>
      <c r="R595" s="1302"/>
      <c r="S595" s="1302"/>
      <c r="T595" s="1302"/>
      <c r="U595" s="1302"/>
      <c r="V595" s="1302"/>
      <c r="W595" s="1302"/>
      <c r="X595" s="1302"/>
      <c r="Y595" s="1302"/>
      <c r="Z595" s="1302"/>
    </row>
    <row r="596" spans="1:26" ht="18.75">
      <c r="A596" s="1326"/>
      <c r="B596" s="1327"/>
      <c r="C596" s="1327"/>
      <c r="D596" s="1327"/>
      <c r="E596" s="1014"/>
      <c r="F596" s="1014"/>
      <c r="G596" s="1007"/>
      <c r="H596" s="762" t="s">
        <v>34</v>
      </c>
      <c r="I596" s="997"/>
      <c r="J596" s="997">
        <f t="shared" si="256"/>
        <v>0</v>
      </c>
      <c r="K596" s="998"/>
      <c r="L596" s="998"/>
      <c r="M596" s="998"/>
      <c r="N596" s="998"/>
      <c r="O596" s="998"/>
      <c r="P596" s="998"/>
      <c r="Q596" s="1302"/>
      <c r="R596" s="1302"/>
      <c r="S596" s="1302"/>
      <c r="T596" s="1302"/>
      <c r="U596" s="1302"/>
      <c r="V596" s="1302"/>
      <c r="W596" s="1302"/>
      <c r="X596" s="1302"/>
      <c r="Y596" s="1302"/>
      <c r="Z596" s="1302"/>
    </row>
    <row r="597" spans="1:26" ht="18.75">
      <c r="A597" s="1326"/>
      <c r="B597" s="1327"/>
      <c r="C597" s="1327"/>
      <c r="D597" s="1069" t="s">
        <v>255</v>
      </c>
      <c r="E597" s="1014"/>
      <c r="F597" s="1014"/>
      <c r="G597" s="1007"/>
      <c r="H597" s="762" t="s">
        <v>46</v>
      </c>
      <c r="I597" s="997"/>
      <c r="J597" s="1012">
        <v>0</v>
      </c>
      <c r="K597" s="998"/>
      <c r="L597" s="998"/>
      <c r="M597" s="998"/>
      <c r="N597" s="998"/>
      <c r="O597" s="998"/>
      <c r="P597" s="998"/>
      <c r="Q597" s="1302"/>
      <c r="R597" s="1302"/>
      <c r="S597" s="1302"/>
      <c r="T597" s="1302"/>
      <c r="U597" s="1302"/>
      <c r="V597" s="1302"/>
      <c r="W597" s="1302"/>
      <c r="X597" s="1302"/>
      <c r="Y597" s="1302"/>
      <c r="Z597" s="1302"/>
    </row>
    <row r="598" spans="1:26" ht="18.75">
      <c r="A598" s="1326"/>
      <c r="B598" s="1327"/>
      <c r="C598" s="1327"/>
      <c r="D598" s="1327"/>
      <c r="E598" s="1014"/>
      <c r="F598" s="1014"/>
      <c r="G598" s="1007"/>
      <c r="H598" s="762" t="s">
        <v>34</v>
      </c>
      <c r="I598" s="880"/>
      <c r="J598" s="1012">
        <v>0</v>
      </c>
      <c r="K598" s="998"/>
      <c r="L598" s="998"/>
      <c r="M598" s="998"/>
      <c r="N598" s="998"/>
      <c r="O598" s="998"/>
      <c r="P598" s="998"/>
      <c r="Q598" s="1302"/>
      <c r="R598" s="1302"/>
      <c r="S598" s="1302"/>
      <c r="T598" s="1302"/>
      <c r="U598" s="1302"/>
      <c r="V598" s="1302"/>
      <c r="W598" s="1302"/>
      <c r="X598" s="1302"/>
      <c r="Y598" s="1302"/>
      <c r="Z598" s="1302"/>
    </row>
    <row r="599" spans="1:26" ht="18.75">
      <c r="A599" s="1326"/>
      <c r="B599" s="1327"/>
      <c r="C599" s="1327"/>
      <c r="D599" s="1069" t="s">
        <v>256</v>
      </c>
      <c r="E599" s="1014"/>
      <c r="F599" s="1014"/>
      <c r="G599" s="1007"/>
      <c r="H599" s="762" t="s">
        <v>46</v>
      </c>
      <c r="I599" s="880"/>
      <c r="J599" s="1012">
        <v>0</v>
      </c>
      <c r="K599" s="998"/>
      <c r="L599" s="998"/>
      <c r="M599" s="998"/>
      <c r="N599" s="998"/>
      <c r="O599" s="998"/>
      <c r="P599" s="998"/>
      <c r="Q599" s="1302"/>
      <c r="R599" s="1302"/>
      <c r="S599" s="1302"/>
      <c r="T599" s="1302"/>
      <c r="U599" s="1302"/>
      <c r="V599" s="1302"/>
      <c r="W599" s="1302"/>
      <c r="X599" s="1302"/>
      <c r="Y599" s="1302"/>
      <c r="Z599" s="1302"/>
    </row>
    <row r="600" spans="1:26" ht="18.75">
      <c r="A600" s="1326"/>
      <c r="B600" s="1327"/>
      <c r="C600" s="1327"/>
      <c r="D600" s="1327"/>
      <c r="E600" s="1014"/>
      <c r="F600" s="1014"/>
      <c r="G600" s="1007"/>
      <c r="H600" s="762" t="s">
        <v>34</v>
      </c>
      <c r="I600" s="880"/>
      <c r="J600" s="1012">
        <v>0</v>
      </c>
      <c r="K600" s="998"/>
      <c r="L600" s="998"/>
      <c r="M600" s="998"/>
      <c r="N600" s="998"/>
      <c r="O600" s="998"/>
      <c r="P600" s="998"/>
      <c r="Q600" s="1302"/>
      <c r="R600" s="1302"/>
      <c r="S600" s="1302"/>
      <c r="T600" s="1302"/>
      <c r="U600" s="1302"/>
      <c r="V600" s="1302"/>
      <c r="W600" s="1302"/>
      <c r="X600" s="1302"/>
      <c r="Y600" s="1302"/>
      <c r="Z600" s="1302"/>
    </row>
    <row r="601" spans="1:26" ht="18.75">
      <c r="A601" s="1326"/>
      <c r="B601" s="1327"/>
      <c r="C601" s="1327"/>
      <c r="D601" s="1069" t="s">
        <v>257</v>
      </c>
      <c r="E601" s="1014"/>
      <c r="F601" s="1014"/>
      <c r="G601" s="1007"/>
      <c r="H601" s="762" t="s">
        <v>46</v>
      </c>
      <c r="I601" s="880"/>
      <c r="J601" s="1012">
        <v>0</v>
      </c>
      <c r="K601" s="998"/>
      <c r="L601" s="998"/>
      <c r="M601" s="998"/>
      <c r="N601" s="998"/>
      <c r="O601" s="998"/>
      <c r="P601" s="998"/>
      <c r="Q601" s="1302"/>
      <c r="R601" s="1302"/>
      <c r="S601" s="1302"/>
      <c r="T601" s="1302"/>
      <c r="U601" s="1302"/>
      <c r="V601" s="1302"/>
      <c r="W601" s="1302"/>
      <c r="X601" s="1302"/>
      <c r="Y601" s="1302"/>
      <c r="Z601" s="1302"/>
    </row>
    <row r="602" spans="1:26" ht="18.75">
      <c r="A602" s="1326"/>
      <c r="B602" s="1327"/>
      <c r="C602" s="1327"/>
      <c r="D602" s="1327"/>
      <c r="E602" s="1014"/>
      <c r="F602" s="1014"/>
      <c r="G602" s="1007"/>
      <c r="H602" s="762" t="s">
        <v>34</v>
      </c>
      <c r="I602" s="880"/>
      <c r="J602" s="1012">
        <v>0</v>
      </c>
      <c r="K602" s="998"/>
      <c r="L602" s="998"/>
      <c r="M602" s="998"/>
      <c r="N602" s="998"/>
      <c r="O602" s="998"/>
      <c r="P602" s="998"/>
      <c r="Q602" s="1302"/>
      <c r="R602" s="1302"/>
      <c r="S602" s="1302"/>
      <c r="T602" s="1302"/>
      <c r="U602" s="1302"/>
      <c r="V602" s="1302"/>
      <c r="W602" s="1302"/>
      <c r="X602" s="1302"/>
      <c r="Y602" s="1302"/>
      <c r="Z602" s="1302"/>
    </row>
    <row r="603" spans="1:26" ht="18.75">
      <c r="A603" s="1326"/>
      <c r="B603" s="1327"/>
      <c r="C603" s="1401" t="s">
        <v>258</v>
      </c>
      <c r="D603" s="1327"/>
      <c r="E603" s="1327"/>
      <c r="F603" s="1014"/>
      <c r="G603" s="1007"/>
      <c r="H603" s="762" t="s">
        <v>46</v>
      </c>
      <c r="I603" s="880"/>
      <c r="J603" s="880">
        <f t="shared" ref="J603:J604" si="257">J605+J607</f>
        <v>0</v>
      </c>
      <c r="K603" s="998"/>
      <c r="L603" s="998"/>
      <c r="M603" s="998"/>
      <c r="N603" s="998"/>
      <c r="O603" s="998"/>
      <c r="P603" s="998"/>
      <c r="Q603" s="1302"/>
      <c r="R603" s="1302"/>
      <c r="S603" s="1302"/>
      <c r="T603" s="1302"/>
      <c r="U603" s="1302"/>
      <c r="V603" s="1302"/>
      <c r="W603" s="1302"/>
      <c r="X603" s="1302"/>
      <c r="Y603" s="1302"/>
      <c r="Z603" s="1302"/>
    </row>
    <row r="604" spans="1:26" ht="18.75">
      <c r="A604" s="1326"/>
      <c r="B604" s="1327"/>
      <c r="C604" s="1327"/>
      <c r="D604" s="1327"/>
      <c r="E604" s="1014"/>
      <c r="F604" s="1014"/>
      <c r="G604" s="1007"/>
      <c r="H604" s="762" t="s">
        <v>34</v>
      </c>
      <c r="I604" s="880"/>
      <c r="J604" s="880">
        <f t="shared" si="257"/>
        <v>0</v>
      </c>
      <c r="K604" s="998"/>
      <c r="L604" s="998"/>
      <c r="M604" s="998"/>
      <c r="N604" s="998"/>
      <c r="O604" s="998"/>
      <c r="P604" s="998"/>
      <c r="Q604" s="1302"/>
      <c r="R604" s="1302"/>
      <c r="S604" s="1302"/>
      <c r="T604" s="1302"/>
      <c r="U604" s="1302"/>
      <c r="V604" s="1302"/>
      <c r="W604" s="1302"/>
      <c r="X604" s="1302"/>
      <c r="Y604" s="1302"/>
      <c r="Z604" s="1302"/>
    </row>
    <row r="605" spans="1:26" ht="18.75">
      <c r="A605" s="1326"/>
      <c r="B605" s="1327"/>
      <c r="C605" s="1327"/>
      <c r="D605" s="1401" t="s">
        <v>259</v>
      </c>
      <c r="E605" s="1014"/>
      <c r="F605" s="1014"/>
      <c r="G605" s="1007"/>
      <c r="H605" s="762" t="s">
        <v>46</v>
      </c>
      <c r="I605" s="880"/>
      <c r="J605" s="1012">
        <v>0</v>
      </c>
      <c r="K605" s="998"/>
      <c r="L605" s="998"/>
      <c r="M605" s="998"/>
      <c r="N605" s="998"/>
      <c r="O605" s="998"/>
      <c r="P605" s="998"/>
      <c r="Q605" s="1302"/>
      <c r="R605" s="1302"/>
      <c r="S605" s="1302"/>
      <c r="T605" s="1302"/>
      <c r="U605" s="1302"/>
      <c r="V605" s="1302"/>
      <c r="W605" s="1302"/>
      <c r="X605" s="1302"/>
      <c r="Y605" s="1302"/>
      <c r="Z605" s="1302"/>
    </row>
    <row r="606" spans="1:26" ht="18.75">
      <c r="A606" s="1326"/>
      <c r="B606" s="1327"/>
      <c r="C606" s="1327"/>
      <c r="D606" s="1327"/>
      <c r="E606" s="1327"/>
      <c r="F606" s="1014"/>
      <c r="G606" s="1007"/>
      <c r="H606" s="762" t="s">
        <v>34</v>
      </c>
      <c r="I606" s="880"/>
      <c r="J606" s="1012">
        <v>0</v>
      </c>
      <c r="K606" s="998"/>
      <c r="L606" s="998"/>
      <c r="M606" s="998"/>
      <c r="N606" s="998"/>
      <c r="O606" s="998"/>
      <c r="P606" s="998"/>
      <c r="Q606" s="1302"/>
      <c r="R606" s="1302"/>
      <c r="S606" s="1302"/>
      <c r="T606" s="1302"/>
      <c r="U606" s="1302"/>
      <c r="V606" s="1302"/>
      <c r="W606" s="1302"/>
      <c r="X606" s="1302"/>
      <c r="Y606" s="1302"/>
      <c r="Z606" s="1302"/>
    </row>
    <row r="607" spans="1:26" ht="18.75">
      <c r="A607" s="1326"/>
      <c r="B607" s="1327"/>
      <c r="C607" s="1327"/>
      <c r="D607" s="1401" t="s">
        <v>260</v>
      </c>
      <c r="E607" s="1327"/>
      <c r="F607" s="1014"/>
      <c r="G607" s="1007"/>
      <c r="H607" s="762" t="s">
        <v>46</v>
      </c>
      <c r="I607" s="880"/>
      <c r="J607" s="1012">
        <v>0</v>
      </c>
      <c r="K607" s="998"/>
      <c r="L607" s="998"/>
      <c r="M607" s="998"/>
      <c r="N607" s="998"/>
      <c r="O607" s="998"/>
      <c r="P607" s="998"/>
      <c r="Q607" s="1302"/>
      <c r="R607" s="1302"/>
      <c r="S607" s="1302"/>
      <c r="T607" s="1302"/>
      <c r="U607" s="1302"/>
      <c r="V607" s="1302"/>
      <c r="W607" s="1302"/>
      <c r="X607" s="1302"/>
      <c r="Y607" s="1302"/>
      <c r="Z607" s="1302"/>
    </row>
    <row r="608" spans="1:26" ht="18.75">
      <c r="A608" s="1326"/>
      <c r="B608" s="1327"/>
      <c r="C608" s="1327"/>
      <c r="D608" s="1327"/>
      <c r="E608" s="1014"/>
      <c r="F608" s="1014"/>
      <c r="G608" s="1007"/>
      <c r="H608" s="762" t="s">
        <v>34</v>
      </c>
      <c r="I608" s="880"/>
      <c r="J608" s="1012">
        <v>0</v>
      </c>
      <c r="K608" s="998"/>
      <c r="L608" s="998"/>
      <c r="M608" s="998"/>
      <c r="N608" s="998"/>
      <c r="O608" s="998"/>
      <c r="P608" s="998"/>
      <c r="Q608" s="1302"/>
      <c r="R608" s="1302"/>
      <c r="S608" s="1302"/>
      <c r="T608" s="1302"/>
      <c r="U608" s="1302"/>
      <c r="V608" s="1302"/>
      <c r="W608" s="1302"/>
      <c r="X608" s="1302"/>
      <c r="Y608" s="1302"/>
      <c r="Z608" s="1302"/>
    </row>
    <row r="609" spans="1:26" ht="18.75">
      <c r="A609" s="1326"/>
      <c r="B609" s="1327"/>
      <c r="C609" s="1327" t="s">
        <v>261</v>
      </c>
      <c r="D609" s="1327"/>
      <c r="E609" s="1327"/>
      <c r="F609" s="1014"/>
      <c r="G609" s="1007"/>
      <c r="H609" s="762" t="s">
        <v>46</v>
      </c>
      <c r="I609" s="880"/>
      <c r="J609" s="1012">
        <v>0</v>
      </c>
      <c r="K609" s="998"/>
      <c r="L609" s="998"/>
      <c r="M609" s="998"/>
      <c r="N609" s="998"/>
      <c r="O609" s="998"/>
      <c r="P609" s="998"/>
      <c r="Q609" s="1302"/>
      <c r="R609" s="1302"/>
      <c r="S609" s="1302"/>
      <c r="T609" s="1302"/>
      <c r="U609" s="1302"/>
      <c r="V609" s="1302"/>
      <c r="W609" s="1302"/>
      <c r="X609" s="1302"/>
      <c r="Y609" s="1302"/>
      <c r="Z609" s="1302"/>
    </row>
    <row r="610" spans="1:26" ht="18.75">
      <c r="A610" s="1326"/>
      <c r="B610" s="1327"/>
      <c r="C610" s="1327"/>
      <c r="D610" s="1327"/>
      <c r="E610" s="1014"/>
      <c r="F610" s="1014"/>
      <c r="G610" s="1007"/>
      <c r="H610" s="762" t="s">
        <v>34</v>
      </c>
      <c r="I610" s="880"/>
      <c r="J610" s="1012">
        <v>0</v>
      </c>
      <c r="K610" s="998"/>
      <c r="L610" s="998"/>
      <c r="M610" s="998"/>
      <c r="N610" s="998"/>
      <c r="O610" s="998"/>
      <c r="P610" s="998"/>
      <c r="Q610" s="1302"/>
      <c r="R610" s="1302"/>
      <c r="S610" s="1302"/>
      <c r="T610" s="1302"/>
      <c r="U610" s="1302"/>
      <c r="V610" s="1302"/>
      <c r="W610" s="1302"/>
      <c r="X610" s="1302"/>
      <c r="Y610" s="1302"/>
      <c r="Z610" s="1302"/>
    </row>
    <row r="611" spans="1:26" ht="19.5">
      <c r="A611" s="1390"/>
      <c r="B611" s="1402" t="s">
        <v>262</v>
      </c>
      <c r="C611" s="1392"/>
      <c r="D611" s="1392"/>
      <c r="E611" s="1375"/>
      <c r="F611" s="1375"/>
      <c r="G611" s="1376"/>
      <c r="H611" s="705" t="s">
        <v>46</v>
      </c>
      <c r="I611" s="1377">
        <v>0</v>
      </c>
      <c r="J611" s="1377">
        <f>J614+J616</f>
        <v>0</v>
      </c>
      <c r="K611" s="1378">
        <f t="shared" ref="K611:K613" si="258">IF(I611&gt;0,J611*100/I611,0)</f>
        <v>0</v>
      </c>
      <c r="L611" s="1379"/>
      <c r="M611" s="1379"/>
      <c r="N611" s="1379"/>
      <c r="O611" s="1379"/>
      <c r="P611" s="1379"/>
      <c r="Q611" s="1302"/>
      <c r="R611" s="1302"/>
      <c r="S611" s="1302"/>
      <c r="T611" s="1302"/>
      <c r="U611" s="1302"/>
      <c r="V611" s="1302"/>
      <c r="W611" s="1302"/>
      <c r="X611" s="1302"/>
      <c r="Y611" s="1302"/>
      <c r="Z611" s="1302"/>
    </row>
    <row r="612" spans="1:26" ht="19.5" hidden="1">
      <c r="A612" s="1403"/>
      <c r="B612" s="1404"/>
      <c r="C612" s="1405" t="s">
        <v>263</v>
      </c>
      <c r="D612" s="1404"/>
      <c r="E612" s="1404"/>
      <c r="F612" s="1406"/>
      <c r="G612" s="1407"/>
      <c r="H612" s="712" t="s">
        <v>46</v>
      </c>
      <c r="I612" s="1408">
        <v>0</v>
      </c>
      <c r="J612" s="1408">
        <f t="shared" ref="J612:J613" si="259">J614+J616</f>
        <v>0</v>
      </c>
      <c r="K612" s="1409">
        <f t="shared" si="258"/>
        <v>0</v>
      </c>
      <c r="L612" s="1410"/>
      <c r="M612" s="1410"/>
      <c r="N612" s="1410"/>
      <c r="O612" s="1410"/>
      <c r="P612" s="1410"/>
      <c r="Q612" s="1323"/>
      <c r="R612" s="1323"/>
      <c r="S612" s="1323"/>
      <c r="T612" s="1323"/>
      <c r="U612" s="1323"/>
      <c r="V612" s="1323"/>
      <c r="W612" s="1323"/>
      <c r="X612" s="1323"/>
      <c r="Y612" s="1323"/>
      <c r="Z612" s="1323"/>
    </row>
    <row r="613" spans="1:26" ht="19.5" hidden="1">
      <c r="A613" s="1403"/>
      <c r="B613" s="1404"/>
      <c r="C613" s="1404" t="s">
        <v>264</v>
      </c>
      <c r="D613" s="1404"/>
      <c r="E613" s="1404"/>
      <c r="F613" s="1406"/>
      <c r="G613" s="1407"/>
      <c r="H613" s="712" t="s">
        <v>34</v>
      </c>
      <c r="I613" s="1408">
        <v>0</v>
      </c>
      <c r="J613" s="1408">
        <f t="shared" si="259"/>
        <v>0</v>
      </c>
      <c r="K613" s="1409">
        <f t="shared" si="258"/>
        <v>0</v>
      </c>
      <c r="L613" s="1410"/>
      <c r="M613" s="1410"/>
      <c r="N613" s="1410"/>
      <c r="O613" s="1410"/>
      <c r="P613" s="1410"/>
      <c r="Q613" s="1323"/>
      <c r="R613" s="1323"/>
      <c r="S613" s="1323"/>
      <c r="T613" s="1323"/>
      <c r="U613" s="1323"/>
      <c r="V613" s="1323"/>
      <c r="W613" s="1323"/>
      <c r="X613" s="1323"/>
      <c r="Y613" s="1323"/>
      <c r="Z613" s="1323"/>
    </row>
    <row r="614" spans="1:26" ht="18.75" hidden="1">
      <c r="A614" s="1332"/>
      <c r="B614" s="1333"/>
      <c r="C614" s="1333"/>
      <c r="D614" s="1321" t="s">
        <v>265</v>
      </c>
      <c r="E614" s="1333"/>
      <c r="F614" s="1321"/>
      <c r="G614" s="1113"/>
      <c r="H614" s="370" t="s">
        <v>46</v>
      </c>
      <c r="I614" s="886"/>
      <c r="J614" s="886">
        <v>0</v>
      </c>
      <c r="K614" s="1001"/>
      <c r="L614" s="1001"/>
      <c r="M614" s="1001"/>
      <c r="N614" s="1001"/>
      <c r="O614" s="1001"/>
      <c r="P614" s="1001"/>
      <c r="Q614" s="1323"/>
      <c r="R614" s="1323"/>
      <c r="S614" s="1323"/>
      <c r="T614" s="1323"/>
      <c r="U614" s="1323"/>
      <c r="V614" s="1323"/>
      <c r="W614" s="1323"/>
      <c r="X614" s="1323"/>
      <c r="Y614" s="1323"/>
      <c r="Z614" s="1323"/>
    </row>
    <row r="615" spans="1:26" ht="18.75" hidden="1">
      <c r="A615" s="1332"/>
      <c r="B615" s="1333"/>
      <c r="C615" s="1333"/>
      <c r="D615" s="1333"/>
      <c r="E615" s="1333"/>
      <c r="F615" s="1321"/>
      <c r="G615" s="1113"/>
      <c r="H615" s="370" t="s">
        <v>34</v>
      </c>
      <c r="I615" s="886"/>
      <c r="J615" s="886">
        <v>0</v>
      </c>
      <c r="K615" s="1001"/>
      <c r="L615" s="1001"/>
      <c r="M615" s="1001"/>
      <c r="N615" s="1001"/>
      <c r="O615" s="1001"/>
      <c r="P615" s="1001"/>
      <c r="Q615" s="1323"/>
      <c r="R615" s="1323"/>
      <c r="S615" s="1323"/>
      <c r="T615" s="1323"/>
      <c r="U615" s="1323"/>
      <c r="V615" s="1323"/>
      <c r="W615" s="1323"/>
      <c r="X615" s="1323"/>
      <c r="Y615" s="1323"/>
      <c r="Z615" s="1323"/>
    </row>
    <row r="616" spans="1:26" ht="18.75" hidden="1">
      <c r="A616" s="1332"/>
      <c r="B616" s="1333"/>
      <c r="C616" s="1333"/>
      <c r="D616" s="1411" t="s">
        <v>265</v>
      </c>
      <c r="E616" s="1321"/>
      <c r="F616" s="1321"/>
      <c r="G616" s="1113"/>
      <c r="H616" s="370" t="s">
        <v>46</v>
      </c>
      <c r="I616" s="886"/>
      <c r="J616" s="886">
        <v>0</v>
      </c>
      <c r="K616" s="1001"/>
      <c r="L616" s="1001"/>
      <c r="M616" s="1001"/>
      <c r="N616" s="1001"/>
      <c r="O616" s="1001"/>
      <c r="P616" s="1001"/>
      <c r="Q616" s="1323"/>
      <c r="R616" s="1323"/>
      <c r="S616" s="1323"/>
      <c r="T616" s="1323"/>
      <c r="U616" s="1323"/>
      <c r="V616" s="1323"/>
      <c r="W616" s="1323"/>
      <c r="X616" s="1323"/>
      <c r="Y616" s="1323"/>
      <c r="Z616" s="1323"/>
    </row>
    <row r="617" spans="1:26" ht="18.75" hidden="1">
      <c r="A617" s="1332"/>
      <c r="B617" s="1333"/>
      <c r="C617" s="1333"/>
      <c r="D617" s="1333"/>
      <c r="E617" s="1321"/>
      <c r="F617" s="1321"/>
      <c r="G617" s="1113"/>
      <c r="H617" s="370" t="s">
        <v>34</v>
      </c>
      <c r="I617" s="886"/>
      <c r="J617" s="886">
        <v>0</v>
      </c>
      <c r="K617" s="1001"/>
      <c r="L617" s="1001"/>
      <c r="M617" s="1001"/>
      <c r="N617" s="1001"/>
      <c r="O617" s="1001"/>
      <c r="P617" s="1001"/>
      <c r="Q617" s="1323"/>
      <c r="R617" s="1323"/>
      <c r="S617" s="1323"/>
      <c r="T617" s="1323"/>
      <c r="U617" s="1323"/>
      <c r="V617" s="1323"/>
      <c r="W617" s="1323"/>
      <c r="X617" s="1323"/>
      <c r="Y617" s="1323"/>
      <c r="Z617" s="1323"/>
    </row>
    <row r="618" spans="1:26" ht="18.75" hidden="1">
      <c r="A618" s="1332"/>
      <c r="B618" s="1333"/>
      <c r="C618" s="1333"/>
      <c r="D618" s="1411" t="s">
        <v>266</v>
      </c>
      <c r="E618" s="1321"/>
      <c r="F618" s="1321"/>
      <c r="G618" s="1113"/>
      <c r="H618" s="370" t="s">
        <v>46</v>
      </c>
      <c r="I618" s="886"/>
      <c r="J618" s="886">
        <v>0</v>
      </c>
      <c r="K618" s="1001"/>
      <c r="L618" s="1001"/>
      <c r="M618" s="1001"/>
      <c r="N618" s="1001"/>
      <c r="O618" s="1001"/>
      <c r="P618" s="1001"/>
      <c r="Q618" s="1323"/>
      <c r="R618" s="1323"/>
      <c r="S618" s="1323"/>
      <c r="T618" s="1323"/>
      <c r="U618" s="1323"/>
      <c r="V618" s="1323"/>
      <c r="W618" s="1323"/>
      <c r="X618" s="1323"/>
      <c r="Y618" s="1323"/>
      <c r="Z618" s="1323"/>
    </row>
    <row r="619" spans="1:26" ht="18.75" hidden="1">
      <c r="A619" s="1332"/>
      <c r="B619" s="1333"/>
      <c r="C619" s="1333"/>
      <c r="D619" s="1333"/>
      <c r="E619" s="1321"/>
      <c r="F619" s="1321"/>
      <c r="G619" s="1113"/>
      <c r="H619" s="370" t="s">
        <v>34</v>
      </c>
      <c r="I619" s="886"/>
      <c r="J619" s="886">
        <v>0</v>
      </c>
      <c r="K619" s="1001"/>
      <c r="L619" s="1001"/>
      <c r="M619" s="1001"/>
      <c r="N619" s="1001"/>
      <c r="O619" s="1001"/>
      <c r="P619" s="1001"/>
      <c r="Q619" s="1323"/>
      <c r="R619" s="1323"/>
      <c r="S619" s="1323"/>
      <c r="T619" s="1323"/>
      <c r="U619" s="1323"/>
      <c r="V619" s="1323"/>
      <c r="W619" s="1323"/>
      <c r="X619" s="1323"/>
      <c r="Y619" s="1323"/>
      <c r="Z619" s="1323"/>
    </row>
    <row r="620" spans="1:26" ht="19.5">
      <c r="A620" s="1412"/>
      <c r="B620" s="1413"/>
      <c r="C620" s="1414" t="s">
        <v>267</v>
      </c>
      <c r="D620" s="1413"/>
      <c r="E620" s="1413"/>
      <c r="F620" s="1415"/>
      <c r="G620" s="1416"/>
      <c r="H620" s="725" t="s">
        <v>46</v>
      </c>
      <c r="I620" s="1417">
        <f ca="1">IFERROR(__xludf.DUMMYFUNCTION("IMPORTRANGE(""https://docs.google.com/spreadsheets/d/1QqKyyYR6Q21VydFLVH3TRQUabQu_ym0Zz7PgGX0-kHA/edit?usp=sharing"",""แผน!HL77"")"),53)</f>
        <v>53</v>
      </c>
      <c r="J620" s="1417">
        <f t="shared" ref="J620:J621" si="260">J622+J624+J626</f>
        <v>0</v>
      </c>
      <c r="K620" s="1418">
        <f t="shared" ref="K620:K621" ca="1" si="261">IF(I620&gt;0,J620*100/I620,0)</f>
        <v>0</v>
      </c>
      <c r="L620" s="1419"/>
      <c r="M620" s="1419"/>
      <c r="N620" s="1419"/>
      <c r="O620" s="1419"/>
      <c r="P620" s="1419"/>
      <c r="Q620" s="1302"/>
      <c r="R620" s="1302"/>
      <c r="S620" s="1302"/>
      <c r="T620" s="1302"/>
      <c r="U620" s="1302"/>
      <c r="V620" s="1302"/>
      <c r="W620" s="1302"/>
      <c r="X620" s="1302"/>
      <c r="Y620" s="1302"/>
      <c r="Z620" s="1302"/>
    </row>
    <row r="621" spans="1:26" ht="19.5">
      <c r="A621" s="1412"/>
      <c r="B621" s="1413"/>
      <c r="C621" s="1413" t="s">
        <v>268</v>
      </c>
      <c r="D621" s="1413"/>
      <c r="E621" s="1413"/>
      <c r="F621" s="1415"/>
      <c r="G621" s="1416"/>
      <c r="H621" s="725" t="s">
        <v>34</v>
      </c>
      <c r="I621" s="1417">
        <f ca="1">IFERROR(__xludf.DUMMYFUNCTION("IMPORTRANGE(""https://docs.google.com/spreadsheets/d/1QqKyyYR6Q21VydFLVH3TRQUabQu_ym0Zz7PgGX0-kHA/edit?usp=sharing"",""แผน!HK77"")"),6)</f>
        <v>6</v>
      </c>
      <c r="J621" s="1417">
        <f t="shared" si="260"/>
        <v>0</v>
      </c>
      <c r="K621" s="1418">
        <f t="shared" ca="1" si="261"/>
        <v>0</v>
      </c>
      <c r="L621" s="1419"/>
      <c r="M621" s="1419"/>
      <c r="N621" s="1419"/>
      <c r="O621" s="1419"/>
      <c r="P621" s="1419"/>
      <c r="Q621" s="1302"/>
      <c r="R621" s="1302"/>
      <c r="S621" s="1302"/>
      <c r="T621" s="1302"/>
      <c r="U621" s="1302"/>
      <c r="V621" s="1302"/>
      <c r="W621" s="1302"/>
      <c r="X621" s="1302"/>
      <c r="Y621" s="1302"/>
      <c r="Z621" s="1302"/>
    </row>
    <row r="622" spans="1:26" ht="18.75">
      <c r="A622" s="1326"/>
      <c r="B622" s="1327"/>
      <c r="C622" s="1327"/>
      <c r="D622" s="1069" t="s">
        <v>269</v>
      </c>
      <c r="E622" s="1014"/>
      <c r="F622" s="1014"/>
      <c r="G622" s="1007"/>
      <c r="H622" s="762" t="s">
        <v>46</v>
      </c>
      <c r="I622" s="880"/>
      <c r="J622" s="1012">
        <v>0</v>
      </c>
      <c r="K622" s="998"/>
      <c r="L622" s="998"/>
      <c r="M622" s="998"/>
      <c r="N622" s="998"/>
      <c r="O622" s="998"/>
      <c r="P622" s="998"/>
      <c r="Q622" s="1302"/>
      <c r="R622" s="1302"/>
      <c r="S622" s="1302"/>
      <c r="T622" s="1302"/>
      <c r="U622" s="1302"/>
      <c r="V622" s="1302"/>
      <c r="W622" s="1302"/>
      <c r="X622" s="1302"/>
      <c r="Y622" s="1302"/>
      <c r="Z622" s="1302"/>
    </row>
    <row r="623" spans="1:26" ht="18.75">
      <c r="A623" s="1326"/>
      <c r="B623" s="1327"/>
      <c r="C623" s="1327"/>
      <c r="D623" s="1327"/>
      <c r="E623" s="1014"/>
      <c r="F623" s="1014"/>
      <c r="G623" s="1007"/>
      <c r="H623" s="762" t="s">
        <v>34</v>
      </c>
      <c r="I623" s="880"/>
      <c r="J623" s="1012">
        <v>0</v>
      </c>
      <c r="K623" s="998"/>
      <c r="L623" s="998"/>
      <c r="M623" s="998"/>
      <c r="N623" s="998"/>
      <c r="O623" s="998"/>
      <c r="P623" s="998"/>
      <c r="Q623" s="1302"/>
      <c r="R623" s="1302"/>
      <c r="S623" s="1302"/>
      <c r="T623" s="1302"/>
      <c r="U623" s="1302"/>
      <c r="V623" s="1302"/>
      <c r="W623" s="1302"/>
      <c r="X623" s="1302"/>
      <c r="Y623" s="1302"/>
      <c r="Z623" s="1302"/>
    </row>
    <row r="624" spans="1:26" ht="18.75">
      <c r="A624" s="1326"/>
      <c r="B624" s="1327"/>
      <c r="C624" s="1327"/>
      <c r="D624" s="1069" t="s">
        <v>265</v>
      </c>
      <c r="E624" s="1014"/>
      <c r="F624" s="1014"/>
      <c r="G624" s="1007"/>
      <c r="H624" s="762" t="s">
        <v>46</v>
      </c>
      <c r="I624" s="880"/>
      <c r="J624" s="1012">
        <v>0</v>
      </c>
      <c r="K624" s="998"/>
      <c r="L624" s="998"/>
      <c r="M624" s="998"/>
      <c r="N624" s="998"/>
      <c r="O624" s="998"/>
      <c r="P624" s="998"/>
      <c r="Q624" s="1302"/>
      <c r="R624" s="1302"/>
      <c r="S624" s="1302"/>
      <c r="T624" s="1302"/>
      <c r="U624" s="1302"/>
      <c r="V624" s="1302"/>
      <c r="W624" s="1302"/>
      <c r="X624" s="1302"/>
      <c r="Y624" s="1302"/>
      <c r="Z624" s="1302"/>
    </row>
    <row r="625" spans="1:26" ht="18.75">
      <c r="A625" s="1326"/>
      <c r="B625" s="1327"/>
      <c r="C625" s="1327"/>
      <c r="D625" s="1327"/>
      <c r="E625" s="1014"/>
      <c r="F625" s="1014"/>
      <c r="G625" s="1007"/>
      <c r="H625" s="762" t="s">
        <v>34</v>
      </c>
      <c r="I625" s="880"/>
      <c r="J625" s="1012">
        <v>0</v>
      </c>
      <c r="K625" s="998"/>
      <c r="L625" s="998"/>
      <c r="M625" s="998"/>
      <c r="N625" s="998"/>
      <c r="O625" s="998"/>
      <c r="P625" s="998"/>
      <c r="Q625" s="1302"/>
      <c r="R625" s="1302"/>
      <c r="S625" s="1302"/>
      <c r="T625" s="1302"/>
      <c r="U625" s="1302"/>
      <c r="V625" s="1302"/>
      <c r="W625" s="1302"/>
      <c r="X625" s="1302"/>
      <c r="Y625" s="1302"/>
      <c r="Z625" s="1302"/>
    </row>
    <row r="626" spans="1:26" ht="18.75">
      <c r="A626" s="1326"/>
      <c r="B626" s="1327"/>
      <c r="C626" s="1327"/>
      <c r="D626" s="1069" t="s">
        <v>270</v>
      </c>
      <c r="E626" s="1014"/>
      <c r="F626" s="1014"/>
      <c r="G626" s="1007"/>
      <c r="H626" s="762" t="s">
        <v>46</v>
      </c>
      <c r="I626" s="880"/>
      <c r="J626" s="1012">
        <v>0</v>
      </c>
      <c r="K626" s="998"/>
      <c r="L626" s="998"/>
      <c r="M626" s="998"/>
      <c r="N626" s="998"/>
      <c r="O626" s="998"/>
      <c r="P626" s="998"/>
      <c r="Q626" s="1302"/>
      <c r="R626" s="1302"/>
      <c r="S626" s="1302"/>
      <c r="T626" s="1302"/>
      <c r="U626" s="1302"/>
      <c r="V626" s="1302"/>
      <c r="W626" s="1302"/>
      <c r="X626" s="1302"/>
      <c r="Y626" s="1302"/>
      <c r="Z626" s="1302"/>
    </row>
    <row r="627" spans="1:26" ht="18.75">
      <c r="A627" s="1420"/>
      <c r="B627" s="1421"/>
      <c r="C627" s="1421"/>
      <c r="D627" s="1421"/>
      <c r="E627" s="1169"/>
      <c r="F627" s="1169"/>
      <c r="G627" s="1422"/>
      <c r="H627" s="423" t="s">
        <v>34</v>
      </c>
      <c r="I627" s="1138"/>
      <c r="J627" s="1171">
        <v>0</v>
      </c>
      <c r="K627" s="1139"/>
      <c r="L627" s="1139"/>
      <c r="M627" s="1139"/>
      <c r="N627" s="1139"/>
      <c r="O627" s="1139"/>
      <c r="P627" s="1139"/>
      <c r="Q627" s="1302"/>
      <c r="R627" s="1302"/>
      <c r="S627" s="1302"/>
      <c r="T627" s="1302"/>
      <c r="U627" s="1302"/>
      <c r="V627" s="1302"/>
      <c r="W627" s="1302"/>
      <c r="X627" s="1302"/>
      <c r="Y627" s="1302"/>
      <c r="Z627" s="1302"/>
    </row>
    <row r="628" spans="1:26" ht="19.5" hidden="1">
      <c r="A628" s="734">
        <v>7</v>
      </c>
      <c r="B628" s="1423" t="s">
        <v>271</v>
      </c>
      <c r="C628" s="1424"/>
      <c r="D628" s="1424"/>
      <c r="E628" s="1424"/>
      <c r="F628" s="1424"/>
      <c r="G628" s="1425"/>
      <c r="H628" s="738" t="s">
        <v>35</v>
      </c>
      <c r="I628" s="1426">
        <f t="shared" ref="I628:J628" ca="1" si="262">I651</f>
        <v>0</v>
      </c>
      <c r="J628" s="1426">
        <f t="shared" ca="1" si="262"/>
        <v>0</v>
      </c>
      <c r="K628" s="1427">
        <f ca="1">IF(I628&gt;0,J628*100/I628,0)</f>
        <v>0</v>
      </c>
      <c r="L628" s="1428"/>
      <c r="M628" s="1428"/>
      <c r="N628" s="1428"/>
      <c r="O628" s="1428"/>
      <c r="P628" s="1428"/>
      <c r="Q628" s="1302"/>
      <c r="R628" s="1302"/>
      <c r="S628" s="1302"/>
      <c r="T628" s="1302"/>
      <c r="U628" s="1302"/>
      <c r="V628" s="1302"/>
      <c r="W628" s="1302"/>
      <c r="X628" s="1302"/>
      <c r="Y628" s="1302"/>
      <c r="Z628" s="1302"/>
    </row>
    <row r="629" spans="1:26" ht="19.5" hidden="1">
      <c r="A629" s="1317"/>
      <c r="B629" s="1301"/>
      <c r="C629" s="1301" t="s">
        <v>16</v>
      </c>
      <c r="D629" s="1318" t="s">
        <v>17</v>
      </c>
      <c r="E629" s="841"/>
      <c r="F629" s="841"/>
      <c r="G629" s="1016"/>
      <c r="H629" s="597" t="s">
        <v>12</v>
      </c>
      <c r="I629" s="880"/>
      <c r="J629" s="880"/>
      <c r="K629" s="881"/>
      <c r="L629" s="1020">
        <f t="shared" ref="L629:N629" ca="1" si="263">L630+L631</f>
        <v>0</v>
      </c>
      <c r="M629" s="1020">
        <f t="shared" si="263"/>
        <v>0</v>
      </c>
      <c r="N629" s="1020">
        <f t="shared" si="263"/>
        <v>0</v>
      </c>
      <c r="O629" s="1020">
        <f t="shared" ref="O629:O634" ca="1" si="264">IF(L629&gt;0,N629*100/L629,0)</f>
        <v>0</v>
      </c>
      <c r="P629" s="1020">
        <f t="shared" ref="P629:P634" si="265">IF(M629&gt;0,N629*100/M629,0)</f>
        <v>0</v>
      </c>
      <c r="Q629" s="1302"/>
      <c r="R629" s="1302"/>
      <c r="S629" s="1302"/>
      <c r="T629" s="1302"/>
      <c r="U629" s="1302"/>
      <c r="V629" s="1302"/>
      <c r="W629" s="1302"/>
      <c r="X629" s="1302"/>
      <c r="Y629" s="1302"/>
      <c r="Z629" s="1302"/>
    </row>
    <row r="630" spans="1:26" ht="18.75" hidden="1">
      <c r="A630" s="1319"/>
      <c r="B630" s="1320"/>
      <c r="C630" s="1320"/>
      <c r="D630" s="1321"/>
      <c r="E630" s="1320" t="s">
        <v>185</v>
      </c>
      <c r="F630" s="1320"/>
      <c r="G630" s="1322"/>
      <c r="H630" s="165" t="s">
        <v>12</v>
      </c>
      <c r="I630" s="886"/>
      <c r="J630" s="886"/>
      <c r="K630" s="887"/>
      <c r="L630" s="887">
        <f t="shared" ref="L630:N631" si="266">L633+L640</f>
        <v>0</v>
      </c>
      <c r="M630" s="887">
        <f t="shared" si="266"/>
        <v>0</v>
      </c>
      <c r="N630" s="887">
        <f t="shared" si="266"/>
        <v>0</v>
      </c>
      <c r="O630" s="887">
        <f t="shared" si="264"/>
        <v>0</v>
      </c>
      <c r="P630" s="887">
        <f t="shared" si="265"/>
        <v>0</v>
      </c>
      <c r="Q630" s="1323"/>
      <c r="R630" s="1323"/>
      <c r="S630" s="1323"/>
      <c r="T630" s="1323"/>
      <c r="U630" s="1323"/>
      <c r="V630" s="1323"/>
      <c r="W630" s="1323"/>
      <c r="X630" s="1323"/>
      <c r="Y630" s="1323"/>
      <c r="Z630" s="1323"/>
    </row>
    <row r="631" spans="1:26" ht="18.75" hidden="1">
      <c r="A631" s="1319"/>
      <c r="B631" s="1324"/>
      <c r="C631" s="1320"/>
      <c r="D631" s="1321"/>
      <c r="E631" s="1320" t="s">
        <v>186</v>
      </c>
      <c r="F631" s="1320"/>
      <c r="G631" s="1322"/>
      <c r="H631" s="165" t="s">
        <v>12</v>
      </c>
      <c r="I631" s="886"/>
      <c r="J631" s="886"/>
      <c r="K631" s="887"/>
      <c r="L631" s="887">
        <f t="shared" ca="1" si="266"/>
        <v>0</v>
      </c>
      <c r="M631" s="887">
        <f t="shared" si="266"/>
        <v>0</v>
      </c>
      <c r="N631" s="887">
        <f t="shared" si="266"/>
        <v>0</v>
      </c>
      <c r="O631" s="887">
        <f t="shared" ca="1" si="264"/>
        <v>0</v>
      </c>
      <c r="P631" s="887">
        <f t="shared" si="265"/>
        <v>0</v>
      </c>
      <c r="Q631" s="1323"/>
      <c r="R631" s="1323"/>
      <c r="S631" s="1323"/>
      <c r="T631" s="1323"/>
      <c r="U631" s="1323"/>
      <c r="V631" s="1323"/>
      <c r="W631" s="1323"/>
      <c r="X631" s="1323"/>
      <c r="Y631" s="1323"/>
      <c r="Z631" s="1323"/>
    </row>
    <row r="632" spans="1:26" ht="18.75" hidden="1">
      <c r="A632" s="1317"/>
      <c r="B632" s="1300"/>
      <c r="C632" s="1301"/>
      <c r="D632" s="1325" t="s">
        <v>20</v>
      </c>
      <c r="E632" s="1301"/>
      <c r="F632" s="1301"/>
      <c r="G632" s="1016"/>
      <c r="H632" s="161" t="s">
        <v>12</v>
      </c>
      <c r="I632" s="997"/>
      <c r="J632" s="997"/>
      <c r="K632" s="998"/>
      <c r="L632" s="881">
        <f t="shared" ref="L632:N632" ca="1" si="267">L633+L634</f>
        <v>0</v>
      </c>
      <c r="M632" s="881">
        <f t="shared" si="267"/>
        <v>0</v>
      </c>
      <c r="N632" s="881">
        <f t="shared" si="267"/>
        <v>0</v>
      </c>
      <c r="O632" s="881">
        <f t="shared" ca="1" si="264"/>
        <v>0</v>
      </c>
      <c r="P632" s="881">
        <f t="shared" si="265"/>
        <v>0</v>
      </c>
      <c r="Q632" s="1302"/>
      <c r="R632" s="1302"/>
      <c r="S632" s="1302"/>
      <c r="T632" s="1302"/>
      <c r="U632" s="1302"/>
      <c r="V632" s="1302"/>
      <c r="W632" s="1302"/>
      <c r="X632" s="1302"/>
      <c r="Y632" s="1302"/>
      <c r="Z632" s="1302"/>
    </row>
    <row r="633" spans="1:26" ht="18.75" hidden="1">
      <c r="A633" s="1319"/>
      <c r="B633" s="1324"/>
      <c r="C633" s="1320"/>
      <c r="D633" s="1321"/>
      <c r="E633" s="1320" t="s">
        <v>185</v>
      </c>
      <c r="F633" s="1320"/>
      <c r="G633" s="1322"/>
      <c r="H633" s="165" t="s">
        <v>12</v>
      </c>
      <c r="I633" s="886"/>
      <c r="J633" s="886"/>
      <c r="K633" s="887"/>
      <c r="L633" s="887">
        <v>0</v>
      </c>
      <c r="M633" s="887">
        <v>0</v>
      </c>
      <c r="N633" s="887">
        <v>0</v>
      </c>
      <c r="O633" s="887">
        <f t="shared" si="264"/>
        <v>0</v>
      </c>
      <c r="P633" s="887">
        <f t="shared" si="265"/>
        <v>0</v>
      </c>
      <c r="Q633" s="1323"/>
      <c r="R633" s="1323"/>
      <c r="S633" s="1323"/>
      <c r="T633" s="1323"/>
      <c r="U633" s="1323"/>
      <c r="V633" s="1323"/>
      <c r="W633" s="1323"/>
      <c r="X633" s="1323"/>
      <c r="Y633" s="1323"/>
      <c r="Z633" s="1323"/>
    </row>
    <row r="634" spans="1:26" ht="18.75" hidden="1">
      <c r="A634" s="1319"/>
      <c r="B634" s="1324"/>
      <c r="C634" s="1320"/>
      <c r="D634" s="1321"/>
      <c r="E634" s="1320" t="s">
        <v>186</v>
      </c>
      <c r="F634" s="1320"/>
      <c r="G634" s="1322"/>
      <c r="H634" s="165" t="s">
        <v>12</v>
      </c>
      <c r="I634" s="886"/>
      <c r="J634" s="886"/>
      <c r="K634" s="887"/>
      <c r="L634" s="887">
        <f ca="1">IFERROR(__xludf.DUMMYFUNCTION("IMPORTRANGE(""https://docs.google.com/spreadsheets/d/1QqKyyYR6Q21VydFLVH3TRQUabQu_ym0Zz7PgGX0-kHA/edit?usp=sharing"",""แผน!HN77"")"),0)</f>
        <v>0</v>
      </c>
      <c r="M634" s="887">
        <v>0</v>
      </c>
      <c r="N634" s="887">
        <f>N635+N636+N637+N638</f>
        <v>0</v>
      </c>
      <c r="O634" s="887">
        <f t="shared" ca="1" si="264"/>
        <v>0</v>
      </c>
      <c r="P634" s="887">
        <f t="shared" si="265"/>
        <v>0</v>
      </c>
      <c r="Q634" s="1323"/>
      <c r="R634" s="1323"/>
      <c r="S634" s="1323"/>
      <c r="T634" s="1323"/>
      <c r="U634" s="1323"/>
      <c r="V634" s="1323"/>
      <c r="W634" s="1323"/>
      <c r="X634" s="1323"/>
      <c r="Y634" s="1323"/>
      <c r="Z634" s="1323"/>
    </row>
    <row r="635" spans="1:26" ht="18.75" hidden="1">
      <c r="A635" s="1299"/>
      <c r="B635" s="1300"/>
      <c r="C635" s="1301"/>
      <c r="D635" s="1301"/>
      <c r="E635" s="1301"/>
      <c r="F635" s="1301" t="s">
        <v>187</v>
      </c>
      <c r="G635" s="1016"/>
      <c r="H635" s="161" t="s">
        <v>12</v>
      </c>
      <c r="I635" s="880"/>
      <c r="J635" s="880"/>
      <c r="K635" s="881"/>
      <c r="L635" s="881"/>
      <c r="M635" s="881"/>
      <c r="N635" s="1085">
        <v>0</v>
      </c>
      <c r="O635" s="881"/>
      <c r="P635" s="881"/>
      <c r="Q635" s="1302"/>
      <c r="R635" s="1302"/>
      <c r="S635" s="1302"/>
      <c r="T635" s="1302"/>
      <c r="U635" s="1302"/>
      <c r="V635" s="1302"/>
      <c r="W635" s="1302"/>
      <c r="X635" s="1302"/>
      <c r="Y635" s="1302"/>
      <c r="Z635" s="1302"/>
    </row>
    <row r="636" spans="1:26" ht="18.75" hidden="1">
      <c r="A636" s="1299"/>
      <c r="B636" s="1300"/>
      <c r="C636" s="1301"/>
      <c r="D636" s="1301"/>
      <c r="E636" s="1301"/>
      <c r="F636" s="1301" t="s">
        <v>188</v>
      </c>
      <c r="G636" s="1016"/>
      <c r="H636" s="161" t="s">
        <v>12</v>
      </c>
      <c r="I636" s="880"/>
      <c r="J636" s="880"/>
      <c r="K636" s="881"/>
      <c r="L636" s="881"/>
      <c r="M636" s="881"/>
      <c r="N636" s="1085">
        <v>0</v>
      </c>
      <c r="O636" s="881"/>
      <c r="P636" s="881"/>
      <c r="Q636" s="1302"/>
      <c r="R636" s="1302"/>
      <c r="S636" s="1302"/>
      <c r="T636" s="1302"/>
      <c r="U636" s="1302"/>
      <c r="V636" s="1302"/>
      <c r="W636" s="1302"/>
      <c r="X636" s="1302"/>
      <c r="Y636" s="1302"/>
      <c r="Z636" s="1302"/>
    </row>
    <row r="637" spans="1:26" ht="18.75" hidden="1">
      <c r="A637" s="1299"/>
      <c r="B637" s="1300"/>
      <c r="C637" s="1301"/>
      <c r="D637" s="1301"/>
      <c r="E637" s="1301"/>
      <c r="F637" s="1301" t="s">
        <v>189</v>
      </c>
      <c r="G637" s="1016"/>
      <c r="H637" s="161" t="s">
        <v>12</v>
      </c>
      <c r="I637" s="880"/>
      <c r="J637" s="880"/>
      <c r="K637" s="881"/>
      <c r="L637" s="881"/>
      <c r="M637" s="881"/>
      <c r="N637" s="1085">
        <v>0</v>
      </c>
      <c r="O637" s="881"/>
      <c r="P637" s="881"/>
      <c r="Q637" s="1302"/>
      <c r="R637" s="1302"/>
      <c r="S637" s="1302"/>
      <c r="T637" s="1302"/>
      <c r="U637" s="1302"/>
      <c r="V637" s="1302"/>
      <c r="W637" s="1302"/>
      <c r="X637" s="1302"/>
      <c r="Y637" s="1302"/>
      <c r="Z637" s="1302"/>
    </row>
    <row r="638" spans="1:26" ht="18.75" hidden="1">
      <c r="A638" s="1299"/>
      <c r="B638" s="1300"/>
      <c r="C638" s="1301"/>
      <c r="D638" s="1301"/>
      <c r="E638" s="1301"/>
      <c r="F638" s="1301" t="s">
        <v>190</v>
      </c>
      <c r="G638" s="1016"/>
      <c r="H638" s="161" t="s">
        <v>12</v>
      </c>
      <c r="I638" s="880"/>
      <c r="J638" s="880"/>
      <c r="K638" s="881"/>
      <c r="L638" s="881"/>
      <c r="M638" s="881"/>
      <c r="N638" s="1085">
        <v>0</v>
      </c>
      <c r="O638" s="881"/>
      <c r="P638" s="881"/>
      <c r="Q638" s="1302"/>
      <c r="R638" s="1302"/>
      <c r="S638" s="1302"/>
      <c r="T638" s="1302"/>
      <c r="U638" s="1302"/>
      <c r="V638" s="1302"/>
      <c r="W638" s="1302"/>
      <c r="X638" s="1302"/>
      <c r="Y638" s="1302"/>
      <c r="Z638" s="1302"/>
    </row>
    <row r="639" spans="1:26" ht="18.75" hidden="1">
      <c r="A639" s="1317"/>
      <c r="B639" s="1300"/>
      <c r="C639" s="1301"/>
      <c r="D639" s="1325" t="s">
        <v>21</v>
      </c>
      <c r="E639" s="1301"/>
      <c r="F639" s="1301"/>
      <c r="G639" s="1016"/>
      <c r="H639" s="168" t="s">
        <v>12</v>
      </c>
      <c r="I639" s="997"/>
      <c r="J639" s="997"/>
      <c r="K639" s="998"/>
      <c r="L639" s="881">
        <f t="shared" ref="L639:N639" ca="1" si="268">L640+L641</f>
        <v>0</v>
      </c>
      <c r="M639" s="881">
        <f t="shared" si="268"/>
        <v>0</v>
      </c>
      <c r="N639" s="881">
        <f t="shared" si="268"/>
        <v>0</v>
      </c>
      <c r="O639" s="881">
        <f t="shared" ref="O639:O641" ca="1" si="269">IF(L639&gt;0,N639*100/L639,0)</f>
        <v>0</v>
      </c>
      <c r="P639" s="881">
        <f t="shared" ref="P639:P641" si="270">IF(M639&gt;0,N639*100/M639,0)</f>
        <v>0</v>
      </c>
      <c r="Q639" s="1302"/>
      <c r="R639" s="1302"/>
      <c r="S639" s="1302"/>
      <c r="T639" s="1302"/>
      <c r="U639" s="1302"/>
      <c r="V639" s="1302"/>
      <c r="W639" s="1302"/>
      <c r="X639" s="1302"/>
      <c r="Y639" s="1302"/>
      <c r="Z639" s="1302"/>
    </row>
    <row r="640" spans="1:26" ht="18.75" hidden="1">
      <c r="A640" s="1319"/>
      <c r="B640" s="1324"/>
      <c r="C640" s="1320"/>
      <c r="D640" s="1320"/>
      <c r="E640" s="1320" t="s">
        <v>18</v>
      </c>
      <c r="F640" s="1320"/>
      <c r="G640" s="1322"/>
      <c r="H640" s="165" t="s">
        <v>12</v>
      </c>
      <c r="I640" s="1000"/>
      <c r="J640" s="1000"/>
      <c r="K640" s="1001"/>
      <c r="L640" s="887">
        <v>0</v>
      </c>
      <c r="M640" s="887">
        <v>0</v>
      </c>
      <c r="N640" s="887">
        <v>0</v>
      </c>
      <c r="O640" s="887">
        <f t="shared" si="269"/>
        <v>0</v>
      </c>
      <c r="P640" s="887">
        <f t="shared" si="270"/>
        <v>0</v>
      </c>
      <c r="Q640" s="1323"/>
      <c r="R640" s="1323"/>
      <c r="S640" s="1323"/>
      <c r="T640" s="1323"/>
      <c r="U640" s="1323"/>
      <c r="V640" s="1323"/>
      <c r="W640" s="1323"/>
      <c r="X640" s="1323"/>
      <c r="Y640" s="1323"/>
      <c r="Z640" s="1323"/>
    </row>
    <row r="641" spans="1:26" ht="18.75" hidden="1">
      <c r="A641" s="1319"/>
      <c r="B641" s="1324"/>
      <c r="C641" s="1320"/>
      <c r="D641" s="1320"/>
      <c r="E641" s="1320" t="s">
        <v>19</v>
      </c>
      <c r="F641" s="1320"/>
      <c r="G641" s="1322"/>
      <c r="H641" s="169" t="s">
        <v>12</v>
      </c>
      <c r="I641" s="1000"/>
      <c r="J641" s="1000"/>
      <c r="K641" s="1001"/>
      <c r="L641" s="887">
        <f ca="1">IFERROR(__xludf.DUMMYFUNCTION("IMPORTRANGE(""https://docs.google.com/spreadsheets/d/1QqKyyYR6Q21VydFLVH3TRQUabQu_ym0Zz7PgGX0-kHA/edit?usp=sharing"",""แผน!HQ77"")"),0)</f>
        <v>0</v>
      </c>
      <c r="M641" s="887">
        <v>0</v>
      </c>
      <c r="N641" s="887">
        <v>0</v>
      </c>
      <c r="O641" s="887">
        <f t="shared" ca="1" si="269"/>
        <v>0</v>
      </c>
      <c r="P641" s="887">
        <f t="shared" si="270"/>
        <v>0</v>
      </c>
      <c r="Q641" s="1323"/>
      <c r="R641" s="1323"/>
      <c r="S641" s="1323"/>
      <c r="T641" s="1323"/>
      <c r="U641" s="1323"/>
      <c r="V641" s="1323"/>
      <c r="W641" s="1323"/>
      <c r="X641" s="1323"/>
      <c r="Y641" s="1323"/>
      <c r="Z641" s="1323"/>
    </row>
    <row r="642" spans="1:26" ht="19.5" hidden="1">
      <c r="A642" s="1326"/>
      <c r="B642" s="1327"/>
      <c r="C642" s="1301" t="s">
        <v>16</v>
      </c>
      <c r="D642" s="1380" t="s">
        <v>38</v>
      </c>
      <c r="E642" s="1330"/>
      <c r="F642" s="1330"/>
      <c r="G642" s="1331"/>
      <c r="H642" s="1007"/>
      <c r="I642" s="997"/>
      <c r="J642" s="997"/>
      <c r="K642" s="998"/>
      <c r="L642" s="998"/>
      <c r="M642" s="998"/>
      <c r="N642" s="998"/>
      <c r="O642" s="998"/>
      <c r="P642" s="998"/>
      <c r="Q642" s="1302"/>
      <c r="R642" s="1302"/>
      <c r="S642" s="1302"/>
      <c r="T642" s="1302"/>
      <c r="U642" s="1302"/>
      <c r="V642" s="1302"/>
      <c r="W642" s="1302"/>
      <c r="X642" s="1302"/>
      <c r="Y642" s="1302"/>
      <c r="Z642" s="1302"/>
    </row>
    <row r="643" spans="1:26" ht="18.75" hidden="1">
      <c r="A643" s="1429"/>
      <c r="B643" s="1300"/>
      <c r="C643" s="1301"/>
      <c r="D643" s="1014"/>
      <c r="E643" s="1069" t="s">
        <v>272</v>
      </c>
      <c r="F643" s="1014"/>
      <c r="G643" s="1007"/>
      <c r="H643" s="762" t="s">
        <v>273</v>
      </c>
      <c r="I643" s="880">
        <f ca="1">IFERROR(__xludf.DUMMYFUNCTION("IMPORTRANGE(""https://docs.google.com/spreadsheets/d/1QqKyyYR6Q21VydFLVH3TRQUabQu_ym0Zz7PgGX0-kHA/edit?usp=sharing"",""แผน!HR77"")"),0)</f>
        <v>0</v>
      </c>
      <c r="J643" s="1012">
        <v>0</v>
      </c>
      <c r="K643" s="998">
        <f t="shared" ref="K643:K652" ca="1" si="271">IF(I643&gt;0,J643*100/I643,0)</f>
        <v>0</v>
      </c>
      <c r="L643" s="998"/>
      <c r="M643" s="998"/>
      <c r="N643" s="881"/>
      <c r="O643" s="998"/>
      <c r="P643" s="998"/>
      <c r="Q643" s="1302"/>
      <c r="R643" s="1302"/>
      <c r="S643" s="1302"/>
      <c r="T643" s="1302"/>
      <c r="U643" s="1302"/>
      <c r="V643" s="1302"/>
      <c r="W643" s="1302"/>
      <c r="X643" s="1302"/>
      <c r="Y643" s="1302"/>
      <c r="Z643" s="1302"/>
    </row>
    <row r="644" spans="1:26" ht="18.75" hidden="1">
      <c r="A644" s="1429"/>
      <c r="B644" s="1300"/>
      <c r="C644" s="1301"/>
      <c r="D644" s="1014"/>
      <c r="E644" s="1069" t="s">
        <v>274</v>
      </c>
      <c r="F644" s="1014"/>
      <c r="G644" s="1007"/>
      <c r="H644" s="762" t="s">
        <v>275</v>
      </c>
      <c r="I644" s="880">
        <f ca="1">IFERROR(__xludf.DUMMYFUNCTION("IMPORTRANGE(""https://docs.google.com/spreadsheets/d/1QqKyyYR6Q21VydFLVH3TRQUabQu_ym0Zz7PgGX0-kHA/edit?usp=sharing"",""แผน!HR77"")"),0)</f>
        <v>0</v>
      </c>
      <c r="J644" s="1012">
        <v>0</v>
      </c>
      <c r="K644" s="998">
        <f t="shared" ca="1" si="271"/>
        <v>0</v>
      </c>
      <c r="L644" s="998"/>
      <c r="M644" s="998"/>
      <c r="N644" s="881"/>
      <c r="O644" s="998"/>
      <c r="P644" s="998"/>
      <c r="Q644" s="1302"/>
      <c r="R644" s="1302"/>
      <c r="S644" s="1302"/>
      <c r="T644" s="1302"/>
      <c r="U644" s="1302"/>
      <c r="V644" s="1302"/>
      <c r="W644" s="1302"/>
      <c r="X644" s="1302"/>
      <c r="Y644" s="1302"/>
      <c r="Z644" s="1302"/>
    </row>
    <row r="645" spans="1:26" ht="18.75" hidden="1">
      <c r="A645" s="1429"/>
      <c r="B645" s="1300"/>
      <c r="C645" s="1301"/>
      <c r="D645" s="1014"/>
      <c r="E645" s="1069" t="s">
        <v>276</v>
      </c>
      <c r="F645" s="1014"/>
      <c r="G645" s="1007"/>
      <c r="H645" s="762" t="s">
        <v>34</v>
      </c>
      <c r="I645" s="880">
        <v>0</v>
      </c>
      <c r="J645" s="880">
        <f ca="1">IFERROR(__xludf.DUMMYFUNCTION("IMPORTRANGE(""https://docs.google.com/spreadsheets/d/1XWAQStnk-4SwqDmLtmXYiTMKHgktTP8We1SCoS47DrQ/edit?usp=sharing"",""จัดที่ดิน!AS77"")"),0)</f>
        <v>0</v>
      </c>
      <c r="K645" s="998">
        <f t="shared" si="271"/>
        <v>0</v>
      </c>
      <c r="L645" s="998"/>
      <c r="M645" s="998"/>
      <c r="N645" s="881"/>
      <c r="O645" s="998"/>
      <c r="P645" s="998"/>
      <c r="Q645" s="1302"/>
      <c r="R645" s="1302"/>
      <c r="S645" s="1302"/>
      <c r="T645" s="1302"/>
      <c r="U645" s="1302"/>
      <c r="V645" s="1302"/>
      <c r="W645" s="1302"/>
      <c r="X645" s="1302"/>
      <c r="Y645" s="1302"/>
      <c r="Z645" s="1302"/>
    </row>
    <row r="646" spans="1:26" ht="18.75" hidden="1">
      <c r="A646" s="1429"/>
      <c r="B646" s="1300"/>
      <c r="C646" s="1301"/>
      <c r="D646" s="1014"/>
      <c r="E646" s="1014"/>
      <c r="F646" s="1014"/>
      <c r="G646" s="1007"/>
      <c r="H646" s="762" t="s">
        <v>46</v>
      </c>
      <c r="I646" s="880">
        <v>0</v>
      </c>
      <c r="J646" s="880">
        <f ca="1">IFERROR(__xludf.DUMMYFUNCTION("IMPORTRANGE(""https://docs.google.com/spreadsheets/d/1XWAQStnk-4SwqDmLtmXYiTMKHgktTP8We1SCoS47DrQ/edit?usp=sharing"",""จัดที่ดิน!AT77"")"),0)</f>
        <v>0</v>
      </c>
      <c r="K646" s="881">
        <f t="shared" si="271"/>
        <v>0</v>
      </c>
      <c r="L646" s="998"/>
      <c r="M646" s="998"/>
      <c r="N646" s="881"/>
      <c r="O646" s="998"/>
      <c r="P646" s="998"/>
      <c r="Q646" s="1302"/>
      <c r="R646" s="1302"/>
      <c r="S646" s="1302"/>
      <c r="T646" s="1302"/>
      <c r="U646" s="1302"/>
      <c r="V646" s="1302"/>
      <c r="W646" s="1302"/>
      <c r="X646" s="1302"/>
      <c r="Y646" s="1302"/>
      <c r="Z646" s="1302"/>
    </row>
    <row r="647" spans="1:26" ht="18.75" hidden="1">
      <c r="A647" s="1429"/>
      <c r="B647" s="1300"/>
      <c r="C647" s="1301"/>
      <c r="D647" s="1014"/>
      <c r="E647" s="1069" t="s">
        <v>162</v>
      </c>
      <c r="F647" s="1014"/>
      <c r="G647" s="1007"/>
      <c r="H647" s="762" t="s">
        <v>35</v>
      </c>
      <c r="I647" s="880">
        <f ca="1">IFERROR(__xludf.DUMMYFUNCTION("IMPORTRANGE(""https://docs.google.com/spreadsheets/d/1QqKyyYR6Q21VydFLVH3TRQUabQu_ym0Zz7PgGX0-kHA/edit?usp=sharing"",""แผน!HS77"")"),0)</f>
        <v>0</v>
      </c>
      <c r="J647" s="880">
        <f ca="1">IFERROR(__xludf.DUMMYFUNCTION("IMPORTRANGE(""https://docs.google.com/spreadsheets/d/1XWAQStnk-4SwqDmLtmXYiTMKHgktTP8We1SCoS47DrQ/edit?usp=sharing"",""จัดที่ดิน!AU77"")"),1)</f>
        <v>1</v>
      </c>
      <c r="K647" s="998">
        <f t="shared" ca="1" si="271"/>
        <v>0</v>
      </c>
      <c r="L647" s="998"/>
      <c r="M647" s="998"/>
      <c r="N647" s="998"/>
      <c r="O647" s="998"/>
      <c r="P647" s="998"/>
      <c r="Q647" s="1302"/>
      <c r="R647" s="1302"/>
      <c r="S647" s="1302"/>
      <c r="T647" s="1302"/>
      <c r="U647" s="1302"/>
      <c r="V647" s="1302"/>
      <c r="W647" s="1302"/>
      <c r="X647" s="1302"/>
      <c r="Y647" s="1302"/>
      <c r="Z647" s="1302"/>
    </row>
    <row r="648" spans="1:26" ht="18.75" hidden="1">
      <c r="A648" s="1429"/>
      <c r="B648" s="1300"/>
      <c r="C648" s="1301"/>
      <c r="D648" s="1014"/>
      <c r="E648" s="1014"/>
      <c r="F648" s="1014"/>
      <c r="G648" s="1007"/>
      <c r="H648" s="762" t="s">
        <v>46</v>
      </c>
      <c r="I648" s="880">
        <v>0</v>
      </c>
      <c r="J648" s="880">
        <f ca="1">IFERROR(__xludf.DUMMYFUNCTION("IMPORTRANGE(""https://docs.google.com/spreadsheets/d/1XWAQStnk-4SwqDmLtmXYiTMKHgktTP8We1SCoS47DrQ/edit?usp=sharing"",""จัดที่ดิน!AV77"")"),0.15)</f>
        <v>0.15</v>
      </c>
      <c r="K648" s="881">
        <f t="shared" si="271"/>
        <v>0</v>
      </c>
      <c r="L648" s="998"/>
      <c r="M648" s="998"/>
      <c r="N648" s="998"/>
      <c r="O648" s="998"/>
      <c r="P648" s="998"/>
      <c r="Q648" s="1302"/>
      <c r="R648" s="1302"/>
      <c r="S648" s="1302"/>
      <c r="T648" s="1302"/>
      <c r="U648" s="1302"/>
      <c r="V648" s="1302"/>
      <c r="W648" s="1302"/>
      <c r="X648" s="1302"/>
      <c r="Y648" s="1302"/>
      <c r="Z648" s="1302"/>
    </row>
    <row r="649" spans="1:26" ht="18.75" hidden="1">
      <c r="A649" s="1429"/>
      <c r="B649" s="1300"/>
      <c r="C649" s="1301"/>
      <c r="D649" s="1014"/>
      <c r="E649" s="1069" t="s">
        <v>277</v>
      </c>
      <c r="F649" s="1014"/>
      <c r="G649" s="1007"/>
      <c r="H649" s="762" t="s">
        <v>35</v>
      </c>
      <c r="I649" s="880">
        <f ca="1">IFERROR(__xludf.DUMMYFUNCTION("IMPORTRANGE(""https://docs.google.com/spreadsheets/d/1QqKyyYR6Q21VydFLVH3TRQUabQu_ym0Zz7PgGX0-kHA/edit?usp=sharing"",""แผน!HS77"")"),0)</f>
        <v>0</v>
      </c>
      <c r="J649" s="880">
        <f ca="1">IFERROR(__xludf.DUMMYFUNCTION("IMPORTRANGE(""https://docs.google.com/spreadsheets/d/1XWAQStnk-4SwqDmLtmXYiTMKHgktTP8We1SCoS47DrQ/edit?usp=sharing"",""จัดที่ดิน!AW77"")"),1)</f>
        <v>1</v>
      </c>
      <c r="K649" s="998">
        <f t="shared" ca="1" si="271"/>
        <v>0</v>
      </c>
      <c r="L649" s="998"/>
      <c r="M649" s="998"/>
      <c r="N649" s="998"/>
      <c r="O649" s="998"/>
      <c r="P649" s="998"/>
      <c r="Q649" s="1302"/>
      <c r="R649" s="1302"/>
      <c r="S649" s="1302"/>
      <c r="T649" s="1302"/>
      <c r="U649" s="1302"/>
      <c r="V649" s="1302"/>
      <c r="W649" s="1302"/>
      <c r="X649" s="1302"/>
      <c r="Y649" s="1302"/>
      <c r="Z649" s="1302"/>
    </row>
    <row r="650" spans="1:26" ht="18.75" hidden="1">
      <c r="A650" s="1429"/>
      <c r="B650" s="1300"/>
      <c r="C650" s="1301"/>
      <c r="D650" s="1014"/>
      <c r="E650" s="1014"/>
      <c r="F650" s="1014"/>
      <c r="G650" s="1007"/>
      <c r="H650" s="762" t="s">
        <v>46</v>
      </c>
      <c r="I650" s="880">
        <v>0</v>
      </c>
      <c r="J650" s="880">
        <f ca="1">IFERROR(__xludf.DUMMYFUNCTION("IMPORTRANGE(""https://docs.google.com/spreadsheets/d/1XWAQStnk-4SwqDmLtmXYiTMKHgktTP8We1SCoS47DrQ/edit?usp=sharing"",""จัดที่ดิน!AX77"")"),0.15)</f>
        <v>0.15</v>
      </c>
      <c r="K650" s="881">
        <f t="shared" si="271"/>
        <v>0</v>
      </c>
      <c r="L650" s="998"/>
      <c r="M650" s="998"/>
      <c r="N650" s="998"/>
      <c r="O650" s="998"/>
      <c r="P650" s="998"/>
      <c r="Q650" s="1302"/>
      <c r="R650" s="1302"/>
      <c r="S650" s="1302"/>
      <c r="T650" s="1302"/>
      <c r="U650" s="1302"/>
      <c r="V650" s="1302"/>
      <c r="W650" s="1302"/>
      <c r="X650" s="1302"/>
      <c r="Y650" s="1302"/>
      <c r="Z650" s="1302"/>
    </row>
    <row r="651" spans="1:26" ht="18.75" hidden="1">
      <c r="A651" s="1429"/>
      <c r="B651" s="1300"/>
      <c r="C651" s="1301"/>
      <c r="D651" s="1014"/>
      <c r="E651" s="1069" t="s">
        <v>278</v>
      </c>
      <c r="F651" s="1014"/>
      <c r="G651" s="1007"/>
      <c r="H651" s="762" t="s">
        <v>35</v>
      </c>
      <c r="I651" s="880">
        <f ca="1">IFERROR(__xludf.DUMMYFUNCTION("IMPORTRANGE(""https://docs.google.com/spreadsheets/d/1QqKyyYR6Q21VydFLVH3TRQUabQu_ym0Zz7PgGX0-kHA/edit?usp=sharing"",""แผน!HS77"")"),0)</f>
        <v>0</v>
      </c>
      <c r="J651" s="880">
        <f ca="1">IFERROR(__xludf.DUMMYFUNCTION("IMPORTRANGE(""https://docs.google.com/spreadsheets/d/1XWAQStnk-4SwqDmLtmXYiTMKHgktTP8We1SCoS47DrQ/edit?usp=sharing"",""จัดที่ดิน!AY77"")"),0)</f>
        <v>0</v>
      </c>
      <c r="K651" s="998">
        <f t="shared" ca="1" si="271"/>
        <v>0</v>
      </c>
      <c r="L651" s="998"/>
      <c r="M651" s="998"/>
      <c r="N651" s="998"/>
      <c r="O651" s="998"/>
      <c r="P651" s="998"/>
      <c r="Q651" s="1302"/>
      <c r="R651" s="1302"/>
      <c r="S651" s="1302"/>
      <c r="T651" s="1302"/>
      <c r="U651" s="1302"/>
      <c r="V651" s="1302"/>
      <c r="W651" s="1302"/>
      <c r="X651" s="1302"/>
      <c r="Y651" s="1302"/>
      <c r="Z651" s="1302"/>
    </row>
    <row r="652" spans="1:26" ht="18.75" hidden="1">
      <c r="A652" s="1430"/>
      <c r="B652" s="1431"/>
      <c r="C652" s="1432"/>
      <c r="D652" s="1169"/>
      <c r="E652" s="1169"/>
      <c r="F652" s="1169"/>
      <c r="G652" s="1422"/>
      <c r="H652" s="504" t="s">
        <v>46</v>
      </c>
      <c r="I652" s="1138">
        <v>0</v>
      </c>
      <c r="J652" s="1138">
        <f ca="1">IFERROR(__xludf.DUMMYFUNCTION("IMPORTRANGE(""https://docs.google.com/spreadsheets/d/1XWAQStnk-4SwqDmLtmXYiTMKHgktTP8We1SCoS47DrQ/edit?usp=sharing"",""จัดที่ดิน!AZ77"")"),0)</f>
        <v>0</v>
      </c>
      <c r="K652" s="1239">
        <f t="shared" si="271"/>
        <v>0</v>
      </c>
      <c r="L652" s="1139"/>
      <c r="M652" s="1139"/>
      <c r="N652" s="1139"/>
      <c r="O652" s="1139"/>
      <c r="P652" s="1139"/>
      <c r="Q652" s="1302"/>
      <c r="R652" s="1302"/>
      <c r="S652" s="1302"/>
      <c r="T652" s="1302"/>
      <c r="U652" s="1302"/>
      <c r="V652" s="1302"/>
      <c r="W652" s="1302"/>
      <c r="X652" s="1302"/>
      <c r="Y652" s="1302"/>
      <c r="Z652" s="1302"/>
    </row>
    <row r="653" spans="1:26" ht="19.5" hidden="1">
      <c r="A653" s="748">
        <v>8</v>
      </c>
      <c r="B653" s="1423" t="s">
        <v>279</v>
      </c>
      <c r="C653" s="1424"/>
      <c r="D653" s="1424"/>
      <c r="E653" s="1424"/>
      <c r="F653" s="1424"/>
      <c r="G653" s="1425"/>
      <c r="H653" s="1425"/>
      <c r="I653" s="1433"/>
      <c r="J653" s="1433"/>
      <c r="K653" s="1428"/>
      <c r="L653" s="1428"/>
      <c r="M653" s="1428"/>
      <c r="N653" s="1428"/>
      <c r="O653" s="1428"/>
      <c r="P653" s="1428"/>
      <c r="Q653" s="1302"/>
      <c r="R653" s="1302"/>
      <c r="S653" s="1302"/>
      <c r="T653" s="1302"/>
      <c r="U653" s="1302"/>
      <c r="V653" s="1302"/>
      <c r="W653" s="1302"/>
      <c r="X653" s="1302"/>
      <c r="Y653" s="1302"/>
      <c r="Z653" s="1302"/>
    </row>
    <row r="654" spans="1:26" ht="19.5" hidden="1">
      <c r="A654" s="1375"/>
      <c r="B654" s="1374" t="s">
        <v>280</v>
      </c>
      <c r="C654" s="1375"/>
      <c r="D654" s="1375"/>
      <c r="E654" s="1375"/>
      <c r="F654" s="1375"/>
      <c r="G654" s="1376"/>
      <c r="H654" s="705" t="s">
        <v>46</v>
      </c>
      <c r="I654" s="1377">
        <f t="shared" ref="I654:J654" ca="1" si="272">I669</f>
        <v>0</v>
      </c>
      <c r="J654" s="1377">
        <f t="shared" si="272"/>
        <v>0</v>
      </c>
      <c r="K654" s="1378">
        <f ca="1">IF(I654&gt;0,J654*100/I654,0)</f>
        <v>0</v>
      </c>
      <c r="L654" s="1379"/>
      <c r="M654" s="1379"/>
      <c r="N654" s="1379"/>
      <c r="O654" s="1379"/>
      <c r="P654" s="1379"/>
      <c r="Q654" s="1302"/>
      <c r="R654" s="1302"/>
      <c r="S654" s="1302"/>
      <c r="T654" s="1302"/>
      <c r="U654" s="1302"/>
      <c r="V654" s="1302"/>
      <c r="W654" s="1302"/>
      <c r="X654" s="1302"/>
      <c r="Y654" s="1302"/>
      <c r="Z654" s="1302"/>
    </row>
    <row r="655" spans="1:26" ht="19.5" hidden="1">
      <c r="A655" s="1317"/>
      <c r="B655" s="1301"/>
      <c r="C655" s="1301" t="s">
        <v>16</v>
      </c>
      <c r="D655" s="1318" t="s">
        <v>17</v>
      </c>
      <c r="E655" s="841"/>
      <c r="F655" s="841"/>
      <c r="G655" s="1016"/>
      <c r="H655" s="597" t="s">
        <v>12</v>
      </c>
      <c r="I655" s="880"/>
      <c r="J655" s="880"/>
      <c r="K655" s="881"/>
      <c r="L655" s="1020">
        <f t="shared" ref="L655:N655" ca="1" si="273">L656+L657</f>
        <v>0</v>
      </c>
      <c r="M655" s="1020">
        <f t="shared" si="273"/>
        <v>0</v>
      </c>
      <c r="N655" s="1020">
        <f t="shared" si="273"/>
        <v>0</v>
      </c>
      <c r="O655" s="1020">
        <f t="shared" ref="O655:O660" ca="1" si="274">IF(L655&gt;0,N655*100/L655,0)</f>
        <v>0</v>
      </c>
      <c r="P655" s="1020">
        <f t="shared" ref="P655:P660" si="275">IF(M655&gt;0,N655*100/M655,0)</f>
        <v>0</v>
      </c>
      <c r="Q655" s="1302"/>
      <c r="R655" s="1302"/>
      <c r="S655" s="1302"/>
      <c r="T655" s="1302"/>
      <c r="U655" s="1302"/>
      <c r="V655" s="1302"/>
      <c r="W655" s="1302"/>
      <c r="X655" s="1302"/>
      <c r="Y655" s="1302"/>
      <c r="Z655" s="1302"/>
    </row>
    <row r="656" spans="1:26" ht="18.75" hidden="1">
      <c r="A656" s="1319"/>
      <c r="B656" s="1320"/>
      <c r="C656" s="1320"/>
      <c r="D656" s="1321"/>
      <c r="E656" s="1320" t="s">
        <v>185</v>
      </c>
      <c r="F656" s="1320"/>
      <c r="G656" s="1322"/>
      <c r="H656" s="165" t="s">
        <v>12</v>
      </c>
      <c r="I656" s="886"/>
      <c r="J656" s="886"/>
      <c r="K656" s="887"/>
      <c r="L656" s="887">
        <f t="shared" ref="L656:N657" si="276">L659+L666</f>
        <v>0</v>
      </c>
      <c r="M656" s="887">
        <f t="shared" si="276"/>
        <v>0</v>
      </c>
      <c r="N656" s="887">
        <f t="shared" si="276"/>
        <v>0</v>
      </c>
      <c r="O656" s="887">
        <f t="shared" si="274"/>
        <v>0</v>
      </c>
      <c r="P656" s="887">
        <f t="shared" si="275"/>
        <v>0</v>
      </c>
      <c r="Q656" s="1323"/>
      <c r="R656" s="1323"/>
      <c r="S656" s="1323"/>
      <c r="T656" s="1323"/>
      <c r="U656" s="1323"/>
      <c r="V656" s="1323"/>
      <c r="W656" s="1323"/>
      <c r="X656" s="1323"/>
      <c r="Y656" s="1323"/>
      <c r="Z656" s="1323"/>
    </row>
    <row r="657" spans="1:26" ht="18.75" hidden="1">
      <c r="A657" s="1319"/>
      <c r="B657" s="1324"/>
      <c r="C657" s="1320"/>
      <c r="D657" s="1321"/>
      <c r="E657" s="1320" t="s">
        <v>186</v>
      </c>
      <c r="F657" s="1320"/>
      <c r="G657" s="1322"/>
      <c r="H657" s="165" t="s">
        <v>12</v>
      </c>
      <c r="I657" s="886"/>
      <c r="J657" s="886"/>
      <c r="K657" s="887"/>
      <c r="L657" s="887">
        <f t="shared" ca="1" si="276"/>
        <v>0</v>
      </c>
      <c r="M657" s="887">
        <f t="shared" si="276"/>
        <v>0</v>
      </c>
      <c r="N657" s="887">
        <f t="shared" si="276"/>
        <v>0</v>
      </c>
      <c r="O657" s="887">
        <f t="shared" ca="1" si="274"/>
        <v>0</v>
      </c>
      <c r="P657" s="887">
        <f t="shared" si="275"/>
        <v>0</v>
      </c>
      <c r="Q657" s="1323"/>
      <c r="R657" s="1323"/>
      <c r="S657" s="1323"/>
      <c r="T657" s="1323"/>
      <c r="U657" s="1323"/>
      <c r="V657" s="1323"/>
      <c r="W657" s="1323"/>
      <c r="X657" s="1323"/>
      <c r="Y657" s="1323"/>
      <c r="Z657" s="1323"/>
    </row>
    <row r="658" spans="1:26" ht="18.75" hidden="1">
      <c r="A658" s="1317"/>
      <c r="B658" s="1300"/>
      <c r="C658" s="1301"/>
      <c r="D658" s="1325" t="s">
        <v>20</v>
      </c>
      <c r="E658" s="1301"/>
      <c r="F658" s="1301"/>
      <c r="G658" s="1016"/>
      <c r="H658" s="161" t="s">
        <v>12</v>
      </c>
      <c r="I658" s="997"/>
      <c r="J658" s="997"/>
      <c r="K658" s="998"/>
      <c r="L658" s="881">
        <f t="shared" ref="L658:N658" ca="1" si="277">L659+L660</f>
        <v>0</v>
      </c>
      <c r="M658" s="881">
        <f t="shared" si="277"/>
        <v>0</v>
      </c>
      <c r="N658" s="881">
        <f t="shared" si="277"/>
        <v>0</v>
      </c>
      <c r="O658" s="881">
        <f t="shared" ca="1" si="274"/>
        <v>0</v>
      </c>
      <c r="P658" s="881">
        <f t="shared" si="275"/>
        <v>0</v>
      </c>
      <c r="Q658" s="1302"/>
      <c r="R658" s="1302"/>
      <c r="S658" s="1302"/>
      <c r="T658" s="1302"/>
      <c r="U658" s="1302"/>
      <c r="V658" s="1302"/>
      <c r="W658" s="1302"/>
      <c r="X658" s="1302"/>
      <c r="Y658" s="1302"/>
      <c r="Z658" s="1302"/>
    </row>
    <row r="659" spans="1:26" ht="18.75" hidden="1">
      <c r="A659" s="1319"/>
      <c r="B659" s="1324"/>
      <c r="C659" s="1320"/>
      <c r="D659" s="1321"/>
      <c r="E659" s="1320" t="s">
        <v>185</v>
      </c>
      <c r="F659" s="1320"/>
      <c r="G659" s="1322"/>
      <c r="H659" s="165" t="s">
        <v>12</v>
      </c>
      <c r="I659" s="886"/>
      <c r="J659" s="886"/>
      <c r="K659" s="887"/>
      <c r="L659" s="887">
        <v>0</v>
      </c>
      <c r="M659" s="887">
        <v>0</v>
      </c>
      <c r="N659" s="887">
        <v>0</v>
      </c>
      <c r="O659" s="887">
        <f t="shared" si="274"/>
        <v>0</v>
      </c>
      <c r="P659" s="887">
        <f t="shared" si="275"/>
        <v>0</v>
      </c>
      <c r="Q659" s="1323"/>
      <c r="R659" s="1323"/>
      <c r="S659" s="1323"/>
      <c r="T659" s="1323"/>
      <c r="U659" s="1323"/>
      <c r="V659" s="1323"/>
      <c r="W659" s="1323"/>
      <c r="X659" s="1323"/>
      <c r="Y659" s="1323"/>
      <c r="Z659" s="1323"/>
    </row>
    <row r="660" spans="1:26" ht="18.75" hidden="1">
      <c r="A660" s="1319"/>
      <c r="B660" s="1324"/>
      <c r="C660" s="1320"/>
      <c r="D660" s="1321"/>
      <c r="E660" s="1320" t="s">
        <v>186</v>
      </c>
      <c r="F660" s="1320"/>
      <c r="G660" s="1322"/>
      <c r="H660" s="165" t="s">
        <v>12</v>
      </c>
      <c r="I660" s="886"/>
      <c r="J660" s="886"/>
      <c r="K660" s="887"/>
      <c r="L660" s="887">
        <f ca="1">IFERROR(__xludf.DUMMYFUNCTION("IMPORTRANGE(""https://docs.google.com/spreadsheets/d/1QqKyyYR6Q21VydFLVH3TRQUabQu_ym0Zz7PgGX0-kHA/edit?usp=sharing"",""แผน!HV77"")"),0)</f>
        <v>0</v>
      </c>
      <c r="M660" s="887">
        <v>0</v>
      </c>
      <c r="N660" s="887">
        <f>N661+N662+N663+N664</f>
        <v>0</v>
      </c>
      <c r="O660" s="887">
        <f t="shared" ca="1" si="274"/>
        <v>0</v>
      </c>
      <c r="P660" s="887">
        <f t="shared" si="275"/>
        <v>0</v>
      </c>
      <c r="Q660" s="1323"/>
      <c r="R660" s="1323"/>
      <c r="S660" s="1323"/>
      <c r="T660" s="1323"/>
      <c r="U660" s="1323"/>
      <c r="V660" s="1323"/>
      <c r="W660" s="1323"/>
      <c r="X660" s="1323"/>
      <c r="Y660" s="1323"/>
      <c r="Z660" s="1323"/>
    </row>
    <row r="661" spans="1:26" ht="18.75" hidden="1">
      <c r="A661" s="1299"/>
      <c r="B661" s="1300"/>
      <c r="C661" s="1301"/>
      <c r="D661" s="1301"/>
      <c r="E661" s="1301"/>
      <c r="F661" s="1301" t="s">
        <v>187</v>
      </c>
      <c r="G661" s="1016"/>
      <c r="H661" s="161" t="s">
        <v>12</v>
      </c>
      <c r="I661" s="880"/>
      <c r="J661" s="880"/>
      <c r="K661" s="881"/>
      <c r="L661" s="881"/>
      <c r="M661" s="881"/>
      <c r="N661" s="1085">
        <v>0</v>
      </c>
      <c r="O661" s="881"/>
      <c r="P661" s="881"/>
      <c r="Q661" s="1302"/>
      <c r="R661" s="1302"/>
      <c r="S661" s="1302"/>
      <c r="T661" s="1302"/>
      <c r="U661" s="1302"/>
      <c r="V661" s="1302"/>
      <c r="W661" s="1302"/>
      <c r="X661" s="1302"/>
      <c r="Y661" s="1302"/>
      <c r="Z661" s="1302"/>
    </row>
    <row r="662" spans="1:26" ht="18.75" hidden="1">
      <c r="A662" s="1299"/>
      <c r="B662" s="1300"/>
      <c r="C662" s="1301"/>
      <c r="D662" s="1301"/>
      <c r="E662" s="1301"/>
      <c r="F662" s="1301" t="s">
        <v>188</v>
      </c>
      <c r="G662" s="1016"/>
      <c r="H662" s="161" t="s">
        <v>12</v>
      </c>
      <c r="I662" s="880"/>
      <c r="J662" s="880"/>
      <c r="K662" s="881"/>
      <c r="L662" s="881"/>
      <c r="M662" s="881"/>
      <c r="N662" s="1085">
        <v>0</v>
      </c>
      <c r="O662" s="881"/>
      <c r="P662" s="881"/>
      <c r="Q662" s="1302"/>
      <c r="R662" s="1302"/>
      <c r="S662" s="1302"/>
      <c r="T662" s="1302"/>
      <c r="U662" s="1302"/>
      <c r="V662" s="1302"/>
      <c r="W662" s="1302"/>
      <c r="X662" s="1302"/>
      <c r="Y662" s="1302"/>
      <c r="Z662" s="1302"/>
    </row>
    <row r="663" spans="1:26" ht="18.75" hidden="1">
      <c r="A663" s="1299"/>
      <c r="B663" s="1300"/>
      <c r="C663" s="1300"/>
      <c r="D663" s="1301"/>
      <c r="E663" s="1301"/>
      <c r="F663" s="1301" t="s">
        <v>189</v>
      </c>
      <c r="G663" s="1016"/>
      <c r="H663" s="161" t="s">
        <v>12</v>
      </c>
      <c r="I663" s="880"/>
      <c r="J663" s="880"/>
      <c r="K663" s="881"/>
      <c r="L663" s="881"/>
      <c r="M663" s="881"/>
      <c r="N663" s="1085">
        <v>0</v>
      </c>
      <c r="O663" s="881"/>
      <c r="P663" s="881"/>
      <c r="Q663" s="1302"/>
      <c r="R663" s="1302"/>
      <c r="S663" s="1302"/>
      <c r="T663" s="1302"/>
      <c r="U663" s="1302"/>
      <c r="V663" s="1302"/>
      <c r="W663" s="1302"/>
      <c r="X663" s="1302"/>
      <c r="Y663" s="1302"/>
      <c r="Z663" s="1302"/>
    </row>
    <row r="664" spans="1:26" ht="18.75" hidden="1">
      <c r="A664" s="1299"/>
      <c r="B664" s="1300"/>
      <c r="C664" s="1300"/>
      <c r="D664" s="1300"/>
      <c r="E664" s="1301"/>
      <c r="F664" s="1301" t="s">
        <v>190</v>
      </c>
      <c r="G664" s="1016"/>
      <c r="H664" s="161" t="s">
        <v>12</v>
      </c>
      <c r="I664" s="880"/>
      <c r="J664" s="880"/>
      <c r="K664" s="881"/>
      <c r="L664" s="881"/>
      <c r="M664" s="881"/>
      <c r="N664" s="1085">
        <v>0</v>
      </c>
      <c r="O664" s="881"/>
      <c r="P664" s="881"/>
      <c r="Q664" s="1302"/>
      <c r="R664" s="1302"/>
      <c r="S664" s="1302"/>
      <c r="T664" s="1302"/>
      <c r="U664" s="1302"/>
      <c r="V664" s="1302"/>
      <c r="W664" s="1302"/>
      <c r="X664" s="1302"/>
      <c r="Y664" s="1302"/>
      <c r="Z664" s="1302"/>
    </row>
    <row r="665" spans="1:26" ht="18.75" hidden="1">
      <c r="A665" s="1317"/>
      <c r="B665" s="1300"/>
      <c r="C665" s="1300"/>
      <c r="D665" s="1325" t="s">
        <v>21</v>
      </c>
      <c r="E665" s="1301"/>
      <c r="F665" s="1301"/>
      <c r="G665" s="1016"/>
      <c r="H665" s="168" t="s">
        <v>12</v>
      </c>
      <c r="I665" s="997"/>
      <c r="J665" s="997"/>
      <c r="K665" s="998"/>
      <c r="L665" s="881">
        <f t="shared" ref="L665:N665" si="278">L666+L667</f>
        <v>0</v>
      </c>
      <c r="M665" s="881">
        <f t="shared" si="278"/>
        <v>0</v>
      </c>
      <c r="N665" s="881">
        <f t="shared" si="278"/>
        <v>0</v>
      </c>
      <c r="O665" s="881">
        <f t="shared" ref="O665:O667" si="279">IF(L665&gt;0,N665*100/L665,0)</f>
        <v>0</v>
      </c>
      <c r="P665" s="881">
        <f t="shared" ref="P665:P667" si="280">IF(M665&gt;0,N665*100/M665,0)</f>
        <v>0</v>
      </c>
      <c r="Q665" s="1302"/>
      <c r="R665" s="1302"/>
      <c r="S665" s="1302"/>
      <c r="T665" s="1302"/>
      <c r="U665" s="1302"/>
      <c r="V665" s="1302"/>
      <c r="W665" s="1302"/>
      <c r="X665" s="1302"/>
      <c r="Y665" s="1302"/>
      <c r="Z665" s="1302"/>
    </row>
    <row r="666" spans="1:26" ht="18.75" hidden="1">
      <c r="A666" s="1319"/>
      <c r="B666" s="1324"/>
      <c r="C666" s="1324"/>
      <c r="D666" s="1324"/>
      <c r="E666" s="1320" t="s">
        <v>18</v>
      </c>
      <c r="F666" s="1320"/>
      <c r="G666" s="1322"/>
      <c r="H666" s="165" t="s">
        <v>12</v>
      </c>
      <c r="I666" s="1000"/>
      <c r="J666" s="1000"/>
      <c r="K666" s="1001"/>
      <c r="L666" s="887">
        <v>0</v>
      </c>
      <c r="M666" s="887">
        <v>0</v>
      </c>
      <c r="N666" s="887">
        <v>0</v>
      </c>
      <c r="O666" s="887">
        <f t="shared" si="279"/>
        <v>0</v>
      </c>
      <c r="P666" s="887">
        <f t="shared" si="280"/>
        <v>0</v>
      </c>
      <c r="Q666" s="1323"/>
      <c r="R666" s="1323"/>
      <c r="S666" s="1323"/>
      <c r="T666" s="1323"/>
      <c r="U666" s="1323"/>
      <c r="V666" s="1323"/>
      <c r="W666" s="1323"/>
      <c r="X666" s="1323"/>
      <c r="Y666" s="1323"/>
      <c r="Z666" s="1323"/>
    </row>
    <row r="667" spans="1:26" ht="18.75" hidden="1">
      <c r="A667" s="1319"/>
      <c r="B667" s="1324"/>
      <c r="C667" s="1324"/>
      <c r="D667" s="1324"/>
      <c r="E667" s="1320" t="s">
        <v>19</v>
      </c>
      <c r="F667" s="1320"/>
      <c r="G667" s="1322"/>
      <c r="H667" s="169" t="s">
        <v>12</v>
      </c>
      <c r="I667" s="1000"/>
      <c r="J667" s="1000"/>
      <c r="K667" s="1001"/>
      <c r="L667" s="887">
        <v>0</v>
      </c>
      <c r="M667" s="887">
        <v>0</v>
      </c>
      <c r="N667" s="887">
        <v>0</v>
      </c>
      <c r="O667" s="887">
        <f t="shared" si="279"/>
        <v>0</v>
      </c>
      <c r="P667" s="887">
        <f t="shared" si="280"/>
        <v>0</v>
      </c>
      <c r="Q667" s="1323"/>
      <c r="R667" s="1323"/>
      <c r="S667" s="1323"/>
      <c r="T667" s="1323"/>
      <c r="U667" s="1323"/>
      <c r="V667" s="1323"/>
      <c r="W667" s="1323"/>
      <c r="X667" s="1323"/>
      <c r="Y667" s="1323"/>
      <c r="Z667" s="1323"/>
    </row>
    <row r="668" spans="1:26" ht="19.5" hidden="1">
      <c r="A668" s="1326"/>
      <c r="B668" s="1327"/>
      <c r="C668" s="1300" t="s">
        <v>16</v>
      </c>
      <c r="D668" s="1328" t="s">
        <v>38</v>
      </c>
      <c r="E668" s="1330"/>
      <c r="F668" s="1330"/>
      <c r="G668" s="1331"/>
      <c r="H668" s="1007"/>
      <c r="I668" s="997"/>
      <c r="J668" s="997"/>
      <c r="K668" s="998"/>
      <c r="L668" s="998"/>
      <c r="M668" s="998"/>
      <c r="N668" s="998"/>
      <c r="O668" s="998"/>
      <c r="P668" s="998"/>
      <c r="Q668" s="1302"/>
      <c r="R668" s="1302"/>
      <c r="S668" s="1302"/>
      <c r="T668" s="1302"/>
      <c r="U668" s="1302"/>
      <c r="V668" s="1302"/>
      <c r="W668" s="1302"/>
      <c r="X668" s="1302"/>
      <c r="Y668" s="1302"/>
      <c r="Z668" s="1302"/>
    </row>
    <row r="669" spans="1:26" ht="19.5" hidden="1">
      <c r="A669" s="1326"/>
      <c r="B669" s="1327"/>
      <c r="C669" s="1327"/>
      <c r="D669" s="1327" t="s">
        <v>281</v>
      </c>
      <c r="E669" s="1014"/>
      <c r="F669" s="1014"/>
      <c r="G669" s="1007"/>
      <c r="H669" s="765" t="s">
        <v>46</v>
      </c>
      <c r="I669" s="1019">
        <f ca="1">IFERROR(__xludf.DUMMYFUNCTION("IMPORTRANGE(""https://docs.google.com/spreadsheets/d/1QqKyyYR6Q21VydFLVH3TRQUabQu_ym0Zz7PgGX0-kHA/edit?usp=sharing"",""แผน!IA77"")"),0)</f>
        <v>0</v>
      </c>
      <c r="J669" s="1019">
        <f>J675</f>
        <v>0</v>
      </c>
      <c r="K669" s="1020">
        <f ca="1">IF(I669&gt;0,J669*100/I669,0)</f>
        <v>0</v>
      </c>
      <c r="L669" s="998"/>
      <c r="M669" s="998"/>
      <c r="N669" s="998"/>
      <c r="O669" s="998"/>
      <c r="P669" s="998"/>
      <c r="Q669" s="1302"/>
      <c r="R669" s="1302"/>
      <c r="S669" s="1302"/>
      <c r="T669" s="1302"/>
      <c r="U669" s="1302"/>
      <c r="V669" s="1302"/>
      <c r="W669" s="1302"/>
      <c r="X669" s="1302"/>
      <c r="Y669" s="1302"/>
      <c r="Z669" s="1302"/>
    </row>
    <row r="670" spans="1:26" ht="18.75" hidden="1">
      <c r="A670" s="1326"/>
      <c r="B670" s="1327"/>
      <c r="C670" s="1327"/>
      <c r="D670" s="1327"/>
      <c r="E670" s="1014" t="s">
        <v>282</v>
      </c>
      <c r="F670" s="1014"/>
      <c r="G670" s="1007"/>
      <c r="H670" s="762" t="s">
        <v>66</v>
      </c>
      <c r="I670" s="880">
        <f ca="1">IFERROR(__xludf.DUMMYFUNCTION("IMPORTRANGE(""https://docs.google.com/spreadsheets/d/1QqKyyYR6Q21VydFLVH3TRQUabQu_ym0Zz7PgGX0-kHA/edit?usp=sharing"",""แผน!HZ77"")"),0)</f>
        <v>0</v>
      </c>
      <c r="J670" s="1012">
        <v>0</v>
      </c>
      <c r="K670" s="881">
        <f ca="1">IF(I670&gt;0,(J670*100)/I670,0)</f>
        <v>0</v>
      </c>
      <c r="L670" s="998"/>
      <c r="M670" s="998"/>
      <c r="N670" s="998"/>
      <c r="O670" s="998"/>
      <c r="P670" s="998"/>
      <c r="Q670" s="1302"/>
      <c r="R670" s="1302"/>
      <c r="S670" s="1302"/>
      <c r="T670" s="1302"/>
      <c r="U670" s="1302"/>
      <c r="V670" s="1302"/>
      <c r="W670" s="1302"/>
      <c r="X670" s="1302"/>
      <c r="Y670" s="1302"/>
      <c r="Z670" s="1302"/>
    </row>
    <row r="671" spans="1:26" ht="18.75" hidden="1">
      <c r="A671" s="1326"/>
      <c r="B671" s="1327"/>
      <c r="C671" s="1327"/>
      <c r="D671" s="1327"/>
      <c r="E671" s="1014" t="s">
        <v>283</v>
      </c>
      <c r="F671" s="1014"/>
      <c r="G671" s="1007"/>
      <c r="H671" s="762" t="s">
        <v>66</v>
      </c>
      <c r="I671" s="880">
        <f ca="1">IFERROR(__xludf.DUMMYFUNCTION("IMPORTRANGE(""https://docs.google.com/spreadsheets/d/1QqKyyYR6Q21VydFLVH3TRQUabQu_ym0Zz7PgGX0-kHA/edit?usp=sharing"",""แผน!HZ77"")"),0)</f>
        <v>0</v>
      </c>
      <c r="J671" s="1012">
        <v>0</v>
      </c>
      <c r="K671" s="881">
        <f ca="1">IF(I$671&gt;0,J671*100/I$671,0)</f>
        <v>0</v>
      </c>
      <c r="L671" s="998"/>
      <c r="M671" s="998"/>
      <c r="N671" s="998"/>
      <c r="O671" s="998"/>
      <c r="P671" s="998"/>
      <c r="Q671" s="1302"/>
      <c r="R671" s="1302"/>
      <c r="S671" s="1302"/>
      <c r="T671" s="1302"/>
      <c r="U671" s="1302"/>
      <c r="V671" s="1302"/>
      <c r="W671" s="1302"/>
      <c r="X671" s="1302"/>
      <c r="Y671" s="1302"/>
      <c r="Z671" s="1302"/>
    </row>
    <row r="672" spans="1:26" ht="18.75" hidden="1">
      <c r="A672" s="1326"/>
      <c r="B672" s="1327"/>
      <c r="C672" s="1327"/>
      <c r="D672" s="1327"/>
      <c r="E672" s="1014" t="s">
        <v>284</v>
      </c>
      <c r="F672" s="1014"/>
      <c r="G672" s="1007"/>
      <c r="H672" s="762" t="s">
        <v>46</v>
      </c>
      <c r="I672" s="880"/>
      <c r="J672" s="1012">
        <v>0</v>
      </c>
      <c r="K672" s="881">
        <f t="shared" ref="K672:K675" ca="1" si="281">IF(I$669&gt;0,J672*100/I$669,0)</f>
        <v>0</v>
      </c>
      <c r="L672" s="998"/>
      <c r="M672" s="998"/>
      <c r="N672" s="998"/>
      <c r="O672" s="998"/>
      <c r="P672" s="998"/>
      <c r="Q672" s="1302"/>
      <c r="R672" s="1302"/>
      <c r="S672" s="1302"/>
      <c r="T672" s="1302"/>
      <c r="U672" s="1302"/>
      <c r="V672" s="1302"/>
      <c r="W672" s="1302"/>
      <c r="X672" s="1302"/>
      <c r="Y672" s="1302"/>
      <c r="Z672" s="1302"/>
    </row>
    <row r="673" spans="1:26" ht="18.75" hidden="1">
      <c r="A673" s="1326"/>
      <c r="B673" s="1327"/>
      <c r="C673" s="1327"/>
      <c r="D673" s="1327"/>
      <c r="E673" s="1014" t="s">
        <v>285</v>
      </c>
      <c r="F673" s="1014"/>
      <c r="G673" s="1007"/>
      <c r="H673" s="762" t="s">
        <v>46</v>
      </c>
      <c r="I673" s="880"/>
      <c r="J673" s="1012">
        <v>0</v>
      </c>
      <c r="K673" s="881">
        <f t="shared" ca="1" si="281"/>
        <v>0</v>
      </c>
      <c r="L673" s="998"/>
      <c r="M673" s="998"/>
      <c r="N673" s="998"/>
      <c r="O673" s="998"/>
      <c r="P673" s="998"/>
      <c r="Q673" s="1302"/>
      <c r="R673" s="1302"/>
      <c r="S673" s="1302"/>
      <c r="T673" s="1302"/>
      <c r="U673" s="1302"/>
      <c r="V673" s="1302"/>
      <c r="W673" s="1302"/>
      <c r="X673" s="1302"/>
      <c r="Y673" s="1302"/>
      <c r="Z673" s="1302"/>
    </row>
    <row r="674" spans="1:26" ht="18.75" hidden="1">
      <c r="A674" s="1326"/>
      <c r="B674" s="1327"/>
      <c r="C674" s="1327"/>
      <c r="D674" s="1327"/>
      <c r="E674" s="1014" t="s">
        <v>286</v>
      </c>
      <c r="F674" s="1014"/>
      <c r="G674" s="1007"/>
      <c r="H674" s="762" t="s">
        <v>46</v>
      </c>
      <c r="I674" s="880"/>
      <c r="J674" s="1012">
        <v>0</v>
      </c>
      <c r="K674" s="881">
        <f t="shared" ca="1" si="281"/>
        <v>0</v>
      </c>
      <c r="L674" s="998"/>
      <c r="M674" s="998"/>
      <c r="N674" s="998"/>
      <c r="O674" s="998"/>
      <c r="P674" s="998"/>
      <c r="Q674" s="1302"/>
      <c r="R674" s="1302"/>
      <c r="S674" s="1302"/>
      <c r="T674" s="1302"/>
      <c r="U674" s="1302"/>
      <c r="V674" s="1302"/>
      <c r="W674" s="1302"/>
      <c r="X674" s="1302"/>
      <c r="Y674" s="1302"/>
      <c r="Z674" s="1302"/>
    </row>
    <row r="675" spans="1:26" ht="19.5" hidden="1">
      <c r="A675" s="1326"/>
      <c r="B675" s="1327"/>
      <c r="C675" s="1327"/>
      <c r="D675" s="1327"/>
      <c r="E675" s="1014" t="s">
        <v>287</v>
      </c>
      <c r="F675" s="1014"/>
      <c r="G675" s="1007"/>
      <c r="H675" s="762" t="s">
        <v>46</v>
      </c>
      <c r="I675" s="880"/>
      <c r="J675" s="1019">
        <f>J676+J677</f>
        <v>0</v>
      </c>
      <c r="K675" s="1020">
        <f t="shared" ca="1" si="281"/>
        <v>0</v>
      </c>
      <c r="L675" s="998"/>
      <c r="M675" s="998"/>
      <c r="N675" s="998"/>
      <c r="O675" s="998"/>
      <c r="P675" s="998"/>
      <c r="Q675" s="1302"/>
      <c r="R675" s="1302"/>
      <c r="S675" s="1302"/>
      <c r="T675" s="1302"/>
      <c r="U675" s="1302"/>
      <c r="V675" s="1302"/>
      <c r="W675" s="1302"/>
      <c r="X675" s="1302"/>
      <c r="Y675" s="1302"/>
      <c r="Z675" s="1302"/>
    </row>
    <row r="676" spans="1:26" ht="18.75" hidden="1">
      <c r="A676" s="1326"/>
      <c r="B676" s="1327"/>
      <c r="C676" s="1327"/>
      <c r="D676" s="1327"/>
      <c r="E676" s="1014"/>
      <c r="F676" s="1014" t="s">
        <v>288</v>
      </c>
      <c r="G676" s="1007"/>
      <c r="H676" s="762" t="s">
        <v>46</v>
      </c>
      <c r="I676" s="880"/>
      <c r="J676" s="1012">
        <v>0</v>
      </c>
      <c r="K676" s="881"/>
      <c r="L676" s="998"/>
      <c r="M676" s="998"/>
      <c r="N676" s="998"/>
      <c r="O676" s="998"/>
      <c r="P676" s="998"/>
      <c r="Q676" s="1302"/>
      <c r="R676" s="1302"/>
      <c r="S676" s="1302"/>
      <c r="T676" s="1302"/>
      <c r="U676" s="1302"/>
      <c r="V676" s="1302"/>
      <c r="W676" s="1302"/>
      <c r="X676" s="1302"/>
      <c r="Y676" s="1302"/>
      <c r="Z676" s="1302"/>
    </row>
    <row r="677" spans="1:26" ht="18.75" hidden="1">
      <c r="A677" s="1326"/>
      <c r="B677" s="1327"/>
      <c r="C677" s="1327"/>
      <c r="D677" s="1327"/>
      <c r="E677" s="1014"/>
      <c r="F677" s="1014" t="s">
        <v>289</v>
      </c>
      <c r="G677" s="1007"/>
      <c r="H677" s="762" t="s">
        <v>46</v>
      </c>
      <c r="I677" s="880"/>
      <c r="J677" s="1012">
        <v>0</v>
      </c>
      <c r="K677" s="881"/>
      <c r="L677" s="998"/>
      <c r="M677" s="998"/>
      <c r="N677" s="998"/>
      <c r="O677" s="998"/>
      <c r="P677" s="998"/>
      <c r="Q677" s="1302"/>
      <c r="R677" s="1302"/>
      <c r="S677" s="1302"/>
      <c r="T677" s="1302"/>
      <c r="U677" s="1302"/>
      <c r="V677" s="1302"/>
      <c r="W677" s="1302"/>
      <c r="X677" s="1302"/>
      <c r="Y677" s="1302"/>
      <c r="Z677" s="1302"/>
    </row>
    <row r="678" spans="1:26" ht="19.5" hidden="1">
      <c r="A678" s="1326"/>
      <c r="B678" s="1327"/>
      <c r="C678" s="1327"/>
      <c r="D678" s="1327" t="s">
        <v>290</v>
      </c>
      <c r="E678" s="1014"/>
      <c r="F678" s="1014"/>
      <c r="G678" s="1007"/>
      <c r="H678" s="762" t="s">
        <v>46</v>
      </c>
      <c r="I678" s="1019">
        <f ca="1">IFERROR(__xludf.DUMMYFUNCTION("IMPORTRANGE(""https://docs.google.com/spreadsheets/d/1QqKyyYR6Q21VydFLVH3TRQUabQu_ym0Zz7PgGX0-kHA/edit?usp=sharing"",""แผน!IB77"")"),0)</f>
        <v>0</v>
      </c>
      <c r="J678" s="1019">
        <f>J679</f>
        <v>0</v>
      </c>
      <c r="K678" s="1020">
        <f ca="1">IF(I678&gt;0,J678*100/I678,0)</f>
        <v>0</v>
      </c>
      <c r="L678" s="998"/>
      <c r="M678" s="998"/>
      <c r="N678" s="998"/>
      <c r="O678" s="998"/>
      <c r="P678" s="998"/>
      <c r="Q678" s="1302"/>
      <c r="R678" s="1302"/>
      <c r="S678" s="1302"/>
      <c r="T678" s="1302"/>
      <c r="U678" s="1302"/>
      <c r="V678" s="1302"/>
      <c r="W678" s="1302"/>
      <c r="X678" s="1302"/>
      <c r="Y678" s="1302"/>
      <c r="Z678" s="1302"/>
    </row>
    <row r="679" spans="1:26" ht="18.75" hidden="1">
      <c r="A679" s="1326"/>
      <c r="B679" s="1327"/>
      <c r="C679" s="1327"/>
      <c r="D679" s="1327"/>
      <c r="E679" s="1014" t="s">
        <v>291</v>
      </c>
      <c r="F679" s="1014"/>
      <c r="G679" s="1007"/>
      <c r="H679" s="762" t="s">
        <v>46</v>
      </c>
      <c r="I679" s="880"/>
      <c r="J679" s="880">
        <f>J680+J681</f>
        <v>0</v>
      </c>
      <c r="K679" s="881"/>
      <c r="L679" s="998"/>
      <c r="M679" s="998"/>
      <c r="N679" s="998"/>
      <c r="O679" s="998"/>
      <c r="P679" s="998"/>
      <c r="Q679" s="1302"/>
      <c r="R679" s="1302"/>
      <c r="S679" s="1302"/>
      <c r="T679" s="1302"/>
      <c r="U679" s="1302"/>
      <c r="V679" s="1302"/>
      <c r="W679" s="1302"/>
      <c r="X679" s="1302"/>
      <c r="Y679" s="1302"/>
      <c r="Z679" s="1302"/>
    </row>
    <row r="680" spans="1:26" ht="18.75" hidden="1">
      <c r="A680" s="1326"/>
      <c r="B680" s="1327"/>
      <c r="C680" s="1327"/>
      <c r="D680" s="1327"/>
      <c r="E680" s="1014"/>
      <c r="F680" s="1014" t="s">
        <v>288</v>
      </c>
      <c r="G680" s="1007"/>
      <c r="H680" s="762" t="s">
        <v>46</v>
      </c>
      <c r="I680" s="880"/>
      <c r="J680" s="1012">
        <v>0</v>
      </c>
      <c r="K680" s="881"/>
      <c r="L680" s="998"/>
      <c r="M680" s="998"/>
      <c r="N680" s="998"/>
      <c r="O680" s="998"/>
      <c r="P680" s="998"/>
      <c r="Q680" s="1302"/>
      <c r="R680" s="1302"/>
      <c r="S680" s="1302"/>
      <c r="T680" s="1302"/>
      <c r="U680" s="1302"/>
      <c r="V680" s="1302"/>
      <c r="W680" s="1302"/>
      <c r="X680" s="1302"/>
      <c r="Y680" s="1302"/>
      <c r="Z680" s="1302"/>
    </row>
    <row r="681" spans="1:26" ht="18.75" hidden="1">
      <c r="A681" s="1326"/>
      <c r="B681" s="1327"/>
      <c r="C681" s="1327"/>
      <c r="D681" s="1327"/>
      <c r="E681" s="1014"/>
      <c r="F681" s="1014" t="s">
        <v>289</v>
      </c>
      <c r="G681" s="1007"/>
      <c r="H681" s="762" t="s">
        <v>46</v>
      </c>
      <c r="I681" s="880"/>
      <c r="J681" s="1012">
        <v>0</v>
      </c>
      <c r="K681" s="881"/>
      <c r="L681" s="998"/>
      <c r="M681" s="998"/>
      <c r="N681" s="998"/>
      <c r="O681" s="998"/>
      <c r="P681" s="998"/>
      <c r="Q681" s="1302"/>
      <c r="R681" s="1302"/>
      <c r="S681" s="1302"/>
      <c r="T681" s="1302"/>
      <c r="U681" s="1302"/>
      <c r="V681" s="1302"/>
      <c r="W681" s="1302"/>
      <c r="X681" s="1302"/>
      <c r="Y681" s="1302"/>
      <c r="Z681" s="1302"/>
    </row>
    <row r="682" spans="1:26" ht="18.75" hidden="1">
      <c r="A682" s="1326"/>
      <c r="B682" s="1327"/>
      <c r="C682" s="1327"/>
      <c r="D682" s="1327"/>
      <c r="E682" s="1014" t="s">
        <v>292</v>
      </c>
      <c r="F682" s="1014"/>
      <c r="G682" s="1007"/>
      <c r="H682" s="762" t="s">
        <v>46</v>
      </c>
      <c r="I682" s="880"/>
      <c r="J682" s="1012">
        <v>0</v>
      </c>
      <c r="K682" s="881"/>
      <c r="L682" s="998"/>
      <c r="M682" s="998"/>
      <c r="N682" s="998"/>
      <c r="O682" s="998"/>
      <c r="P682" s="998"/>
      <c r="Q682" s="1302"/>
      <c r="R682" s="1302"/>
      <c r="S682" s="1302"/>
      <c r="T682" s="1302"/>
      <c r="U682" s="1302"/>
      <c r="V682" s="1302"/>
      <c r="W682" s="1302"/>
      <c r="X682" s="1302"/>
      <c r="Y682" s="1302"/>
      <c r="Z682" s="1302"/>
    </row>
    <row r="683" spans="1:26" ht="18.75" hidden="1">
      <c r="A683" s="1326"/>
      <c r="B683" s="1327"/>
      <c r="C683" s="1327"/>
      <c r="D683" s="1327"/>
      <c r="E683" s="1014"/>
      <c r="F683" s="1014" t="s">
        <v>293</v>
      </c>
      <c r="G683" s="1007"/>
      <c r="H683" s="762" t="s">
        <v>46</v>
      </c>
      <c r="I683" s="880"/>
      <c r="J683" s="1012">
        <v>0</v>
      </c>
      <c r="K683" s="881"/>
      <c r="L683" s="998"/>
      <c r="M683" s="998"/>
      <c r="N683" s="998"/>
      <c r="O683" s="998"/>
      <c r="P683" s="998"/>
      <c r="Q683" s="1302"/>
      <c r="R683" s="1302"/>
      <c r="S683" s="1302"/>
      <c r="T683" s="1302"/>
      <c r="U683" s="1302"/>
      <c r="V683" s="1302"/>
      <c r="W683" s="1302"/>
      <c r="X683" s="1302"/>
      <c r="Y683" s="1302"/>
      <c r="Z683" s="1302"/>
    </row>
    <row r="684" spans="1:26" ht="19.5" hidden="1">
      <c r="A684" s="1434"/>
      <c r="B684" s="1435" t="s">
        <v>294</v>
      </c>
      <c r="C684" s="1434"/>
      <c r="D684" s="1434"/>
      <c r="E684" s="1434"/>
      <c r="F684" s="1434"/>
      <c r="G684" s="1436"/>
      <c r="H684" s="1436"/>
      <c r="I684" s="1437"/>
      <c r="J684" s="1437"/>
      <c r="K684" s="1438"/>
      <c r="L684" s="1438"/>
      <c r="M684" s="1438"/>
      <c r="N684" s="1438"/>
      <c r="O684" s="1438"/>
      <c r="P684" s="1438"/>
      <c r="Q684" s="1302"/>
      <c r="R684" s="1302"/>
      <c r="S684" s="1302"/>
      <c r="T684" s="1302"/>
      <c r="U684" s="1302"/>
      <c r="V684" s="1302"/>
      <c r="W684" s="1302"/>
      <c r="X684" s="1302"/>
      <c r="Y684" s="1302"/>
      <c r="Z684" s="1302"/>
    </row>
    <row r="685" spans="1:26" ht="19.5" hidden="1">
      <c r="A685" s="1317"/>
      <c r="B685" s="1301"/>
      <c r="C685" s="1301" t="s">
        <v>16</v>
      </c>
      <c r="D685" s="1318" t="s">
        <v>17</v>
      </c>
      <c r="E685" s="841"/>
      <c r="F685" s="841"/>
      <c r="G685" s="1016"/>
      <c r="H685" s="597" t="s">
        <v>12</v>
      </c>
      <c r="I685" s="880"/>
      <c r="J685" s="880"/>
      <c r="K685" s="881"/>
      <c r="L685" s="1020">
        <f t="shared" ref="L685:N685" ca="1" si="282">L686+L687</f>
        <v>0</v>
      </c>
      <c r="M685" s="1020">
        <f t="shared" si="282"/>
        <v>0</v>
      </c>
      <c r="N685" s="1020">
        <f t="shared" si="282"/>
        <v>0</v>
      </c>
      <c r="O685" s="1020">
        <f t="shared" ref="O685:O688" ca="1" si="283">IF(L685&gt;0,N685*100/L685,0)</f>
        <v>0</v>
      </c>
      <c r="P685" s="1020">
        <f t="shared" ref="P685:P688" si="284">IF(M685&gt;0,N685*100/M685,0)</f>
        <v>0</v>
      </c>
      <c r="Q685" s="1302"/>
      <c r="R685" s="1302"/>
      <c r="S685" s="1302"/>
      <c r="T685" s="1302"/>
      <c r="U685" s="1302"/>
      <c r="V685" s="1302"/>
      <c r="W685" s="1302"/>
      <c r="X685" s="1302"/>
      <c r="Y685" s="1302"/>
      <c r="Z685" s="1302"/>
    </row>
    <row r="686" spans="1:26" ht="18.75" hidden="1">
      <c r="A686" s="1319"/>
      <c r="B686" s="1320"/>
      <c r="C686" s="1320"/>
      <c r="D686" s="1321"/>
      <c r="E686" s="1320" t="s">
        <v>185</v>
      </c>
      <c r="F686" s="1320"/>
      <c r="G686" s="1322"/>
      <c r="H686" s="165" t="s">
        <v>12</v>
      </c>
      <c r="I686" s="886"/>
      <c r="J686" s="886"/>
      <c r="K686" s="887"/>
      <c r="L686" s="887">
        <f t="shared" ref="L686:N687" si="285">L689+L696</f>
        <v>0</v>
      </c>
      <c r="M686" s="887">
        <f t="shared" si="285"/>
        <v>0</v>
      </c>
      <c r="N686" s="887">
        <f t="shared" si="285"/>
        <v>0</v>
      </c>
      <c r="O686" s="887">
        <f t="shared" si="283"/>
        <v>0</v>
      </c>
      <c r="P686" s="887">
        <f t="shared" si="284"/>
        <v>0</v>
      </c>
      <c r="Q686" s="1323"/>
      <c r="R686" s="1323"/>
      <c r="S686" s="1323"/>
      <c r="T686" s="1323"/>
      <c r="U686" s="1323"/>
      <c r="V686" s="1323"/>
      <c r="W686" s="1323"/>
      <c r="X686" s="1323"/>
      <c r="Y686" s="1323"/>
      <c r="Z686" s="1323"/>
    </row>
    <row r="687" spans="1:26" ht="18.75" hidden="1">
      <c r="A687" s="1319"/>
      <c r="B687" s="1324"/>
      <c r="C687" s="1320"/>
      <c r="D687" s="1321"/>
      <c r="E687" s="1320" t="s">
        <v>186</v>
      </c>
      <c r="F687" s="1320"/>
      <c r="G687" s="1322"/>
      <c r="H687" s="165" t="s">
        <v>12</v>
      </c>
      <c r="I687" s="886"/>
      <c r="J687" s="886"/>
      <c r="K687" s="887"/>
      <c r="L687" s="887">
        <f t="shared" ca="1" si="285"/>
        <v>0</v>
      </c>
      <c r="M687" s="887">
        <f t="shared" si="285"/>
        <v>0</v>
      </c>
      <c r="N687" s="887">
        <f t="shared" si="285"/>
        <v>0</v>
      </c>
      <c r="O687" s="887">
        <f t="shared" ca="1" si="283"/>
        <v>0</v>
      </c>
      <c r="P687" s="887">
        <f t="shared" si="284"/>
        <v>0</v>
      </c>
      <c r="Q687" s="1323"/>
      <c r="R687" s="1323"/>
      <c r="S687" s="1323"/>
      <c r="T687" s="1323"/>
      <c r="U687" s="1323"/>
      <c r="V687" s="1323"/>
      <c r="W687" s="1323"/>
      <c r="X687" s="1323"/>
      <c r="Y687" s="1323"/>
      <c r="Z687" s="1323"/>
    </row>
    <row r="688" spans="1:26" ht="18.75" hidden="1">
      <c r="A688" s="1317"/>
      <c r="B688" s="1300"/>
      <c r="C688" s="1301"/>
      <c r="D688" s="1325" t="s">
        <v>20</v>
      </c>
      <c r="E688" s="1301"/>
      <c r="F688" s="1301"/>
      <c r="G688" s="1016"/>
      <c r="H688" s="161" t="s">
        <v>12</v>
      </c>
      <c r="I688" s="997"/>
      <c r="J688" s="997"/>
      <c r="K688" s="998"/>
      <c r="L688" s="881">
        <f t="shared" ref="L688:N688" ca="1" si="286">L689+L690</f>
        <v>0</v>
      </c>
      <c r="M688" s="881">
        <f t="shared" si="286"/>
        <v>0</v>
      </c>
      <c r="N688" s="881">
        <f t="shared" si="286"/>
        <v>0</v>
      </c>
      <c r="O688" s="881">
        <f t="shared" ca="1" si="283"/>
        <v>0</v>
      </c>
      <c r="P688" s="881">
        <f t="shared" si="284"/>
        <v>0</v>
      </c>
      <c r="Q688" s="1302"/>
      <c r="R688" s="1302"/>
      <c r="S688" s="1302"/>
      <c r="T688" s="1302"/>
      <c r="U688" s="1302"/>
      <c r="V688" s="1302"/>
      <c r="W688" s="1302"/>
      <c r="X688" s="1302"/>
      <c r="Y688" s="1302"/>
      <c r="Z688" s="1302"/>
    </row>
    <row r="689" spans="1:26" ht="18.75" hidden="1">
      <c r="A689" s="1319"/>
      <c r="B689" s="1324"/>
      <c r="C689" s="1320"/>
      <c r="D689" s="1321"/>
      <c r="E689" s="1320" t="s">
        <v>185</v>
      </c>
      <c r="F689" s="1320"/>
      <c r="G689" s="1322"/>
      <c r="H689" s="165" t="s">
        <v>12</v>
      </c>
      <c r="I689" s="886"/>
      <c r="J689" s="886"/>
      <c r="K689" s="887"/>
      <c r="L689" s="887">
        <v>0</v>
      </c>
      <c r="M689" s="887">
        <v>0</v>
      </c>
      <c r="N689" s="887">
        <v>0</v>
      </c>
      <c r="O689" s="887"/>
      <c r="P689" s="887"/>
      <c r="Q689" s="1323"/>
      <c r="R689" s="1323"/>
      <c r="S689" s="1323"/>
      <c r="T689" s="1323"/>
      <c r="U689" s="1323"/>
      <c r="V689" s="1323"/>
      <c r="W689" s="1323"/>
      <c r="X689" s="1323"/>
      <c r="Y689" s="1323"/>
      <c r="Z689" s="1323"/>
    </row>
    <row r="690" spans="1:26" ht="18.75" hidden="1">
      <c r="A690" s="1319"/>
      <c r="B690" s="1324"/>
      <c r="C690" s="1320"/>
      <c r="D690" s="1321"/>
      <c r="E690" s="1320" t="s">
        <v>186</v>
      </c>
      <c r="F690" s="1320"/>
      <c r="G690" s="1322"/>
      <c r="H690" s="165" t="s">
        <v>12</v>
      </c>
      <c r="I690" s="886"/>
      <c r="J690" s="886"/>
      <c r="K690" s="887"/>
      <c r="L690" s="887">
        <f ca="1">IFERROR(__xludf.DUMMYFUNCTION("IMPORTRANGE(""https://docs.google.com/spreadsheets/d/1QqKyyYR6Q21VydFLVH3TRQUabQu_ym0Zz7PgGX0-kHA/edit?usp=sharing"",""แผน!HW77"")"),0)</f>
        <v>0</v>
      </c>
      <c r="M690" s="887">
        <v>0</v>
      </c>
      <c r="N690" s="887">
        <f>N691+N692+N693+N694</f>
        <v>0</v>
      </c>
      <c r="O690" s="887">
        <f ca="1">IF(L690&gt;0,N690*100/L690,0)</f>
        <v>0</v>
      </c>
      <c r="P690" s="887">
        <f>IF(M690&gt;0,N690*100/M690,0)</f>
        <v>0</v>
      </c>
      <c r="Q690" s="1323"/>
      <c r="R690" s="1323"/>
      <c r="S690" s="1323"/>
      <c r="T690" s="1323"/>
      <c r="U690" s="1323"/>
      <c r="V690" s="1323"/>
      <c r="W690" s="1323"/>
      <c r="X690" s="1323"/>
      <c r="Y690" s="1323"/>
      <c r="Z690" s="1323"/>
    </row>
    <row r="691" spans="1:26" ht="18.75" hidden="1">
      <c r="A691" s="1299"/>
      <c r="B691" s="1300"/>
      <c r="C691" s="1301"/>
      <c r="D691" s="1301"/>
      <c r="E691" s="1301"/>
      <c r="F691" s="1301" t="s">
        <v>187</v>
      </c>
      <c r="G691" s="1016"/>
      <c r="H691" s="161" t="s">
        <v>12</v>
      </c>
      <c r="I691" s="880"/>
      <c r="J691" s="880"/>
      <c r="K691" s="881"/>
      <c r="L691" s="881"/>
      <c r="M691" s="881"/>
      <c r="N691" s="1085">
        <v>0</v>
      </c>
      <c r="O691" s="881"/>
      <c r="P691" s="881"/>
      <c r="Q691" s="1302"/>
      <c r="R691" s="1302"/>
      <c r="S691" s="1302"/>
      <c r="T691" s="1302"/>
      <c r="U691" s="1302"/>
      <c r="V691" s="1302"/>
      <c r="W691" s="1302"/>
      <c r="X691" s="1302"/>
      <c r="Y691" s="1302"/>
      <c r="Z691" s="1302"/>
    </row>
    <row r="692" spans="1:26" ht="18.75" hidden="1">
      <c r="A692" s="1299"/>
      <c r="B692" s="1300"/>
      <c r="C692" s="1301"/>
      <c r="D692" s="1301"/>
      <c r="E692" s="1301"/>
      <c r="F692" s="1301" t="s">
        <v>188</v>
      </c>
      <c r="G692" s="1016"/>
      <c r="H692" s="161" t="s">
        <v>12</v>
      </c>
      <c r="I692" s="880"/>
      <c r="J692" s="880"/>
      <c r="K692" s="881"/>
      <c r="L692" s="881"/>
      <c r="M692" s="881"/>
      <c r="N692" s="1085">
        <v>0</v>
      </c>
      <c r="O692" s="881"/>
      <c r="P692" s="881"/>
      <c r="Q692" s="1302"/>
      <c r="R692" s="1302"/>
      <c r="S692" s="1302"/>
      <c r="T692" s="1302"/>
      <c r="U692" s="1302"/>
      <c r="V692" s="1302"/>
      <c r="W692" s="1302"/>
      <c r="X692" s="1302"/>
      <c r="Y692" s="1302"/>
      <c r="Z692" s="1302"/>
    </row>
    <row r="693" spans="1:26" ht="18.75" hidden="1">
      <c r="A693" s="1299"/>
      <c r="B693" s="1300"/>
      <c r="C693" s="1301"/>
      <c r="D693" s="1301"/>
      <c r="E693" s="1301"/>
      <c r="F693" s="1301" t="s">
        <v>189</v>
      </c>
      <c r="G693" s="1016"/>
      <c r="H693" s="161" t="s">
        <v>12</v>
      </c>
      <c r="I693" s="880"/>
      <c r="J693" s="880"/>
      <c r="K693" s="881"/>
      <c r="L693" s="881"/>
      <c r="M693" s="881"/>
      <c r="N693" s="1085">
        <v>0</v>
      </c>
      <c r="O693" s="881"/>
      <c r="P693" s="881"/>
      <c r="Q693" s="1302"/>
      <c r="R693" s="1302"/>
      <c r="S693" s="1302"/>
      <c r="T693" s="1302"/>
      <c r="U693" s="1302"/>
      <c r="V693" s="1302"/>
      <c r="W693" s="1302"/>
      <c r="X693" s="1302"/>
      <c r="Y693" s="1302"/>
      <c r="Z693" s="1302"/>
    </row>
    <row r="694" spans="1:26" ht="18.75" hidden="1">
      <c r="A694" s="1299"/>
      <c r="B694" s="1300"/>
      <c r="C694" s="1301"/>
      <c r="D694" s="1301"/>
      <c r="E694" s="1301"/>
      <c r="F694" s="1301" t="s">
        <v>190</v>
      </c>
      <c r="G694" s="1016"/>
      <c r="H694" s="161" t="s">
        <v>12</v>
      </c>
      <c r="I694" s="880"/>
      <c r="J694" s="880"/>
      <c r="K694" s="881"/>
      <c r="L694" s="881"/>
      <c r="M694" s="881"/>
      <c r="N694" s="1085">
        <v>0</v>
      </c>
      <c r="O694" s="881"/>
      <c r="P694" s="881"/>
      <c r="Q694" s="1302"/>
      <c r="R694" s="1302"/>
      <c r="S694" s="1302"/>
      <c r="T694" s="1302"/>
      <c r="U694" s="1302"/>
      <c r="V694" s="1302"/>
      <c r="W694" s="1302"/>
      <c r="X694" s="1302"/>
      <c r="Y694" s="1302"/>
      <c r="Z694" s="1302"/>
    </row>
    <row r="695" spans="1:26" ht="18.75" hidden="1">
      <c r="A695" s="1317"/>
      <c r="B695" s="1300"/>
      <c r="C695" s="1301"/>
      <c r="D695" s="1325" t="s">
        <v>21</v>
      </c>
      <c r="E695" s="1301"/>
      <c r="F695" s="1301"/>
      <c r="G695" s="1016"/>
      <c r="H695" s="168" t="s">
        <v>12</v>
      </c>
      <c r="I695" s="997"/>
      <c r="J695" s="997"/>
      <c r="K695" s="998"/>
      <c r="L695" s="881">
        <f t="shared" ref="L695:N695" si="287">L696+L697</f>
        <v>0</v>
      </c>
      <c r="M695" s="881">
        <f t="shared" si="287"/>
        <v>0</v>
      </c>
      <c r="N695" s="881">
        <f t="shared" si="287"/>
        <v>0</v>
      </c>
      <c r="O695" s="881">
        <f t="shared" ref="O695:O697" si="288">IF(L695&gt;0,N695*100/L695,0)</f>
        <v>0</v>
      </c>
      <c r="P695" s="881">
        <f t="shared" ref="P695:P697" si="289">IF(M695&gt;0,N695*100/M695,0)</f>
        <v>0</v>
      </c>
      <c r="Q695" s="1302"/>
      <c r="R695" s="1302"/>
      <c r="S695" s="1302"/>
      <c r="T695" s="1302"/>
      <c r="U695" s="1302"/>
      <c r="V695" s="1302"/>
      <c r="W695" s="1302"/>
      <c r="X695" s="1302"/>
      <c r="Y695" s="1302"/>
      <c r="Z695" s="1302"/>
    </row>
    <row r="696" spans="1:26" ht="18.75" hidden="1">
      <c r="A696" s="1319"/>
      <c r="B696" s="1324"/>
      <c r="C696" s="1320"/>
      <c r="D696" s="1320"/>
      <c r="E696" s="1320" t="s">
        <v>18</v>
      </c>
      <c r="F696" s="1320"/>
      <c r="G696" s="1322"/>
      <c r="H696" s="165" t="s">
        <v>12</v>
      </c>
      <c r="I696" s="1000"/>
      <c r="J696" s="1000"/>
      <c r="K696" s="1001"/>
      <c r="L696" s="887">
        <v>0</v>
      </c>
      <c r="M696" s="887">
        <v>0</v>
      </c>
      <c r="N696" s="887">
        <v>0</v>
      </c>
      <c r="O696" s="887">
        <f t="shared" si="288"/>
        <v>0</v>
      </c>
      <c r="P696" s="887">
        <f t="shared" si="289"/>
        <v>0</v>
      </c>
      <c r="Q696" s="1323"/>
      <c r="R696" s="1323"/>
      <c r="S696" s="1323"/>
      <c r="T696" s="1323"/>
      <c r="U696" s="1323"/>
      <c r="V696" s="1323"/>
      <c r="W696" s="1323"/>
      <c r="X696" s="1323"/>
      <c r="Y696" s="1323"/>
      <c r="Z696" s="1323"/>
    </row>
    <row r="697" spans="1:26" ht="18.75" hidden="1">
      <c r="A697" s="1319"/>
      <c r="B697" s="1324"/>
      <c r="C697" s="1320"/>
      <c r="D697" s="1320"/>
      <c r="E697" s="1320" t="s">
        <v>19</v>
      </c>
      <c r="F697" s="1320"/>
      <c r="G697" s="1322"/>
      <c r="H697" s="169" t="s">
        <v>12</v>
      </c>
      <c r="I697" s="1000"/>
      <c r="J697" s="1000"/>
      <c r="K697" s="1001"/>
      <c r="L697" s="887">
        <v>0</v>
      </c>
      <c r="M697" s="887">
        <v>0</v>
      </c>
      <c r="N697" s="887">
        <v>0</v>
      </c>
      <c r="O697" s="887">
        <f t="shared" si="288"/>
        <v>0</v>
      </c>
      <c r="P697" s="887">
        <f t="shared" si="289"/>
        <v>0</v>
      </c>
      <c r="Q697" s="1323"/>
      <c r="R697" s="1323"/>
      <c r="S697" s="1323"/>
      <c r="T697" s="1323"/>
      <c r="U697" s="1323"/>
      <c r="V697" s="1323"/>
      <c r="W697" s="1323"/>
      <c r="X697" s="1323"/>
      <c r="Y697" s="1323"/>
      <c r="Z697" s="1323"/>
    </row>
    <row r="698" spans="1:26" ht="19.5" hidden="1">
      <c r="A698" s="1326"/>
      <c r="B698" s="1327"/>
      <c r="C698" s="1301" t="s">
        <v>16</v>
      </c>
      <c r="D698" s="1439" t="s">
        <v>38</v>
      </c>
      <c r="E698" s="1330"/>
      <c r="F698" s="1330"/>
      <c r="G698" s="1331"/>
      <c r="H698" s="1007"/>
      <c r="I698" s="997"/>
      <c r="J698" s="997"/>
      <c r="K698" s="998"/>
      <c r="L698" s="998"/>
      <c r="M698" s="998"/>
      <c r="N698" s="998"/>
      <c r="O698" s="998"/>
      <c r="P698" s="998"/>
      <c r="Q698" s="1302"/>
      <c r="R698" s="1302"/>
      <c r="S698" s="1302"/>
      <c r="T698" s="1302"/>
      <c r="U698" s="1302"/>
      <c r="V698" s="1302"/>
      <c r="W698" s="1302"/>
      <c r="X698" s="1302"/>
      <c r="Y698" s="1302"/>
      <c r="Z698" s="1302"/>
    </row>
    <row r="699" spans="1:26" ht="18.75" hidden="1">
      <c r="A699" s="1429"/>
      <c r="B699" s="1301"/>
      <c r="C699" s="1301"/>
      <c r="D699" s="1301" t="s">
        <v>295</v>
      </c>
      <c r="E699" s="1301"/>
      <c r="F699" s="1301"/>
      <c r="G699" s="1016"/>
      <c r="H699" s="762" t="s">
        <v>46</v>
      </c>
      <c r="I699" s="1440">
        <f ca="1">IFERROR(__xludf.DUMMYFUNCTION("IMPORTRANGE(""https://docs.google.com/spreadsheets/d/1QqKyyYR6Q21VydFLVH3TRQUabQu_ym0Zz7PgGX0-kHA/edit?usp=sharing"",""แผน!IC77"")"),0)</f>
        <v>0</v>
      </c>
      <c r="J699" s="880">
        <f ca="1">IFERROR(__xludf.DUMMYFUNCTION("IMPORTRANGE(""https://docs.google.com/spreadsheets/d/1XWAQStnk-4SwqDmLtmXYiTMKHgktTP8We1SCoS47DrQ/edit?usp=sharing"",""จัดที่ดิน!BB77"")"),0)</f>
        <v>0</v>
      </c>
      <c r="K699" s="881">
        <f t="shared" ref="K699:K701" ca="1" si="290">IF(I699&gt;0,J699*100/I699,0)</f>
        <v>0</v>
      </c>
      <c r="L699" s="881"/>
      <c r="M699" s="1016"/>
      <c r="N699" s="1441"/>
      <c r="O699" s="881"/>
      <c r="P699" s="881"/>
      <c r="Q699" s="1302"/>
      <c r="R699" s="1302"/>
      <c r="S699" s="1302"/>
      <c r="T699" s="1302"/>
      <c r="U699" s="1302"/>
      <c r="V699" s="1302"/>
      <c r="W699" s="1302"/>
      <c r="X699" s="1302"/>
      <c r="Y699" s="1302"/>
      <c r="Z699" s="1302"/>
    </row>
    <row r="700" spans="1:26" ht="18.75" hidden="1">
      <c r="A700" s="1429"/>
      <c r="B700" s="1301"/>
      <c r="C700" s="1301"/>
      <c r="D700" s="1301" t="s">
        <v>296</v>
      </c>
      <c r="E700" s="1301"/>
      <c r="F700" s="1301"/>
      <c r="G700" s="1016"/>
      <c r="H700" s="762" t="s">
        <v>35</v>
      </c>
      <c r="I700" s="1440">
        <f ca="1">IFERROR(__xludf.DUMMYFUNCTION("IMPORTRANGE(""https://docs.google.com/spreadsheets/d/1QqKyyYR6Q21VydFLVH3TRQUabQu_ym0Zz7PgGX0-kHA/edit?usp=sharing"",""แผน!ID77"")"),0)</f>
        <v>0</v>
      </c>
      <c r="J700" s="880">
        <f ca="1">IFERROR(__xludf.DUMMYFUNCTION("IMPORTRANGE(""https://docs.google.com/spreadsheets/d/1XWAQStnk-4SwqDmLtmXYiTMKHgktTP8We1SCoS47DrQ/edit?usp=sharing"",""จัดที่ดิน!BD77"")"),0)</f>
        <v>0</v>
      </c>
      <c r="K700" s="881">
        <f t="shared" ca="1" si="290"/>
        <v>0</v>
      </c>
      <c r="L700" s="881"/>
      <c r="M700" s="1016"/>
      <c r="N700" s="1441"/>
      <c r="O700" s="881"/>
      <c r="P700" s="881"/>
      <c r="Q700" s="1302"/>
      <c r="R700" s="1302"/>
      <c r="S700" s="1302"/>
      <c r="T700" s="1302"/>
      <c r="U700" s="1302"/>
      <c r="V700" s="1302"/>
      <c r="W700" s="1302"/>
      <c r="X700" s="1302"/>
      <c r="Y700" s="1302"/>
      <c r="Z700" s="1302"/>
    </row>
    <row r="701" spans="1:26" ht="19.5" hidden="1">
      <c r="A701" s="1429"/>
      <c r="B701" s="1301"/>
      <c r="C701" s="1301"/>
      <c r="D701" s="1301" t="s">
        <v>297</v>
      </c>
      <c r="E701" s="1301"/>
      <c r="F701" s="1301"/>
      <c r="G701" s="1016"/>
      <c r="H701" s="765" t="s">
        <v>46</v>
      </c>
      <c r="I701" s="1442">
        <f ca="1">IFERROR(__xludf.DUMMYFUNCTION("IMPORTRANGE(""https://docs.google.com/spreadsheets/d/1QqKyyYR6Q21VydFLVH3TRQUabQu_ym0Zz7PgGX0-kHA/edit?usp=sharing"",""แผน!IE77"")"),0)</f>
        <v>0</v>
      </c>
      <c r="J701" s="1019">
        <f>J704+J707</f>
        <v>0</v>
      </c>
      <c r="K701" s="1020">
        <f t="shared" ca="1" si="290"/>
        <v>0</v>
      </c>
      <c r="L701" s="881"/>
      <c r="M701" s="1016"/>
      <c r="N701" s="1441"/>
      <c r="O701" s="881"/>
      <c r="P701" s="881"/>
      <c r="Q701" s="1302"/>
      <c r="R701" s="1302"/>
      <c r="S701" s="1302"/>
      <c r="T701" s="1302"/>
      <c r="U701" s="1302"/>
      <c r="V701" s="1302"/>
      <c r="W701" s="1302"/>
      <c r="X701" s="1302"/>
      <c r="Y701" s="1302"/>
      <c r="Z701" s="1302"/>
    </row>
    <row r="702" spans="1:26" ht="18.75" hidden="1">
      <c r="A702" s="1429"/>
      <c r="B702" s="1301"/>
      <c r="C702" s="1301"/>
      <c r="D702" s="1301"/>
      <c r="E702" s="1301" t="s">
        <v>298</v>
      </c>
      <c r="F702" s="1301"/>
      <c r="G702" s="1016"/>
      <c r="H702" s="762" t="s">
        <v>35</v>
      </c>
      <c r="I702" s="1440"/>
      <c r="J702" s="1012">
        <v>0</v>
      </c>
      <c r="K702" s="881"/>
      <c r="L702" s="881"/>
      <c r="M702" s="1016"/>
      <c r="N702" s="1441"/>
      <c r="O702" s="881"/>
      <c r="P702" s="881"/>
      <c r="Q702" s="1302"/>
      <c r="R702" s="1302"/>
      <c r="S702" s="1302"/>
      <c r="T702" s="1302"/>
      <c r="U702" s="1302"/>
      <c r="V702" s="1302"/>
      <c r="W702" s="1302"/>
      <c r="X702" s="1302"/>
      <c r="Y702" s="1302"/>
      <c r="Z702" s="1302"/>
    </row>
    <row r="703" spans="1:26" ht="18.75" hidden="1">
      <c r="A703" s="1429"/>
      <c r="B703" s="1301"/>
      <c r="C703" s="1301"/>
      <c r="D703" s="1301"/>
      <c r="E703" s="1301"/>
      <c r="F703" s="1301"/>
      <c r="G703" s="1016"/>
      <c r="H703" s="762" t="s">
        <v>34</v>
      </c>
      <c r="I703" s="1440"/>
      <c r="J703" s="1012">
        <v>0</v>
      </c>
      <c r="K703" s="881"/>
      <c r="L703" s="881"/>
      <c r="M703" s="1016"/>
      <c r="N703" s="1441"/>
      <c r="O703" s="881"/>
      <c r="P703" s="881"/>
      <c r="Q703" s="1302"/>
      <c r="R703" s="1302"/>
      <c r="S703" s="1302"/>
      <c r="T703" s="1302"/>
      <c r="U703" s="1302"/>
      <c r="V703" s="1302"/>
      <c r="W703" s="1302"/>
      <c r="X703" s="1302"/>
      <c r="Y703" s="1302"/>
      <c r="Z703" s="1302"/>
    </row>
    <row r="704" spans="1:26" ht="18.75" hidden="1">
      <c r="A704" s="1429"/>
      <c r="B704" s="1301"/>
      <c r="C704" s="1301"/>
      <c r="D704" s="1301"/>
      <c r="E704" s="1301"/>
      <c r="F704" s="1301"/>
      <c r="G704" s="1016"/>
      <c r="H704" s="762" t="s">
        <v>46</v>
      </c>
      <c r="I704" s="1440">
        <f ca="1">IFERROR(__xludf.DUMMYFUNCTION("IMPORTRANGE(""https://docs.google.com/spreadsheets/d/1QqKyyYR6Q21VydFLVH3TRQUabQu_ym0Zz7PgGX0-kHA/edit?usp=sharing"",""แผน!IF77"")"),0)</f>
        <v>0</v>
      </c>
      <c r="J704" s="1012">
        <v>0</v>
      </c>
      <c r="K704" s="881"/>
      <c r="L704" s="881"/>
      <c r="M704" s="1016"/>
      <c r="N704" s="1441"/>
      <c r="O704" s="881"/>
      <c r="P704" s="881"/>
      <c r="Q704" s="1302"/>
      <c r="R704" s="1302"/>
      <c r="S704" s="1302"/>
      <c r="T704" s="1302"/>
      <c r="U704" s="1302"/>
      <c r="V704" s="1302"/>
      <c r="W704" s="1302"/>
      <c r="X704" s="1302"/>
      <c r="Y704" s="1302"/>
      <c r="Z704" s="1302"/>
    </row>
    <row r="705" spans="1:26" ht="18.75" hidden="1">
      <c r="A705" s="1429"/>
      <c r="B705" s="1301"/>
      <c r="C705" s="1301"/>
      <c r="D705" s="1301"/>
      <c r="E705" s="1301" t="s">
        <v>299</v>
      </c>
      <c r="F705" s="1301"/>
      <c r="G705" s="1016"/>
      <c r="H705" s="762" t="s">
        <v>35</v>
      </c>
      <c r="I705" s="1440"/>
      <c r="J705" s="1012">
        <v>0</v>
      </c>
      <c r="K705" s="881"/>
      <c r="L705" s="881"/>
      <c r="M705" s="1016"/>
      <c r="N705" s="1441"/>
      <c r="O705" s="881"/>
      <c r="P705" s="881"/>
      <c r="Q705" s="1302"/>
      <c r="R705" s="1302"/>
      <c r="S705" s="1302"/>
      <c r="T705" s="1302"/>
      <c r="U705" s="1302"/>
      <c r="V705" s="1302"/>
      <c r="W705" s="1302"/>
      <c r="X705" s="1302"/>
      <c r="Y705" s="1302"/>
      <c r="Z705" s="1302"/>
    </row>
    <row r="706" spans="1:26" ht="18.75" hidden="1">
      <c r="A706" s="1429"/>
      <c r="B706" s="1301"/>
      <c r="C706" s="1301"/>
      <c r="D706" s="1301"/>
      <c r="E706" s="1301"/>
      <c r="F706" s="1301"/>
      <c r="G706" s="1016"/>
      <c r="H706" s="762" t="s">
        <v>34</v>
      </c>
      <c r="I706" s="1440"/>
      <c r="J706" s="1012">
        <v>0</v>
      </c>
      <c r="K706" s="881"/>
      <c r="L706" s="881"/>
      <c r="M706" s="1016"/>
      <c r="N706" s="1441"/>
      <c r="O706" s="881"/>
      <c r="P706" s="881"/>
      <c r="Q706" s="1302"/>
      <c r="R706" s="1302"/>
      <c r="S706" s="1302"/>
      <c r="T706" s="1302"/>
      <c r="U706" s="1302"/>
      <c r="V706" s="1302"/>
      <c r="W706" s="1302"/>
      <c r="X706" s="1302"/>
      <c r="Y706" s="1302"/>
      <c r="Z706" s="1302"/>
    </row>
    <row r="707" spans="1:26" ht="18.75" hidden="1">
      <c r="A707" s="1429"/>
      <c r="B707" s="1301"/>
      <c r="C707" s="1301"/>
      <c r="D707" s="1301"/>
      <c r="E707" s="1301"/>
      <c r="F707" s="1301"/>
      <c r="G707" s="1016"/>
      <c r="H707" s="762" t="s">
        <v>46</v>
      </c>
      <c r="I707" s="1440">
        <f ca="1">IFERROR(__xludf.DUMMYFUNCTION("IMPORTRANGE(""https://docs.google.com/spreadsheets/d/1QqKyyYR6Q21VydFLVH3TRQUabQu_ym0Zz7PgGX0-kHA/edit?usp=sharing"",""แผน!IG77"")"),0)</f>
        <v>0</v>
      </c>
      <c r="J707" s="1012">
        <v>0</v>
      </c>
      <c r="K707" s="881"/>
      <c r="L707" s="881"/>
      <c r="M707" s="1016"/>
      <c r="N707" s="1441"/>
      <c r="O707" s="881"/>
      <c r="P707" s="881"/>
      <c r="Q707" s="1302"/>
      <c r="R707" s="1302"/>
      <c r="S707" s="1302"/>
      <c r="T707" s="1302"/>
      <c r="U707" s="1302"/>
      <c r="V707" s="1302"/>
      <c r="W707" s="1302"/>
      <c r="X707" s="1302"/>
      <c r="Y707" s="1302"/>
      <c r="Z707" s="1302"/>
    </row>
    <row r="708" spans="1:26" ht="19.5" hidden="1">
      <c r="A708" s="1429"/>
      <c r="B708" s="1301"/>
      <c r="C708" s="1301"/>
      <c r="D708" s="1382" t="s">
        <v>300</v>
      </c>
      <c r="E708" s="1301"/>
      <c r="F708" s="1301"/>
      <c r="G708" s="1016"/>
      <c r="H708" s="765" t="s">
        <v>46</v>
      </c>
      <c r="I708" s="1442">
        <f ca="1">IFERROR(__xludf.DUMMYFUNCTION("IMPORTRANGE(""https://docs.google.com/spreadsheets/d/1QqKyyYR6Q21VydFLVH3TRQUabQu_ym0Zz7PgGX0-kHA/edit?usp=sharing"",""แผน!IH77"")"),0)</f>
        <v>0</v>
      </c>
      <c r="J708" s="1019">
        <f>J714+J717</f>
        <v>0</v>
      </c>
      <c r="K708" s="1020">
        <f ca="1">IF(I708&gt;0,J708*100/I708,0)</f>
        <v>0</v>
      </c>
      <c r="L708" s="881"/>
      <c r="M708" s="1016"/>
      <c r="N708" s="1441"/>
      <c r="O708" s="881"/>
      <c r="P708" s="881"/>
      <c r="Q708" s="1302"/>
      <c r="R708" s="1302"/>
      <c r="S708" s="1302"/>
      <c r="T708" s="1302"/>
      <c r="U708" s="1302"/>
      <c r="V708" s="1302"/>
      <c r="W708" s="1302"/>
      <c r="X708" s="1302"/>
      <c r="Y708" s="1302"/>
      <c r="Z708" s="1302"/>
    </row>
    <row r="709" spans="1:26" ht="18.75" hidden="1">
      <c r="A709" s="1429"/>
      <c r="B709" s="1301"/>
      <c r="C709" s="1301"/>
      <c r="D709" s="1301"/>
      <c r="E709" s="1301" t="s">
        <v>301</v>
      </c>
      <c r="F709" s="1301"/>
      <c r="G709" s="1016"/>
      <c r="H709" s="762" t="s">
        <v>34</v>
      </c>
      <c r="I709" s="1440"/>
      <c r="J709" s="1012">
        <v>0</v>
      </c>
      <c r="K709" s="881"/>
      <c r="L709" s="1441"/>
      <c r="M709" s="1016"/>
      <c r="N709" s="1441"/>
      <c r="O709" s="881"/>
      <c r="P709" s="881"/>
      <c r="Q709" s="1302"/>
      <c r="R709" s="1302"/>
      <c r="S709" s="1302"/>
      <c r="T709" s="1302"/>
      <c r="U709" s="1302"/>
      <c r="V709" s="1302"/>
      <c r="W709" s="1302"/>
      <c r="X709" s="1302"/>
      <c r="Y709" s="1302"/>
      <c r="Z709" s="1302"/>
    </row>
    <row r="710" spans="1:26" ht="18.75" hidden="1">
      <c r="A710" s="1429"/>
      <c r="B710" s="1301"/>
      <c r="C710" s="1301"/>
      <c r="D710" s="1301"/>
      <c r="E710" s="1301"/>
      <c r="F710" s="1301"/>
      <c r="G710" s="1016"/>
      <c r="H710" s="762" t="s">
        <v>46</v>
      </c>
      <c r="I710" s="1440"/>
      <c r="J710" s="1012">
        <v>0</v>
      </c>
      <c r="K710" s="881"/>
      <c r="L710" s="1441"/>
      <c r="M710" s="1016"/>
      <c r="N710" s="1441"/>
      <c r="O710" s="881"/>
      <c r="P710" s="881"/>
      <c r="Q710" s="1302"/>
      <c r="R710" s="1302"/>
      <c r="S710" s="1302"/>
      <c r="T710" s="1302"/>
      <c r="U710" s="1302"/>
      <c r="V710" s="1302"/>
      <c r="W710" s="1302"/>
      <c r="X710" s="1302"/>
      <c r="Y710" s="1302"/>
      <c r="Z710" s="1302"/>
    </row>
    <row r="711" spans="1:26" ht="18.75" hidden="1">
      <c r="A711" s="1429"/>
      <c r="B711" s="1301"/>
      <c r="C711" s="1301"/>
      <c r="D711" s="1301"/>
      <c r="E711" s="1301" t="s">
        <v>302</v>
      </c>
      <c r="F711" s="1301"/>
      <c r="G711" s="1016"/>
      <c r="H711" s="1007"/>
      <c r="I711" s="1440"/>
      <c r="J711" s="880"/>
      <c r="K711" s="881"/>
      <c r="L711" s="1441"/>
      <c r="M711" s="1016"/>
      <c r="N711" s="1441"/>
      <c r="O711" s="881"/>
      <c r="P711" s="881"/>
      <c r="Q711" s="1302"/>
      <c r="R711" s="1302"/>
      <c r="S711" s="1302"/>
      <c r="T711" s="1302"/>
      <c r="U711" s="1302"/>
      <c r="V711" s="1302"/>
      <c r="W711" s="1302"/>
      <c r="X711" s="1302"/>
      <c r="Y711" s="1302"/>
      <c r="Z711" s="1302"/>
    </row>
    <row r="712" spans="1:26" ht="18.75" hidden="1">
      <c r="A712" s="1429"/>
      <c r="B712" s="1301"/>
      <c r="C712" s="1301"/>
      <c r="D712" s="1301"/>
      <c r="E712" s="1301"/>
      <c r="F712" s="1301" t="s">
        <v>303</v>
      </c>
      <c r="G712" s="1016"/>
      <c r="H712" s="762" t="s">
        <v>35</v>
      </c>
      <c r="I712" s="1440"/>
      <c r="J712" s="1012">
        <v>0</v>
      </c>
      <c r="K712" s="881"/>
      <c r="L712" s="1441"/>
      <c r="M712" s="1016"/>
      <c r="N712" s="1441"/>
      <c r="O712" s="881"/>
      <c r="P712" s="881"/>
      <c r="Q712" s="1302"/>
      <c r="R712" s="1302"/>
      <c r="S712" s="1302"/>
      <c r="T712" s="1302"/>
      <c r="U712" s="1302"/>
      <c r="V712" s="1302"/>
      <c r="W712" s="1302"/>
      <c r="X712" s="1302"/>
      <c r="Y712" s="1302"/>
      <c r="Z712" s="1302"/>
    </row>
    <row r="713" spans="1:26" ht="18.75" hidden="1">
      <c r="A713" s="1429"/>
      <c r="B713" s="1301"/>
      <c r="C713" s="1301"/>
      <c r="D713" s="1301"/>
      <c r="E713" s="1301"/>
      <c r="F713" s="1301"/>
      <c r="G713" s="1016"/>
      <c r="H713" s="762" t="s">
        <v>34</v>
      </c>
      <c r="I713" s="1440"/>
      <c r="J713" s="1012">
        <v>0</v>
      </c>
      <c r="K713" s="881"/>
      <c r="L713" s="1441"/>
      <c r="M713" s="1016"/>
      <c r="N713" s="1441"/>
      <c r="O713" s="881"/>
      <c r="P713" s="881"/>
      <c r="Q713" s="1302"/>
      <c r="R713" s="1302"/>
      <c r="S713" s="1302"/>
      <c r="T713" s="1302"/>
      <c r="U713" s="1302"/>
      <c r="V713" s="1302"/>
      <c r="W713" s="1302"/>
      <c r="X713" s="1302"/>
      <c r="Y713" s="1302"/>
      <c r="Z713" s="1302"/>
    </row>
    <row r="714" spans="1:26" ht="18.75" hidden="1">
      <c r="A714" s="1429"/>
      <c r="B714" s="1301"/>
      <c r="C714" s="1301"/>
      <c r="D714" s="1301"/>
      <c r="E714" s="1301"/>
      <c r="F714" s="1301"/>
      <c r="G714" s="1016"/>
      <c r="H714" s="762" t="s">
        <v>46</v>
      </c>
      <c r="I714" s="1440"/>
      <c r="J714" s="1012">
        <v>0</v>
      </c>
      <c r="K714" s="881"/>
      <c r="L714" s="1441"/>
      <c r="M714" s="1016"/>
      <c r="N714" s="1441"/>
      <c r="O714" s="881"/>
      <c r="P714" s="881"/>
      <c r="Q714" s="1302"/>
      <c r="R714" s="1302"/>
      <c r="S714" s="1302"/>
      <c r="T714" s="1302"/>
      <c r="U714" s="1302"/>
      <c r="V714" s="1302"/>
      <c r="W714" s="1302"/>
      <c r="X714" s="1302"/>
      <c r="Y714" s="1302"/>
      <c r="Z714" s="1302"/>
    </row>
    <row r="715" spans="1:26" ht="18.75" hidden="1">
      <c r="A715" s="1429"/>
      <c r="B715" s="1301"/>
      <c r="C715" s="1301"/>
      <c r="D715" s="1301"/>
      <c r="E715" s="1301"/>
      <c r="F715" s="1301" t="s">
        <v>304</v>
      </c>
      <c r="G715" s="1016"/>
      <c r="H715" s="762" t="s">
        <v>35</v>
      </c>
      <c r="I715" s="1440"/>
      <c r="J715" s="1012">
        <v>0</v>
      </c>
      <c r="K715" s="881"/>
      <c r="L715" s="1441"/>
      <c r="M715" s="1016"/>
      <c r="N715" s="1441"/>
      <c r="O715" s="881"/>
      <c r="P715" s="881"/>
      <c r="Q715" s="1302"/>
      <c r="R715" s="1302"/>
      <c r="S715" s="1302"/>
      <c r="T715" s="1302"/>
      <c r="U715" s="1302"/>
      <c r="V715" s="1302"/>
      <c r="W715" s="1302"/>
      <c r="X715" s="1302"/>
      <c r="Y715" s="1302"/>
      <c r="Z715" s="1302"/>
    </row>
    <row r="716" spans="1:26" ht="18.75" hidden="1">
      <c r="A716" s="1429"/>
      <c r="B716" s="1301"/>
      <c r="C716" s="1301"/>
      <c r="D716" s="1301"/>
      <c r="E716" s="1301"/>
      <c r="F716" s="1301"/>
      <c r="G716" s="1016"/>
      <c r="H716" s="762" t="s">
        <v>34</v>
      </c>
      <c r="I716" s="1440"/>
      <c r="J716" s="1012">
        <v>0</v>
      </c>
      <c r="K716" s="881"/>
      <c r="L716" s="1441"/>
      <c r="M716" s="1016"/>
      <c r="N716" s="1441"/>
      <c r="O716" s="881"/>
      <c r="P716" s="881"/>
      <c r="Q716" s="1302"/>
      <c r="R716" s="1302"/>
      <c r="S716" s="1302"/>
      <c r="T716" s="1302"/>
      <c r="U716" s="1302"/>
      <c r="V716" s="1302"/>
      <c r="W716" s="1302"/>
      <c r="X716" s="1302"/>
      <c r="Y716" s="1302"/>
      <c r="Z716" s="1302"/>
    </row>
    <row r="717" spans="1:26" ht="18.75" hidden="1">
      <c r="A717" s="1429"/>
      <c r="B717" s="1301"/>
      <c r="C717" s="1301"/>
      <c r="D717" s="1301"/>
      <c r="E717" s="1301"/>
      <c r="F717" s="1301"/>
      <c r="G717" s="1016"/>
      <c r="H717" s="762" t="s">
        <v>46</v>
      </c>
      <c r="I717" s="1440"/>
      <c r="J717" s="1012">
        <v>0</v>
      </c>
      <c r="K717" s="881"/>
      <c r="L717" s="1441"/>
      <c r="M717" s="1016"/>
      <c r="N717" s="1441"/>
      <c r="O717" s="881"/>
      <c r="P717" s="881"/>
      <c r="Q717" s="1302"/>
      <c r="R717" s="1302"/>
      <c r="S717" s="1302"/>
      <c r="T717" s="1302"/>
      <c r="U717" s="1302"/>
      <c r="V717" s="1302"/>
      <c r="W717" s="1302"/>
      <c r="X717" s="1302"/>
      <c r="Y717" s="1302"/>
      <c r="Z717" s="1302"/>
    </row>
    <row r="718" spans="1:26" ht="18.75" hidden="1">
      <c r="A718" s="1429"/>
      <c r="B718" s="1301"/>
      <c r="C718" s="1301"/>
      <c r="D718" s="1301" t="s">
        <v>305</v>
      </c>
      <c r="E718" s="1301"/>
      <c r="F718" s="1301"/>
      <c r="G718" s="1016"/>
      <c r="H718" s="762" t="s">
        <v>35</v>
      </c>
      <c r="I718" s="1440"/>
      <c r="J718" s="880">
        <f ca="1">IFERROR(__xludf.DUMMYFUNCTION("IMPORTRANGE(""https://docs.google.com/spreadsheets/d/1XWAQStnk-4SwqDmLtmXYiTMKHgktTP8We1SCoS47DrQ/edit?usp=sharing"",""จัดที่ดิน!BF77"")"),0)</f>
        <v>0</v>
      </c>
      <c r="K718" s="881"/>
      <c r="L718" s="881"/>
      <c r="M718" s="1016"/>
      <c r="N718" s="1441"/>
      <c r="O718" s="881"/>
      <c r="P718" s="881"/>
      <c r="Q718" s="1302"/>
      <c r="R718" s="1302"/>
      <c r="S718" s="1302"/>
      <c r="T718" s="1302"/>
      <c r="U718" s="1302"/>
      <c r="V718" s="1302"/>
      <c r="W718" s="1302"/>
      <c r="X718" s="1302"/>
      <c r="Y718" s="1302"/>
      <c r="Z718" s="1302"/>
    </row>
    <row r="719" spans="1:26" ht="18.75" hidden="1">
      <c r="A719" s="1429"/>
      <c r="B719" s="1301"/>
      <c r="C719" s="1301"/>
      <c r="D719" s="1301"/>
      <c r="E719" s="1301"/>
      <c r="F719" s="1301"/>
      <c r="G719" s="1016"/>
      <c r="H719" s="762" t="s">
        <v>34</v>
      </c>
      <c r="I719" s="1440"/>
      <c r="J719" s="880">
        <f ca="1">IFERROR(__xludf.DUMMYFUNCTION("IMPORTRANGE(""https://docs.google.com/spreadsheets/d/1XWAQStnk-4SwqDmLtmXYiTMKHgktTP8We1SCoS47DrQ/edit?usp=sharing"",""จัดที่ดิน!BG77"")"),0)</f>
        <v>0</v>
      </c>
      <c r="K719" s="881"/>
      <c r="L719" s="1441"/>
      <c r="M719" s="1016"/>
      <c r="N719" s="1441"/>
      <c r="O719" s="881"/>
      <c r="P719" s="881"/>
      <c r="Q719" s="1302"/>
      <c r="R719" s="1302"/>
      <c r="S719" s="1302"/>
      <c r="T719" s="1302"/>
      <c r="U719" s="1302"/>
      <c r="V719" s="1302"/>
      <c r="W719" s="1302"/>
      <c r="X719" s="1302"/>
      <c r="Y719" s="1302"/>
      <c r="Z719" s="1302"/>
    </row>
    <row r="720" spans="1:26" ht="18.75" hidden="1">
      <c r="A720" s="1429"/>
      <c r="B720" s="1301"/>
      <c r="C720" s="1301"/>
      <c r="D720" s="1301"/>
      <c r="E720" s="1301"/>
      <c r="F720" s="1301"/>
      <c r="G720" s="1016"/>
      <c r="H720" s="762" t="s">
        <v>46</v>
      </c>
      <c r="I720" s="1440">
        <f ca="1">IFERROR(__xludf.DUMMYFUNCTION("IMPORTRANGE(""https://docs.google.com/spreadsheets/d/1QqKyyYR6Q21VydFLVH3TRQUabQu_ym0Zz7PgGX0-kHA/edit?usp=sharing"",""แผน!II77"")"),0)</f>
        <v>0</v>
      </c>
      <c r="J720" s="880">
        <f ca="1">IFERROR(__xludf.DUMMYFUNCTION("IMPORTRANGE(""https://docs.google.com/spreadsheets/d/1XWAQStnk-4SwqDmLtmXYiTMKHgktTP8We1SCoS47DrQ/edit?usp=sharing"",""จัดที่ดิน!BH77"")"),0)</f>
        <v>0</v>
      </c>
      <c r="K720" s="881">
        <f t="shared" ref="K720:K723" ca="1" si="291">IF(I720&gt;0,J720*100/I720,0)</f>
        <v>0</v>
      </c>
      <c r="L720" s="1441"/>
      <c r="M720" s="1016"/>
      <c r="N720" s="1441"/>
      <c r="O720" s="881"/>
      <c r="P720" s="881"/>
      <c r="Q720" s="1302"/>
      <c r="R720" s="1302"/>
      <c r="S720" s="1302"/>
      <c r="T720" s="1302"/>
      <c r="U720" s="1302"/>
      <c r="V720" s="1302"/>
      <c r="W720" s="1302"/>
      <c r="X720" s="1302"/>
      <c r="Y720" s="1302"/>
      <c r="Z720" s="1302"/>
    </row>
    <row r="721" spans="1:26" ht="19.5" hidden="1">
      <c r="A721" s="1429"/>
      <c r="B721" s="1301"/>
      <c r="C721" s="1301"/>
      <c r="D721" s="1301" t="s">
        <v>306</v>
      </c>
      <c r="E721" s="1301"/>
      <c r="F721" s="1301"/>
      <c r="G721" s="1016"/>
      <c r="H721" s="765" t="s">
        <v>35</v>
      </c>
      <c r="I721" s="1442">
        <f ca="1">IFERROR(__xludf.DUMMYFUNCTION("IMPORTRANGE(""https://docs.google.com/spreadsheets/d/1QqKyyYR6Q21VydFLVH3TRQUabQu_ym0Zz7PgGX0-kHA/edit?usp=sharing"",""แผน!IJ77"")"),0)</f>
        <v>0</v>
      </c>
      <c r="J721" s="1019">
        <f ca="1">J723+J726</f>
        <v>0</v>
      </c>
      <c r="K721" s="1020">
        <f t="shared" ca="1" si="291"/>
        <v>0</v>
      </c>
      <c r="L721" s="1441"/>
      <c r="M721" s="1016"/>
      <c r="N721" s="1441"/>
      <c r="O721" s="881"/>
      <c r="P721" s="881"/>
      <c r="Q721" s="1302"/>
      <c r="R721" s="1302"/>
      <c r="S721" s="1302"/>
      <c r="T721" s="1302"/>
      <c r="U721" s="1302"/>
      <c r="V721" s="1302"/>
      <c r="W721" s="1302"/>
      <c r="X721" s="1302"/>
      <c r="Y721" s="1302"/>
      <c r="Z721" s="1302"/>
    </row>
    <row r="722" spans="1:26" ht="19.5" hidden="1">
      <c r="A722" s="1429"/>
      <c r="B722" s="1301"/>
      <c r="C722" s="1301"/>
      <c r="D722" s="1301"/>
      <c r="E722" s="1301"/>
      <c r="F722" s="1301"/>
      <c r="G722" s="1016"/>
      <c r="H722" s="765" t="s">
        <v>46</v>
      </c>
      <c r="I722" s="1442">
        <f ca="1">IFERROR(__xludf.DUMMYFUNCTION("IMPORTRANGE(""https://docs.google.com/spreadsheets/d/1QqKyyYR6Q21VydFLVH3TRQUabQu_ym0Zz7PgGX0-kHA/edit?usp=sharing"",""แผน!IK77"")"),0)</f>
        <v>0</v>
      </c>
      <c r="J722" s="1019">
        <f ca="1">J725+J728</f>
        <v>0</v>
      </c>
      <c r="K722" s="1020">
        <f t="shared" ca="1" si="291"/>
        <v>0</v>
      </c>
      <c r="L722" s="881"/>
      <c r="M722" s="1016"/>
      <c r="N722" s="1441"/>
      <c r="O722" s="881"/>
      <c r="P722" s="881"/>
      <c r="Q722" s="1302"/>
      <c r="R722" s="1302"/>
      <c r="S722" s="1302"/>
      <c r="T722" s="1302"/>
      <c r="U722" s="1302"/>
      <c r="V722" s="1302"/>
      <c r="W722" s="1302"/>
      <c r="X722" s="1302"/>
      <c r="Y722" s="1302"/>
      <c r="Z722" s="1302"/>
    </row>
    <row r="723" spans="1:26" ht="18.75" hidden="1">
      <c r="A723" s="1429"/>
      <c r="B723" s="1301"/>
      <c r="C723" s="1301"/>
      <c r="D723" s="1301"/>
      <c r="E723" s="1301" t="s">
        <v>307</v>
      </c>
      <c r="F723" s="1301"/>
      <c r="G723" s="1016"/>
      <c r="H723" s="762" t="s">
        <v>35</v>
      </c>
      <c r="I723" s="1440">
        <f ca="1">IFERROR(__xludf.DUMMYFUNCTION("IMPORTRANGE(""https://docs.google.com/spreadsheets/d/1QqKyyYR6Q21VydFLVH3TRQUabQu_ym0Zz7PgGX0-kHA/edit?usp=sharing"",""แผน!IL77"")"),0)</f>
        <v>0</v>
      </c>
      <c r="J723" s="880">
        <f ca="1">IFERROR(__xludf.DUMMYFUNCTION("IMPORTRANGE(""https://docs.google.com/spreadsheets/d/1XWAQStnk-4SwqDmLtmXYiTMKHgktTP8We1SCoS47DrQ/edit?usp=sharing"",""จัดที่ดิน!BM77"")"),0)</f>
        <v>0</v>
      </c>
      <c r="K723" s="881">
        <f t="shared" ca="1" si="291"/>
        <v>0</v>
      </c>
      <c r="L723" s="881"/>
      <c r="M723" s="1016"/>
      <c r="N723" s="1441"/>
      <c r="O723" s="881"/>
      <c r="P723" s="881"/>
      <c r="Q723" s="1302"/>
      <c r="R723" s="1302"/>
      <c r="S723" s="1302"/>
      <c r="T723" s="1302"/>
      <c r="U723" s="1302"/>
      <c r="V723" s="1302"/>
      <c r="W723" s="1302"/>
      <c r="X723" s="1302"/>
      <c r="Y723" s="1302"/>
      <c r="Z723" s="1302"/>
    </row>
    <row r="724" spans="1:26" ht="18.75" hidden="1">
      <c r="A724" s="1429"/>
      <c r="B724" s="1301"/>
      <c r="C724" s="1301"/>
      <c r="D724" s="1301"/>
      <c r="E724" s="1301"/>
      <c r="F724" s="1301"/>
      <c r="G724" s="1016"/>
      <c r="H724" s="762" t="s">
        <v>34</v>
      </c>
      <c r="I724" s="1440"/>
      <c r="J724" s="880">
        <f ca="1">IFERROR(__xludf.DUMMYFUNCTION("IMPORTRANGE(""https://docs.google.com/spreadsheets/d/1XWAQStnk-4SwqDmLtmXYiTMKHgktTP8We1SCoS47DrQ/edit?usp=sharing"",""จัดที่ดิน!BN77"")"),0)</f>
        <v>0</v>
      </c>
      <c r="K724" s="881"/>
      <c r="L724" s="1441"/>
      <c r="M724" s="1016"/>
      <c r="N724" s="1441"/>
      <c r="O724" s="881"/>
      <c r="P724" s="881"/>
      <c r="Q724" s="1302"/>
      <c r="R724" s="1302"/>
      <c r="S724" s="1302"/>
      <c r="T724" s="1302"/>
      <c r="U724" s="1302"/>
      <c r="V724" s="1302"/>
      <c r="W724" s="1302"/>
      <c r="X724" s="1302"/>
      <c r="Y724" s="1302"/>
      <c r="Z724" s="1302"/>
    </row>
    <row r="725" spans="1:26" ht="18.75" hidden="1">
      <c r="A725" s="1429"/>
      <c r="B725" s="1301"/>
      <c r="C725" s="1301"/>
      <c r="D725" s="1301"/>
      <c r="E725" s="1301"/>
      <c r="F725" s="1301"/>
      <c r="G725" s="1016"/>
      <c r="H725" s="762" t="s">
        <v>46</v>
      </c>
      <c r="I725" s="1440">
        <f ca="1">IFERROR(__xludf.DUMMYFUNCTION("IMPORTRANGE(""https://docs.google.com/spreadsheets/d/1QqKyyYR6Q21VydFLVH3TRQUabQu_ym0Zz7PgGX0-kHA/edit?usp=sharing"",""แผน!IM77"")"),0)</f>
        <v>0</v>
      </c>
      <c r="J725" s="880">
        <f ca="1">IFERROR(__xludf.DUMMYFUNCTION("IMPORTRANGE(""https://docs.google.com/spreadsheets/d/1XWAQStnk-4SwqDmLtmXYiTMKHgktTP8We1SCoS47DrQ/edit?usp=sharing"",""จัดที่ดิน!BO77"")"),0)</f>
        <v>0</v>
      </c>
      <c r="K725" s="881">
        <f t="shared" ref="K725:K726" ca="1" si="292">IF(I725&gt;0,J725*100/I725,0)</f>
        <v>0</v>
      </c>
      <c r="L725" s="1441"/>
      <c r="M725" s="1016"/>
      <c r="N725" s="1441"/>
      <c r="O725" s="881"/>
      <c r="P725" s="881"/>
      <c r="Q725" s="1302"/>
      <c r="R725" s="1302"/>
      <c r="S725" s="1302"/>
      <c r="T725" s="1302"/>
      <c r="U725" s="1302"/>
      <c r="V725" s="1302"/>
      <c r="W725" s="1302"/>
      <c r="X725" s="1302"/>
      <c r="Y725" s="1302"/>
      <c r="Z725" s="1302"/>
    </row>
    <row r="726" spans="1:26" ht="18.75" hidden="1">
      <c r="A726" s="1429"/>
      <c r="B726" s="1301"/>
      <c r="C726" s="1301"/>
      <c r="D726" s="1301"/>
      <c r="E726" s="1301" t="s">
        <v>308</v>
      </c>
      <c r="F726" s="1301"/>
      <c r="G726" s="1016"/>
      <c r="H726" s="762" t="s">
        <v>35</v>
      </c>
      <c r="I726" s="1440">
        <f ca="1">IFERROR(__xludf.DUMMYFUNCTION("IMPORTRANGE(""https://docs.google.com/spreadsheets/d/1QqKyyYR6Q21VydFLVH3TRQUabQu_ym0Zz7PgGX0-kHA/edit?usp=sharing"",""แผน!IN77"")"),0)</f>
        <v>0</v>
      </c>
      <c r="J726" s="880">
        <f ca="1">IFERROR(__xludf.DUMMYFUNCTION("IMPORTRANGE(""https://docs.google.com/spreadsheets/d/1XWAQStnk-4SwqDmLtmXYiTMKHgktTP8We1SCoS47DrQ/edit?usp=sharing"",""จัดที่ดิน!BR77"")"),0)</f>
        <v>0</v>
      </c>
      <c r="K726" s="881">
        <f t="shared" ca="1" si="292"/>
        <v>0</v>
      </c>
      <c r="L726" s="881"/>
      <c r="M726" s="1016"/>
      <c r="N726" s="1441"/>
      <c r="O726" s="881"/>
      <c r="P726" s="881"/>
      <c r="Q726" s="1302"/>
      <c r="R726" s="1302"/>
      <c r="S726" s="1302"/>
      <c r="T726" s="1302"/>
      <c r="U726" s="1302"/>
      <c r="V726" s="1302"/>
      <c r="W726" s="1302"/>
      <c r="X726" s="1302"/>
      <c r="Y726" s="1302"/>
      <c r="Z726" s="1302"/>
    </row>
    <row r="727" spans="1:26" ht="18.75" hidden="1">
      <c r="A727" s="1429"/>
      <c r="B727" s="1301"/>
      <c r="C727" s="1301"/>
      <c r="D727" s="1301"/>
      <c r="E727" s="1301"/>
      <c r="F727" s="1301"/>
      <c r="G727" s="1016"/>
      <c r="H727" s="762" t="s">
        <v>34</v>
      </c>
      <c r="I727" s="1440"/>
      <c r="J727" s="880">
        <f ca="1">IFERROR(__xludf.DUMMYFUNCTION("IMPORTRANGE(""https://docs.google.com/spreadsheets/d/1XWAQStnk-4SwqDmLtmXYiTMKHgktTP8We1SCoS47DrQ/edit?usp=sharing"",""จัดที่ดิน!BS77"")"),0)</f>
        <v>0</v>
      </c>
      <c r="K727" s="881"/>
      <c r="L727" s="1441"/>
      <c r="M727" s="1016"/>
      <c r="N727" s="1441"/>
      <c r="O727" s="881"/>
      <c r="P727" s="881"/>
      <c r="Q727" s="1302"/>
      <c r="R727" s="1302"/>
      <c r="S727" s="1302"/>
      <c r="T727" s="1302"/>
      <c r="U727" s="1302"/>
      <c r="V727" s="1302"/>
      <c r="W727" s="1302"/>
      <c r="X727" s="1302"/>
      <c r="Y727" s="1302"/>
      <c r="Z727" s="1302"/>
    </row>
    <row r="728" spans="1:26" ht="18.75" hidden="1">
      <c r="A728" s="1429"/>
      <c r="B728" s="1301"/>
      <c r="C728" s="1301"/>
      <c r="D728" s="1301"/>
      <c r="E728" s="1301"/>
      <c r="F728" s="1301"/>
      <c r="G728" s="1016"/>
      <c r="H728" s="762" t="s">
        <v>46</v>
      </c>
      <c r="I728" s="1440">
        <f ca="1">IFERROR(__xludf.DUMMYFUNCTION("IMPORTRANGE(""https://docs.google.com/spreadsheets/d/1QqKyyYR6Q21VydFLVH3TRQUabQu_ym0Zz7PgGX0-kHA/edit?usp=sharing"",""แผน!IO77"")"),0)</f>
        <v>0</v>
      </c>
      <c r="J728" s="880">
        <f ca="1">IFERROR(__xludf.DUMMYFUNCTION("IMPORTRANGE(""https://docs.google.com/spreadsheets/d/1XWAQStnk-4SwqDmLtmXYiTMKHgktTP8We1SCoS47DrQ/edit?usp=sharing"",""จัดที่ดิน!BT77"")"),0)</f>
        <v>0</v>
      </c>
      <c r="K728" s="881">
        <f t="shared" ref="K728:K729" ca="1" si="293">IF(I728&gt;0,J728*100/I728,0)</f>
        <v>0</v>
      </c>
      <c r="L728" s="1441"/>
      <c r="M728" s="1016"/>
      <c r="N728" s="1441"/>
      <c r="O728" s="881"/>
      <c r="P728" s="881"/>
      <c r="Q728" s="1302"/>
      <c r="R728" s="1302"/>
      <c r="S728" s="1302"/>
      <c r="T728" s="1302"/>
      <c r="U728" s="1302"/>
      <c r="V728" s="1302"/>
      <c r="W728" s="1302"/>
      <c r="X728" s="1302"/>
      <c r="Y728" s="1302"/>
      <c r="Z728" s="1302"/>
    </row>
    <row r="729" spans="1:26" ht="19.5" hidden="1">
      <c r="A729" s="1429"/>
      <c r="B729" s="1301"/>
      <c r="C729" s="1301"/>
      <c r="D729" s="1301" t="s">
        <v>309</v>
      </c>
      <c r="E729" s="1301"/>
      <c r="F729" s="1301"/>
      <c r="G729" s="1016"/>
      <c r="H729" s="765" t="s">
        <v>46</v>
      </c>
      <c r="I729" s="1442">
        <f ca="1">IFERROR(__xludf.DUMMYFUNCTION("IMPORTRANGE(""https://docs.google.com/spreadsheets/d/1QqKyyYR6Q21VydFLVH3TRQUabQu_ym0Zz7PgGX0-kHA/edit?usp=sharing"",""แผน!IP77"")"),0)</f>
        <v>0</v>
      </c>
      <c r="J729" s="1019">
        <f>J732+J735</f>
        <v>0</v>
      </c>
      <c r="K729" s="1020">
        <f t="shared" ca="1" si="293"/>
        <v>0</v>
      </c>
      <c r="L729" s="881"/>
      <c r="M729" s="1016"/>
      <c r="N729" s="1441"/>
      <c r="O729" s="881"/>
      <c r="P729" s="881"/>
      <c r="Q729" s="1302"/>
      <c r="R729" s="1302"/>
      <c r="S729" s="1302"/>
      <c r="T729" s="1302"/>
      <c r="U729" s="1302"/>
      <c r="V729" s="1302"/>
      <c r="W729" s="1302"/>
      <c r="X729" s="1302"/>
      <c r="Y729" s="1302"/>
      <c r="Z729" s="1302"/>
    </row>
    <row r="730" spans="1:26" ht="18.75" hidden="1">
      <c r="A730" s="1429"/>
      <c r="B730" s="1301"/>
      <c r="C730" s="1301"/>
      <c r="D730" s="1301"/>
      <c r="E730" s="1301" t="s">
        <v>310</v>
      </c>
      <c r="F730" s="1301"/>
      <c r="G730" s="1016"/>
      <c r="H730" s="762" t="s">
        <v>35</v>
      </c>
      <c r="I730" s="1440"/>
      <c r="J730" s="1012">
        <v>0</v>
      </c>
      <c r="K730" s="881"/>
      <c r="L730" s="1441"/>
      <c r="M730" s="881"/>
      <c r="N730" s="1441"/>
      <c r="O730" s="881"/>
      <c r="P730" s="881"/>
      <c r="Q730" s="1302"/>
      <c r="R730" s="1302"/>
      <c r="S730" s="1302"/>
      <c r="T730" s="1302"/>
      <c r="U730" s="1302"/>
      <c r="V730" s="1302"/>
      <c r="W730" s="1302"/>
      <c r="X730" s="1302"/>
      <c r="Y730" s="1302"/>
      <c r="Z730" s="1302"/>
    </row>
    <row r="731" spans="1:26" ht="18.75" hidden="1">
      <c r="A731" s="1429"/>
      <c r="B731" s="1301"/>
      <c r="C731" s="1301"/>
      <c r="D731" s="1301"/>
      <c r="E731" s="1301"/>
      <c r="F731" s="1301"/>
      <c r="G731" s="1016"/>
      <c r="H731" s="762" t="s">
        <v>34</v>
      </c>
      <c r="I731" s="1440"/>
      <c r="J731" s="1012">
        <v>0</v>
      </c>
      <c r="K731" s="881"/>
      <c r="L731" s="1441"/>
      <c r="M731" s="881"/>
      <c r="N731" s="1441"/>
      <c r="O731" s="881"/>
      <c r="P731" s="881"/>
      <c r="Q731" s="1302"/>
      <c r="R731" s="1302"/>
      <c r="S731" s="1302"/>
      <c r="T731" s="1302"/>
      <c r="U731" s="1302"/>
      <c r="V731" s="1302"/>
      <c r="W731" s="1302"/>
      <c r="X731" s="1302"/>
      <c r="Y731" s="1302"/>
      <c r="Z731" s="1302"/>
    </row>
    <row r="732" spans="1:26" ht="18.75" hidden="1">
      <c r="A732" s="1429"/>
      <c r="B732" s="1301"/>
      <c r="C732" s="1301"/>
      <c r="D732" s="1301"/>
      <c r="E732" s="1301"/>
      <c r="F732" s="1301"/>
      <c r="G732" s="1016"/>
      <c r="H732" s="762" t="s">
        <v>46</v>
      </c>
      <c r="I732" s="1440"/>
      <c r="J732" s="1012">
        <v>0</v>
      </c>
      <c r="K732" s="881"/>
      <c r="L732" s="1441"/>
      <c r="M732" s="881"/>
      <c r="N732" s="1441"/>
      <c r="O732" s="881"/>
      <c r="P732" s="881"/>
      <c r="Q732" s="1302"/>
      <c r="R732" s="1302"/>
      <c r="S732" s="1302"/>
      <c r="T732" s="1302"/>
      <c r="U732" s="1302"/>
      <c r="V732" s="1302"/>
      <c r="W732" s="1302"/>
      <c r="X732" s="1302"/>
      <c r="Y732" s="1302"/>
      <c r="Z732" s="1302"/>
    </row>
    <row r="733" spans="1:26" ht="18.75" hidden="1">
      <c r="A733" s="1429"/>
      <c r="B733" s="1301"/>
      <c r="C733" s="1301"/>
      <c r="D733" s="1301"/>
      <c r="E733" s="1301" t="s">
        <v>311</v>
      </c>
      <c r="F733" s="1301"/>
      <c r="G733" s="1016"/>
      <c r="H733" s="762" t="s">
        <v>35</v>
      </c>
      <c r="I733" s="1440"/>
      <c r="J733" s="1012">
        <v>0</v>
      </c>
      <c r="K733" s="881"/>
      <c r="L733" s="1441"/>
      <c r="M733" s="881"/>
      <c r="N733" s="1441"/>
      <c r="O733" s="881"/>
      <c r="P733" s="881"/>
      <c r="Q733" s="1302"/>
      <c r="R733" s="1302"/>
      <c r="S733" s="1302"/>
      <c r="T733" s="1302"/>
      <c r="U733" s="1302"/>
      <c r="V733" s="1302"/>
      <c r="W733" s="1302"/>
      <c r="X733" s="1302"/>
      <c r="Y733" s="1302"/>
      <c r="Z733" s="1302"/>
    </row>
    <row r="734" spans="1:26" ht="18.75" hidden="1">
      <c r="A734" s="1429"/>
      <c r="B734" s="1301"/>
      <c r="C734" s="1301"/>
      <c r="D734" s="1301"/>
      <c r="E734" s="1301"/>
      <c r="F734" s="1301"/>
      <c r="G734" s="1016"/>
      <c r="H734" s="762" t="s">
        <v>34</v>
      </c>
      <c r="I734" s="1440"/>
      <c r="J734" s="1012">
        <v>0</v>
      </c>
      <c r="K734" s="881"/>
      <c r="L734" s="1441"/>
      <c r="M734" s="881"/>
      <c r="N734" s="1441"/>
      <c r="O734" s="881"/>
      <c r="P734" s="881"/>
      <c r="Q734" s="1302"/>
      <c r="R734" s="1302"/>
      <c r="S734" s="1302"/>
      <c r="T734" s="1302"/>
      <c r="U734" s="1302"/>
      <c r="V734" s="1302"/>
      <c r="W734" s="1302"/>
      <c r="X734" s="1302"/>
      <c r="Y734" s="1302"/>
      <c r="Z734" s="1302"/>
    </row>
    <row r="735" spans="1:26" ht="19.5" hidden="1">
      <c r="A735" s="1443"/>
      <c r="B735" s="1444" t="s">
        <v>312</v>
      </c>
      <c r="C735" s="1169"/>
      <c r="D735" s="1169"/>
      <c r="E735" s="1169"/>
      <c r="F735" s="1169"/>
      <c r="G735" s="1422"/>
      <c r="H735" s="423" t="s">
        <v>46</v>
      </c>
      <c r="I735" s="1445"/>
      <c r="J735" s="1171">
        <v>0</v>
      </c>
      <c r="K735" s="1239"/>
      <c r="L735" s="1446"/>
      <c r="M735" s="1239"/>
      <c r="N735" s="1446"/>
      <c r="O735" s="1239"/>
      <c r="P735" s="1239"/>
      <c r="Q735" s="1302"/>
      <c r="R735" s="1302"/>
      <c r="S735" s="1302"/>
      <c r="T735" s="1302"/>
      <c r="U735" s="1302"/>
      <c r="V735" s="1302"/>
      <c r="W735" s="1302"/>
      <c r="X735" s="1302"/>
      <c r="Y735" s="1302"/>
      <c r="Z735" s="1302"/>
    </row>
    <row r="736" spans="1:26" ht="19.5" hidden="1">
      <c r="A736" s="772">
        <v>9</v>
      </c>
      <c r="B736" s="1447" t="s">
        <v>313</v>
      </c>
      <c r="C736" s="1448"/>
      <c r="D736" s="1448"/>
      <c r="E736" s="1448"/>
      <c r="F736" s="1448"/>
      <c r="G736" s="1449"/>
      <c r="H736" s="776" t="s">
        <v>46</v>
      </c>
      <c r="I736" s="1450"/>
      <c r="J736" s="1450">
        <f>J751</f>
        <v>0</v>
      </c>
      <c r="K736" s="1451">
        <f>IF(I736&gt;0,J736*100/I736,0)</f>
        <v>0</v>
      </c>
      <c r="L736" s="1452"/>
      <c r="M736" s="1452"/>
      <c r="N736" s="1452"/>
      <c r="O736" s="1452"/>
      <c r="P736" s="1452"/>
      <c r="Q736" s="1323"/>
      <c r="R736" s="1323"/>
      <c r="S736" s="1323"/>
      <c r="T736" s="1323"/>
      <c r="U736" s="1323"/>
      <c r="V736" s="1323"/>
      <c r="W736" s="1323"/>
      <c r="X736" s="1323"/>
      <c r="Y736" s="1323"/>
      <c r="Z736" s="1323"/>
    </row>
    <row r="737" spans="1:26" ht="19.5" hidden="1">
      <c r="A737" s="1319"/>
      <c r="B737" s="1320"/>
      <c r="C737" s="1320" t="s">
        <v>16</v>
      </c>
      <c r="D737" s="1351" t="s">
        <v>17</v>
      </c>
      <c r="E737" s="841"/>
      <c r="F737" s="841"/>
      <c r="G737" s="1322"/>
      <c r="H737" s="644" t="s">
        <v>12</v>
      </c>
      <c r="I737" s="886"/>
      <c r="J737" s="886"/>
      <c r="K737" s="887"/>
      <c r="L737" s="1352">
        <f t="shared" ref="L737:N737" si="294">L738+L739</f>
        <v>0</v>
      </c>
      <c r="M737" s="1352">
        <f t="shared" si="294"/>
        <v>0</v>
      </c>
      <c r="N737" s="1352">
        <f t="shared" si="294"/>
        <v>0</v>
      </c>
      <c r="O737" s="1352">
        <f t="shared" ref="O737:O742" si="295">IF(L737&gt;0,N737*100/L737,0)</f>
        <v>0</v>
      </c>
      <c r="P737" s="1352">
        <f t="shared" ref="P737:P742" si="296">IF(M737&gt;0,N737*100/M737,0)</f>
        <v>0</v>
      </c>
      <c r="Q737" s="1323"/>
      <c r="R737" s="1323"/>
      <c r="S737" s="1323"/>
      <c r="T737" s="1323"/>
      <c r="U737" s="1323"/>
      <c r="V737" s="1323"/>
      <c r="W737" s="1323"/>
      <c r="X737" s="1323"/>
      <c r="Y737" s="1323"/>
      <c r="Z737" s="1323"/>
    </row>
    <row r="738" spans="1:26" ht="18.75" hidden="1">
      <c r="A738" s="1319"/>
      <c r="B738" s="1320"/>
      <c r="C738" s="1320"/>
      <c r="D738" s="1321"/>
      <c r="E738" s="1320" t="s">
        <v>185</v>
      </c>
      <c r="F738" s="1320"/>
      <c r="G738" s="1322"/>
      <c r="H738" s="165" t="s">
        <v>12</v>
      </c>
      <c r="I738" s="886"/>
      <c r="J738" s="886"/>
      <c r="K738" s="887"/>
      <c r="L738" s="887">
        <f t="shared" ref="L738:N739" si="297">L741+L748</f>
        <v>0</v>
      </c>
      <c r="M738" s="887">
        <f t="shared" si="297"/>
        <v>0</v>
      </c>
      <c r="N738" s="887">
        <f t="shared" si="297"/>
        <v>0</v>
      </c>
      <c r="O738" s="887">
        <f t="shared" si="295"/>
        <v>0</v>
      </c>
      <c r="P738" s="887">
        <f t="shared" si="296"/>
        <v>0</v>
      </c>
      <c r="Q738" s="1323"/>
      <c r="R738" s="1323"/>
      <c r="S738" s="1323"/>
      <c r="T738" s="1323"/>
      <c r="U738" s="1323"/>
      <c r="V738" s="1323"/>
      <c r="W738" s="1323"/>
      <c r="X738" s="1323"/>
      <c r="Y738" s="1323"/>
      <c r="Z738" s="1323"/>
    </row>
    <row r="739" spans="1:26" ht="18.75" hidden="1">
      <c r="A739" s="1319"/>
      <c r="B739" s="1324"/>
      <c r="C739" s="1320"/>
      <c r="D739" s="1321"/>
      <c r="E739" s="1320" t="s">
        <v>186</v>
      </c>
      <c r="F739" s="1320"/>
      <c r="G739" s="1322"/>
      <c r="H739" s="165" t="s">
        <v>12</v>
      </c>
      <c r="I739" s="886"/>
      <c r="J739" s="886"/>
      <c r="K739" s="887"/>
      <c r="L739" s="887">
        <f t="shared" si="297"/>
        <v>0</v>
      </c>
      <c r="M739" s="887">
        <f t="shared" si="297"/>
        <v>0</v>
      </c>
      <c r="N739" s="887">
        <f t="shared" si="297"/>
        <v>0</v>
      </c>
      <c r="O739" s="887">
        <f t="shared" si="295"/>
        <v>0</v>
      </c>
      <c r="P739" s="887">
        <f t="shared" si="296"/>
        <v>0</v>
      </c>
      <c r="Q739" s="1323"/>
      <c r="R739" s="1323"/>
      <c r="S739" s="1323"/>
      <c r="T739" s="1323"/>
      <c r="U739" s="1323"/>
      <c r="V739" s="1323"/>
      <c r="W739" s="1323"/>
      <c r="X739" s="1323"/>
      <c r="Y739" s="1323"/>
      <c r="Z739" s="1323"/>
    </row>
    <row r="740" spans="1:26" ht="19.5" hidden="1">
      <c r="A740" s="1319"/>
      <c r="B740" s="1324"/>
      <c r="C740" s="1320"/>
      <c r="D740" s="1453" t="s">
        <v>20</v>
      </c>
      <c r="E740" s="1320"/>
      <c r="F740" s="1320"/>
      <c r="G740" s="1322"/>
      <c r="H740" s="644" t="s">
        <v>12</v>
      </c>
      <c r="I740" s="1000"/>
      <c r="J740" s="1000"/>
      <c r="K740" s="1001"/>
      <c r="L740" s="1352">
        <f t="shared" ref="L740:N740" si="298">L741+L742</f>
        <v>0</v>
      </c>
      <c r="M740" s="1352">
        <f t="shared" si="298"/>
        <v>0</v>
      </c>
      <c r="N740" s="1352">
        <f t="shared" si="298"/>
        <v>0</v>
      </c>
      <c r="O740" s="1352">
        <f t="shared" si="295"/>
        <v>0</v>
      </c>
      <c r="P740" s="1352">
        <f t="shared" si="296"/>
        <v>0</v>
      </c>
      <c r="Q740" s="1323"/>
      <c r="R740" s="1323"/>
      <c r="S740" s="1323"/>
      <c r="T740" s="1323"/>
      <c r="U740" s="1323"/>
      <c r="V740" s="1323"/>
      <c r="W740" s="1323"/>
      <c r="X740" s="1323"/>
      <c r="Y740" s="1323"/>
      <c r="Z740" s="1323"/>
    </row>
    <row r="741" spans="1:26" ht="18.75" hidden="1">
      <c r="A741" s="1319"/>
      <c r="B741" s="1324"/>
      <c r="C741" s="1320"/>
      <c r="D741" s="1321"/>
      <c r="E741" s="1320" t="s">
        <v>185</v>
      </c>
      <c r="F741" s="1320"/>
      <c r="G741" s="1322"/>
      <c r="H741" s="165" t="s">
        <v>12</v>
      </c>
      <c r="I741" s="886"/>
      <c r="J741" s="886"/>
      <c r="K741" s="887"/>
      <c r="L741" s="887">
        <v>0</v>
      </c>
      <c r="M741" s="887">
        <v>0</v>
      </c>
      <c r="N741" s="887">
        <v>0</v>
      </c>
      <c r="O741" s="887">
        <f t="shared" si="295"/>
        <v>0</v>
      </c>
      <c r="P741" s="887">
        <f t="shared" si="296"/>
        <v>0</v>
      </c>
      <c r="Q741" s="1323"/>
      <c r="R741" s="1323"/>
      <c r="S741" s="1323"/>
      <c r="T741" s="1323"/>
      <c r="U741" s="1323"/>
      <c r="V741" s="1323"/>
      <c r="W741" s="1323"/>
      <c r="X741" s="1323"/>
      <c r="Y741" s="1323"/>
      <c r="Z741" s="1323"/>
    </row>
    <row r="742" spans="1:26" ht="18.75" hidden="1">
      <c r="A742" s="1319"/>
      <c r="B742" s="1324"/>
      <c r="C742" s="1320"/>
      <c r="D742" s="1321"/>
      <c r="E742" s="1320" t="s">
        <v>186</v>
      </c>
      <c r="F742" s="1320"/>
      <c r="G742" s="1322"/>
      <c r="H742" s="165" t="s">
        <v>12</v>
      </c>
      <c r="I742" s="886"/>
      <c r="J742" s="886"/>
      <c r="K742" s="887"/>
      <c r="L742" s="887">
        <v>0</v>
      </c>
      <c r="M742" s="887">
        <v>0</v>
      </c>
      <c r="N742" s="887">
        <f>N743+N744+N745+N746</f>
        <v>0</v>
      </c>
      <c r="O742" s="887">
        <f t="shared" si="295"/>
        <v>0</v>
      </c>
      <c r="P742" s="887">
        <f t="shared" si="296"/>
        <v>0</v>
      </c>
      <c r="Q742" s="1323"/>
      <c r="R742" s="1323"/>
      <c r="S742" s="1323"/>
      <c r="T742" s="1323"/>
      <c r="U742" s="1323"/>
      <c r="V742" s="1323"/>
      <c r="W742" s="1323"/>
      <c r="X742" s="1323"/>
      <c r="Y742" s="1323"/>
      <c r="Z742" s="1323"/>
    </row>
    <row r="743" spans="1:26" ht="18.75" hidden="1">
      <c r="A743" s="1354"/>
      <c r="B743" s="1324"/>
      <c r="C743" s="1320"/>
      <c r="D743" s="1320"/>
      <c r="E743" s="1320"/>
      <c r="F743" s="1320" t="s">
        <v>187</v>
      </c>
      <c r="G743" s="1322"/>
      <c r="H743" s="165" t="s">
        <v>12</v>
      </c>
      <c r="I743" s="886"/>
      <c r="J743" s="886"/>
      <c r="K743" s="887"/>
      <c r="L743" s="887"/>
      <c r="M743" s="887"/>
      <c r="N743" s="887"/>
      <c r="O743" s="887"/>
      <c r="P743" s="887"/>
      <c r="Q743" s="1323"/>
      <c r="R743" s="1323"/>
      <c r="S743" s="1323"/>
      <c r="T743" s="1323"/>
      <c r="U743" s="1323"/>
      <c r="V743" s="1323"/>
      <c r="W743" s="1323"/>
      <c r="X743" s="1323"/>
      <c r="Y743" s="1323"/>
      <c r="Z743" s="1323"/>
    </row>
    <row r="744" spans="1:26" ht="18.75" hidden="1">
      <c r="A744" s="1354"/>
      <c r="B744" s="1324"/>
      <c r="C744" s="1320"/>
      <c r="D744" s="1320"/>
      <c r="E744" s="1320"/>
      <c r="F744" s="1320" t="s">
        <v>188</v>
      </c>
      <c r="G744" s="1322"/>
      <c r="H744" s="165" t="s">
        <v>12</v>
      </c>
      <c r="I744" s="886"/>
      <c r="J744" s="886"/>
      <c r="K744" s="887"/>
      <c r="L744" s="887"/>
      <c r="M744" s="887"/>
      <c r="N744" s="887"/>
      <c r="O744" s="887"/>
      <c r="P744" s="887"/>
      <c r="Q744" s="1323"/>
      <c r="R744" s="1323"/>
      <c r="S744" s="1323"/>
      <c r="T744" s="1323"/>
      <c r="U744" s="1323"/>
      <c r="V744" s="1323"/>
      <c r="W744" s="1323"/>
      <c r="X744" s="1323"/>
      <c r="Y744" s="1323"/>
      <c r="Z744" s="1323"/>
    </row>
    <row r="745" spans="1:26" ht="18.75" hidden="1">
      <c r="A745" s="1354"/>
      <c r="B745" s="1324"/>
      <c r="C745" s="1320"/>
      <c r="D745" s="1320"/>
      <c r="E745" s="1320"/>
      <c r="F745" s="1320" t="s">
        <v>189</v>
      </c>
      <c r="G745" s="1322"/>
      <c r="H745" s="165" t="s">
        <v>12</v>
      </c>
      <c r="I745" s="886"/>
      <c r="J745" s="886"/>
      <c r="K745" s="887"/>
      <c r="L745" s="887"/>
      <c r="M745" s="887"/>
      <c r="N745" s="887"/>
      <c r="O745" s="887"/>
      <c r="P745" s="887"/>
      <c r="Q745" s="1323"/>
      <c r="R745" s="1323"/>
      <c r="S745" s="1323"/>
      <c r="T745" s="1323"/>
      <c r="U745" s="1323"/>
      <c r="V745" s="1323"/>
      <c r="W745" s="1323"/>
      <c r="X745" s="1323"/>
      <c r="Y745" s="1323"/>
      <c r="Z745" s="1323"/>
    </row>
    <row r="746" spans="1:26" ht="18.75" hidden="1">
      <c r="A746" s="1354"/>
      <c r="B746" s="1324"/>
      <c r="C746" s="1320"/>
      <c r="D746" s="1320"/>
      <c r="E746" s="1320"/>
      <c r="F746" s="1320" t="s">
        <v>190</v>
      </c>
      <c r="G746" s="1322"/>
      <c r="H746" s="165" t="s">
        <v>12</v>
      </c>
      <c r="I746" s="886"/>
      <c r="J746" s="886"/>
      <c r="K746" s="887"/>
      <c r="L746" s="887"/>
      <c r="M746" s="887"/>
      <c r="N746" s="887"/>
      <c r="O746" s="887"/>
      <c r="P746" s="887"/>
      <c r="Q746" s="1323"/>
      <c r="R746" s="1323"/>
      <c r="S746" s="1323"/>
      <c r="T746" s="1323"/>
      <c r="U746" s="1323"/>
      <c r="V746" s="1323"/>
      <c r="W746" s="1323"/>
      <c r="X746" s="1323"/>
      <c r="Y746" s="1323"/>
      <c r="Z746" s="1323"/>
    </row>
    <row r="747" spans="1:26" ht="19.5" hidden="1">
      <c r="A747" s="1319"/>
      <c r="B747" s="1324"/>
      <c r="C747" s="1320"/>
      <c r="D747" s="1453" t="s">
        <v>21</v>
      </c>
      <c r="E747" s="1320"/>
      <c r="F747" s="1320"/>
      <c r="G747" s="1322"/>
      <c r="H747" s="781" t="s">
        <v>12</v>
      </c>
      <c r="I747" s="1000"/>
      <c r="J747" s="1000"/>
      <c r="K747" s="1001"/>
      <c r="L747" s="1352">
        <f t="shared" ref="L747:N747" si="299">L748+L749</f>
        <v>0</v>
      </c>
      <c r="M747" s="1352">
        <f t="shared" si="299"/>
        <v>0</v>
      </c>
      <c r="N747" s="1352">
        <f t="shared" si="299"/>
        <v>0</v>
      </c>
      <c r="O747" s="1352">
        <f t="shared" ref="O747:O749" si="300">IF(L747&gt;0,N747*100/L747,0)</f>
        <v>0</v>
      </c>
      <c r="P747" s="1352">
        <f t="shared" ref="P747:P749" si="301">IF(M747&gt;0,N747*100/M747,0)</f>
        <v>0</v>
      </c>
      <c r="Q747" s="1323"/>
      <c r="R747" s="1323"/>
      <c r="S747" s="1323"/>
      <c r="T747" s="1323"/>
      <c r="U747" s="1323"/>
      <c r="V747" s="1323"/>
      <c r="W747" s="1323"/>
      <c r="X747" s="1323"/>
      <c r="Y747" s="1323"/>
      <c r="Z747" s="1323"/>
    </row>
    <row r="748" spans="1:26" ht="18.75" hidden="1">
      <c r="A748" s="1319"/>
      <c r="B748" s="1324"/>
      <c r="C748" s="1320"/>
      <c r="D748" s="1320"/>
      <c r="E748" s="1320" t="s">
        <v>18</v>
      </c>
      <c r="F748" s="1320"/>
      <c r="G748" s="1322"/>
      <c r="H748" s="165" t="s">
        <v>12</v>
      </c>
      <c r="I748" s="1000"/>
      <c r="J748" s="1000"/>
      <c r="K748" s="1001"/>
      <c r="L748" s="887">
        <v>0</v>
      </c>
      <c r="M748" s="887">
        <v>0</v>
      </c>
      <c r="N748" s="887">
        <v>0</v>
      </c>
      <c r="O748" s="887">
        <f t="shared" si="300"/>
        <v>0</v>
      </c>
      <c r="P748" s="887">
        <f t="shared" si="301"/>
        <v>0</v>
      </c>
      <c r="Q748" s="1323"/>
      <c r="R748" s="1323"/>
      <c r="S748" s="1323"/>
      <c r="T748" s="1323"/>
      <c r="U748" s="1323"/>
      <c r="V748" s="1323"/>
      <c r="W748" s="1323"/>
      <c r="X748" s="1323"/>
      <c r="Y748" s="1323"/>
      <c r="Z748" s="1323"/>
    </row>
    <row r="749" spans="1:26" ht="18.75" hidden="1">
      <c r="A749" s="1319"/>
      <c r="B749" s="1324"/>
      <c r="C749" s="1320"/>
      <c r="D749" s="1320"/>
      <c r="E749" s="1320" t="s">
        <v>19</v>
      </c>
      <c r="F749" s="1320"/>
      <c r="G749" s="1322"/>
      <c r="H749" s="169" t="s">
        <v>12</v>
      </c>
      <c r="I749" s="1000"/>
      <c r="J749" s="1000"/>
      <c r="K749" s="1001"/>
      <c r="L749" s="887">
        <v>0</v>
      </c>
      <c r="M749" s="887">
        <v>0</v>
      </c>
      <c r="N749" s="887">
        <v>0</v>
      </c>
      <c r="O749" s="887">
        <f t="shared" si="300"/>
        <v>0</v>
      </c>
      <c r="P749" s="887">
        <f t="shared" si="301"/>
        <v>0</v>
      </c>
      <c r="Q749" s="1323"/>
      <c r="R749" s="1323"/>
      <c r="S749" s="1323"/>
      <c r="T749" s="1323"/>
      <c r="U749" s="1323"/>
      <c r="V749" s="1323"/>
      <c r="W749" s="1323"/>
      <c r="X749" s="1323"/>
      <c r="Y749" s="1323"/>
      <c r="Z749" s="1323"/>
    </row>
    <row r="750" spans="1:26" ht="19.5" hidden="1">
      <c r="A750" s="1332"/>
      <c r="B750" s="1333"/>
      <c r="C750" s="1320" t="s">
        <v>16</v>
      </c>
      <c r="D750" s="1454" t="s">
        <v>38</v>
      </c>
      <c r="E750" s="1356"/>
      <c r="F750" s="1356"/>
      <c r="G750" s="1357"/>
      <c r="H750" s="1113"/>
      <c r="I750" s="1000"/>
      <c r="J750" s="1000"/>
      <c r="K750" s="1001"/>
      <c r="L750" s="1001"/>
      <c r="M750" s="1001"/>
      <c r="N750" s="1001"/>
      <c r="O750" s="1001"/>
      <c r="P750" s="1001"/>
      <c r="Q750" s="1323"/>
      <c r="R750" s="1323"/>
      <c r="S750" s="1323"/>
      <c r="T750" s="1323"/>
      <c r="U750" s="1323"/>
      <c r="V750" s="1323"/>
      <c r="W750" s="1323"/>
      <c r="X750" s="1323"/>
      <c r="Y750" s="1323"/>
      <c r="Z750" s="1323"/>
    </row>
    <row r="751" spans="1:26" ht="18.75" hidden="1">
      <c r="A751" s="1354"/>
      <c r="B751" s="1324"/>
      <c r="C751" s="1320"/>
      <c r="D751" s="1320"/>
      <c r="E751" s="1320" t="s">
        <v>314</v>
      </c>
      <c r="F751" s="1320"/>
      <c r="G751" s="1322"/>
      <c r="H751" s="165" t="s">
        <v>46</v>
      </c>
      <c r="I751" s="886"/>
      <c r="J751" s="886"/>
      <c r="K751" s="887"/>
      <c r="L751" s="887"/>
      <c r="M751" s="887"/>
      <c r="N751" s="887"/>
      <c r="O751" s="887"/>
      <c r="P751" s="887"/>
      <c r="Q751" s="1323"/>
      <c r="R751" s="1323"/>
      <c r="S751" s="1323"/>
      <c r="T751" s="1323"/>
      <c r="U751" s="1323"/>
      <c r="V751" s="1323"/>
      <c r="W751" s="1323"/>
      <c r="X751" s="1323"/>
      <c r="Y751" s="1323"/>
      <c r="Z751" s="1323"/>
    </row>
    <row r="752" spans="1:26" ht="18.75" hidden="1">
      <c r="A752" s="1354"/>
      <c r="B752" s="1324"/>
      <c r="C752" s="1320"/>
      <c r="D752" s="1320"/>
      <c r="E752" s="1320"/>
      <c r="F752" s="1320"/>
      <c r="G752" s="1322"/>
      <c r="H752" s="165" t="s">
        <v>315</v>
      </c>
      <c r="I752" s="886"/>
      <c r="J752" s="886"/>
      <c r="K752" s="887"/>
      <c r="L752" s="887"/>
      <c r="M752" s="887"/>
      <c r="N752" s="887"/>
      <c r="O752" s="887"/>
      <c r="P752" s="887"/>
      <c r="Q752" s="1323"/>
      <c r="R752" s="1323"/>
      <c r="S752" s="1323"/>
      <c r="T752" s="1323"/>
      <c r="U752" s="1323"/>
      <c r="V752" s="1323"/>
      <c r="W752" s="1323"/>
      <c r="X752" s="1323"/>
      <c r="Y752" s="1323"/>
      <c r="Z752" s="1323"/>
    </row>
    <row r="753" spans="1:26" ht="19.5" hidden="1">
      <c r="A753" s="783">
        <v>10</v>
      </c>
      <c r="B753" s="1455" t="s">
        <v>316</v>
      </c>
      <c r="C753" s="1456"/>
      <c r="D753" s="1456"/>
      <c r="E753" s="1456"/>
      <c r="F753" s="1456"/>
      <c r="G753" s="1457"/>
      <c r="H753" s="787" t="s">
        <v>46</v>
      </c>
      <c r="I753" s="1458"/>
      <c r="J753" s="1458">
        <f>J768</f>
        <v>0</v>
      </c>
      <c r="K753" s="1459">
        <f>IF(I753&gt;0,J753*100/I753,0)</f>
        <v>0</v>
      </c>
      <c r="L753" s="1460"/>
      <c r="M753" s="1460"/>
      <c r="N753" s="1460"/>
      <c r="O753" s="1460"/>
      <c r="P753" s="1460"/>
      <c r="Q753" s="1323"/>
      <c r="R753" s="1323"/>
      <c r="S753" s="1323"/>
      <c r="T753" s="1323"/>
      <c r="U753" s="1323"/>
      <c r="V753" s="1323"/>
      <c r="W753" s="1323"/>
      <c r="X753" s="1323"/>
      <c r="Y753" s="1323"/>
      <c r="Z753" s="1323"/>
    </row>
    <row r="754" spans="1:26" ht="19.5" hidden="1">
      <c r="A754" s="1319"/>
      <c r="B754" s="1320"/>
      <c r="C754" s="1320" t="s">
        <v>16</v>
      </c>
      <c r="D754" s="1351" t="s">
        <v>17</v>
      </c>
      <c r="E754" s="841"/>
      <c r="F754" s="841"/>
      <c r="G754" s="1322"/>
      <c r="H754" s="644" t="s">
        <v>12</v>
      </c>
      <c r="I754" s="886"/>
      <c r="J754" s="886"/>
      <c r="K754" s="887"/>
      <c r="L754" s="1352">
        <f t="shared" ref="L754:N754" si="302">L755+L756</f>
        <v>0</v>
      </c>
      <c r="M754" s="1352">
        <f t="shared" si="302"/>
        <v>0</v>
      </c>
      <c r="N754" s="1352">
        <f t="shared" si="302"/>
        <v>0</v>
      </c>
      <c r="O754" s="1352">
        <f t="shared" ref="O754:O759" si="303">IF(L754&gt;0,N754*100/L754,0)</f>
        <v>0</v>
      </c>
      <c r="P754" s="1352">
        <f t="shared" ref="P754:P759" si="304">IF(M754&gt;0,N754*100/M754,0)</f>
        <v>0</v>
      </c>
      <c r="Q754" s="1323"/>
      <c r="R754" s="1323"/>
      <c r="S754" s="1323"/>
      <c r="T754" s="1323"/>
      <c r="U754" s="1323"/>
      <c r="V754" s="1323"/>
      <c r="W754" s="1323"/>
      <c r="X754" s="1323"/>
      <c r="Y754" s="1323"/>
      <c r="Z754" s="1323"/>
    </row>
    <row r="755" spans="1:26" ht="18.75" hidden="1">
      <c r="A755" s="1319"/>
      <c r="B755" s="1320"/>
      <c r="C755" s="1320"/>
      <c r="D755" s="1321"/>
      <c r="E755" s="1320" t="s">
        <v>185</v>
      </c>
      <c r="F755" s="1320"/>
      <c r="G755" s="1322"/>
      <c r="H755" s="165" t="s">
        <v>12</v>
      </c>
      <c r="I755" s="886"/>
      <c r="J755" s="886"/>
      <c r="K755" s="887"/>
      <c r="L755" s="887">
        <f t="shared" ref="L755:N756" si="305">L758+L765</f>
        <v>0</v>
      </c>
      <c r="M755" s="887">
        <f t="shared" si="305"/>
        <v>0</v>
      </c>
      <c r="N755" s="887">
        <f t="shared" si="305"/>
        <v>0</v>
      </c>
      <c r="O755" s="887">
        <f t="shared" si="303"/>
        <v>0</v>
      </c>
      <c r="P755" s="887">
        <f t="shared" si="304"/>
        <v>0</v>
      </c>
      <c r="Q755" s="1323"/>
      <c r="R755" s="1323"/>
      <c r="S755" s="1323"/>
      <c r="T755" s="1323"/>
      <c r="U755" s="1323"/>
      <c r="V755" s="1323"/>
      <c r="W755" s="1323"/>
      <c r="X755" s="1323"/>
      <c r="Y755" s="1323"/>
      <c r="Z755" s="1323"/>
    </row>
    <row r="756" spans="1:26" ht="18.75" hidden="1">
      <c r="A756" s="1319"/>
      <c r="B756" s="1324"/>
      <c r="C756" s="1320"/>
      <c r="D756" s="1321"/>
      <c r="E756" s="1320" t="s">
        <v>186</v>
      </c>
      <c r="F756" s="1320"/>
      <c r="G756" s="1322"/>
      <c r="H756" s="165" t="s">
        <v>12</v>
      </c>
      <c r="I756" s="886"/>
      <c r="J756" s="886"/>
      <c r="K756" s="887"/>
      <c r="L756" s="887">
        <f t="shared" si="305"/>
        <v>0</v>
      </c>
      <c r="M756" s="887">
        <f t="shared" si="305"/>
        <v>0</v>
      </c>
      <c r="N756" s="887">
        <f t="shared" si="305"/>
        <v>0</v>
      </c>
      <c r="O756" s="887">
        <f t="shared" si="303"/>
        <v>0</v>
      </c>
      <c r="P756" s="887">
        <f t="shared" si="304"/>
        <v>0</v>
      </c>
      <c r="Q756" s="1323"/>
      <c r="R756" s="1323"/>
      <c r="S756" s="1323"/>
      <c r="T756" s="1323"/>
      <c r="U756" s="1323"/>
      <c r="V756" s="1323"/>
      <c r="W756" s="1323"/>
      <c r="X756" s="1323"/>
      <c r="Y756" s="1323"/>
      <c r="Z756" s="1323"/>
    </row>
    <row r="757" spans="1:26" ht="19.5" hidden="1">
      <c r="A757" s="1319"/>
      <c r="B757" s="1324"/>
      <c r="C757" s="1320"/>
      <c r="D757" s="1453" t="s">
        <v>20</v>
      </c>
      <c r="E757" s="1320"/>
      <c r="F757" s="1320"/>
      <c r="G757" s="1322"/>
      <c r="H757" s="644" t="s">
        <v>12</v>
      </c>
      <c r="I757" s="1000"/>
      <c r="J757" s="1000"/>
      <c r="K757" s="1001"/>
      <c r="L757" s="1352">
        <f t="shared" ref="L757:N757" si="306">L758+L759</f>
        <v>0</v>
      </c>
      <c r="M757" s="1352">
        <f t="shared" si="306"/>
        <v>0</v>
      </c>
      <c r="N757" s="1352">
        <f t="shared" si="306"/>
        <v>0</v>
      </c>
      <c r="O757" s="1352">
        <f t="shared" si="303"/>
        <v>0</v>
      </c>
      <c r="P757" s="1352">
        <f t="shared" si="304"/>
        <v>0</v>
      </c>
      <c r="Q757" s="1323"/>
      <c r="R757" s="1323"/>
      <c r="S757" s="1323"/>
      <c r="T757" s="1323"/>
      <c r="U757" s="1323"/>
      <c r="V757" s="1323"/>
      <c r="W757" s="1323"/>
      <c r="X757" s="1323"/>
      <c r="Y757" s="1323"/>
      <c r="Z757" s="1323"/>
    </row>
    <row r="758" spans="1:26" ht="18.75" hidden="1">
      <c r="A758" s="1319"/>
      <c r="B758" s="1324"/>
      <c r="C758" s="1320"/>
      <c r="D758" s="1321"/>
      <c r="E758" s="1320" t="s">
        <v>185</v>
      </c>
      <c r="F758" s="1320"/>
      <c r="G758" s="1322"/>
      <c r="H758" s="165" t="s">
        <v>12</v>
      </c>
      <c r="I758" s="886"/>
      <c r="J758" s="886"/>
      <c r="K758" s="887"/>
      <c r="L758" s="887">
        <v>0</v>
      </c>
      <c r="M758" s="887">
        <v>0</v>
      </c>
      <c r="N758" s="887">
        <v>0</v>
      </c>
      <c r="O758" s="887">
        <f t="shared" si="303"/>
        <v>0</v>
      </c>
      <c r="P758" s="887">
        <f t="shared" si="304"/>
        <v>0</v>
      </c>
      <c r="Q758" s="1323"/>
      <c r="R758" s="1323"/>
      <c r="S758" s="1323"/>
      <c r="T758" s="1323"/>
      <c r="U758" s="1323"/>
      <c r="V758" s="1323"/>
      <c r="W758" s="1323"/>
      <c r="X758" s="1323"/>
      <c r="Y758" s="1323"/>
      <c r="Z758" s="1323"/>
    </row>
    <row r="759" spans="1:26" ht="18.75" hidden="1">
      <c r="A759" s="1319"/>
      <c r="B759" s="1324"/>
      <c r="C759" s="1320"/>
      <c r="D759" s="1321"/>
      <c r="E759" s="1320" t="s">
        <v>186</v>
      </c>
      <c r="F759" s="1320"/>
      <c r="G759" s="1322"/>
      <c r="H759" s="165" t="s">
        <v>12</v>
      </c>
      <c r="I759" s="886"/>
      <c r="J759" s="886"/>
      <c r="K759" s="887"/>
      <c r="L759" s="887">
        <v>0</v>
      </c>
      <c r="M759" s="887">
        <v>0</v>
      </c>
      <c r="N759" s="887">
        <f>N760+N761+N762+N763</f>
        <v>0</v>
      </c>
      <c r="O759" s="887">
        <f t="shared" si="303"/>
        <v>0</v>
      </c>
      <c r="P759" s="887">
        <f t="shared" si="304"/>
        <v>0</v>
      </c>
      <c r="Q759" s="1323"/>
      <c r="R759" s="1323"/>
      <c r="S759" s="1323"/>
      <c r="T759" s="1323"/>
      <c r="U759" s="1323"/>
      <c r="V759" s="1323"/>
      <c r="W759" s="1323"/>
      <c r="X759" s="1323"/>
      <c r="Y759" s="1323"/>
      <c r="Z759" s="1323"/>
    </row>
    <row r="760" spans="1:26" ht="18.75" hidden="1">
      <c r="A760" s="1354"/>
      <c r="B760" s="1324"/>
      <c r="C760" s="1320"/>
      <c r="D760" s="1320"/>
      <c r="E760" s="1320"/>
      <c r="F760" s="1320" t="s">
        <v>187</v>
      </c>
      <c r="G760" s="1322"/>
      <c r="H760" s="165" t="s">
        <v>12</v>
      </c>
      <c r="I760" s="886"/>
      <c r="J760" s="886"/>
      <c r="K760" s="887"/>
      <c r="L760" s="887"/>
      <c r="M760" s="887"/>
      <c r="N760" s="887"/>
      <c r="O760" s="887"/>
      <c r="P760" s="887"/>
      <c r="Q760" s="1323"/>
      <c r="R760" s="1323"/>
      <c r="S760" s="1323"/>
      <c r="T760" s="1323"/>
      <c r="U760" s="1323"/>
      <c r="V760" s="1323"/>
      <c r="W760" s="1323"/>
      <c r="X760" s="1323"/>
      <c r="Y760" s="1323"/>
      <c r="Z760" s="1323"/>
    </row>
    <row r="761" spans="1:26" ht="18.75" hidden="1">
      <c r="A761" s="1354"/>
      <c r="B761" s="1324"/>
      <c r="C761" s="1320"/>
      <c r="D761" s="1320"/>
      <c r="E761" s="1320"/>
      <c r="F761" s="1320" t="s">
        <v>188</v>
      </c>
      <c r="G761" s="1322"/>
      <c r="H761" s="165" t="s">
        <v>12</v>
      </c>
      <c r="I761" s="886"/>
      <c r="J761" s="886"/>
      <c r="K761" s="887"/>
      <c r="L761" s="887"/>
      <c r="M761" s="887"/>
      <c r="N761" s="887"/>
      <c r="O761" s="887"/>
      <c r="P761" s="887"/>
      <c r="Q761" s="1323"/>
      <c r="R761" s="1323"/>
      <c r="S761" s="1323"/>
      <c r="T761" s="1323"/>
      <c r="U761" s="1323"/>
      <c r="V761" s="1323"/>
      <c r="W761" s="1323"/>
      <c r="X761" s="1323"/>
      <c r="Y761" s="1323"/>
      <c r="Z761" s="1323"/>
    </row>
    <row r="762" spans="1:26" ht="18.75" hidden="1">
      <c r="A762" s="1354"/>
      <c r="B762" s="1324"/>
      <c r="C762" s="1320"/>
      <c r="D762" s="1320"/>
      <c r="E762" s="1320"/>
      <c r="F762" s="1320" t="s">
        <v>189</v>
      </c>
      <c r="G762" s="1322"/>
      <c r="H762" s="165" t="s">
        <v>12</v>
      </c>
      <c r="I762" s="886"/>
      <c r="J762" s="886"/>
      <c r="K762" s="887"/>
      <c r="L762" s="887"/>
      <c r="M762" s="887"/>
      <c r="N762" s="887"/>
      <c r="O762" s="887"/>
      <c r="P762" s="887"/>
      <c r="Q762" s="1323"/>
      <c r="R762" s="1323"/>
      <c r="S762" s="1323"/>
      <c r="T762" s="1323"/>
      <c r="U762" s="1323"/>
      <c r="V762" s="1323"/>
      <c r="W762" s="1323"/>
      <c r="X762" s="1323"/>
      <c r="Y762" s="1323"/>
      <c r="Z762" s="1323"/>
    </row>
    <row r="763" spans="1:26" ht="18.75" hidden="1">
      <c r="A763" s="1354"/>
      <c r="B763" s="1324"/>
      <c r="C763" s="1320"/>
      <c r="D763" s="1320"/>
      <c r="E763" s="1320"/>
      <c r="F763" s="1320" t="s">
        <v>190</v>
      </c>
      <c r="G763" s="1322"/>
      <c r="H763" s="165" t="s">
        <v>12</v>
      </c>
      <c r="I763" s="886"/>
      <c r="J763" s="886"/>
      <c r="K763" s="887"/>
      <c r="L763" s="887"/>
      <c r="M763" s="887"/>
      <c r="N763" s="887"/>
      <c r="O763" s="887"/>
      <c r="P763" s="887"/>
      <c r="Q763" s="1323"/>
      <c r="R763" s="1323"/>
      <c r="S763" s="1323"/>
      <c r="T763" s="1323"/>
      <c r="U763" s="1323"/>
      <c r="V763" s="1323"/>
      <c r="W763" s="1323"/>
      <c r="X763" s="1323"/>
      <c r="Y763" s="1323"/>
      <c r="Z763" s="1323"/>
    </row>
    <row r="764" spans="1:26" ht="19.5" hidden="1">
      <c r="A764" s="1319"/>
      <c r="B764" s="1324"/>
      <c r="C764" s="1320"/>
      <c r="D764" s="1453" t="s">
        <v>21</v>
      </c>
      <c r="E764" s="1320"/>
      <c r="F764" s="1320"/>
      <c r="G764" s="1322"/>
      <c r="H764" s="781" t="s">
        <v>12</v>
      </c>
      <c r="I764" s="1000"/>
      <c r="J764" s="1000"/>
      <c r="K764" s="1001"/>
      <c r="L764" s="1352">
        <f t="shared" ref="L764:N764" si="307">L765+L766</f>
        <v>0</v>
      </c>
      <c r="M764" s="1352">
        <f t="shared" si="307"/>
        <v>0</v>
      </c>
      <c r="N764" s="1352">
        <f t="shared" si="307"/>
        <v>0</v>
      </c>
      <c r="O764" s="1352">
        <f t="shared" ref="O764:O766" si="308">IF(L764&gt;0,N764*100/L764,0)</f>
        <v>0</v>
      </c>
      <c r="P764" s="1352">
        <f t="shared" ref="P764:P766" si="309">IF(M764&gt;0,N764*100/M764,0)</f>
        <v>0</v>
      </c>
      <c r="Q764" s="1323"/>
      <c r="R764" s="1323"/>
      <c r="S764" s="1323"/>
      <c r="T764" s="1323"/>
      <c r="U764" s="1323"/>
      <c r="V764" s="1323"/>
      <c r="W764" s="1323"/>
      <c r="X764" s="1323"/>
      <c r="Y764" s="1323"/>
      <c r="Z764" s="1323"/>
    </row>
    <row r="765" spans="1:26" ht="18.75" hidden="1">
      <c r="A765" s="1319"/>
      <c r="B765" s="1324"/>
      <c r="C765" s="1320"/>
      <c r="D765" s="1320"/>
      <c r="E765" s="1320" t="s">
        <v>18</v>
      </c>
      <c r="F765" s="1320"/>
      <c r="G765" s="1322"/>
      <c r="H765" s="165" t="s">
        <v>12</v>
      </c>
      <c r="I765" s="1000"/>
      <c r="J765" s="1000"/>
      <c r="K765" s="1001"/>
      <c r="L765" s="887">
        <v>0</v>
      </c>
      <c r="M765" s="887">
        <v>0</v>
      </c>
      <c r="N765" s="887">
        <v>0</v>
      </c>
      <c r="O765" s="887">
        <f t="shared" si="308"/>
        <v>0</v>
      </c>
      <c r="P765" s="887">
        <f t="shared" si="309"/>
        <v>0</v>
      </c>
      <c r="Q765" s="1323"/>
      <c r="R765" s="1323"/>
      <c r="S765" s="1323"/>
      <c r="T765" s="1323"/>
      <c r="U765" s="1323"/>
      <c r="V765" s="1323"/>
      <c r="W765" s="1323"/>
      <c r="X765" s="1323"/>
      <c r="Y765" s="1323"/>
      <c r="Z765" s="1323"/>
    </row>
    <row r="766" spans="1:26" ht="18.75" hidden="1">
      <c r="A766" s="1319"/>
      <c r="B766" s="1324"/>
      <c r="C766" s="1320"/>
      <c r="D766" s="1320"/>
      <c r="E766" s="1320" t="s">
        <v>19</v>
      </c>
      <c r="F766" s="1320"/>
      <c r="G766" s="1322"/>
      <c r="H766" s="169" t="s">
        <v>12</v>
      </c>
      <c r="I766" s="1000"/>
      <c r="J766" s="1000"/>
      <c r="K766" s="1001"/>
      <c r="L766" s="887">
        <v>0</v>
      </c>
      <c r="M766" s="887">
        <v>0</v>
      </c>
      <c r="N766" s="887">
        <v>0</v>
      </c>
      <c r="O766" s="887">
        <f t="shared" si="308"/>
        <v>0</v>
      </c>
      <c r="P766" s="887">
        <f t="shared" si="309"/>
        <v>0</v>
      </c>
      <c r="Q766" s="1323"/>
      <c r="R766" s="1323"/>
      <c r="S766" s="1323"/>
      <c r="T766" s="1323"/>
      <c r="U766" s="1323"/>
      <c r="V766" s="1323"/>
      <c r="W766" s="1323"/>
      <c r="X766" s="1323"/>
      <c r="Y766" s="1323"/>
      <c r="Z766" s="1323"/>
    </row>
    <row r="767" spans="1:26" ht="19.5" hidden="1">
      <c r="A767" s="1332"/>
      <c r="B767" s="1333"/>
      <c r="C767" s="1320" t="s">
        <v>16</v>
      </c>
      <c r="D767" s="1454" t="s">
        <v>38</v>
      </c>
      <c r="E767" s="1356"/>
      <c r="F767" s="1356"/>
      <c r="G767" s="1357"/>
      <c r="H767" s="1113"/>
      <c r="I767" s="1000"/>
      <c r="J767" s="1000"/>
      <c r="K767" s="1001"/>
      <c r="L767" s="1001"/>
      <c r="M767" s="1001"/>
      <c r="N767" s="1001"/>
      <c r="O767" s="1001"/>
      <c r="P767" s="1001"/>
      <c r="Q767" s="1323"/>
      <c r="R767" s="1323"/>
      <c r="S767" s="1323"/>
      <c r="T767" s="1323"/>
      <c r="U767" s="1323"/>
      <c r="V767" s="1323"/>
      <c r="W767" s="1323"/>
      <c r="X767" s="1323"/>
      <c r="Y767" s="1323"/>
      <c r="Z767" s="1323"/>
    </row>
    <row r="768" spans="1:26" ht="18.75" hidden="1">
      <c r="A768" s="1354"/>
      <c r="B768" s="1324"/>
      <c r="C768" s="1320"/>
      <c r="D768" s="1320"/>
      <c r="E768" s="1320" t="s">
        <v>317</v>
      </c>
      <c r="F768" s="1320"/>
      <c r="G768" s="1322"/>
      <c r="H768" s="165" t="s">
        <v>46</v>
      </c>
      <c r="I768" s="886"/>
      <c r="J768" s="886"/>
      <c r="K768" s="887"/>
      <c r="L768" s="887"/>
      <c r="M768" s="887"/>
      <c r="N768" s="887"/>
      <c r="O768" s="887"/>
      <c r="P768" s="887"/>
      <c r="Q768" s="1323"/>
      <c r="R768" s="1323"/>
      <c r="S768" s="1323"/>
      <c r="T768" s="1323"/>
      <c r="U768" s="1323"/>
      <c r="V768" s="1323"/>
      <c r="W768" s="1323"/>
      <c r="X768" s="1323"/>
      <c r="Y768" s="1323"/>
      <c r="Z768" s="1323"/>
    </row>
    <row r="769" spans="1:26" ht="19.5" hidden="1">
      <c r="A769" s="791">
        <v>11</v>
      </c>
      <c r="B769" s="1461" t="s">
        <v>318</v>
      </c>
      <c r="C769" s="1462"/>
      <c r="D769" s="1462"/>
      <c r="E769" s="1462"/>
      <c r="F769" s="1462"/>
      <c r="G769" s="1463"/>
      <c r="H769" s="795" t="s">
        <v>46</v>
      </c>
      <c r="I769" s="1464"/>
      <c r="J769" s="1464">
        <f>J784</f>
        <v>0</v>
      </c>
      <c r="K769" s="1465">
        <f>IF(I769&gt;0,J769*100/I769,0)</f>
        <v>0</v>
      </c>
      <c r="L769" s="1466"/>
      <c r="M769" s="1466"/>
      <c r="N769" s="1466"/>
      <c r="O769" s="1466"/>
      <c r="P769" s="1466"/>
      <c r="Q769" s="1323"/>
      <c r="R769" s="1323"/>
      <c r="S769" s="1323"/>
      <c r="T769" s="1323"/>
      <c r="U769" s="1323"/>
      <c r="V769" s="1323"/>
      <c r="W769" s="1323"/>
      <c r="X769" s="1323"/>
      <c r="Y769" s="1323"/>
      <c r="Z769" s="1323"/>
    </row>
    <row r="770" spans="1:26" ht="19.5" hidden="1">
      <c r="A770" s="1319"/>
      <c r="B770" s="1320"/>
      <c r="C770" s="1320" t="s">
        <v>16</v>
      </c>
      <c r="D770" s="1351" t="s">
        <v>17</v>
      </c>
      <c r="E770" s="841"/>
      <c r="F770" s="841"/>
      <c r="G770" s="1322"/>
      <c r="H770" s="644" t="s">
        <v>12</v>
      </c>
      <c r="I770" s="886"/>
      <c r="J770" s="886"/>
      <c r="K770" s="887"/>
      <c r="L770" s="1352">
        <f t="shared" ref="L770:N770" si="310">L771+L772</f>
        <v>0</v>
      </c>
      <c r="M770" s="1352">
        <f t="shared" si="310"/>
        <v>0</v>
      </c>
      <c r="N770" s="1352">
        <f t="shared" si="310"/>
        <v>0</v>
      </c>
      <c r="O770" s="1352">
        <f t="shared" ref="O770:O775" si="311">IF(L770&gt;0,N770*100/L770,0)</f>
        <v>0</v>
      </c>
      <c r="P770" s="1352">
        <f t="shared" ref="P770:P775" si="312">IF(M770&gt;0,N770*100/M770,0)</f>
        <v>0</v>
      </c>
      <c r="Q770" s="1323"/>
      <c r="R770" s="1323"/>
      <c r="S770" s="1323"/>
      <c r="T770" s="1323"/>
      <c r="U770" s="1323"/>
      <c r="V770" s="1323"/>
      <c r="W770" s="1323"/>
      <c r="X770" s="1323"/>
      <c r="Y770" s="1323"/>
      <c r="Z770" s="1323"/>
    </row>
    <row r="771" spans="1:26" ht="18.75" hidden="1">
      <c r="A771" s="1319"/>
      <c r="B771" s="1320"/>
      <c r="C771" s="1320"/>
      <c r="D771" s="1321"/>
      <c r="E771" s="1320" t="s">
        <v>185</v>
      </c>
      <c r="F771" s="1320"/>
      <c r="G771" s="1322"/>
      <c r="H771" s="165" t="s">
        <v>12</v>
      </c>
      <c r="I771" s="886"/>
      <c r="J771" s="886"/>
      <c r="K771" s="887"/>
      <c r="L771" s="887">
        <f t="shared" ref="L771:N772" si="313">L774+L781</f>
        <v>0</v>
      </c>
      <c r="M771" s="887">
        <f t="shared" si="313"/>
        <v>0</v>
      </c>
      <c r="N771" s="887">
        <f t="shared" si="313"/>
        <v>0</v>
      </c>
      <c r="O771" s="887">
        <f t="shared" si="311"/>
        <v>0</v>
      </c>
      <c r="P771" s="887">
        <f t="shared" si="312"/>
        <v>0</v>
      </c>
      <c r="Q771" s="1323"/>
      <c r="R771" s="1323"/>
      <c r="S771" s="1323"/>
      <c r="T771" s="1323"/>
      <c r="U771" s="1323"/>
      <c r="V771" s="1323"/>
      <c r="W771" s="1323"/>
      <c r="X771" s="1323"/>
      <c r="Y771" s="1323"/>
      <c r="Z771" s="1323"/>
    </row>
    <row r="772" spans="1:26" ht="18.75" hidden="1">
      <c r="A772" s="1319"/>
      <c r="B772" s="1324"/>
      <c r="C772" s="1320"/>
      <c r="D772" s="1321"/>
      <c r="E772" s="1320" t="s">
        <v>186</v>
      </c>
      <c r="F772" s="1320"/>
      <c r="G772" s="1322"/>
      <c r="H772" s="165" t="s">
        <v>12</v>
      </c>
      <c r="I772" s="886"/>
      <c r="J772" s="886"/>
      <c r="K772" s="887"/>
      <c r="L772" s="887">
        <f t="shared" si="313"/>
        <v>0</v>
      </c>
      <c r="M772" s="887">
        <f t="shared" si="313"/>
        <v>0</v>
      </c>
      <c r="N772" s="887">
        <f t="shared" si="313"/>
        <v>0</v>
      </c>
      <c r="O772" s="887">
        <f t="shared" si="311"/>
        <v>0</v>
      </c>
      <c r="P772" s="887">
        <f t="shared" si="312"/>
        <v>0</v>
      </c>
      <c r="Q772" s="1323"/>
      <c r="R772" s="1323"/>
      <c r="S772" s="1323"/>
      <c r="T772" s="1323"/>
      <c r="U772" s="1323"/>
      <c r="V772" s="1323"/>
      <c r="W772" s="1323"/>
      <c r="X772" s="1323"/>
      <c r="Y772" s="1323"/>
      <c r="Z772" s="1323"/>
    </row>
    <row r="773" spans="1:26" ht="19.5" hidden="1">
      <c r="A773" s="1319"/>
      <c r="B773" s="1324"/>
      <c r="C773" s="1320"/>
      <c r="D773" s="1453" t="s">
        <v>20</v>
      </c>
      <c r="E773" s="1320"/>
      <c r="F773" s="1320"/>
      <c r="G773" s="1322"/>
      <c r="H773" s="644" t="s">
        <v>12</v>
      </c>
      <c r="I773" s="1000"/>
      <c r="J773" s="1000"/>
      <c r="K773" s="1001"/>
      <c r="L773" s="1352">
        <f t="shared" ref="L773:N773" si="314">L774+L775</f>
        <v>0</v>
      </c>
      <c r="M773" s="1352">
        <f t="shared" si="314"/>
        <v>0</v>
      </c>
      <c r="N773" s="1352">
        <f t="shared" si="314"/>
        <v>0</v>
      </c>
      <c r="O773" s="1352">
        <f t="shared" si="311"/>
        <v>0</v>
      </c>
      <c r="P773" s="1352">
        <f t="shared" si="312"/>
        <v>0</v>
      </c>
      <c r="Q773" s="1323"/>
      <c r="R773" s="1323"/>
      <c r="S773" s="1323"/>
      <c r="T773" s="1323"/>
      <c r="U773" s="1323"/>
      <c r="V773" s="1323"/>
      <c r="W773" s="1323"/>
      <c r="X773" s="1323"/>
      <c r="Y773" s="1323"/>
      <c r="Z773" s="1323"/>
    </row>
    <row r="774" spans="1:26" ht="18.75" hidden="1">
      <c r="A774" s="1319"/>
      <c r="B774" s="1324"/>
      <c r="C774" s="1320"/>
      <c r="D774" s="1321"/>
      <c r="E774" s="1320" t="s">
        <v>185</v>
      </c>
      <c r="F774" s="1320"/>
      <c r="G774" s="1322"/>
      <c r="H774" s="165" t="s">
        <v>12</v>
      </c>
      <c r="I774" s="886"/>
      <c r="J774" s="886"/>
      <c r="K774" s="887"/>
      <c r="L774" s="887">
        <v>0</v>
      </c>
      <c r="M774" s="887">
        <v>0</v>
      </c>
      <c r="N774" s="887">
        <v>0</v>
      </c>
      <c r="O774" s="887">
        <f t="shared" si="311"/>
        <v>0</v>
      </c>
      <c r="P774" s="887">
        <f t="shared" si="312"/>
        <v>0</v>
      </c>
      <c r="Q774" s="1323"/>
      <c r="R774" s="1323"/>
      <c r="S774" s="1323"/>
      <c r="T774" s="1323"/>
      <c r="U774" s="1323"/>
      <c r="V774" s="1323"/>
      <c r="W774" s="1323"/>
      <c r="X774" s="1323"/>
      <c r="Y774" s="1323"/>
      <c r="Z774" s="1323"/>
    </row>
    <row r="775" spans="1:26" ht="18.75" hidden="1">
      <c r="A775" s="1319"/>
      <c r="B775" s="1324"/>
      <c r="C775" s="1320"/>
      <c r="D775" s="1321"/>
      <c r="E775" s="1320" t="s">
        <v>186</v>
      </c>
      <c r="F775" s="1320"/>
      <c r="G775" s="1322"/>
      <c r="H775" s="165" t="s">
        <v>12</v>
      </c>
      <c r="I775" s="886"/>
      <c r="J775" s="886"/>
      <c r="K775" s="887"/>
      <c r="L775" s="887">
        <v>0</v>
      </c>
      <c r="M775" s="887">
        <v>0</v>
      </c>
      <c r="N775" s="887">
        <f>N776+N777+N778+N779</f>
        <v>0</v>
      </c>
      <c r="O775" s="887">
        <f t="shared" si="311"/>
        <v>0</v>
      </c>
      <c r="P775" s="887">
        <f t="shared" si="312"/>
        <v>0</v>
      </c>
      <c r="Q775" s="1323"/>
      <c r="R775" s="1323"/>
      <c r="S775" s="1323"/>
      <c r="T775" s="1323"/>
      <c r="U775" s="1323"/>
      <c r="V775" s="1323"/>
      <c r="W775" s="1323"/>
      <c r="X775" s="1323"/>
      <c r="Y775" s="1323"/>
      <c r="Z775" s="1323"/>
    </row>
    <row r="776" spans="1:26" ht="18.75" hidden="1">
      <c r="A776" s="1354"/>
      <c r="B776" s="1324"/>
      <c r="C776" s="1320"/>
      <c r="D776" s="1320"/>
      <c r="E776" s="1320"/>
      <c r="F776" s="1320" t="s">
        <v>187</v>
      </c>
      <c r="G776" s="1322"/>
      <c r="H776" s="165" t="s">
        <v>12</v>
      </c>
      <c r="I776" s="886"/>
      <c r="J776" s="886"/>
      <c r="K776" s="887"/>
      <c r="L776" s="887"/>
      <c r="M776" s="887"/>
      <c r="N776" s="887"/>
      <c r="O776" s="887"/>
      <c r="P776" s="887"/>
      <c r="Q776" s="1323"/>
      <c r="R776" s="1323"/>
      <c r="S776" s="1323"/>
      <c r="T776" s="1323"/>
      <c r="U776" s="1323"/>
      <c r="V776" s="1323"/>
      <c r="W776" s="1323"/>
      <c r="X776" s="1323"/>
      <c r="Y776" s="1323"/>
      <c r="Z776" s="1323"/>
    </row>
    <row r="777" spans="1:26" ht="18.75" hidden="1">
      <c r="A777" s="1354"/>
      <c r="B777" s="1324"/>
      <c r="C777" s="1320"/>
      <c r="D777" s="1320"/>
      <c r="E777" s="1320"/>
      <c r="F777" s="1320" t="s">
        <v>188</v>
      </c>
      <c r="G777" s="1322"/>
      <c r="H777" s="165" t="s">
        <v>12</v>
      </c>
      <c r="I777" s="886"/>
      <c r="J777" s="886"/>
      <c r="K777" s="887"/>
      <c r="L777" s="887"/>
      <c r="M777" s="887"/>
      <c r="N777" s="887"/>
      <c r="O777" s="887"/>
      <c r="P777" s="887"/>
      <c r="Q777" s="1323"/>
      <c r="R777" s="1323"/>
      <c r="S777" s="1323"/>
      <c r="T777" s="1323"/>
      <c r="U777" s="1323"/>
      <c r="V777" s="1323"/>
      <c r="W777" s="1323"/>
      <c r="X777" s="1323"/>
      <c r="Y777" s="1323"/>
      <c r="Z777" s="1323"/>
    </row>
    <row r="778" spans="1:26" ht="18.75" hidden="1">
      <c r="A778" s="1354"/>
      <c r="B778" s="1324"/>
      <c r="C778" s="1320"/>
      <c r="D778" s="1320"/>
      <c r="E778" s="1320"/>
      <c r="F778" s="1320" t="s">
        <v>189</v>
      </c>
      <c r="G778" s="1322"/>
      <c r="H778" s="165" t="s">
        <v>12</v>
      </c>
      <c r="I778" s="886"/>
      <c r="J778" s="886"/>
      <c r="K778" s="887"/>
      <c r="L778" s="887"/>
      <c r="M778" s="887"/>
      <c r="N778" s="887"/>
      <c r="O778" s="887"/>
      <c r="P778" s="887"/>
      <c r="Q778" s="1323"/>
      <c r="R778" s="1323"/>
      <c r="S778" s="1323"/>
      <c r="T778" s="1323"/>
      <c r="U778" s="1323"/>
      <c r="V778" s="1323"/>
      <c r="W778" s="1323"/>
      <c r="X778" s="1323"/>
      <c r="Y778" s="1323"/>
      <c r="Z778" s="1323"/>
    </row>
    <row r="779" spans="1:26" ht="18.75" hidden="1">
      <c r="A779" s="1354"/>
      <c r="B779" s="1324"/>
      <c r="C779" s="1320"/>
      <c r="D779" s="1320"/>
      <c r="E779" s="1320"/>
      <c r="F779" s="1320" t="s">
        <v>190</v>
      </c>
      <c r="G779" s="1322"/>
      <c r="H779" s="165" t="s">
        <v>12</v>
      </c>
      <c r="I779" s="886"/>
      <c r="J779" s="886"/>
      <c r="K779" s="887"/>
      <c r="L779" s="887"/>
      <c r="M779" s="887"/>
      <c r="N779" s="887"/>
      <c r="O779" s="887"/>
      <c r="P779" s="887"/>
      <c r="Q779" s="1323"/>
      <c r="R779" s="1323"/>
      <c r="S779" s="1323"/>
      <c r="T779" s="1323"/>
      <c r="U779" s="1323"/>
      <c r="V779" s="1323"/>
      <c r="W779" s="1323"/>
      <c r="X779" s="1323"/>
      <c r="Y779" s="1323"/>
      <c r="Z779" s="1323"/>
    </row>
    <row r="780" spans="1:26" ht="19.5" hidden="1">
      <c r="A780" s="1319"/>
      <c r="B780" s="1324"/>
      <c r="C780" s="1320"/>
      <c r="D780" s="1453" t="s">
        <v>21</v>
      </c>
      <c r="E780" s="1320"/>
      <c r="F780" s="1320"/>
      <c r="G780" s="1322"/>
      <c r="H780" s="781" t="s">
        <v>12</v>
      </c>
      <c r="I780" s="1000"/>
      <c r="J780" s="1000"/>
      <c r="K780" s="1001"/>
      <c r="L780" s="1352">
        <f t="shared" ref="L780:N780" si="315">L781+L782</f>
        <v>0</v>
      </c>
      <c r="M780" s="1352">
        <f t="shared" si="315"/>
        <v>0</v>
      </c>
      <c r="N780" s="1352">
        <f t="shared" si="315"/>
        <v>0</v>
      </c>
      <c r="O780" s="1352">
        <f t="shared" ref="O780:O782" si="316">IF(L780&gt;0,N780*100/L780,0)</f>
        <v>0</v>
      </c>
      <c r="P780" s="1352">
        <f t="shared" ref="P780:P782" si="317">IF(M780&gt;0,N780*100/M780,0)</f>
        <v>0</v>
      </c>
      <c r="Q780" s="1323"/>
      <c r="R780" s="1323"/>
      <c r="S780" s="1323"/>
      <c r="T780" s="1323"/>
      <c r="U780" s="1323"/>
      <c r="V780" s="1323"/>
      <c r="W780" s="1323"/>
      <c r="X780" s="1323"/>
      <c r="Y780" s="1323"/>
      <c r="Z780" s="1323"/>
    </row>
    <row r="781" spans="1:26" ht="18.75" hidden="1">
      <c r="A781" s="1319"/>
      <c r="B781" s="1324"/>
      <c r="C781" s="1320"/>
      <c r="D781" s="1320"/>
      <c r="E781" s="1320" t="s">
        <v>18</v>
      </c>
      <c r="F781" s="1320"/>
      <c r="G781" s="1322"/>
      <c r="H781" s="165" t="s">
        <v>12</v>
      </c>
      <c r="I781" s="1000"/>
      <c r="J781" s="1000"/>
      <c r="K781" s="1001"/>
      <c r="L781" s="887">
        <v>0</v>
      </c>
      <c r="M781" s="887">
        <v>0</v>
      </c>
      <c r="N781" s="887">
        <v>0</v>
      </c>
      <c r="O781" s="887">
        <f t="shared" si="316"/>
        <v>0</v>
      </c>
      <c r="P781" s="887">
        <f t="shared" si="317"/>
        <v>0</v>
      </c>
      <c r="Q781" s="1323"/>
      <c r="R781" s="1323"/>
      <c r="S781" s="1323"/>
      <c r="T781" s="1323"/>
      <c r="U781" s="1323"/>
      <c r="V781" s="1323"/>
      <c r="W781" s="1323"/>
      <c r="X781" s="1323"/>
      <c r="Y781" s="1323"/>
      <c r="Z781" s="1323"/>
    </row>
    <row r="782" spans="1:26" ht="18.75" hidden="1">
      <c r="A782" s="1319"/>
      <c r="B782" s="1324"/>
      <c r="C782" s="1320"/>
      <c r="D782" s="1320"/>
      <c r="E782" s="1320" t="s">
        <v>19</v>
      </c>
      <c r="F782" s="1320"/>
      <c r="G782" s="1322"/>
      <c r="H782" s="169" t="s">
        <v>12</v>
      </c>
      <c r="I782" s="1000"/>
      <c r="J782" s="1000"/>
      <c r="K782" s="1001"/>
      <c r="L782" s="887">
        <v>0</v>
      </c>
      <c r="M782" s="887">
        <v>0</v>
      </c>
      <c r="N782" s="887">
        <v>0</v>
      </c>
      <c r="O782" s="887">
        <f t="shared" si="316"/>
        <v>0</v>
      </c>
      <c r="P782" s="887">
        <f t="shared" si="317"/>
        <v>0</v>
      </c>
      <c r="Q782" s="1323"/>
      <c r="R782" s="1323"/>
      <c r="S782" s="1323"/>
      <c r="T782" s="1323"/>
      <c r="U782" s="1323"/>
      <c r="V782" s="1323"/>
      <c r="W782" s="1323"/>
      <c r="X782" s="1323"/>
      <c r="Y782" s="1323"/>
      <c r="Z782" s="1323"/>
    </row>
    <row r="783" spans="1:26" ht="19.5" hidden="1">
      <c r="A783" s="1332"/>
      <c r="B783" s="1333"/>
      <c r="C783" s="1320" t="s">
        <v>16</v>
      </c>
      <c r="D783" s="1454" t="s">
        <v>38</v>
      </c>
      <c r="E783" s="1356"/>
      <c r="F783" s="1356"/>
      <c r="G783" s="1357"/>
      <c r="H783" s="1467"/>
      <c r="I783" s="1000"/>
      <c r="J783" s="1000"/>
      <c r="K783" s="1001"/>
      <c r="L783" s="1001"/>
      <c r="M783" s="1001"/>
      <c r="N783" s="1001"/>
      <c r="O783" s="1001"/>
      <c r="P783" s="1001"/>
      <c r="Q783" s="1323"/>
      <c r="R783" s="1323"/>
      <c r="S783" s="1323"/>
      <c r="T783" s="1323"/>
      <c r="U783" s="1323"/>
      <c r="V783" s="1323"/>
      <c r="W783" s="1323"/>
      <c r="X783" s="1323"/>
      <c r="Y783" s="1323"/>
      <c r="Z783" s="1323"/>
    </row>
    <row r="784" spans="1:26" ht="18.75" hidden="1">
      <c r="A784" s="1354"/>
      <c r="B784" s="1324"/>
      <c r="C784" s="1320"/>
      <c r="D784" s="1320"/>
      <c r="E784" s="1320" t="s">
        <v>319</v>
      </c>
      <c r="F784" s="1320"/>
      <c r="G784" s="1322"/>
      <c r="H784" s="165" t="s">
        <v>46</v>
      </c>
      <c r="I784" s="886"/>
      <c r="J784" s="886"/>
      <c r="K784" s="887"/>
      <c r="L784" s="887"/>
      <c r="M784" s="887"/>
      <c r="N784" s="887"/>
      <c r="O784" s="887"/>
      <c r="P784" s="887"/>
      <c r="Q784" s="1323"/>
      <c r="R784" s="1323"/>
      <c r="S784" s="1323"/>
      <c r="T784" s="1323"/>
      <c r="U784" s="1323"/>
      <c r="V784" s="1323"/>
      <c r="W784" s="1323"/>
      <c r="X784" s="1323"/>
      <c r="Y784" s="1323"/>
      <c r="Z784" s="1323"/>
    </row>
    <row r="785" spans="1:26" ht="19.5" hidden="1">
      <c r="A785" s="800">
        <v>12</v>
      </c>
      <c r="B785" s="1468" t="s">
        <v>320</v>
      </c>
      <c r="C785" s="1469"/>
      <c r="D785" s="1469"/>
      <c r="E785" s="1469"/>
      <c r="F785" s="1469"/>
      <c r="G785" s="1470"/>
      <c r="H785" s="804" t="s">
        <v>46</v>
      </c>
      <c r="I785" s="1471">
        <f t="shared" ref="I785:J785" ca="1" si="318">I800</f>
        <v>0</v>
      </c>
      <c r="J785" s="1472">
        <f t="shared" ca="1" si="318"/>
        <v>0</v>
      </c>
      <c r="K785" s="1473">
        <f ca="1">IF(I785&gt;0,J785*100/I785,0)</f>
        <v>0</v>
      </c>
      <c r="L785" s="1474"/>
      <c r="M785" s="1474"/>
      <c r="N785" s="1474"/>
      <c r="O785" s="1474"/>
      <c r="P785" s="1474"/>
      <c r="Q785" s="1302"/>
      <c r="R785" s="1302"/>
      <c r="S785" s="1302"/>
      <c r="T785" s="1302"/>
      <c r="U785" s="1302"/>
      <c r="V785" s="1302"/>
      <c r="W785" s="1302"/>
      <c r="X785" s="1302"/>
      <c r="Y785" s="1302"/>
      <c r="Z785" s="1302"/>
    </row>
    <row r="786" spans="1:26" ht="19.5" hidden="1">
      <c r="A786" s="1317"/>
      <c r="B786" s="1300"/>
      <c r="C786" s="1301" t="s">
        <v>16</v>
      </c>
      <c r="D786" s="1318" t="s">
        <v>17</v>
      </c>
      <c r="E786" s="841"/>
      <c r="F786" s="841"/>
      <c r="G786" s="1016"/>
      <c r="H786" s="597" t="s">
        <v>12</v>
      </c>
      <c r="I786" s="880"/>
      <c r="J786" s="880"/>
      <c r="K786" s="881"/>
      <c r="L786" s="1020">
        <f t="shared" ref="L786:N786" ca="1" si="319">L787+L788</f>
        <v>0</v>
      </c>
      <c r="M786" s="1020">
        <f t="shared" si="319"/>
        <v>0</v>
      </c>
      <c r="N786" s="1020">
        <f t="shared" si="319"/>
        <v>0</v>
      </c>
      <c r="O786" s="1020">
        <f t="shared" ref="O786:O791" ca="1" si="320">IF(L786&gt;0,N786*100/L786,0)</f>
        <v>0</v>
      </c>
      <c r="P786" s="1020">
        <f t="shared" ref="P786:P791" si="321">IF(M786&gt;0,N786*100/M786,0)</f>
        <v>0</v>
      </c>
      <c r="Q786" s="1302"/>
      <c r="R786" s="1302"/>
      <c r="S786" s="1302"/>
      <c r="T786" s="1302"/>
      <c r="U786" s="1302"/>
      <c r="V786" s="1302"/>
      <c r="W786" s="1302"/>
      <c r="X786" s="1302"/>
      <c r="Y786" s="1302"/>
      <c r="Z786" s="1302"/>
    </row>
    <row r="787" spans="1:26" ht="18.75" hidden="1">
      <c r="A787" s="1319"/>
      <c r="B787" s="1324"/>
      <c r="C787" s="1320"/>
      <c r="D787" s="1321"/>
      <c r="E787" s="1320" t="s">
        <v>185</v>
      </c>
      <c r="F787" s="1320"/>
      <c r="G787" s="1322"/>
      <c r="H787" s="165" t="s">
        <v>12</v>
      </c>
      <c r="I787" s="886"/>
      <c r="J787" s="886"/>
      <c r="K787" s="887"/>
      <c r="L787" s="887">
        <f t="shared" ref="L787:N788" si="322">L790+L797</f>
        <v>0</v>
      </c>
      <c r="M787" s="887">
        <f t="shared" si="322"/>
        <v>0</v>
      </c>
      <c r="N787" s="887">
        <f t="shared" si="322"/>
        <v>0</v>
      </c>
      <c r="O787" s="887">
        <f t="shared" si="320"/>
        <v>0</v>
      </c>
      <c r="P787" s="887">
        <f t="shared" si="321"/>
        <v>0</v>
      </c>
      <c r="Q787" s="1323"/>
      <c r="R787" s="1323"/>
      <c r="S787" s="1323"/>
      <c r="T787" s="1323"/>
      <c r="U787" s="1323"/>
      <c r="V787" s="1323"/>
      <c r="W787" s="1323"/>
      <c r="X787" s="1323"/>
      <c r="Y787" s="1323"/>
      <c r="Z787" s="1323"/>
    </row>
    <row r="788" spans="1:26" ht="18.75" hidden="1">
      <c r="A788" s="1319"/>
      <c r="B788" s="1324"/>
      <c r="C788" s="1324"/>
      <c r="D788" s="1333"/>
      <c r="E788" s="1320" t="s">
        <v>186</v>
      </c>
      <c r="F788" s="1320"/>
      <c r="G788" s="1322"/>
      <c r="H788" s="165" t="s">
        <v>12</v>
      </c>
      <c r="I788" s="886"/>
      <c r="J788" s="886"/>
      <c r="K788" s="887"/>
      <c r="L788" s="887">
        <f t="shared" ca="1" si="322"/>
        <v>0</v>
      </c>
      <c r="M788" s="887">
        <f t="shared" si="322"/>
        <v>0</v>
      </c>
      <c r="N788" s="887">
        <f t="shared" si="322"/>
        <v>0</v>
      </c>
      <c r="O788" s="887">
        <f t="shared" ca="1" si="320"/>
        <v>0</v>
      </c>
      <c r="P788" s="887">
        <f t="shared" si="321"/>
        <v>0</v>
      </c>
      <c r="Q788" s="1323"/>
      <c r="R788" s="1323"/>
      <c r="S788" s="1323"/>
      <c r="T788" s="1323"/>
      <c r="U788" s="1323"/>
      <c r="V788" s="1323"/>
      <c r="W788" s="1323"/>
      <c r="X788" s="1323"/>
      <c r="Y788" s="1323"/>
      <c r="Z788" s="1323"/>
    </row>
    <row r="789" spans="1:26" ht="18.75" hidden="1">
      <c r="A789" s="1317"/>
      <c r="B789" s="1300"/>
      <c r="C789" s="1300"/>
      <c r="D789" s="1325" t="s">
        <v>20</v>
      </c>
      <c r="E789" s="1301"/>
      <c r="F789" s="1301"/>
      <c r="G789" s="1016"/>
      <c r="H789" s="161" t="s">
        <v>12</v>
      </c>
      <c r="I789" s="997"/>
      <c r="J789" s="997"/>
      <c r="K789" s="998"/>
      <c r="L789" s="881">
        <f t="shared" ref="L789:N789" ca="1" si="323">L790+L791</f>
        <v>0</v>
      </c>
      <c r="M789" s="881">
        <f t="shared" si="323"/>
        <v>0</v>
      </c>
      <c r="N789" s="881">
        <f t="shared" si="323"/>
        <v>0</v>
      </c>
      <c r="O789" s="881">
        <f t="shared" ca="1" si="320"/>
        <v>0</v>
      </c>
      <c r="P789" s="881">
        <f t="shared" si="321"/>
        <v>0</v>
      </c>
      <c r="Q789" s="1302"/>
      <c r="R789" s="1302"/>
      <c r="S789" s="1302"/>
      <c r="T789" s="1302"/>
      <c r="U789" s="1302"/>
      <c r="V789" s="1302"/>
      <c r="W789" s="1302"/>
      <c r="X789" s="1302"/>
      <c r="Y789" s="1302"/>
      <c r="Z789" s="1302"/>
    </row>
    <row r="790" spans="1:26" ht="18.75" hidden="1">
      <c r="A790" s="1319"/>
      <c r="B790" s="1324"/>
      <c r="C790" s="1324"/>
      <c r="D790" s="1333"/>
      <c r="E790" s="1320" t="s">
        <v>185</v>
      </c>
      <c r="F790" s="1320"/>
      <c r="G790" s="1322"/>
      <c r="H790" s="165" t="s">
        <v>12</v>
      </c>
      <c r="I790" s="886"/>
      <c r="J790" s="886"/>
      <c r="K790" s="887"/>
      <c r="L790" s="887">
        <v>0</v>
      </c>
      <c r="M790" s="887">
        <v>0</v>
      </c>
      <c r="N790" s="887">
        <v>0</v>
      </c>
      <c r="O790" s="887">
        <f t="shared" si="320"/>
        <v>0</v>
      </c>
      <c r="P790" s="887">
        <f t="shared" si="321"/>
        <v>0</v>
      </c>
      <c r="Q790" s="1323"/>
      <c r="R790" s="1323"/>
      <c r="S790" s="1323"/>
      <c r="T790" s="1323"/>
      <c r="U790" s="1323"/>
      <c r="V790" s="1323"/>
      <c r="W790" s="1323"/>
      <c r="X790" s="1323"/>
      <c r="Y790" s="1323"/>
      <c r="Z790" s="1323"/>
    </row>
    <row r="791" spans="1:26" ht="18.75" hidden="1">
      <c r="A791" s="1319"/>
      <c r="B791" s="1324"/>
      <c r="C791" s="1324"/>
      <c r="D791" s="1333"/>
      <c r="E791" s="1320" t="s">
        <v>186</v>
      </c>
      <c r="F791" s="1320"/>
      <c r="G791" s="1322"/>
      <c r="H791" s="165" t="s">
        <v>12</v>
      </c>
      <c r="I791" s="886"/>
      <c r="J791" s="886"/>
      <c r="K791" s="887"/>
      <c r="L791" s="887">
        <f ca="1">IFERROR(__xludf.DUMMYFUNCTION("IMPORTRANGE(""https://docs.google.com/spreadsheets/d/1QqKyyYR6Q21VydFLVH3TRQUabQu_ym0Zz7PgGX0-kHA/edit?usp=sharing"",""แผน!JJ77"")"),0)</f>
        <v>0</v>
      </c>
      <c r="M791" s="887">
        <v>0</v>
      </c>
      <c r="N791" s="887">
        <f>N792+N793+N794+N795</f>
        <v>0</v>
      </c>
      <c r="O791" s="887">
        <f t="shared" ca="1" si="320"/>
        <v>0</v>
      </c>
      <c r="P791" s="887">
        <f t="shared" si="321"/>
        <v>0</v>
      </c>
      <c r="Q791" s="1323"/>
      <c r="R791" s="1323"/>
      <c r="S791" s="1323"/>
      <c r="T791" s="1323"/>
      <c r="U791" s="1323"/>
      <c r="V791" s="1323"/>
      <c r="W791" s="1323"/>
      <c r="X791" s="1323"/>
      <c r="Y791" s="1323"/>
      <c r="Z791" s="1323"/>
    </row>
    <row r="792" spans="1:26" ht="18.75" hidden="1">
      <c r="A792" s="1299"/>
      <c r="B792" s="1300"/>
      <c r="C792" s="1301"/>
      <c r="D792" s="1301"/>
      <c r="E792" s="1301"/>
      <c r="F792" s="1301" t="s">
        <v>187</v>
      </c>
      <c r="G792" s="1016"/>
      <c r="H792" s="161" t="s">
        <v>12</v>
      </c>
      <c r="I792" s="880"/>
      <c r="J792" s="880"/>
      <c r="K792" s="881"/>
      <c r="L792" s="881"/>
      <c r="M792" s="881"/>
      <c r="N792" s="1085">
        <v>0</v>
      </c>
      <c r="O792" s="881"/>
      <c r="P792" s="881"/>
      <c r="Q792" s="1302"/>
      <c r="R792" s="1302"/>
      <c r="S792" s="1302"/>
      <c r="T792" s="1302"/>
      <c r="U792" s="1302"/>
      <c r="V792" s="1302"/>
      <c r="W792" s="1302"/>
      <c r="X792" s="1302"/>
      <c r="Y792" s="1302"/>
      <c r="Z792" s="1302"/>
    </row>
    <row r="793" spans="1:26" ht="18.75" hidden="1">
      <c r="A793" s="1299"/>
      <c r="B793" s="1300"/>
      <c r="C793" s="1301"/>
      <c r="D793" s="1301"/>
      <c r="E793" s="1301"/>
      <c r="F793" s="1301" t="s">
        <v>188</v>
      </c>
      <c r="G793" s="1016"/>
      <c r="H793" s="161" t="s">
        <v>12</v>
      </c>
      <c r="I793" s="880"/>
      <c r="J793" s="880"/>
      <c r="K793" s="881"/>
      <c r="L793" s="881"/>
      <c r="M793" s="881"/>
      <c r="N793" s="1085">
        <v>0</v>
      </c>
      <c r="O793" s="881"/>
      <c r="P793" s="881"/>
      <c r="Q793" s="1302"/>
      <c r="R793" s="1302"/>
      <c r="S793" s="1302"/>
      <c r="T793" s="1302"/>
      <c r="U793" s="1302"/>
      <c r="V793" s="1302"/>
      <c r="W793" s="1302"/>
      <c r="X793" s="1302"/>
      <c r="Y793" s="1302"/>
      <c r="Z793" s="1302"/>
    </row>
    <row r="794" spans="1:26" ht="18.75" hidden="1">
      <c r="A794" s="1299"/>
      <c r="B794" s="1300"/>
      <c r="C794" s="1301"/>
      <c r="D794" s="1301"/>
      <c r="E794" s="1301"/>
      <c r="F794" s="1301" t="s">
        <v>189</v>
      </c>
      <c r="G794" s="1016"/>
      <c r="H794" s="161" t="s">
        <v>12</v>
      </c>
      <c r="I794" s="880"/>
      <c r="J794" s="880"/>
      <c r="K794" s="881"/>
      <c r="L794" s="881"/>
      <c r="M794" s="881"/>
      <c r="N794" s="1085">
        <v>0</v>
      </c>
      <c r="O794" s="881"/>
      <c r="P794" s="881"/>
      <c r="Q794" s="1302"/>
      <c r="R794" s="1302"/>
      <c r="S794" s="1302"/>
      <c r="T794" s="1302"/>
      <c r="U794" s="1302"/>
      <c r="V794" s="1302"/>
      <c r="W794" s="1302"/>
      <c r="X794" s="1302"/>
      <c r="Y794" s="1302"/>
      <c r="Z794" s="1302"/>
    </row>
    <row r="795" spans="1:26" ht="18.75" hidden="1">
      <c r="A795" s="1299"/>
      <c r="B795" s="1300"/>
      <c r="C795" s="1301"/>
      <c r="D795" s="1301"/>
      <c r="E795" s="1301"/>
      <c r="F795" s="1301" t="s">
        <v>190</v>
      </c>
      <c r="G795" s="1016"/>
      <c r="H795" s="161" t="s">
        <v>12</v>
      </c>
      <c r="I795" s="880"/>
      <c r="J795" s="880"/>
      <c r="K795" s="881"/>
      <c r="L795" s="881"/>
      <c r="M795" s="881"/>
      <c r="N795" s="1085">
        <v>0</v>
      </c>
      <c r="O795" s="881"/>
      <c r="P795" s="881"/>
      <c r="Q795" s="1302"/>
      <c r="R795" s="1302"/>
      <c r="S795" s="1302"/>
      <c r="T795" s="1302"/>
      <c r="U795" s="1302"/>
      <c r="V795" s="1302"/>
      <c r="W795" s="1302"/>
      <c r="X795" s="1302"/>
      <c r="Y795" s="1302"/>
      <c r="Z795" s="1302"/>
    </row>
    <row r="796" spans="1:26" ht="18.75" hidden="1">
      <c r="A796" s="1317"/>
      <c r="B796" s="1300"/>
      <c r="C796" s="1301"/>
      <c r="D796" s="1325" t="s">
        <v>21</v>
      </c>
      <c r="E796" s="1301"/>
      <c r="F796" s="1301"/>
      <c r="G796" s="1016"/>
      <c r="H796" s="168" t="s">
        <v>12</v>
      </c>
      <c r="I796" s="997"/>
      <c r="J796" s="997"/>
      <c r="K796" s="998"/>
      <c r="L796" s="881">
        <f t="shared" ref="L796:N796" si="324">L797+L798</f>
        <v>0</v>
      </c>
      <c r="M796" s="881">
        <f t="shared" si="324"/>
        <v>0</v>
      </c>
      <c r="N796" s="881">
        <f t="shared" si="324"/>
        <v>0</v>
      </c>
      <c r="O796" s="881">
        <f t="shared" ref="O796:O798" si="325">IF(L796&gt;0,N796*100/L796,0)</f>
        <v>0</v>
      </c>
      <c r="P796" s="881">
        <f t="shared" ref="P796:P798" si="326">IF(M796&gt;0,N796*100/M796,0)</f>
        <v>0</v>
      </c>
      <c r="Q796" s="1302"/>
      <c r="R796" s="1302"/>
      <c r="S796" s="1302"/>
      <c r="T796" s="1302"/>
      <c r="U796" s="1302"/>
      <c r="V796" s="1302"/>
      <c r="W796" s="1302"/>
      <c r="X796" s="1302"/>
      <c r="Y796" s="1302"/>
      <c r="Z796" s="1302"/>
    </row>
    <row r="797" spans="1:26" ht="18.75" hidden="1">
      <c r="A797" s="1319"/>
      <c r="B797" s="1324"/>
      <c r="C797" s="1320"/>
      <c r="D797" s="1320"/>
      <c r="E797" s="1320" t="s">
        <v>18</v>
      </c>
      <c r="F797" s="1320"/>
      <c r="G797" s="1322"/>
      <c r="H797" s="165" t="s">
        <v>12</v>
      </c>
      <c r="I797" s="1000"/>
      <c r="J797" s="1000"/>
      <c r="K797" s="1001"/>
      <c r="L797" s="887">
        <v>0</v>
      </c>
      <c r="M797" s="887">
        <v>0</v>
      </c>
      <c r="N797" s="887">
        <v>0</v>
      </c>
      <c r="O797" s="887">
        <f t="shared" si="325"/>
        <v>0</v>
      </c>
      <c r="P797" s="887">
        <f t="shared" si="326"/>
        <v>0</v>
      </c>
      <c r="Q797" s="1323"/>
      <c r="R797" s="1323"/>
      <c r="S797" s="1323"/>
      <c r="T797" s="1323"/>
      <c r="U797" s="1323"/>
      <c r="V797" s="1323"/>
      <c r="W797" s="1323"/>
      <c r="X797" s="1323"/>
      <c r="Y797" s="1323"/>
      <c r="Z797" s="1323"/>
    </row>
    <row r="798" spans="1:26" ht="18.75" hidden="1">
      <c r="A798" s="1319"/>
      <c r="B798" s="1324"/>
      <c r="C798" s="1320"/>
      <c r="D798" s="1320"/>
      <c r="E798" s="1320" t="s">
        <v>19</v>
      </c>
      <c r="F798" s="1320"/>
      <c r="G798" s="1322"/>
      <c r="H798" s="169" t="s">
        <v>12</v>
      </c>
      <c r="I798" s="1000"/>
      <c r="J798" s="1000"/>
      <c r="K798" s="1001"/>
      <c r="L798" s="887">
        <v>0</v>
      </c>
      <c r="M798" s="887">
        <v>0</v>
      </c>
      <c r="N798" s="887">
        <v>0</v>
      </c>
      <c r="O798" s="887">
        <f t="shared" si="325"/>
        <v>0</v>
      </c>
      <c r="P798" s="887">
        <f t="shared" si="326"/>
        <v>0</v>
      </c>
      <c r="Q798" s="1323"/>
      <c r="R798" s="1323"/>
      <c r="S798" s="1323"/>
      <c r="T798" s="1323"/>
      <c r="U798" s="1323"/>
      <c r="V798" s="1323"/>
      <c r="W798" s="1323"/>
      <c r="X798" s="1323"/>
      <c r="Y798" s="1323"/>
      <c r="Z798" s="1323"/>
    </row>
    <row r="799" spans="1:26" ht="19.5" hidden="1">
      <c r="A799" s="1326"/>
      <c r="B799" s="1327"/>
      <c r="C799" s="1301" t="s">
        <v>16</v>
      </c>
      <c r="D799" s="1439" t="s">
        <v>38</v>
      </c>
      <c r="E799" s="1330"/>
      <c r="F799" s="1330"/>
      <c r="G799" s="1331"/>
      <c r="H799" s="1475"/>
      <c r="I799" s="997"/>
      <c r="J799" s="997"/>
      <c r="K799" s="998"/>
      <c r="L799" s="998"/>
      <c r="M799" s="998"/>
      <c r="N799" s="998"/>
      <c r="O799" s="998"/>
      <c r="P799" s="998"/>
      <c r="Q799" s="1302"/>
      <c r="R799" s="1302"/>
      <c r="S799" s="1302"/>
      <c r="T799" s="1302"/>
      <c r="U799" s="1302"/>
      <c r="V799" s="1302"/>
      <c r="W799" s="1302"/>
      <c r="X799" s="1302"/>
      <c r="Y799" s="1302"/>
      <c r="Z799" s="1302"/>
    </row>
    <row r="800" spans="1:26" ht="18.75" hidden="1">
      <c r="A800" s="1326"/>
      <c r="B800" s="1327"/>
      <c r="C800" s="1327"/>
      <c r="D800" s="1327"/>
      <c r="E800" s="1014"/>
      <c r="F800" s="1014" t="s">
        <v>321</v>
      </c>
      <c r="G800" s="1007"/>
      <c r="H800" s="185" t="s">
        <v>46</v>
      </c>
      <c r="I800" s="997">
        <f ca="1">IFERROR(__xludf.DUMMYFUNCTION("IMPORTRANGE(""https://docs.google.com/spreadsheets/d/1QqKyyYR6Q21VydFLVH3TRQUabQu_ym0Zz7PgGX0-kHA/edit?usp=sharing"",""แผน!JN77"")"),0)</f>
        <v>0</v>
      </c>
      <c r="J800" s="997">
        <f ca="1">IFERROR(__xludf.DUMMYFUNCTION("IMPORTRANGE(""https://docs.google.com/spreadsheets/d/1MaWodYyGHDf7siQLGxnXhG4mBNTNIuy296niS2xXulU/edit?usp=sharing"",""RTK!H77"")"),0)</f>
        <v>0</v>
      </c>
      <c r="K800" s="881">
        <f ca="1">IF(I800&gt;0,J800*100/I800,0)</f>
        <v>0</v>
      </c>
      <c r="L800" s="881"/>
      <c r="M800" s="881"/>
      <c r="N800" s="881"/>
      <c r="O800" s="998"/>
      <c r="P800" s="998"/>
      <c r="Q800" s="1302"/>
      <c r="R800" s="1302"/>
      <c r="S800" s="1302"/>
      <c r="T800" s="1302"/>
      <c r="U800" s="1302"/>
      <c r="V800" s="1302"/>
      <c r="W800" s="1302"/>
      <c r="X800" s="1302"/>
      <c r="Y800" s="1302"/>
      <c r="Z800" s="1302"/>
    </row>
    <row r="801" spans="1:26" ht="18.75" hidden="1">
      <c r="A801" s="1326"/>
      <c r="B801" s="1327"/>
      <c r="C801" s="1327"/>
      <c r="D801" s="1327"/>
      <c r="E801" s="1014"/>
      <c r="F801" s="1014"/>
      <c r="G801" s="1007"/>
      <c r="H801" s="161" t="s">
        <v>34</v>
      </c>
      <c r="I801" s="997"/>
      <c r="J801" s="880">
        <f ca="1">IFERROR(__xludf.DUMMYFUNCTION("IMPORTRANGE(""https://docs.google.com/spreadsheets/d/1MaWodYyGHDf7siQLGxnXhG4mBNTNIuy296niS2xXulU/edit?usp=sharing"",""RTK!I77"")"),0)</f>
        <v>0</v>
      </c>
      <c r="K801" s="881"/>
      <c r="L801" s="881"/>
      <c r="M801" s="881"/>
      <c r="N801" s="881"/>
      <c r="O801" s="998"/>
      <c r="P801" s="998"/>
      <c r="Q801" s="1302"/>
      <c r="R801" s="1302"/>
      <c r="S801" s="1302"/>
      <c r="T801" s="1302"/>
      <c r="U801" s="1302"/>
      <c r="V801" s="1302"/>
      <c r="W801" s="1302"/>
      <c r="X801" s="1302"/>
      <c r="Y801" s="1302"/>
      <c r="Z801" s="1302"/>
    </row>
    <row r="802" spans="1:26" ht="18.75" hidden="1">
      <c r="A802" s="1332"/>
      <c r="B802" s="1333"/>
      <c r="C802" s="1333"/>
      <c r="D802" s="1333"/>
      <c r="E802" s="1321"/>
      <c r="F802" s="1321" t="s">
        <v>322</v>
      </c>
      <c r="G802" s="1113"/>
      <c r="H802" s="651" t="s">
        <v>46</v>
      </c>
      <c r="I802" s="1000"/>
      <c r="J802" s="886"/>
      <c r="K802" s="1001">
        <f>IF(I802&gt;0,J802*100/I802,0)</f>
        <v>0</v>
      </c>
      <c r="L802" s="1001"/>
      <c r="M802" s="1001"/>
      <c r="N802" s="1001"/>
      <c r="O802" s="1001"/>
      <c r="P802" s="1001"/>
      <c r="Q802" s="1323"/>
      <c r="R802" s="1323"/>
      <c r="S802" s="1323"/>
      <c r="T802" s="1323"/>
      <c r="U802" s="1323"/>
      <c r="V802" s="1323"/>
      <c r="W802" s="1323"/>
      <c r="X802" s="1323"/>
      <c r="Y802" s="1323"/>
      <c r="Z802" s="1323"/>
    </row>
    <row r="803" spans="1:26" ht="18.75" hidden="1">
      <c r="A803" s="1332"/>
      <c r="B803" s="1333"/>
      <c r="C803" s="1333"/>
      <c r="D803" s="1333"/>
      <c r="E803" s="1321"/>
      <c r="F803" s="1321"/>
      <c r="G803" s="1113"/>
      <c r="H803" s="651" t="s">
        <v>34</v>
      </c>
      <c r="I803" s="1000"/>
      <c r="J803" s="886"/>
      <c r="K803" s="1001"/>
      <c r="L803" s="1001"/>
      <c r="M803" s="1001"/>
      <c r="N803" s="1001"/>
      <c r="O803" s="1001"/>
      <c r="P803" s="1001"/>
      <c r="Q803" s="1323"/>
      <c r="R803" s="1323"/>
      <c r="S803" s="1323"/>
      <c r="T803" s="1323"/>
      <c r="U803" s="1323"/>
      <c r="V803" s="1323"/>
      <c r="W803" s="1323"/>
      <c r="X803" s="1323"/>
      <c r="Y803" s="1323"/>
      <c r="Z803" s="1323"/>
    </row>
    <row r="804" spans="1:26" ht="19.5" hidden="1">
      <c r="A804" s="791">
        <v>13</v>
      </c>
      <c r="B804" s="1461" t="s">
        <v>323</v>
      </c>
      <c r="C804" s="1462"/>
      <c r="D804" s="1476"/>
      <c r="E804" s="1462"/>
      <c r="F804" s="1462"/>
      <c r="G804" s="1463"/>
      <c r="H804" s="795" t="s">
        <v>46</v>
      </c>
      <c r="I804" s="1464"/>
      <c r="J804" s="1464">
        <f>J819</f>
        <v>0</v>
      </c>
      <c r="K804" s="1465">
        <f>IF(I804&gt;0,J804*100/I804,0)</f>
        <v>0</v>
      </c>
      <c r="L804" s="1466"/>
      <c r="M804" s="1466"/>
      <c r="N804" s="1466"/>
      <c r="O804" s="1466"/>
      <c r="P804" s="1466"/>
      <c r="Q804" s="1323"/>
      <c r="R804" s="1323"/>
      <c r="S804" s="1323"/>
      <c r="T804" s="1323"/>
      <c r="U804" s="1323"/>
      <c r="V804" s="1323"/>
      <c r="W804" s="1323"/>
      <c r="X804" s="1323"/>
      <c r="Y804" s="1323"/>
      <c r="Z804" s="1323"/>
    </row>
    <row r="805" spans="1:26" ht="19.5" hidden="1">
      <c r="A805" s="1319"/>
      <c r="B805" s="1320"/>
      <c r="C805" s="1320" t="s">
        <v>16</v>
      </c>
      <c r="D805" s="1351" t="s">
        <v>17</v>
      </c>
      <c r="E805" s="841"/>
      <c r="F805" s="841"/>
      <c r="G805" s="1322"/>
      <c r="H805" s="644" t="s">
        <v>12</v>
      </c>
      <c r="I805" s="886"/>
      <c r="J805" s="886"/>
      <c r="K805" s="887"/>
      <c r="L805" s="1352">
        <f t="shared" ref="L805:N805" si="327">L806+L807</f>
        <v>0</v>
      </c>
      <c r="M805" s="1352">
        <f t="shared" si="327"/>
        <v>0</v>
      </c>
      <c r="N805" s="1352">
        <f t="shared" si="327"/>
        <v>0</v>
      </c>
      <c r="O805" s="1352">
        <f t="shared" ref="O805:O810" si="328">IF(L805&gt;0,N805*100/L805,0)</f>
        <v>0</v>
      </c>
      <c r="P805" s="1352">
        <f t="shared" ref="P805:P810" si="329">IF(M805&gt;0,N805*100/M805,0)</f>
        <v>0</v>
      </c>
      <c r="Q805" s="1323"/>
      <c r="R805" s="1323"/>
      <c r="S805" s="1323"/>
      <c r="T805" s="1323"/>
      <c r="U805" s="1323"/>
      <c r="V805" s="1323"/>
      <c r="W805" s="1323"/>
      <c r="X805" s="1323"/>
      <c r="Y805" s="1323"/>
      <c r="Z805" s="1323"/>
    </row>
    <row r="806" spans="1:26" ht="18.75" hidden="1">
      <c r="A806" s="1319"/>
      <c r="B806" s="1320"/>
      <c r="C806" s="1320"/>
      <c r="D806" s="1333"/>
      <c r="E806" s="1320" t="s">
        <v>185</v>
      </c>
      <c r="F806" s="1320"/>
      <c r="G806" s="1322"/>
      <c r="H806" s="165" t="s">
        <v>12</v>
      </c>
      <c r="I806" s="886"/>
      <c r="J806" s="886"/>
      <c r="K806" s="887"/>
      <c r="L806" s="887">
        <f t="shared" ref="L806:N807" si="330">L809+L816</f>
        <v>0</v>
      </c>
      <c r="M806" s="887">
        <f t="shared" si="330"/>
        <v>0</v>
      </c>
      <c r="N806" s="887">
        <f t="shared" si="330"/>
        <v>0</v>
      </c>
      <c r="O806" s="887">
        <f t="shared" si="328"/>
        <v>0</v>
      </c>
      <c r="P806" s="887">
        <f t="shared" si="329"/>
        <v>0</v>
      </c>
      <c r="Q806" s="1323"/>
      <c r="R806" s="1323"/>
      <c r="S806" s="1323"/>
      <c r="T806" s="1323"/>
      <c r="U806" s="1323"/>
      <c r="V806" s="1323"/>
      <c r="W806" s="1323"/>
      <c r="X806" s="1323"/>
      <c r="Y806" s="1323"/>
      <c r="Z806" s="1323"/>
    </row>
    <row r="807" spans="1:26" ht="18.75" hidden="1">
      <c r="A807" s="1319"/>
      <c r="B807" s="1320"/>
      <c r="C807" s="1320"/>
      <c r="D807" s="1333"/>
      <c r="E807" s="1320" t="s">
        <v>186</v>
      </c>
      <c r="F807" s="1320"/>
      <c r="G807" s="1322"/>
      <c r="H807" s="165" t="s">
        <v>12</v>
      </c>
      <c r="I807" s="886"/>
      <c r="J807" s="886"/>
      <c r="K807" s="887"/>
      <c r="L807" s="887">
        <f t="shared" si="330"/>
        <v>0</v>
      </c>
      <c r="M807" s="887">
        <f t="shared" si="330"/>
        <v>0</v>
      </c>
      <c r="N807" s="887">
        <f t="shared" si="330"/>
        <v>0</v>
      </c>
      <c r="O807" s="887">
        <f t="shared" si="328"/>
        <v>0</v>
      </c>
      <c r="P807" s="887">
        <f t="shared" si="329"/>
        <v>0</v>
      </c>
      <c r="Q807" s="1323"/>
      <c r="R807" s="1323"/>
      <c r="S807" s="1323"/>
      <c r="T807" s="1323"/>
      <c r="U807" s="1323"/>
      <c r="V807" s="1323"/>
      <c r="W807" s="1323"/>
      <c r="X807" s="1323"/>
      <c r="Y807" s="1323"/>
      <c r="Z807" s="1323"/>
    </row>
    <row r="808" spans="1:26" ht="19.5" hidden="1">
      <c r="A808" s="1319"/>
      <c r="B808" s="1324"/>
      <c r="C808" s="1320"/>
      <c r="D808" s="1477" t="s">
        <v>20</v>
      </c>
      <c r="E808" s="841"/>
      <c r="F808" s="841"/>
      <c r="G808" s="1322"/>
      <c r="H808" s="644" t="s">
        <v>12</v>
      </c>
      <c r="I808" s="1000"/>
      <c r="J808" s="1000"/>
      <c r="K808" s="1001"/>
      <c r="L808" s="1352">
        <f t="shared" ref="L808:N808" si="331">L809+L810</f>
        <v>0</v>
      </c>
      <c r="M808" s="1352">
        <f t="shared" si="331"/>
        <v>0</v>
      </c>
      <c r="N808" s="1352">
        <f t="shared" si="331"/>
        <v>0</v>
      </c>
      <c r="O808" s="1352">
        <f t="shared" si="328"/>
        <v>0</v>
      </c>
      <c r="P808" s="1352">
        <f t="shared" si="329"/>
        <v>0</v>
      </c>
      <c r="Q808" s="1323"/>
      <c r="R808" s="1323"/>
      <c r="S808" s="1323"/>
      <c r="T808" s="1323"/>
      <c r="U808" s="1323"/>
      <c r="V808" s="1323"/>
      <c r="W808" s="1323"/>
      <c r="X808" s="1323"/>
      <c r="Y808" s="1323"/>
      <c r="Z808" s="1323"/>
    </row>
    <row r="809" spans="1:26" ht="18.75" hidden="1">
      <c r="A809" s="1319"/>
      <c r="B809" s="1320"/>
      <c r="C809" s="1320"/>
      <c r="D809" s="1333"/>
      <c r="E809" s="1320" t="s">
        <v>185</v>
      </c>
      <c r="F809" s="1320"/>
      <c r="G809" s="1322"/>
      <c r="H809" s="165" t="s">
        <v>12</v>
      </c>
      <c r="I809" s="886"/>
      <c r="J809" s="886"/>
      <c r="K809" s="887"/>
      <c r="L809" s="887">
        <v>0</v>
      </c>
      <c r="M809" s="887">
        <v>0</v>
      </c>
      <c r="N809" s="887">
        <v>0</v>
      </c>
      <c r="O809" s="887">
        <f t="shared" si="328"/>
        <v>0</v>
      </c>
      <c r="P809" s="887">
        <f t="shared" si="329"/>
        <v>0</v>
      </c>
      <c r="Q809" s="1323"/>
      <c r="R809" s="1323"/>
      <c r="S809" s="1323"/>
      <c r="T809" s="1323"/>
      <c r="U809" s="1323"/>
      <c r="V809" s="1323"/>
      <c r="W809" s="1323"/>
      <c r="X809" s="1323"/>
      <c r="Y809" s="1323"/>
      <c r="Z809" s="1323"/>
    </row>
    <row r="810" spans="1:26" ht="18.75" hidden="1">
      <c r="A810" s="1319"/>
      <c r="B810" s="1320"/>
      <c r="C810" s="1320"/>
      <c r="D810" s="1333"/>
      <c r="E810" s="1320" t="s">
        <v>186</v>
      </c>
      <c r="F810" s="1320"/>
      <c r="G810" s="1322"/>
      <c r="H810" s="165" t="s">
        <v>12</v>
      </c>
      <c r="I810" s="886"/>
      <c r="J810" s="886"/>
      <c r="K810" s="887"/>
      <c r="L810" s="887">
        <v>0</v>
      </c>
      <c r="M810" s="887">
        <v>0</v>
      </c>
      <c r="N810" s="887">
        <f>N811+N812+N813+N814</f>
        <v>0</v>
      </c>
      <c r="O810" s="887">
        <f t="shared" si="328"/>
        <v>0</v>
      </c>
      <c r="P810" s="887">
        <f t="shared" si="329"/>
        <v>0</v>
      </c>
      <c r="Q810" s="1323"/>
      <c r="R810" s="1323"/>
      <c r="S810" s="1323"/>
      <c r="T810" s="1323"/>
      <c r="U810" s="1323"/>
      <c r="V810" s="1323"/>
      <c r="W810" s="1323"/>
      <c r="X810" s="1323"/>
      <c r="Y810" s="1323"/>
      <c r="Z810" s="1323"/>
    </row>
    <row r="811" spans="1:26" ht="18.75" hidden="1">
      <c r="A811" s="1354"/>
      <c r="B811" s="1324"/>
      <c r="C811" s="1320"/>
      <c r="D811" s="1324"/>
      <c r="E811" s="1320"/>
      <c r="F811" s="1320" t="s">
        <v>187</v>
      </c>
      <c r="G811" s="1322"/>
      <c r="H811" s="165" t="s">
        <v>12</v>
      </c>
      <c r="I811" s="886"/>
      <c r="J811" s="886"/>
      <c r="K811" s="887"/>
      <c r="L811" s="887"/>
      <c r="M811" s="887"/>
      <c r="N811" s="887"/>
      <c r="O811" s="887"/>
      <c r="P811" s="887"/>
      <c r="Q811" s="1323"/>
      <c r="R811" s="1323"/>
      <c r="S811" s="1323"/>
      <c r="T811" s="1323"/>
      <c r="U811" s="1323"/>
      <c r="V811" s="1323"/>
      <c r="W811" s="1323"/>
      <c r="X811" s="1323"/>
      <c r="Y811" s="1323"/>
      <c r="Z811" s="1323"/>
    </row>
    <row r="812" spans="1:26" ht="18.75" hidden="1">
      <c r="A812" s="1354"/>
      <c r="B812" s="1324"/>
      <c r="C812" s="1320"/>
      <c r="D812" s="1324"/>
      <c r="E812" s="1320"/>
      <c r="F812" s="1320" t="s">
        <v>188</v>
      </c>
      <c r="G812" s="1322"/>
      <c r="H812" s="165" t="s">
        <v>12</v>
      </c>
      <c r="I812" s="886"/>
      <c r="J812" s="886"/>
      <c r="K812" s="887"/>
      <c r="L812" s="887"/>
      <c r="M812" s="887"/>
      <c r="N812" s="887"/>
      <c r="O812" s="887"/>
      <c r="P812" s="887"/>
      <c r="Q812" s="1323"/>
      <c r="R812" s="1323"/>
      <c r="S812" s="1323"/>
      <c r="T812" s="1323"/>
      <c r="U812" s="1323"/>
      <c r="V812" s="1323"/>
      <c r="W812" s="1323"/>
      <c r="X812" s="1323"/>
      <c r="Y812" s="1323"/>
      <c r="Z812" s="1323"/>
    </row>
    <row r="813" spans="1:26" ht="18.75" hidden="1">
      <c r="A813" s="1354"/>
      <c r="B813" s="1324"/>
      <c r="C813" s="1320"/>
      <c r="D813" s="1324"/>
      <c r="E813" s="1320"/>
      <c r="F813" s="1320" t="s">
        <v>189</v>
      </c>
      <c r="G813" s="1322"/>
      <c r="H813" s="165" t="s">
        <v>12</v>
      </c>
      <c r="I813" s="886"/>
      <c r="J813" s="886"/>
      <c r="K813" s="887"/>
      <c r="L813" s="887"/>
      <c r="M813" s="887"/>
      <c r="N813" s="887"/>
      <c r="O813" s="887"/>
      <c r="P813" s="887"/>
      <c r="Q813" s="1323"/>
      <c r="R813" s="1323"/>
      <c r="S813" s="1323"/>
      <c r="T813" s="1323"/>
      <c r="U813" s="1323"/>
      <c r="V813" s="1323"/>
      <c r="W813" s="1323"/>
      <c r="X813" s="1323"/>
      <c r="Y813" s="1323"/>
      <c r="Z813" s="1323"/>
    </row>
    <row r="814" spans="1:26" ht="18.75" hidden="1">
      <c r="A814" s="1354"/>
      <c r="B814" s="1324"/>
      <c r="C814" s="1320"/>
      <c r="D814" s="1324"/>
      <c r="E814" s="1320"/>
      <c r="F814" s="1320" t="s">
        <v>190</v>
      </c>
      <c r="G814" s="1322"/>
      <c r="H814" s="165" t="s">
        <v>12</v>
      </c>
      <c r="I814" s="886"/>
      <c r="J814" s="886"/>
      <c r="K814" s="887"/>
      <c r="L814" s="887"/>
      <c r="M814" s="887"/>
      <c r="N814" s="887"/>
      <c r="O814" s="887"/>
      <c r="P814" s="887"/>
      <c r="Q814" s="1323"/>
      <c r="R814" s="1323"/>
      <c r="S814" s="1323"/>
      <c r="T814" s="1323"/>
      <c r="U814" s="1323"/>
      <c r="V814" s="1323"/>
      <c r="W814" s="1323"/>
      <c r="X814" s="1323"/>
      <c r="Y814" s="1323"/>
      <c r="Z814" s="1323"/>
    </row>
    <row r="815" spans="1:26" ht="19.5" hidden="1">
      <c r="A815" s="1319"/>
      <c r="B815" s="1324"/>
      <c r="C815" s="1320"/>
      <c r="D815" s="1477" t="s">
        <v>21</v>
      </c>
      <c r="E815" s="841"/>
      <c r="F815" s="841"/>
      <c r="G815" s="1322"/>
      <c r="H815" s="781" t="s">
        <v>12</v>
      </c>
      <c r="I815" s="1000"/>
      <c r="J815" s="1000"/>
      <c r="K815" s="1001"/>
      <c r="L815" s="1352">
        <f t="shared" ref="L815:N815" si="332">L816+L817</f>
        <v>0</v>
      </c>
      <c r="M815" s="1352">
        <f t="shared" si="332"/>
        <v>0</v>
      </c>
      <c r="N815" s="1352">
        <f t="shared" si="332"/>
        <v>0</v>
      </c>
      <c r="O815" s="1352">
        <f t="shared" ref="O815:O817" si="333">IF(L815&gt;0,N815*100/L815,0)</f>
        <v>0</v>
      </c>
      <c r="P815" s="1352">
        <f t="shared" ref="P815:P817" si="334">IF(M815&gt;0,N815*100/M815,0)</f>
        <v>0</v>
      </c>
      <c r="Q815" s="1323"/>
      <c r="R815" s="1323"/>
      <c r="S815" s="1323"/>
      <c r="T815" s="1323"/>
      <c r="U815" s="1323"/>
      <c r="V815" s="1323"/>
      <c r="W815" s="1323"/>
      <c r="X815" s="1323"/>
      <c r="Y815" s="1323"/>
      <c r="Z815" s="1323"/>
    </row>
    <row r="816" spans="1:26" ht="18.75" hidden="1">
      <c r="A816" s="1319"/>
      <c r="B816" s="1324"/>
      <c r="C816" s="1320"/>
      <c r="D816" s="1324"/>
      <c r="E816" s="1320" t="s">
        <v>18</v>
      </c>
      <c r="F816" s="1320"/>
      <c r="G816" s="1322"/>
      <c r="H816" s="165" t="s">
        <v>12</v>
      </c>
      <c r="I816" s="1000"/>
      <c r="J816" s="1000"/>
      <c r="K816" s="1001"/>
      <c r="L816" s="887">
        <v>0</v>
      </c>
      <c r="M816" s="887">
        <v>0</v>
      </c>
      <c r="N816" s="887">
        <v>0</v>
      </c>
      <c r="O816" s="887">
        <f t="shared" si="333"/>
        <v>0</v>
      </c>
      <c r="P816" s="887">
        <f t="shared" si="334"/>
        <v>0</v>
      </c>
      <c r="Q816" s="1323"/>
      <c r="R816" s="1323"/>
      <c r="S816" s="1323"/>
      <c r="T816" s="1323"/>
      <c r="U816" s="1323"/>
      <c r="V816" s="1323"/>
      <c r="W816" s="1323"/>
      <c r="X816" s="1323"/>
      <c r="Y816" s="1323"/>
      <c r="Z816" s="1323"/>
    </row>
    <row r="817" spans="1:26" ht="18.75" hidden="1">
      <c r="A817" s="1319"/>
      <c r="B817" s="1324"/>
      <c r="C817" s="1320"/>
      <c r="D817" s="1324"/>
      <c r="E817" s="1320" t="s">
        <v>19</v>
      </c>
      <c r="F817" s="1320"/>
      <c r="G817" s="1322"/>
      <c r="H817" s="169" t="s">
        <v>12</v>
      </c>
      <c r="I817" s="1000"/>
      <c r="J817" s="1000"/>
      <c r="K817" s="1001"/>
      <c r="L817" s="887">
        <v>0</v>
      </c>
      <c r="M817" s="887">
        <v>0</v>
      </c>
      <c r="N817" s="887">
        <v>0</v>
      </c>
      <c r="O817" s="887">
        <f t="shared" si="333"/>
        <v>0</v>
      </c>
      <c r="P817" s="887">
        <f t="shared" si="334"/>
        <v>0</v>
      </c>
      <c r="Q817" s="1323"/>
      <c r="R817" s="1323"/>
      <c r="S817" s="1323"/>
      <c r="T817" s="1323"/>
      <c r="U817" s="1323"/>
      <c r="V817" s="1323"/>
      <c r="W817" s="1323"/>
      <c r="X817" s="1323"/>
      <c r="Y817" s="1323"/>
      <c r="Z817" s="1323"/>
    </row>
    <row r="818" spans="1:26" ht="19.5" hidden="1">
      <c r="A818" s="1332"/>
      <c r="B818" s="1333"/>
      <c r="C818" s="1320" t="s">
        <v>16</v>
      </c>
      <c r="D818" s="1478" t="s">
        <v>38</v>
      </c>
      <c r="E818" s="1356"/>
      <c r="F818" s="1356"/>
      <c r="G818" s="1357"/>
      <c r="H818" s="1113"/>
      <c r="I818" s="1000"/>
      <c r="J818" s="1000"/>
      <c r="K818" s="1001"/>
      <c r="L818" s="1001"/>
      <c r="M818" s="1001"/>
      <c r="N818" s="1001"/>
      <c r="O818" s="1001"/>
      <c r="P818" s="1001"/>
      <c r="Q818" s="1323"/>
      <c r="R818" s="1323"/>
      <c r="S818" s="1323"/>
      <c r="T818" s="1323"/>
      <c r="U818" s="1323"/>
      <c r="V818" s="1323"/>
      <c r="W818" s="1323"/>
      <c r="X818" s="1323"/>
      <c r="Y818" s="1323"/>
      <c r="Z818" s="1323"/>
    </row>
    <row r="819" spans="1:26" ht="19.5" hidden="1" thickBot="1">
      <c r="A819" s="1479"/>
      <c r="B819" s="1480"/>
      <c r="C819" s="1481"/>
      <c r="D819" s="1480"/>
      <c r="E819" s="1481" t="s">
        <v>324</v>
      </c>
      <c r="F819" s="1481"/>
      <c r="G819" s="1482"/>
      <c r="H819" s="817" t="s">
        <v>46</v>
      </c>
      <c r="I819" s="1483"/>
      <c r="J819" s="1483"/>
      <c r="K819" s="1484"/>
      <c r="L819" s="1484"/>
      <c r="M819" s="1484"/>
      <c r="N819" s="1484"/>
      <c r="O819" s="1484"/>
      <c r="P819" s="1484"/>
      <c r="Q819" s="1323"/>
      <c r="R819" s="1323"/>
      <c r="S819" s="1323"/>
      <c r="T819" s="1323"/>
      <c r="U819" s="1323"/>
      <c r="V819" s="1323"/>
      <c r="W819" s="1323"/>
      <c r="X819" s="1323"/>
      <c r="Y819" s="1323"/>
      <c r="Z819" s="1323"/>
    </row>
    <row r="820" spans="1:26" ht="19.5">
      <c r="A820" s="1485" t="s">
        <v>336</v>
      </c>
      <c r="B820" s="1486"/>
      <c r="C820" s="1486"/>
      <c r="D820" s="1487"/>
      <c r="E820" s="1486"/>
      <c r="F820" s="1486"/>
      <c r="G820" s="1488"/>
      <c r="H820" s="1489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0"/>
      <c r="J820" s="1490"/>
      <c r="K820" s="1491"/>
      <c r="L820" s="1491"/>
      <c r="M820" s="1491"/>
      <c r="N820" s="1491"/>
      <c r="O820" s="1491"/>
      <c r="P820" s="1491"/>
      <c r="Q820" s="1302"/>
      <c r="R820" s="1302"/>
      <c r="S820" s="1302"/>
      <c r="T820" s="1302"/>
      <c r="U820" s="1302"/>
      <c r="V820" s="1302"/>
      <c r="W820" s="1302"/>
      <c r="X820" s="1302"/>
      <c r="Y820" s="1302"/>
      <c r="Z820" s="1302"/>
    </row>
    <row r="821" spans="1:26" ht="18.75">
      <c r="A821" s="1429"/>
      <c r="B821" s="1301" t="s">
        <v>326</v>
      </c>
      <c r="C821" s="1301"/>
      <c r="D821" s="1300"/>
      <c r="E821" s="1301"/>
      <c r="F821" s="1301"/>
      <c r="G821" s="1016"/>
      <c r="H821" s="622" t="s">
        <v>12</v>
      </c>
      <c r="I821" s="880">
        <f ca="1">IFERROR(__xludf.DUMMYFUNCTION("IMPORTRANGE(""https://docs.google.com/spreadsheets/d/19vJNZY_5yjcGF2XGBMNZRCAIB0Kwfpjp8YEOfu-bneM/edit?usp=sharing"",""งานกองทุน!D77"")"),1143338.1)</f>
        <v>1143338.1000000001</v>
      </c>
      <c r="J821" s="880">
        <f ca="1">IFERROR(__xludf.DUMMYFUNCTION("IMPORTRANGE(""https://docs.google.com/spreadsheets/d/19vJNZY_5yjcGF2XGBMNZRCAIB0Kwfpjp8YEOfu-bneM/edit?usp=sharing"",""งานกองทุน!F77"")"),490250.33)</f>
        <v>490250.33</v>
      </c>
      <c r="K821" s="881">
        <f t="shared" ref="K821:K828" ca="1" si="335">IF(I821&gt;0,J821*100/I821,0)</f>
        <v>42.878858843241552</v>
      </c>
      <c r="L821" s="881"/>
      <c r="M821" s="881"/>
      <c r="N821" s="881"/>
      <c r="O821" s="881"/>
      <c r="P821" s="881"/>
      <c r="Q821" s="1302"/>
      <c r="R821" s="1302"/>
      <c r="S821" s="1302"/>
      <c r="T821" s="1302"/>
      <c r="U821" s="1302"/>
      <c r="V821" s="1302"/>
      <c r="W821" s="1302"/>
      <c r="X821" s="1302"/>
      <c r="Y821" s="1302"/>
      <c r="Z821" s="1302"/>
    </row>
    <row r="822" spans="1:26" ht="18.75">
      <c r="A822" s="1429"/>
      <c r="B822" s="1301"/>
      <c r="C822" s="1301"/>
      <c r="D822" s="1300"/>
      <c r="E822" s="1301"/>
      <c r="F822" s="1301"/>
      <c r="G822" s="1016"/>
      <c r="H822" s="622" t="s">
        <v>35</v>
      </c>
      <c r="I822" s="880">
        <f ca="1">IFERROR(__xludf.DUMMYFUNCTION("IMPORTRANGE(""https://docs.google.com/spreadsheets/d/19vJNZY_5yjcGF2XGBMNZRCAIB0Kwfpjp8YEOfu-bneM/edit?usp=sharing"",""งานกองทุน!C77"")"),75)</f>
        <v>75</v>
      </c>
      <c r="J822" s="880">
        <f ca="1">IFERROR(__xludf.DUMMYFUNCTION("IMPORTRANGE(""https://docs.google.com/spreadsheets/d/19vJNZY_5yjcGF2XGBMNZRCAIB0Kwfpjp8YEOfu-bneM/edit?usp=sharing"",""งานกองทุน!E77"")"),33)</f>
        <v>33</v>
      </c>
      <c r="K822" s="881">
        <f t="shared" ca="1" si="335"/>
        <v>44</v>
      </c>
      <c r="L822" s="881"/>
      <c r="M822" s="881"/>
      <c r="N822" s="881"/>
      <c r="O822" s="881"/>
      <c r="P822" s="881"/>
      <c r="Q822" s="1302"/>
      <c r="R822" s="1302"/>
      <c r="S822" s="1302"/>
      <c r="T822" s="1302"/>
      <c r="U822" s="1302"/>
      <c r="V822" s="1302"/>
      <c r="W822" s="1302"/>
      <c r="X822" s="1302"/>
      <c r="Y822" s="1302"/>
      <c r="Z822" s="1302"/>
    </row>
    <row r="823" spans="1:26" ht="18.75">
      <c r="A823" s="1429"/>
      <c r="B823" s="1301" t="s">
        <v>327</v>
      </c>
      <c r="C823" s="1301"/>
      <c r="D823" s="1300"/>
      <c r="E823" s="1301"/>
      <c r="F823" s="1301"/>
      <c r="G823" s="1016"/>
      <c r="H823" s="622" t="s">
        <v>12</v>
      </c>
      <c r="I823" s="880">
        <f ca="1">IFERROR(__xludf.DUMMYFUNCTION("IMPORTRANGE(""https://docs.google.com/spreadsheets/d/19vJNZY_5yjcGF2XGBMNZRCAIB0Kwfpjp8YEOfu-bneM/edit?usp=sharing"",""งานกองทุน!I77"")"),2117971.62)</f>
        <v>2117971.62</v>
      </c>
      <c r="J823" s="880">
        <f ca="1">IFERROR(__xludf.DUMMYFUNCTION("IMPORTRANGE(""https://docs.google.com/spreadsheets/d/19vJNZY_5yjcGF2XGBMNZRCAIB0Kwfpjp8YEOfu-bneM/edit?usp=sharing"",""งานกองทุน!K77"")"),291615.73)</f>
        <v>291615.73</v>
      </c>
      <c r="K823" s="881">
        <f t="shared" ca="1" si="335"/>
        <v>13.768632556086846</v>
      </c>
      <c r="L823" s="881"/>
      <c r="M823" s="881"/>
      <c r="N823" s="881"/>
      <c r="O823" s="881"/>
      <c r="P823" s="881"/>
      <c r="Q823" s="1302"/>
      <c r="R823" s="1302"/>
      <c r="S823" s="1302"/>
      <c r="T823" s="1302"/>
      <c r="U823" s="1302"/>
      <c r="V823" s="1302"/>
      <c r="W823" s="1302"/>
      <c r="X823" s="1302"/>
      <c r="Y823" s="1302"/>
      <c r="Z823" s="1302"/>
    </row>
    <row r="824" spans="1:26" ht="18.75">
      <c r="A824" s="1429"/>
      <c r="B824" s="1301"/>
      <c r="C824" s="1301"/>
      <c r="D824" s="1300"/>
      <c r="E824" s="1301"/>
      <c r="F824" s="1301"/>
      <c r="G824" s="1016"/>
      <c r="H824" s="622" t="s">
        <v>35</v>
      </c>
      <c r="I824" s="880">
        <f ca="1">IFERROR(__xludf.DUMMYFUNCTION("IMPORTRANGE(""https://docs.google.com/spreadsheets/d/19vJNZY_5yjcGF2XGBMNZRCAIB0Kwfpjp8YEOfu-bneM/edit?usp=sharing"",""งานกองทุน!H77"")"),82)</f>
        <v>82</v>
      </c>
      <c r="J824" s="880">
        <f ca="1">IFERROR(__xludf.DUMMYFUNCTION("IMPORTRANGE(""https://docs.google.com/spreadsheets/d/19vJNZY_5yjcGF2XGBMNZRCAIB0Kwfpjp8YEOfu-bneM/edit?usp=sharing"",""งานกองทุน!J77"")"),38)</f>
        <v>38</v>
      </c>
      <c r="K824" s="881">
        <f t="shared" ca="1" si="335"/>
        <v>46.341463414634148</v>
      </c>
      <c r="L824" s="881"/>
      <c r="M824" s="881"/>
      <c r="N824" s="881"/>
      <c r="O824" s="881"/>
      <c r="P824" s="881"/>
      <c r="Q824" s="1302"/>
      <c r="R824" s="1302"/>
      <c r="S824" s="1302"/>
      <c r="T824" s="1302"/>
      <c r="U824" s="1302"/>
      <c r="V824" s="1302"/>
      <c r="W824" s="1302"/>
      <c r="X824" s="1302"/>
      <c r="Y824" s="1302"/>
      <c r="Z824" s="1302"/>
    </row>
    <row r="825" spans="1:26" ht="18.75">
      <c r="A825" s="1429"/>
      <c r="B825" s="1301" t="s">
        <v>328</v>
      </c>
      <c r="C825" s="1301"/>
      <c r="D825" s="1300"/>
      <c r="E825" s="1301"/>
      <c r="F825" s="1301"/>
      <c r="G825" s="1016"/>
      <c r="H825" s="622" t="s">
        <v>12</v>
      </c>
      <c r="I825" s="880">
        <f ca="1">IFERROR(__xludf.DUMMYFUNCTION("IMPORTRANGE(""https://docs.google.com/spreadsheets/d/19vJNZY_5yjcGF2XGBMNZRCAIB0Kwfpjp8YEOfu-bneM/edit?usp=sharing"",""งานกองทุน!N77"")"),0)</f>
        <v>0</v>
      </c>
      <c r="J825" s="880">
        <f ca="1">IFERROR(__xludf.DUMMYFUNCTION("IMPORTRANGE(""https://docs.google.com/spreadsheets/d/19vJNZY_5yjcGF2XGBMNZRCAIB0Kwfpjp8YEOfu-bneM/edit?usp=sharing"",""งานกองทุน!P77"")"),0)</f>
        <v>0</v>
      </c>
      <c r="K825" s="881">
        <f t="shared" ca="1" si="335"/>
        <v>0</v>
      </c>
      <c r="L825" s="881"/>
      <c r="M825" s="881"/>
      <c r="N825" s="881"/>
      <c r="O825" s="881"/>
      <c r="P825" s="881"/>
      <c r="Q825" s="1302"/>
      <c r="R825" s="1302"/>
      <c r="S825" s="1302"/>
      <c r="T825" s="1302"/>
      <c r="U825" s="1302"/>
      <c r="V825" s="1302"/>
      <c r="W825" s="1302"/>
      <c r="X825" s="1302"/>
      <c r="Y825" s="1302"/>
      <c r="Z825" s="1302"/>
    </row>
    <row r="826" spans="1:26" ht="18.75">
      <c r="A826" s="1429"/>
      <c r="B826" s="1301"/>
      <c r="C826" s="1301"/>
      <c r="D826" s="1300"/>
      <c r="E826" s="1301"/>
      <c r="F826" s="1301"/>
      <c r="G826" s="1016"/>
      <c r="H826" s="622" t="s">
        <v>35</v>
      </c>
      <c r="I826" s="880">
        <f ca="1">IFERROR(__xludf.DUMMYFUNCTION("IMPORTRANGE(""https://docs.google.com/spreadsheets/d/19vJNZY_5yjcGF2XGBMNZRCAIB0Kwfpjp8YEOfu-bneM/edit?usp=sharing"",""งานกองทุน!M77"")"),0)</f>
        <v>0</v>
      </c>
      <c r="J826" s="880">
        <f ca="1">IFERROR(__xludf.DUMMYFUNCTION("IMPORTRANGE(""https://docs.google.com/spreadsheets/d/19vJNZY_5yjcGF2XGBMNZRCAIB0Kwfpjp8YEOfu-bneM/edit?usp=sharing"",""งานกองทุน!O77"")"),0)</f>
        <v>0</v>
      </c>
      <c r="K826" s="881">
        <f t="shared" ca="1" si="335"/>
        <v>0</v>
      </c>
      <c r="L826" s="881"/>
      <c r="M826" s="881"/>
      <c r="N826" s="881"/>
      <c r="O826" s="881"/>
      <c r="P826" s="881"/>
      <c r="Q826" s="1302"/>
      <c r="R826" s="1302"/>
      <c r="S826" s="1302"/>
      <c r="T826" s="1302"/>
      <c r="U826" s="1302"/>
      <c r="V826" s="1302"/>
      <c r="W826" s="1302"/>
      <c r="X826" s="1302"/>
      <c r="Y826" s="1302"/>
      <c r="Z826" s="1302"/>
    </row>
    <row r="827" spans="1:26" ht="18.75">
      <c r="A827" s="1429"/>
      <c r="B827" s="1301" t="s">
        <v>329</v>
      </c>
      <c r="C827" s="1301"/>
      <c r="D827" s="1300"/>
      <c r="E827" s="1301"/>
      <c r="F827" s="1301"/>
      <c r="G827" s="1016"/>
      <c r="H827" s="622" t="s">
        <v>12</v>
      </c>
      <c r="I827" s="880">
        <f ca="1">IFERROR(__xludf.DUMMYFUNCTION("IMPORTRANGE(""https://docs.google.com/spreadsheets/d/19vJNZY_5yjcGF2XGBMNZRCAIB0Kwfpjp8YEOfu-bneM/edit?usp=sharing"",""งานกองทุน!S77"")"),980000)</f>
        <v>980000</v>
      </c>
      <c r="J827" s="880">
        <f ca="1">IFERROR(__xludf.DUMMYFUNCTION("IMPORTRANGE(""https://docs.google.com/spreadsheets/d/19vJNZY_5yjcGF2XGBMNZRCAIB0Kwfpjp8YEOfu-bneM/edit?usp=sharing"",""งานกองทุน!U77"")"),325000)</f>
        <v>325000</v>
      </c>
      <c r="K827" s="881">
        <f t="shared" ca="1" si="335"/>
        <v>33.163265306122447</v>
      </c>
      <c r="L827" s="881"/>
      <c r="M827" s="881"/>
      <c r="N827" s="881"/>
      <c r="O827" s="881"/>
      <c r="P827" s="881"/>
      <c r="Q827" s="1302"/>
      <c r="R827" s="1302"/>
      <c r="S827" s="1302"/>
      <c r="T827" s="1302"/>
      <c r="U827" s="1302"/>
      <c r="V827" s="1302"/>
      <c r="W827" s="1302"/>
      <c r="X827" s="1302"/>
      <c r="Y827" s="1302"/>
      <c r="Z827" s="1302"/>
    </row>
    <row r="828" spans="1:26" ht="18.75">
      <c r="A828" s="1430"/>
      <c r="B828" s="1432"/>
      <c r="C828" s="1432"/>
      <c r="D828" s="1431"/>
      <c r="E828" s="1432"/>
      <c r="F828" s="1432"/>
      <c r="G828" s="1492"/>
      <c r="H828" s="827" t="s">
        <v>35</v>
      </c>
      <c r="I828" s="1138">
        <f ca="1">IFERROR(__xludf.DUMMYFUNCTION("IMPORTRANGE(""https://docs.google.com/spreadsheets/d/19vJNZY_5yjcGF2XGBMNZRCAIB0Kwfpjp8YEOfu-bneM/edit?usp=sharing"",""งานกองทุน!R77"")"),39)</f>
        <v>39</v>
      </c>
      <c r="J828" s="1138">
        <f ca="1">IFERROR(__xludf.DUMMYFUNCTION("IMPORTRANGE(""https://docs.google.com/spreadsheets/d/19vJNZY_5yjcGF2XGBMNZRCAIB0Kwfpjp8YEOfu-bneM/edit?usp=sharing"",""งานกองทุน!T77"")"),14)</f>
        <v>14</v>
      </c>
      <c r="K828" s="1239">
        <f t="shared" ca="1" si="335"/>
        <v>35.897435897435898</v>
      </c>
      <c r="L828" s="1239"/>
      <c r="M828" s="1239"/>
      <c r="N828" s="1239"/>
      <c r="O828" s="1239"/>
      <c r="P828" s="1239"/>
      <c r="Q828" s="1302"/>
      <c r="R828" s="1302"/>
      <c r="S828" s="1302"/>
      <c r="T828" s="1302"/>
      <c r="U828" s="1302"/>
      <c r="V828" s="1302"/>
      <c r="W828" s="1302"/>
      <c r="X828" s="1302"/>
      <c r="Y828" s="1302"/>
      <c r="Z828" s="130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portrait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B22AD-70C2-4BE4-BBB0-42D74CE76BB9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52" customWidth="1"/>
    <col min="4" max="6" width="5.85546875" style="852" customWidth="1"/>
    <col min="7" max="7" width="56.42578125" style="852" customWidth="1"/>
    <col min="8" max="8" width="9.42578125" style="852" customWidth="1"/>
    <col min="9" max="9" width="16.140625" style="852" bestFit="1" customWidth="1"/>
    <col min="10" max="10" width="13.7109375" style="852" bestFit="1" customWidth="1"/>
    <col min="11" max="11" width="13.28515625" style="852" bestFit="1" customWidth="1"/>
    <col min="12" max="15" width="20.28515625" style="852" bestFit="1" customWidth="1"/>
    <col min="16" max="16" width="22.140625" style="852" bestFit="1" customWidth="1"/>
    <col min="17" max="16384" width="12.5703125" style="852"/>
  </cols>
  <sheetData>
    <row r="1" spans="1:26" ht="19.5">
      <c r="A1" s="828" t="s">
        <v>0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51"/>
    </row>
    <row r="2" spans="1:26" ht="19.5">
      <c r="A2" s="828" t="s">
        <v>339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</row>
    <row r="3" spans="1:26" ht="19.5">
      <c r="A3" s="828" t="s">
        <v>330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</row>
    <row r="4" spans="1:26" ht="12.75">
      <c r="A4" s="853"/>
      <c r="B4" s="853"/>
      <c r="C4" s="853"/>
      <c r="D4" s="853"/>
      <c r="E4" s="853"/>
      <c r="F4" s="853"/>
      <c r="G4" s="853"/>
      <c r="H4" s="853"/>
      <c r="I4" s="853"/>
      <c r="J4" s="854"/>
      <c r="K4" s="855"/>
      <c r="L4" s="854"/>
      <c r="M4" s="854"/>
      <c r="N4" s="854"/>
      <c r="O4" s="853"/>
      <c r="P4" s="853"/>
    </row>
    <row r="5" spans="1:26" ht="19.5">
      <c r="A5" s="836" t="s">
        <v>2</v>
      </c>
      <c r="B5" s="851"/>
      <c r="C5" s="851"/>
      <c r="D5" s="851"/>
      <c r="E5" s="851"/>
      <c r="F5" s="851"/>
      <c r="G5" s="837"/>
      <c r="H5" s="830" t="s">
        <v>3</v>
      </c>
      <c r="I5" s="832" t="s">
        <v>4</v>
      </c>
      <c r="J5" s="833"/>
      <c r="K5" s="831"/>
      <c r="L5" s="834" t="s">
        <v>5</v>
      </c>
      <c r="M5" s="831"/>
      <c r="N5" s="835" t="s">
        <v>6</v>
      </c>
      <c r="O5" s="833"/>
      <c r="P5" s="831"/>
    </row>
    <row r="6" spans="1:26" ht="19.5">
      <c r="A6" s="838"/>
      <c r="B6" s="833"/>
      <c r="C6" s="833"/>
      <c r="D6" s="833"/>
      <c r="E6" s="833"/>
      <c r="F6" s="833"/>
      <c r="G6" s="831"/>
      <c r="H6" s="83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6" t="s">
        <v>15</v>
      </c>
      <c r="B7" s="833"/>
      <c r="C7" s="833"/>
      <c r="D7" s="833"/>
      <c r="E7" s="833"/>
      <c r="F7" s="833"/>
      <c r="G7" s="831"/>
      <c r="H7" s="857"/>
      <c r="I7" s="858"/>
      <c r="J7" s="858"/>
      <c r="K7" s="859"/>
      <c r="L7" s="859"/>
      <c r="M7" s="859"/>
      <c r="N7" s="859"/>
      <c r="O7" s="859"/>
      <c r="P7" s="859"/>
    </row>
    <row r="8" spans="1:26" ht="19.5">
      <c r="A8" s="860"/>
      <c r="B8" s="861"/>
      <c r="C8" s="862" t="s">
        <v>16</v>
      </c>
      <c r="D8" s="863" t="s">
        <v>17</v>
      </c>
      <c r="E8" s="861"/>
      <c r="F8" s="861"/>
      <c r="G8" s="864"/>
      <c r="H8" s="19" t="s">
        <v>12</v>
      </c>
      <c r="I8" s="865"/>
      <c r="J8" s="865"/>
      <c r="K8" s="866"/>
      <c r="L8" s="867">
        <f t="shared" ref="L8:N8" ca="1" si="0">L9+L10</f>
        <v>4701598</v>
      </c>
      <c r="M8" s="867">
        <f t="shared" ca="1" si="0"/>
        <v>4183024</v>
      </c>
      <c r="N8" s="867">
        <f t="shared" ca="1" si="0"/>
        <v>2567601.87</v>
      </c>
      <c r="O8" s="867">
        <f t="shared" ref="O8:O16" ca="1" si="1">IF(L8&gt;0,N8*100/L8,0)</f>
        <v>54.611259193150921</v>
      </c>
      <c r="P8" s="867">
        <f t="shared" ref="P8:P16" ca="1" si="2">IF(M8&gt;0,N8*100/M8,0)</f>
        <v>61.381475937025463</v>
      </c>
      <c r="Q8" s="868"/>
      <c r="R8" s="868"/>
      <c r="S8" s="868"/>
      <c r="T8" s="868"/>
      <c r="U8" s="868"/>
      <c r="V8" s="868"/>
      <c r="W8" s="868"/>
      <c r="X8" s="868"/>
      <c r="Y8" s="868"/>
      <c r="Z8" s="868"/>
    </row>
    <row r="9" spans="1:26" ht="18.75" hidden="1">
      <c r="A9" s="869"/>
      <c r="B9" s="870"/>
      <c r="C9" s="870"/>
      <c r="D9" s="870"/>
      <c r="E9" s="871" t="s">
        <v>18</v>
      </c>
      <c r="F9" s="870"/>
      <c r="G9" s="872"/>
      <c r="H9" s="28" t="s">
        <v>12</v>
      </c>
      <c r="I9" s="873"/>
      <c r="J9" s="873"/>
      <c r="K9" s="874"/>
      <c r="L9" s="874">
        <f t="shared" ref="L9:N10" si="3">L12+L15</f>
        <v>0</v>
      </c>
      <c r="M9" s="874">
        <f t="shared" si="3"/>
        <v>0</v>
      </c>
      <c r="N9" s="874">
        <f t="shared" si="3"/>
        <v>0</v>
      </c>
      <c r="O9" s="874">
        <f t="shared" si="1"/>
        <v>0</v>
      </c>
      <c r="P9" s="874">
        <f t="shared" si="2"/>
        <v>0</v>
      </c>
      <c r="Q9" s="875"/>
      <c r="R9" s="875"/>
      <c r="S9" s="875"/>
      <c r="T9" s="875"/>
      <c r="U9" s="875"/>
      <c r="V9" s="875"/>
      <c r="W9" s="875"/>
      <c r="X9" s="875"/>
      <c r="Y9" s="875"/>
      <c r="Z9" s="875"/>
    </row>
    <row r="10" spans="1:26" ht="18.75" hidden="1">
      <c r="A10" s="869"/>
      <c r="B10" s="870"/>
      <c r="C10" s="870"/>
      <c r="D10" s="870"/>
      <c r="E10" s="871" t="s">
        <v>19</v>
      </c>
      <c r="F10" s="870"/>
      <c r="G10" s="872"/>
      <c r="H10" s="28" t="s">
        <v>12</v>
      </c>
      <c r="I10" s="873"/>
      <c r="J10" s="873"/>
      <c r="K10" s="874"/>
      <c r="L10" s="874">
        <f t="shared" ca="1" si="3"/>
        <v>4701598</v>
      </c>
      <c r="M10" s="874">
        <f t="shared" ca="1" si="3"/>
        <v>4183024</v>
      </c>
      <c r="N10" s="874">
        <f t="shared" ca="1" si="3"/>
        <v>2567601.87</v>
      </c>
      <c r="O10" s="874">
        <f t="shared" ca="1" si="1"/>
        <v>54.611259193150921</v>
      </c>
      <c r="P10" s="874">
        <f t="shared" ca="1" si="2"/>
        <v>61.381475937025463</v>
      </c>
      <c r="Q10" s="875"/>
      <c r="R10" s="875"/>
      <c r="S10" s="875"/>
      <c r="T10" s="875"/>
      <c r="U10" s="875"/>
      <c r="V10" s="875"/>
      <c r="W10" s="875"/>
      <c r="X10" s="875"/>
      <c r="Y10" s="875"/>
      <c r="Z10" s="875"/>
    </row>
    <row r="11" spans="1:26" ht="18.75">
      <c r="A11" s="876"/>
      <c r="B11" s="877"/>
      <c r="C11" s="877"/>
      <c r="D11" s="878" t="s">
        <v>20</v>
      </c>
      <c r="E11" s="877"/>
      <c r="F11" s="877"/>
      <c r="G11" s="879"/>
      <c r="H11" s="622" t="s">
        <v>12</v>
      </c>
      <c r="I11" s="880"/>
      <c r="J11" s="880"/>
      <c r="K11" s="881"/>
      <c r="L11" s="881">
        <f t="shared" ref="L11:N11" ca="1" si="4">L12+L13</f>
        <v>4027598</v>
      </c>
      <c r="M11" s="881">
        <f t="shared" ca="1" si="4"/>
        <v>3510024</v>
      </c>
      <c r="N11" s="881">
        <f t="shared" ca="1" si="4"/>
        <v>1894601.8699999999</v>
      </c>
      <c r="O11" s="881">
        <f t="shared" ca="1" si="1"/>
        <v>47.040490883151698</v>
      </c>
      <c r="P11" s="881">
        <f t="shared" ca="1" si="2"/>
        <v>53.976892180794202</v>
      </c>
      <c r="Q11" s="868"/>
      <c r="R11" s="868"/>
      <c r="S11" s="868"/>
      <c r="T11" s="868"/>
      <c r="U11" s="868"/>
      <c r="V11" s="868"/>
      <c r="W11" s="868"/>
      <c r="X11" s="868"/>
      <c r="Y11" s="868"/>
      <c r="Z11" s="868"/>
    </row>
    <row r="12" spans="1:26" ht="18.75" hidden="1">
      <c r="A12" s="882"/>
      <c r="B12" s="883"/>
      <c r="C12" s="883"/>
      <c r="D12" s="883"/>
      <c r="E12" s="884" t="s">
        <v>18</v>
      </c>
      <c r="F12" s="883"/>
      <c r="G12" s="885"/>
      <c r="H12" s="43" t="s">
        <v>12</v>
      </c>
      <c r="I12" s="886"/>
      <c r="J12" s="886"/>
      <c r="K12" s="887"/>
      <c r="L12" s="887">
        <f t="shared" ref="L12:N13" si="5">L22+L32</f>
        <v>0</v>
      </c>
      <c r="M12" s="887">
        <f t="shared" si="5"/>
        <v>0</v>
      </c>
      <c r="N12" s="887">
        <f t="shared" si="5"/>
        <v>0</v>
      </c>
      <c r="O12" s="887">
        <f t="shared" si="1"/>
        <v>0</v>
      </c>
      <c r="P12" s="887">
        <f t="shared" si="2"/>
        <v>0</v>
      </c>
      <c r="Q12" s="875"/>
      <c r="R12" s="875"/>
      <c r="S12" s="875"/>
      <c r="T12" s="875"/>
      <c r="U12" s="875"/>
      <c r="V12" s="875"/>
      <c r="W12" s="875"/>
      <c r="X12" s="875"/>
      <c r="Y12" s="875"/>
      <c r="Z12" s="875"/>
    </row>
    <row r="13" spans="1:26" ht="18.75" hidden="1">
      <c r="A13" s="882"/>
      <c r="B13" s="883"/>
      <c r="C13" s="883"/>
      <c r="D13" s="883"/>
      <c r="E13" s="884" t="s">
        <v>19</v>
      </c>
      <c r="F13" s="883"/>
      <c r="G13" s="885"/>
      <c r="H13" s="43" t="s">
        <v>12</v>
      </c>
      <c r="I13" s="886"/>
      <c r="J13" s="886"/>
      <c r="K13" s="887"/>
      <c r="L13" s="887">
        <f t="shared" ca="1" si="5"/>
        <v>4027598</v>
      </c>
      <c r="M13" s="887">
        <f t="shared" ca="1" si="5"/>
        <v>3510024</v>
      </c>
      <c r="N13" s="887">
        <f t="shared" ca="1" si="5"/>
        <v>1894601.8699999999</v>
      </c>
      <c r="O13" s="887">
        <f t="shared" ca="1" si="1"/>
        <v>47.040490883151698</v>
      </c>
      <c r="P13" s="887">
        <f t="shared" ca="1" si="2"/>
        <v>53.976892180794202</v>
      </c>
      <c r="Q13" s="875"/>
      <c r="R13" s="875"/>
      <c r="S13" s="875"/>
      <c r="T13" s="875"/>
      <c r="U13" s="875"/>
      <c r="V13" s="875"/>
      <c r="W13" s="875"/>
      <c r="X13" s="875"/>
      <c r="Y13" s="875"/>
      <c r="Z13" s="875"/>
    </row>
    <row r="14" spans="1:26" ht="18.75">
      <c r="A14" s="876"/>
      <c r="B14" s="877"/>
      <c r="C14" s="877"/>
      <c r="D14" s="878" t="s">
        <v>21</v>
      </c>
      <c r="E14" s="877"/>
      <c r="F14" s="877"/>
      <c r="G14" s="879"/>
      <c r="H14" s="622" t="s">
        <v>12</v>
      </c>
      <c r="I14" s="880"/>
      <c r="J14" s="880"/>
      <c r="K14" s="881"/>
      <c r="L14" s="881">
        <f t="shared" ref="L14:N14" ca="1" si="6">L15+L16</f>
        <v>674000</v>
      </c>
      <c r="M14" s="881">
        <f t="shared" ca="1" si="6"/>
        <v>673000</v>
      </c>
      <c r="N14" s="881">
        <f t="shared" ca="1" si="6"/>
        <v>673000</v>
      </c>
      <c r="O14" s="881">
        <f t="shared" ca="1" si="1"/>
        <v>99.85163204747775</v>
      </c>
      <c r="P14" s="881">
        <f t="shared" ca="1" si="2"/>
        <v>100</v>
      </c>
      <c r="Q14" s="868"/>
      <c r="R14" s="868"/>
      <c r="S14" s="868"/>
      <c r="T14" s="868"/>
      <c r="U14" s="868"/>
      <c r="V14" s="868"/>
      <c r="W14" s="868"/>
      <c r="X14" s="868"/>
      <c r="Y14" s="868"/>
      <c r="Z14" s="868"/>
    </row>
    <row r="15" spans="1:26" ht="18.75" hidden="1">
      <c r="A15" s="882"/>
      <c r="B15" s="883"/>
      <c r="C15" s="883"/>
      <c r="D15" s="883"/>
      <c r="E15" s="884" t="s">
        <v>18</v>
      </c>
      <c r="F15" s="883"/>
      <c r="G15" s="885"/>
      <c r="H15" s="43" t="s">
        <v>12</v>
      </c>
      <c r="I15" s="886"/>
      <c r="J15" s="886"/>
      <c r="K15" s="887"/>
      <c r="L15" s="887">
        <f t="shared" ref="L15:N16" si="7">L25+L35</f>
        <v>0</v>
      </c>
      <c r="M15" s="887">
        <f t="shared" si="7"/>
        <v>0</v>
      </c>
      <c r="N15" s="887">
        <f t="shared" si="7"/>
        <v>0</v>
      </c>
      <c r="O15" s="887">
        <f t="shared" si="1"/>
        <v>0</v>
      </c>
      <c r="P15" s="887">
        <f t="shared" si="2"/>
        <v>0</v>
      </c>
      <c r="Q15" s="875"/>
      <c r="R15" s="875"/>
      <c r="S15" s="875"/>
      <c r="T15" s="875"/>
      <c r="U15" s="875"/>
      <c r="V15" s="875"/>
      <c r="W15" s="875"/>
      <c r="X15" s="875"/>
      <c r="Y15" s="875"/>
      <c r="Z15" s="875"/>
    </row>
    <row r="16" spans="1:26" ht="18.75" hidden="1">
      <c r="A16" s="888"/>
      <c r="B16" s="889"/>
      <c r="C16" s="889"/>
      <c r="D16" s="889"/>
      <c r="E16" s="890" t="s">
        <v>19</v>
      </c>
      <c r="F16" s="889"/>
      <c r="G16" s="891"/>
      <c r="H16" s="50" t="s">
        <v>12</v>
      </c>
      <c r="I16" s="892"/>
      <c r="J16" s="892"/>
      <c r="K16" s="893"/>
      <c r="L16" s="893">
        <f t="shared" ca="1" si="7"/>
        <v>674000</v>
      </c>
      <c r="M16" s="893">
        <f t="shared" ca="1" si="7"/>
        <v>673000</v>
      </c>
      <c r="N16" s="893">
        <f t="shared" ca="1" si="7"/>
        <v>673000</v>
      </c>
      <c r="O16" s="893">
        <f t="shared" ca="1" si="1"/>
        <v>99.85163204747775</v>
      </c>
      <c r="P16" s="893">
        <f t="shared" ca="1" si="2"/>
        <v>100</v>
      </c>
      <c r="Q16" s="875"/>
      <c r="R16" s="875"/>
      <c r="S16" s="875"/>
      <c r="T16" s="875"/>
      <c r="U16" s="875"/>
      <c r="V16" s="875"/>
      <c r="W16" s="875"/>
      <c r="X16" s="875"/>
      <c r="Y16" s="875"/>
      <c r="Z16" s="875"/>
    </row>
    <row r="17" spans="1:26" ht="19.5">
      <c r="A17" s="856" t="s">
        <v>22</v>
      </c>
      <c r="B17" s="833"/>
      <c r="C17" s="833"/>
      <c r="D17" s="833"/>
      <c r="E17" s="833"/>
      <c r="F17" s="833"/>
      <c r="G17" s="831"/>
      <c r="H17" s="857"/>
      <c r="I17" s="858"/>
      <c r="J17" s="858"/>
      <c r="K17" s="859"/>
      <c r="L17" s="859"/>
      <c r="M17" s="859"/>
      <c r="N17" s="859"/>
      <c r="O17" s="859"/>
      <c r="P17" s="859"/>
    </row>
    <row r="18" spans="1:26" ht="19.5">
      <c r="A18" s="860"/>
      <c r="B18" s="861"/>
      <c r="C18" s="862" t="s">
        <v>16</v>
      </c>
      <c r="D18" s="863" t="s">
        <v>17</v>
      </c>
      <c r="E18" s="861"/>
      <c r="F18" s="861"/>
      <c r="G18" s="864"/>
      <c r="H18" s="19" t="s">
        <v>12</v>
      </c>
      <c r="I18" s="865"/>
      <c r="J18" s="865"/>
      <c r="K18" s="866"/>
      <c r="L18" s="867">
        <f t="shared" ref="L18:N18" ca="1" si="8">L19+L20</f>
        <v>3908755</v>
      </c>
      <c r="M18" s="867">
        <f t="shared" ca="1" si="8"/>
        <v>3390181</v>
      </c>
      <c r="N18" s="867">
        <f t="shared" ca="1" si="8"/>
        <v>2340025.19</v>
      </c>
      <c r="O18" s="867">
        <f t="shared" ref="O18:O26" ca="1" si="9">IF(L18&gt;0,N18*100/L18,0)</f>
        <v>59.866253832742139</v>
      </c>
      <c r="P18" s="867">
        <f t="shared" ref="P18:P26" ca="1" si="10">IF(M18&gt;0,N18*100/M18,0)</f>
        <v>69.023606409215319</v>
      </c>
      <c r="Q18" s="868"/>
      <c r="R18" s="868"/>
      <c r="S18" s="868"/>
      <c r="T18" s="868"/>
      <c r="U18" s="868"/>
      <c r="V18" s="868"/>
      <c r="W18" s="868"/>
      <c r="X18" s="868"/>
      <c r="Y18" s="868"/>
      <c r="Z18" s="868"/>
    </row>
    <row r="19" spans="1:26" ht="18.75" hidden="1">
      <c r="A19" s="869"/>
      <c r="B19" s="870"/>
      <c r="C19" s="870"/>
      <c r="D19" s="870"/>
      <c r="E19" s="871" t="s">
        <v>18</v>
      </c>
      <c r="F19" s="870"/>
      <c r="G19" s="872"/>
      <c r="H19" s="28" t="s">
        <v>12</v>
      </c>
      <c r="I19" s="873"/>
      <c r="J19" s="873"/>
      <c r="K19" s="874"/>
      <c r="L19" s="874">
        <f t="shared" ref="L19:N20" si="11">L22+L25</f>
        <v>0</v>
      </c>
      <c r="M19" s="874">
        <f t="shared" si="11"/>
        <v>0</v>
      </c>
      <c r="N19" s="874">
        <f t="shared" si="11"/>
        <v>0</v>
      </c>
      <c r="O19" s="874">
        <f t="shared" si="9"/>
        <v>0</v>
      </c>
      <c r="P19" s="874">
        <f t="shared" si="10"/>
        <v>0</v>
      </c>
      <c r="Q19" s="875"/>
      <c r="R19" s="875"/>
      <c r="S19" s="875"/>
      <c r="T19" s="875"/>
      <c r="U19" s="875"/>
      <c r="V19" s="875"/>
      <c r="W19" s="875"/>
      <c r="X19" s="875"/>
      <c r="Y19" s="875"/>
      <c r="Z19" s="875"/>
    </row>
    <row r="20" spans="1:26" ht="18.75" hidden="1">
      <c r="A20" s="869"/>
      <c r="B20" s="870"/>
      <c r="C20" s="870"/>
      <c r="D20" s="870"/>
      <c r="E20" s="871" t="s">
        <v>19</v>
      </c>
      <c r="F20" s="870"/>
      <c r="G20" s="872"/>
      <c r="H20" s="28" t="s">
        <v>12</v>
      </c>
      <c r="I20" s="873"/>
      <c r="J20" s="873"/>
      <c r="K20" s="874"/>
      <c r="L20" s="874">
        <f t="shared" ca="1" si="11"/>
        <v>3908755</v>
      </c>
      <c r="M20" s="874">
        <f t="shared" ca="1" si="11"/>
        <v>3390181</v>
      </c>
      <c r="N20" s="874">
        <f t="shared" ca="1" si="11"/>
        <v>2340025.19</v>
      </c>
      <c r="O20" s="874">
        <f t="shared" ca="1" si="9"/>
        <v>59.866253832742139</v>
      </c>
      <c r="P20" s="874">
        <f t="shared" ca="1" si="10"/>
        <v>69.023606409215319</v>
      </c>
      <c r="Q20" s="875"/>
      <c r="R20" s="875"/>
      <c r="S20" s="875"/>
      <c r="T20" s="875"/>
      <c r="U20" s="875"/>
      <c r="V20" s="875"/>
      <c r="W20" s="875"/>
      <c r="X20" s="875"/>
      <c r="Y20" s="875"/>
      <c r="Z20" s="875"/>
    </row>
    <row r="21" spans="1:26" ht="18.75">
      <c r="A21" s="876"/>
      <c r="B21" s="877"/>
      <c r="C21" s="877"/>
      <c r="D21" s="878" t="s">
        <v>20</v>
      </c>
      <c r="E21" s="877"/>
      <c r="F21" s="877"/>
      <c r="G21" s="879"/>
      <c r="H21" s="622" t="s">
        <v>12</v>
      </c>
      <c r="I21" s="880"/>
      <c r="J21" s="880"/>
      <c r="K21" s="881"/>
      <c r="L21" s="881">
        <f t="shared" ref="L21:N21" ca="1" si="12">L22+L23</f>
        <v>3234755</v>
      </c>
      <c r="M21" s="881">
        <f t="shared" ca="1" si="12"/>
        <v>2717181</v>
      </c>
      <c r="N21" s="881">
        <f t="shared" ca="1" si="12"/>
        <v>1667025.19</v>
      </c>
      <c r="O21" s="881">
        <f t="shared" ca="1" si="9"/>
        <v>51.534820720580072</v>
      </c>
      <c r="P21" s="881">
        <f t="shared" ca="1" si="10"/>
        <v>61.351275089881753</v>
      </c>
      <c r="Q21" s="868"/>
      <c r="R21" s="868"/>
      <c r="S21" s="868"/>
      <c r="T21" s="868"/>
      <c r="U21" s="868"/>
      <c r="V21" s="868"/>
      <c r="W21" s="868"/>
      <c r="X21" s="868"/>
      <c r="Y21" s="868"/>
      <c r="Z21" s="868"/>
    </row>
    <row r="22" spans="1:26" ht="18.75" hidden="1">
      <c r="A22" s="882"/>
      <c r="B22" s="883"/>
      <c r="C22" s="883"/>
      <c r="D22" s="883"/>
      <c r="E22" s="884" t="s">
        <v>18</v>
      </c>
      <c r="F22" s="883"/>
      <c r="G22" s="885"/>
      <c r="H22" s="43" t="s">
        <v>12</v>
      </c>
      <c r="I22" s="886"/>
      <c r="J22" s="886"/>
      <c r="K22" s="887"/>
      <c r="L22" s="887">
        <f t="shared" ref="L22:N23" si="13">L45+L57+L70+L92+L123+L136+L153+L185+L169+L265+L281+L302+L319+L332+L349+L393+L406</f>
        <v>0</v>
      </c>
      <c r="M22" s="887">
        <f t="shared" si="13"/>
        <v>0</v>
      </c>
      <c r="N22" s="887">
        <f t="shared" si="13"/>
        <v>0</v>
      </c>
      <c r="O22" s="887">
        <f t="shared" si="9"/>
        <v>0</v>
      </c>
      <c r="P22" s="887">
        <f t="shared" si="10"/>
        <v>0</v>
      </c>
      <c r="Q22" s="875"/>
      <c r="R22" s="875"/>
      <c r="S22" s="875"/>
      <c r="T22" s="875"/>
      <c r="U22" s="875"/>
      <c r="V22" s="875"/>
      <c r="W22" s="875"/>
      <c r="X22" s="875"/>
      <c r="Y22" s="875"/>
      <c r="Z22" s="875"/>
    </row>
    <row r="23" spans="1:26" ht="18.75" hidden="1">
      <c r="A23" s="882"/>
      <c r="B23" s="883"/>
      <c r="C23" s="883"/>
      <c r="D23" s="883"/>
      <c r="E23" s="884" t="s">
        <v>19</v>
      </c>
      <c r="F23" s="883"/>
      <c r="G23" s="885"/>
      <c r="H23" s="43" t="s">
        <v>12</v>
      </c>
      <c r="I23" s="886"/>
      <c r="J23" s="886"/>
      <c r="K23" s="887"/>
      <c r="L23" s="887">
        <f t="shared" ca="1" si="13"/>
        <v>3234755</v>
      </c>
      <c r="M23" s="887">
        <f t="shared" ca="1" si="13"/>
        <v>2717181</v>
      </c>
      <c r="N23" s="887">
        <f t="shared" ca="1" si="13"/>
        <v>1667025.19</v>
      </c>
      <c r="O23" s="887">
        <f t="shared" ca="1" si="9"/>
        <v>51.534820720580072</v>
      </c>
      <c r="P23" s="887">
        <f t="shared" ca="1" si="10"/>
        <v>61.351275089881753</v>
      </c>
      <c r="Q23" s="875"/>
      <c r="R23" s="875"/>
      <c r="S23" s="875"/>
      <c r="T23" s="875"/>
      <c r="U23" s="875"/>
      <c r="V23" s="875"/>
      <c r="W23" s="875"/>
      <c r="X23" s="875"/>
      <c r="Y23" s="875"/>
      <c r="Z23" s="875"/>
    </row>
    <row r="24" spans="1:26" ht="18.75">
      <c r="A24" s="876"/>
      <c r="B24" s="877"/>
      <c r="C24" s="877"/>
      <c r="D24" s="878" t="s">
        <v>21</v>
      </c>
      <c r="E24" s="877"/>
      <c r="F24" s="877"/>
      <c r="G24" s="879"/>
      <c r="H24" s="622" t="s">
        <v>12</v>
      </c>
      <c r="I24" s="880"/>
      <c r="J24" s="880"/>
      <c r="K24" s="881"/>
      <c r="L24" s="881">
        <f t="shared" ref="L24:N24" ca="1" si="14">L25+L26</f>
        <v>674000</v>
      </c>
      <c r="M24" s="881">
        <f t="shared" ca="1" si="14"/>
        <v>673000</v>
      </c>
      <c r="N24" s="881">
        <f t="shared" ca="1" si="14"/>
        <v>673000</v>
      </c>
      <c r="O24" s="881">
        <f t="shared" ca="1" si="9"/>
        <v>99.85163204747775</v>
      </c>
      <c r="P24" s="881">
        <f t="shared" ca="1" si="10"/>
        <v>100</v>
      </c>
      <c r="Q24" s="868"/>
      <c r="R24" s="868"/>
      <c r="S24" s="868"/>
      <c r="T24" s="868"/>
      <c r="U24" s="868"/>
      <c r="V24" s="868"/>
      <c r="W24" s="868"/>
      <c r="X24" s="868"/>
      <c r="Y24" s="868"/>
      <c r="Z24" s="868"/>
    </row>
    <row r="25" spans="1:26" ht="18.75" hidden="1">
      <c r="A25" s="882"/>
      <c r="B25" s="883"/>
      <c r="C25" s="883"/>
      <c r="D25" s="883"/>
      <c r="E25" s="884" t="s">
        <v>18</v>
      </c>
      <c r="F25" s="883"/>
      <c r="G25" s="885"/>
      <c r="H25" s="43" t="s">
        <v>12</v>
      </c>
      <c r="I25" s="886"/>
      <c r="J25" s="886"/>
      <c r="K25" s="887"/>
      <c r="L25" s="887">
        <f t="shared" ref="L25:N26" si="15">L48+L60+L73+L95+L126+L139+L156+L188+L172+L268+L284+L305+L322+L335+L352+L396+L409</f>
        <v>0</v>
      </c>
      <c r="M25" s="887">
        <f t="shared" si="15"/>
        <v>0</v>
      </c>
      <c r="N25" s="887">
        <f t="shared" si="15"/>
        <v>0</v>
      </c>
      <c r="O25" s="887">
        <f t="shared" si="9"/>
        <v>0</v>
      </c>
      <c r="P25" s="887">
        <f t="shared" si="10"/>
        <v>0</v>
      </c>
      <c r="Q25" s="875"/>
      <c r="R25" s="875"/>
      <c r="S25" s="875"/>
      <c r="T25" s="875"/>
      <c r="U25" s="875"/>
      <c r="V25" s="875"/>
      <c r="W25" s="875"/>
      <c r="X25" s="875"/>
      <c r="Y25" s="875"/>
      <c r="Z25" s="875"/>
    </row>
    <row r="26" spans="1:26" ht="18.75" hidden="1">
      <c r="A26" s="888"/>
      <c r="B26" s="889"/>
      <c r="C26" s="889"/>
      <c r="D26" s="889"/>
      <c r="E26" s="890" t="s">
        <v>19</v>
      </c>
      <c r="F26" s="889"/>
      <c r="G26" s="891"/>
      <c r="H26" s="50" t="s">
        <v>12</v>
      </c>
      <c r="I26" s="892"/>
      <c r="J26" s="892"/>
      <c r="K26" s="893"/>
      <c r="L26" s="893">
        <f t="shared" ca="1" si="15"/>
        <v>674000</v>
      </c>
      <c r="M26" s="893">
        <f t="shared" ca="1" si="15"/>
        <v>673000</v>
      </c>
      <c r="N26" s="893">
        <f t="shared" ca="1" si="15"/>
        <v>673000</v>
      </c>
      <c r="O26" s="893">
        <f t="shared" ca="1" si="9"/>
        <v>99.85163204747775</v>
      </c>
      <c r="P26" s="893">
        <f t="shared" ca="1" si="10"/>
        <v>100</v>
      </c>
      <c r="Q26" s="875"/>
      <c r="R26" s="875"/>
      <c r="S26" s="875"/>
      <c r="T26" s="875"/>
      <c r="U26" s="875"/>
      <c r="V26" s="875"/>
      <c r="W26" s="875"/>
      <c r="X26" s="875"/>
      <c r="Y26" s="875"/>
      <c r="Z26" s="875"/>
    </row>
    <row r="27" spans="1:26" ht="19.5">
      <c r="A27" s="856" t="s">
        <v>23</v>
      </c>
      <c r="B27" s="833"/>
      <c r="C27" s="833"/>
      <c r="D27" s="833"/>
      <c r="E27" s="833"/>
      <c r="F27" s="833"/>
      <c r="G27" s="831"/>
      <c r="H27" s="857"/>
      <c r="I27" s="858"/>
      <c r="J27" s="858"/>
      <c r="K27" s="859"/>
      <c r="L27" s="859"/>
      <c r="M27" s="859"/>
      <c r="N27" s="859"/>
      <c r="O27" s="859"/>
      <c r="P27" s="859"/>
    </row>
    <row r="28" spans="1:26" ht="19.5">
      <c r="A28" s="860"/>
      <c r="B28" s="861"/>
      <c r="C28" s="862" t="s">
        <v>16</v>
      </c>
      <c r="D28" s="863" t="s">
        <v>17</v>
      </c>
      <c r="E28" s="861"/>
      <c r="F28" s="861"/>
      <c r="G28" s="864"/>
      <c r="H28" s="19" t="s">
        <v>12</v>
      </c>
      <c r="I28" s="865"/>
      <c r="J28" s="865"/>
      <c r="K28" s="866"/>
      <c r="L28" s="867">
        <f t="shared" ref="L28:N28" ca="1" si="16">L29+L30</f>
        <v>792843</v>
      </c>
      <c r="M28" s="867">
        <f t="shared" ca="1" si="16"/>
        <v>792843</v>
      </c>
      <c r="N28" s="867">
        <f t="shared" si="16"/>
        <v>227576.68</v>
      </c>
      <c r="O28" s="867">
        <f t="shared" ref="O28:O37" ca="1" si="17">IF(L28&gt;0,N28*100/L28,0)</f>
        <v>28.70387706014936</v>
      </c>
      <c r="P28" s="867">
        <f t="shared" ref="P28:P37" ca="1" si="18">IF(M28&gt;0,N28*100/M28,0)</f>
        <v>28.70387706014936</v>
      </c>
      <c r="Q28" s="868"/>
      <c r="R28" s="868"/>
      <c r="S28" s="868"/>
      <c r="T28" s="868"/>
      <c r="U28" s="868"/>
      <c r="V28" s="868"/>
      <c r="W28" s="868"/>
      <c r="X28" s="868"/>
      <c r="Y28" s="868"/>
      <c r="Z28" s="868"/>
    </row>
    <row r="29" spans="1:26" ht="18.75" hidden="1">
      <c r="A29" s="869"/>
      <c r="B29" s="870"/>
      <c r="C29" s="870"/>
      <c r="D29" s="870"/>
      <c r="E29" s="871" t="s">
        <v>18</v>
      </c>
      <c r="F29" s="870"/>
      <c r="G29" s="872"/>
      <c r="H29" s="28" t="s">
        <v>12</v>
      </c>
      <c r="I29" s="873"/>
      <c r="J29" s="873"/>
      <c r="K29" s="874"/>
      <c r="L29" s="874">
        <f t="shared" ref="L29:N30" si="19">L32+L35</f>
        <v>0</v>
      </c>
      <c r="M29" s="874">
        <f t="shared" si="19"/>
        <v>0</v>
      </c>
      <c r="N29" s="874">
        <f t="shared" si="19"/>
        <v>0</v>
      </c>
      <c r="O29" s="874">
        <f t="shared" si="17"/>
        <v>0</v>
      </c>
      <c r="P29" s="874">
        <f t="shared" si="18"/>
        <v>0</v>
      </c>
      <c r="Q29" s="875"/>
      <c r="R29" s="875"/>
      <c r="S29" s="875"/>
      <c r="T29" s="875"/>
      <c r="U29" s="875"/>
      <c r="V29" s="875"/>
      <c r="W29" s="875"/>
      <c r="X29" s="875"/>
      <c r="Y29" s="875"/>
      <c r="Z29" s="875"/>
    </row>
    <row r="30" spans="1:26" ht="18.75" hidden="1">
      <c r="A30" s="869"/>
      <c r="B30" s="870"/>
      <c r="C30" s="870"/>
      <c r="D30" s="870"/>
      <c r="E30" s="871" t="s">
        <v>19</v>
      </c>
      <c r="F30" s="870"/>
      <c r="G30" s="872"/>
      <c r="H30" s="28" t="s">
        <v>12</v>
      </c>
      <c r="I30" s="873"/>
      <c r="J30" s="873"/>
      <c r="K30" s="874"/>
      <c r="L30" s="874">
        <f t="shared" ca="1" si="19"/>
        <v>792843</v>
      </c>
      <c r="M30" s="874">
        <f t="shared" ca="1" si="19"/>
        <v>792843</v>
      </c>
      <c r="N30" s="874">
        <f t="shared" si="19"/>
        <v>227576.68</v>
      </c>
      <c r="O30" s="874">
        <f t="shared" ca="1" si="17"/>
        <v>28.70387706014936</v>
      </c>
      <c r="P30" s="874">
        <f t="shared" ca="1" si="18"/>
        <v>28.70387706014936</v>
      </c>
      <c r="Q30" s="875"/>
      <c r="R30" s="875"/>
      <c r="S30" s="875"/>
      <c r="T30" s="875"/>
      <c r="U30" s="875"/>
      <c r="V30" s="875"/>
      <c r="W30" s="875"/>
      <c r="X30" s="875"/>
      <c r="Y30" s="875"/>
      <c r="Z30" s="875"/>
    </row>
    <row r="31" spans="1:26" ht="18.75">
      <c r="A31" s="876"/>
      <c r="B31" s="877"/>
      <c r="C31" s="877"/>
      <c r="D31" s="878" t="s">
        <v>20</v>
      </c>
      <c r="E31" s="877"/>
      <c r="F31" s="877"/>
      <c r="G31" s="879"/>
      <c r="H31" s="622" t="s">
        <v>12</v>
      </c>
      <c r="I31" s="880"/>
      <c r="J31" s="880"/>
      <c r="K31" s="881"/>
      <c r="L31" s="881">
        <f t="shared" ref="L31:N31" ca="1" si="20">L32+L33</f>
        <v>792843</v>
      </c>
      <c r="M31" s="881">
        <f t="shared" ca="1" si="20"/>
        <v>792843</v>
      </c>
      <c r="N31" s="881">
        <f t="shared" si="20"/>
        <v>227576.68</v>
      </c>
      <c r="O31" s="881">
        <f t="shared" ca="1" si="17"/>
        <v>28.70387706014936</v>
      </c>
      <c r="P31" s="881">
        <f t="shared" ca="1" si="18"/>
        <v>28.70387706014936</v>
      </c>
      <c r="Q31" s="868"/>
      <c r="R31" s="868"/>
      <c r="S31" s="868"/>
      <c r="T31" s="868"/>
      <c r="U31" s="868"/>
      <c r="V31" s="868"/>
      <c r="W31" s="868"/>
      <c r="X31" s="868"/>
      <c r="Y31" s="868"/>
      <c r="Z31" s="868"/>
    </row>
    <row r="32" spans="1:26" ht="18.75" hidden="1">
      <c r="A32" s="882"/>
      <c r="B32" s="883"/>
      <c r="C32" s="883"/>
      <c r="D32" s="883"/>
      <c r="E32" s="884" t="s">
        <v>18</v>
      </c>
      <c r="F32" s="883"/>
      <c r="G32" s="885"/>
      <c r="H32" s="43" t="s">
        <v>12</v>
      </c>
      <c r="I32" s="886"/>
      <c r="J32" s="886"/>
      <c r="K32" s="887"/>
      <c r="L32" s="887">
        <f t="shared" ref="L32:N33" si="21">L423+L448+L471+L506+L527+L548+L633+L659+L689+L741+L758+L774+L790+L809</f>
        <v>0</v>
      </c>
      <c r="M32" s="887">
        <f t="shared" si="21"/>
        <v>0</v>
      </c>
      <c r="N32" s="887">
        <f t="shared" si="21"/>
        <v>0</v>
      </c>
      <c r="O32" s="887">
        <f t="shared" si="17"/>
        <v>0</v>
      </c>
      <c r="P32" s="887">
        <f t="shared" si="18"/>
        <v>0</v>
      </c>
      <c r="Q32" s="875"/>
      <c r="R32" s="875"/>
      <c r="S32" s="875"/>
      <c r="T32" s="875"/>
      <c r="U32" s="875"/>
      <c r="V32" s="875"/>
      <c r="W32" s="875"/>
      <c r="X32" s="875"/>
      <c r="Y32" s="875"/>
      <c r="Z32" s="875"/>
    </row>
    <row r="33" spans="1:26" ht="18.75" hidden="1">
      <c r="A33" s="882"/>
      <c r="B33" s="883"/>
      <c r="C33" s="883"/>
      <c r="D33" s="883"/>
      <c r="E33" s="884" t="s">
        <v>19</v>
      </c>
      <c r="F33" s="883"/>
      <c r="G33" s="885"/>
      <c r="H33" s="43" t="s">
        <v>12</v>
      </c>
      <c r="I33" s="886"/>
      <c r="J33" s="886"/>
      <c r="K33" s="887"/>
      <c r="L33" s="887">
        <f t="shared" ca="1" si="21"/>
        <v>792843</v>
      </c>
      <c r="M33" s="887">
        <f t="shared" ca="1" si="21"/>
        <v>792843</v>
      </c>
      <c r="N33" s="887">
        <f t="shared" si="21"/>
        <v>227576.68</v>
      </c>
      <c r="O33" s="887">
        <f t="shared" ca="1" si="17"/>
        <v>28.70387706014936</v>
      </c>
      <c r="P33" s="887">
        <f t="shared" ca="1" si="18"/>
        <v>28.70387706014936</v>
      </c>
      <c r="Q33" s="875"/>
      <c r="R33" s="875"/>
      <c r="S33" s="875"/>
      <c r="T33" s="875"/>
      <c r="U33" s="875"/>
      <c r="V33" s="875"/>
      <c r="W33" s="875"/>
      <c r="X33" s="875"/>
      <c r="Y33" s="875"/>
      <c r="Z33" s="875"/>
    </row>
    <row r="34" spans="1:26" ht="18.75">
      <c r="A34" s="876"/>
      <c r="B34" s="877"/>
      <c r="C34" s="877"/>
      <c r="D34" s="878" t="s">
        <v>21</v>
      </c>
      <c r="E34" s="877"/>
      <c r="F34" s="877"/>
      <c r="G34" s="879"/>
      <c r="H34" s="622" t="s">
        <v>12</v>
      </c>
      <c r="I34" s="880"/>
      <c r="J34" s="880"/>
      <c r="K34" s="881"/>
      <c r="L34" s="881">
        <f t="shared" ref="L34:N34" ca="1" si="22">L35+L36</f>
        <v>0</v>
      </c>
      <c r="M34" s="881">
        <f t="shared" si="22"/>
        <v>0</v>
      </c>
      <c r="N34" s="881">
        <f t="shared" si="22"/>
        <v>0</v>
      </c>
      <c r="O34" s="881">
        <f t="shared" ca="1" si="17"/>
        <v>0</v>
      </c>
      <c r="P34" s="881">
        <f t="shared" si="18"/>
        <v>0</v>
      </c>
      <c r="Q34" s="868"/>
      <c r="R34" s="868"/>
      <c r="S34" s="868"/>
      <c r="T34" s="868"/>
      <c r="U34" s="868"/>
      <c r="V34" s="868"/>
      <c r="W34" s="868"/>
      <c r="X34" s="868"/>
      <c r="Y34" s="868"/>
      <c r="Z34" s="868"/>
    </row>
    <row r="35" spans="1:26" ht="18.75" hidden="1">
      <c r="A35" s="882"/>
      <c r="B35" s="883"/>
      <c r="C35" s="883"/>
      <c r="D35" s="883"/>
      <c r="E35" s="884" t="s">
        <v>18</v>
      </c>
      <c r="F35" s="883"/>
      <c r="G35" s="885"/>
      <c r="H35" s="43" t="s">
        <v>12</v>
      </c>
      <c r="I35" s="886"/>
      <c r="J35" s="886"/>
      <c r="K35" s="887"/>
      <c r="L35" s="887">
        <f t="shared" ref="L35:N36" si="23">L430+L455+L478+L513+L534+L556+L640+L666+L696+L748+L765+L781+L797+L816</f>
        <v>0</v>
      </c>
      <c r="M35" s="887">
        <f t="shared" si="23"/>
        <v>0</v>
      </c>
      <c r="N35" s="887">
        <f t="shared" si="23"/>
        <v>0</v>
      </c>
      <c r="O35" s="887">
        <f t="shared" si="17"/>
        <v>0</v>
      </c>
      <c r="P35" s="887">
        <f t="shared" si="18"/>
        <v>0</v>
      </c>
      <c r="Q35" s="875"/>
      <c r="R35" s="875"/>
      <c r="S35" s="875"/>
      <c r="T35" s="875"/>
      <c r="U35" s="875"/>
      <c r="V35" s="875"/>
      <c r="W35" s="875"/>
      <c r="X35" s="875"/>
      <c r="Y35" s="875"/>
      <c r="Z35" s="875"/>
    </row>
    <row r="36" spans="1:26" ht="18.75" hidden="1">
      <c r="A36" s="888"/>
      <c r="B36" s="889"/>
      <c r="C36" s="889"/>
      <c r="D36" s="889"/>
      <c r="E36" s="890" t="s">
        <v>19</v>
      </c>
      <c r="F36" s="889"/>
      <c r="G36" s="891"/>
      <c r="H36" s="50" t="s">
        <v>12</v>
      </c>
      <c r="I36" s="892"/>
      <c r="J36" s="892"/>
      <c r="K36" s="893"/>
      <c r="L36" s="893">
        <f t="shared" ca="1" si="23"/>
        <v>0</v>
      </c>
      <c r="M36" s="893">
        <f t="shared" si="23"/>
        <v>0</v>
      </c>
      <c r="N36" s="893">
        <f t="shared" si="23"/>
        <v>0</v>
      </c>
      <c r="O36" s="893">
        <f t="shared" ca="1" si="17"/>
        <v>0</v>
      </c>
      <c r="P36" s="893">
        <f t="shared" si="18"/>
        <v>0</v>
      </c>
      <c r="Q36" s="875"/>
      <c r="R36" s="875"/>
      <c r="S36" s="875"/>
      <c r="T36" s="875"/>
      <c r="U36" s="875"/>
      <c r="V36" s="875"/>
      <c r="W36" s="875"/>
      <c r="X36" s="875"/>
      <c r="Y36" s="875"/>
      <c r="Z36" s="875"/>
    </row>
    <row r="37" spans="1:26" ht="19.5">
      <c r="A37" s="894" t="s">
        <v>24</v>
      </c>
      <c r="B37" s="895"/>
      <c r="C37" s="895"/>
      <c r="D37" s="895"/>
      <c r="E37" s="895"/>
      <c r="F37" s="895"/>
      <c r="G37" s="896"/>
      <c r="H37" s="897"/>
      <c r="I37" s="898"/>
      <c r="J37" s="898"/>
      <c r="K37" s="899"/>
      <c r="L37" s="900">
        <f t="shared" ref="L37:N37" ca="1" si="24">L41+L53+L66+L88+L119+L132+L149+L165+L181+L261+L277+L298+L315+L328+L345+L389+L402</f>
        <v>3908755</v>
      </c>
      <c r="M37" s="900">
        <f t="shared" ca="1" si="24"/>
        <v>3390181</v>
      </c>
      <c r="N37" s="900">
        <f t="shared" ca="1" si="24"/>
        <v>2340025.19</v>
      </c>
      <c r="O37" s="900">
        <f t="shared" ca="1" si="17"/>
        <v>59.866253832742139</v>
      </c>
      <c r="P37" s="900">
        <f t="shared" ca="1" si="18"/>
        <v>69.023606409215319</v>
      </c>
    </row>
    <row r="38" spans="1:26" ht="19.5">
      <c r="A38" s="901" t="s">
        <v>25</v>
      </c>
      <c r="B38" s="902"/>
      <c r="C38" s="902"/>
      <c r="D38" s="902"/>
      <c r="E38" s="902"/>
      <c r="F38" s="902"/>
      <c r="G38" s="903"/>
      <c r="H38" s="904"/>
      <c r="I38" s="905"/>
      <c r="J38" s="905"/>
      <c r="K38" s="906"/>
      <c r="L38" s="906"/>
      <c r="M38" s="906"/>
      <c r="N38" s="906"/>
      <c r="O38" s="906"/>
      <c r="P38" s="906"/>
    </row>
    <row r="39" spans="1:26" ht="19.5">
      <c r="A39" s="907"/>
      <c r="B39" s="908" t="s">
        <v>26</v>
      </c>
      <c r="C39" s="909"/>
      <c r="D39" s="909"/>
      <c r="E39" s="909"/>
      <c r="F39" s="909"/>
      <c r="G39" s="910"/>
      <c r="H39" s="911"/>
      <c r="I39" s="912"/>
      <c r="J39" s="912"/>
      <c r="K39" s="913"/>
      <c r="L39" s="913"/>
      <c r="M39" s="913"/>
      <c r="N39" s="913"/>
      <c r="O39" s="913"/>
      <c r="P39" s="913"/>
    </row>
    <row r="40" spans="1:26" ht="19.5">
      <c r="A40" s="914"/>
      <c r="B40" s="915" t="s">
        <v>27</v>
      </c>
      <c r="C40" s="841"/>
      <c r="D40" s="841"/>
      <c r="E40" s="841"/>
      <c r="F40" s="841"/>
      <c r="G40" s="842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82" t="s">
        <v>12</v>
      </c>
      <c r="I41" s="924"/>
      <c r="J41" s="924"/>
      <c r="K41" s="925"/>
      <c r="L41" s="926">
        <f t="shared" ref="L41:N41" ca="1" si="25">L42+L43</f>
        <v>614050</v>
      </c>
      <c r="M41" s="926">
        <f t="shared" ca="1" si="25"/>
        <v>629151</v>
      </c>
      <c r="N41" s="926">
        <f t="shared" ca="1" si="25"/>
        <v>321401</v>
      </c>
      <c r="O41" s="926">
        <f t="shared" ref="O41:O49" ca="1" si="26">IF(L41&gt;0,N41*100/L41,0)</f>
        <v>52.341177428548164</v>
      </c>
      <c r="P41" s="926">
        <f t="shared" ref="P41:P49" ca="1" si="27">IF(M41&gt;0,N41*100/M41,0)</f>
        <v>51.084874696217604</v>
      </c>
      <c r="Q41" s="868"/>
      <c r="R41" s="868"/>
      <c r="S41" s="868"/>
      <c r="T41" s="868"/>
      <c r="U41" s="868"/>
      <c r="V41" s="868"/>
      <c r="W41" s="868"/>
      <c r="X41" s="868"/>
      <c r="Y41" s="868"/>
      <c r="Z41" s="868"/>
    </row>
    <row r="42" spans="1:26" ht="18.75" hidden="1">
      <c r="A42" s="927"/>
      <c r="B42" s="928"/>
      <c r="C42" s="928"/>
      <c r="D42" s="928"/>
      <c r="E42" s="929" t="s">
        <v>18</v>
      </c>
      <c r="F42" s="928"/>
      <c r="G42" s="930"/>
      <c r="H42" s="90" t="s">
        <v>12</v>
      </c>
      <c r="I42" s="931"/>
      <c r="J42" s="931"/>
      <c r="K42" s="932"/>
      <c r="L42" s="932">
        <f t="shared" ref="L42:N43" si="28">L45+L48</f>
        <v>0</v>
      </c>
      <c r="M42" s="932">
        <f t="shared" si="28"/>
        <v>0</v>
      </c>
      <c r="N42" s="932">
        <f t="shared" si="28"/>
        <v>0</v>
      </c>
      <c r="O42" s="932">
        <f t="shared" si="26"/>
        <v>0</v>
      </c>
      <c r="P42" s="932">
        <f t="shared" si="27"/>
        <v>0</v>
      </c>
      <c r="Q42" s="875"/>
      <c r="R42" s="875"/>
      <c r="S42" s="875"/>
      <c r="T42" s="875"/>
      <c r="U42" s="875"/>
      <c r="V42" s="875"/>
      <c r="W42" s="875"/>
      <c r="X42" s="875"/>
      <c r="Y42" s="875"/>
      <c r="Z42" s="875"/>
    </row>
    <row r="43" spans="1:26" ht="18.75" hidden="1">
      <c r="A43" s="927"/>
      <c r="B43" s="928"/>
      <c r="C43" s="928"/>
      <c r="D43" s="928"/>
      <c r="E43" s="929" t="s">
        <v>19</v>
      </c>
      <c r="F43" s="928"/>
      <c r="G43" s="930"/>
      <c r="H43" s="90" t="s">
        <v>12</v>
      </c>
      <c r="I43" s="931"/>
      <c r="J43" s="931"/>
      <c r="K43" s="932"/>
      <c r="L43" s="932">
        <f t="shared" ca="1" si="28"/>
        <v>614050</v>
      </c>
      <c r="M43" s="932">
        <f t="shared" ca="1" si="28"/>
        <v>629151</v>
      </c>
      <c r="N43" s="932">
        <f t="shared" ca="1" si="28"/>
        <v>321401</v>
      </c>
      <c r="O43" s="932">
        <f t="shared" ca="1" si="26"/>
        <v>52.341177428548164</v>
      </c>
      <c r="P43" s="932">
        <f t="shared" ca="1" si="27"/>
        <v>51.084874696217604</v>
      </c>
      <c r="Q43" s="875"/>
      <c r="R43" s="875"/>
      <c r="S43" s="875"/>
      <c r="T43" s="875"/>
      <c r="U43" s="875"/>
      <c r="V43" s="875"/>
      <c r="W43" s="875"/>
      <c r="X43" s="875"/>
      <c r="Y43" s="875"/>
      <c r="Z43" s="875"/>
    </row>
    <row r="44" spans="1:26" ht="18.75">
      <c r="A44" s="876"/>
      <c r="B44" s="877"/>
      <c r="C44" s="877"/>
      <c r="D44" s="878" t="s">
        <v>20</v>
      </c>
      <c r="E44" s="877"/>
      <c r="F44" s="877"/>
      <c r="G44" s="879"/>
      <c r="H44" s="622" t="s">
        <v>12</v>
      </c>
      <c r="I44" s="880"/>
      <c r="J44" s="880"/>
      <c r="K44" s="881"/>
      <c r="L44" s="881">
        <f t="shared" ref="L44:N44" ca="1" si="29">L45+L46</f>
        <v>614050</v>
      </c>
      <c r="M44" s="881">
        <f t="shared" ca="1" si="29"/>
        <v>629151</v>
      </c>
      <c r="N44" s="881">
        <f t="shared" ca="1" si="29"/>
        <v>321401</v>
      </c>
      <c r="O44" s="881">
        <f t="shared" ca="1" si="26"/>
        <v>52.341177428548164</v>
      </c>
      <c r="P44" s="881">
        <f t="shared" ca="1" si="27"/>
        <v>51.084874696217604</v>
      </c>
      <c r="Q44" s="868"/>
      <c r="R44" s="868"/>
      <c r="S44" s="868"/>
      <c r="T44" s="868"/>
      <c r="U44" s="868"/>
      <c r="V44" s="868"/>
      <c r="W44" s="868"/>
      <c r="X44" s="868"/>
      <c r="Y44" s="868"/>
      <c r="Z44" s="868"/>
    </row>
    <row r="45" spans="1:26" ht="18.75" hidden="1">
      <c r="A45" s="882"/>
      <c r="B45" s="883"/>
      <c r="C45" s="883"/>
      <c r="D45" s="883"/>
      <c r="E45" s="884" t="s">
        <v>18</v>
      </c>
      <c r="F45" s="883"/>
      <c r="G45" s="885"/>
      <c r="H45" s="43" t="s">
        <v>12</v>
      </c>
      <c r="I45" s="886"/>
      <c r="J45" s="886"/>
      <c r="K45" s="887"/>
      <c r="L45" s="887">
        <v>0</v>
      </c>
      <c r="M45" s="887">
        <v>0</v>
      </c>
      <c r="N45" s="887">
        <v>0</v>
      </c>
      <c r="O45" s="887">
        <f t="shared" si="26"/>
        <v>0</v>
      </c>
      <c r="P45" s="887">
        <f t="shared" si="27"/>
        <v>0</v>
      </c>
      <c r="Q45" s="875"/>
      <c r="R45" s="875"/>
      <c r="S45" s="875"/>
      <c r="T45" s="875"/>
      <c r="U45" s="875"/>
      <c r="V45" s="875"/>
      <c r="W45" s="875"/>
      <c r="X45" s="875"/>
      <c r="Y45" s="875"/>
      <c r="Z45" s="875"/>
    </row>
    <row r="46" spans="1:26" ht="18.75" hidden="1">
      <c r="A46" s="882"/>
      <c r="B46" s="883"/>
      <c r="C46" s="883"/>
      <c r="D46" s="883"/>
      <c r="E46" s="884" t="s">
        <v>19</v>
      </c>
      <c r="F46" s="883"/>
      <c r="G46" s="885"/>
      <c r="H46" s="43" t="s">
        <v>12</v>
      </c>
      <c r="I46" s="886"/>
      <c r="J46" s="886"/>
      <c r="K46" s="887"/>
      <c r="L46" s="887">
        <f ca="1">IFERROR(__xludf.DUMMYFUNCTION("IMPORTRANGE(""https://docs.google.com/spreadsheets/d/1MeEWN-I1oV_STSDYn1IFDPWt_1FKiwhDph83XaGc0o0/edit?usp=sharing"",""งบพรบ!M78"")"),614050)</f>
        <v>614050</v>
      </c>
      <c r="M46" s="887">
        <f ca="1">IFERROR(__xludf.DUMMYFUNCTION("IMPORTRANGE(""https://docs.google.com/spreadsheets/d/1MeEWN-I1oV_STSDYn1IFDPWt_1FKiwhDph83XaGc0o0/edit?usp=sharing"",""งบพรบ!R78"")"),629151)</f>
        <v>629151</v>
      </c>
      <c r="N46" s="887">
        <f ca="1">IFERROR(__xludf.DUMMYFUNCTION("IMPORTRANGE(""https://docs.google.com/spreadsheets/d/1MeEWN-I1oV_STSDYn1IFDPWt_1FKiwhDph83XaGc0o0/edit?usp=sharing"",""งบพรบ!T78"")"),321401)</f>
        <v>321401</v>
      </c>
      <c r="O46" s="887">
        <f t="shared" ca="1" si="26"/>
        <v>52.341177428548164</v>
      </c>
      <c r="P46" s="887">
        <f t="shared" ca="1" si="27"/>
        <v>51.084874696217604</v>
      </c>
      <c r="Q46" s="875"/>
      <c r="R46" s="875"/>
      <c r="S46" s="875"/>
      <c r="T46" s="875"/>
      <c r="U46" s="875"/>
      <c r="V46" s="875"/>
      <c r="W46" s="875"/>
      <c r="X46" s="875"/>
      <c r="Y46" s="875"/>
      <c r="Z46" s="875"/>
    </row>
    <row r="47" spans="1:26" ht="18.75">
      <c r="A47" s="876"/>
      <c r="B47" s="877"/>
      <c r="C47" s="877"/>
      <c r="D47" s="878" t="s">
        <v>21</v>
      </c>
      <c r="E47" s="877"/>
      <c r="F47" s="877"/>
      <c r="G47" s="879"/>
      <c r="H47" s="622" t="s">
        <v>12</v>
      </c>
      <c r="I47" s="880"/>
      <c r="J47" s="880"/>
      <c r="K47" s="881"/>
      <c r="L47" s="881">
        <f t="shared" ref="L47:N47" ca="1" si="30">L48+L49</f>
        <v>0</v>
      </c>
      <c r="M47" s="881">
        <f t="shared" ca="1" si="30"/>
        <v>0</v>
      </c>
      <c r="N47" s="881">
        <f t="shared" ca="1" si="30"/>
        <v>0</v>
      </c>
      <c r="O47" s="881">
        <f t="shared" ca="1" si="26"/>
        <v>0</v>
      </c>
      <c r="P47" s="881">
        <f t="shared" ca="1" si="27"/>
        <v>0</v>
      </c>
      <c r="Q47" s="868"/>
      <c r="R47" s="868"/>
      <c r="S47" s="868"/>
      <c r="T47" s="868"/>
      <c r="U47" s="868"/>
      <c r="V47" s="868"/>
      <c r="W47" s="868"/>
      <c r="X47" s="868"/>
      <c r="Y47" s="868"/>
      <c r="Z47" s="868"/>
    </row>
    <row r="48" spans="1:26" ht="18.75" hidden="1">
      <c r="A48" s="882"/>
      <c r="B48" s="883"/>
      <c r="C48" s="883"/>
      <c r="D48" s="883"/>
      <c r="E48" s="884" t="s">
        <v>18</v>
      </c>
      <c r="F48" s="883"/>
      <c r="G48" s="885"/>
      <c r="H48" s="43" t="s">
        <v>12</v>
      </c>
      <c r="I48" s="886"/>
      <c r="J48" s="886"/>
      <c r="K48" s="887"/>
      <c r="L48" s="887">
        <v>0</v>
      </c>
      <c r="M48" s="887">
        <v>0</v>
      </c>
      <c r="N48" s="887">
        <v>0</v>
      </c>
      <c r="O48" s="887">
        <f t="shared" si="26"/>
        <v>0</v>
      </c>
      <c r="P48" s="887">
        <f t="shared" si="27"/>
        <v>0</v>
      </c>
      <c r="Q48" s="875"/>
      <c r="R48" s="875"/>
      <c r="S48" s="875"/>
      <c r="T48" s="875"/>
      <c r="U48" s="875"/>
      <c r="V48" s="875"/>
      <c r="W48" s="875"/>
      <c r="X48" s="875"/>
      <c r="Y48" s="875"/>
      <c r="Z48" s="875"/>
    </row>
    <row r="49" spans="1:26" ht="18.75" hidden="1">
      <c r="A49" s="888"/>
      <c r="B49" s="889"/>
      <c r="C49" s="889"/>
      <c r="D49" s="889"/>
      <c r="E49" s="890" t="s">
        <v>19</v>
      </c>
      <c r="F49" s="889"/>
      <c r="G49" s="891"/>
      <c r="H49" s="50" t="s">
        <v>12</v>
      </c>
      <c r="I49" s="892"/>
      <c r="J49" s="892"/>
      <c r="K49" s="893"/>
      <c r="L49" s="893">
        <f ca="1">IFERROR(__xludf.DUMMYFUNCTION("IMPORTRANGE(""https://docs.google.com/spreadsheets/d/1MeEWN-I1oV_STSDYn1IFDPWt_1FKiwhDph83XaGc0o0/edit?usp=sharing"",""งบพรบ!P78"")"),0)</f>
        <v>0</v>
      </c>
      <c r="M49" s="893">
        <f ca="1">IFERROR(__xludf.DUMMYFUNCTION("IMPORTRANGE(""https://docs.google.com/spreadsheets/d/1MeEWN-I1oV_STSDYn1IFDPWt_1FKiwhDph83XaGc0o0/edit?usp=sharing"",""งบพรบ!S78"")"),0)</f>
        <v>0</v>
      </c>
      <c r="N49" s="893">
        <f ca="1">IFERROR(__xludf.DUMMYFUNCTION("IMPORTRANGE(""https://docs.google.com/spreadsheets/d/1MeEWN-I1oV_STSDYn1IFDPWt_1FKiwhDph83XaGc0o0/edit?usp=sharing"",""งบพรบ!U78"")"),0)</f>
        <v>0</v>
      </c>
      <c r="O49" s="893">
        <f t="shared" ca="1" si="26"/>
        <v>0</v>
      </c>
      <c r="P49" s="893">
        <f t="shared" ca="1" si="27"/>
        <v>0</v>
      </c>
      <c r="Q49" s="875"/>
      <c r="R49" s="875"/>
      <c r="S49" s="875"/>
      <c r="T49" s="875"/>
      <c r="U49" s="875"/>
      <c r="V49" s="875"/>
      <c r="W49" s="875"/>
      <c r="X49" s="875"/>
      <c r="Y49" s="875"/>
      <c r="Z49" s="875"/>
    </row>
    <row r="50" spans="1:26" ht="19.5">
      <c r="A50" s="933" t="s">
        <v>28</v>
      </c>
      <c r="B50" s="833"/>
      <c r="C50" s="833"/>
      <c r="D50" s="833"/>
      <c r="E50" s="833"/>
      <c r="F50" s="833"/>
      <c r="G50" s="831"/>
      <c r="H50" s="934"/>
      <c r="I50" s="935"/>
      <c r="J50" s="935"/>
      <c r="K50" s="936"/>
      <c r="L50" s="936"/>
      <c r="M50" s="936"/>
      <c r="N50" s="936"/>
      <c r="O50" s="936"/>
      <c r="P50" s="936"/>
    </row>
    <row r="51" spans="1:26" ht="19.5">
      <c r="A51" s="937"/>
      <c r="B51" s="938" t="s">
        <v>29</v>
      </c>
      <c r="C51" s="841"/>
      <c r="D51" s="841"/>
      <c r="E51" s="841"/>
      <c r="F51" s="841"/>
      <c r="G51" s="842"/>
      <c r="H51" s="939"/>
      <c r="I51" s="940"/>
      <c r="J51" s="940"/>
      <c r="K51" s="941"/>
      <c r="L51" s="941"/>
      <c r="M51" s="941"/>
      <c r="N51" s="941"/>
      <c r="O51" s="941"/>
      <c r="P51" s="941"/>
    </row>
    <row r="52" spans="1:26" ht="19.5">
      <c r="A52" s="942"/>
      <c r="B52" s="943" t="s">
        <v>30</v>
      </c>
      <c r="C52" s="944"/>
      <c r="D52" s="944"/>
      <c r="E52" s="944"/>
      <c r="F52" s="944"/>
      <c r="G52" s="945"/>
      <c r="H52" s="946"/>
      <c r="I52" s="947"/>
      <c r="J52" s="947"/>
      <c r="K52" s="948"/>
      <c r="L52" s="948"/>
      <c r="M52" s="948"/>
      <c r="N52" s="948"/>
      <c r="O52" s="948"/>
      <c r="P52" s="948"/>
    </row>
    <row r="53" spans="1:26" ht="19.5">
      <c r="A53" s="949"/>
      <c r="B53" s="950"/>
      <c r="C53" s="951" t="s">
        <v>16</v>
      </c>
      <c r="D53" s="952" t="s">
        <v>17</v>
      </c>
      <c r="E53" s="950"/>
      <c r="F53" s="950"/>
      <c r="G53" s="953"/>
      <c r="H53" s="113" t="s">
        <v>12</v>
      </c>
      <c r="I53" s="954"/>
      <c r="J53" s="954"/>
      <c r="K53" s="955"/>
      <c r="L53" s="956">
        <f t="shared" ref="L53:N53" ca="1" si="31">L54+L55</f>
        <v>1100300</v>
      </c>
      <c r="M53" s="956">
        <f t="shared" ca="1" si="31"/>
        <v>914625</v>
      </c>
      <c r="N53" s="956">
        <f t="shared" ca="1" si="31"/>
        <v>796030.33000000007</v>
      </c>
      <c r="O53" s="956">
        <f t="shared" ref="O53:O61" ca="1" si="32">IF(L53&gt;0,N53*100/L53,0)</f>
        <v>72.346662728346814</v>
      </c>
      <c r="P53" s="956">
        <f t="shared" ref="P53:P61" ca="1" si="33">IF(M53&gt;0,N53*100/M53,0)</f>
        <v>87.033519748530821</v>
      </c>
      <c r="Q53" s="868"/>
      <c r="R53" s="868"/>
      <c r="S53" s="868"/>
      <c r="T53" s="868"/>
      <c r="U53" s="868"/>
      <c r="V53" s="868"/>
      <c r="W53" s="868"/>
      <c r="X53" s="868"/>
      <c r="Y53" s="868"/>
      <c r="Z53" s="868"/>
    </row>
    <row r="54" spans="1:26" ht="18.75" hidden="1">
      <c r="A54" s="957"/>
      <c r="B54" s="958"/>
      <c r="C54" s="958"/>
      <c r="D54" s="958"/>
      <c r="E54" s="959" t="s">
        <v>18</v>
      </c>
      <c r="F54" s="958"/>
      <c r="G54" s="960"/>
      <c r="H54" s="121" t="s">
        <v>12</v>
      </c>
      <c r="I54" s="961"/>
      <c r="J54" s="961"/>
      <c r="K54" s="962"/>
      <c r="L54" s="962">
        <f t="shared" ref="L54:N55" si="34">L57+L60</f>
        <v>0</v>
      </c>
      <c r="M54" s="962">
        <f t="shared" si="34"/>
        <v>0</v>
      </c>
      <c r="N54" s="962">
        <f t="shared" si="34"/>
        <v>0</v>
      </c>
      <c r="O54" s="962">
        <f t="shared" si="32"/>
        <v>0</v>
      </c>
      <c r="P54" s="962">
        <f t="shared" si="33"/>
        <v>0</v>
      </c>
      <c r="Q54" s="875"/>
      <c r="R54" s="875"/>
      <c r="S54" s="875"/>
      <c r="T54" s="875"/>
      <c r="U54" s="875"/>
      <c r="V54" s="875"/>
      <c r="W54" s="875"/>
      <c r="X54" s="875"/>
      <c r="Y54" s="875"/>
      <c r="Z54" s="875"/>
    </row>
    <row r="55" spans="1:26" ht="18.75" hidden="1">
      <c r="A55" s="957"/>
      <c r="B55" s="958"/>
      <c r="C55" s="958"/>
      <c r="D55" s="958"/>
      <c r="E55" s="959" t="s">
        <v>19</v>
      </c>
      <c r="F55" s="958"/>
      <c r="G55" s="960"/>
      <c r="H55" s="121" t="s">
        <v>12</v>
      </c>
      <c r="I55" s="961"/>
      <c r="J55" s="961"/>
      <c r="K55" s="962"/>
      <c r="L55" s="962">
        <f t="shared" ca="1" si="34"/>
        <v>1100300</v>
      </c>
      <c r="M55" s="962">
        <f t="shared" ca="1" si="34"/>
        <v>914625</v>
      </c>
      <c r="N55" s="962">
        <f t="shared" ca="1" si="34"/>
        <v>796030.33000000007</v>
      </c>
      <c r="O55" s="962">
        <f t="shared" ca="1" si="32"/>
        <v>72.346662728346814</v>
      </c>
      <c r="P55" s="962">
        <f t="shared" ca="1" si="33"/>
        <v>87.033519748530821</v>
      </c>
      <c r="Q55" s="875"/>
      <c r="R55" s="875"/>
      <c r="S55" s="875"/>
      <c r="T55" s="875"/>
      <c r="U55" s="875"/>
      <c r="V55" s="875"/>
      <c r="W55" s="875"/>
      <c r="X55" s="875"/>
      <c r="Y55" s="875"/>
      <c r="Z55" s="875"/>
    </row>
    <row r="56" spans="1:26" ht="18.75">
      <c r="A56" s="876"/>
      <c r="B56" s="877"/>
      <c r="C56" s="877"/>
      <c r="D56" s="878" t="s">
        <v>20</v>
      </c>
      <c r="E56" s="877"/>
      <c r="F56" s="877"/>
      <c r="G56" s="879"/>
      <c r="H56" s="622" t="s">
        <v>12</v>
      </c>
      <c r="I56" s="880"/>
      <c r="J56" s="880"/>
      <c r="K56" s="881"/>
      <c r="L56" s="881">
        <f t="shared" ref="L56:N56" ca="1" si="35">L57+L58</f>
        <v>750300</v>
      </c>
      <c r="M56" s="881">
        <f t="shared" ca="1" si="35"/>
        <v>564625</v>
      </c>
      <c r="N56" s="881">
        <f t="shared" ca="1" si="35"/>
        <v>446030.33</v>
      </c>
      <c r="O56" s="881">
        <f t="shared" ca="1" si="32"/>
        <v>59.446931893909102</v>
      </c>
      <c r="P56" s="881">
        <f t="shared" ca="1" si="33"/>
        <v>78.995852114235106</v>
      </c>
      <c r="Q56" s="868"/>
      <c r="R56" s="868"/>
      <c r="S56" s="868"/>
      <c r="T56" s="868"/>
      <c r="U56" s="868"/>
      <c r="V56" s="868"/>
      <c r="W56" s="868"/>
      <c r="X56" s="868"/>
      <c r="Y56" s="868"/>
      <c r="Z56" s="868"/>
    </row>
    <row r="57" spans="1:26" ht="18.75" hidden="1">
      <c r="A57" s="882"/>
      <c r="B57" s="883"/>
      <c r="C57" s="883"/>
      <c r="D57" s="883"/>
      <c r="E57" s="884" t="s">
        <v>18</v>
      </c>
      <c r="F57" s="883"/>
      <c r="G57" s="885"/>
      <c r="H57" s="43" t="s">
        <v>12</v>
      </c>
      <c r="I57" s="886"/>
      <c r="J57" s="886"/>
      <c r="K57" s="887"/>
      <c r="L57" s="887">
        <v>0</v>
      </c>
      <c r="M57" s="887">
        <v>0</v>
      </c>
      <c r="N57" s="887">
        <v>0</v>
      </c>
      <c r="O57" s="887">
        <f t="shared" si="32"/>
        <v>0</v>
      </c>
      <c r="P57" s="887">
        <f t="shared" si="33"/>
        <v>0</v>
      </c>
      <c r="Q57" s="875"/>
      <c r="R57" s="875"/>
      <c r="S57" s="875"/>
      <c r="T57" s="875"/>
      <c r="U57" s="875"/>
      <c r="V57" s="875"/>
      <c r="W57" s="875"/>
      <c r="X57" s="875"/>
      <c r="Y57" s="875"/>
      <c r="Z57" s="875"/>
    </row>
    <row r="58" spans="1:26" ht="18.75" hidden="1">
      <c r="A58" s="882"/>
      <c r="B58" s="883"/>
      <c r="C58" s="883"/>
      <c r="D58" s="883"/>
      <c r="E58" s="884" t="s">
        <v>19</v>
      </c>
      <c r="F58" s="883"/>
      <c r="G58" s="885"/>
      <c r="H58" s="43" t="s">
        <v>12</v>
      </c>
      <c r="I58" s="886"/>
      <c r="J58" s="886"/>
      <c r="K58" s="887"/>
      <c r="L58" s="887">
        <f ca="1">IFERROR(__xludf.DUMMYFUNCTION("IMPORTRANGE(""https://docs.google.com/spreadsheets/d/1MeEWN-I1oV_STSDYn1IFDPWt_1FKiwhDph83XaGc0o0/edit?usp=sharing"",""งบพรบ!W78"")"),750300)</f>
        <v>750300</v>
      </c>
      <c r="M58" s="887">
        <f ca="1">IFERROR(__xludf.DUMMYFUNCTION("IMPORTRANGE(""https://docs.google.com/spreadsheets/d/1MeEWN-I1oV_STSDYn1IFDPWt_1FKiwhDph83XaGc0o0/edit?usp=sharing"",""งบพรบ!AB78"")"),564625)</f>
        <v>564625</v>
      </c>
      <c r="N58" s="887">
        <f ca="1">IFERROR(__xludf.DUMMYFUNCTION("IMPORTRANGE(""https://docs.google.com/spreadsheets/d/1MeEWN-I1oV_STSDYn1IFDPWt_1FKiwhDph83XaGc0o0/edit?usp=sharing"",""งบพรบ!AD78"")"),446030.33)</f>
        <v>446030.33</v>
      </c>
      <c r="O58" s="887">
        <f t="shared" ca="1" si="32"/>
        <v>59.446931893909102</v>
      </c>
      <c r="P58" s="887">
        <f t="shared" ca="1" si="33"/>
        <v>78.995852114235106</v>
      </c>
      <c r="Q58" s="875"/>
      <c r="R58" s="875"/>
      <c r="S58" s="875"/>
      <c r="T58" s="875"/>
      <c r="U58" s="875"/>
      <c r="V58" s="875"/>
      <c r="W58" s="875"/>
      <c r="X58" s="875"/>
      <c r="Y58" s="875"/>
      <c r="Z58" s="875"/>
    </row>
    <row r="59" spans="1:26" ht="18.75">
      <c r="A59" s="876"/>
      <c r="B59" s="877"/>
      <c r="C59" s="877"/>
      <c r="D59" s="878" t="s">
        <v>21</v>
      </c>
      <c r="E59" s="877"/>
      <c r="F59" s="877"/>
      <c r="G59" s="879"/>
      <c r="H59" s="622" t="s">
        <v>12</v>
      </c>
      <c r="I59" s="880"/>
      <c r="J59" s="880"/>
      <c r="K59" s="881"/>
      <c r="L59" s="881">
        <f t="shared" ref="L59:N59" ca="1" si="36">L60+L61</f>
        <v>350000</v>
      </c>
      <c r="M59" s="881">
        <f t="shared" ca="1" si="36"/>
        <v>350000</v>
      </c>
      <c r="N59" s="881">
        <f t="shared" ca="1" si="36"/>
        <v>350000</v>
      </c>
      <c r="O59" s="881">
        <f t="shared" ca="1" si="32"/>
        <v>100</v>
      </c>
      <c r="P59" s="881">
        <f t="shared" ca="1" si="33"/>
        <v>100</v>
      </c>
      <c r="Q59" s="868"/>
      <c r="R59" s="868"/>
      <c r="S59" s="868"/>
      <c r="T59" s="868"/>
      <c r="U59" s="868"/>
      <c r="V59" s="868"/>
      <c r="W59" s="868"/>
      <c r="X59" s="868"/>
      <c r="Y59" s="868"/>
      <c r="Z59" s="868"/>
    </row>
    <row r="60" spans="1:26" ht="18.75" hidden="1">
      <c r="A60" s="882"/>
      <c r="B60" s="883"/>
      <c r="C60" s="883"/>
      <c r="D60" s="883"/>
      <c r="E60" s="884" t="s">
        <v>18</v>
      </c>
      <c r="F60" s="883"/>
      <c r="G60" s="885"/>
      <c r="H60" s="43" t="s">
        <v>12</v>
      </c>
      <c r="I60" s="886"/>
      <c r="J60" s="886"/>
      <c r="K60" s="887"/>
      <c r="L60" s="887">
        <v>0</v>
      </c>
      <c r="M60" s="887">
        <v>0</v>
      </c>
      <c r="N60" s="887">
        <v>0</v>
      </c>
      <c r="O60" s="887">
        <f t="shared" si="32"/>
        <v>0</v>
      </c>
      <c r="P60" s="887">
        <f t="shared" si="33"/>
        <v>0</v>
      </c>
      <c r="Q60" s="875"/>
      <c r="R60" s="875"/>
      <c r="S60" s="875"/>
      <c r="T60" s="875"/>
      <c r="U60" s="875"/>
      <c r="V60" s="875"/>
      <c r="W60" s="875"/>
      <c r="X60" s="875"/>
      <c r="Y60" s="875"/>
      <c r="Z60" s="875"/>
    </row>
    <row r="61" spans="1:26" ht="18.75" hidden="1">
      <c r="A61" s="888"/>
      <c r="B61" s="889"/>
      <c r="C61" s="889"/>
      <c r="D61" s="889"/>
      <c r="E61" s="890" t="s">
        <v>19</v>
      </c>
      <c r="F61" s="889"/>
      <c r="G61" s="891"/>
      <c r="H61" s="50" t="s">
        <v>12</v>
      </c>
      <c r="I61" s="892"/>
      <c r="J61" s="892"/>
      <c r="K61" s="893"/>
      <c r="L61" s="893">
        <f ca="1">IFERROR(__xludf.DUMMYFUNCTION("IMPORTRANGE(""https://docs.google.com/spreadsheets/d/1MeEWN-I1oV_STSDYn1IFDPWt_1FKiwhDph83XaGc0o0/edit?usp=sharing"",""งบพรบ!Z78"")"),350000)</f>
        <v>350000</v>
      </c>
      <c r="M61" s="893">
        <f ca="1">IFERROR(__xludf.DUMMYFUNCTION("IMPORTRANGE(""https://docs.google.com/spreadsheets/d/1MeEWN-I1oV_STSDYn1IFDPWt_1FKiwhDph83XaGc0o0/edit?usp=sharing"",""งบพรบ!AC78"")"),350000)</f>
        <v>350000</v>
      </c>
      <c r="N61" s="893">
        <f ca="1">IFERROR(__xludf.DUMMYFUNCTION("IMPORTRANGE(""https://docs.google.com/spreadsheets/d/1MeEWN-I1oV_STSDYn1IFDPWt_1FKiwhDph83XaGc0o0/edit?usp=sharing"",""งบพรบ!AE78"")"),350000)</f>
        <v>350000</v>
      </c>
      <c r="O61" s="893">
        <f t="shared" ca="1" si="32"/>
        <v>100</v>
      </c>
      <c r="P61" s="893">
        <f t="shared" ca="1" si="33"/>
        <v>100</v>
      </c>
      <c r="Q61" s="875"/>
      <c r="R61" s="875"/>
      <c r="S61" s="875"/>
      <c r="T61" s="875"/>
      <c r="U61" s="875"/>
      <c r="V61" s="875"/>
      <c r="W61" s="875"/>
      <c r="X61" s="875"/>
      <c r="Y61" s="875"/>
      <c r="Z61" s="875"/>
    </row>
    <row r="62" spans="1:26" ht="19.5">
      <c r="A62" s="963" t="s">
        <v>31</v>
      </c>
      <c r="B62" s="964"/>
      <c r="C62" s="964"/>
      <c r="D62" s="964"/>
      <c r="E62" s="965"/>
      <c r="F62" s="965"/>
      <c r="G62" s="966"/>
      <c r="H62" s="967"/>
      <c r="I62" s="968"/>
      <c r="J62" s="968"/>
      <c r="K62" s="969"/>
      <c r="L62" s="969"/>
      <c r="M62" s="969"/>
      <c r="N62" s="969"/>
      <c r="O62" s="969"/>
      <c r="P62" s="969"/>
    </row>
    <row r="63" spans="1:26" ht="19.5" hidden="1">
      <c r="A63" s="970" t="s">
        <v>32</v>
      </c>
      <c r="B63" s="971"/>
      <c r="C63" s="972"/>
      <c r="D63" s="971"/>
      <c r="E63" s="971"/>
      <c r="F63" s="971"/>
      <c r="G63" s="973"/>
      <c r="H63" s="974"/>
      <c r="I63" s="975"/>
      <c r="J63" s="975"/>
      <c r="K63" s="976"/>
      <c r="L63" s="976"/>
      <c r="M63" s="976"/>
      <c r="N63" s="976"/>
      <c r="O63" s="976"/>
      <c r="P63" s="976"/>
    </row>
    <row r="64" spans="1:26" ht="19.5" hidden="1">
      <c r="A64" s="977"/>
      <c r="B64" s="978" t="s">
        <v>33</v>
      </c>
      <c r="C64" s="979"/>
      <c r="D64" s="980"/>
      <c r="E64" s="979"/>
      <c r="F64" s="979"/>
      <c r="G64" s="981"/>
      <c r="H64" s="205" t="s">
        <v>34</v>
      </c>
      <c r="I64" s="982">
        <f t="shared" ref="I64:J65" ca="1" si="37">I76</f>
        <v>0</v>
      </c>
      <c r="J64" s="982">
        <f t="shared" si="37"/>
        <v>0</v>
      </c>
      <c r="K64" s="983">
        <f t="shared" ref="K64:K65" ca="1" si="38">IF(I64&gt;0,J64*100/I64,0)</f>
        <v>0</v>
      </c>
      <c r="L64" s="984"/>
      <c r="M64" s="984"/>
      <c r="N64" s="984"/>
      <c r="O64" s="984"/>
      <c r="P64" s="984"/>
    </row>
    <row r="65" spans="1:26" ht="19.5" hidden="1">
      <c r="A65" s="977"/>
      <c r="B65" s="979"/>
      <c r="C65" s="979"/>
      <c r="D65" s="980"/>
      <c r="E65" s="979"/>
      <c r="F65" s="979"/>
      <c r="G65" s="981"/>
      <c r="H65" s="205" t="s">
        <v>35</v>
      </c>
      <c r="I65" s="982">
        <f t="shared" ca="1" si="37"/>
        <v>0</v>
      </c>
      <c r="J65" s="982">
        <f t="shared" si="37"/>
        <v>0</v>
      </c>
      <c r="K65" s="983">
        <f t="shared" ca="1" si="38"/>
        <v>0</v>
      </c>
      <c r="L65" s="984"/>
      <c r="M65" s="984"/>
      <c r="N65" s="984"/>
      <c r="O65" s="984"/>
      <c r="P65" s="984"/>
    </row>
    <row r="66" spans="1:26" ht="19.5" hidden="1">
      <c r="A66" s="985"/>
      <c r="B66" s="986"/>
      <c r="C66" s="987" t="s">
        <v>16</v>
      </c>
      <c r="D66" s="988" t="s">
        <v>17</v>
      </c>
      <c r="E66" s="986"/>
      <c r="F66" s="986"/>
      <c r="G66" s="989"/>
      <c r="H66" s="152" t="s">
        <v>12</v>
      </c>
      <c r="I66" s="990"/>
      <c r="J66" s="990"/>
      <c r="K66" s="991"/>
      <c r="L66" s="992">
        <f t="shared" ref="L66:N66" ca="1" si="39">L67+L68</f>
        <v>0</v>
      </c>
      <c r="M66" s="992">
        <f t="shared" ca="1" si="39"/>
        <v>0</v>
      </c>
      <c r="N66" s="992">
        <f t="shared" ca="1" si="39"/>
        <v>0</v>
      </c>
      <c r="O66" s="992">
        <f t="shared" ref="O66:O74" ca="1" si="40">IF(L66&gt;0,N66*100/L66,0)</f>
        <v>0</v>
      </c>
      <c r="P66" s="992">
        <f t="shared" ref="P66:P74" ca="1" si="41">IF(M66&gt;0,N66*100/M66,0)</f>
        <v>0</v>
      </c>
      <c r="Q66" s="868"/>
      <c r="R66" s="868"/>
      <c r="S66" s="868"/>
      <c r="T66" s="868"/>
      <c r="U66" s="868"/>
      <c r="V66" s="868"/>
      <c r="W66" s="868"/>
      <c r="X66" s="868"/>
      <c r="Y66" s="868"/>
      <c r="Z66" s="868"/>
    </row>
    <row r="67" spans="1:26" ht="18.75" hidden="1">
      <c r="A67" s="993"/>
      <c r="B67" s="883"/>
      <c r="C67" s="883"/>
      <c r="D67" s="883"/>
      <c r="E67" s="884" t="s">
        <v>18</v>
      </c>
      <c r="F67" s="883"/>
      <c r="G67" s="994"/>
      <c r="H67" s="158" t="s">
        <v>12</v>
      </c>
      <c r="I67" s="886"/>
      <c r="J67" s="886"/>
      <c r="K67" s="887"/>
      <c r="L67" s="887">
        <f t="shared" ref="L67:N68" si="42">L70+L73</f>
        <v>0</v>
      </c>
      <c r="M67" s="887">
        <f t="shared" si="42"/>
        <v>0</v>
      </c>
      <c r="N67" s="887">
        <f t="shared" si="42"/>
        <v>0</v>
      </c>
      <c r="O67" s="887">
        <f t="shared" si="40"/>
        <v>0</v>
      </c>
      <c r="P67" s="887">
        <f t="shared" si="41"/>
        <v>0</v>
      </c>
      <c r="Q67" s="875"/>
      <c r="R67" s="875"/>
      <c r="S67" s="875"/>
      <c r="T67" s="875"/>
      <c r="U67" s="875"/>
      <c r="V67" s="875"/>
      <c r="W67" s="875"/>
      <c r="X67" s="875"/>
      <c r="Y67" s="875"/>
      <c r="Z67" s="875"/>
    </row>
    <row r="68" spans="1:26" ht="18.75" hidden="1">
      <c r="A68" s="993"/>
      <c r="B68" s="883"/>
      <c r="C68" s="883"/>
      <c r="D68" s="883"/>
      <c r="E68" s="884" t="s">
        <v>19</v>
      </c>
      <c r="F68" s="883"/>
      <c r="G68" s="994"/>
      <c r="H68" s="158" t="s">
        <v>12</v>
      </c>
      <c r="I68" s="886"/>
      <c r="J68" s="886"/>
      <c r="K68" s="887"/>
      <c r="L68" s="887">
        <f t="shared" ca="1" si="42"/>
        <v>0</v>
      </c>
      <c r="M68" s="887">
        <f t="shared" ca="1" si="42"/>
        <v>0</v>
      </c>
      <c r="N68" s="887">
        <f t="shared" ca="1" si="42"/>
        <v>0</v>
      </c>
      <c r="O68" s="887">
        <f t="shared" ca="1" si="40"/>
        <v>0</v>
      </c>
      <c r="P68" s="887">
        <f t="shared" ca="1" si="41"/>
        <v>0</v>
      </c>
      <c r="Q68" s="875"/>
      <c r="R68" s="875"/>
      <c r="S68" s="875"/>
      <c r="T68" s="875"/>
      <c r="U68" s="875"/>
      <c r="V68" s="875"/>
      <c r="W68" s="875"/>
      <c r="X68" s="875"/>
      <c r="Y68" s="875"/>
      <c r="Z68" s="875"/>
    </row>
    <row r="69" spans="1:26" ht="18.75" hidden="1">
      <c r="A69" s="995"/>
      <c r="B69" s="877"/>
      <c r="C69" s="996"/>
      <c r="D69" s="878" t="s">
        <v>20</v>
      </c>
      <c r="E69" s="877"/>
      <c r="F69" s="877"/>
      <c r="G69" s="879"/>
      <c r="H69" s="161" t="s">
        <v>12</v>
      </c>
      <c r="I69" s="997"/>
      <c r="J69" s="997"/>
      <c r="K69" s="998"/>
      <c r="L69" s="881">
        <f t="shared" ref="L69:N69" ca="1" si="43">L70+L71</f>
        <v>0</v>
      </c>
      <c r="M69" s="881">
        <f t="shared" ca="1" si="43"/>
        <v>0</v>
      </c>
      <c r="N69" s="881">
        <f t="shared" ca="1" si="43"/>
        <v>0</v>
      </c>
      <c r="O69" s="881">
        <f t="shared" ca="1" si="40"/>
        <v>0</v>
      </c>
      <c r="P69" s="881">
        <f t="shared" ca="1" si="41"/>
        <v>0</v>
      </c>
      <c r="Q69" s="868"/>
      <c r="R69" s="868"/>
      <c r="S69" s="868"/>
      <c r="T69" s="868"/>
      <c r="U69" s="868"/>
      <c r="V69" s="868"/>
      <c r="W69" s="868"/>
      <c r="X69" s="868"/>
      <c r="Y69" s="868"/>
      <c r="Z69" s="868"/>
    </row>
    <row r="70" spans="1:26" ht="19.5" hidden="1">
      <c r="A70" s="993"/>
      <c r="B70" s="883"/>
      <c r="C70" s="999"/>
      <c r="D70" s="883"/>
      <c r="E70" s="884" t="s">
        <v>36</v>
      </c>
      <c r="F70" s="883"/>
      <c r="G70" s="994"/>
      <c r="H70" s="165" t="s">
        <v>12</v>
      </c>
      <c r="I70" s="1000"/>
      <c r="J70" s="1000"/>
      <c r="K70" s="1001"/>
      <c r="L70" s="887">
        <v>0</v>
      </c>
      <c r="M70" s="887">
        <v>0</v>
      </c>
      <c r="N70" s="887">
        <v>0</v>
      </c>
      <c r="O70" s="887">
        <f t="shared" si="40"/>
        <v>0</v>
      </c>
      <c r="P70" s="887">
        <f t="shared" si="41"/>
        <v>0</v>
      </c>
      <c r="Q70" s="875"/>
      <c r="R70" s="875"/>
      <c r="S70" s="875"/>
      <c r="T70" s="875"/>
      <c r="U70" s="875"/>
      <c r="V70" s="875"/>
      <c r="W70" s="875"/>
      <c r="X70" s="875"/>
      <c r="Y70" s="875"/>
      <c r="Z70" s="875"/>
    </row>
    <row r="71" spans="1:26" ht="19.5" hidden="1">
      <c r="A71" s="993"/>
      <c r="B71" s="883"/>
      <c r="C71" s="999"/>
      <c r="D71" s="883"/>
      <c r="E71" s="884" t="s">
        <v>37</v>
      </c>
      <c r="F71" s="883"/>
      <c r="G71" s="994"/>
      <c r="H71" s="165" t="s">
        <v>12</v>
      </c>
      <c r="I71" s="1000"/>
      <c r="J71" s="1000"/>
      <c r="K71" s="1001"/>
      <c r="L71" s="887">
        <f ca="1">IFERROR(__xludf.DUMMYFUNCTION("IMPORTRANGE(""https://docs.google.com/spreadsheets/d/1MeEWN-I1oV_STSDYn1IFDPWt_1FKiwhDph83XaGc0o0/edit?usp=sharing"",""งบพรบ!AG78"")"),0)</f>
        <v>0</v>
      </c>
      <c r="M71" s="887">
        <f ca="1">IFERROR(__xludf.DUMMYFUNCTION("IMPORTRANGE(""https://docs.google.com/spreadsheets/d/1MeEWN-I1oV_STSDYn1IFDPWt_1FKiwhDph83XaGc0o0/edit?usp=sharing"",""งบพรบ!AL78"")"),0)</f>
        <v>0</v>
      </c>
      <c r="N71" s="887">
        <f ca="1">IFERROR(__xludf.DUMMYFUNCTION("IMPORTRANGE(""https://docs.google.com/spreadsheets/d/1MeEWN-I1oV_STSDYn1IFDPWt_1FKiwhDph83XaGc0o0/edit?usp=sharing"",""งบพรบ!AN78"")"),0)</f>
        <v>0</v>
      </c>
      <c r="O71" s="887">
        <f t="shared" ca="1" si="40"/>
        <v>0</v>
      </c>
      <c r="P71" s="887">
        <f t="shared" ca="1" si="41"/>
        <v>0</v>
      </c>
      <c r="Q71" s="875"/>
      <c r="R71" s="875"/>
      <c r="S71" s="875"/>
      <c r="T71" s="875"/>
      <c r="U71" s="875"/>
      <c r="V71" s="875"/>
      <c r="W71" s="875"/>
      <c r="X71" s="875"/>
      <c r="Y71" s="875"/>
      <c r="Z71" s="875"/>
    </row>
    <row r="72" spans="1:26" ht="18.75" hidden="1">
      <c r="A72" s="995"/>
      <c r="B72" s="877"/>
      <c r="C72" s="996"/>
      <c r="D72" s="878" t="s">
        <v>21</v>
      </c>
      <c r="E72" s="877"/>
      <c r="F72" s="877"/>
      <c r="G72" s="879"/>
      <c r="H72" s="168" t="s">
        <v>12</v>
      </c>
      <c r="I72" s="997"/>
      <c r="J72" s="997"/>
      <c r="K72" s="998"/>
      <c r="L72" s="881">
        <f t="shared" ref="L72:N72" ca="1" si="44">L73+L74</f>
        <v>0</v>
      </c>
      <c r="M72" s="881">
        <f t="shared" ca="1" si="44"/>
        <v>0</v>
      </c>
      <c r="N72" s="881">
        <f t="shared" ca="1" si="44"/>
        <v>0</v>
      </c>
      <c r="O72" s="881">
        <f t="shared" ca="1" si="40"/>
        <v>0</v>
      </c>
      <c r="P72" s="881">
        <f t="shared" ca="1" si="41"/>
        <v>0</v>
      </c>
      <c r="Q72" s="868"/>
      <c r="R72" s="868"/>
      <c r="S72" s="868"/>
      <c r="T72" s="868"/>
      <c r="U72" s="868"/>
      <c r="V72" s="868"/>
      <c r="W72" s="868"/>
      <c r="X72" s="868"/>
      <c r="Y72" s="868"/>
      <c r="Z72" s="868"/>
    </row>
    <row r="73" spans="1:26" ht="19.5" hidden="1">
      <c r="A73" s="993"/>
      <c r="B73" s="883"/>
      <c r="C73" s="999"/>
      <c r="D73" s="883"/>
      <c r="E73" s="884" t="s">
        <v>18</v>
      </c>
      <c r="F73" s="883"/>
      <c r="G73" s="994"/>
      <c r="H73" s="165" t="s">
        <v>12</v>
      </c>
      <c r="I73" s="1000"/>
      <c r="J73" s="1000"/>
      <c r="K73" s="1001"/>
      <c r="L73" s="887">
        <v>0</v>
      </c>
      <c r="M73" s="887"/>
      <c r="N73" s="887"/>
      <c r="O73" s="887">
        <f t="shared" si="40"/>
        <v>0</v>
      </c>
      <c r="P73" s="887">
        <f t="shared" si="41"/>
        <v>0</v>
      </c>
      <c r="Q73" s="875"/>
      <c r="R73" s="875"/>
      <c r="S73" s="875"/>
      <c r="T73" s="875"/>
      <c r="U73" s="875"/>
      <c r="V73" s="875"/>
      <c r="W73" s="875"/>
      <c r="X73" s="875"/>
      <c r="Y73" s="875"/>
      <c r="Z73" s="875"/>
    </row>
    <row r="74" spans="1:26" ht="19.5" hidden="1">
      <c r="A74" s="993"/>
      <c r="B74" s="883"/>
      <c r="C74" s="999"/>
      <c r="D74" s="883"/>
      <c r="E74" s="884" t="s">
        <v>19</v>
      </c>
      <c r="F74" s="883"/>
      <c r="G74" s="994"/>
      <c r="H74" s="169" t="s">
        <v>12</v>
      </c>
      <c r="I74" s="1000"/>
      <c r="J74" s="1000"/>
      <c r="K74" s="1001"/>
      <c r="L74" s="887">
        <f ca="1">IFERROR(__xludf.DUMMYFUNCTION("IMPORTRANGE(""https://docs.google.com/spreadsheets/d/1MeEWN-I1oV_STSDYn1IFDPWt_1FKiwhDph83XaGc0o0/edit?usp=sharing"",""งบพรบ!AJ78"")"),0)</f>
        <v>0</v>
      </c>
      <c r="M74" s="887">
        <f ca="1">IFERROR(__xludf.DUMMYFUNCTION("IMPORTRANGE(""https://docs.google.com/spreadsheets/d/1MeEWN-I1oV_STSDYn1IFDPWt_1FKiwhDph83XaGc0o0/edit?usp=sharing"",""งบพรบ!AM78"")"),0)</f>
        <v>0</v>
      </c>
      <c r="N74" s="887">
        <f ca="1">IFERROR(__xludf.DUMMYFUNCTION("IMPORTRANGE(""https://docs.google.com/spreadsheets/d/1MeEWN-I1oV_STSDYn1IFDPWt_1FKiwhDph83XaGc0o0/edit?usp=sharing"",""งบพรบ!AO78"")"),0)</f>
        <v>0</v>
      </c>
      <c r="O74" s="887">
        <f t="shared" ca="1" si="40"/>
        <v>0</v>
      </c>
      <c r="P74" s="887">
        <f t="shared" ca="1" si="41"/>
        <v>0</v>
      </c>
      <c r="Q74" s="875"/>
      <c r="R74" s="875"/>
      <c r="S74" s="875"/>
      <c r="T74" s="875"/>
      <c r="U74" s="875"/>
      <c r="V74" s="875"/>
      <c r="W74" s="875"/>
      <c r="X74" s="875"/>
      <c r="Y74" s="875"/>
      <c r="Z74" s="875"/>
    </row>
    <row r="75" spans="1:26" ht="19.5" hidden="1">
      <c r="A75" s="1002"/>
      <c r="B75" s="1003"/>
      <c r="C75" s="999" t="s">
        <v>16</v>
      </c>
      <c r="D75" s="1004" t="s">
        <v>38</v>
      </c>
      <c r="E75" s="1005"/>
      <c r="F75" s="1005"/>
      <c r="G75" s="1006"/>
      <c r="H75" s="1007"/>
      <c r="I75" s="997"/>
      <c r="J75" s="997"/>
      <c r="K75" s="998"/>
      <c r="L75" s="998"/>
      <c r="M75" s="998"/>
      <c r="N75" s="998"/>
      <c r="O75" s="998"/>
      <c r="P75" s="998"/>
    </row>
    <row r="76" spans="1:26" ht="19.5" hidden="1">
      <c r="A76" s="1002"/>
      <c r="B76" s="1003"/>
      <c r="C76" s="1003"/>
      <c r="D76" s="1008" t="s">
        <v>39</v>
      </c>
      <c r="E76" s="1009"/>
      <c r="F76" s="1010"/>
      <c r="G76" s="1011"/>
      <c r="H76" s="180" t="s">
        <v>34</v>
      </c>
      <c r="I76" s="880">
        <f t="shared" ref="I76:J77" ca="1" si="45">I78+I80+I82</f>
        <v>0</v>
      </c>
      <c r="J76" s="880">
        <f t="shared" si="45"/>
        <v>0</v>
      </c>
      <c r="K76" s="998">
        <f t="shared" ref="K76:K84" ca="1" si="46">IF(I76&gt;0,J76*100/I76,0)</f>
        <v>0</v>
      </c>
      <c r="L76" s="998"/>
      <c r="M76" s="998"/>
      <c r="N76" s="998"/>
      <c r="O76" s="998"/>
      <c r="P76" s="998"/>
    </row>
    <row r="77" spans="1:26" ht="19.5" hidden="1">
      <c r="A77" s="1002"/>
      <c r="B77" s="1003"/>
      <c r="C77" s="1003"/>
      <c r="D77" s="1003"/>
      <c r="E77" s="1010"/>
      <c r="F77" s="1010"/>
      <c r="G77" s="1011"/>
      <c r="H77" s="180" t="s">
        <v>35</v>
      </c>
      <c r="I77" s="880">
        <f t="shared" ca="1" si="45"/>
        <v>0</v>
      </c>
      <c r="J77" s="880">
        <f t="shared" si="45"/>
        <v>0</v>
      </c>
      <c r="K77" s="998">
        <f t="shared" ca="1" si="46"/>
        <v>0</v>
      </c>
      <c r="L77" s="998"/>
      <c r="M77" s="998"/>
      <c r="N77" s="998"/>
      <c r="O77" s="998"/>
      <c r="P77" s="998"/>
    </row>
    <row r="78" spans="1:26" ht="18.75" hidden="1">
      <c r="A78" s="1002"/>
      <c r="B78" s="1003"/>
      <c r="C78" s="1003"/>
      <c r="D78" s="1003"/>
      <c r="E78" s="1009" t="s">
        <v>40</v>
      </c>
      <c r="F78" s="1009"/>
      <c r="G78" s="1011"/>
      <c r="H78" s="762" t="s">
        <v>34</v>
      </c>
      <c r="I78" s="997">
        <f ca="1">IFERROR(__xludf.DUMMYFUNCTION("IMPORTRANGE(""https://docs.google.com/spreadsheets/d/1QqKyyYR6Q21VydFLVH3TRQUabQu_ym0Zz7PgGX0-kHA/edit?usp=sharing"",""แผน!H78"")"),0)</f>
        <v>0</v>
      </c>
      <c r="J78" s="1012">
        <v>0</v>
      </c>
      <c r="K78" s="998">
        <f t="shared" ca="1" si="46"/>
        <v>0</v>
      </c>
      <c r="L78" s="998"/>
      <c r="M78" s="998"/>
      <c r="N78" s="998"/>
      <c r="O78" s="998"/>
      <c r="P78" s="998"/>
    </row>
    <row r="79" spans="1:26" ht="18.75" hidden="1">
      <c r="A79" s="1002"/>
      <c r="B79" s="1003"/>
      <c r="C79" s="1003"/>
      <c r="D79" s="1003"/>
      <c r="E79" s="1010"/>
      <c r="F79" s="1010"/>
      <c r="G79" s="1011"/>
      <c r="H79" s="762" t="s">
        <v>35</v>
      </c>
      <c r="I79" s="997">
        <f ca="1">IFERROR(__xludf.DUMMYFUNCTION("IMPORTRANGE(""https://docs.google.com/spreadsheets/d/1QqKyyYR6Q21VydFLVH3TRQUabQu_ym0Zz7PgGX0-kHA/edit?usp=sharing"",""แผน!I78"")"),0)</f>
        <v>0</v>
      </c>
      <c r="J79" s="1012">
        <v>0</v>
      </c>
      <c r="K79" s="998">
        <f t="shared" ca="1" si="46"/>
        <v>0</v>
      </c>
      <c r="L79" s="998"/>
      <c r="M79" s="998"/>
      <c r="N79" s="998"/>
      <c r="O79" s="998"/>
      <c r="P79" s="998"/>
    </row>
    <row r="80" spans="1:26" ht="18.75" hidden="1">
      <c r="A80" s="1002"/>
      <c r="B80" s="1003"/>
      <c r="C80" s="1003"/>
      <c r="D80" s="1003"/>
      <c r="E80" s="1009" t="s">
        <v>41</v>
      </c>
      <c r="F80" s="1009"/>
      <c r="G80" s="1011"/>
      <c r="H80" s="762" t="s">
        <v>34</v>
      </c>
      <c r="I80" s="997">
        <f ca="1">IFERROR(__xludf.DUMMYFUNCTION("IMPORTRANGE(""https://docs.google.com/spreadsheets/d/1QqKyyYR6Q21VydFLVH3TRQUabQu_ym0Zz7PgGX0-kHA/edit?usp=sharing"",""แผน!F78"")"),0)</f>
        <v>0</v>
      </c>
      <c r="J80" s="1012">
        <v>0</v>
      </c>
      <c r="K80" s="998">
        <f t="shared" ca="1" si="46"/>
        <v>0</v>
      </c>
      <c r="L80" s="998"/>
      <c r="M80" s="998"/>
      <c r="N80" s="998"/>
      <c r="O80" s="998"/>
      <c r="P80" s="998"/>
    </row>
    <row r="81" spans="1:26" ht="18.75" hidden="1">
      <c r="A81" s="1002"/>
      <c r="B81" s="1003"/>
      <c r="C81" s="1003"/>
      <c r="D81" s="1003"/>
      <c r="E81" s="1010"/>
      <c r="F81" s="1010"/>
      <c r="G81" s="1011"/>
      <c r="H81" s="762" t="s">
        <v>35</v>
      </c>
      <c r="I81" s="997">
        <f ca="1">IFERROR(__xludf.DUMMYFUNCTION("IMPORTRANGE(""https://docs.google.com/spreadsheets/d/1QqKyyYR6Q21VydFLVH3TRQUabQu_ym0Zz7PgGX0-kHA/edit?usp=sharing"",""แผน!G78"")"),0)</f>
        <v>0</v>
      </c>
      <c r="J81" s="1012">
        <v>0</v>
      </c>
      <c r="K81" s="998">
        <f t="shared" ca="1" si="46"/>
        <v>0</v>
      </c>
      <c r="L81" s="998"/>
      <c r="M81" s="998"/>
      <c r="N81" s="998"/>
      <c r="O81" s="998"/>
      <c r="P81" s="998"/>
    </row>
    <row r="82" spans="1:26" ht="18.75" hidden="1">
      <c r="A82" s="1002"/>
      <c r="B82" s="1003"/>
      <c r="C82" s="1003"/>
      <c r="D82" s="1003"/>
      <c r="E82" s="1009" t="s">
        <v>42</v>
      </c>
      <c r="F82" s="1009"/>
      <c r="G82" s="1011"/>
      <c r="H82" s="762" t="s">
        <v>34</v>
      </c>
      <c r="I82" s="997">
        <f ca="1">IFERROR(__xludf.DUMMYFUNCTION("IMPORTRANGE(""https://docs.google.com/spreadsheets/d/1QqKyyYR6Q21VydFLVH3TRQUabQu_ym0Zz7PgGX0-kHA/edit?usp=sharing"",""แผน!D78"")"),0)</f>
        <v>0</v>
      </c>
      <c r="J82" s="1012">
        <v>0</v>
      </c>
      <c r="K82" s="998">
        <f t="shared" ca="1" si="46"/>
        <v>0</v>
      </c>
      <c r="L82" s="998"/>
      <c r="M82" s="998"/>
      <c r="N82" s="998"/>
      <c r="O82" s="998"/>
      <c r="P82" s="998"/>
    </row>
    <row r="83" spans="1:26" ht="18.75" hidden="1">
      <c r="A83" s="1002"/>
      <c r="B83" s="1003"/>
      <c r="C83" s="1003"/>
      <c r="D83" s="1003"/>
      <c r="E83" s="1010"/>
      <c r="F83" s="1010"/>
      <c r="G83" s="1011"/>
      <c r="H83" s="762" t="s">
        <v>35</v>
      </c>
      <c r="I83" s="997">
        <f ca="1">IFERROR(__xludf.DUMMYFUNCTION("IMPORTRANGE(""https://docs.google.com/spreadsheets/d/1QqKyyYR6Q21VydFLVH3TRQUabQu_ym0Zz7PgGX0-kHA/edit?usp=sharing"",""แผน!E78"")"),0)</f>
        <v>0</v>
      </c>
      <c r="J83" s="1012">
        <v>0</v>
      </c>
      <c r="K83" s="998">
        <f t="shared" ca="1" si="46"/>
        <v>0</v>
      </c>
      <c r="L83" s="998"/>
      <c r="M83" s="998"/>
      <c r="N83" s="998"/>
      <c r="O83" s="998"/>
      <c r="P83" s="998"/>
    </row>
    <row r="84" spans="1:26" ht="18.75" hidden="1">
      <c r="A84" s="1002"/>
      <c r="B84" s="1003"/>
      <c r="C84" s="1003"/>
      <c r="D84" s="1008" t="s">
        <v>43</v>
      </c>
      <c r="E84" s="1009"/>
      <c r="F84" s="1010"/>
      <c r="G84" s="1011"/>
      <c r="H84" s="185" t="s">
        <v>34</v>
      </c>
      <c r="I84" s="997">
        <f ca="1">IFERROR(__xludf.DUMMYFUNCTION("IMPORTRANGE(""https://docs.google.com/spreadsheets/d/1QqKyyYR6Q21VydFLVH3TRQUabQu_ym0Zz7PgGX0-kHA/edit?usp=sharing"",""แผน!J78"")"),0)</f>
        <v>0</v>
      </c>
      <c r="J84" s="1012">
        <v>0</v>
      </c>
      <c r="K84" s="998">
        <f t="shared" ca="1" si="46"/>
        <v>0</v>
      </c>
      <c r="L84" s="998"/>
      <c r="M84" s="998"/>
      <c r="N84" s="998"/>
      <c r="O84" s="998"/>
      <c r="P84" s="998"/>
    </row>
    <row r="85" spans="1:26" ht="19.5">
      <c r="A85" s="970" t="s">
        <v>44</v>
      </c>
      <c r="B85" s="971"/>
      <c r="C85" s="972"/>
      <c r="D85" s="971"/>
      <c r="E85" s="971"/>
      <c r="F85" s="971"/>
      <c r="G85" s="973"/>
      <c r="H85" s="974"/>
      <c r="I85" s="975"/>
      <c r="J85" s="975"/>
      <c r="K85" s="976"/>
      <c r="L85" s="976"/>
      <c r="M85" s="976"/>
      <c r="N85" s="976"/>
      <c r="O85" s="976"/>
      <c r="P85" s="976"/>
    </row>
    <row r="86" spans="1:26" ht="19.5">
      <c r="A86" s="977"/>
      <c r="B86" s="978" t="s">
        <v>45</v>
      </c>
      <c r="C86" s="979"/>
      <c r="D86" s="980"/>
      <c r="E86" s="979"/>
      <c r="F86" s="979"/>
      <c r="G86" s="981"/>
      <c r="H86" s="205" t="s">
        <v>46</v>
      </c>
      <c r="I86" s="982">
        <f t="shared" ref="I86:J87" ca="1" si="47">I98</f>
        <v>30</v>
      </c>
      <c r="J86" s="982">
        <f t="shared" si="47"/>
        <v>30</v>
      </c>
      <c r="K86" s="983">
        <f t="shared" ref="K86:K87" ca="1" si="48">IF(I86&gt;0,J86*100/I86,0)</f>
        <v>100</v>
      </c>
      <c r="L86" s="984"/>
      <c r="M86" s="984"/>
      <c r="N86" s="984"/>
      <c r="O86" s="984"/>
      <c r="P86" s="984"/>
    </row>
    <row r="87" spans="1:26" ht="19.5">
      <c r="A87" s="977"/>
      <c r="B87" s="979"/>
      <c r="C87" s="979"/>
      <c r="D87" s="980"/>
      <c r="E87" s="979"/>
      <c r="F87" s="979"/>
      <c r="G87" s="981"/>
      <c r="H87" s="205" t="s">
        <v>35</v>
      </c>
      <c r="I87" s="982">
        <f t="shared" ca="1" si="47"/>
        <v>10</v>
      </c>
      <c r="J87" s="982">
        <f t="shared" si="47"/>
        <v>10</v>
      </c>
      <c r="K87" s="983">
        <f t="shared" ca="1" si="48"/>
        <v>100</v>
      </c>
      <c r="L87" s="984"/>
      <c r="M87" s="984"/>
      <c r="N87" s="984"/>
      <c r="O87" s="984"/>
      <c r="P87" s="984"/>
    </row>
    <row r="88" spans="1:26" ht="19.5">
      <c r="A88" s="985"/>
      <c r="B88" s="986"/>
      <c r="C88" s="987" t="s">
        <v>16</v>
      </c>
      <c r="D88" s="988" t="s">
        <v>17</v>
      </c>
      <c r="E88" s="986"/>
      <c r="F88" s="986"/>
      <c r="G88" s="989"/>
      <c r="H88" s="152" t="s">
        <v>12</v>
      </c>
      <c r="I88" s="990"/>
      <c r="J88" s="990"/>
      <c r="K88" s="991"/>
      <c r="L88" s="992">
        <f t="shared" ref="L88:N88" ca="1" si="49">L89+L90</f>
        <v>26440</v>
      </c>
      <c r="M88" s="992">
        <f t="shared" ca="1" si="49"/>
        <v>23440</v>
      </c>
      <c r="N88" s="992">
        <f t="shared" ca="1" si="49"/>
        <v>11303</v>
      </c>
      <c r="O88" s="992">
        <f t="shared" ref="O88:O96" ca="1" si="50">IF(L88&gt;0,N88*100/L88,0)</f>
        <v>42.749621785173979</v>
      </c>
      <c r="P88" s="992">
        <f t="shared" ref="P88:P96" ca="1" si="51">IF(M88&gt;0,N88*100/M88,0)</f>
        <v>48.220989761092149</v>
      </c>
      <c r="Q88" s="868"/>
      <c r="R88" s="868"/>
      <c r="S88" s="868"/>
      <c r="T88" s="868"/>
      <c r="U88" s="868"/>
      <c r="V88" s="868"/>
      <c r="W88" s="868"/>
      <c r="X88" s="868"/>
      <c r="Y88" s="868"/>
      <c r="Z88" s="868"/>
    </row>
    <row r="89" spans="1:26" ht="18.75" hidden="1">
      <c r="A89" s="993"/>
      <c r="B89" s="883"/>
      <c r="C89" s="883"/>
      <c r="D89" s="883"/>
      <c r="E89" s="884" t="s">
        <v>18</v>
      </c>
      <c r="F89" s="883"/>
      <c r="G89" s="994"/>
      <c r="H89" s="158" t="s">
        <v>12</v>
      </c>
      <c r="I89" s="886"/>
      <c r="J89" s="886"/>
      <c r="K89" s="887"/>
      <c r="L89" s="887">
        <f t="shared" ref="L89:N90" si="52">L92+L95</f>
        <v>0</v>
      </c>
      <c r="M89" s="887">
        <f t="shared" si="52"/>
        <v>0</v>
      </c>
      <c r="N89" s="887">
        <f t="shared" si="52"/>
        <v>0</v>
      </c>
      <c r="O89" s="887">
        <f t="shared" si="50"/>
        <v>0</v>
      </c>
      <c r="P89" s="887">
        <f t="shared" si="51"/>
        <v>0</v>
      </c>
      <c r="Q89" s="875"/>
      <c r="R89" s="875"/>
      <c r="S89" s="875"/>
      <c r="T89" s="875"/>
      <c r="U89" s="875"/>
      <c r="V89" s="875"/>
      <c r="W89" s="875"/>
      <c r="X89" s="875"/>
      <c r="Y89" s="875"/>
      <c r="Z89" s="875"/>
    </row>
    <row r="90" spans="1:26" ht="18.75" hidden="1">
      <c r="A90" s="993"/>
      <c r="B90" s="883"/>
      <c r="C90" s="883"/>
      <c r="D90" s="883"/>
      <c r="E90" s="884" t="s">
        <v>19</v>
      </c>
      <c r="F90" s="883"/>
      <c r="G90" s="994"/>
      <c r="H90" s="158" t="s">
        <v>12</v>
      </c>
      <c r="I90" s="886"/>
      <c r="J90" s="886"/>
      <c r="K90" s="887"/>
      <c r="L90" s="887">
        <f t="shared" ca="1" si="52"/>
        <v>26440</v>
      </c>
      <c r="M90" s="887">
        <f t="shared" ca="1" si="52"/>
        <v>23440</v>
      </c>
      <c r="N90" s="887">
        <f t="shared" ca="1" si="52"/>
        <v>11303</v>
      </c>
      <c r="O90" s="887">
        <f t="shared" ca="1" si="50"/>
        <v>42.749621785173979</v>
      </c>
      <c r="P90" s="887">
        <f t="shared" ca="1" si="51"/>
        <v>48.220989761092149</v>
      </c>
      <c r="Q90" s="875"/>
      <c r="R90" s="875"/>
      <c r="S90" s="875"/>
      <c r="T90" s="875"/>
      <c r="U90" s="875"/>
      <c r="V90" s="875"/>
      <c r="W90" s="875"/>
      <c r="X90" s="875"/>
      <c r="Y90" s="875"/>
      <c r="Z90" s="875"/>
    </row>
    <row r="91" spans="1:26" ht="18.75">
      <c r="A91" s="995"/>
      <c r="B91" s="877"/>
      <c r="C91" s="996"/>
      <c r="D91" s="878" t="s">
        <v>20</v>
      </c>
      <c r="E91" s="877"/>
      <c r="F91" s="877"/>
      <c r="G91" s="879"/>
      <c r="H91" s="161" t="s">
        <v>12</v>
      </c>
      <c r="I91" s="997"/>
      <c r="J91" s="997"/>
      <c r="K91" s="998"/>
      <c r="L91" s="881">
        <f t="shared" ref="L91:N91" ca="1" si="53">L92+L93</f>
        <v>26440</v>
      </c>
      <c r="M91" s="881">
        <f t="shared" ca="1" si="53"/>
        <v>23440</v>
      </c>
      <c r="N91" s="881">
        <f t="shared" ca="1" si="53"/>
        <v>11303</v>
      </c>
      <c r="O91" s="881">
        <f t="shared" ca="1" si="50"/>
        <v>42.749621785173979</v>
      </c>
      <c r="P91" s="881">
        <f t="shared" ca="1" si="51"/>
        <v>48.220989761092149</v>
      </c>
      <c r="Q91" s="868"/>
      <c r="R91" s="868"/>
      <c r="S91" s="868"/>
      <c r="T91" s="868"/>
      <c r="U91" s="868"/>
      <c r="V91" s="868"/>
      <c r="W91" s="868"/>
      <c r="X91" s="868"/>
      <c r="Y91" s="868"/>
      <c r="Z91" s="868"/>
    </row>
    <row r="92" spans="1:26" ht="19.5" hidden="1">
      <c r="A92" s="993"/>
      <c r="B92" s="883"/>
      <c r="C92" s="999"/>
      <c r="D92" s="883"/>
      <c r="E92" s="884" t="s">
        <v>36</v>
      </c>
      <c r="F92" s="883"/>
      <c r="G92" s="994"/>
      <c r="H92" s="165" t="s">
        <v>12</v>
      </c>
      <c r="I92" s="1000"/>
      <c r="J92" s="1000"/>
      <c r="K92" s="1001"/>
      <c r="L92" s="887">
        <v>0</v>
      </c>
      <c r="M92" s="887">
        <v>0</v>
      </c>
      <c r="N92" s="887">
        <v>0</v>
      </c>
      <c r="O92" s="887">
        <f t="shared" si="50"/>
        <v>0</v>
      </c>
      <c r="P92" s="887">
        <f t="shared" si="51"/>
        <v>0</v>
      </c>
      <c r="Q92" s="875"/>
      <c r="R92" s="875"/>
      <c r="S92" s="875"/>
      <c r="T92" s="875"/>
      <c r="U92" s="875"/>
      <c r="V92" s="875"/>
      <c r="W92" s="875"/>
      <c r="X92" s="875"/>
      <c r="Y92" s="875"/>
      <c r="Z92" s="875"/>
    </row>
    <row r="93" spans="1:26" ht="19.5" hidden="1">
      <c r="A93" s="993"/>
      <c r="B93" s="883"/>
      <c r="C93" s="999"/>
      <c r="D93" s="883"/>
      <c r="E93" s="884" t="s">
        <v>37</v>
      </c>
      <c r="F93" s="883"/>
      <c r="G93" s="994"/>
      <c r="H93" s="165" t="s">
        <v>12</v>
      </c>
      <c r="I93" s="1000"/>
      <c r="J93" s="1000"/>
      <c r="K93" s="1001"/>
      <c r="L93" s="887">
        <f ca="1">IFERROR(__xludf.DUMMYFUNCTION("IMPORTRANGE(""https://docs.google.com/spreadsheets/d/1MeEWN-I1oV_STSDYn1IFDPWt_1FKiwhDph83XaGc0o0/edit?usp=sharing"",""งบพรบ!AQ78"")"),26440)</f>
        <v>26440</v>
      </c>
      <c r="M93" s="887">
        <f ca="1">IFERROR(__xludf.DUMMYFUNCTION("IMPORTRANGE(""https://docs.google.com/spreadsheets/d/1MeEWN-I1oV_STSDYn1IFDPWt_1FKiwhDph83XaGc0o0/edit?usp=sharing"",""งบพรบ!AV78"")"),23440)</f>
        <v>23440</v>
      </c>
      <c r="N93" s="887">
        <f ca="1">IFERROR(__xludf.DUMMYFUNCTION("IMPORTRANGE(""https://docs.google.com/spreadsheets/d/1MeEWN-I1oV_STSDYn1IFDPWt_1FKiwhDph83XaGc0o0/edit?usp=sharing"",""งบพรบ!AX78"")"),11303)</f>
        <v>11303</v>
      </c>
      <c r="O93" s="887">
        <f t="shared" ca="1" si="50"/>
        <v>42.749621785173979</v>
      </c>
      <c r="P93" s="887">
        <f t="shared" ca="1" si="51"/>
        <v>48.220989761092149</v>
      </c>
      <c r="Q93" s="875"/>
      <c r="R93" s="875"/>
      <c r="S93" s="875"/>
      <c r="T93" s="875"/>
      <c r="U93" s="875"/>
      <c r="V93" s="875"/>
      <c r="W93" s="875"/>
      <c r="X93" s="875"/>
      <c r="Y93" s="875"/>
      <c r="Z93" s="875"/>
    </row>
    <row r="94" spans="1:26" ht="18.75">
      <c r="A94" s="995"/>
      <c r="B94" s="877"/>
      <c r="C94" s="996"/>
      <c r="D94" s="878" t="s">
        <v>21</v>
      </c>
      <c r="E94" s="877"/>
      <c r="F94" s="877"/>
      <c r="G94" s="879"/>
      <c r="H94" s="168" t="s">
        <v>12</v>
      </c>
      <c r="I94" s="997"/>
      <c r="J94" s="997"/>
      <c r="K94" s="998"/>
      <c r="L94" s="881">
        <f t="shared" ref="L94:N94" ca="1" si="54">L95+L96</f>
        <v>0</v>
      </c>
      <c r="M94" s="881">
        <f t="shared" ca="1" si="54"/>
        <v>0</v>
      </c>
      <c r="N94" s="881">
        <f t="shared" ca="1" si="54"/>
        <v>0</v>
      </c>
      <c r="O94" s="881">
        <f t="shared" ca="1" si="50"/>
        <v>0</v>
      </c>
      <c r="P94" s="881">
        <f t="shared" ca="1" si="51"/>
        <v>0</v>
      </c>
      <c r="Q94" s="868"/>
      <c r="R94" s="868"/>
      <c r="S94" s="868"/>
      <c r="T94" s="868"/>
      <c r="U94" s="868"/>
      <c r="V94" s="868"/>
      <c r="W94" s="868"/>
      <c r="X94" s="868"/>
      <c r="Y94" s="868"/>
      <c r="Z94" s="868"/>
    </row>
    <row r="95" spans="1:26" ht="19.5" hidden="1">
      <c r="A95" s="993"/>
      <c r="B95" s="883"/>
      <c r="C95" s="999"/>
      <c r="D95" s="883"/>
      <c r="E95" s="884" t="s">
        <v>18</v>
      </c>
      <c r="F95" s="883"/>
      <c r="G95" s="994"/>
      <c r="H95" s="165" t="s">
        <v>12</v>
      </c>
      <c r="I95" s="1000"/>
      <c r="J95" s="1000"/>
      <c r="K95" s="1001"/>
      <c r="L95" s="887">
        <v>0</v>
      </c>
      <c r="M95" s="887">
        <v>0</v>
      </c>
      <c r="N95" s="887">
        <v>0</v>
      </c>
      <c r="O95" s="887">
        <f t="shared" si="50"/>
        <v>0</v>
      </c>
      <c r="P95" s="887">
        <f t="shared" si="51"/>
        <v>0</v>
      </c>
      <c r="Q95" s="875"/>
      <c r="R95" s="875"/>
      <c r="S95" s="875"/>
      <c r="T95" s="875"/>
      <c r="U95" s="875"/>
      <c r="V95" s="875"/>
      <c r="W95" s="875"/>
      <c r="X95" s="875"/>
      <c r="Y95" s="875"/>
      <c r="Z95" s="875"/>
    </row>
    <row r="96" spans="1:26" ht="19.5" hidden="1">
      <c r="A96" s="993"/>
      <c r="B96" s="883"/>
      <c r="C96" s="999"/>
      <c r="D96" s="883"/>
      <c r="E96" s="884" t="s">
        <v>19</v>
      </c>
      <c r="F96" s="883"/>
      <c r="G96" s="994"/>
      <c r="H96" s="169" t="s">
        <v>12</v>
      </c>
      <c r="I96" s="1000"/>
      <c r="J96" s="1000"/>
      <c r="K96" s="1001"/>
      <c r="L96" s="887">
        <f ca="1">IFERROR(__xludf.DUMMYFUNCTION("IMPORTRANGE(""https://docs.google.com/spreadsheets/d/1MeEWN-I1oV_STSDYn1IFDPWt_1FKiwhDph83XaGc0o0/edit?usp=sharing"",""งบพรบ!AT78"")"),0)</f>
        <v>0</v>
      </c>
      <c r="M96" s="887">
        <f ca="1">IFERROR(__xludf.DUMMYFUNCTION("IMPORTRANGE(""https://docs.google.com/spreadsheets/d/1MeEWN-I1oV_STSDYn1IFDPWt_1FKiwhDph83XaGc0o0/edit?usp=sharing"",""งบพรบ!AW78"")"),0)</f>
        <v>0</v>
      </c>
      <c r="N96" s="887">
        <f ca="1">IFERROR(__xludf.DUMMYFUNCTION("IMPORTRANGE(""https://docs.google.com/spreadsheets/d/1MeEWN-I1oV_STSDYn1IFDPWt_1FKiwhDph83XaGc0o0/edit?usp=sharing"",""งบพรบ!AY78"")"),0)</f>
        <v>0</v>
      </c>
      <c r="O96" s="887">
        <f t="shared" ca="1" si="50"/>
        <v>0</v>
      </c>
      <c r="P96" s="887">
        <f t="shared" ca="1" si="51"/>
        <v>0</v>
      </c>
      <c r="Q96" s="875"/>
      <c r="R96" s="875"/>
      <c r="S96" s="875"/>
      <c r="T96" s="875"/>
      <c r="U96" s="875"/>
      <c r="V96" s="875"/>
      <c r="W96" s="875"/>
      <c r="X96" s="875"/>
      <c r="Y96" s="875"/>
      <c r="Z96" s="875"/>
    </row>
    <row r="97" spans="1:16" ht="19.5">
      <c r="A97" s="1002"/>
      <c r="B97" s="1003"/>
      <c r="C97" s="999" t="s">
        <v>16</v>
      </c>
      <c r="D97" s="1004" t="s">
        <v>38</v>
      </c>
      <c r="E97" s="1005"/>
      <c r="F97" s="1005"/>
      <c r="G97" s="1006"/>
      <c r="H97" s="1007"/>
      <c r="I97" s="997"/>
      <c r="J97" s="880"/>
      <c r="K97" s="881"/>
      <c r="L97" s="881"/>
      <c r="M97" s="881"/>
      <c r="N97" s="881"/>
      <c r="O97" s="998"/>
      <c r="P97" s="998"/>
    </row>
    <row r="98" spans="1:16" ht="18.75">
      <c r="A98" s="1002"/>
      <c r="B98" s="1003"/>
      <c r="C98" s="1003"/>
      <c r="D98" s="1009" t="s">
        <v>47</v>
      </c>
      <c r="E98" s="1009"/>
      <c r="F98" s="1010"/>
      <c r="G98" s="1011"/>
      <c r="H98" s="622" t="s">
        <v>46</v>
      </c>
      <c r="I98" s="880">
        <f ca="1">IFERROR(__xludf.DUMMYFUNCTION("IMPORTRANGE(""https://docs.google.com/spreadsheets/d/1QqKyyYR6Q21VydFLVH3TRQUabQu_ym0Zz7PgGX0-kHA/edit?usp=sharing"",""แผน!K78"")"),30)</f>
        <v>30</v>
      </c>
      <c r="J98" s="880">
        <f>J102</f>
        <v>30</v>
      </c>
      <c r="K98" s="881">
        <f t="shared" ref="K98:K100" ca="1" si="55">IF(I98&gt;0,J98*100/I98,0)</f>
        <v>100</v>
      </c>
      <c r="L98" s="881"/>
      <c r="M98" s="881"/>
      <c r="N98" s="881"/>
      <c r="O98" s="998"/>
      <c r="P98" s="998"/>
    </row>
    <row r="99" spans="1:16" ht="18.75">
      <c r="A99" s="1002"/>
      <c r="B99" s="1003"/>
      <c r="C99" s="1003"/>
      <c r="D99" s="1009" t="s">
        <v>48</v>
      </c>
      <c r="E99" s="1009"/>
      <c r="F99" s="1010"/>
      <c r="G99" s="1011"/>
      <c r="H99" s="622" t="s">
        <v>35</v>
      </c>
      <c r="I99" s="880">
        <f ca="1">IFERROR(__xludf.DUMMYFUNCTION("IMPORTRANGE(""https://docs.google.com/spreadsheets/d/1QqKyyYR6Q21VydFLVH3TRQUabQu_ym0Zz7PgGX0-kHA/edit?usp=sharing"",""แผน!L78"")"),10)</f>
        <v>10</v>
      </c>
      <c r="J99" s="880">
        <f>J104</f>
        <v>10</v>
      </c>
      <c r="K99" s="881">
        <f t="shared" ca="1" si="55"/>
        <v>100</v>
      </c>
      <c r="L99" s="881"/>
      <c r="M99" s="881"/>
      <c r="N99" s="881"/>
      <c r="O99" s="998"/>
      <c r="P99" s="998"/>
    </row>
    <row r="100" spans="1:16" ht="18.75">
      <c r="A100" s="1002"/>
      <c r="B100" s="1003"/>
      <c r="C100" s="1003"/>
      <c r="D100" s="1003"/>
      <c r="E100" s="1010"/>
      <c r="F100" s="1010"/>
      <c r="G100" s="1011"/>
      <c r="H100" s="622" t="s">
        <v>49</v>
      </c>
      <c r="I100" s="880">
        <f ca="1">IFERROR(__xludf.DUMMYFUNCTION("IMPORTRANGE(""https://docs.google.com/spreadsheets/d/1QqKyyYR6Q21VydFLVH3TRQUabQu_ym0Zz7PgGX0-kHA/edit?usp=sharing"",""แผน!M78"")"),0)</f>
        <v>0</v>
      </c>
      <c r="J100" s="880">
        <f>J107+J110</f>
        <v>0</v>
      </c>
      <c r="K100" s="881">
        <f t="shared" ca="1" si="55"/>
        <v>0</v>
      </c>
      <c r="L100" s="881"/>
      <c r="M100" s="881"/>
      <c r="N100" s="881"/>
      <c r="O100" s="998"/>
      <c r="P100" s="998"/>
    </row>
    <row r="101" spans="1:16" ht="19.5">
      <c r="A101" s="1002"/>
      <c r="B101" s="1003"/>
      <c r="C101" s="1003"/>
      <c r="D101" s="1010"/>
      <c r="E101" s="1013" t="s">
        <v>50</v>
      </c>
      <c r="F101" s="1010"/>
      <c r="G101" s="1011"/>
      <c r="H101" s="622"/>
      <c r="I101" s="880"/>
      <c r="J101" s="880"/>
      <c r="K101" s="881"/>
      <c r="L101" s="881"/>
      <c r="M101" s="881"/>
      <c r="N101" s="881"/>
      <c r="O101" s="998"/>
      <c r="P101" s="998"/>
    </row>
    <row r="102" spans="1:16" ht="18.75">
      <c r="A102" s="1002"/>
      <c r="B102" s="1003"/>
      <c r="C102" s="1003"/>
      <c r="D102" s="1010"/>
      <c r="E102" s="1014" t="s">
        <v>47</v>
      </c>
      <c r="F102" s="1010"/>
      <c r="G102" s="1011"/>
      <c r="H102" s="622" t="s">
        <v>46</v>
      </c>
      <c r="I102" s="880">
        <f ca="1">IFERROR(__xludf.DUMMYFUNCTION("IMPORTRANGE(""https://docs.google.com/spreadsheets/d/1QqKyyYR6Q21VydFLVH3TRQUabQu_ym0Zz7PgGX0-kHA/edit?usp=sharing"",""แผน!N78"")"),30)</f>
        <v>30</v>
      </c>
      <c r="J102" s="1012">
        <v>30</v>
      </c>
      <c r="K102" s="881">
        <f t="shared" ref="K102:K104" ca="1" si="56">IF(I102&gt;0,J102*100/I102,0)</f>
        <v>100</v>
      </c>
      <c r="L102" s="881"/>
      <c r="M102" s="881"/>
      <c r="N102" s="881"/>
      <c r="O102" s="998"/>
      <c r="P102" s="998"/>
    </row>
    <row r="103" spans="1:16" ht="19.5">
      <c r="A103" s="1002"/>
      <c r="B103" s="1003"/>
      <c r="C103" s="1003"/>
      <c r="D103" s="1010"/>
      <c r="E103" s="1009" t="s">
        <v>51</v>
      </c>
      <c r="F103" s="1010"/>
      <c r="G103" s="1011"/>
      <c r="H103" s="622" t="s">
        <v>35</v>
      </c>
      <c r="I103" s="880">
        <f ca="1">IFERROR(__xludf.DUMMYFUNCTION("IMPORTRANGE(""https://docs.google.com/spreadsheets/d/1QqKyyYR6Q21VydFLVH3TRQUabQu_ym0Zz7PgGX0-kHA/edit?usp=sharing"",""แผน!O78"")"),10)</f>
        <v>10</v>
      </c>
      <c r="J103" s="1012">
        <v>10</v>
      </c>
      <c r="K103" s="881">
        <f t="shared" ca="1" si="56"/>
        <v>100</v>
      </c>
      <c r="L103" s="881"/>
      <c r="M103" s="881"/>
      <c r="N103" s="881"/>
      <c r="O103" s="998"/>
      <c r="P103" s="998"/>
    </row>
    <row r="104" spans="1:16" ht="18.75">
      <c r="A104" s="1002"/>
      <c r="B104" s="1003"/>
      <c r="C104" s="1003"/>
      <c r="D104" s="1010"/>
      <c r="E104" s="1015" t="s">
        <v>52</v>
      </c>
      <c r="F104" s="1010"/>
      <c r="G104" s="1011"/>
      <c r="H104" s="622" t="s">
        <v>35</v>
      </c>
      <c r="I104" s="880">
        <f ca="1">IFERROR(__xludf.DUMMYFUNCTION("IMPORTRANGE(""https://docs.google.com/spreadsheets/d/1QqKyyYR6Q21VydFLVH3TRQUabQu_ym0Zz7PgGX0-kHA/edit?usp=sharing"",""แผน!O78"")"),10)</f>
        <v>10</v>
      </c>
      <c r="J104" s="1012">
        <v>10</v>
      </c>
      <c r="K104" s="881">
        <f t="shared" ca="1" si="56"/>
        <v>100</v>
      </c>
      <c r="L104" s="881"/>
      <c r="M104" s="881"/>
      <c r="N104" s="881"/>
      <c r="O104" s="998"/>
      <c r="P104" s="998"/>
    </row>
    <row r="105" spans="1:16" ht="19.5">
      <c r="A105" s="1002"/>
      <c r="B105" s="1003"/>
      <c r="C105" s="1003"/>
      <c r="D105" s="1010"/>
      <c r="E105" s="1013" t="s">
        <v>53</v>
      </c>
      <c r="F105" s="1010"/>
      <c r="G105" s="1011"/>
      <c r="H105" s="1016"/>
      <c r="I105" s="880"/>
      <c r="J105" s="880"/>
      <c r="K105" s="881"/>
      <c r="L105" s="881"/>
      <c r="M105" s="881"/>
      <c r="N105" s="881"/>
      <c r="O105" s="998"/>
      <c r="P105" s="998"/>
    </row>
    <row r="106" spans="1:16" ht="19.5">
      <c r="A106" s="1002"/>
      <c r="B106" s="1003"/>
      <c r="C106" s="1003"/>
      <c r="D106" s="1010"/>
      <c r="E106" s="1009" t="s">
        <v>54</v>
      </c>
      <c r="F106" s="1010"/>
      <c r="G106" s="1011"/>
      <c r="H106" s="622" t="s">
        <v>49</v>
      </c>
      <c r="I106" s="880">
        <f ca="1">IFERROR(__xludf.DUMMYFUNCTION("IMPORTRANGE(""https://docs.google.com/spreadsheets/d/1QqKyyYR6Q21VydFLVH3TRQUabQu_ym0Zz7PgGX0-kHA/edit?usp=sharing"",""แผน!P78"")"),0)</f>
        <v>0</v>
      </c>
      <c r="J106" s="1012">
        <v>0</v>
      </c>
      <c r="K106" s="881">
        <f t="shared" ref="K106:K107" ca="1" si="57">IF(I106&gt;0,J106*100/I106,0)</f>
        <v>0</v>
      </c>
      <c r="L106" s="881"/>
      <c r="M106" s="881"/>
      <c r="N106" s="881"/>
      <c r="O106" s="998"/>
      <c r="P106" s="998"/>
    </row>
    <row r="107" spans="1:16" ht="18.75">
      <c r="A107" s="1002"/>
      <c r="B107" s="1003"/>
      <c r="C107" s="1003"/>
      <c r="D107" s="1010"/>
      <c r="E107" s="1015" t="s">
        <v>55</v>
      </c>
      <c r="F107" s="1010"/>
      <c r="G107" s="1011"/>
      <c r="H107" s="622" t="s">
        <v>49</v>
      </c>
      <c r="I107" s="880">
        <f ca="1">IFERROR(__xludf.DUMMYFUNCTION("IMPORTRANGE(""https://docs.google.com/spreadsheets/d/1QqKyyYR6Q21VydFLVH3TRQUabQu_ym0Zz7PgGX0-kHA/edit?usp=sharing"",""แผน!P78"")"),0)</f>
        <v>0</v>
      </c>
      <c r="J107" s="1012">
        <v>0</v>
      </c>
      <c r="K107" s="881">
        <f t="shared" ca="1" si="57"/>
        <v>0</v>
      </c>
      <c r="L107" s="881"/>
      <c r="M107" s="881"/>
      <c r="N107" s="881"/>
      <c r="O107" s="998"/>
      <c r="P107" s="998"/>
    </row>
    <row r="108" spans="1:16" ht="19.5">
      <c r="A108" s="1002"/>
      <c r="B108" s="1003"/>
      <c r="C108" s="1003"/>
      <c r="D108" s="1010"/>
      <c r="E108" s="1013" t="s">
        <v>56</v>
      </c>
      <c r="F108" s="1010"/>
      <c r="G108" s="1011"/>
      <c r="H108" s="1016"/>
      <c r="I108" s="880"/>
      <c r="J108" s="880"/>
      <c r="K108" s="881"/>
      <c r="L108" s="881"/>
      <c r="M108" s="881"/>
      <c r="N108" s="881"/>
      <c r="O108" s="998"/>
      <c r="P108" s="998"/>
    </row>
    <row r="109" spans="1:16" ht="19.5">
      <c r="A109" s="1002"/>
      <c r="B109" s="1003"/>
      <c r="C109" s="1003"/>
      <c r="D109" s="1010"/>
      <c r="E109" s="1009" t="s">
        <v>57</v>
      </c>
      <c r="F109" s="1010"/>
      <c r="G109" s="1011"/>
      <c r="H109" s="622" t="s">
        <v>49</v>
      </c>
      <c r="I109" s="880">
        <f ca="1">IFERROR(__xludf.DUMMYFUNCTION("IMPORTRANGE(""https://docs.google.com/spreadsheets/d/1QqKyyYR6Q21VydFLVH3TRQUabQu_ym0Zz7PgGX0-kHA/edit?usp=sharing"",""แผน!Q78"")"),0)</f>
        <v>0</v>
      </c>
      <c r="J109" s="1012">
        <v>0</v>
      </c>
      <c r="K109" s="881">
        <f t="shared" ref="K109:K116" ca="1" si="58">IF(I109&gt;0,J109*100/I109,0)</f>
        <v>0</v>
      </c>
      <c r="L109" s="881"/>
      <c r="M109" s="881"/>
      <c r="N109" s="881"/>
      <c r="O109" s="998"/>
      <c r="P109" s="998"/>
    </row>
    <row r="110" spans="1:16" ht="18.75">
      <c r="A110" s="1002"/>
      <c r="B110" s="1003"/>
      <c r="C110" s="1003"/>
      <c r="D110" s="1010"/>
      <c r="E110" s="1017" t="s">
        <v>58</v>
      </c>
      <c r="F110" s="1010"/>
      <c r="G110" s="1011"/>
      <c r="H110" s="622" t="s">
        <v>49</v>
      </c>
      <c r="I110" s="880">
        <f ca="1">IFERROR(__xludf.DUMMYFUNCTION("IMPORTRANGE(""https://docs.google.com/spreadsheets/d/1QqKyyYR6Q21VydFLVH3TRQUabQu_ym0Zz7PgGX0-kHA/edit?usp=sharing"",""แผน!Q78"")"),0)</f>
        <v>0</v>
      </c>
      <c r="J110" s="1012">
        <v>0</v>
      </c>
      <c r="K110" s="881">
        <f t="shared" ca="1" si="58"/>
        <v>0</v>
      </c>
      <c r="L110" s="881"/>
      <c r="M110" s="881"/>
      <c r="N110" s="881"/>
      <c r="O110" s="998"/>
      <c r="P110" s="998"/>
    </row>
    <row r="111" spans="1:16" ht="19.5">
      <c r="A111" s="1002"/>
      <c r="B111" s="1003"/>
      <c r="C111" s="1003"/>
      <c r="D111" s="1013" t="s">
        <v>59</v>
      </c>
      <c r="E111" s="1013"/>
      <c r="F111" s="1010"/>
      <c r="G111" s="1011"/>
      <c r="H111" s="765" t="s">
        <v>35</v>
      </c>
      <c r="I111" s="1018">
        <f ca="1">IFERROR(__xludf.DUMMYFUNCTION("IMPORTRANGE(""https://docs.google.com/spreadsheets/d/1QqKyyYR6Q21VydFLVH3TRQUabQu_ym0Zz7PgGX0-kHA/edit?usp=sharing"",""แผน!R78"")"),10)</f>
        <v>10</v>
      </c>
      <c r="J111" s="1019">
        <f>J114</f>
        <v>0</v>
      </c>
      <c r="K111" s="1020">
        <f t="shared" ca="1" si="58"/>
        <v>0</v>
      </c>
      <c r="L111" s="881"/>
      <c r="M111" s="881"/>
      <c r="N111" s="881"/>
      <c r="O111" s="998"/>
      <c r="P111" s="998"/>
    </row>
    <row r="112" spans="1:16" ht="19.5">
      <c r="A112" s="1002"/>
      <c r="B112" s="1003"/>
      <c r="C112" s="1003"/>
      <c r="D112" s="1003"/>
      <c r="E112" s="1010"/>
      <c r="F112" s="1010"/>
      <c r="G112" s="1011"/>
      <c r="H112" s="196" t="s">
        <v>49</v>
      </c>
      <c r="I112" s="1018">
        <f t="shared" ref="I112:J112" ca="1" si="59">I115+I116</f>
        <v>0</v>
      </c>
      <c r="J112" s="1019">
        <f t="shared" si="59"/>
        <v>0</v>
      </c>
      <c r="K112" s="1020">
        <f t="shared" ca="1" si="58"/>
        <v>0</v>
      </c>
      <c r="L112" s="881"/>
      <c r="M112" s="881"/>
      <c r="N112" s="881"/>
      <c r="O112" s="998"/>
      <c r="P112" s="998"/>
    </row>
    <row r="113" spans="1:26" ht="19.5">
      <c r="A113" s="1002"/>
      <c r="B113" s="1003"/>
      <c r="C113" s="1003"/>
      <c r="D113" s="1003"/>
      <c r="E113" s="1021" t="s">
        <v>60</v>
      </c>
      <c r="F113" s="1010"/>
      <c r="G113" s="1011"/>
      <c r="H113" s="198" t="s">
        <v>35</v>
      </c>
      <c r="I113" s="997">
        <f ca="1">IFERROR(__xludf.DUMMYFUNCTION("IMPORTRANGE(""https://docs.google.com/spreadsheets/d/1QqKyyYR6Q21VydFLVH3TRQUabQu_ym0Zz7PgGX0-kHA/edit?usp=sharing"",""แผน!R78"")"),10)</f>
        <v>10</v>
      </c>
      <c r="J113" s="1012">
        <v>0</v>
      </c>
      <c r="K113" s="881">
        <f t="shared" ca="1" si="58"/>
        <v>0</v>
      </c>
      <c r="L113" s="881"/>
      <c r="M113" s="881"/>
      <c r="N113" s="881"/>
      <c r="O113" s="998"/>
      <c r="P113" s="998"/>
    </row>
    <row r="114" spans="1:26" ht="19.5">
      <c r="A114" s="1002"/>
      <c r="B114" s="1003"/>
      <c r="C114" s="1003"/>
      <c r="D114" s="1003"/>
      <c r="E114" s="1009" t="s">
        <v>61</v>
      </c>
      <c r="F114" s="1010"/>
      <c r="G114" s="1011"/>
      <c r="H114" s="199" t="s">
        <v>35</v>
      </c>
      <c r="I114" s="997">
        <f ca="1">IFERROR(__xludf.DUMMYFUNCTION("IMPORTRANGE(""https://docs.google.com/spreadsheets/d/1QqKyyYR6Q21VydFLVH3TRQUabQu_ym0Zz7PgGX0-kHA/edit?usp=sharing"",""แผน!R78"")"),10)</f>
        <v>10</v>
      </c>
      <c r="J114" s="1012">
        <v>0</v>
      </c>
      <c r="K114" s="881">
        <f t="shared" ca="1" si="58"/>
        <v>0</v>
      </c>
      <c r="L114" s="881"/>
      <c r="M114" s="881"/>
      <c r="N114" s="881"/>
      <c r="O114" s="998"/>
      <c r="P114" s="998"/>
    </row>
    <row r="115" spans="1:26" ht="18.75">
      <c r="A115" s="1002"/>
      <c r="B115" s="1003"/>
      <c r="C115" s="1003"/>
      <c r="D115" s="1003"/>
      <c r="E115" s="1009" t="s">
        <v>62</v>
      </c>
      <c r="F115" s="1010"/>
      <c r="G115" s="1011"/>
      <c r="H115" s="199" t="s">
        <v>49</v>
      </c>
      <c r="I115" s="997">
        <f ca="1">IFERROR(__xludf.DUMMYFUNCTION("IMPORTRANGE(""https://docs.google.com/spreadsheets/d/1QqKyyYR6Q21VydFLVH3TRQUabQu_ym0Zz7PgGX0-kHA/edit?usp=sharing"",""แผน!S78"")"),0)</f>
        <v>0</v>
      </c>
      <c r="J115" s="1012">
        <v>0</v>
      </c>
      <c r="K115" s="881">
        <f t="shared" ca="1" si="58"/>
        <v>0</v>
      </c>
      <c r="L115" s="881"/>
      <c r="M115" s="881"/>
      <c r="N115" s="881"/>
      <c r="O115" s="998"/>
      <c r="P115" s="998"/>
    </row>
    <row r="116" spans="1:26" ht="18.75">
      <c r="A116" s="1002"/>
      <c r="B116" s="1003"/>
      <c r="C116" s="1003"/>
      <c r="D116" s="1003"/>
      <c r="E116" s="1009" t="s">
        <v>63</v>
      </c>
      <c r="F116" s="1010"/>
      <c r="G116" s="1011"/>
      <c r="H116" s="199" t="s">
        <v>49</v>
      </c>
      <c r="I116" s="997">
        <f ca="1">IFERROR(__xludf.DUMMYFUNCTION("IMPORTRANGE(""https://docs.google.com/spreadsheets/d/1QqKyyYR6Q21VydFLVH3TRQUabQu_ym0Zz7PgGX0-kHA/edit?usp=sharing"",""แผน!T78"")"),0)</f>
        <v>0</v>
      </c>
      <c r="J116" s="1012">
        <v>0</v>
      </c>
      <c r="K116" s="881">
        <f t="shared" ca="1" si="58"/>
        <v>0</v>
      </c>
      <c r="L116" s="881"/>
      <c r="M116" s="881"/>
      <c r="N116" s="881"/>
      <c r="O116" s="998"/>
      <c r="P116" s="998"/>
    </row>
    <row r="117" spans="1:26" ht="19.5">
      <c r="A117" s="970" t="s">
        <v>64</v>
      </c>
      <c r="B117" s="971"/>
      <c r="C117" s="1022"/>
      <c r="D117" s="971"/>
      <c r="E117" s="971"/>
      <c r="F117" s="971"/>
      <c r="G117" s="971"/>
      <c r="H117" s="1023"/>
      <c r="I117" s="1024"/>
      <c r="J117" s="1024"/>
      <c r="K117" s="1025"/>
      <c r="L117" s="976"/>
      <c r="M117" s="976"/>
      <c r="N117" s="976"/>
      <c r="O117" s="976"/>
      <c r="P117" s="976"/>
    </row>
    <row r="118" spans="1:26" ht="19.5">
      <c r="A118" s="977"/>
      <c r="B118" s="978" t="s">
        <v>65</v>
      </c>
      <c r="C118" s="1026"/>
      <c r="D118" s="980"/>
      <c r="E118" s="979"/>
      <c r="F118" s="979"/>
      <c r="G118" s="981"/>
      <c r="H118" s="205" t="s">
        <v>66</v>
      </c>
      <c r="I118" s="1027">
        <v>1</v>
      </c>
      <c r="J118" s="1027">
        <f>J440</f>
        <v>1</v>
      </c>
      <c r="K118" s="984">
        <f>IF(I118&gt;0,J118*100/I118,0)</f>
        <v>100</v>
      </c>
      <c r="L118" s="984"/>
      <c r="M118" s="984"/>
      <c r="N118" s="984"/>
      <c r="O118" s="984"/>
      <c r="P118" s="984"/>
    </row>
    <row r="119" spans="1:26" ht="19.5">
      <c r="A119" s="985"/>
      <c r="B119" s="986"/>
      <c r="C119" s="987" t="s">
        <v>16</v>
      </c>
      <c r="D119" s="988" t="s">
        <v>17</v>
      </c>
      <c r="E119" s="986"/>
      <c r="F119" s="986"/>
      <c r="G119" s="989"/>
      <c r="H119" s="152" t="s">
        <v>12</v>
      </c>
      <c r="I119" s="990"/>
      <c r="J119" s="990"/>
      <c r="K119" s="991"/>
      <c r="L119" s="992">
        <f t="shared" ref="L119:N119" ca="1" si="60">L120+L121</f>
        <v>42000</v>
      </c>
      <c r="M119" s="992">
        <f t="shared" ca="1" si="60"/>
        <v>42000</v>
      </c>
      <c r="N119" s="992">
        <f t="shared" ca="1" si="60"/>
        <v>42000</v>
      </c>
      <c r="O119" s="992">
        <f t="shared" ref="O119:O127" ca="1" si="61">IF(L119&gt;0,N119*100/L119,0)</f>
        <v>100</v>
      </c>
      <c r="P119" s="992">
        <f t="shared" ref="P119:P127" ca="1" si="62">IF(M119&gt;0,N119*100/M119,0)</f>
        <v>100</v>
      </c>
      <c r="Q119" s="868"/>
      <c r="R119" s="868"/>
      <c r="S119" s="868"/>
      <c r="T119" s="868"/>
      <c r="U119" s="868"/>
      <c r="V119" s="868"/>
      <c r="W119" s="868"/>
      <c r="X119" s="868"/>
      <c r="Y119" s="868"/>
      <c r="Z119" s="868"/>
    </row>
    <row r="120" spans="1:26" ht="18.75" hidden="1">
      <c r="A120" s="993"/>
      <c r="B120" s="883"/>
      <c r="C120" s="883"/>
      <c r="D120" s="883"/>
      <c r="E120" s="884" t="s">
        <v>18</v>
      </c>
      <c r="F120" s="883"/>
      <c r="G120" s="994"/>
      <c r="H120" s="158" t="s">
        <v>12</v>
      </c>
      <c r="I120" s="886"/>
      <c r="J120" s="886"/>
      <c r="K120" s="887"/>
      <c r="L120" s="887">
        <f t="shared" ref="L120:N121" si="63">L123+L126</f>
        <v>0</v>
      </c>
      <c r="M120" s="887">
        <f t="shared" si="63"/>
        <v>0</v>
      </c>
      <c r="N120" s="887">
        <f t="shared" si="63"/>
        <v>0</v>
      </c>
      <c r="O120" s="887">
        <f t="shared" si="61"/>
        <v>0</v>
      </c>
      <c r="P120" s="887">
        <f t="shared" si="62"/>
        <v>0</v>
      </c>
      <c r="Q120" s="875"/>
      <c r="R120" s="875"/>
      <c r="S120" s="875"/>
      <c r="T120" s="875"/>
      <c r="U120" s="875"/>
      <c r="V120" s="875"/>
      <c r="W120" s="875"/>
      <c r="X120" s="875"/>
      <c r="Y120" s="875"/>
      <c r="Z120" s="875"/>
    </row>
    <row r="121" spans="1:26" ht="18.75" hidden="1">
      <c r="A121" s="993"/>
      <c r="B121" s="883"/>
      <c r="C121" s="883"/>
      <c r="D121" s="883"/>
      <c r="E121" s="884" t="s">
        <v>19</v>
      </c>
      <c r="F121" s="883"/>
      <c r="G121" s="994"/>
      <c r="H121" s="158" t="s">
        <v>12</v>
      </c>
      <c r="I121" s="886"/>
      <c r="J121" s="886"/>
      <c r="K121" s="887"/>
      <c r="L121" s="887">
        <f t="shared" ca="1" si="63"/>
        <v>42000</v>
      </c>
      <c r="M121" s="887">
        <f t="shared" ca="1" si="63"/>
        <v>42000</v>
      </c>
      <c r="N121" s="887">
        <f t="shared" ca="1" si="63"/>
        <v>42000</v>
      </c>
      <c r="O121" s="887">
        <f t="shared" ca="1" si="61"/>
        <v>100</v>
      </c>
      <c r="P121" s="887">
        <f t="shared" ca="1" si="62"/>
        <v>100</v>
      </c>
      <c r="Q121" s="875"/>
      <c r="R121" s="875"/>
      <c r="S121" s="875"/>
      <c r="T121" s="875"/>
      <c r="U121" s="875"/>
      <c r="V121" s="875"/>
      <c r="W121" s="875"/>
      <c r="X121" s="875"/>
      <c r="Y121" s="875"/>
      <c r="Z121" s="875"/>
    </row>
    <row r="122" spans="1:26" ht="18.75">
      <c r="A122" s="995"/>
      <c r="B122" s="877"/>
      <c r="C122" s="996"/>
      <c r="D122" s="878" t="s">
        <v>20</v>
      </c>
      <c r="E122" s="877"/>
      <c r="F122" s="877"/>
      <c r="G122" s="879"/>
      <c r="H122" s="161" t="s">
        <v>12</v>
      </c>
      <c r="I122" s="997"/>
      <c r="J122" s="997"/>
      <c r="K122" s="998"/>
      <c r="L122" s="881">
        <f t="shared" ref="L122:N122" ca="1" si="64">L123+L124</f>
        <v>0</v>
      </c>
      <c r="M122" s="881">
        <f t="shared" ca="1" si="64"/>
        <v>0</v>
      </c>
      <c r="N122" s="881">
        <f t="shared" ca="1" si="64"/>
        <v>0</v>
      </c>
      <c r="O122" s="881">
        <f t="shared" ca="1" si="61"/>
        <v>0</v>
      </c>
      <c r="P122" s="881">
        <f t="shared" ca="1" si="62"/>
        <v>0</v>
      </c>
      <c r="Q122" s="868"/>
      <c r="R122" s="868"/>
      <c r="S122" s="868"/>
      <c r="T122" s="868"/>
      <c r="U122" s="868"/>
      <c r="V122" s="868"/>
      <c r="W122" s="868"/>
      <c r="X122" s="868"/>
      <c r="Y122" s="868"/>
      <c r="Z122" s="868"/>
    </row>
    <row r="123" spans="1:26" ht="18.75" hidden="1">
      <c r="A123" s="993"/>
      <c r="B123" s="883"/>
      <c r="C123" s="884"/>
      <c r="D123" s="883"/>
      <c r="E123" s="884" t="s">
        <v>36</v>
      </c>
      <c r="F123" s="883"/>
      <c r="G123" s="994"/>
      <c r="H123" s="165" t="s">
        <v>12</v>
      </c>
      <c r="I123" s="1000"/>
      <c r="J123" s="1000"/>
      <c r="K123" s="1001"/>
      <c r="L123" s="887">
        <v>0</v>
      </c>
      <c r="M123" s="887">
        <v>0</v>
      </c>
      <c r="N123" s="887">
        <v>0</v>
      </c>
      <c r="O123" s="887">
        <f t="shared" si="61"/>
        <v>0</v>
      </c>
      <c r="P123" s="887">
        <f t="shared" si="62"/>
        <v>0</v>
      </c>
      <c r="Q123" s="875"/>
      <c r="R123" s="875"/>
      <c r="S123" s="875"/>
      <c r="T123" s="875"/>
      <c r="U123" s="875"/>
      <c r="V123" s="875"/>
      <c r="W123" s="875"/>
      <c r="X123" s="875"/>
      <c r="Y123" s="875"/>
      <c r="Z123" s="875"/>
    </row>
    <row r="124" spans="1:26" ht="18.75" hidden="1">
      <c r="A124" s="993"/>
      <c r="B124" s="883"/>
      <c r="C124" s="884"/>
      <c r="D124" s="883"/>
      <c r="E124" s="884" t="s">
        <v>37</v>
      </c>
      <c r="F124" s="883"/>
      <c r="G124" s="994"/>
      <c r="H124" s="165" t="s">
        <v>12</v>
      </c>
      <c r="I124" s="1000"/>
      <c r="J124" s="1000"/>
      <c r="K124" s="1001"/>
      <c r="L124" s="887">
        <f ca="1">IFERROR(__xludf.DUMMYFUNCTION("IMPORTRANGE(""https://docs.google.com/spreadsheets/d/1MeEWN-I1oV_STSDYn1IFDPWt_1FKiwhDph83XaGc0o0/edit?usp=sharing"",""งบพรบ!BA78"")"),0)</f>
        <v>0</v>
      </c>
      <c r="M124" s="887">
        <f ca="1">IFERROR(__xludf.DUMMYFUNCTION("IMPORTRANGE(""https://docs.google.com/spreadsheets/d/1MeEWN-I1oV_STSDYn1IFDPWt_1FKiwhDph83XaGc0o0/edit?usp=sharing"",""งบพรบ!BF78"")"),0)</f>
        <v>0</v>
      </c>
      <c r="N124" s="887">
        <f ca="1">IFERROR(__xludf.DUMMYFUNCTION("IMPORTRANGE(""https://docs.google.com/spreadsheets/d/1MeEWN-I1oV_STSDYn1IFDPWt_1FKiwhDph83XaGc0o0/edit?usp=sharing"",""งบพรบ!BH78"")"),0)</f>
        <v>0</v>
      </c>
      <c r="O124" s="887">
        <f t="shared" ca="1" si="61"/>
        <v>0</v>
      </c>
      <c r="P124" s="887">
        <f t="shared" ca="1" si="62"/>
        <v>0</v>
      </c>
      <c r="Q124" s="875"/>
      <c r="R124" s="875"/>
      <c r="S124" s="875"/>
      <c r="T124" s="875"/>
      <c r="U124" s="875"/>
      <c r="V124" s="875"/>
      <c r="W124" s="875"/>
      <c r="X124" s="875"/>
      <c r="Y124" s="875"/>
      <c r="Z124" s="875"/>
    </row>
    <row r="125" spans="1:26" ht="18.75">
      <c r="A125" s="995"/>
      <c r="B125" s="877"/>
      <c r="C125" s="996"/>
      <c r="D125" s="878" t="s">
        <v>21</v>
      </c>
      <c r="E125" s="877"/>
      <c r="F125" s="877"/>
      <c r="G125" s="879"/>
      <c r="H125" s="168" t="s">
        <v>12</v>
      </c>
      <c r="I125" s="997"/>
      <c r="J125" s="997"/>
      <c r="K125" s="998"/>
      <c r="L125" s="881">
        <f t="shared" ref="L125:N125" ca="1" si="65">L126+L127</f>
        <v>42000</v>
      </c>
      <c r="M125" s="881">
        <f t="shared" ca="1" si="65"/>
        <v>42000</v>
      </c>
      <c r="N125" s="881">
        <f t="shared" ca="1" si="65"/>
        <v>42000</v>
      </c>
      <c r="O125" s="881">
        <f t="shared" ca="1" si="61"/>
        <v>100</v>
      </c>
      <c r="P125" s="881">
        <f t="shared" ca="1" si="62"/>
        <v>100</v>
      </c>
      <c r="Q125" s="868"/>
      <c r="R125" s="868"/>
      <c r="S125" s="868"/>
      <c r="T125" s="868"/>
      <c r="U125" s="868"/>
      <c r="V125" s="868"/>
      <c r="W125" s="868"/>
      <c r="X125" s="868"/>
      <c r="Y125" s="868"/>
      <c r="Z125" s="868"/>
    </row>
    <row r="126" spans="1:26" ht="19.5" hidden="1">
      <c r="A126" s="993"/>
      <c r="B126" s="883"/>
      <c r="C126" s="999"/>
      <c r="D126" s="883"/>
      <c r="E126" s="884" t="s">
        <v>18</v>
      </c>
      <c r="F126" s="883"/>
      <c r="G126" s="994"/>
      <c r="H126" s="165" t="s">
        <v>12</v>
      </c>
      <c r="I126" s="1000"/>
      <c r="J126" s="1000"/>
      <c r="K126" s="1001"/>
      <c r="L126" s="887">
        <v>0</v>
      </c>
      <c r="M126" s="887">
        <v>0</v>
      </c>
      <c r="N126" s="887">
        <v>0</v>
      </c>
      <c r="O126" s="887">
        <f t="shared" si="61"/>
        <v>0</v>
      </c>
      <c r="P126" s="887">
        <f t="shared" si="62"/>
        <v>0</v>
      </c>
      <c r="Q126" s="875"/>
      <c r="R126" s="875"/>
      <c r="S126" s="875"/>
      <c r="T126" s="875"/>
      <c r="U126" s="875"/>
      <c r="V126" s="875"/>
      <c r="W126" s="875"/>
      <c r="X126" s="875"/>
      <c r="Y126" s="875"/>
      <c r="Z126" s="875"/>
    </row>
    <row r="127" spans="1:26" ht="19.5" hidden="1">
      <c r="A127" s="993"/>
      <c r="B127" s="883"/>
      <c r="C127" s="999"/>
      <c r="D127" s="883"/>
      <c r="E127" s="884" t="s">
        <v>19</v>
      </c>
      <c r="F127" s="883"/>
      <c r="G127" s="994"/>
      <c r="H127" s="169" t="s">
        <v>12</v>
      </c>
      <c r="I127" s="1000"/>
      <c r="J127" s="1000"/>
      <c r="K127" s="1001"/>
      <c r="L127" s="887">
        <f ca="1">IFERROR(__xludf.DUMMYFUNCTION("IMPORTRANGE(""https://docs.google.com/spreadsheets/d/1MeEWN-I1oV_STSDYn1IFDPWt_1FKiwhDph83XaGc0o0/edit?usp=sharing"",""งบพรบ!BD78"")"),42000)</f>
        <v>42000</v>
      </c>
      <c r="M127" s="887">
        <f ca="1">IFERROR(__xludf.DUMMYFUNCTION("IMPORTRANGE(""https://docs.google.com/spreadsheets/d/1MeEWN-I1oV_STSDYn1IFDPWt_1FKiwhDph83XaGc0o0/edit?usp=sharing"",""งบพรบ!BG78"")"),42000)</f>
        <v>42000</v>
      </c>
      <c r="N127" s="887">
        <f ca="1">IFERROR(__xludf.DUMMYFUNCTION("IMPORTRANGE(""https://docs.google.com/spreadsheets/d/1MeEWN-I1oV_STSDYn1IFDPWt_1FKiwhDph83XaGc0o0/edit?usp=sharing"",""งบพรบ!BI78"")"),42000)</f>
        <v>42000</v>
      </c>
      <c r="O127" s="887">
        <f t="shared" ca="1" si="61"/>
        <v>100</v>
      </c>
      <c r="P127" s="887">
        <f t="shared" ca="1" si="62"/>
        <v>100</v>
      </c>
      <c r="Q127" s="875"/>
      <c r="R127" s="875"/>
      <c r="S127" s="875"/>
      <c r="T127" s="875"/>
      <c r="U127" s="875"/>
      <c r="V127" s="875"/>
      <c r="W127" s="875"/>
      <c r="X127" s="875"/>
      <c r="Y127" s="875"/>
      <c r="Z127" s="875"/>
    </row>
    <row r="128" spans="1:26" ht="19.5">
      <c r="A128" s="970" t="s">
        <v>67</v>
      </c>
      <c r="B128" s="971"/>
      <c r="C128" s="1022"/>
      <c r="D128" s="971"/>
      <c r="E128" s="971"/>
      <c r="F128" s="971"/>
      <c r="G128" s="971"/>
      <c r="H128" s="1023"/>
      <c r="I128" s="1024"/>
      <c r="J128" s="1024"/>
      <c r="K128" s="1025"/>
      <c r="L128" s="976"/>
      <c r="M128" s="976"/>
      <c r="N128" s="976"/>
      <c r="O128" s="976"/>
      <c r="P128" s="976"/>
    </row>
    <row r="129" spans="1:26" ht="19.5">
      <c r="A129" s="977"/>
      <c r="B129" s="978" t="s">
        <v>68</v>
      </c>
      <c r="C129" s="1026"/>
      <c r="D129" s="980"/>
      <c r="E129" s="979"/>
      <c r="F129" s="979"/>
      <c r="G129" s="979"/>
      <c r="H129" s="207"/>
      <c r="I129" s="1027"/>
      <c r="J129" s="1027"/>
      <c r="K129" s="984"/>
      <c r="L129" s="984"/>
      <c r="M129" s="984"/>
      <c r="N129" s="984"/>
      <c r="O129" s="984"/>
      <c r="P129" s="984"/>
    </row>
    <row r="130" spans="1:26" ht="19.5">
      <c r="A130" s="977"/>
      <c r="B130" s="978"/>
      <c r="C130" s="1028" t="s">
        <v>69</v>
      </c>
      <c r="D130" s="980"/>
      <c r="E130" s="979"/>
      <c r="F130" s="979"/>
      <c r="G130" s="981"/>
      <c r="H130" s="205" t="s">
        <v>66</v>
      </c>
      <c r="I130" s="982">
        <f t="shared" ref="I130:J130" ca="1" si="66">I146</f>
        <v>2</v>
      </c>
      <c r="J130" s="982">
        <f t="shared" si="66"/>
        <v>2</v>
      </c>
      <c r="K130" s="983">
        <f t="shared" ref="K130:K131" ca="1" si="67">IF(I130&gt;0,J130*100/I130,0)</f>
        <v>100</v>
      </c>
      <c r="L130" s="984"/>
      <c r="M130" s="984"/>
      <c r="N130" s="984"/>
      <c r="O130" s="984"/>
      <c r="P130" s="984"/>
    </row>
    <row r="131" spans="1:26" ht="19.5">
      <c r="A131" s="977"/>
      <c r="B131" s="978"/>
      <c r="C131" s="1028" t="s">
        <v>70</v>
      </c>
      <c r="D131" s="980"/>
      <c r="E131" s="979"/>
      <c r="F131" s="979"/>
      <c r="G131" s="981"/>
      <c r="H131" s="205" t="s">
        <v>35</v>
      </c>
      <c r="I131" s="982">
        <f t="shared" ref="I131:J131" ca="1" si="68">I143</f>
        <v>20</v>
      </c>
      <c r="J131" s="982">
        <f t="shared" ca="1" si="68"/>
        <v>20</v>
      </c>
      <c r="K131" s="983">
        <f t="shared" ca="1" si="67"/>
        <v>100</v>
      </c>
      <c r="L131" s="984"/>
      <c r="M131" s="984"/>
      <c r="N131" s="984"/>
      <c r="O131" s="984"/>
      <c r="P131" s="984"/>
    </row>
    <row r="132" spans="1:26" ht="19.5">
      <c r="A132" s="985"/>
      <c r="B132" s="986"/>
      <c r="C132" s="987" t="s">
        <v>16</v>
      </c>
      <c r="D132" s="988" t="s">
        <v>17</v>
      </c>
      <c r="E132" s="986"/>
      <c r="F132" s="986"/>
      <c r="G132" s="989"/>
      <c r="H132" s="152" t="s">
        <v>12</v>
      </c>
      <c r="I132" s="990"/>
      <c r="J132" s="990"/>
      <c r="K132" s="991"/>
      <c r="L132" s="992">
        <f t="shared" ref="L132:N132" ca="1" si="69">L133+L134</f>
        <v>303310</v>
      </c>
      <c r="M132" s="992">
        <f t="shared" ca="1" si="69"/>
        <v>293700</v>
      </c>
      <c r="N132" s="992">
        <f t="shared" ca="1" si="69"/>
        <v>242080</v>
      </c>
      <c r="O132" s="992">
        <f t="shared" ref="O132:O140" ca="1" si="70">IF(L132&gt;0,N132*100/L132,0)</f>
        <v>79.812732847581685</v>
      </c>
      <c r="P132" s="992">
        <f t="shared" ref="P132:P140" ca="1" si="71">IF(M132&gt;0,N132*100/M132,0)</f>
        <v>82.424242424242422</v>
      </c>
      <c r="Q132" s="868"/>
      <c r="R132" s="868"/>
      <c r="S132" s="868"/>
      <c r="T132" s="868"/>
      <c r="U132" s="868"/>
      <c r="V132" s="868"/>
      <c r="W132" s="868"/>
      <c r="X132" s="868"/>
      <c r="Y132" s="868"/>
      <c r="Z132" s="868"/>
    </row>
    <row r="133" spans="1:26" ht="18.75" hidden="1">
      <c r="A133" s="993"/>
      <c r="B133" s="883"/>
      <c r="C133" s="883"/>
      <c r="D133" s="883"/>
      <c r="E133" s="884" t="s">
        <v>18</v>
      </c>
      <c r="F133" s="883"/>
      <c r="G133" s="994"/>
      <c r="H133" s="158" t="s">
        <v>12</v>
      </c>
      <c r="I133" s="886"/>
      <c r="J133" s="886"/>
      <c r="K133" s="887"/>
      <c r="L133" s="887">
        <f t="shared" ref="L133:N134" si="72">L136+L139</f>
        <v>0</v>
      </c>
      <c r="M133" s="887">
        <f t="shared" si="72"/>
        <v>0</v>
      </c>
      <c r="N133" s="887">
        <f t="shared" si="72"/>
        <v>0</v>
      </c>
      <c r="O133" s="887">
        <f t="shared" si="70"/>
        <v>0</v>
      </c>
      <c r="P133" s="887">
        <f t="shared" si="71"/>
        <v>0</v>
      </c>
      <c r="Q133" s="875"/>
      <c r="R133" s="875"/>
      <c r="S133" s="875"/>
      <c r="T133" s="875"/>
      <c r="U133" s="875"/>
      <c r="V133" s="875"/>
      <c r="W133" s="875"/>
      <c r="X133" s="875"/>
      <c r="Y133" s="875"/>
      <c r="Z133" s="875"/>
    </row>
    <row r="134" spans="1:26" ht="18.75" hidden="1">
      <c r="A134" s="993"/>
      <c r="B134" s="883"/>
      <c r="C134" s="883"/>
      <c r="D134" s="883"/>
      <c r="E134" s="884" t="s">
        <v>19</v>
      </c>
      <c r="F134" s="883"/>
      <c r="G134" s="994"/>
      <c r="H134" s="158" t="s">
        <v>12</v>
      </c>
      <c r="I134" s="886"/>
      <c r="J134" s="886"/>
      <c r="K134" s="887"/>
      <c r="L134" s="887">
        <f t="shared" ca="1" si="72"/>
        <v>303310</v>
      </c>
      <c r="M134" s="887">
        <f t="shared" ca="1" si="72"/>
        <v>293700</v>
      </c>
      <c r="N134" s="887">
        <f t="shared" ca="1" si="72"/>
        <v>242080</v>
      </c>
      <c r="O134" s="887">
        <f t="shared" ca="1" si="70"/>
        <v>79.812732847581685</v>
      </c>
      <c r="P134" s="887">
        <f t="shared" ca="1" si="71"/>
        <v>82.424242424242422</v>
      </c>
      <c r="Q134" s="875"/>
      <c r="R134" s="875"/>
      <c r="S134" s="875"/>
      <c r="T134" s="875"/>
      <c r="U134" s="875"/>
      <c r="V134" s="875"/>
      <c r="W134" s="875"/>
      <c r="X134" s="875"/>
      <c r="Y134" s="875"/>
      <c r="Z134" s="875"/>
    </row>
    <row r="135" spans="1:26" ht="18.75">
      <c r="A135" s="995"/>
      <c r="B135" s="877"/>
      <c r="C135" s="996"/>
      <c r="D135" s="878" t="s">
        <v>20</v>
      </c>
      <c r="E135" s="877"/>
      <c r="F135" s="877"/>
      <c r="G135" s="879"/>
      <c r="H135" s="161" t="s">
        <v>12</v>
      </c>
      <c r="I135" s="997"/>
      <c r="J135" s="997"/>
      <c r="K135" s="998"/>
      <c r="L135" s="881">
        <f t="shared" ref="L135:N135" ca="1" si="73">L136+L137</f>
        <v>97310</v>
      </c>
      <c r="M135" s="881">
        <f t="shared" ca="1" si="73"/>
        <v>87700</v>
      </c>
      <c r="N135" s="881">
        <f t="shared" ca="1" si="73"/>
        <v>36080</v>
      </c>
      <c r="O135" s="881">
        <f t="shared" ca="1" si="70"/>
        <v>37.077381564073576</v>
      </c>
      <c r="P135" s="881">
        <f t="shared" ca="1" si="71"/>
        <v>41.140250855188143</v>
      </c>
      <c r="Q135" s="868"/>
      <c r="R135" s="868"/>
      <c r="S135" s="868"/>
      <c r="T135" s="868"/>
      <c r="U135" s="868"/>
      <c r="V135" s="868"/>
      <c r="W135" s="868"/>
      <c r="X135" s="868"/>
      <c r="Y135" s="868"/>
      <c r="Z135" s="868"/>
    </row>
    <row r="136" spans="1:26" ht="19.5" hidden="1">
      <c r="A136" s="993"/>
      <c r="B136" s="883"/>
      <c r="C136" s="999"/>
      <c r="D136" s="883"/>
      <c r="E136" s="884" t="s">
        <v>36</v>
      </c>
      <c r="F136" s="883"/>
      <c r="G136" s="994"/>
      <c r="H136" s="165" t="s">
        <v>12</v>
      </c>
      <c r="I136" s="1000"/>
      <c r="J136" s="1000"/>
      <c r="K136" s="1001"/>
      <c r="L136" s="887">
        <v>0</v>
      </c>
      <c r="M136" s="887">
        <v>0</v>
      </c>
      <c r="N136" s="887">
        <v>0</v>
      </c>
      <c r="O136" s="887">
        <f t="shared" si="70"/>
        <v>0</v>
      </c>
      <c r="P136" s="887">
        <f t="shared" si="71"/>
        <v>0</v>
      </c>
      <c r="Q136" s="875"/>
      <c r="R136" s="875"/>
      <c r="S136" s="875"/>
      <c r="T136" s="875"/>
      <c r="U136" s="875"/>
      <c r="V136" s="875"/>
      <c r="W136" s="875"/>
      <c r="X136" s="875"/>
      <c r="Y136" s="875"/>
      <c r="Z136" s="875"/>
    </row>
    <row r="137" spans="1:26" ht="19.5" hidden="1">
      <c r="A137" s="993"/>
      <c r="B137" s="883"/>
      <c r="C137" s="999"/>
      <c r="D137" s="883"/>
      <c r="E137" s="884" t="s">
        <v>37</v>
      </c>
      <c r="F137" s="883"/>
      <c r="G137" s="994"/>
      <c r="H137" s="165" t="s">
        <v>12</v>
      </c>
      <c r="I137" s="1000"/>
      <c r="J137" s="1000"/>
      <c r="K137" s="1001"/>
      <c r="L137" s="887">
        <f ca="1">IFERROR(__xludf.DUMMYFUNCTION("IMPORTRANGE(""https://docs.google.com/spreadsheets/d/1MeEWN-I1oV_STSDYn1IFDPWt_1FKiwhDph83XaGc0o0/edit?usp=sharing"",""งบพรบ!BK78"")"),97310)</f>
        <v>97310</v>
      </c>
      <c r="M137" s="887">
        <f ca="1">IFERROR(__xludf.DUMMYFUNCTION("IMPORTRANGE(""https://docs.google.com/spreadsheets/d/1MeEWN-I1oV_STSDYn1IFDPWt_1FKiwhDph83XaGc0o0/edit?usp=sharing"",""งบพรบ!BP78"")"),87700)</f>
        <v>87700</v>
      </c>
      <c r="N137" s="887">
        <f ca="1">IFERROR(__xludf.DUMMYFUNCTION("IMPORTRANGE(""https://docs.google.com/spreadsheets/d/1MeEWN-I1oV_STSDYn1IFDPWt_1FKiwhDph83XaGc0o0/edit?usp=sharing"",""งบพรบ!BR78"")"),36080)</f>
        <v>36080</v>
      </c>
      <c r="O137" s="887">
        <f t="shared" ca="1" si="70"/>
        <v>37.077381564073576</v>
      </c>
      <c r="P137" s="887">
        <f t="shared" ca="1" si="71"/>
        <v>41.140250855188143</v>
      </c>
      <c r="Q137" s="875"/>
      <c r="R137" s="875"/>
      <c r="S137" s="875"/>
      <c r="T137" s="875"/>
      <c r="U137" s="875"/>
      <c r="V137" s="875"/>
      <c r="W137" s="875"/>
      <c r="X137" s="875"/>
      <c r="Y137" s="875"/>
      <c r="Z137" s="875"/>
    </row>
    <row r="138" spans="1:26" ht="18.75">
      <c r="A138" s="995"/>
      <c r="B138" s="877"/>
      <c r="C138" s="996"/>
      <c r="D138" s="878" t="s">
        <v>21</v>
      </c>
      <c r="E138" s="877"/>
      <c r="F138" s="877"/>
      <c r="G138" s="879"/>
      <c r="H138" s="168" t="s">
        <v>12</v>
      </c>
      <c r="I138" s="997"/>
      <c r="J138" s="997"/>
      <c r="K138" s="998"/>
      <c r="L138" s="881">
        <f t="shared" ref="L138:N138" ca="1" si="74">L139+L140</f>
        <v>206000</v>
      </c>
      <c r="M138" s="881">
        <f t="shared" ca="1" si="74"/>
        <v>206000</v>
      </c>
      <c r="N138" s="881">
        <f t="shared" ca="1" si="74"/>
        <v>206000</v>
      </c>
      <c r="O138" s="881">
        <f t="shared" ca="1" si="70"/>
        <v>100</v>
      </c>
      <c r="P138" s="881">
        <f t="shared" ca="1" si="71"/>
        <v>100</v>
      </c>
      <c r="Q138" s="868"/>
      <c r="R138" s="868"/>
      <c r="S138" s="868"/>
      <c r="T138" s="868"/>
      <c r="U138" s="868"/>
      <c r="V138" s="868"/>
      <c r="W138" s="868"/>
      <c r="X138" s="868"/>
      <c r="Y138" s="868"/>
      <c r="Z138" s="868"/>
    </row>
    <row r="139" spans="1:26" ht="19.5" hidden="1">
      <c r="A139" s="993"/>
      <c r="B139" s="883"/>
      <c r="C139" s="999"/>
      <c r="D139" s="883"/>
      <c r="E139" s="884" t="s">
        <v>18</v>
      </c>
      <c r="F139" s="883"/>
      <c r="G139" s="994"/>
      <c r="H139" s="165" t="s">
        <v>12</v>
      </c>
      <c r="I139" s="1000"/>
      <c r="J139" s="1000"/>
      <c r="K139" s="1001"/>
      <c r="L139" s="887">
        <v>0</v>
      </c>
      <c r="M139" s="887">
        <v>0</v>
      </c>
      <c r="N139" s="887">
        <v>0</v>
      </c>
      <c r="O139" s="887">
        <f t="shared" si="70"/>
        <v>0</v>
      </c>
      <c r="P139" s="887">
        <f t="shared" si="71"/>
        <v>0</v>
      </c>
      <c r="Q139" s="875"/>
      <c r="R139" s="875"/>
      <c r="S139" s="875"/>
      <c r="T139" s="875"/>
      <c r="U139" s="875"/>
      <c r="V139" s="875"/>
      <c r="W139" s="875"/>
      <c r="X139" s="875"/>
      <c r="Y139" s="875"/>
      <c r="Z139" s="875"/>
    </row>
    <row r="140" spans="1:26" ht="19.5" hidden="1">
      <c r="A140" s="993"/>
      <c r="B140" s="883"/>
      <c r="C140" s="999"/>
      <c r="D140" s="883"/>
      <c r="E140" s="884" t="s">
        <v>19</v>
      </c>
      <c r="F140" s="883"/>
      <c r="G140" s="994"/>
      <c r="H140" s="169" t="s">
        <v>12</v>
      </c>
      <c r="I140" s="1000"/>
      <c r="J140" s="1000"/>
      <c r="K140" s="1001"/>
      <c r="L140" s="887">
        <f ca="1">IFERROR(__xludf.DUMMYFUNCTION("IMPORTRANGE(""https://docs.google.com/spreadsheets/d/1MeEWN-I1oV_STSDYn1IFDPWt_1FKiwhDph83XaGc0o0/edit?usp=sharing"",""งบพรบ!BN78"")"),206000)</f>
        <v>206000</v>
      </c>
      <c r="M140" s="887">
        <f ca="1">IFERROR(__xludf.DUMMYFUNCTION("IMPORTRANGE(""https://docs.google.com/spreadsheets/d/1MeEWN-I1oV_STSDYn1IFDPWt_1FKiwhDph83XaGc0o0/edit?usp=sharing"",""งบพรบ!BQ78"")"),206000)</f>
        <v>206000</v>
      </c>
      <c r="N140" s="887">
        <f ca="1">IFERROR(__xludf.DUMMYFUNCTION("IMPORTRANGE(""https://docs.google.com/spreadsheets/d/1MeEWN-I1oV_STSDYn1IFDPWt_1FKiwhDph83XaGc0o0/edit?usp=sharing"",""งบพรบ!BS78"")"),206000)</f>
        <v>206000</v>
      </c>
      <c r="O140" s="887">
        <f t="shared" ca="1" si="70"/>
        <v>100</v>
      </c>
      <c r="P140" s="887">
        <f t="shared" ca="1" si="71"/>
        <v>100</v>
      </c>
      <c r="Q140" s="875"/>
      <c r="R140" s="875"/>
      <c r="S140" s="875"/>
      <c r="T140" s="875"/>
      <c r="U140" s="875"/>
      <c r="V140" s="875"/>
      <c r="W140" s="875"/>
      <c r="X140" s="875"/>
      <c r="Y140" s="875"/>
      <c r="Z140" s="875"/>
    </row>
    <row r="141" spans="1:26" ht="19.5">
      <c r="A141" s="1002"/>
      <c r="B141" s="1003"/>
      <c r="C141" s="987" t="s">
        <v>16</v>
      </c>
      <c r="D141" s="1004" t="s">
        <v>38</v>
      </c>
      <c r="E141" s="1005"/>
      <c r="F141" s="1005"/>
      <c r="G141" s="1006"/>
      <c r="H141" s="168"/>
      <c r="I141" s="880"/>
      <c r="J141" s="880"/>
      <c r="K141" s="881"/>
      <c r="L141" s="881"/>
      <c r="M141" s="881"/>
      <c r="N141" s="881"/>
      <c r="O141" s="881"/>
      <c r="P141" s="881"/>
    </row>
    <row r="142" spans="1:26" ht="19.5">
      <c r="A142" s="995"/>
      <c r="B142" s="877"/>
      <c r="C142" s="1029"/>
      <c r="D142" s="996" t="s">
        <v>71</v>
      </c>
      <c r="E142" s="878"/>
      <c r="F142" s="877"/>
      <c r="G142" s="1030"/>
      <c r="H142" s="168"/>
      <c r="I142" s="880"/>
      <c r="J142" s="1012">
        <v>0</v>
      </c>
      <c r="K142" s="881"/>
      <c r="L142" s="881"/>
      <c r="M142" s="881"/>
      <c r="N142" s="881"/>
      <c r="O142" s="881"/>
      <c r="P142" s="881"/>
    </row>
    <row r="143" spans="1:26" ht="19.5">
      <c r="A143" s="995"/>
      <c r="B143" s="877"/>
      <c r="C143" s="1029"/>
      <c r="D143" s="996" t="s">
        <v>72</v>
      </c>
      <c r="E143" s="878"/>
      <c r="F143" s="877"/>
      <c r="G143" s="1030"/>
      <c r="H143" s="168" t="s">
        <v>35</v>
      </c>
      <c r="I143" s="880">
        <f ca="1">I145</f>
        <v>20</v>
      </c>
      <c r="J143" s="880">
        <f ca="1">IF(AND(J144&gt;=I144,J145&gt;=I145),J145,0)</f>
        <v>20</v>
      </c>
      <c r="K143" s="881">
        <f t="shared" ref="K143:K146" ca="1" si="75">IF(I143&gt;0,J143*100/I143,0)</f>
        <v>100</v>
      </c>
      <c r="L143" s="881"/>
      <c r="M143" s="881"/>
      <c r="N143" s="881"/>
      <c r="O143" s="881"/>
      <c r="P143" s="881"/>
    </row>
    <row r="144" spans="1:26" ht="19.5">
      <c r="A144" s="995"/>
      <c r="B144" s="877"/>
      <c r="C144" s="1029"/>
      <c r="D144" s="1010"/>
      <c r="E144" s="996" t="s">
        <v>73</v>
      </c>
      <c r="F144" s="877"/>
      <c r="G144" s="1030"/>
      <c r="H144" s="168" t="s">
        <v>35</v>
      </c>
      <c r="I144" s="880">
        <f ca="1">IFERROR(__xludf.DUMMYFUNCTION("IMPORTRANGE(""https://docs.google.com/spreadsheets/d/1QqKyyYR6Q21VydFLVH3TRQUabQu_ym0Zz7PgGX0-kHA/edit?usp=sharing"",""แผน!U78"")"),10)</f>
        <v>10</v>
      </c>
      <c r="J144" s="1012">
        <v>20</v>
      </c>
      <c r="K144" s="881">
        <f t="shared" ca="1" si="75"/>
        <v>200</v>
      </c>
      <c r="L144" s="881"/>
      <c r="M144" s="881"/>
      <c r="N144" s="881"/>
      <c r="O144" s="881"/>
      <c r="P144" s="881"/>
    </row>
    <row r="145" spans="1:26" ht="19.5">
      <c r="A145" s="995"/>
      <c r="B145" s="877"/>
      <c r="C145" s="1029"/>
      <c r="D145" s="1010"/>
      <c r="E145" s="996" t="s">
        <v>74</v>
      </c>
      <c r="F145" s="877"/>
      <c r="G145" s="1030"/>
      <c r="H145" s="168" t="s">
        <v>35</v>
      </c>
      <c r="I145" s="880">
        <f ca="1">IFERROR(__xludf.DUMMYFUNCTION("IMPORTRANGE(""https://docs.google.com/spreadsheets/d/1QqKyyYR6Q21VydFLVH3TRQUabQu_ym0Zz7PgGX0-kHA/edit?usp=sharing"",""แผน!V78"")"),20)</f>
        <v>20</v>
      </c>
      <c r="J145" s="1012">
        <v>20</v>
      </c>
      <c r="K145" s="881">
        <f t="shared" ca="1" si="75"/>
        <v>100</v>
      </c>
      <c r="L145" s="881"/>
      <c r="M145" s="881"/>
      <c r="N145" s="881"/>
      <c r="O145" s="881"/>
      <c r="P145" s="881"/>
    </row>
    <row r="146" spans="1:26" ht="19.5">
      <c r="A146" s="995"/>
      <c r="B146" s="877"/>
      <c r="C146" s="1029"/>
      <c r="D146" s="996" t="s">
        <v>75</v>
      </c>
      <c r="E146" s="878"/>
      <c r="F146" s="877"/>
      <c r="G146" s="1030"/>
      <c r="H146" s="168" t="s">
        <v>66</v>
      </c>
      <c r="I146" s="880">
        <f ca="1">IFERROR(__xludf.DUMMYFUNCTION("IMPORTRANGE(""https://docs.google.com/spreadsheets/d/1QqKyyYR6Q21VydFLVH3TRQUabQu_ym0Zz7PgGX0-kHA/edit?usp=sharing"",""แผน!W78"")"),2)</f>
        <v>2</v>
      </c>
      <c r="J146" s="1012">
        <v>2</v>
      </c>
      <c r="K146" s="881">
        <f t="shared" ca="1" si="75"/>
        <v>100</v>
      </c>
      <c r="L146" s="881"/>
      <c r="M146" s="881"/>
      <c r="N146" s="881"/>
      <c r="O146" s="881"/>
      <c r="P146" s="881"/>
    </row>
    <row r="147" spans="1:26" ht="19.5" hidden="1">
      <c r="A147" s="970" t="s">
        <v>76</v>
      </c>
      <c r="B147" s="971"/>
      <c r="C147" s="1022"/>
      <c r="D147" s="971"/>
      <c r="E147" s="971"/>
      <c r="F147" s="971"/>
      <c r="G147" s="971"/>
      <c r="H147" s="1023"/>
      <c r="I147" s="1024"/>
      <c r="J147" s="1024"/>
      <c r="K147" s="1025"/>
      <c r="L147" s="976"/>
      <c r="M147" s="976"/>
      <c r="N147" s="976"/>
      <c r="O147" s="976"/>
      <c r="P147" s="976"/>
    </row>
    <row r="148" spans="1:26" ht="19.5" hidden="1">
      <c r="A148" s="1031"/>
      <c r="B148" s="978" t="s">
        <v>77</v>
      </c>
      <c r="C148" s="978"/>
      <c r="D148" s="978"/>
      <c r="E148" s="1032"/>
      <c r="F148" s="1033"/>
      <c r="G148" s="1034"/>
      <c r="H148" s="221" t="s">
        <v>35</v>
      </c>
      <c r="I148" s="982">
        <f t="shared" ref="I148:J148" ca="1" si="76">I159</f>
        <v>0</v>
      </c>
      <c r="J148" s="982">
        <f t="shared" si="76"/>
        <v>0</v>
      </c>
      <c r="K148" s="983">
        <f ca="1">IF(I148&gt;0,J148*100/I148,0)</f>
        <v>0</v>
      </c>
      <c r="L148" s="983"/>
      <c r="M148" s="983"/>
      <c r="N148" s="983"/>
      <c r="O148" s="983"/>
      <c r="P148" s="98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85"/>
      <c r="B149" s="986"/>
      <c r="C149" s="987" t="s">
        <v>16</v>
      </c>
      <c r="D149" s="988" t="s">
        <v>17</v>
      </c>
      <c r="E149" s="986"/>
      <c r="F149" s="986"/>
      <c r="G149" s="989"/>
      <c r="H149" s="152" t="s">
        <v>12</v>
      </c>
      <c r="I149" s="990"/>
      <c r="J149" s="990"/>
      <c r="K149" s="991"/>
      <c r="L149" s="992">
        <f t="shared" ref="L149:N149" ca="1" si="77">L150+L151</f>
        <v>0</v>
      </c>
      <c r="M149" s="992">
        <f t="shared" ca="1" si="77"/>
        <v>0</v>
      </c>
      <c r="N149" s="992">
        <f t="shared" ca="1" si="77"/>
        <v>0</v>
      </c>
      <c r="O149" s="992">
        <f t="shared" ref="O149:O157" ca="1" si="78">IF(L149&gt;0,N149*100/L149,0)</f>
        <v>0</v>
      </c>
      <c r="P149" s="992">
        <f t="shared" ref="P149:P157" ca="1" si="79">IF(M149&gt;0,N149*100/M149,0)</f>
        <v>0</v>
      </c>
      <c r="Q149" s="868"/>
      <c r="R149" s="868"/>
      <c r="S149" s="868"/>
      <c r="T149" s="868"/>
      <c r="U149" s="868"/>
      <c r="V149" s="868"/>
      <c r="W149" s="868"/>
      <c r="X149" s="868"/>
      <c r="Y149" s="868"/>
      <c r="Z149" s="868"/>
    </row>
    <row r="150" spans="1:26" ht="18.75" hidden="1">
      <c r="A150" s="993"/>
      <c r="B150" s="883"/>
      <c r="C150" s="883"/>
      <c r="D150" s="883"/>
      <c r="E150" s="884" t="s">
        <v>18</v>
      </c>
      <c r="F150" s="883"/>
      <c r="G150" s="994"/>
      <c r="H150" s="158" t="s">
        <v>12</v>
      </c>
      <c r="I150" s="886"/>
      <c r="J150" s="886"/>
      <c r="K150" s="887"/>
      <c r="L150" s="887">
        <f t="shared" ref="L150:N151" si="80">L153+L156</f>
        <v>0</v>
      </c>
      <c r="M150" s="887">
        <f t="shared" si="80"/>
        <v>0</v>
      </c>
      <c r="N150" s="887">
        <f t="shared" si="80"/>
        <v>0</v>
      </c>
      <c r="O150" s="887">
        <f t="shared" si="78"/>
        <v>0</v>
      </c>
      <c r="P150" s="887">
        <f t="shared" si="79"/>
        <v>0</v>
      </c>
      <c r="Q150" s="875"/>
      <c r="R150" s="875"/>
      <c r="S150" s="875"/>
      <c r="T150" s="875"/>
      <c r="U150" s="875"/>
      <c r="V150" s="875"/>
      <c r="W150" s="875"/>
      <c r="X150" s="875"/>
      <c r="Y150" s="875"/>
      <c r="Z150" s="875"/>
    </row>
    <row r="151" spans="1:26" ht="18.75" hidden="1">
      <c r="A151" s="993"/>
      <c r="B151" s="883"/>
      <c r="C151" s="883"/>
      <c r="D151" s="883"/>
      <c r="E151" s="884" t="s">
        <v>19</v>
      </c>
      <c r="F151" s="883"/>
      <c r="G151" s="994"/>
      <c r="H151" s="158" t="s">
        <v>12</v>
      </c>
      <c r="I151" s="886"/>
      <c r="J151" s="886"/>
      <c r="K151" s="887"/>
      <c r="L151" s="887">
        <f t="shared" ca="1" si="80"/>
        <v>0</v>
      </c>
      <c r="M151" s="887">
        <f t="shared" ca="1" si="80"/>
        <v>0</v>
      </c>
      <c r="N151" s="887">
        <f t="shared" ca="1" si="80"/>
        <v>0</v>
      </c>
      <c r="O151" s="887">
        <f t="shared" ca="1" si="78"/>
        <v>0</v>
      </c>
      <c r="P151" s="887">
        <f t="shared" ca="1" si="79"/>
        <v>0</v>
      </c>
      <c r="Q151" s="875"/>
      <c r="R151" s="875"/>
      <c r="S151" s="875"/>
      <c r="T151" s="875"/>
      <c r="U151" s="875"/>
      <c r="V151" s="875"/>
      <c r="W151" s="875"/>
      <c r="X151" s="875"/>
      <c r="Y151" s="875"/>
      <c r="Z151" s="875"/>
    </row>
    <row r="152" spans="1:26" ht="18.75" hidden="1">
      <c r="A152" s="995"/>
      <c r="B152" s="877"/>
      <c r="C152" s="996"/>
      <c r="D152" s="878" t="s">
        <v>20</v>
      </c>
      <c r="E152" s="877"/>
      <c r="F152" s="877"/>
      <c r="G152" s="879"/>
      <c r="H152" s="161" t="s">
        <v>12</v>
      </c>
      <c r="I152" s="997"/>
      <c r="J152" s="997"/>
      <c r="K152" s="998"/>
      <c r="L152" s="881">
        <f t="shared" ref="L152:N152" ca="1" si="81">L153+L154</f>
        <v>0</v>
      </c>
      <c r="M152" s="881">
        <f t="shared" ca="1" si="81"/>
        <v>0</v>
      </c>
      <c r="N152" s="881">
        <f t="shared" ca="1" si="81"/>
        <v>0</v>
      </c>
      <c r="O152" s="881">
        <f t="shared" ca="1" si="78"/>
        <v>0</v>
      </c>
      <c r="P152" s="881">
        <f t="shared" ca="1" si="79"/>
        <v>0</v>
      </c>
      <c r="Q152" s="868"/>
      <c r="R152" s="868"/>
      <c r="S152" s="868"/>
      <c r="T152" s="868"/>
      <c r="U152" s="868"/>
      <c r="V152" s="868"/>
      <c r="W152" s="868"/>
      <c r="X152" s="868"/>
      <c r="Y152" s="868"/>
      <c r="Z152" s="868"/>
    </row>
    <row r="153" spans="1:26" ht="19.5" hidden="1">
      <c r="A153" s="993"/>
      <c r="B153" s="883"/>
      <c r="C153" s="999"/>
      <c r="D153" s="883"/>
      <c r="E153" s="884" t="s">
        <v>36</v>
      </c>
      <c r="F153" s="883"/>
      <c r="G153" s="994"/>
      <c r="H153" s="165" t="s">
        <v>12</v>
      </c>
      <c r="I153" s="1000"/>
      <c r="J153" s="1000"/>
      <c r="K153" s="1001"/>
      <c r="L153" s="887">
        <v>0</v>
      </c>
      <c r="M153" s="887">
        <v>0</v>
      </c>
      <c r="N153" s="887">
        <v>0</v>
      </c>
      <c r="O153" s="887">
        <f t="shared" si="78"/>
        <v>0</v>
      </c>
      <c r="P153" s="887">
        <f t="shared" si="79"/>
        <v>0</v>
      </c>
      <c r="Q153" s="875"/>
      <c r="R153" s="875"/>
      <c r="S153" s="875"/>
      <c r="T153" s="875"/>
      <c r="U153" s="875"/>
      <c r="V153" s="875"/>
      <c r="W153" s="875"/>
      <c r="X153" s="875"/>
      <c r="Y153" s="875"/>
      <c r="Z153" s="875"/>
    </row>
    <row r="154" spans="1:26" ht="19.5" hidden="1">
      <c r="A154" s="993"/>
      <c r="B154" s="883"/>
      <c r="C154" s="999"/>
      <c r="D154" s="883"/>
      <c r="E154" s="884" t="s">
        <v>37</v>
      </c>
      <c r="F154" s="883"/>
      <c r="G154" s="994"/>
      <c r="H154" s="165" t="s">
        <v>12</v>
      </c>
      <c r="I154" s="1000"/>
      <c r="J154" s="1000"/>
      <c r="K154" s="1001"/>
      <c r="L154" s="887">
        <f ca="1">IFERROR(__xludf.DUMMYFUNCTION("IMPORTRANGE(""https://docs.google.com/spreadsheets/d/1MeEWN-I1oV_STSDYn1IFDPWt_1FKiwhDph83XaGc0o0/edit?usp=sharing"",""งบพรบ!BU78"")"),0)</f>
        <v>0</v>
      </c>
      <c r="M154" s="887">
        <f ca="1">IFERROR(__xludf.DUMMYFUNCTION("IMPORTRANGE(""https://docs.google.com/spreadsheets/d/1MeEWN-I1oV_STSDYn1IFDPWt_1FKiwhDph83XaGc0o0/edit?usp=sharing"",""งบพรบ!BZ78"")"),0)</f>
        <v>0</v>
      </c>
      <c r="N154" s="887">
        <f ca="1">IFERROR(__xludf.DUMMYFUNCTION("IMPORTRANGE(""https://docs.google.com/spreadsheets/d/1MeEWN-I1oV_STSDYn1IFDPWt_1FKiwhDph83XaGc0o0/edit?usp=sharing"",""งบพรบ!CB78"")"),0)</f>
        <v>0</v>
      </c>
      <c r="O154" s="887">
        <f t="shared" ca="1" si="78"/>
        <v>0</v>
      </c>
      <c r="P154" s="887">
        <f t="shared" ca="1" si="79"/>
        <v>0</v>
      </c>
      <c r="Q154" s="875"/>
      <c r="R154" s="875"/>
      <c r="S154" s="875"/>
      <c r="T154" s="875"/>
      <c r="U154" s="875"/>
      <c r="V154" s="875"/>
      <c r="W154" s="875"/>
      <c r="X154" s="875"/>
      <c r="Y154" s="875"/>
      <c r="Z154" s="875"/>
    </row>
    <row r="155" spans="1:26" ht="18.75" hidden="1">
      <c r="A155" s="995"/>
      <c r="B155" s="877"/>
      <c r="C155" s="996"/>
      <c r="D155" s="878" t="s">
        <v>21</v>
      </c>
      <c r="E155" s="877"/>
      <c r="F155" s="877"/>
      <c r="G155" s="879"/>
      <c r="H155" s="168" t="s">
        <v>12</v>
      </c>
      <c r="I155" s="997"/>
      <c r="J155" s="997"/>
      <c r="K155" s="998"/>
      <c r="L155" s="881">
        <f t="shared" ref="L155:N155" ca="1" si="82">L156+L157</f>
        <v>0</v>
      </c>
      <c r="M155" s="881">
        <f t="shared" ca="1" si="82"/>
        <v>0</v>
      </c>
      <c r="N155" s="881">
        <f t="shared" ca="1" si="82"/>
        <v>0</v>
      </c>
      <c r="O155" s="881">
        <f t="shared" ca="1" si="78"/>
        <v>0</v>
      </c>
      <c r="P155" s="881">
        <f t="shared" ca="1" si="79"/>
        <v>0</v>
      </c>
      <c r="Q155" s="868"/>
      <c r="R155" s="868"/>
      <c r="S155" s="868"/>
      <c r="T155" s="868"/>
      <c r="U155" s="868"/>
      <c r="V155" s="868"/>
      <c r="W155" s="868"/>
      <c r="X155" s="868"/>
      <c r="Y155" s="868"/>
      <c r="Z155" s="868"/>
    </row>
    <row r="156" spans="1:26" ht="19.5" hidden="1">
      <c r="A156" s="993"/>
      <c r="B156" s="883"/>
      <c r="C156" s="999"/>
      <c r="D156" s="883"/>
      <c r="E156" s="884" t="s">
        <v>18</v>
      </c>
      <c r="F156" s="883"/>
      <c r="G156" s="994"/>
      <c r="H156" s="165" t="s">
        <v>12</v>
      </c>
      <c r="I156" s="1000"/>
      <c r="J156" s="1000"/>
      <c r="K156" s="1001"/>
      <c r="L156" s="887">
        <v>0</v>
      </c>
      <c r="M156" s="887">
        <v>0</v>
      </c>
      <c r="N156" s="887">
        <v>0</v>
      </c>
      <c r="O156" s="887">
        <f t="shared" si="78"/>
        <v>0</v>
      </c>
      <c r="P156" s="887">
        <f t="shared" si="79"/>
        <v>0</v>
      </c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</row>
    <row r="157" spans="1:26" ht="19.5" hidden="1">
      <c r="A157" s="993"/>
      <c r="B157" s="883"/>
      <c r="C157" s="999"/>
      <c r="D157" s="883"/>
      <c r="E157" s="884" t="s">
        <v>19</v>
      </c>
      <c r="F157" s="883"/>
      <c r="G157" s="994"/>
      <c r="H157" s="169" t="s">
        <v>12</v>
      </c>
      <c r="I157" s="1000"/>
      <c r="J157" s="1000"/>
      <c r="K157" s="1001"/>
      <c r="L157" s="887">
        <f ca="1">IFERROR(__xludf.DUMMYFUNCTION("IMPORTRANGE(""https://docs.google.com/spreadsheets/d/1MeEWN-I1oV_STSDYn1IFDPWt_1FKiwhDph83XaGc0o0/edit?usp=sharing"",""งบพรบ!BX78"")"),0)</f>
        <v>0</v>
      </c>
      <c r="M157" s="887">
        <f ca="1">IFERROR(__xludf.DUMMYFUNCTION("IMPORTRANGE(""https://docs.google.com/spreadsheets/d/1MeEWN-I1oV_STSDYn1IFDPWt_1FKiwhDph83XaGc0o0/edit?usp=sharing"",""งบพรบ!CA78"")"),0)</f>
        <v>0</v>
      </c>
      <c r="N157" s="887">
        <f ca="1">IFERROR(__xludf.DUMMYFUNCTION("IMPORTRANGE(""https://docs.google.com/spreadsheets/d/1MeEWN-I1oV_STSDYn1IFDPWt_1FKiwhDph83XaGc0o0/edit?usp=sharing"",""งบพรบ!CC78"")"),0)</f>
        <v>0</v>
      </c>
      <c r="O157" s="887">
        <f t="shared" ca="1" si="78"/>
        <v>0</v>
      </c>
      <c r="P157" s="887">
        <f t="shared" ca="1" si="79"/>
        <v>0</v>
      </c>
      <c r="Q157" s="875"/>
      <c r="R157" s="875"/>
      <c r="S157" s="875"/>
      <c r="T157" s="875"/>
      <c r="U157" s="875"/>
      <c r="V157" s="875"/>
      <c r="W157" s="875"/>
      <c r="X157" s="875"/>
      <c r="Y157" s="875"/>
      <c r="Z157" s="875"/>
    </row>
    <row r="158" spans="1:26" ht="19.5" hidden="1">
      <c r="A158" s="1002"/>
      <c r="B158" s="1003"/>
      <c r="C158" s="999" t="s">
        <v>16</v>
      </c>
      <c r="D158" s="1004" t="s">
        <v>38</v>
      </c>
      <c r="E158" s="1005"/>
      <c r="F158" s="1005"/>
      <c r="G158" s="1006"/>
      <c r="H158" s="168"/>
      <c r="I158" s="880"/>
      <c r="J158" s="880"/>
      <c r="K158" s="881"/>
      <c r="L158" s="881"/>
      <c r="M158" s="881"/>
      <c r="N158" s="881"/>
      <c r="O158" s="881"/>
      <c r="P158" s="881"/>
    </row>
    <row r="159" spans="1:26" ht="19.5" hidden="1">
      <c r="A159" s="995"/>
      <c r="B159" s="877"/>
      <c r="C159" s="1029"/>
      <c r="D159" s="996" t="s">
        <v>78</v>
      </c>
      <c r="E159" s="878"/>
      <c r="F159" s="877"/>
      <c r="G159" s="1030"/>
      <c r="H159" s="168" t="s">
        <v>35</v>
      </c>
      <c r="I159" s="880">
        <f ca="1">IFERROR(__xludf.DUMMYFUNCTION("IMPORTRANGE(""https://docs.google.com/spreadsheets/d/1QqKyyYR6Q21VydFLVH3TRQUabQu_ym0Zz7PgGX0-kHA/edit?usp=sharing"",""แผน!X78"")"),0)</f>
        <v>0</v>
      </c>
      <c r="J159" s="1012">
        <v>0</v>
      </c>
      <c r="K159" s="881">
        <f ca="1">IF(I159&gt;0,J159*100/I159,0)</f>
        <v>0</v>
      </c>
      <c r="L159" s="881"/>
      <c r="M159" s="881"/>
      <c r="N159" s="881"/>
      <c r="O159" s="881"/>
      <c r="P159" s="881"/>
    </row>
    <row r="160" spans="1:26" ht="19.5" hidden="1">
      <c r="A160" s="993"/>
      <c r="B160" s="883"/>
      <c r="C160" s="999"/>
      <c r="D160" s="884" t="s">
        <v>79</v>
      </c>
      <c r="E160" s="1035"/>
      <c r="F160" s="883"/>
      <c r="G160" s="994"/>
      <c r="H160" s="169" t="s">
        <v>35</v>
      </c>
      <c r="I160" s="886"/>
      <c r="J160" s="886"/>
      <c r="K160" s="887"/>
      <c r="L160" s="887"/>
      <c r="M160" s="887"/>
      <c r="N160" s="887"/>
      <c r="O160" s="887"/>
      <c r="P160" s="88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232" t="s">
        <v>35</v>
      </c>
      <c r="I161" s="1042"/>
      <c r="J161" s="1042"/>
      <c r="K161" s="1043"/>
      <c r="L161" s="1043"/>
      <c r="M161" s="1043"/>
      <c r="N161" s="1043"/>
      <c r="O161" s="1043"/>
      <c r="P161" s="104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44" t="s">
        <v>81</v>
      </c>
      <c r="B162" s="1045"/>
      <c r="C162" s="1045"/>
      <c r="D162" s="1045"/>
      <c r="E162" s="1046"/>
      <c r="F162" s="1046"/>
      <c r="G162" s="1047"/>
      <c r="H162" s="1048"/>
      <c r="I162" s="1049"/>
      <c r="J162" s="1049"/>
      <c r="K162" s="1050"/>
      <c r="L162" s="1050"/>
      <c r="M162" s="1050"/>
      <c r="N162" s="1050"/>
      <c r="O162" s="1050"/>
      <c r="P162" s="1050"/>
    </row>
    <row r="163" spans="1:26" ht="19.5">
      <c r="A163" s="1051" t="s">
        <v>82</v>
      </c>
      <c r="B163" s="1052"/>
      <c r="C163" s="1052"/>
      <c r="D163" s="1053"/>
      <c r="E163" s="1053"/>
      <c r="F163" s="1053"/>
      <c r="G163" s="1054"/>
      <c r="H163" s="1055"/>
      <c r="I163" s="1056"/>
      <c r="J163" s="1056"/>
      <c r="K163" s="1057"/>
      <c r="L163" s="1057"/>
      <c r="M163" s="1057"/>
      <c r="N163" s="1057"/>
      <c r="O163" s="1057"/>
      <c r="P163" s="1057"/>
    </row>
    <row r="164" spans="1:26" ht="19.5">
      <c r="A164" s="1058"/>
      <c r="B164" s="1059" t="s">
        <v>83</v>
      </c>
      <c r="C164" s="1060"/>
      <c r="D164" s="1005"/>
      <c r="E164" s="1005"/>
      <c r="F164" s="1005"/>
      <c r="G164" s="1006"/>
      <c r="H164" s="252" t="s">
        <v>35</v>
      </c>
      <c r="I164" s="1075">
        <f t="shared" ref="I164:J164" ca="1" si="83">I174+I177</f>
        <v>13</v>
      </c>
      <c r="J164" s="1075">
        <f t="shared" si="83"/>
        <v>13</v>
      </c>
      <c r="K164" s="1076">
        <f ca="1">IF(I164&gt;0,J164*100/I164,0)</f>
        <v>100</v>
      </c>
      <c r="L164" s="1062"/>
      <c r="M164" s="1062"/>
      <c r="N164" s="1062"/>
      <c r="O164" s="1062"/>
      <c r="P164" s="1062"/>
    </row>
    <row r="165" spans="1:26" ht="19.5">
      <c r="A165" s="985"/>
      <c r="B165" s="986"/>
      <c r="C165" s="987" t="s">
        <v>16</v>
      </c>
      <c r="D165" s="988" t="s">
        <v>17</v>
      </c>
      <c r="E165" s="986"/>
      <c r="F165" s="986"/>
      <c r="G165" s="989"/>
      <c r="H165" s="152" t="s">
        <v>12</v>
      </c>
      <c r="I165" s="990"/>
      <c r="J165" s="990"/>
      <c r="K165" s="991"/>
      <c r="L165" s="992">
        <f t="shared" ref="L165:N165" ca="1" si="84">L166+L167</f>
        <v>24065</v>
      </c>
      <c r="M165" s="992">
        <f t="shared" ca="1" si="84"/>
        <v>40995</v>
      </c>
      <c r="N165" s="992">
        <f t="shared" ca="1" si="84"/>
        <v>40995</v>
      </c>
      <c r="O165" s="992">
        <f t="shared" ref="O165:O173" ca="1" si="85">IF(L165&gt;0,N165*100/L165,0)</f>
        <v>170.35113234988572</v>
      </c>
      <c r="P165" s="992">
        <f t="shared" ref="P165:P173" ca="1" si="86">IF(M165&gt;0,N165*100/M165,0)</f>
        <v>100</v>
      </c>
      <c r="Q165" s="868"/>
      <c r="R165" s="868"/>
      <c r="S165" s="868"/>
      <c r="T165" s="868"/>
      <c r="U165" s="868"/>
      <c r="V165" s="868"/>
      <c r="W165" s="868"/>
      <c r="X165" s="868"/>
      <c r="Y165" s="868"/>
      <c r="Z165" s="868"/>
    </row>
    <row r="166" spans="1:26" ht="18.75" hidden="1">
      <c r="A166" s="993"/>
      <c r="B166" s="883"/>
      <c r="C166" s="883"/>
      <c r="D166" s="883"/>
      <c r="E166" s="884" t="s">
        <v>18</v>
      </c>
      <c r="F166" s="883"/>
      <c r="G166" s="994"/>
      <c r="H166" s="158" t="s">
        <v>12</v>
      </c>
      <c r="I166" s="886"/>
      <c r="J166" s="886"/>
      <c r="K166" s="887"/>
      <c r="L166" s="887">
        <f t="shared" ref="L166:N167" si="87">L169+L172</f>
        <v>0</v>
      </c>
      <c r="M166" s="887">
        <f t="shared" si="87"/>
        <v>0</v>
      </c>
      <c r="N166" s="887">
        <f t="shared" si="87"/>
        <v>0</v>
      </c>
      <c r="O166" s="887">
        <f t="shared" si="85"/>
        <v>0</v>
      </c>
      <c r="P166" s="887">
        <f t="shared" si="86"/>
        <v>0</v>
      </c>
      <c r="Q166" s="875"/>
      <c r="R166" s="875"/>
      <c r="S166" s="875"/>
      <c r="T166" s="875"/>
      <c r="U166" s="875"/>
      <c r="V166" s="875"/>
      <c r="W166" s="875"/>
      <c r="X166" s="875"/>
      <c r="Y166" s="875"/>
      <c r="Z166" s="875"/>
    </row>
    <row r="167" spans="1:26" ht="18.75" hidden="1">
      <c r="A167" s="993"/>
      <c r="B167" s="883"/>
      <c r="C167" s="883"/>
      <c r="D167" s="883"/>
      <c r="E167" s="884" t="s">
        <v>19</v>
      </c>
      <c r="F167" s="883"/>
      <c r="G167" s="994"/>
      <c r="H167" s="158" t="s">
        <v>12</v>
      </c>
      <c r="I167" s="886"/>
      <c r="J167" s="886"/>
      <c r="K167" s="887"/>
      <c r="L167" s="887">
        <f t="shared" ca="1" si="87"/>
        <v>24065</v>
      </c>
      <c r="M167" s="887">
        <f t="shared" ca="1" si="87"/>
        <v>40995</v>
      </c>
      <c r="N167" s="887">
        <f t="shared" ca="1" si="87"/>
        <v>40995</v>
      </c>
      <c r="O167" s="887">
        <f t="shared" ca="1" si="85"/>
        <v>170.35113234988572</v>
      </c>
      <c r="P167" s="887">
        <f t="shared" ca="1" si="86"/>
        <v>100</v>
      </c>
      <c r="Q167" s="875"/>
      <c r="R167" s="875"/>
      <c r="S167" s="875"/>
      <c r="T167" s="875"/>
      <c r="U167" s="875"/>
      <c r="V167" s="875"/>
      <c r="W167" s="875"/>
      <c r="X167" s="875"/>
      <c r="Y167" s="875"/>
      <c r="Z167" s="875"/>
    </row>
    <row r="168" spans="1:26" ht="18.75">
      <c r="A168" s="995"/>
      <c r="B168" s="877"/>
      <c r="C168" s="996"/>
      <c r="D168" s="878" t="s">
        <v>20</v>
      </c>
      <c r="E168" s="877"/>
      <c r="F168" s="877"/>
      <c r="G168" s="879"/>
      <c r="H168" s="161" t="s">
        <v>12</v>
      </c>
      <c r="I168" s="997"/>
      <c r="J168" s="997"/>
      <c r="K168" s="998"/>
      <c r="L168" s="881">
        <f t="shared" ref="L168:N168" ca="1" si="88">L169+L170</f>
        <v>24065</v>
      </c>
      <c r="M168" s="881">
        <f t="shared" ca="1" si="88"/>
        <v>40995</v>
      </c>
      <c r="N168" s="881">
        <f t="shared" ca="1" si="88"/>
        <v>40995</v>
      </c>
      <c r="O168" s="881">
        <f t="shared" ca="1" si="85"/>
        <v>170.35113234988572</v>
      </c>
      <c r="P168" s="881">
        <f t="shared" ca="1" si="86"/>
        <v>100</v>
      </c>
      <c r="Q168" s="868"/>
      <c r="R168" s="868"/>
      <c r="S168" s="868"/>
      <c r="T168" s="868"/>
      <c r="U168" s="868"/>
      <c r="V168" s="868"/>
      <c r="W168" s="868"/>
      <c r="X168" s="868"/>
      <c r="Y168" s="868"/>
      <c r="Z168" s="868"/>
    </row>
    <row r="169" spans="1:26" ht="19.5" hidden="1">
      <c r="A169" s="993"/>
      <c r="B169" s="883"/>
      <c r="C169" s="999"/>
      <c r="D169" s="883"/>
      <c r="E169" s="884" t="s">
        <v>36</v>
      </c>
      <c r="F169" s="883"/>
      <c r="G169" s="994"/>
      <c r="H169" s="165" t="s">
        <v>12</v>
      </c>
      <c r="I169" s="1000"/>
      <c r="J169" s="1000"/>
      <c r="K169" s="1001"/>
      <c r="L169" s="887">
        <v>0</v>
      </c>
      <c r="M169" s="887">
        <v>0</v>
      </c>
      <c r="N169" s="887">
        <v>0</v>
      </c>
      <c r="O169" s="887">
        <f t="shared" si="85"/>
        <v>0</v>
      </c>
      <c r="P169" s="887">
        <f t="shared" si="86"/>
        <v>0</v>
      </c>
      <c r="Q169" s="875"/>
      <c r="R169" s="875"/>
      <c r="S169" s="875"/>
      <c r="T169" s="875"/>
      <c r="U169" s="875"/>
      <c r="V169" s="875"/>
      <c r="W169" s="875"/>
      <c r="X169" s="875"/>
      <c r="Y169" s="875"/>
      <c r="Z169" s="875"/>
    </row>
    <row r="170" spans="1:26" ht="19.5" hidden="1">
      <c r="A170" s="993"/>
      <c r="B170" s="883"/>
      <c r="C170" s="999"/>
      <c r="D170" s="883"/>
      <c r="E170" s="884" t="s">
        <v>37</v>
      </c>
      <c r="F170" s="883"/>
      <c r="G170" s="994"/>
      <c r="H170" s="165" t="s">
        <v>12</v>
      </c>
      <c r="I170" s="1000"/>
      <c r="J170" s="1000"/>
      <c r="K170" s="1001"/>
      <c r="L170" s="887">
        <f ca="1">IFERROR(__xludf.DUMMYFUNCTION("IMPORTRANGE(""https://docs.google.com/spreadsheets/d/1MeEWN-I1oV_STSDYn1IFDPWt_1FKiwhDph83XaGc0o0/edit?usp=sharing"",""งบพรบ!CE78"")"),24065)</f>
        <v>24065</v>
      </c>
      <c r="M170" s="887">
        <f ca="1">IFERROR(__xludf.DUMMYFUNCTION("IMPORTRANGE(""https://docs.google.com/spreadsheets/d/1MeEWN-I1oV_STSDYn1IFDPWt_1FKiwhDph83XaGc0o0/edit?usp=sharing"",""งบพรบ!CJ78"")"),40995)</f>
        <v>40995</v>
      </c>
      <c r="N170" s="887">
        <f ca="1">IFERROR(__xludf.DUMMYFUNCTION("IMPORTRANGE(""https://docs.google.com/spreadsheets/d/1MeEWN-I1oV_STSDYn1IFDPWt_1FKiwhDph83XaGc0o0/edit?usp=sharing"",""งบพรบ!CL78"")"),40995)</f>
        <v>40995</v>
      </c>
      <c r="O170" s="887">
        <f t="shared" ca="1" si="85"/>
        <v>170.35113234988572</v>
      </c>
      <c r="P170" s="887">
        <f t="shared" ca="1" si="86"/>
        <v>100</v>
      </c>
      <c r="Q170" s="875"/>
      <c r="R170" s="875"/>
      <c r="S170" s="875"/>
      <c r="T170" s="875"/>
      <c r="U170" s="875"/>
      <c r="V170" s="875"/>
      <c r="W170" s="875"/>
      <c r="X170" s="875"/>
      <c r="Y170" s="875"/>
      <c r="Z170" s="875"/>
    </row>
    <row r="171" spans="1:26" ht="18.75">
      <c r="A171" s="995"/>
      <c r="B171" s="877"/>
      <c r="C171" s="996"/>
      <c r="D171" s="878" t="s">
        <v>21</v>
      </c>
      <c r="E171" s="877"/>
      <c r="F171" s="877"/>
      <c r="G171" s="879"/>
      <c r="H171" s="168" t="s">
        <v>12</v>
      </c>
      <c r="I171" s="997"/>
      <c r="J171" s="997"/>
      <c r="K171" s="998"/>
      <c r="L171" s="881">
        <f t="shared" ref="L171:N171" ca="1" si="89">L172+L173</f>
        <v>0</v>
      </c>
      <c r="M171" s="881">
        <f t="shared" ca="1" si="89"/>
        <v>0</v>
      </c>
      <c r="N171" s="881">
        <f t="shared" ca="1" si="89"/>
        <v>0</v>
      </c>
      <c r="O171" s="881">
        <f t="shared" ca="1" si="85"/>
        <v>0</v>
      </c>
      <c r="P171" s="881">
        <f t="shared" ca="1" si="86"/>
        <v>0</v>
      </c>
      <c r="Q171" s="868"/>
      <c r="R171" s="868"/>
      <c r="S171" s="868"/>
      <c r="T171" s="868"/>
      <c r="U171" s="868"/>
      <c r="V171" s="868"/>
      <c r="W171" s="868"/>
      <c r="X171" s="868"/>
      <c r="Y171" s="868"/>
      <c r="Z171" s="868"/>
    </row>
    <row r="172" spans="1:26" ht="19.5" hidden="1">
      <c r="A172" s="993"/>
      <c r="B172" s="883"/>
      <c r="C172" s="999"/>
      <c r="D172" s="883"/>
      <c r="E172" s="884" t="s">
        <v>18</v>
      </c>
      <c r="F172" s="883"/>
      <c r="G172" s="994"/>
      <c r="H172" s="165" t="s">
        <v>12</v>
      </c>
      <c r="I172" s="1000"/>
      <c r="J172" s="1000"/>
      <c r="K172" s="1001"/>
      <c r="L172" s="887">
        <v>0</v>
      </c>
      <c r="M172" s="887">
        <v>0</v>
      </c>
      <c r="N172" s="887">
        <v>0</v>
      </c>
      <c r="O172" s="887">
        <f t="shared" si="85"/>
        <v>0</v>
      </c>
      <c r="P172" s="887">
        <f t="shared" si="86"/>
        <v>0</v>
      </c>
      <c r="Q172" s="875"/>
      <c r="R172" s="875"/>
      <c r="S172" s="875"/>
      <c r="T172" s="875"/>
      <c r="U172" s="875"/>
      <c r="V172" s="875"/>
      <c r="W172" s="875"/>
      <c r="X172" s="875"/>
      <c r="Y172" s="875"/>
      <c r="Z172" s="875"/>
    </row>
    <row r="173" spans="1:26" ht="19.5" hidden="1">
      <c r="A173" s="993"/>
      <c r="B173" s="883"/>
      <c r="C173" s="999"/>
      <c r="D173" s="883"/>
      <c r="E173" s="884" t="s">
        <v>19</v>
      </c>
      <c r="F173" s="883"/>
      <c r="G173" s="994"/>
      <c r="H173" s="169" t="s">
        <v>12</v>
      </c>
      <c r="I173" s="1000"/>
      <c r="J173" s="1000"/>
      <c r="K173" s="1001"/>
      <c r="L173" s="887">
        <f ca="1">IFERROR(__xludf.DUMMYFUNCTION("IMPORTRANGE(""https://docs.google.com/spreadsheets/d/1MeEWN-I1oV_STSDYn1IFDPWt_1FKiwhDph83XaGc0o0/edit?usp=sharing"",""งบพรบ!CH78"")"),0)</f>
        <v>0</v>
      </c>
      <c r="M173" s="887">
        <f ca="1">IFERROR(__xludf.DUMMYFUNCTION("IMPORTRANGE(""https://docs.google.com/spreadsheets/d/1MeEWN-I1oV_STSDYn1IFDPWt_1FKiwhDph83XaGc0o0/edit?usp=sharing"",""งบพรบ!CK78"")"),0)</f>
        <v>0</v>
      </c>
      <c r="N173" s="887">
        <f ca="1">IFERROR(__xludf.DUMMYFUNCTION("IMPORTRANGE(""https://docs.google.com/spreadsheets/d/1MeEWN-I1oV_STSDYn1IFDPWt_1FKiwhDph83XaGc0o0/edit?usp=sharing"",""งบพรบ!CM78"")"),0)</f>
        <v>0</v>
      </c>
      <c r="O173" s="887">
        <f t="shared" ca="1" si="85"/>
        <v>0</v>
      </c>
      <c r="P173" s="887">
        <f t="shared" ca="1" si="86"/>
        <v>0</v>
      </c>
      <c r="Q173" s="875"/>
      <c r="R173" s="875"/>
      <c r="S173" s="875"/>
      <c r="T173" s="875"/>
      <c r="U173" s="875"/>
      <c r="V173" s="875"/>
      <c r="W173" s="875"/>
      <c r="X173" s="875"/>
      <c r="Y173" s="875"/>
      <c r="Z173" s="875"/>
    </row>
    <row r="174" spans="1:26" ht="19.5">
      <c r="A174" s="1063"/>
      <c r="B174" s="1064"/>
      <c r="C174" s="1065" t="s">
        <v>84</v>
      </c>
      <c r="D174" s="1064"/>
      <c r="E174" s="1064"/>
      <c r="F174" s="1064"/>
      <c r="G174" s="1066"/>
      <c r="H174" s="260" t="s">
        <v>35</v>
      </c>
      <c r="I174" s="1067">
        <f t="shared" ref="I174:J174" ca="1" si="90">I176</f>
        <v>13</v>
      </c>
      <c r="J174" s="1067">
        <f t="shared" si="90"/>
        <v>13</v>
      </c>
      <c r="K174" s="1068">
        <f ca="1">IF(I174&gt;0,J174*100/I174,0)</f>
        <v>100</v>
      </c>
      <c r="L174" s="1068"/>
      <c r="M174" s="1068"/>
      <c r="N174" s="1068"/>
      <c r="O174" s="1068"/>
      <c r="P174" s="1068"/>
    </row>
    <row r="175" spans="1:26" ht="19.5">
      <c r="A175" s="1002"/>
      <c r="B175" s="1003"/>
      <c r="C175" s="999" t="s">
        <v>16</v>
      </c>
      <c r="D175" s="1004" t="s">
        <v>38</v>
      </c>
      <c r="E175" s="1005"/>
      <c r="F175" s="1005"/>
      <c r="G175" s="1006"/>
      <c r="H175" s="1007"/>
      <c r="I175" s="997"/>
      <c r="J175" s="997"/>
      <c r="K175" s="998"/>
      <c r="L175" s="998"/>
      <c r="M175" s="998"/>
      <c r="N175" s="998"/>
      <c r="O175" s="998"/>
      <c r="P175" s="998"/>
    </row>
    <row r="176" spans="1:26" ht="18.75">
      <c r="A176" s="1002"/>
      <c r="B176" s="1003"/>
      <c r="C176" s="1003"/>
      <c r="D176" s="1069" t="s">
        <v>85</v>
      </c>
      <c r="E176" s="1010"/>
      <c r="F176" s="1010"/>
      <c r="G176" s="1011"/>
      <c r="H176" s="622" t="s">
        <v>35</v>
      </c>
      <c r="I176" s="880">
        <f ca="1">IFERROR(__xludf.DUMMYFUNCTION("IMPORTRANGE(""https://docs.google.com/spreadsheets/d/1QqKyyYR6Q21VydFLVH3TRQUabQu_ym0Zz7PgGX0-kHA/edit?usp=sharing"",""แผน!Y78"")"),13)</f>
        <v>13</v>
      </c>
      <c r="J176" s="1012">
        <v>13</v>
      </c>
      <c r="K176" s="998">
        <f ca="1">IF(I176&gt;0,J176*100/I176,0)</f>
        <v>100</v>
      </c>
      <c r="L176" s="998"/>
      <c r="M176" s="998"/>
      <c r="N176" s="998"/>
      <c r="O176" s="998"/>
      <c r="P176" s="998"/>
    </row>
    <row r="177" spans="1:26" ht="19.5" hidden="1">
      <c r="A177" s="1063"/>
      <c r="B177" s="1070"/>
      <c r="C177" s="1071" t="s">
        <v>86</v>
      </c>
      <c r="D177" s="1070"/>
      <c r="E177" s="1064"/>
      <c r="F177" s="1064"/>
      <c r="G177" s="1066"/>
      <c r="H177" s="266" t="s">
        <v>35</v>
      </c>
      <c r="I177" s="1067"/>
      <c r="J177" s="1067">
        <f>J179</f>
        <v>0</v>
      </c>
      <c r="K177" s="1068"/>
      <c r="L177" s="1068"/>
      <c r="M177" s="1068"/>
      <c r="N177" s="1068"/>
      <c r="O177" s="1068"/>
      <c r="P177" s="1068"/>
    </row>
    <row r="178" spans="1:26" ht="19.5" hidden="1">
      <c r="A178" s="1002"/>
      <c r="B178" s="1003"/>
      <c r="C178" s="999" t="s">
        <v>16</v>
      </c>
      <c r="D178" s="1072" t="s">
        <v>38</v>
      </c>
      <c r="E178" s="1005"/>
      <c r="F178" s="1005"/>
      <c r="G178" s="1006"/>
      <c r="H178" s="1007"/>
      <c r="I178" s="997"/>
      <c r="J178" s="997"/>
      <c r="K178" s="998"/>
      <c r="L178" s="998"/>
      <c r="M178" s="998"/>
      <c r="N178" s="998"/>
      <c r="O178" s="998"/>
      <c r="P178" s="998"/>
    </row>
    <row r="179" spans="1:26" ht="18.75" hidden="1">
      <c r="A179" s="1002"/>
      <c r="B179" s="1003"/>
      <c r="C179" s="1003"/>
      <c r="D179" s="1073" t="s">
        <v>87</v>
      </c>
      <c r="E179" s="1010"/>
      <c r="F179" s="1074"/>
      <c r="G179" s="1011"/>
      <c r="H179" s="43" t="s">
        <v>35</v>
      </c>
      <c r="I179" s="880"/>
      <c r="J179" s="880"/>
      <c r="K179" s="998"/>
      <c r="L179" s="998"/>
      <c r="M179" s="998"/>
      <c r="N179" s="998"/>
      <c r="O179" s="998"/>
      <c r="P179" s="998"/>
    </row>
    <row r="180" spans="1:26" ht="19.5">
      <c r="A180" s="1058"/>
      <c r="B180" s="1059" t="s">
        <v>88</v>
      </c>
      <c r="C180" s="1060"/>
      <c r="D180" s="1005"/>
      <c r="E180" s="1005"/>
      <c r="F180" s="1005"/>
      <c r="G180" s="1006"/>
      <c r="H180" s="252" t="s">
        <v>35</v>
      </c>
      <c r="I180" s="1075" t="e">
        <f t="shared" ref="I180:J180" ca="1" si="91">I225+I226</f>
        <v>#VALUE!</v>
      </c>
      <c r="J180" s="1075">
        <f t="shared" si="91"/>
        <v>110</v>
      </c>
      <c r="K180" s="1076" t="e">
        <f ca="1">IF(I180&gt;0,J180*100/I180,0)</f>
        <v>#VALUE!</v>
      </c>
      <c r="L180" s="1062"/>
      <c r="M180" s="1062"/>
      <c r="N180" s="1062"/>
      <c r="O180" s="1062"/>
      <c r="P180" s="1062"/>
    </row>
    <row r="181" spans="1:26" ht="19.5">
      <c r="A181" s="985"/>
      <c r="B181" s="986"/>
      <c r="C181" s="987" t="s">
        <v>16</v>
      </c>
      <c r="D181" s="988" t="s">
        <v>17</v>
      </c>
      <c r="E181" s="986"/>
      <c r="F181" s="986"/>
      <c r="G181" s="989"/>
      <c r="H181" s="152" t="s">
        <v>12</v>
      </c>
      <c r="I181" s="990"/>
      <c r="J181" s="990"/>
      <c r="K181" s="991"/>
      <c r="L181" s="992">
        <f t="shared" ref="L181:N181" ca="1" si="92">L182+L183</f>
        <v>673400</v>
      </c>
      <c r="M181" s="992">
        <f t="shared" ca="1" si="92"/>
        <v>535500</v>
      </c>
      <c r="N181" s="992">
        <f t="shared" ca="1" si="92"/>
        <v>318449.02</v>
      </c>
      <c r="O181" s="992">
        <f t="shared" ref="O181:O189" ca="1" si="93">IF(L181&gt;0,N181*100/L181,0)</f>
        <v>47.289726759726761</v>
      </c>
      <c r="P181" s="992">
        <f t="shared" ref="P181:P189" ca="1" si="94">IF(M181&gt;0,N181*100/M181,0)</f>
        <v>59.467604108309992</v>
      </c>
      <c r="Q181" s="868"/>
      <c r="R181" s="868"/>
      <c r="S181" s="868"/>
      <c r="T181" s="868"/>
      <c r="U181" s="868"/>
      <c r="V181" s="868"/>
      <c r="W181" s="868"/>
      <c r="X181" s="868"/>
      <c r="Y181" s="868"/>
      <c r="Z181" s="868"/>
    </row>
    <row r="182" spans="1:26" ht="18.75" hidden="1">
      <c r="A182" s="993"/>
      <c r="B182" s="883"/>
      <c r="C182" s="883"/>
      <c r="D182" s="883"/>
      <c r="E182" s="884" t="s">
        <v>18</v>
      </c>
      <c r="F182" s="883"/>
      <c r="G182" s="994"/>
      <c r="H182" s="158" t="s">
        <v>12</v>
      </c>
      <c r="I182" s="886"/>
      <c r="J182" s="886"/>
      <c r="K182" s="887"/>
      <c r="L182" s="887">
        <f t="shared" ref="L182:N183" si="95">L185+L188</f>
        <v>0</v>
      </c>
      <c r="M182" s="887">
        <f t="shared" si="95"/>
        <v>0</v>
      </c>
      <c r="N182" s="887">
        <f t="shared" si="95"/>
        <v>0</v>
      </c>
      <c r="O182" s="887">
        <f t="shared" si="93"/>
        <v>0</v>
      </c>
      <c r="P182" s="887">
        <f t="shared" si="94"/>
        <v>0</v>
      </c>
      <c r="Q182" s="875"/>
      <c r="R182" s="875"/>
      <c r="S182" s="875"/>
      <c r="T182" s="875"/>
      <c r="U182" s="875"/>
      <c r="V182" s="875"/>
      <c r="W182" s="875"/>
      <c r="X182" s="875"/>
      <c r="Y182" s="875"/>
      <c r="Z182" s="875"/>
    </row>
    <row r="183" spans="1:26" ht="18.75" hidden="1">
      <c r="A183" s="993"/>
      <c r="B183" s="883"/>
      <c r="C183" s="883"/>
      <c r="D183" s="883"/>
      <c r="E183" s="884" t="s">
        <v>19</v>
      </c>
      <c r="F183" s="883"/>
      <c r="G183" s="994"/>
      <c r="H183" s="158" t="s">
        <v>12</v>
      </c>
      <c r="I183" s="886"/>
      <c r="J183" s="886"/>
      <c r="K183" s="887"/>
      <c r="L183" s="887">
        <f t="shared" ca="1" si="95"/>
        <v>673400</v>
      </c>
      <c r="M183" s="887">
        <f t="shared" ca="1" si="95"/>
        <v>535500</v>
      </c>
      <c r="N183" s="887">
        <f t="shared" ca="1" si="95"/>
        <v>318449.02</v>
      </c>
      <c r="O183" s="887">
        <f t="shared" ca="1" si="93"/>
        <v>47.289726759726761</v>
      </c>
      <c r="P183" s="887">
        <f t="shared" ca="1" si="94"/>
        <v>59.467604108309992</v>
      </c>
      <c r="Q183" s="875"/>
      <c r="R183" s="875"/>
      <c r="S183" s="875"/>
      <c r="T183" s="875"/>
      <c r="U183" s="875"/>
      <c r="V183" s="875"/>
      <c r="W183" s="875"/>
      <c r="X183" s="875"/>
      <c r="Y183" s="875"/>
      <c r="Z183" s="875"/>
    </row>
    <row r="184" spans="1:26" ht="18.75">
      <c r="A184" s="995"/>
      <c r="B184" s="877"/>
      <c r="C184" s="996"/>
      <c r="D184" s="878" t="s">
        <v>20</v>
      </c>
      <c r="E184" s="877"/>
      <c r="F184" s="877"/>
      <c r="G184" s="879"/>
      <c r="H184" s="161" t="s">
        <v>12</v>
      </c>
      <c r="I184" s="997"/>
      <c r="J184" s="997"/>
      <c r="K184" s="998"/>
      <c r="L184" s="881">
        <f t="shared" ref="L184:N184" ca="1" si="96">L185+L186</f>
        <v>673400</v>
      </c>
      <c r="M184" s="881">
        <f t="shared" ca="1" si="96"/>
        <v>535500</v>
      </c>
      <c r="N184" s="881">
        <f t="shared" ca="1" si="96"/>
        <v>318449.02</v>
      </c>
      <c r="O184" s="881">
        <f t="shared" ca="1" si="93"/>
        <v>47.289726759726761</v>
      </c>
      <c r="P184" s="881">
        <f t="shared" ca="1" si="94"/>
        <v>59.467604108309992</v>
      </c>
      <c r="Q184" s="868"/>
      <c r="R184" s="868"/>
      <c r="S184" s="868"/>
      <c r="T184" s="868"/>
      <c r="U184" s="868"/>
      <c r="V184" s="868"/>
      <c r="W184" s="868"/>
      <c r="X184" s="868"/>
      <c r="Y184" s="868"/>
      <c r="Z184" s="868"/>
    </row>
    <row r="185" spans="1:26" ht="19.5" hidden="1">
      <c r="A185" s="993"/>
      <c r="B185" s="883"/>
      <c r="C185" s="999"/>
      <c r="D185" s="883"/>
      <c r="E185" s="884" t="s">
        <v>36</v>
      </c>
      <c r="F185" s="883"/>
      <c r="G185" s="994"/>
      <c r="H185" s="165" t="s">
        <v>12</v>
      </c>
      <c r="I185" s="1000"/>
      <c r="J185" s="1000"/>
      <c r="K185" s="1001"/>
      <c r="L185" s="887">
        <v>0</v>
      </c>
      <c r="M185" s="887">
        <v>0</v>
      </c>
      <c r="N185" s="887">
        <v>0</v>
      </c>
      <c r="O185" s="887">
        <f t="shared" si="93"/>
        <v>0</v>
      </c>
      <c r="P185" s="887">
        <f t="shared" si="94"/>
        <v>0</v>
      </c>
      <c r="Q185" s="875"/>
      <c r="R185" s="875"/>
      <c r="S185" s="875"/>
      <c r="T185" s="875"/>
      <c r="U185" s="875"/>
      <c r="V185" s="875"/>
      <c r="W185" s="875"/>
      <c r="X185" s="875"/>
      <c r="Y185" s="875"/>
      <c r="Z185" s="875"/>
    </row>
    <row r="186" spans="1:26" ht="19.5" hidden="1">
      <c r="A186" s="993"/>
      <c r="B186" s="883"/>
      <c r="C186" s="999"/>
      <c r="D186" s="883"/>
      <c r="E186" s="884" t="s">
        <v>37</v>
      </c>
      <c r="F186" s="883"/>
      <c r="G186" s="994"/>
      <c r="H186" s="165" t="s">
        <v>12</v>
      </c>
      <c r="I186" s="1000"/>
      <c r="J186" s="1000"/>
      <c r="K186" s="1001"/>
      <c r="L186" s="887">
        <f ca="1">IFERROR(__xludf.DUMMYFUNCTION("IMPORTRANGE(""https://docs.google.com/spreadsheets/d/1MeEWN-I1oV_STSDYn1IFDPWt_1FKiwhDph83XaGc0o0/edit?usp=sharing"",""งบพรบ!CO78"")"),673400)</f>
        <v>673400</v>
      </c>
      <c r="M186" s="887">
        <f ca="1">IFERROR(__xludf.DUMMYFUNCTION("IMPORTRANGE(""https://docs.google.com/spreadsheets/d/1MeEWN-I1oV_STSDYn1IFDPWt_1FKiwhDph83XaGc0o0/edit?usp=sharing"",""งบพรบ!CT78"")"),535500)</f>
        <v>535500</v>
      </c>
      <c r="N186" s="887">
        <f ca="1">IFERROR(__xludf.DUMMYFUNCTION("IMPORTRANGE(""https://docs.google.com/spreadsheets/d/1MeEWN-I1oV_STSDYn1IFDPWt_1FKiwhDph83XaGc0o0/edit?usp=sharing"",""งบพรบ!CV78"")"),318449.02)</f>
        <v>318449.02</v>
      </c>
      <c r="O186" s="887">
        <f t="shared" ca="1" si="93"/>
        <v>47.289726759726761</v>
      </c>
      <c r="P186" s="887">
        <f t="shared" ca="1" si="94"/>
        <v>59.467604108309992</v>
      </c>
      <c r="Q186" s="875"/>
      <c r="R186" s="875"/>
      <c r="S186" s="875"/>
      <c r="T186" s="875"/>
      <c r="U186" s="875"/>
      <c r="V186" s="875"/>
      <c r="W186" s="875"/>
      <c r="X186" s="875"/>
      <c r="Y186" s="875"/>
      <c r="Z186" s="875"/>
    </row>
    <row r="187" spans="1:26" ht="18.75">
      <c r="A187" s="995"/>
      <c r="B187" s="877"/>
      <c r="C187" s="996"/>
      <c r="D187" s="878" t="s">
        <v>21</v>
      </c>
      <c r="E187" s="877"/>
      <c r="F187" s="877"/>
      <c r="G187" s="879"/>
      <c r="H187" s="168" t="s">
        <v>12</v>
      </c>
      <c r="I187" s="997"/>
      <c r="J187" s="997"/>
      <c r="K187" s="998"/>
      <c r="L187" s="881">
        <f t="shared" ref="L187:N187" ca="1" si="97">L188+L189</f>
        <v>0</v>
      </c>
      <c r="M187" s="881">
        <f t="shared" ca="1" si="97"/>
        <v>0</v>
      </c>
      <c r="N187" s="881">
        <f t="shared" ca="1" si="97"/>
        <v>0</v>
      </c>
      <c r="O187" s="881">
        <f t="shared" ca="1" si="93"/>
        <v>0</v>
      </c>
      <c r="P187" s="881">
        <f t="shared" ca="1" si="94"/>
        <v>0</v>
      </c>
      <c r="Q187" s="868"/>
      <c r="R187" s="868"/>
      <c r="S187" s="868"/>
      <c r="T187" s="868"/>
      <c r="U187" s="868"/>
      <c r="V187" s="868"/>
      <c r="W187" s="868"/>
      <c r="X187" s="868"/>
      <c r="Y187" s="868"/>
      <c r="Z187" s="868"/>
    </row>
    <row r="188" spans="1:26" ht="19.5" hidden="1">
      <c r="A188" s="993"/>
      <c r="B188" s="883"/>
      <c r="C188" s="999"/>
      <c r="D188" s="883"/>
      <c r="E188" s="884" t="s">
        <v>18</v>
      </c>
      <c r="F188" s="883"/>
      <c r="G188" s="994"/>
      <c r="H188" s="165" t="s">
        <v>12</v>
      </c>
      <c r="I188" s="1000"/>
      <c r="J188" s="1000"/>
      <c r="K188" s="1001"/>
      <c r="L188" s="887">
        <v>0</v>
      </c>
      <c r="M188" s="887">
        <v>0</v>
      </c>
      <c r="N188" s="887">
        <v>0</v>
      </c>
      <c r="O188" s="887">
        <f t="shared" si="93"/>
        <v>0</v>
      </c>
      <c r="P188" s="887">
        <f t="shared" si="94"/>
        <v>0</v>
      </c>
      <c r="Q188" s="875"/>
      <c r="R188" s="875"/>
      <c r="S188" s="875"/>
      <c r="T188" s="875"/>
      <c r="U188" s="875"/>
      <c r="V188" s="875"/>
      <c r="W188" s="875"/>
      <c r="X188" s="875"/>
      <c r="Y188" s="875"/>
      <c r="Z188" s="875"/>
    </row>
    <row r="189" spans="1:26" ht="19.5" hidden="1">
      <c r="A189" s="993"/>
      <c r="B189" s="883"/>
      <c r="C189" s="999"/>
      <c r="D189" s="883"/>
      <c r="E189" s="884" t="s">
        <v>19</v>
      </c>
      <c r="F189" s="883"/>
      <c r="G189" s="994"/>
      <c r="H189" s="169" t="s">
        <v>12</v>
      </c>
      <c r="I189" s="1000"/>
      <c r="J189" s="1000"/>
      <c r="K189" s="1001"/>
      <c r="L189" s="887">
        <f ca="1">IFERROR(__xludf.DUMMYFUNCTION("IMPORTRANGE(""https://docs.google.com/spreadsheets/d/1MeEWN-I1oV_STSDYn1IFDPWt_1FKiwhDph83XaGc0o0/edit?usp=sharing"",""งบพรบ!CR78"")"),0)</f>
        <v>0</v>
      </c>
      <c r="M189" s="887">
        <f ca="1">IFERROR(__xludf.DUMMYFUNCTION("IMPORTRANGE(""https://docs.google.com/spreadsheets/d/1MeEWN-I1oV_STSDYn1IFDPWt_1FKiwhDph83XaGc0o0/edit?usp=sharing"",""งบพรบ!CU78"")"),0)</f>
        <v>0</v>
      </c>
      <c r="N189" s="887">
        <f ca="1">IFERROR(__xludf.DUMMYFUNCTION("IMPORTRANGE(""https://docs.google.com/spreadsheets/d/1MeEWN-I1oV_STSDYn1IFDPWt_1FKiwhDph83XaGc0o0/edit?usp=sharing"",""งบพรบ!CW78"")"),0)</f>
        <v>0</v>
      </c>
      <c r="O189" s="887">
        <f t="shared" ca="1" si="93"/>
        <v>0</v>
      </c>
      <c r="P189" s="887">
        <f t="shared" ca="1" si="94"/>
        <v>0</v>
      </c>
      <c r="Q189" s="875"/>
      <c r="R189" s="875"/>
      <c r="S189" s="875"/>
      <c r="T189" s="875"/>
      <c r="U189" s="875"/>
      <c r="V189" s="875"/>
      <c r="W189" s="875"/>
      <c r="X189" s="875"/>
      <c r="Y189" s="875"/>
      <c r="Z189" s="875"/>
    </row>
    <row r="190" spans="1:26" ht="19.5">
      <c r="A190" s="1063"/>
      <c r="B190" s="1070"/>
      <c r="C190" s="1077" t="s">
        <v>89</v>
      </c>
      <c r="D190" s="1064"/>
      <c r="E190" s="1064"/>
      <c r="F190" s="1064"/>
      <c r="G190" s="1066"/>
      <c r="H190" s="260" t="s">
        <v>90</v>
      </c>
      <c r="I190" s="1078">
        <f t="shared" ref="I190:J190" ca="1" si="98">I193</f>
        <v>4</v>
      </c>
      <c r="J190" s="1078">
        <f t="shared" si="98"/>
        <v>2</v>
      </c>
      <c r="K190" s="1079">
        <f ca="1">IF(I190&gt;0,J190*100/I190,0)</f>
        <v>50</v>
      </c>
      <c r="L190" s="1068"/>
      <c r="M190" s="1068"/>
      <c r="N190" s="1068"/>
      <c r="O190" s="1068"/>
      <c r="P190" s="1068"/>
    </row>
    <row r="191" spans="1:26" ht="19.5">
      <c r="A191" s="985"/>
      <c r="B191" s="986"/>
      <c r="C191" s="987" t="s">
        <v>16</v>
      </c>
      <c r="D191" s="1080" t="s">
        <v>17</v>
      </c>
      <c r="E191" s="986"/>
      <c r="F191" s="986"/>
      <c r="G191" s="989"/>
      <c r="H191" s="275" t="s">
        <v>12</v>
      </c>
      <c r="I191" s="990"/>
      <c r="J191" s="990"/>
      <c r="K191" s="991"/>
      <c r="L191" s="992">
        <f ca="1">IFERROR(__xludf.DUMMYFUNCTION("IMPORTRANGE(""https://docs.google.com/spreadsheets/d/1QqKyyYR6Q21VydFLVH3TRQUabQu_ym0Zz7PgGX0-kHA/edit?usp=sharing"",""แผน!Z78"")"),6000)</f>
        <v>6000</v>
      </c>
      <c r="M191" s="992"/>
      <c r="N191" s="1081">
        <v>860</v>
      </c>
      <c r="O191" s="992">
        <f ca="1">IF(L191&gt;0,N191*100/L191,0)</f>
        <v>14.333333333333334</v>
      </c>
      <c r="P191" s="992">
        <f>IF(M191&gt;0,N191*100/M191,0)</f>
        <v>0</v>
      </c>
      <c r="Q191" s="868"/>
      <c r="R191" s="868"/>
      <c r="S191" s="868"/>
      <c r="T191" s="868"/>
      <c r="U191" s="868"/>
      <c r="V191" s="868"/>
      <c r="W191" s="868"/>
      <c r="X191" s="868"/>
      <c r="Y191" s="868"/>
      <c r="Z191" s="868"/>
    </row>
    <row r="192" spans="1:26" ht="19.5">
      <c r="A192" s="1002"/>
      <c r="B192" s="1003"/>
      <c r="C192" s="1029" t="s">
        <v>16</v>
      </c>
      <c r="D192" s="1004" t="s">
        <v>38</v>
      </c>
      <c r="E192" s="1005"/>
      <c r="F192" s="1005"/>
      <c r="G192" s="1006"/>
      <c r="H192" s="1007"/>
      <c r="I192" s="880"/>
      <c r="J192" s="880"/>
      <c r="K192" s="881"/>
      <c r="L192" s="881"/>
      <c r="M192" s="881"/>
      <c r="N192" s="881"/>
      <c r="O192" s="881"/>
      <c r="P192" s="881"/>
      <c r="Q192" s="868"/>
      <c r="R192" s="868"/>
      <c r="S192" s="868"/>
      <c r="T192" s="868"/>
      <c r="U192" s="868"/>
      <c r="V192" s="868"/>
      <c r="W192" s="868"/>
      <c r="X192" s="868"/>
      <c r="Y192" s="868"/>
      <c r="Z192" s="868"/>
    </row>
    <row r="193" spans="1:26" ht="18.75">
      <c r="A193" s="1002"/>
      <c r="B193" s="1003"/>
      <c r="C193" s="1003"/>
      <c r="D193" s="1009" t="s">
        <v>91</v>
      </c>
      <c r="E193" s="1010"/>
      <c r="F193" s="1010"/>
      <c r="G193" s="1011"/>
      <c r="H193" s="762" t="s">
        <v>90</v>
      </c>
      <c r="I193" s="880">
        <f ca="1">IFERROR(__xludf.DUMMYFUNCTION("IMPORTRANGE(""https://docs.google.com/spreadsheets/d/1QqKyyYR6Q21VydFLVH3TRQUabQu_ym0Zz7PgGX0-kHA/edit?usp=sharing"",""แผน!AC78"")"),4)</f>
        <v>4</v>
      </c>
      <c r="J193" s="1012">
        <v>2</v>
      </c>
      <c r="K193" s="881">
        <f ca="1">IF(I193&gt;0,J193*100/I193,0)</f>
        <v>50</v>
      </c>
      <c r="L193" s="881"/>
      <c r="M193" s="881"/>
      <c r="N193" s="881"/>
      <c r="O193" s="881"/>
      <c r="P193" s="881"/>
      <c r="Q193" s="868"/>
      <c r="R193" s="868"/>
      <c r="S193" s="868"/>
      <c r="T193" s="868"/>
      <c r="U193" s="868"/>
      <c r="V193" s="868"/>
      <c r="W193" s="868"/>
      <c r="X193" s="868"/>
      <c r="Y193" s="868"/>
      <c r="Z193" s="868"/>
    </row>
    <row r="194" spans="1:26" ht="18.75">
      <c r="A194" s="1002"/>
      <c r="B194" s="1003"/>
      <c r="C194" s="1003"/>
      <c r="D194" s="1009" t="s">
        <v>92</v>
      </c>
      <c r="E194" s="1010"/>
      <c r="F194" s="1010"/>
      <c r="G194" s="1011"/>
      <c r="H194" s="277" t="s">
        <v>35</v>
      </c>
      <c r="I194" s="880"/>
      <c r="J194" s="880">
        <f>J195+J196</f>
        <v>109</v>
      </c>
      <c r="K194" s="881"/>
      <c r="L194" s="881"/>
      <c r="M194" s="881"/>
      <c r="N194" s="881"/>
      <c r="O194" s="881"/>
      <c r="P194" s="881"/>
      <c r="Q194" s="868"/>
      <c r="R194" s="868"/>
      <c r="S194" s="868"/>
      <c r="T194" s="868"/>
      <c r="U194" s="868"/>
      <c r="V194" s="868"/>
      <c r="W194" s="868"/>
      <c r="X194" s="868"/>
      <c r="Y194" s="868"/>
      <c r="Z194" s="868"/>
    </row>
    <row r="195" spans="1:26" ht="18.75">
      <c r="A195" s="1002"/>
      <c r="B195" s="1003"/>
      <c r="C195" s="1003"/>
      <c r="D195" s="1003"/>
      <c r="E195" s="1009" t="s">
        <v>93</v>
      </c>
      <c r="F195" s="1010"/>
      <c r="G195" s="1011"/>
      <c r="H195" s="277" t="s">
        <v>35</v>
      </c>
      <c r="I195" s="880"/>
      <c r="J195" s="1012">
        <f>54+55</f>
        <v>109</v>
      </c>
      <c r="K195" s="881"/>
      <c r="L195" s="881"/>
      <c r="M195" s="881"/>
      <c r="N195" s="881"/>
      <c r="O195" s="881"/>
      <c r="P195" s="881"/>
      <c r="Q195" s="868"/>
      <c r="R195" s="868"/>
      <c r="S195" s="868"/>
      <c r="T195" s="868"/>
      <c r="U195" s="868"/>
      <c r="V195" s="868"/>
      <c r="W195" s="868"/>
      <c r="X195" s="868"/>
      <c r="Y195" s="868"/>
      <c r="Z195" s="868"/>
    </row>
    <row r="196" spans="1:26" ht="18.75">
      <c r="A196" s="1002"/>
      <c r="B196" s="1003"/>
      <c r="C196" s="1003"/>
      <c r="D196" s="1003"/>
      <c r="E196" s="1009" t="s">
        <v>94</v>
      </c>
      <c r="F196" s="1010"/>
      <c r="G196" s="1011"/>
      <c r="H196" s="277" t="s">
        <v>35</v>
      </c>
      <c r="I196" s="880"/>
      <c r="J196" s="1012">
        <v>0</v>
      </c>
      <c r="K196" s="881"/>
      <c r="L196" s="881"/>
      <c r="M196" s="881"/>
      <c r="N196" s="881"/>
      <c r="O196" s="881"/>
      <c r="P196" s="881"/>
      <c r="Q196" s="868"/>
      <c r="R196" s="868"/>
      <c r="S196" s="868"/>
      <c r="T196" s="868"/>
      <c r="U196" s="868"/>
      <c r="V196" s="868"/>
      <c r="W196" s="868"/>
      <c r="X196" s="868"/>
      <c r="Y196" s="868"/>
      <c r="Z196" s="868"/>
    </row>
    <row r="197" spans="1:26" ht="19.5">
      <c r="A197" s="1063"/>
      <c r="B197" s="1070"/>
      <c r="C197" s="1077" t="s">
        <v>95</v>
      </c>
      <c r="D197" s="1064"/>
      <c r="E197" s="1064"/>
      <c r="F197" s="1064"/>
      <c r="G197" s="1066"/>
      <c r="H197" s="278" t="s">
        <v>96</v>
      </c>
      <c r="I197" s="1078">
        <f t="shared" ref="I197:J197" ca="1" si="99">I204</f>
        <v>3</v>
      </c>
      <c r="J197" s="1078">
        <f t="shared" si="99"/>
        <v>3</v>
      </c>
      <c r="K197" s="1079">
        <f ca="1">IF(I197&gt;0,J197*100/I197,0)</f>
        <v>100</v>
      </c>
      <c r="L197" s="1068"/>
      <c r="M197" s="1068"/>
      <c r="N197" s="1068"/>
      <c r="O197" s="1068"/>
      <c r="P197" s="1068"/>
    </row>
    <row r="198" spans="1:26" ht="19.5">
      <c r="A198" s="985"/>
      <c r="B198" s="986"/>
      <c r="C198" s="987" t="s">
        <v>16</v>
      </c>
      <c r="D198" s="1080" t="s">
        <v>17</v>
      </c>
      <c r="E198" s="986"/>
      <c r="F198" s="986"/>
      <c r="G198" s="989"/>
      <c r="H198" s="275" t="s">
        <v>12</v>
      </c>
      <c r="I198" s="1082"/>
      <c r="J198" s="1082"/>
      <c r="K198" s="1083"/>
      <c r="L198" s="992">
        <f ca="1">L199+L200+L201+L202</f>
        <v>44000</v>
      </c>
      <c r="M198" s="992"/>
      <c r="N198" s="992">
        <f>N199+N200+N201+N202</f>
        <v>31594</v>
      </c>
      <c r="O198" s="992">
        <f ca="1">IF(L198&gt;0,N198*100/L198,0)</f>
        <v>71.804545454545448</v>
      </c>
      <c r="P198" s="992">
        <f>IF(M198&gt;0,N198*100/M198,0)</f>
        <v>0</v>
      </c>
      <c r="Q198" s="868"/>
      <c r="R198" s="868"/>
      <c r="S198" s="868"/>
      <c r="T198" s="868"/>
      <c r="U198" s="868"/>
      <c r="V198" s="868"/>
      <c r="W198" s="868"/>
      <c r="X198" s="868"/>
      <c r="Y198" s="868"/>
      <c r="Z198" s="868"/>
    </row>
    <row r="199" spans="1:26" ht="18.75">
      <c r="A199" s="995"/>
      <c r="B199" s="1084"/>
      <c r="C199" s="877"/>
      <c r="D199" s="996" t="s">
        <v>97</v>
      </c>
      <c r="E199" s="877"/>
      <c r="F199" s="877"/>
      <c r="G199" s="879"/>
      <c r="H199" s="161" t="s">
        <v>12</v>
      </c>
      <c r="I199" s="997"/>
      <c r="J199" s="997"/>
      <c r="K199" s="998"/>
      <c r="L199" s="881">
        <f ca="1">IFERROR(__xludf.DUMMYFUNCTION("IMPORTRANGE(""https://docs.google.com/spreadsheets/d/1QqKyyYR6Q21VydFLVH3TRQUabQu_ym0Zz7PgGX0-kHA/edit?usp=sharing"",""แผน!AE78"")"),3000)</f>
        <v>3000</v>
      </c>
      <c r="M199" s="881"/>
      <c r="N199" s="1085">
        <v>1100</v>
      </c>
      <c r="O199" s="881"/>
      <c r="P199" s="881"/>
      <c r="Q199" s="868"/>
      <c r="R199" s="868"/>
      <c r="S199" s="868"/>
      <c r="T199" s="868"/>
      <c r="U199" s="868"/>
      <c r="V199" s="868"/>
      <c r="W199" s="868"/>
      <c r="X199" s="868"/>
      <c r="Y199" s="868"/>
      <c r="Z199" s="868"/>
    </row>
    <row r="200" spans="1:26" ht="19.5">
      <c r="A200" s="1086"/>
      <c r="B200" s="1084"/>
      <c r="C200" s="1029"/>
      <c r="D200" s="996" t="s">
        <v>98</v>
      </c>
      <c r="E200" s="877"/>
      <c r="F200" s="877"/>
      <c r="G200" s="879"/>
      <c r="H200" s="622" t="s">
        <v>12</v>
      </c>
      <c r="I200" s="880"/>
      <c r="J200" s="880"/>
      <c r="K200" s="881"/>
      <c r="L200" s="881">
        <f ca="1">IFERROR(__xludf.DUMMYFUNCTION("IMPORTRANGE(""https://docs.google.com/spreadsheets/d/1QqKyyYR6Q21VydFLVH3TRQUabQu_ym0Zz7PgGX0-kHA/edit?usp=sharing"",""แผน!AF78"")"),24000)</f>
        <v>24000</v>
      </c>
      <c r="M200" s="881"/>
      <c r="N200" s="1085">
        <f>20560+9934</f>
        <v>30494</v>
      </c>
      <c r="O200" s="881"/>
      <c r="P200" s="881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</row>
    <row r="201" spans="1:26" ht="19.5">
      <c r="A201" s="1086"/>
      <c r="B201" s="1084"/>
      <c r="C201" s="1029"/>
      <c r="D201" s="996" t="s">
        <v>99</v>
      </c>
      <c r="E201" s="877"/>
      <c r="F201" s="877"/>
      <c r="G201" s="879"/>
      <c r="H201" s="622" t="s">
        <v>12</v>
      </c>
      <c r="I201" s="880"/>
      <c r="J201" s="880"/>
      <c r="K201" s="881"/>
      <c r="L201" s="881">
        <f ca="1">IFERROR(__xludf.DUMMYFUNCTION("IMPORTRANGE(""https://docs.google.com/spreadsheets/d/1QqKyyYR6Q21VydFLVH3TRQUabQu_ym0Zz7PgGX0-kHA/edit?usp=sharing"",""แผน!AG78"")"),12000)</f>
        <v>12000</v>
      </c>
      <c r="M201" s="881"/>
      <c r="N201" s="1085"/>
      <c r="O201" s="881"/>
      <c r="P201" s="881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</row>
    <row r="202" spans="1:26" ht="19.5">
      <c r="A202" s="1086"/>
      <c r="B202" s="1084"/>
      <c r="C202" s="1029"/>
      <c r="D202" s="996" t="s">
        <v>100</v>
      </c>
      <c r="E202" s="877"/>
      <c r="F202" s="877"/>
      <c r="G202" s="879"/>
      <c r="H202" s="622" t="s">
        <v>12</v>
      </c>
      <c r="I202" s="880"/>
      <c r="J202" s="880"/>
      <c r="K202" s="881"/>
      <c r="L202" s="881">
        <f ca="1">IFERROR(__xludf.DUMMYFUNCTION("IMPORTRANGE(""https://docs.google.com/spreadsheets/d/1QqKyyYR6Q21VydFLVH3TRQUabQu_ym0Zz7PgGX0-kHA/edit?usp=sharing"",""แผน!AH78"")"),5000)</f>
        <v>5000</v>
      </c>
      <c r="M202" s="881"/>
      <c r="N202" s="1085">
        <v>0</v>
      </c>
      <c r="O202" s="881"/>
      <c r="P202" s="881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</row>
    <row r="203" spans="1:26" ht="19.5">
      <c r="A203" s="1002"/>
      <c r="B203" s="1003"/>
      <c r="C203" s="1029" t="s">
        <v>16</v>
      </c>
      <c r="D203" s="1004" t="s">
        <v>38</v>
      </c>
      <c r="E203" s="1005"/>
      <c r="F203" s="1005"/>
      <c r="G203" s="1006"/>
      <c r="H203" s="1007"/>
      <c r="I203" s="997"/>
      <c r="J203" s="997"/>
      <c r="K203" s="998"/>
      <c r="L203" s="998"/>
      <c r="M203" s="998"/>
      <c r="N203" s="998"/>
      <c r="O203" s="998"/>
      <c r="P203" s="99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</row>
    <row r="204" spans="1:26" ht="18.75">
      <c r="A204" s="1002"/>
      <c r="B204" s="1003"/>
      <c r="C204" s="1003"/>
      <c r="D204" s="1008" t="s">
        <v>101</v>
      </c>
      <c r="E204" s="1010"/>
      <c r="F204" s="1010"/>
      <c r="G204" s="1011"/>
      <c r="H204" s="1007" t="s">
        <v>96</v>
      </c>
      <c r="I204" s="880">
        <f ca="1">IFERROR(__xludf.DUMMYFUNCTION("IMPORTRANGE(""https://docs.google.com/spreadsheets/d/1QqKyyYR6Q21VydFLVH3TRQUabQu_ym0Zz7PgGX0-kHA/edit?usp=sharing"",""แผน!AI78"")"),3)</f>
        <v>3</v>
      </c>
      <c r="J204" s="1012">
        <v>3</v>
      </c>
      <c r="K204" s="998">
        <f ca="1">IF(I204&gt;0,J204*100/I204,0)</f>
        <v>100</v>
      </c>
      <c r="L204" s="881"/>
      <c r="M204" s="881"/>
      <c r="N204" s="881"/>
      <c r="O204" s="881"/>
      <c r="P204" s="881"/>
      <c r="Q204" s="868"/>
      <c r="R204" s="868"/>
      <c r="S204" s="868"/>
      <c r="T204" s="868"/>
      <c r="U204" s="868"/>
      <c r="V204" s="868"/>
      <c r="W204" s="868"/>
      <c r="X204" s="868"/>
      <c r="Y204" s="868"/>
      <c r="Z204" s="868"/>
    </row>
    <row r="205" spans="1:26" ht="18.75">
      <c r="A205" s="1002"/>
      <c r="B205" s="1003"/>
      <c r="C205" s="1003"/>
      <c r="D205" s="1009" t="s">
        <v>59</v>
      </c>
      <c r="E205" s="1010"/>
      <c r="F205" s="1010"/>
      <c r="G205" s="1011"/>
      <c r="H205" s="1007"/>
      <c r="I205" s="880"/>
      <c r="J205" s="880"/>
      <c r="K205" s="998"/>
      <c r="L205" s="881"/>
      <c r="M205" s="881"/>
      <c r="N205" s="881"/>
      <c r="O205" s="881"/>
      <c r="P205" s="881"/>
      <c r="Q205" s="868"/>
      <c r="R205" s="868"/>
      <c r="S205" s="868"/>
      <c r="T205" s="868"/>
      <c r="U205" s="868"/>
      <c r="V205" s="868"/>
      <c r="W205" s="868"/>
      <c r="X205" s="868"/>
      <c r="Y205" s="868"/>
      <c r="Z205" s="868"/>
    </row>
    <row r="206" spans="1:26" ht="18.75">
      <c r="A206" s="1002"/>
      <c r="B206" s="1003"/>
      <c r="C206" s="1003"/>
      <c r="D206" s="1010"/>
      <c r="E206" s="1021" t="s">
        <v>102</v>
      </c>
      <c r="F206" s="1088"/>
      <c r="G206" s="1089"/>
      <c r="H206" s="1090" t="s">
        <v>96</v>
      </c>
      <c r="I206" s="880">
        <v>3</v>
      </c>
      <c r="J206" s="1012">
        <v>3</v>
      </c>
      <c r="K206" s="998">
        <f t="shared" ref="K206:K208" si="100">IF(I206&gt;0,J206*100/I206,0)</f>
        <v>100</v>
      </c>
      <c r="L206" s="881"/>
      <c r="M206" s="881"/>
      <c r="N206" s="881"/>
      <c r="O206" s="881"/>
      <c r="P206" s="881"/>
      <c r="Q206" s="868"/>
      <c r="R206" s="868"/>
      <c r="S206" s="868"/>
      <c r="T206" s="868"/>
      <c r="U206" s="868"/>
      <c r="V206" s="868"/>
      <c r="W206" s="868"/>
      <c r="X206" s="868"/>
      <c r="Y206" s="868"/>
      <c r="Z206" s="868"/>
    </row>
    <row r="207" spans="1:26" ht="18.75">
      <c r="A207" s="1002"/>
      <c r="B207" s="1003"/>
      <c r="C207" s="1003"/>
      <c r="D207" s="1009"/>
      <c r="E207" s="1009" t="s">
        <v>103</v>
      </c>
      <c r="F207" s="1010"/>
      <c r="G207" s="1010"/>
      <c r="H207" s="290" t="s">
        <v>104</v>
      </c>
      <c r="I207" s="880">
        <v>1</v>
      </c>
      <c r="J207" s="1012">
        <v>0</v>
      </c>
      <c r="K207" s="998">
        <f t="shared" si="100"/>
        <v>0</v>
      </c>
      <c r="L207" s="881"/>
      <c r="M207" s="881"/>
      <c r="N207" s="881"/>
      <c r="O207" s="881"/>
      <c r="P207" s="881"/>
      <c r="Q207" s="868"/>
      <c r="R207" s="868"/>
      <c r="S207" s="868"/>
      <c r="T207" s="868"/>
      <c r="U207" s="868"/>
      <c r="V207" s="868"/>
      <c r="W207" s="868"/>
      <c r="X207" s="868"/>
      <c r="Y207" s="868"/>
      <c r="Z207" s="868"/>
    </row>
    <row r="208" spans="1:26" ht="19.5">
      <c r="A208" s="1063"/>
      <c r="B208" s="1070"/>
      <c r="C208" s="1077" t="s">
        <v>105</v>
      </c>
      <c r="D208" s="1064"/>
      <c r="E208" s="1064"/>
      <c r="F208" s="1091"/>
      <c r="G208" s="1066"/>
      <c r="H208" s="278" t="s">
        <v>96</v>
      </c>
      <c r="I208" s="1078">
        <f t="shared" ref="I208:J208" ca="1" si="101">I215</f>
        <v>2</v>
      </c>
      <c r="J208" s="1078">
        <f t="shared" si="101"/>
        <v>2</v>
      </c>
      <c r="K208" s="1079">
        <f t="shared" ca="1" si="100"/>
        <v>100</v>
      </c>
      <c r="L208" s="1068"/>
      <c r="M208" s="1068"/>
      <c r="N208" s="1068"/>
      <c r="O208" s="1068"/>
      <c r="P208" s="1068"/>
    </row>
    <row r="209" spans="1:26" ht="19.5">
      <c r="A209" s="985"/>
      <c r="B209" s="986"/>
      <c r="C209" s="987" t="s">
        <v>16</v>
      </c>
      <c r="D209" s="1080" t="s">
        <v>17</v>
      </c>
      <c r="E209" s="986"/>
      <c r="F209" s="986"/>
      <c r="G209" s="989"/>
      <c r="H209" s="275" t="s">
        <v>12</v>
      </c>
      <c r="I209" s="1082"/>
      <c r="J209" s="1082"/>
      <c r="K209" s="1083"/>
      <c r="L209" s="992">
        <f ca="1">L210+L211+L212</f>
        <v>28000</v>
      </c>
      <c r="M209" s="992"/>
      <c r="N209" s="992">
        <f>N210+N211+N212</f>
        <v>16305</v>
      </c>
      <c r="O209" s="992">
        <f ca="1">IF(L209&gt;0,N209*100/L209,0)</f>
        <v>58.232142857142854</v>
      </c>
      <c r="P209" s="992">
        <f>IF(M209&gt;0,N209*100/M209,0)</f>
        <v>0</v>
      </c>
      <c r="Q209" s="868"/>
      <c r="R209" s="868"/>
      <c r="S209" s="868"/>
      <c r="T209" s="868"/>
      <c r="U209" s="868"/>
      <c r="V209" s="868"/>
      <c r="W209" s="868"/>
      <c r="X209" s="868"/>
      <c r="Y209" s="868"/>
      <c r="Z209" s="868"/>
    </row>
    <row r="210" spans="1:26" ht="18.75">
      <c r="A210" s="995"/>
      <c r="B210" s="1084"/>
      <c r="C210" s="877"/>
      <c r="D210" s="996" t="s">
        <v>97</v>
      </c>
      <c r="E210" s="877"/>
      <c r="F210" s="877"/>
      <c r="G210" s="879"/>
      <c r="H210" s="161" t="s">
        <v>12</v>
      </c>
      <c r="I210" s="997"/>
      <c r="J210" s="997"/>
      <c r="K210" s="998"/>
      <c r="L210" s="881">
        <f ca="1">IFERROR(__xludf.DUMMYFUNCTION("IMPORTRANGE(""https://docs.google.com/spreadsheets/d/1QqKyyYR6Q21VydFLVH3TRQUabQu_ym0Zz7PgGX0-kHA/edit?usp=sharing"",""แผน!AK78"")"),2000)</f>
        <v>2000</v>
      </c>
      <c r="M210" s="881"/>
      <c r="N210" s="1085">
        <v>0</v>
      </c>
      <c r="O210" s="881"/>
      <c r="P210" s="881"/>
      <c r="Q210" s="868"/>
      <c r="R210" s="868"/>
      <c r="S210" s="868"/>
      <c r="T210" s="868"/>
      <c r="U210" s="868"/>
      <c r="V210" s="868"/>
      <c r="W210" s="868"/>
      <c r="X210" s="868"/>
      <c r="Y210" s="868"/>
      <c r="Z210" s="868"/>
    </row>
    <row r="211" spans="1:26" ht="19.5">
      <c r="A211" s="1086"/>
      <c r="B211" s="1084"/>
      <c r="C211" s="1092"/>
      <c r="D211" s="996" t="s">
        <v>99</v>
      </c>
      <c r="E211" s="877"/>
      <c r="F211" s="877"/>
      <c r="G211" s="879"/>
      <c r="H211" s="161" t="s">
        <v>12</v>
      </c>
      <c r="I211" s="880"/>
      <c r="J211" s="880"/>
      <c r="K211" s="881"/>
      <c r="L211" s="881">
        <f ca="1">IFERROR(__xludf.DUMMYFUNCTION("IMPORTRANGE(""https://docs.google.com/spreadsheets/d/1QqKyyYR6Q21VydFLVH3TRQUabQu_ym0Zz7PgGX0-kHA/edit?usp=sharing"",""แผน!AL78"")"),10000)</f>
        <v>10000</v>
      </c>
      <c r="M211" s="881"/>
      <c r="N211" s="1085">
        <v>0</v>
      </c>
      <c r="O211" s="881"/>
      <c r="P211" s="881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</row>
    <row r="212" spans="1:26" ht="19.5">
      <c r="A212" s="1086"/>
      <c r="B212" s="1084"/>
      <c r="C212" s="1092"/>
      <c r="D212" s="996" t="s">
        <v>98</v>
      </c>
      <c r="E212" s="877"/>
      <c r="F212" s="877"/>
      <c r="G212" s="879"/>
      <c r="H212" s="161" t="s">
        <v>12</v>
      </c>
      <c r="I212" s="880"/>
      <c r="J212" s="880"/>
      <c r="K212" s="881"/>
      <c r="L212" s="881">
        <f ca="1">IFERROR(__xludf.DUMMYFUNCTION("IMPORTRANGE(""https://docs.google.com/spreadsheets/d/1QqKyyYR6Q21VydFLVH3TRQUabQu_ym0Zz7PgGX0-kHA/edit?usp=sharing"",""แผน!AM78"")"),16000)</f>
        <v>16000</v>
      </c>
      <c r="M212" s="881"/>
      <c r="N212" s="1085">
        <v>16305</v>
      </c>
      <c r="O212" s="881"/>
      <c r="P212" s="881"/>
      <c r="Q212" s="1087"/>
      <c r="R212" s="1087"/>
      <c r="S212" s="1087"/>
      <c r="T212" s="1087"/>
      <c r="U212" s="1087"/>
      <c r="V212" s="1087"/>
      <c r="W212" s="1087"/>
      <c r="X212" s="1087"/>
      <c r="Y212" s="1087"/>
      <c r="Z212" s="1087"/>
    </row>
    <row r="213" spans="1:26" ht="19.5">
      <c r="A213" s="1002"/>
      <c r="B213" s="1003"/>
      <c r="C213" s="1092" t="s">
        <v>16</v>
      </c>
      <c r="D213" s="1004" t="s">
        <v>38</v>
      </c>
      <c r="E213" s="1005"/>
      <c r="F213" s="1005"/>
      <c r="G213" s="1006"/>
      <c r="H213" s="1007"/>
      <c r="I213" s="997"/>
      <c r="J213" s="880"/>
      <c r="K213" s="881"/>
      <c r="L213" s="881"/>
      <c r="M213" s="881"/>
      <c r="N213" s="881"/>
      <c r="O213" s="998"/>
      <c r="P213" s="998"/>
      <c r="Q213" s="868"/>
      <c r="R213" s="868"/>
      <c r="S213" s="868"/>
      <c r="T213" s="868"/>
      <c r="U213" s="868"/>
      <c r="V213" s="868"/>
      <c r="W213" s="868"/>
      <c r="X213" s="868"/>
      <c r="Y213" s="868"/>
      <c r="Z213" s="868"/>
    </row>
    <row r="214" spans="1:26" ht="18.75">
      <c r="A214" s="1002"/>
      <c r="B214" s="1003"/>
      <c r="C214" s="1003"/>
      <c r="D214" s="1008" t="s">
        <v>106</v>
      </c>
      <c r="E214" s="1010"/>
      <c r="F214" s="1010"/>
      <c r="G214" s="1011"/>
      <c r="H214" s="1007" t="s">
        <v>96</v>
      </c>
      <c r="I214" s="880">
        <f ca="1">IFERROR(__xludf.DUMMYFUNCTION("IMPORTRANGE(""https://docs.google.com/spreadsheets/d/1QqKyyYR6Q21VydFLVH3TRQUabQu_ym0Zz7PgGX0-kHA/edit?usp=sharing"",""แผน!AN78"")"),2)</f>
        <v>2</v>
      </c>
      <c r="J214" s="1012">
        <v>0</v>
      </c>
      <c r="K214" s="881">
        <f t="shared" ref="K214:K216" ca="1" si="102">IF(I214&gt;0,J214*100/I214,0)</f>
        <v>0</v>
      </c>
      <c r="L214" s="881"/>
      <c r="M214" s="881"/>
      <c r="N214" s="881"/>
      <c r="O214" s="881"/>
      <c r="P214" s="881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</row>
    <row r="215" spans="1:26" ht="18.75">
      <c r="A215" s="1002"/>
      <c r="B215" s="1003"/>
      <c r="C215" s="1003"/>
      <c r="D215" s="1008" t="s">
        <v>107</v>
      </c>
      <c r="E215" s="1010"/>
      <c r="F215" s="1010"/>
      <c r="G215" s="1011"/>
      <c r="H215" s="1007" t="s">
        <v>96</v>
      </c>
      <c r="I215" s="880">
        <f ca="1">IFERROR(__xludf.DUMMYFUNCTION("IMPORTRANGE(""https://docs.google.com/spreadsheets/d/1QqKyyYR6Q21VydFLVH3TRQUabQu_ym0Zz7PgGX0-kHA/edit?usp=sharing"",""แผน!AN78"")"),2)</f>
        <v>2</v>
      </c>
      <c r="J215" s="1012">
        <v>2</v>
      </c>
      <c r="K215" s="881">
        <f t="shared" ca="1" si="102"/>
        <v>100</v>
      </c>
      <c r="L215" s="881"/>
      <c r="M215" s="881"/>
      <c r="N215" s="881"/>
      <c r="O215" s="881"/>
      <c r="P215" s="881"/>
      <c r="Q215" s="868"/>
      <c r="R215" s="868"/>
      <c r="S215" s="868"/>
      <c r="T215" s="868"/>
      <c r="U215" s="868"/>
      <c r="V215" s="868"/>
      <c r="W215" s="868"/>
      <c r="X215" s="868"/>
      <c r="Y215" s="868"/>
      <c r="Z215" s="868"/>
    </row>
    <row r="216" spans="1:26" ht="19.5">
      <c r="A216" s="1063"/>
      <c r="B216" s="1070"/>
      <c r="C216" s="1077" t="s">
        <v>108</v>
      </c>
      <c r="D216" s="1064"/>
      <c r="E216" s="1064"/>
      <c r="F216" s="1091"/>
      <c r="G216" s="1066"/>
      <c r="H216" s="260" t="s">
        <v>109</v>
      </c>
      <c r="I216" s="1078">
        <f t="shared" ref="I216:J216" ca="1" si="103">I224</f>
        <v>50000</v>
      </c>
      <c r="J216" s="1078">
        <f t="shared" si="103"/>
        <v>0</v>
      </c>
      <c r="K216" s="1079">
        <f t="shared" ca="1" si="102"/>
        <v>0</v>
      </c>
      <c r="L216" s="1068"/>
      <c r="M216" s="1068"/>
      <c r="N216" s="1068"/>
      <c r="O216" s="1068"/>
      <c r="P216" s="1068"/>
    </row>
    <row r="217" spans="1:26" ht="19.5">
      <c r="A217" s="985"/>
      <c r="B217" s="986"/>
      <c r="C217" s="987" t="s">
        <v>16</v>
      </c>
      <c r="D217" s="1080" t="s">
        <v>17</v>
      </c>
      <c r="E217" s="986"/>
      <c r="F217" s="986"/>
      <c r="G217" s="989"/>
      <c r="H217" s="275" t="s">
        <v>12</v>
      </c>
      <c r="I217" s="1082"/>
      <c r="J217" s="1082"/>
      <c r="K217" s="1083"/>
      <c r="L217" s="992">
        <f ca="1">L218+L219+L220</f>
        <v>18500</v>
      </c>
      <c r="M217" s="992"/>
      <c r="N217" s="992">
        <f>N218+N219+N220</f>
        <v>0</v>
      </c>
      <c r="O217" s="992">
        <f ca="1">IF(L217&gt;0,N217*100/L217,0)</f>
        <v>0</v>
      </c>
      <c r="P217" s="992">
        <f>IF(M217&gt;0,N217*100/M217,0)</f>
        <v>0</v>
      </c>
      <c r="Q217" s="868"/>
      <c r="R217" s="868"/>
      <c r="S217" s="868"/>
      <c r="T217" s="868"/>
      <c r="U217" s="868"/>
      <c r="V217" s="868"/>
      <c r="W217" s="868"/>
      <c r="X217" s="868"/>
      <c r="Y217" s="868"/>
      <c r="Z217" s="868"/>
    </row>
    <row r="218" spans="1:26" ht="18.75">
      <c r="A218" s="995"/>
      <c r="B218" s="1084"/>
      <c r="C218" s="877"/>
      <c r="D218" s="996" t="s">
        <v>97</v>
      </c>
      <c r="E218" s="877"/>
      <c r="F218" s="877"/>
      <c r="G218" s="879"/>
      <c r="H218" s="161" t="s">
        <v>12</v>
      </c>
      <c r="I218" s="997"/>
      <c r="J218" s="997"/>
      <c r="K218" s="998"/>
      <c r="L218" s="881">
        <f ca="1">IFERROR(__xludf.DUMMYFUNCTION("IMPORTRANGE(""https://docs.google.com/spreadsheets/d/1QqKyyYR6Q21VydFLVH3TRQUabQu_ym0Zz7PgGX0-kHA/edit?usp=sharing"",""แผน!AP78"")"),5000)</f>
        <v>5000</v>
      </c>
      <c r="M218" s="881"/>
      <c r="N218" s="1085">
        <v>0</v>
      </c>
      <c r="O218" s="881"/>
      <c r="P218" s="881"/>
      <c r="Q218" s="868"/>
      <c r="R218" s="868"/>
      <c r="S218" s="868"/>
      <c r="T218" s="868"/>
      <c r="U218" s="868"/>
      <c r="V218" s="868"/>
      <c r="W218" s="868"/>
      <c r="X218" s="868"/>
      <c r="Y218" s="868"/>
      <c r="Z218" s="868"/>
    </row>
    <row r="219" spans="1:26" ht="19.5">
      <c r="A219" s="1086"/>
      <c r="B219" s="1084"/>
      <c r="C219" s="1092"/>
      <c r="D219" s="996" t="s">
        <v>110</v>
      </c>
      <c r="E219" s="877"/>
      <c r="F219" s="877"/>
      <c r="G219" s="879"/>
      <c r="H219" s="161" t="s">
        <v>12</v>
      </c>
      <c r="I219" s="880"/>
      <c r="J219" s="880"/>
      <c r="K219" s="881"/>
      <c r="L219" s="881">
        <f ca="1">IFERROR(__xludf.DUMMYFUNCTION("IMPORTRANGE(""https://docs.google.com/spreadsheets/d/1QqKyyYR6Q21VydFLVH3TRQUabQu_ym0Zz7PgGX0-kHA/edit?usp=sharing"",""แผน!AQ78"")"),13500)</f>
        <v>13500</v>
      </c>
      <c r="M219" s="881"/>
      <c r="N219" s="1085">
        <v>0</v>
      </c>
      <c r="O219" s="881"/>
      <c r="P219" s="881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</row>
    <row r="220" spans="1:26" ht="19.5">
      <c r="A220" s="1086"/>
      <c r="B220" s="1084"/>
      <c r="C220" s="1092"/>
      <c r="D220" s="996" t="s">
        <v>98</v>
      </c>
      <c r="E220" s="877"/>
      <c r="F220" s="877"/>
      <c r="G220" s="879"/>
      <c r="H220" s="161" t="s">
        <v>12</v>
      </c>
      <c r="I220" s="880"/>
      <c r="J220" s="880"/>
      <c r="K220" s="881"/>
      <c r="L220" s="881">
        <f ca="1">IFERROR(__xludf.DUMMYFUNCTION("IMPORTRANGE(""https://docs.google.com/spreadsheets/d/1QqKyyYR6Q21VydFLVH3TRQUabQu_ym0Zz7PgGX0-kHA/edit?usp=sharing"",""แผน!AR78"")"),0)</f>
        <v>0</v>
      </c>
      <c r="M220" s="881"/>
      <c r="N220" s="1085">
        <v>0</v>
      </c>
      <c r="O220" s="881"/>
      <c r="P220" s="881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</row>
    <row r="221" spans="1:26" ht="19.5">
      <c r="A221" s="1002"/>
      <c r="B221" s="1003"/>
      <c r="C221" s="1092" t="s">
        <v>16</v>
      </c>
      <c r="D221" s="1004" t="s">
        <v>38</v>
      </c>
      <c r="E221" s="1005"/>
      <c r="F221" s="1005"/>
      <c r="G221" s="1006"/>
      <c r="H221" s="1007"/>
      <c r="I221" s="997"/>
      <c r="J221" s="997"/>
      <c r="K221" s="998"/>
      <c r="L221" s="998"/>
      <c r="M221" s="998"/>
      <c r="N221" s="998"/>
      <c r="O221" s="998"/>
      <c r="P221" s="99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8"/>
    </row>
    <row r="222" spans="1:26" ht="18.75">
      <c r="A222" s="1002"/>
      <c r="B222" s="1003"/>
      <c r="C222" s="1003"/>
      <c r="D222" s="996" t="s">
        <v>111</v>
      </c>
      <c r="E222" s="1010"/>
      <c r="F222" s="1010"/>
      <c r="G222" s="1011"/>
      <c r="H222" s="1007"/>
      <c r="I222" s="880"/>
      <c r="J222" s="880"/>
      <c r="K222" s="998"/>
      <c r="L222" s="998"/>
      <c r="M222" s="998"/>
      <c r="N222" s="998"/>
      <c r="O222" s="998"/>
      <c r="P222" s="998"/>
      <c r="Q222" s="868"/>
      <c r="R222" s="868"/>
      <c r="S222" s="868"/>
      <c r="T222" s="868"/>
      <c r="U222" s="868"/>
      <c r="V222" s="868"/>
      <c r="W222" s="868"/>
      <c r="X222" s="868"/>
      <c r="Y222" s="868"/>
      <c r="Z222" s="868"/>
    </row>
    <row r="223" spans="1:26" ht="18.75">
      <c r="A223" s="1002"/>
      <c r="B223" s="1003"/>
      <c r="C223" s="1003"/>
      <c r="D223" s="1003"/>
      <c r="E223" s="1008" t="s">
        <v>112</v>
      </c>
      <c r="F223" s="1010"/>
      <c r="G223" s="1011"/>
      <c r="H223" s="762" t="s">
        <v>109</v>
      </c>
      <c r="I223" s="880">
        <f ca="1">IFERROR(__xludf.DUMMYFUNCTION("IMPORTRANGE(""https://docs.google.com/spreadsheets/d/1QqKyyYR6Q21VydFLVH3TRQUabQu_ym0Zz7PgGX0-kHA/edit?usp=sharing"",""แผน!AT78"")"),50000)</f>
        <v>50000</v>
      </c>
      <c r="J223" s="1012">
        <v>0</v>
      </c>
      <c r="K223" s="998">
        <f t="shared" ref="K223:K226" ca="1" si="104">IF(I223&gt;0,J223*100/I223,0)</f>
        <v>0</v>
      </c>
      <c r="L223" s="998"/>
      <c r="M223" s="998"/>
      <c r="N223" s="998"/>
      <c r="O223" s="998"/>
      <c r="P223" s="998"/>
      <c r="Q223" s="868"/>
      <c r="R223" s="868"/>
      <c r="S223" s="868"/>
      <c r="T223" s="868"/>
      <c r="U223" s="868"/>
      <c r="V223" s="868"/>
      <c r="W223" s="868"/>
      <c r="X223" s="868"/>
      <c r="Y223" s="868"/>
      <c r="Z223" s="868"/>
    </row>
    <row r="224" spans="1:26" ht="18.75">
      <c r="A224" s="1002"/>
      <c r="B224" s="1003"/>
      <c r="C224" s="1003"/>
      <c r="D224" s="1003"/>
      <c r="E224" s="1008" t="s">
        <v>113</v>
      </c>
      <c r="F224" s="1010"/>
      <c r="G224" s="1011"/>
      <c r="H224" s="762" t="s">
        <v>109</v>
      </c>
      <c r="I224" s="880">
        <f ca="1">IFERROR(__xludf.DUMMYFUNCTION("IMPORTRANGE(""https://docs.google.com/spreadsheets/d/1QqKyyYR6Q21VydFLVH3TRQUabQu_ym0Zz7PgGX0-kHA/edit?usp=sharing"",""แผน!AT78"")"),50000)</f>
        <v>50000</v>
      </c>
      <c r="J224" s="1012">
        <v>0</v>
      </c>
      <c r="K224" s="998">
        <f t="shared" ca="1" si="104"/>
        <v>0</v>
      </c>
      <c r="L224" s="881"/>
      <c r="M224" s="881"/>
      <c r="N224" s="881"/>
      <c r="O224" s="881"/>
      <c r="P224" s="881"/>
      <c r="Q224" s="868"/>
      <c r="R224" s="868"/>
      <c r="S224" s="868"/>
      <c r="T224" s="868"/>
      <c r="U224" s="868"/>
      <c r="V224" s="868"/>
      <c r="W224" s="868"/>
      <c r="X224" s="868"/>
      <c r="Y224" s="868"/>
      <c r="Z224" s="868"/>
    </row>
    <row r="225" spans="1:26" ht="18.75">
      <c r="A225" s="1002"/>
      <c r="B225" s="1003"/>
      <c r="C225" s="1003"/>
      <c r="D225" s="996" t="s">
        <v>114</v>
      </c>
      <c r="E225" s="1010"/>
      <c r="F225" s="1010"/>
      <c r="G225" s="1011"/>
      <c r="H225" s="762" t="s">
        <v>35</v>
      </c>
      <c r="I225" s="880">
        <f ca="1">IFERROR(__xludf.DUMMYFUNCTION("IMPORTRANGE(""https://docs.google.com/spreadsheets/d/1QqKyyYR6Q21VydFLVH3TRQUabQu_ym0Zz7PgGX0-kHA/edit?usp=sharing"",""แผน!AS78"")"),0)</f>
        <v>0</v>
      </c>
      <c r="J225" s="1012">
        <v>0</v>
      </c>
      <c r="K225" s="998">
        <f t="shared" ca="1" si="104"/>
        <v>0</v>
      </c>
      <c r="L225" s="881"/>
      <c r="M225" s="881"/>
      <c r="N225" s="881"/>
      <c r="O225" s="881"/>
      <c r="P225" s="881"/>
      <c r="Q225" s="868"/>
      <c r="R225" s="868"/>
      <c r="S225" s="868"/>
      <c r="T225" s="868"/>
      <c r="U225" s="868"/>
      <c r="V225" s="868"/>
      <c r="W225" s="868"/>
      <c r="X225" s="868"/>
      <c r="Y225" s="868"/>
      <c r="Z225" s="868"/>
    </row>
    <row r="226" spans="1:26" ht="19.5" hidden="1">
      <c r="A226" s="1063"/>
      <c r="B226" s="1070"/>
      <c r="C226" s="1093" t="s">
        <v>115</v>
      </c>
      <c r="D226" s="1064"/>
      <c r="E226" s="1064"/>
      <c r="F226" s="1064"/>
      <c r="G226" s="1066"/>
      <c r="H226" s="266" t="s">
        <v>35</v>
      </c>
      <c r="I226" s="1094" t="e">
        <f t="shared" ref="I226:J226" ca="1" si="105">I237+I248</f>
        <v>#VALUE!</v>
      </c>
      <c r="J226" s="1094">
        <f t="shared" si="105"/>
        <v>110</v>
      </c>
      <c r="K226" s="1095" t="e">
        <f t="shared" ca="1" si="104"/>
        <v>#VALUE!</v>
      </c>
      <c r="L226" s="1068"/>
      <c r="M226" s="1068"/>
      <c r="N226" s="1068"/>
      <c r="O226" s="1068"/>
      <c r="P226" s="1068"/>
    </row>
    <row r="227" spans="1:26" ht="19.5" hidden="1">
      <c r="A227" s="1096"/>
      <c r="B227" s="1097"/>
      <c r="C227" s="1098" t="s">
        <v>16</v>
      </c>
      <c r="D227" s="1099" t="s">
        <v>17</v>
      </c>
      <c r="E227" s="1097"/>
      <c r="F227" s="1097"/>
      <c r="G227" s="1100"/>
      <c r="H227" s="353" t="s">
        <v>12</v>
      </c>
      <c r="I227" s="1101"/>
      <c r="J227" s="1101"/>
      <c r="K227" s="1102"/>
      <c r="L227" s="1103">
        <f t="shared" ref="L227:L231" ca="1" si="106">L238+L249</f>
        <v>293300</v>
      </c>
      <c r="M227" s="1103"/>
      <c r="N227" s="1103">
        <f t="shared" ref="N227:N231" si="107">N238+N249</f>
        <v>159552.33000000002</v>
      </c>
      <c r="O227" s="1104"/>
      <c r="P227" s="1104"/>
      <c r="Q227" s="875"/>
      <c r="R227" s="875"/>
      <c r="S227" s="875"/>
      <c r="T227" s="875"/>
      <c r="U227" s="875"/>
      <c r="V227" s="875"/>
      <c r="W227" s="875"/>
      <c r="X227" s="875"/>
      <c r="Y227" s="875"/>
      <c r="Z227" s="875"/>
    </row>
    <row r="228" spans="1:26" ht="18.75" hidden="1">
      <c r="A228" s="993"/>
      <c r="B228" s="1105"/>
      <c r="C228" s="883"/>
      <c r="D228" s="884" t="s">
        <v>97</v>
      </c>
      <c r="E228" s="883"/>
      <c r="F228" s="883"/>
      <c r="G228" s="885"/>
      <c r="H228" s="165" t="s">
        <v>12</v>
      </c>
      <c r="I228" s="1000"/>
      <c r="J228" s="1000"/>
      <c r="K228" s="1001"/>
      <c r="L228" s="887">
        <f t="shared" ca="1" si="106"/>
        <v>165000</v>
      </c>
      <c r="M228" s="887"/>
      <c r="N228" s="887">
        <f t="shared" si="107"/>
        <v>74013.33</v>
      </c>
      <c r="O228" s="887"/>
      <c r="P228" s="887"/>
      <c r="Q228" s="875"/>
      <c r="R228" s="875"/>
      <c r="S228" s="875"/>
      <c r="T228" s="875"/>
      <c r="U228" s="875"/>
      <c r="V228" s="875"/>
      <c r="W228" s="875"/>
      <c r="X228" s="875"/>
      <c r="Y228" s="875"/>
      <c r="Z228" s="875"/>
    </row>
    <row r="229" spans="1:26" ht="19.5" hidden="1">
      <c r="A229" s="1106"/>
      <c r="B229" s="1105"/>
      <c r="C229" s="1107"/>
      <c r="D229" s="884" t="s">
        <v>98</v>
      </c>
      <c r="E229" s="883"/>
      <c r="F229" s="883"/>
      <c r="G229" s="885"/>
      <c r="H229" s="165" t="s">
        <v>12</v>
      </c>
      <c r="I229" s="886"/>
      <c r="J229" s="886"/>
      <c r="K229" s="887"/>
      <c r="L229" s="887">
        <f t="shared" ca="1" si="106"/>
        <v>88300</v>
      </c>
      <c r="M229" s="887"/>
      <c r="N229" s="887">
        <f t="shared" si="107"/>
        <v>85539</v>
      </c>
      <c r="O229" s="887"/>
      <c r="P229" s="887"/>
      <c r="Q229" s="1108"/>
      <c r="R229" s="1108"/>
      <c r="S229" s="1108"/>
      <c r="T229" s="1108"/>
      <c r="U229" s="1108"/>
      <c r="V229" s="1108"/>
      <c r="W229" s="1108"/>
      <c r="X229" s="1108"/>
      <c r="Y229" s="1108"/>
      <c r="Z229" s="1108"/>
    </row>
    <row r="230" spans="1:26" ht="19.5" hidden="1">
      <c r="A230" s="1106"/>
      <c r="B230" s="1105"/>
      <c r="C230" s="1107"/>
      <c r="D230" s="884" t="s">
        <v>116</v>
      </c>
      <c r="E230" s="883"/>
      <c r="F230" s="883"/>
      <c r="G230" s="885"/>
      <c r="H230" s="165" t="s">
        <v>12</v>
      </c>
      <c r="I230" s="886"/>
      <c r="J230" s="886"/>
      <c r="K230" s="887"/>
      <c r="L230" s="887">
        <f t="shared" ca="1" si="106"/>
        <v>0</v>
      </c>
      <c r="M230" s="887"/>
      <c r="N230" s="887">
        <f t="shared" si="107"/>
        <v>0</v>
      </c>
      <c r="O230" s="887"/>
      <c r="P230" s="887"/>
      <c r="Q230" s="1108"/>
      <c r="R230" s="1108"/>
      <c r="S230" s="1108"/>
      <c r="T230" s="1108"/>
      <c r="U230" s="1108"/>
      <c r="V230" s="1108"/>
      <c r="W230" s="1108"/>
      <c r="X230" s="1108"/>
      <c r="Y230" s="1108"/>
      <c r="Z230" s="1108"/>
    </row>
    <row r="231" spans="1:26" ht="19.5" hidden="1">
      <c r="A231" s="1106"/>
      <c r="B231" s="1105"/>
      <c r="C231" s="1107"/>
      <c r="D231" s="884" t="s">
        <v>100</v>
      </c>
      <c r="E231" s="883"/>
      <c r="F231" s="883"/>
      <c r="G231" s="885"/>
      <c r="H231" s="165" t="s">
        <v>12</v>
      </c>
      <c r="I231" s="886"/>
      <c r="J231" s="886"/>
      <c r="K231" s="887"/>
      <c r="L231" s="887">
        <f t="shared" ca="1" si="106"/>
        <v>40000</v>
      </c>
      <c r="M231" s="887"/>
      <c r="N231" s="887">
        <f t="shared" si="107"/>
        <v>0</v>
      </c>
      <c r="O231" s="887"/>
      <c r="P231" s="887"/>
      <c r="Q231" s="1108"/>
      <c r="R231" s="1108"/>
      <c r="S231" s="1108"/>
      <c r="T231" s="1108"/>
      <c r="U231" s="1108"/>
      <c r="V231" s="1108"/>
      <c r="W231" s="1108"/>
      <c r="X231" s="1108"/>
      <c r="Y231" s="1108"/>
      <c r="Z231" s="1108"/>
    </row>
    <row r="232" spans="1:26" ht="19.5" hidden="1">
      <c r="A232" s="1109"/>
      <c r="B232" s="1110"/>
      <c r="C232" s="1107" t="s">
        <v>16</v>
      </c>
      <c r="D232" s="1072" t="s">
        <v>38</v>
      </c>
      <c r="E232" s="1111"/>
      <c r="F232" s="1111"/>
      <c r="G232" s="1112"/>
      <c r="H232" s="1113"/>
      <c r="I232" s="1000"/>
      <c r="J232" s="886"/>
      <c r="K232" s="887"/>
      <c r="L232" s="887"/>
      <c r="M232" s="887"/>
      <c r="N232" s="887"/>
      <c r="O232" s="1001"/>
      <c r="P232" s="1001"/>
      <c r="Q232" s="875"/>
      <c r="R232" s="875"/>
      <c r="S232" s="875"/>
      <c r="T232" s="875"/>
      <c r="U232" s="875"/>
      <c r="V232" s="875"/>
      <c r="W232" s="875"/>
      <c r="X232" s="875"/>
      <c r="Y232" s="875"/>
      <c r="Z232" s="875"/>
    </row>
    <row r="233" spans="1:26" ht="18.75" hidden="1">
      <c r="A233" s="1109"/>
      <c r="B233" s="1110"/>
      <c r="C233" s="1110"/>
      <c r="D233" s="1074" t="s">
        <v>117</v>
      </c>
      <c r="E233" s="1114"/>
      <c r="F233" s="1114"/>
      <c r="G233" s="1115"/>
      <c r="H233" s="370" t="s">
        <v>35</v>
      </c>
      <c r="I233" s="886" t="e">
        <f t="shared" ref="I233:J233" ca="1" si="108">I244+I255</f>
        <v>#VALUE!</v>
      </c>
      <c r="J233" s="886">
        <f t="shared" si="108"/>
        <v>110</v>
      </c>
      <c r="K233" s="887" t="e">
        <f ca="1">IF(I233&gt;0,J233*100/I233,0)</f>
        <v>#VALUE!</v>
      </c>
      <c r="L233" s="887"/>
      <c r="M233" s="887"/>
      <c r="N233" s="887"/>
      <c r="O233" s="887"/>
      <c r="P233" s="887"/>
      <c r="Q233" s="875"/>
      <c r="R233" s="875"/>
      <c r="S233" s="875"/>
      <c r="T233" s="875"/>
      <c r="U233" s="875"/>
      <c r="V233" s="875"/>
      <c r="W233" s="875"/>
      <c r="X233" s="875"/>
      <c r="Y233" s="875"/>
      <c r="Z233" s="875"/>
    </row>
    <row r="234" spans="1:26" ht="18.75" hidden="1">
      <c r="A234" s="1109"/>
      <c r="B234" s="1110"/>
      <c r="C234" s="1110"/>
      <c r="D234" s="1116" t="s">
        <v>43</v>
      </c>
      <c r="E234" s="1114"/>
      <c r="F234" s="1114"/>
      <c r="G234" s="1115"/>
      <c r="H234" s="370"/>
      <c r="I234" s="886"/>
      <c r="J234" s="886"/>
      <c r="K234" s="887"/>
      <c r="L234" s="887"/>
      <c r="M234" s="887"/>
      <c r="N234" s="887"/>
      <c r="O234" s="1001"/>
      <c r="P234" s="1001"/>
      <c r="Q234" s="875"/>
      <c r="R234" s="875"/>
      <c r="S234" s="875"/>
      <c r="T234" s="875"/>
      <c r="U234" s="875"/>
      <c r="V234" s="875"/>
      <c r="W234" s="875"/>
      <c r="X234" s="875"/>
      <c r="Y234" s="875"/>
      <c r="Z234" s="875"/>
    </row>
    <row r="235" spans="1:26" ht="18.75" hidden="1">
      <c r="A235" s="1109"/>
      <c r="B235" s="1110"/>
      <c r="C235" s="1110"/>
      <c r="D235" s="1110"/>
      <c r="E235" s="1073" t="s">
        <v>118</v>
      </c>
      <c r="F235" s="1114"/>
      <c r="G235" s="1115"/>
      <c r="H235" s="370" t="s">
        <v>35</v>
      </c>
      <c r="I235" s="886">
        <f t="shared" ref="I235:J236" si="109">I246+I257</f>
        <v>0</v>
      </c>
      <c r="J235" s="886">
        <f t="shared" si="109"/>
        <v>0</v>
      </c>
      <c r="K235" s="887">
        <f t="shared" ref="K235:K237" si="110">IF(I235&gt;0,J235*100/I235,0)</f>
        <v>0</v>
      </c>
      <c r="L235" s="887"/>
      <c r="M235" s="887"/>
      <c r="N235" s="887"/>
      <c r="O235" s="887"/>
      <c r="P235" s="887"/>
      <c r="Q235" s="875"/>
      <c r="R235" s="875"/>
      <c r="S235" s="875"/>
      <c r="T235" s="875"/>
      <c r="U235" s="875"/>
      <c r="V235" s="875"/>
      <c r="W235" s="875"/>
      <c r="X235" s="875"/>
      <c r="Y235" s="875"/>
      <c r="Z235" s="875"/>
    </row>
    <row r="236" spans="1:26" ht="18.75" hidden="1">
      <c r="A236" s="1109"/>
      <c r="B236" s="1110"/>
      <c r="C236" s="1110"/>
      <c r="D236" s="1110"/>
      <c r="E236" s="1073" t="s">
        <v>119</v>
      </c>
      <c r="F236" s="1114"/>
      <c r="G236" s="1115"/>
      <c r="H236" s="370" t="s">
        <v>66</v>
      </c>
      <c r="I236" s="886">
        <f t="shared" si="109"/>
        <v>4</v>
      </c>
      <c r="J236" s="886">
        <f t="shared" si="109"/>
        <v>0</v>
      </c>
      <c r="K236" s="887">
        <f t="shared" si="110"/>
        <v>0</v>
      </c>
      <c r="L236" s="887"/>
      <c r="M236" s="887"/>
      <c r="N236" s="887"/>
      <c r="O236" s="887"/>
      <c r="P236" s="887"/>
      <c r="Q236" s="875"/>
      <c r="R236" s="875"/>
      <c r="S236" s="875"/>
      <c r="T236" s="875"/>
      <c r="U236" s="875"/>
      <c r="V236" s="875"/>
      <c r="W236" s="875"/>
      <c r="X236" s="875"/>
      <c r="Y236" s="875"/>
      <c r="Z236" s="875"/>
    </row>
    <row r="237" spans="1:26" ht="19.5">
      <c r="A237" s="1063"/>
      <c r="B237" s="1070"/>
      <c r="C237" s="1077" t="s">
        <v>340</v>
      </c>
      <c r="D237" s="1064"/>
      <c r="E237" s="1064"/>
      <c r="F237" s="1064"/>
      <c r="G237" s="1066"/>
      <c r="H237" s="260" t="s">
        <v>35</v>
      </c>
      <c r="I237" s="1078">
        <f t="shared" ref="I237:J237" ca="1" si="111">I244</f>
        <v>100</v>
      </c>
      <c r="J237" s="1078">
        <f t="shared" si="111"/>
        <v>110</v>
      </c>
      <c r="K237" s="1079">
        <f t="shared" ca="1" si="110"/>
        <v>110</v>
      </c>
      <c r="L237" s="1068"/>
      <c r="M237" s="1068"/>
      <c r="N237" s="1068"/>
      <c r="O237" s="1068"/>
      <c r="P237" s="1068"/>
    </row>
    <row r="238" spans="1:26" ht="19.5">
      <c r="A238" s="985"/>
      <c r="B238" s="986"/>
      <c r="C238" s="987" t="s">
        <v>16</v>
      </c>
      <c r="D238" s="988" t="s">
        <v>17</v>
      </c>
      <c r="E238" s="986"/>
      <c r="F238" s="986"/>
      <c r="G238" s="989"/>
      <c r="H238" s="275" t="s">
        <v>12</v>
      </c>
      <c r="I238" s="1082"/>
      <c r="J238" s="1082"/>
      <c r="K238" s="1083"/>
      <c r="L238" s="992">
        <f ca="1">L239+L240+L241+L242</f>
        <v>293300</v>
      </c>
      <c r="M238" s="992"/>
      <c r="N238" s="992">
        <f>N239+N240+N241+N242</f>
        <v>159552.33000000002</v>
      </c>
      <c r="O238" s="992">
        <f ca="1">IF(L238&gt;0,N238*100/L238,0)</f>
        <v>54.39902147971361</v>
      </c>
      <c r="P238" s="992">
        <f>IF(M238&gt;0,N238*100/M238,0)</f>
        <v>0</v>
      </c>
      <c r="Q238" s="868"/>
      <c r="R238" s="868"/>
      <c r="S238" s="868"/>
      <c r="T238" s="868"/>
      <c r="U238" s="868"/>
      <c r="V238" s="868"/>
      <c r="W238" s="868"/>
      <c r="X238" s="868"/>
      <c r="Y238" s="868"/>
      <c r="Z238" s="868"/>
    </row>
    <row r="239" spans="1:26" ht="18.75">
      <c r="A239" s="1117"/>
      <c r="B239" s="1118"/>
      <c r="C239" s="1119"/>
      <c r="D239" s="1120" t="s">
        <v>97</v>
      </c>
      <c r="E239" s="1119"/>
      <c r="F239" s="1119"/>
      <c r="G239" s="1121"/>
      <c r="H239" s="319" t="s">
        <v>12</v>
      </c>
      <c r="I239" s="1122"/>
      <c r="J239" s="1122"/>
      <c r="K239" s="1123"/>
      <c r="L239" s="1124">
        <f ca="1">IFERROR(__xludf.DUMMYFUNCTION("IMPORTRANGE(""https://docs.google.com/spreadsheets/d/1QqKyyYR6Q21VydFLVH3TRQUabQu_ym0Zz7PgGX0-kHA/edit?usp=sharing"",""แผน!AV78"")"),165000)</f>
        <v>165000</v>
      </c>
      <c r="M239" s="1124"/>
      <c r="N239" s="1125">
        <f>59773.33+2500+11000+740</f>
        <v>74013.33</v>
      </c>
      <c r="O239" s="1124"/>
      <c r="P239" s="1124"/>
      <c r="Q239" s="1126"/>
      <c r="R239" s="1126"/>
      <c r="S239" s="1126"/>
      <c r="T239" s="1126"/>
      <c r="U239" s="1126"/>
      <c r="V239" s="1126"/>
      <c r="W239" s="1126"/>
      <c r="X239" s="1126"/>
      <c r="Y239" s="1126"/>
      <c r="Z239" s="1126"/>
    </row>
    <row r="240" spans="1:26" ht="19.5">
      <c r="A240" s="1127"/>
      <c r="B240" s="1118"/>
      <c r="C240" s="1128"/>
      <c r="D240" s="1120" t="s">
        <v>98</v>
      </c>
      <c r="E240" s="1119"/>
      <c r="F240" s="1119"/>
      <c r="G240" s="1121"/>
      <c r="H240" s="319" t="s">
        <v>12</v>
      </c>
      <c r="I240" s="1129"/>
      <c r="J240" s="1129"/>
      <c r="K240" s="1124"/>
      <c r="L240" s="1124">
        <f ca="1">IFERROR(__xludf.DUMMYFUNCTION("IMPORTRANGE(""https://docs.google.com/spreadsheets/d/1QqKyyYR6Q21VydFLVH3TRQUabQu_ym0Zz7PgGX0-kHA/edit?usp=sharing"",""แผน!AW78"")"),88300)</f>
        <v>88300</v>
      </c>
      <c r="M240" s="1124"/>
      <c r="N240" s="1125">
        <v>85539</v>
      </c>
      <c r="O240" s="1124"/>
      <c r="P240" s="1124"/>
      <c r="Q240" s="1130"/>
      <c r="R240" s="1130"/>
      <c r="S240" s="1130"/>
      <c r="T240" s="1130"/>
      <c r="U240" s="1130"/>
      <c r="V240" s="1130"/>
      <c r="W240" s="1130"/>
      <c r="X240" s="1130"/>
      <c r="Y240" s="1130"/>
      <c r="Z240" s="1130"/>
    </row>
    <row r="241" spans="1:26" ht="19.5">
      <c r="A241" s="1127"/>
      <c r="B241" s="1118"/>
      <c r="C241" s="1128"/>
      <c r="D241" s="1120" t="s">
        <v>116</v>
      </c>
      <c r="E241" s="1119"/>
      <c r="F241" s="1119"/>
      <c r="G241" s="1121"/>
      <c r="H241" s="319" t="s">
        <v>12</v>
      </c>
      <c r="I241" s="1129"/>
      <c r="J241" s="1129"/>
      <c r="K241" s="1124"/>
      <c r="L241" s="1124">
        <f ca="1">IFERROR(__xludf.DUMMYFUNCTION("IMPORTRANGE(""https://docs.google.com/spreadsheets/d/1QqKyyYR6Q21VydFLVH3TRQUabQu_ym0Zz7PgGX0-kHA/edit?usp=sharing"",""แผน!AX78"")"),0)</f>
        <v>0</v>
      </c>
      <c r="M241" s="1124"/>
      <c r="N241" s="1125">
        <v>0</v>
      </c>
      <c r="O241" s="1124"/>
      <c r="P241" s="1124"/>
      <c r="Q241" s="1130"/>
      <c r="R241" s="1130"/>
      <c r="S241" s="1130"/>
      <c r="T241" s="1130"/>
      <c r="U241" s="1130"/>
      <c r="V241" s="1130"/>
      <c r="W241" s="1130"/>
      <c r="X241" s="1130"/>
      <c r="Y241" s="1130"/>
      <c r="Z241" s="1130"/>
    </row>
    <row r="242" spans="1:26" ht="19.5">
      <c r="A242" s="1127"/>
      <c r="B242" s="1118"/>
      <c r="C242" s="1128"/>
      <c r="D242" s="1120" t="s">
        <v>100</v>
      </c>
      <c r="E242" s="1119"/>
      <c r="F242" s="1119"/>
      <c r="G242" s="1121"/>
      <c r="H242" s="319" t="s">
        <v>12</v>
      </c>
      <c r="I242" s="1129"/>
      <c r="J242" s="1129"/>
      <c r="K242" s="1124"/>
      <c r="L242" s="1124">
        <f ca="1">IFERROR(__xludf.DUMMYFUNCTION("IMPORTRANGE(""https://docs.google.com/spreadsheets/d/1QqKyyYR6Q21VydFLVH3TRQUabQu_ym0Zz7PgGX0-kHA/edit?usp=sharing"",""แผน!AY78"")"),40000)</f>
        <v>40000</v>
      </c>
      <c r="M242" s="1124"/>
      <c r="N242" s="1125">
        <v>0</v>
      </c>
      <c r="O242" s="1124"/>
      <c r="P242" s="1124"/>
      <c r="Q242" s="1130"/>
      <c r="R242" s="1130"/>
      <c r="S242" s="1130"/>
      <c r="T242" s="1130"/>
      <c r="U242" s="1130"/>
      <c r="V242" s="1130"/>
      <c r="W242" s="1130"/>
      <c r="X242" s="1130"/>
      <c r="Y242" s="1130"/>
      <c r="Z242" s="1130"/>
    </row>
    <row r="243" spans="1:26" ht="19.5">
      <c r="A243" s="1002"/>
      <c r="B243" s="1003"/>
      <c r="C243" s="1092" t="s">
        <v>16</v>
      </c>
      <c r="D243" s="1004" t="s">
        <v>38</v>
      </c>
      <c r="E243" s="1005"/>
      <c r="F243" s="1005"/>
      <c r="G243" s="1006"/>
      <c r="H243" s="1007"/>
      <c r="I243" s="997"/>
      <c r="J243" s="880"/>
      <c r="K243" s="881"/>
      <c r="L243" s="881"/>
      <c r="M243" s="881"/>
      <c r="N243" s="881"/>
      <c r="O243" s="998"/>
      <c r="P243" s="998"/>
      <c r="Q243" s="868"/>
      <c r="R243" s="868"/>
      <c r="S243" s="868"/>
      <c r="T243" s="868"/>
      <c r="U243" s="868"/>
      <c r="V243" s="868"/>
      <c r="W243" s="868"/>
      <c r="X243" s="868"/>
      <c r="Y243" s="868"/>
      <c r="Z243" s="868"/>
    </row>
    <row r="244" spans="1:26" ht="18.75">
      <c r="A244" s="1002"/>
      <c r="B244" s="1003"/>
      <c r="C244" s="1003"/>
      <c r="D244" s="1009" t="s">
        <v>117</v>
      </c>
      <c r="E244" s="1010"/>
      <c r="F244" s="1010"/>
      <c r="G244" s="1011"/>
      <c r="H244" s="762" t="s">
        <v>35</v>
      </c>
      <c r="I244" s="880">
        <f ca="1">IFERROR(__xludf.DUMMYFUNCTION("IMPORTRANGE(""https://docs.google.com/spreadsheets/d/1QqKyyYR6Q21VydFLVH3TRQUabQu_ym0Zz7PgGX0-kHA/edit?usp=sharing"",""แผน!BE78"")"),100)</f>
        <v>100</v>
      </c>
      <c r="J244" s="1012">
        <v>110</v>
      </c>
      <c r="K244" s="881">
        <f ca="1">IF(I244&gt;0,J244*100/I244,0)</f>
        <v>110</v>
      </c>
      <c r="L244" s="881"/>
      <c r="M244" s="881"/>
      <c r="N244" s="881"/>
      <c r="O244" s="881"/>
      <c r="P244" s="881"/>
      <c r="Q244" s="868"/>
      <c r="R244" s="868"/>
      <c r="S244" s="868"/>
      <c r="T244" s="868"/>
      <c r="U244" s="868"/>
      <c r="V244" s="868"/>
      <c r="W244" s="868"/>
      <c r="X244" s="868"/>
      <c r="Y244" s="868"/>
      <c r="Z244" s="868"/>
    </row>
    <row r="245" spans="1:26" ht="18.75">
      <c r="A245" s="1002"/>
      <c r="B245" s="1003"/>
      <c r="C245" s="1003"/>
      <c r="D245" s="1131" t="s">
        <v>43</v>
      </c>
      <c r="E245" s="1010"/>
      <c r="F245" s="1010"/>
      <c r="G245" s="1011"/>
      <c r="H245" s="762"/>
      <c r="I245" s="880"/>
      <c r="J245" s="880"/>
      <c r="K245" s="881"/>
      <c r="L245" s="881"/>
      <c r="M245" s="881"/>
      <c r="N245" s="881"/>
      <c r="O245" s="998"/>
      <c r="P245" s="998"/>
      <c r="Q245" s="868"/>
      <c r="R245" s="868"/>
      <c r="S245" s="868"/>
      <c r="T245" s="868"/>
      <c r="U245" s="868"/>
      <c r="V245" s="868"/>
      <c r="W245" s="868"/>
      <c r="X245" s="868"/>
      <c r="Y245" s="868"/>
      <c r="Z245" s="868"/>
    </row>
    <row r="246" spans="1:26" ht="18.75">
      <c r="A246" s="1002"/>
      <c r="B246" s="1003"/>
      <c r="C246" s="1003"/>
      <c r="D246" s="1003"/>
      <c r="E246" s="1008" t="s">
        <v>118</v>
      </c>
      <c r="F246" s="1010"/>
      <c r="G246" s="1011"/>
      <c r="H246" s="762" t="s">
        <v>35</v>
      </c>
      <c r="I246" s="880">
        <v>0</v>
      </c>
      <c r="J246" s="1012">
        <v>0</v>
      </c>
      <c r="K246" s="881">
        <f t="shared" ref="K246:K248" si="112">IF(I246&gt;0,J246*100/I246,0)</f>
        <v>0</v>
      </c>
      <c r="L246" s="881"/>
      <c r="M246" s="881"/>
      <c r="N246" s="881"/>
      <c r="O246" s="881"/>
      <c r="P246" s="881"/>
      <c r="Q246" s="868"/>
      <c r="R246" s="868"/>
      <c r="S246" s="868"/>
      <c r="T246" s="868"/>
      <c r="U246" s="868"/>
      <c r="V246" s="868"/>
      <c r="W246" s="868"/>
      <c r="X246" s="868"/>
      <c r="Y246" s="868"/>
      <c r="Z246" s="868"/>
    </row>
    <row r="247" spans="1:26" ht="18.75">
      <c r="A247" s="1002"/>
      <c r="B247" s="1003"/>
      <c r="C247" s="1003"/>
      <c r="D247" s="1003"/>
      <c r="E247" s="1008" t="s">
        <v>119</v>
      </c>
      <c r="F247" s="1010"/>
      <c r="G247" s="1011"/>
      <c r="H247" s="762" t="s">
        <v>66</v>
      </c>
      <c r="I247" s="880">
        <v>4</v>
      </c>
      <c r="J247" s="1012">
        <v>0</v>
      </c>
      <c r="K247" s="881">
        <f t="shared" si="112"/>
        <v>0</v>
      </c>
      <c r="L247" s="881"/>
      <c r="M247" s="881"/>
      <c r="N247" s="881"/>
      <c r="O247" s="881"/>
      <c r="P247" s="881"/>
      <c r="Q247" s="868"/>
      <c r="R247" s="868"/>
      <c r="S247" s="868"/>
      <c r="T247" s="868"/>
      <c r="U247" s="868"/>
      <c r="V247" s="868"/>
      <c r="W247" s="868"/>
      <c r="X247" s="868"/>
      <c r="Y247" s="868"/>
      <c r="Z247" s="868"/>
    </row>
    <row r="248" spans="1:26" ht="19.5" hidden="1">
      <c r="A248" s="1063"/>
      <c r="B248" s="1070"/>
      <c r="C248" s="1077" t="s">
        <v>333</v>
      </c>
      <c r="D248" s="1064"/>
      <c r="E248" s="1064"/>
      <c r="F248" s="1064"/>
      <c r="G248" s="1066"/>
      <c r="H248" s="260" t="s">
        <v>35</v>
      </c>
      <c r="I248" s="1078" t="str">
        <f t="shared" ref="I248:J248" ca="1" si="113">I255</f>
        <v/>
      </c>
      <c r="J248" s="1078">
        <f t="shared" si="113"/>
        <v>0</v>
      </c>
      <c r="K248" s="1079" t="e">
        <f t="shared" ca="1" si="112"/>
        <v>#VALUE!</v>
      </c>
      <c r="L248" s="1068"/>
      <c r="M248" s="1068"/>
      <c r="N248" s="1068"/>
      <c r="O248" s="1068"/>
      <c r="P248" s="1068"/>
    </row>
    <row r="249" spans="1:26" ht="19.5" hidden="1">
      <c r="A249" s="985"/>
      <c r="B249" s="986"/>
      <c r="C249" s="987" t="s">
        <v>16</v>
      </c>
      <c r="D249" s="1080" t="s">
        <v>17</v>
      </c>
      <c r="E249" s="986"/>
      <c r="F249" s="986"/>
      <c r="G249" s="989"/>
      <c r="H249" s="275" t="s">
        <v>12</v>
      </c>
      <c r="I249" s="1082"/>
      <c r="J249" s="1082"/>
      <c r="K249" s="1083"/>
      <c r="L249" s="992">
        <f ca="1">L250+L251+L252+L253</f>
        <v>0</v>
      </c>
      <c r="M249" s="992"/>
      <c r="N249" s="992">
        <f>N250+N251+N252+N253</f>
        <v>0</v>
      </c>
      <c r="O249" s="992">
        <f ca="1">IF(L249&gt;0,N249*100/L249,0)</f>
        <v>0</v>
      </c>
      <c r="P249" s="992">
        <f>IF(M249&gt;0,N249*100/M249,0)</f>
        <v>0</v>
      </c>
      <c r="Q249" s="868"/>
      <c r="R249" s="868"/>
      <c r="S249" s="868"/>
      <c r="T249" s="868"/>
      <c r="U249" s="868"/>
      <c r="V249" s="868"/>
      <c r="W249" s="868"/>
      <c r="X249" s="868"/>
      <c r="Y249" s="868"/>
      <c r="Z249" s="868"/>
    </row>
    <row r="250" spans="1:26" ht="18.75" hidden="1">
      <c r="A250" s="1117"/>
      <c r="B250" s="1118"/>
      <c r="C250" s="1119"/>
      <c r="D250" s="1120" t="s">
        <v>97</v>
      </c>
      <c r="E250" s="1119"/>
      <c r="F250" s="1119"/>
      <c r="G250" s="1121"/>
      <c r="H250" s="319" t="s">
        <v>12</v>
      </c>
      <c r="I250" s="1122"/>
      <c r="J250" s="1122"/>
      <c r="K250" s="1123"/>
      <c r="L250" s="1124">
        <f ca="1">IFERROR(__xludf.DUMMYFUNCTION("IMPORTRANGE(""https://docs.google.com/spreadsheets/d/1QqKyyYR6Q21VydFLVH3TRQUabQu_ym0Zz7PgGX0-kHA/edit?usp=sharing"",""แผน!AZ78"")"),0)</f>
        <v>0</v>
      </c>
      <c r="M250" s="1124"/>
      <c r="N250" s="1125">
        <v>0</v>
      </c>
      <c r="O250" s="1124"/>
      <c r="P250" s="1124"/>
      <c r="Q250" s="1126"/>
      <c r="R250" s="1126"/>
      <c r="S250" s="1126"/>
      <c r="T250" s="1126"/>
      <c r="U250" s="1126"/>
      <c r="V250" s="1126"/>
      <c r="W250" s="1126"/>
      <c r="X250" s="1126"/>
      <c r="Y250" s="1126"/>
      <c r="Z250" s="1126"/>
    </row>
    <row r="251" spans="1:26" ht="19.5" hidden="1">
      <c r="A251" s="1127"/>
      <c r="B251" s="1118"/>
      <c r="C251" s="1128"/>
      <c r="D251" s="1120" t="s">
        <v>98</v>
      </c>
      <c r="E251" s="1119"/>
      <c r="F251" s="1119"/>
      <c r="G251" s="1121"/>
      <c r="H251" s="319" t="s">
        <v>12</v>
      </c>
      <c r="I251" s="1129"/>
      <c r="J251" s="1129"/>
      <c r="K251" s="1124"/>
      <c r="L251" s="1124">
        <f ca="1">IFERROR(__xludf.DUMMYFUNCTION("IMPORTRANGE(""https://docs.google.com/spreadsheets/d/1QqKyyYR6Q21VydFLVH3TRQUabQu_ym0Zz7PgGX0-kHA/edit?usp=sharing"",""แผน!BA78"")"),0)</f>
        <v>0</v>
      </c>
      <c r="M251" s="1124"/>
      <c r="N251" s="1125">
        <v>0</v>
      </c>
      <c r="O251" s="1124"/>
      <c r="P251" s="1124"/>
      <c r="Q251" s="1130"/>
      <c r="R251" s="1130"/>
      <c r="S251" s="1130"/>
      <c r="T251" s="1130"/>
      <c r="U251" s="1130"/>
      <c r="V251" s="1130"/>
      <c r="W251" s="1130"/>
      <c r="X251" s="1130"/>
      <c r="Y251" s="1130"/>
      <c r="Z251" s="1130"/>
    </row>
    <row r="252" spans="1:26" ht="19.5" hidden="1">
      <c r="A252" s="1127"/>
      <c r="B252" s="1118"/>
      <c r="C252" s="1128"/>
      <c r="D252" s="1120" t="s">
        <v>116</v>
      </c>
      <c r="E252" s="1119"/>
      <c r="F252" s="1119"/>
      <c r="G252" s="1121"/>
      <c r="H252" s="319" t="s">
        <v>12</v>
      </c>
      <c r="I252" s="1129"/>
      <c r="J252" s="1129"/>
      <c r="K252" s="1124"/>
      <c r="L252" s="1124">
        <f ca="1">IFERROR(__xludf.DUMMYFUNCTION("IMPORTRANGE(""https://docs.google.com/spreadsheets/d/1QqKyyYR6Q21VydFLVH3TRQUabQu_ym0Zz7PgGX0-kHA/edit?usp=sharing"",""แผน!BB78"")"),0)</f>
        <v>0</v>
      </c>
      <c r="M252" s="1124"/>
      <c r="N252" s="1125">
        <v>0</v>
      </c>
      <c r="O252" s="1124"/>
      <c r="P252" s="1124"/>
      <c r="Q252" s="1130"/>
      <c r="R252" s="1130"/>
      <c r="S252" s="1130"/>
      <c r="T252" s="1130"/>
      <c r="U252" s="1130"/>
      <c r="V252" s="1130"/>
      <c r="W252" s="1130"/>
      <c r="X252" s="1130"/>
      <c r="Y252" s="1130"/>
      <c r="Z252" s="1130"/>
    </row>
    <row r="253" spans="1:26" ht="19.5" hidden="1">
      <c r="A253" s="1127"/>
      <c r="B253" s="1118"/>
      <c r="C253" s="1128"/>
      <c r="D253" s="1120" t="s">
        <v>100</v>
      </c>
      <c r="E253" s="1119"/>
      <c r="F253" s="1119"/>
      <c r="G253" s="1121"/>
      <c r="H253" s="319" t="s">
        <v>12</v>
      </c>
      <c r="I253" s="1129"/>
      <c r="J253" s="1129"/>
      <c r="K253" s="1124"/>
      <c r="L253" s="1124">
        <f ca="1">IFERROR(__xludf.DUMMYFUNCTION("IMPORTRANGE(""https://docs.google.com/spreadsheets/d/1QqKyyYR6Q21VydFLVH3TRQUabQu_ym0Zz7PgGX0-kHA/edit?usp=sharing"",""แผน!BC78"")"),0)</f>
        <v>0</v>
      </c>
      <c r="M253" s="1124"/>
      <c r="N253" s="1125">
        <v>0</v>
      </c>
      <c r="O253" s="1124"/>
      <c r="P253" s="1124"/>
      <c r="Q253" s="1130"/>
      <c r="R253" s="1130"/>
      <c r="S253" s="1130"/>
      <c r="T253" s="1130"/>
      <c r="U253" s="1130"/>
      <c r="V253" s="1130"/>
      <c r="W253" s="1130"/>
      <c r="X253" s="1130"/>
      <c r="Y253" s="1130"/>
      <c r="Z253" s="1130"/>
    </row>
    <row r="254" spans="1:26" ht="19.5" hidden="1">
      <c r="A254" s="1002"/>
      <c r="B254" s="1003"/>
      <c r="C254" s="1092" t="s">
        <v>16</v>
      </c>
      <c r="D254" s="1004" t="s">
        <v>38</v>
      </c>
      <c r="E254" s="1005"/>
      <c r="F254" s="1005"/>
      <c r="G254" s="1006"/>
      <c r="H254" s="1007"/>
      <c r="I254" s="997"/>
      <c r="J254" s="880"/>
      <c r="K254" s="881"/>
      <c r="L254" s="881"/>
      <c r="M254" s="881"/>
      <c r="N254" s="881"/>
      <c r="O254" s="998"/>
      <c r="P254" s="998"/>
      <c r="Q254" s="868"/>
      <c r="R254" s="868"/>
      <c r="S254" s="868"/>
      <c r="T254" s="868"/>
      <c r="U254" s="868"/>
      <c r="V254" s="868"/>
      <c r="W254" s="868"/>
      <c r="X254" s="868"/>
      <c r="Y254" s="868"/>
      <c r="Z254" s="868"/>
    </row>
    <row r="255" spans="1:26" ht="18.75" hidden="1">
      <c r="A255" s="1002"/>
      <c r="B255" s="1003"/>
      <c r="C255" s="1003"/>
      <c r="D255" s="1009" t="s">
        <v>117</v>
      </c>
      <c r="E255" s="1010"/>
      <c r="F255" s="1010"/>
      <c r="G255" s="1011"/>
      <c r="H255" s="762" t="s">
        <v>35</v>
      </c>
      <c r="I255" s="880" t="str">
        <f ca="1">IFERROR(__xludf.DUMMYFUNCTION("IMPORTRANGE(""https://docs.google.com/spreadsheets/d/1QqKyyYR6Q21VydFLVH3TRQUabQu_ym0Zz7PgGX0-kHA/edit?usp=sharing"",""แผน!BF78"")"),"")</f>
        <v/>
      </c>
      <c r="J255" s="1012">
        <v>0</v>
      </c>
      <c r="K255" s="881" t="e">
        <f ca="1">IF(I255&gt;0,J255*100/I255,0)</f>
        <v>#VALUE!</v>
      </c>
      <c r="L255" s="881"/>
      <c r="M255" s="881"/>
      <c r="N255" s="881"/>
      <c r="O255" s="881"/>
      <c r="P255" s="881"/>
      <c r="Q255" s="868"/>
      <c r="R255" s="868"/>
      <c r="S255" s="868"/>
      <c r="T255" s="868"/>
      <c r="U255" s="868"/>
      <c r="V255" s="868"/>
      <c r="W255" s="868"/>
      <c r="X255" s="868"/>
      <c r="Y255" s="868"/>
      <c r="Z255" s="868"/>
    </row>
    <row r="256" spans="1:26" ht="18.75" hidden="1">
      <c r="A256" s="1002"/>
      <c r="B256" s="1003"/>
      <c r="C256" s="1003"/>
      <c r="D256" s="1131" t="s">
        <v>43</v>
      </c>
      <c r="E256" s="1010"/>
      <c r="F256" s="1010"/>
      <c r="G256" s="1011"/>
      <c r="H256" s="762"/>
      <c r="I256" s="880"/>
      <c r="J256" s="880"/>
      <c r="K256" s="881"/>
      <c r="L256" s="881"/>
      <c r="M256" s="881"/>
      <c r="N256" s="881"/>
      <c r="O256" s="998"/>
      <c r="P256" s="998"/>
      <c r="Q256" s="868"/>
      <c r="R256" s="868"/>
      <c r="S256" s="868"/>
      <c r="T256" s="868"/>
      <c r="U256" s="868"/>
      <c r="V256" s="868"/>
      <c r="W256" s="868"/>
      <c r="X256" s="868"/>
      <c r="Y256" s="868"/>
      <c r="Z256" s="868"/>
    </row>
    <row r="257" spans="1:26" ht="18.75" hidden="1">
      <c r="A257" s="1002"/>
      <c r="B257" s="1003"/>
      <c r="C257" s="1003"/>
      <c r="D257" s="1003"/>
      <c r="E257" s="1008" t="s">
        <v>118</v>
      </c>
      <c r="F257" s="1010"/>
      <c r="G257" s="1011"/>
      <c r="H257" s="762" t="s">
        <v>35</v>
      </c>
      <c r="I257" s="880"/>
      <c r="J257" s="1012">
        <v>0</v>
      </c>
      <c r="K257" s="881">
        <f t="shared" ref="K257:K258" si="114">IF(I257&gt;0,J257*100/I257,0)</f>
        <v>0</v>
      </c>
      <c r="L257" s="881"/>
      <c r="M257" s="881"/>
      <c r="N257" s="881"/>
      <c r="O257" s="881"/>
      <c r="P257" s="881"/>
      <c r="Q257" s="868"/>
      <c r="R257" s="868"/>
      <c r="S257" s="868"/>
      <c r="T257" s="868"/>
      <c r="U257" s="868"/>
      <c r="V257" s="868"/>
      <c r="W257" s="868"/>
      <c r="X257" s="868"/>
      <c r="Y257" s="868"/>
      <c r="Z257" s="868"/>
    </row>
    <row r="258" spans="1:26" ht="18.75" hidden="1">
      <c r="A258" s="1002"/>
      <c r="B258" s="1003"/>
      <c r="C258" s="1003"/>
      <c r="D258" s="1003"/>
      <c r="E258" s="1008" t="s">
        <v>119</v>
      </c>
      <c r="F258" s="1010"/>
      <c r="G258" s="1011"/>
      <c r="H258" s="762" t="s">
        <v>66</v>
      </c>
      <c r="I258" s="880"/>
      <c r="J258" s="1012">
        <v>0</v>
      </c>
      <c r="K258" s="881">
        <f t="shared" si="114"/>
        <v>0</v>
      </c>
      <c r="L258" s="881"/>
      <c r="M258" s="881"/>
      <c r="N258" s="881"/>
      <c r="O258" s="881"/>
      <c r="P258" s="881"/>
      <c r="Q258" s="868"/>
      <c r="R258" s="868"/>
      <c r="S258" s="868"/>
      <c r="T258" s="868"/>
      <c r="U258" s="868"/>
      <c r="V258" s="868"/>
      <c r="W258" s="868"/>
      <c r="X258" s="868"/>
      <c r="Y258" s="868"/>
      <c r="Z258" s="868"/>
    </row>
    <row r="259" spans="1:26" ht="19.5">
      <c r="A259" s="1051" t="s">
        <v>122</v>
      </c>
      <c r="B259" s="1052"/>
      <c r="C259" s="1052"/>
      <c r="D259" s="1053"/>
      <c r="E259" s="1053"/>
      <c r="F259" s="1053"/>
      <c r="G259" s="1054"/>
      <c r="H259" s="1055"/>
      <c r="I259" s="1056"/>
      <c r="J259" s="1056"/>
      <c r="K259" s="1057"/>
      <c r="L259" s="1057"/>
      <c r="M259" s="1057"/>
      <c r="N259" s="1057"/>
      <c r="O259" s="1057"/>
      <c r="P259" s="1057"/>
    </row>
    <row r="260" spans="1:26" ht="19.5">
      <c r="A260" s="1058"/>
      <c r="B260" s="1059" t="s">
        <v>123</v>
      </c>
      <c r="C260" s="1060"/>
      <c r="D260" s="1005"/>
      <c r="E260" s="1005"/>
      <c r="F260" s="1005"/>
      <c r="G260" s="1006"/>
      <c r="H260" s="252" t="s">
        <v>35</v>
      </c>
      <c r="I260" s="1075">
        <f t="shared" ref="I260:J260" ca="1" si="115">I271</f>
        <v>26</v>
      </c>
      <c r="J260" s="1075">
        <f t="shared" si="115"/>
        <v>0</v>
      </c>
      <c r="K260" s="1076">
        <f ca="1">IF(I260&gt;0,J260*100/I260,0)</f>
        <v>0</v>
      </c>
      <c r="L260" s="1062"/>
      <c r="M260" s="1062"/>
      <c r="N260" s="1062"/>
      <c r="O260" s="1062"/>
      <c r="P260" s="1062"/>
    </row>
    <row r="261" spans="1:26" ht="19.5">
      <c r="A261" s="985"/>
      <c r="B261" s="986"/>
      <c r="C261" s="987" t="s">
        <v>16</v>
      </c>
      <c r="D261" s="988" t="s">
        <v>17</v>
      </c>
      <c r="E261" s="986"/>
      <c r="F261" s="986"/>
      <c r="G261" s="989"/>
      <c r="H261" s="152" t="s">
        <v>12</v>
      </c>
      <c r="I261" s="990"/>
      <c r="J261" s="990"/>
      <c r="K261" s="991"/>
      <c r="L261" s="992">
        <f t="shared" ref="L261:N261" ca="1" si="116">L262+L263</f>
        <v>173700</v>
      </c>
      <c r="M261" s="992">
        <f t="shared" ca="1" si="116"/>
        <v>104000</v>
      </c>
      <c r="N261" s="992">
        <f t="shared" ca="1" si="116"/>
        <v>41723.64</v>
      </c>
      <c r="O261" s="992">
        <f t="shared" ref="O261:O269" ca="1" si="117">IF(L261&gt;0,N261*100/L261,0)</f>
        <v>24.020518134715026</v>
      </c>
      <c r="P261" s="992">
        <f t="shared" ref="P261:P269" ca="1" si="118">IF(M261&gt;0,N261*100/M261,0)</f>
        <v>40.118884615384616</v>
      </c>
      <c r="Q261" s="868"/>
      <c r="R261" s="868"/>
      <c r="S261" s="868"/>
      <c r="T261" s="868"/>
      <c r="U261" s="868"/>
      <c r="V261" s="868"/>
      <c r="W261" s="868"/>
      <c r="X261" s="868"/>
      <c r="Y261" s="868"/>
      <c r="Z261" s="868"/>
    </row>
    <row r="262" spans="1:26" ht="18.75" hidden="1">
      <c r="A262" s="993"/>
      <c r="B262" s="883"/>
      <c r="C262" s="883"/>
      <c r="D262" s="883"/>
      <c r="E262" s="884" t="s">
        <v>18</v>
      </c>
      <c r="F262" s="883"/>
      <c r="G262" s="994"/>
      <c r="H262" s="158" t="s">
        <v>12</v>
      </c>
      <c r="I262" s="886"/>
      <c r="J262" s="886"/>
      <c r="K262" s="887"/>
      <c r="L262" s="887">
        <f t="shared" ref="L262:N263" si="119">L265+L268</f>
        <v>0</v>
      </c>
      <c r="M262" s="887">
        <f t="shared" si="119"/>
        <v>0</v>
      </c>
      <c r="N262" s="887">
        <f t="shared" si="119"/>
        <v>0</v>
      </c>
      <c r="O262" s="887">
        <f t="shared" si="117"/>
        <v>0</v>
      </c>
      <c r="P262" s="887">
        <f t="shared" si="118"/>
        <v>0</v>
      </c>
      <c r="Q262" s="875"/>
      <c r="R262" s="875"/>
      <c r="S262" s="875"/>
      <c r="T262" s="875"/>
      <c r="U262" s="875"/>
      <c r="V262" s="875"/>
      <c r="W262" s="875"/>
      <c r="X262" s="875"/>
      <c r="Y262" s="875"/>
      <c r="Z262" s="875"/>
    </row>
    <row r="263" spans="1:26" ht="18.75" hidden="1">
      <c r="A263" s="993"/>
      <c r="B263" s="883"/>
      <c r="C263" s="883"/>
      <c r="D263" s="883"/>
      <c r="E263" s="884" t="s">
        <v>19</v>
      </c>
      <c r="F263" s="883"/>
      <c r="G263" s="994"/>
      <c r="H263" s="158" t="s">
        <v>12</v>
      </c>
      <c r="I263" s="886"/>
      <c r="J263" s="886"/>
      <c r="K263" s="887"/>
      <c r="L263" s="887">
        <f t="shared" ca="1" si="119"/>
        <v>173700</v>
      </c>
      <c r="M263" s="887">
        <f t="shared" ca="1" si="119"/>
        <v>104000</v>
      </c>
      <c r="N263" s="887">
        <f t="shared" ca="1" si="119"/>
        <v>41723.64</v>
      </c>
      <c r="O263" s="887">
        <f t="shared" ca="1" si="117"/>
        <v>24.020518134715026</v>
      </c>
      <c r="P263" s="887">
        <f t="shared" ca="1" si="118"/>
        <v>40.118884615384616</v>
      </c>
      <c r="Q263" s="875"/>
      <c r="R263" s="875"/>
      <c r="S263" s="875"/>
      <c r="T263" s="875"/>
      <c r="U263" s="875"/>
      <c r="V263" s="875"/>
      <c r="W263" s="875"/>
      <c r="X263" s="875"/>
      <c r="Y263" s="875"/>
      <c r="Z263" s="875"/>
    </row>
    <row r="264" spans="1:26" ht="18.75">
      <c r="A264" s="995"/>
      <c r="B264" s="877"/>
      <c r="C264" s="996"/>
      <c r="D264" s="878" t="s">
        <v>20</v>
      </c>
      <c r="E264" s="877"/>
      <c r="F264" s="877"/>
      <c r="G264" s="879"/>
      <c r="H264" s="161" t="s">
        <v>12</v>
      </c>
      <c r="I264" s="997"/>
      <c r="J264" s="997"/>
      <c r="K264" s="998"/>
      <c r="L264" s="881">
        <f t="shared" ref="L264:N264" ca="1" si="120">L265+L266</f>
        <v>173700</v>
      </c>
      <c r="M264" s="881">
        <f t="shared" ca="1" si="120"/>
        <v>104000</v>
      </c>
      <c r="N264" s="881">
        <f t="shared" ca="1" si="120"/>
        <v>41723.64</v>
      </c>
      <c r="O264" s="881">
        <f t="shared" ca="1" si="117"/>
        <v>24.020518134715026</v>
      </c>
      <c r="P264" s="881">
        <f t="shared" ca="1" si="118"/>
        <v>40.118884615384616</v>
      </c>
      <c r="Q264" s="868"/>
      <c r="R264" s="868"/>
      <c r="S264" s="868"/>
      <c r="T264" s="868"/>
      <c r="U264" s="868"/>
      <c r="V264" s="868"/>
      <c r="W264" s="868"/>
      <c r="X264" s="868"/>
      <c r="Y264" s="868"/>
      <c r="Z264" s="868"/>
    </row>
    <row r="265" spans="1:26" ht="19.5" hidden="1">
      <c r="A265" s="993"/>
      <c r="B265" s="883"/>
      <c r="C265" s="999"/>
      <c r="D265" s="883"/>
      <c r="E265" s="884" t="s">
        <v>36</v>
      </c>
      <c r="F265" s="883"/>
      <c r="G265" s="994"/>
      <c r="H265" s="165" t="s">
        <v>12</v>
      </c>
      <c r="I265" s="1000"/>
      <c r="J265" s="1000"/>
      <c r="K265" s="1001"/>
      <c r="L265" s="887">
        <v>0</v>
      </c>
      <c r="M265" s="887">
        <v>0</v>
      </c>
      <c r="N265" s="887">
        <v>0</v>
      </c>
      <c r="O265" s="887">
        <f t="shared" si="117"/>
        <v>0</v>
      </c>
      <c r="P265" s="887">
        <f t="shared" si="118"/>
        <v>0</v>
      </c>
      <c r="Q265" s="875"/>
      <c r="R265" s="875"/>
      <c r="S265" s="875"/>
      <c r="T265" s="875"/>
      <c r="U265" s="875"/>
      <c r="V265" s="875"/>
      <c r="W265" s="875"/>
      <c r="X265" s="875"/>
      <c r="Y265" s="875"/>
      <c r="Z265" s="875"/>
    </row>
    <row r="266" spans="1:26" ht="19.5" hidden="1">
      <c r="A266" s="993"/>
      <c r="B266" s="883"/>
      <c r="C266" s="999"/>
      <c r="D266" s="883"/>
      <c r="E266" s="884" t="s">
        <v>37</v>
      </c>
      <c r="F266" s="883"/>
      <c r="G266" s="994"/>
      <c r="H266" s="165" t="s">
        <v>12</v>
      </c>
      <c r="I266" s="1000"/>
      <c r="J266" s="1000"/>
      <c r="K266" s="1001"/>
      <c r="L266" s="887">
        <f ca="1">IFERROR(__xludf.DUMMYFUNCTION("IMPORTRANGE(""https://docs.google.com/spreadsheets/d/1MeEWN-I1oV_STSDYn1IFDPWt_1FKiwhDph83XaGc0o0/edit?usp=sharing"",""งบพรบ!CY78"")"),173700)</f>
        <v>173700</v>
      </c>
      <c r="M266" s="887">
        <f ca="1">IFERROR(__xludf.DUMMYFUNCTION("IMPORTRANGE(""https://docs.google.com/spreadsheets/d/1MeEWN-I1oV_STSDYn1IFDPWt_1FKiwhDph83XaGc0o0/edit?usp=sharing"",""งบพรบ!DD78"")"),104000)</f>
        <v>104000</v>
      </c>
      <c r="N266" s="887">
        <f ca="1">IFERROR(__xludf.DUMMYFUNCTION("IMPORTRANGE(""https://docs.google.com/spreadsheets/d/1MeEWN-I1oV_STSDYn1IFDPWt_1FKiwhDph83XaGc0o0/edit?usp=sharing"",""งบพรบ!DF78"")"),41723.64)</f>
        <v>41723.64</v>
      </c>
      <c r="O266" s="887">
        <f t="shared" ca="1" si="117"/>
        <v>24.020518134715026</v>
      </c>
      <c r="P266" s="887">
        <f t="shared" ca="1" si="118"/>
        <v>40.118884615384616</v>
      </c>
      <c r="Q266" s="875"/>
      <c r="R266" s="875"/>
      <c r="S266" s="875"/>
      <c r="T266" s="875"/>
      <c r="U266" s="875"/>
      <c r="V266" s="875"/>
      <c r="W266" s="875"/>
      <c r="X266" s="875"/>
      <c r="Y266" s="875"/>
      <c r="Z266" s="875"/>
    </row>
    <row r="267" spans="1:26" ht="18.75">
      <c r="A267" s="995"/>
      <c r="B267" s="877"/>
      <c r="C267" s="996"/>
      <c r="D267" s="878" t="s">
        <v>21</v>
      </c>
      <c r="E267" s="877"/>
      <c r="F267" s="877"/>
      <c r="G267" s="879"/>
      <c r="H267" s="168" t="s">
        <v>12</v>
      </c>
      <c r="I267" s="997"/>
      <c r="J267" s="997"/>
      <c r="K267" s="998"/>
      <c r="L267" s="881">
        <f t="shared" ref="L267:N267" ca="1" si="121">L268+L269</f>
        <v>0</v>
      </c>
      <c r="M267" s="881">
        <f t="shared" ca="1" si="121"/>
        <v>0</v>
      </c>
      <c r="N267" s="881">
        <f t="shared" ca="1" si="121"/>
        <v>0</v>
      </c>
      <c r="O267" s="881">
        <f t="shared" ca="1" si="117"/>
        <v>0</v>
      </c>
      <c r="P267" s="881">
        <f t="shared" ca="1" si="118"/>
        <v>0</v>
      </c>
      <c r="Q267" s="868"/>
      <c r="R267" s="868"/>
      <c r="S267" s="868"/>
      <c r="T267" s="868"/>
      <c r="U267" s="868"/>
      <c r="V267" s="868"/>
      <c r="W267" s="868"/>
      <c r="X267" s="868"/>
      <c r="Y267" s="868"/>
      <c r="Z267" s="868"/>
    </row>
    <row r="268" spans="1:26" ht="19.5" hidden="1">
      <c r="A268" s="993"/>
      <c r="B268" s="883"/>
      <c r="C268" s="999"/>
      <c r="D268" s="883"/>
      <c r="E268" s="884" t="s">
        <v>18</v>
      </c>
      <c r="F268" s="883"/>
      <c r="G268" s="994"/>
      <c r="H268" s="165" t="s">
        <v>12</v>
      </c>
      <c r="I268" s="1000"/>
      <c r="J268" s="1000"/>
      <c r="K268" s="1001"/>
      <c r="L268" s="887">
        <v>0</v>
      </c>
      <c r="M268" s="887">
        <v>0</v>
      </c>
      <c r="N268" s="887">
        <v>0</v>
      </c>
      <c r="O268" s="887">
        <f t="shared" si="117"/>
        <v>0</v>
      </c>
      <c r="P268" s="887">
        <f t="shared" si="118"/>
        <v>0</v>
      </c>
      <c r="Q268" s="875"/>
      <c r="R268" s="875"/>
      <c r="S268" s="875"/>
      <c r="T268" s="875"/>
      <c r="U268" s="875"/>
      <c r="V268" s="875"/>
      <c r="W268" s="875"/>
      <c r="X268" s="875"/>
      <c r="Y268" s="875"/>
      <c r="Z268" s="875"/>
    </row>
    <row r="269" spans="1:26" ht="19.5" hidden="1">
      <c r="A269" s="993"/>
      <c r="B269" s="883"/>
      <c r="C269" s="999"/>
      <c r="D269" s="883"/>
      <c r="E269" s="884" t="s">
        <v>19</v>
      </c>
      <c r="F269" s="883"/>
      <c r="G269" s="994"/>
      <c r="H269" s="169" t="s">
        <v>12</v>
      </c>
      <c r="I269" s="1000"/>
      <c r="J269" s="1000"/>
      <c r="K269" s="1001"/>
      <c r="L269" s="887">
        <f ca="1">IFERROR(__xludf.DUMMYFUNCTION("IMPORTRANGE(""https://docs.google.com/spreadsheets/d/1MeEWN-I1oV_STSDYn1IFDPWt_1FKiwhDph83XaGc0o0/edit?usp=sharing"",""งบพรบ!DB78"")"),0)</f>
        <v>0</v>
      </c>
      <c r="M269" s="887">
        <f ca="1">IFERROR(__xludf.DUMMYFUNCTION("IMPORTRANGE(""https://docs.google.com/spreadsheets/d/1MeEWN-I1oV_STSDYn1IFDPWt_1FKiwhDph83XaGc0o0/edit?usp=sharing"",""งบพรบ!DE78"")"),0)</f>
        <v>0</v>
      </c>
      <c r="N269" s="887">
        <f ca="1">IFERROR(__xludf.DUMMYFUNCTION("IMPORTRANGE(""https://docs.google.com/spreadsheets/d/1MeEWN-I1oV_STSDYn1IFDPWt_1FKiwhDph83XaGc0o0/edit?usp=sharing"",""งบพรบ!DG78"")"),0)</f>
        <v>0</v>
      </c>
      <c r="O269" s="887">
        <f t="shared" ca="1" si="117"/>
        <v>0</v>
      </c>
      <c r="P269" s="887">
        <f t="shared" ca="1" si="118"/>
        <v>0</v>
      </c>
      <c r="Q269" s="875"/>
      <c r="R269" s="875"/>
      <c r="S269" s="875"/>
      <c r="T269" s="875"/>
      <c r="U269" s="875"/>
      <c r="V269" s="875"/>
      <c r="W269" s="875"/>
      <c r="X269" s="875"/>
      <c r="Y269" s="875"/>
      <c r="Z269" s="875"/>
    </row>
    <row r="270" spans="1:26" ht="19.5">
      <c r="A270" s="1002"/>
      <c r="B270" s="1003"/>
      <c r="C270" s="996" t="s">
        <v>16</v>
      </c>
      <c r="D270" s="1004" t="s">
        <v>38</v>
      </c>
      <c r="E270" s="1005"/>
      <c r="F270" s="1005"/>
      <c r="G270" s="1006"/>
      <c r="H270" s="1007"/>
      <c r="I270" s="997"/>
      <c r="J270" s="997"/>
      <c r="K270" s="998"/>
      <c r="L270" s="998"/>
      <c r="M270" s="998"/>
      <c r="N270" s="998"/>
      <c r="O270" s="998"/>
      <c r="P270" s="998"/>
    </row>
    <row r="271" spans="1:26" ht="18.75">
      <c r="A271" s="1002"/>
      <c r="B271" s="1003"/>
      <c r="C271" s="1003"/>
      <c r="D271" s="1132" t="s">
        <v>124</v>
      </c>
      <c r="E271" s="1010"/>
      <c r="F271" s="1074"/>
      <c r="G271" s="1011"/>
      <c r="H271" s="377" t="s">
        <v>35</v>
      </c>
      <c r="I271" s="880">
        <f ca="1">IFERROR(__xludf.DUMMYFUNCTION("IMPORTRANGE(""https://docs.google.com/spreadsheets/d/1QqKyyYR6Q21VydFLVH3TRQUabQu_ym0Zz7PgGX0-kHA/edit?usp=sharing"",""แผน!EA78"")"),26)</f>
        <v>26</v>
      </c>
      <c r="J271" s="1012">
        <v>0</v>
      </c>
      <c r="K271" s="998">
        <f ca="1">IF(I271&gt;0,J271*100/I271,0)</f>
        <v>0</v>
      </c>
      <c r="L271" s="998"/>
      <c r="M271" s="998"/>
      <c r="N271" s="998"/>
      <c r="O271" s="998"/>
      <c r="P271" s="998"/>
    </row>
    <row r="272" spans="1:26" ht="18.75" hidden="1">
      <c r="A272" s="1133"/>
      <c r="B272" s="1134"/>
      <c r="C272" s="1134"/>
      <c r="D272" s="1135" t="s">
        <v>125</v>
      </c>
      <c r="E272" s="1136"/>
      <c r="F272" s="1136"/>
      <c r="G272" s="1137"/>
      <c r="H272" s="50" t="s">
        <v>35</v>
      </c>
      <c r="I272" s="1138">
        <v>0</v>
      </c>
      <c r="J272" s="1138">
        <v>0</v>
      </c>
      <c r="K272" s="1139">
        <v>0</v>
      </c>
      <c r="L272" s="1139"/>
      <c r="M272" s="1139"/>
      <c r="N272" s="1139"/>
      <c r="O272" s="1139"/>
      <c r="P272" s="1139"/>
    </row>
    <row r="273" spans="1:26" ht="19.5" hidden="1">
      <c r="A273" s="1140" t="s">
        <v>126</v>
      </c>
      <c r="B273" s="1141"/>
      <c r="C273" s="1141"/>
      <c r="D273" s="1141"/>
      <c r="E273" s="1142"/>
      <c r="F273" s="1142"/>
      <c r="G273" s="1143"/>
      <c r="H273" s="1144"/>
      <c r="I273" s="1145"/>
      <c r="J273" s="1145"/>
      <c r="K273" s="1146"/>
      <c r="L273" s="1146"/>
      <c r="M273" s="1146"/>
      <c r="N273" s="1146"/>
      <c r="O273" s="1146"/>
      <c r="P273" s="1146"/>
    </row>
    <row r="274" spans="1:26" ht="19.5" hidden="1">
      <c r="A274" s="1147" t="s">
        <v>127</v>
      </c>
      <c r="B274" s="1148"/>
      <c r="C274" s="1149"/>
      <c r="D274" s="1148"/>
      <c r="E274" s="1148"/>
      <c r="F274" s="1148"/>
      <c r="G274" s="1148"/>
      <c r="H274" s="1150"/>
      <c r="I274" s="1151"/>
      <c r="J274" s="1152"/>
      <c r="K274" s="1153"/>
      <c r="L274" s="1153"/>
      <c r="M274" s="1153"/>
      <c r="N274" s="1153"/>
      <c r="O274" s="1153"/>
      <c r="P274" s="1153"/>
    </row>
    <row r="275" spans="1:26" ht="19.5" hidden="1">
      <c r="A275" s="1154"/>
      <c r="B275" s="1155" t="s">
        <v>128</v>
      </c>
      <c r="C275" s="1156"/>
      <c r="D275" s="1157"/>
      <c r="E275" s="1156"/>
      <c r="F275" s="1156"/>
      <c r="G275" s="1158"/>
      <c r="H275" s="405" t="s">
        <v>35</v>
      </c>
      <c r="I275" s="1159">
        <f t="shared" ref="I275:J275" ca="1" si="122">I288</f>
        <v>0</v>
      </c>
      <c r="J275" s="1159">
        <f t="shared" ca="1" si="122"/>
        <v>0</v>
      </c>
      <c r="K275" s="1160">
        <f t="shared" ref="K275:K276" ca="1" si="123">IF(I275&gt;0,J275*100/I275,0)</f>
        <v>0</v>
      </c>
      <c r="L275" s="1161"/>
      <c r="M275" s="1161"/>
      <c r="N275" s="1161"/>
      <c r="O275" s="1161"/>
      <c r="P275" s="1161"/>
    </row>
    <row r="276" spans="1:26" ht="19.5" hidden="1">
      <c r="A276" s="1154"/>
      <c r="B276" s="1155"/>
      <c r="C276" s="1156"/>
      <c r="D276" s="1157"/>
      <c r="E276" s="1156"/>
      <c r="F276" s="1156"/>
      <c r="G276" s="1158"/>
      <c r="H276" s="405" t="s">
        <v>46</v>
      </c>
      <c r="I276" s="1493">
        <f t="shared" ref="I276:J276" ca="1" si="124">I287</f>
        <v>0</v>
      </c>
      <c r="J276" s="1493">
        <f t="shared" si="124"/>
        <v>0</v>
      </c>
      <c r="K276" s="1161">
        <f t="shared" ca="1" si="123"/>
        <v>0</v>
      </c>
      <c r="L276" s="1161"/>
      <c r="M276" s="1161"/>
      <c r="N276" s="1161"/>
      <c r="O276" s="1161"/>
      <c r="P276" s="1161"/>
    </row>
    <row r="277" spans="1:26" ht="19.5" hidden="1">
      <c r="A277" s="985"/>
      <c r="B277" s="986"/>
      <c r="C277" s="987" t="s">
        <v>16</v>
      </c>
      <c r="D277" s="988" t="s">
        <v>17</v>
      </c>
      <c r="E277" s="986"/>
      <c r="F277" s="986"/>
      <c r="G277" s="989"/>
      <c r="H277" s="152" t="s">
        <v>12</v>
      </c>
      <c r="I277" s="990"/>
      <c r="J277" s="990"/>
      <c r="K277" s="991"/>
      <c r="L277" s="992">
        <f t="shared" ref="L277:N277" ca="1" si="125">L278+L279</f>
        <v>0</v>
      </c>
      <c r="M277" s="992">
        <f t="shared" ca="1" si="125"/>
        <v>0</v>
      </c>
      <c r="N277" s="992">
        <f t="shared" ca="1" si="125"/>
        <v>0</v>
      </c>
      <c r="O277" s="992">
        <f t="shared" ref="O277:O285" ca="1" si="126">IF(L277&gt;0,N277*100/L277,0)</f>
        <v>0</v>
      </c>
      <c r="P277" s="992">
        <f t="shared" ref="P277:P285" ca="1" si="127">IF(M277&gt;0,N277*100/M277,0)</f>
        <v>0</v>
      </c>
      <c r="Q277" s="868"/>
      <c r="R277" s="868"/>
      <c r="S277" s="868"/>
      <c r="T277" s="868"/>
      <c r="U277" s="868"/>
      <c r="V277" s="868"/>
      <c r="W277" s="868"/>
      <c r="X277" s="868"/>
      <c r="Y277" s="868"/>
      <c r="Z277" s="868"/>
    </row>
    <row r="278" spans="1:26" ht="18.75" hidden="1">
      <c r="A278" s="993"/>
      <c r="B278" s="883"/>
      <c r="C278" s="883"/>
      <c r="D278" s="883"/>
      <c r="E278" s="884" t="s">
        <v>18</v>
      </c>
      <c r="F278" s="883"/>
      <c r="G278" s="994"/>
      <c r="H278" s="158" t="s">
        <v>12</v>
      </c>
      <c r="I278" s="886"/>
      <c r="J278" s="886"/>
      <c r="K278" s="887"/>
      <c r="L278" s="887">
        <f t="shared" ref="L278:N279" si="128">L281+L284</f>
        <v>0</v>
      </c>
      <c r="M278" s="887">
        <f t="shared" si="128"/>
        <v>0</v>
      </c>
      <c r="N278" s="887">
        <f t="shared" si="128"/>
        <v>0</v>
      </c>
      <c r="O278" s="887">
        <f t="shared" si="126"/>
        <v>0</v>
      </c>
      <c r="P278" s="887">
        <f t="shared" si="127"/>
        <v>0</v>
      </c>
      <c r="Q278" s="875"/>
      <c r="R278" s="875"/>
      <c r="S278" s="875"/>
      <c r="T278" s="875"/>
      <c r="U278" s="875"/>
      <c r="V278" s="875"/>
      <c r="W278" s="875"/>
      <c r="X278" s="875"/>
      <c r="Y278" s="875"/>
      <c r="Z278" s="875"/>
    </row>
    <row r="279" spans="1:26" ht="18.75" hidden="1">
      <c r="A279" s="993"/>
      <c r="B279" s="883"/>
      <c r="C279" s="883"/>
      <c r="D279" s="883"/>
      <c r="E279" s="884" t="s">
        <v>19</v>
      </c>
      <c r="F279" s="883"/>
      <c r="G279" s="994"/>
      <c r="H279" s="158" t="s">
        <v>12</v>
      </c>
      <c r="I279" s="886"/>
      <c r="J279" s="886"/>
      <c r="K279" s="887"/>
      <c r="L279" s="887">
        <f t="shared" ca="1" si="128"/>
        <v>0</v>
      </c>
      <c r="M279" s="887">
        <f t="shared" ca="1" si="128"/>
        <v>0</v>
      </c>
      <c r="N279" s="887">
        <f t="shared" ca="1" si="128"/>
        <v>0</v>
      </c>
      <c r="O279" s="887">
        <f t="shared" ca="1" si="126"/>
        <v>0</v>
      </c>
      <c r="P279" s="887">
        <f t="shared" ca="1" si="127"/>
        <v>0</v>
      </c>
      <c r="Q279" s="875"/>
      <c r="R279" s="875"/>
      <c r="S279" s="875"/>
      <c r="T279" s="875"/>
      <c r="U279" s="875"/>
      <c r="V279" s="875"/>
      <c r="W279" s="875"/>
      <c r="X279" s="875"/>
      <c r="Y279" s="875"/>
      <c r="Z279" s="875"/>
    </row>
    <row r="280" spans="1:26" ht="18.75" hidden="1">
      <c r="A280" s="995"/>
      <c r="B280" s="877"/>
      <c r="C280" s="996"/>
      <c r="D280" s="878" t="s">
        <v>20</v>
      </c>
      <c r="E280" s="877"/>
      <c r="F280" s="877"/>
      <c r="G280" s="879"/>
      <c r="H280" s="161" t="s">
        <v>12</v>
      </c>
      <c r="I280" s="997"/>
      <c r="J280" s="997"/>
      <c r="K280" s="998"/>
      <c r="L280" s="881">
        <f t="shared" ref="L280:N280" ca="1" si="129">L281+L282</f>
        <v>0</v>
      </c>
      <c r="M280" s="881">
        <f t="shared" ca="1" si="129"/>
        <v>0</v>
      </c>
      <c r="N280" s="881">
        <f t="shared" ca="1" si="129"/>
        <v>0</v>
      </c>
      <c r="O280" s="881">
        <f t="shared" ca="1" si="126"/>
        <v>0</v>
      </c>
      <c r="P280" s="881">
        <f t="shared" ca="1" si="127"/>
        <v>0</v>
      </c>
      <c r="Q280" s="868"/>
      <c r="R280" s="868"/>
      <c r="S280" s="868"/>
      <c r="T280" s="868"/>
      <c r="U280" s="868"/>
      <c r="V280" s="868"/>
      <c r="W280" s="868"/>
      <c r="X280" s="868"/>
      <c r="Y280" s="868"/>
      <c r="Z280" s="868"/>
    </row>
    <row r="281" spans="1:26" ht="19.5" hidden="1">
      <c r="A281" s="993"/>
      <c r="B281" s="883"/>
      <c r="C281" s="999"/>
      <c r="D281" s="883"/>
      <c r="E281" s="884" t="s">
        <v>36</v>
      </c>
      <c r="F281" s="883"/>
      <c r="G281" s="994"/>
      <c r="H281" s="165" t="s">
        <v>12</v>
      </c>
      <c r="I281" s="1000"/>
      <c r="J281" s="1000"/>
      <c r="K281" s="1001"/>
      <c r="L281" s="887">
        <v>0</v>
      </c>
      <c r="M281" s="887">
        <v>0</v>
      </c>
      <c r="N281" s="887">
        <v>0</v>
      </c>
      <c r="O281" s="887">
        <f t="shared" si="126"/>
        <v>0</v>
      </c>
      <c r="P281" s="887">
        <f t="shared" si="127"/>
        <v>0</v>
      </c>
      <c r="Q281" s="875"/>
      <c r="R281" s="875"/>
      <c r="S281" s="875"/>
      <c r="T281" s="875"/>
      <c r="U281" s="875"/>
      <c r="V281" s="875"/>
      <c r="W281" s="875"/>
      <c r="X281" s="875"/>
      <c r="Y281" s="875"/>
      <c r="Z281" s="875"/>
    </row>
    <row r="282" spans="1:26" ht="19.5" hidden="1">
      <c r="A282" s="993"/>
      <c r="B282" s="883"/>
      <c r="C282" s="999"/>
      <c r="D282" s="883"/>
      <c r="E282" s="884" t="s">
        <v>37</v>
      </c>
      <c r="F282" s="883"/>
      <c r="G282" s="994"/>
      <c r="H282" s="165" t="s">
        <v>12</v>
      </c>
      <c r="I282" s="1000"/>
      <c r="J282" s="1000"/>
      <c r="K282" s="1001"/>
      <c r="L282" s="887">
        <f ca="1">IFERROR(__xludf.DUMMYFUNCTION("IMPORTRANGE(""https://docs.google.com/spreadsheets/d/1MeEWN-I1oV_STSDYn1IFDPWt_1FKiwhDph83XaGc0o0/edit?usp=sharing"",""งบพรบ!DI78"")"),0)</f>
        <v>0</v>
      </c>
      <c r="M282" s="887">
        <f ca="1">IFERROR(__xludf.DUMMYFUNCTION("IMPORTRANGE(""https://docs.google.com/spreadsheets/d/1MeEWN-I1oV_STSDYn1IFDPWt_1FKiwhDph83XaGc0o0/edit?usp=sharing"",""งบพรบ!DN78"")"),0)</f>
        <v>0</v>
      </c>
      <c r="N282" s="887">
        <f ca="1">IFERROR(__xludf.DUMMYFUNCTION("IMPORTRANGE(""https://docs.google.com/spreadsheets/d/1MeEWN-I1oV_STSDYn1IFDPWt_1FKiwhDph83XaGc0o0/edit?usp=sharing"",""งบพรบ!DP78"")"),0)</f>
        <v>0</v>
      </c>
      <c r="O282" s="887">
        <f t="shared" ca="1" si="126"/>
        <v>0</v>
      </c>
      <c r="P282" s="887">
        <f t="shared" ca="1" si="127"/>
        <v>0</v>
      </c>
      <c r="Q282" s="875"/>
      <c r="R282" s="875"/>
      <c r="S282" s="875"/>
      <c r="T282" s="875"/>
      <c r="U282" s="875"/>
      <c r="V282" s="875"/>
      <c r="W282" s="875"/>
      <c r="X282" s="875"/>
      <c r="Y282" s="875"/>
      <c r="Z282" s="875"/>
    </row>
    <row r="283" spans="1:26" ht="18.75" hidden="1">
      <c r="A283" s="995"/>
      <c r="B283" s="877"/>
      <c r="C283" s="996"/>
      <c r="D283" s="878" t="s">
        <v>21</v>
      </c>
      <c r="E283" s="877"/>
      <c r="F283" s="877"/>
      <c r="G283" s="879"/>
      <c r="H283" s="168" t="s">
        <v>12</v>
      </c>
      <c r="I283" s="997"/>
      <c r="J283" s="997"/>
      <c r="K283" s="998"/>
      <c r="L283" s="881">
        <f t="shared" ref="L283:N283" ca="1" si="130">L284+L285</f>
        <v>0</v>
      </c>
      <c r="M283" s="881">
        <f t="shared" ca="1" si="130"/>
        <v>0</v>
      </c>
      <c r="N283" s="881">
        <f t="shared" ca="1" si="130"/>
        <v>0</v>
      </c>
      <c r="O283" s="881">
        <f t="shared" ca="1" si="126"/>
        <v>0</v>
      </c>
      <c r="P283" s="881">
        <f t="shared" ca="1" si="127"/>
        <v>0</v>
      </c>
      <c r="Q283" s="868"/>
      <c r="R283" s="868"/>
      <c r="S283" s="868"/>
      <c r="T283" s="868"/>
      <c r="U283" s="868"/>
      <c r="V283" s="868"/>
      <c r="W283" s="868"/>
      <c r="X283" s="868"/>
      <c r="Y283" s="868"/>
      <c r="Z283" s="868"/>
    </row>
    <row r="284" spans="1:26" ht="19.5" hidden="1">
      <c r="A284" s="993"/>
      <c r="B284" s="883"/>
      <c r="C284" s="999"/>
      <c r="D284" s="883"/>
      <c r="E284" s="884" t="s">
        <v>18</v>
      </c>
      <c r="F284" s="883"/>
      <c r="G284" s="994"/>
      <c r="H284" s="165" t="s">
        <v>12</v>
      </c>
      <c r="I284" s="1000"/>
      <c r="J284" s="1000"/>
      <c r="K284" s="1001"/>
      <c r="L284" s="887">
        <v>0</v>
      </c>
      <c r="M284" s="887">
        <v>0</v>
      </c>
      <c r="N284" s="887">
        <v>0</v>
      </c>
      <c r="O284" s="887">
        <f t="shared" si="126"/>
        <v>0</v>
      </c>
      <c r="P284" s="887">
        <f t="shared" si="127"/>
        <v>0</v>
      </c>
      <c r="Q284" s="875"/>
      <c r="R284" s="875"/>
      <c r="S284" s="875"/>
      <c r="T284" s="875"/>
      <c r="U284" s="875"/>
      <c r="V284" s="875"/>
      <c r="W284" s="875"/>
      <c r="X284" s="875"/>
      <c r="Y284" s="875"/>
      <c r="Z284" s="875"/>
    </row>
    <row r="285" spans="1:26" ht="19.5" hidden="1">
      <c r="A285" s="993"/>
      <c r="B285" s="883"/>
      <c r="C285" s="999"/>
      <c r="D285" s="883"/>
      <c r="E285" s="884" t="s">
        <v>19</v>
      </c>
      <c r="F285" s="883"/>
      <c r="G285" s="994"/>
      <c r="H285" s="169" t="s">
        <v>12</v>
      </c>
      <c r="I285" s="1000"/>
      <c r="J285" s="1000"/>
      <c r="K285" s="1001"/>
      <c r="L285" s="887">
        <f ca="1">IFERROR(__xludf.DUMMYFUNCTION("IMPORTRANGE(""https://docs.google.com/spreadsheets/d/1MeEWN-I1oV_STSDYn1IFDPWt_1FKiwhDph83XaGc0o0/edit?usp=sharing"",""งบพรบ!DL78"")"),0)</f>
        <v>0</v>
      </c>
      <c r="M285" s="887">
        <f ca="1">IFERROR(__xludf.DUMMYFUNCTION("IMPORTRANGE(""https://docs.google.com/spreadsheets/d/1MeEWN-I1oV_STSDYn1IFDPWt_1FKiwhDph83XaGc0o0/edit?usp=sharing"",""งบพรบ!DO78"")"),0)</f>
        <v>0</v>
      </c>
      <c r="N285" s="887">
        <f ca="1">IFERROR(__xludf.DUMMYFUNCTION("IMPORTRANGE(""https://docs.google.com/spreadsheets/d/1MeEWN-I1oV_STSDYn1IFDPWt_1FKiwhDph83XaGc0o0/edit?usp=sharing"",""งบพรบ!DQ78"")"),0)</f>
        <v>0</v>
      </c>
      <c r="O285" s="887">
        <f t="shared" ca="1" si="126"/>
        <v>0</v>
      </c>
      <c r="P285" s="887">
        <f t="shared" ca="1" si="127"/>
        <v>0</v>
      </c>
      <c r="Q285" s="875"/>
      <c r="R285" s="875"/>
      <c r="S285" s="875"/>
      <c r="T285" s="875"/>
      <c r="U285" s="875"/>
      <c r="V285" s="875"/>
      <c r="W285" s="875"/>
      <c r="X285" s="875"/>
      <c r="Y285" s="875"/>
      <c r="Z285" s="875"/>
    </row>
    <row r="286" spans="1:26" ht="19.5" hidden="1">
      <c r="A286" s="1002"/>
      <c r="B286" s="1003"/>
      <c r="C286" s="999" t="s">
        <v>16</v>
      </c>
      <c r="D286" s="1004" t="s">
        <v>38</v>
      </c>
      <c r="E286" s="1005"/>
      <c r="F286" s="1005"/>
      <c r="G286" s="1006"/>
      <c r="H286" s="1007"/>
      <c r="I286" s="997"/>
      <c r="J286" s="997"/>
      <c r="K286" s="998"/>
      <c r="L286" s="998"/>
      <c r="M286" s="998"/>
      <c r="N286" s="998"/>
      <c r="O286" s="998"/>
      <c r="P286" s="998"/>
    </row>
    <row r="287" spans="1:26" ht="18.75" hidden="1">
      <c r="A287" s="1002"/>
      <c r="B287" s="1003"/>
      <c r="C287" s="1003"/>
      <c r="D287" s="1014" t="s">
        <v>129</v>
      </c>
      <c r="E287" s="1003"/>
      <c r="F287" s="1010"/>
      <c r="G287" s="1011"/>
      <c r="H287" s="185" t="s">
        <v>46</v>
      </c>
      <c r="I287" s="880">
        <f ca="1">IFERROR(__xludf.DUMMYFUNCTION("IMPORTRANGE(""https://docs.google.com/spreadsheets/d/1QqKyyYR6Q21VydFLVH3TRQUabQu_ym0Zz7PgGX0-kHA/edit?usp=sharing"",""แผน!EC78"")"),0)</f>
        <v>0</v>
      </c>
      <c r="J287" s="880">
        <v>0</v>
      </c>
      <c r="K287" s="998">
        <f t="shared" ref="K287:K288" ca="1" si="131">IF(I287&gt;0,J287*100/I287,0)</f>
        <v>0</v>
      </c>
      <c r="L287" s="998"/>
      <c r="M287" s="998"/>
      <c r="N287" s="998"/>
      <c r="O287" s="998"/>
      <c r="P287" s="998"/>
    </row>
    <row r="288" spans="1:26" ht="19.5" hidden="1">
      <c r="A288" s="1002"/>
      <c r="B288" s="1003"/>
      <c r="C288" s="1003"/>
      <c r="D288" s="1014" t="s">
        <v>130</v>
      </c>
      <c r="E288" s="1003"/>
      <c r="F288" s="1010"/>
      <c r="G288" s="1011"/>
      <c r="H288" s="180" t="s">
        <v>35</v>
      </c>
      <c r="I288" s="1019">
        <f ca="1">IFERROR(__xludf.DUMMYFUNCTION("IMPORTRANGE(""https://docs.google.com/spreadsheets/d/1QqKyyYR6Q21VydFLVH3TRQUabQu_ym0Zz7PgGX0-kHA/edit?usp=sharing"",""แผน!EB78"")"),0)</f>
        <v>0</v>
      </c>
      <c r="J288" s="1019">
        <f ca="1">IF(AND(J291&gt;=I288,J294&gt;=I288),J294,0)</f>
        <v>0</v>
      </c>
      <c r="K288" s="1162">
        <f t="shared" ca="1" si="131"/>
        <v>0</v>
      </c>
      <c r="L288" s="998"/>
      <c r="M288" s="998"/>
      <c r="N288" s="998"/>
      <c r="O288" s="998"/>
      <c r="P288" s="998"/>
    </row>
    <row r="289" spans="1:26" ht="19.5" hidden="1">
      <c r="A289" s="1002"/>
      <c r="B289" s="1003"/>
      <c r="C289" s="1003"/>
      <c r="D289" s="1163"/>
      <c r="E289" s="1164" t="s">
        <v>131</v>
      </c>
      <c r="F289" s="1010"/>
      <c r="G289" s="1011"/>
      <c r="H289" s="762"/>
      <c r="I289" s="997"/>
      <c r="J289" s="880"/>
      <c r="K289" s="998"/>
      <c r="L289" s="998"/>
      <c r="M289" s="998"/>
      <c r="N289" s="998"/>
      <c r="O289" s="998"/>
      <c r="P289" s="998"/>
    </row>
    <row r="290" spans="1:26" ht="19.5" hidden="1">
      <c r="A290" s="1002"/>
      <c r="B290" s="1003"/>
      <c r="C290" s="1003"/>
      <c r="D290" s="1163"/>
      <c r="E290" s="1014" t="s">
        <v>132</v>
      </c>
      <c r="F290" s="1010"/>
      <c r="G290" s="1011"/>
      <c r="H290" s="762" t="s">
        <v>35</v>
      </c>
      <c r="I290" s="997">
        <f ca="1">IFERROR(__xludf.DUMMYFUNCTION("IMPORTRANGE(""https://docs.google.com/spreadsheets/d/1QqKyyYR6Q21VydFLVH3TRQUabQu_ym0Zz7PgGX0-kHA/edit?usp=sharing"",""แผน!EB78"")"),0)</f>
        <v>0</v>
      </c>
      <c r="J290" s="1012">
        <v>0</v>
      </c>
      <c r="K290" s="998">
        <f t="shared" ref="K290:K291" ca="1" si="132">IF(I290&gt;0,J290*100/I290,0)</f>
        <v>0</v>
      </c>
      <c r="L290" s="998"/>
      <c r="M290" s="998"/>
      <c r="N290" s="998"/>
      <c r="O290" s="998"/>
      <c r="P290" s="998"/>
    </row>
    <row r="291" spans="1:26" ht="19.5" hidden="1">
      <c r="A291" s="1002"/>
      <c r="B291" s="1003"/>
      <c r="C291" s="1003"/>
      <c r="D291" s="1010"/>
      <c r="E291" s="1014" t="s">
        <v>338</v>
      </c>
      <c r="F291" s="1010"/>
      <c r="G291" s="1011"/>
      <c r="H291" s="762" t="s">
        <v>35</v>
      </c>
      <c r="I291" s="997">
        <f ca="1">IFERROR(__xludf.DUMMYFUNCTION("IMPORTRANGE(""https://docs.google.com/spreadsheets/d/1QqKyyYR6Q21VydFLVH3TRQUabQu_ym0Zz7PgGX0-kHA/edit?usp=sharing"",""แผน!EB78"")"),0)</f>
        <v>0</v>
      </c>
      <c r="J291" s="1012">
        <v>0</v>
      </c>
      <c r="K291" s="998">
        <f t="shared" ca="1" si="132"/>
        <v>0</v>
      </c>
      <c r="L291" s="998"/>
      <c r="M291" s="998"/>
      <c r="N291" s="998"/>
      <c r="O291" s="998"/>
      <c r="P291" s="998"/>
    </row>
    <row r="292" spans="1:26" ht="19.5" hidden="1">
      <c r="A292" s="1165"/>
      <c r="B292" s="1166"/>
      <c r="C292" s="1166"/>
      <c r="D292" s="1167"/>
      <c r="E292" s="1168" t="s">
        <v>134</v>
      </c>
      <c r="F292" s="1088"/>
      <c r="G292" s="1089"/>
      <c r="H292" s="419"/>
      <c r="I292" s="1082"/>
      <c r="J292" s="990"/>
      <c r="K292" s="1083"/>
      <c r="L292" s="1083"/>
      <c r="M292" s="1083"/>
      <c r="N292" s="1083"/>
      <c r="O292" s="1083"/>
      <c r="P292" s="1083"/>
    </row>
    <row r="293" spans="1:26" ht="19.5" hidden="1">
      <c r="A293" s="1002"/>
      <c r="B293" s="1003"/>
      <c r="C293" s="1003"/>
      <c r="D293" s="1163"/>
      <c r="E293" s="1014" t="s">
        <v>132</v>
      </c>
      <c r="F293" s="1010"/>
      <c r="G293" s="1011"/>
      <c r="H293" s="762" t="s">
        <v>35</v>
      </c>
      <c r="I293" s="997">
        <f ca="1">IFERROR(__xludf.DUMMYFUNCTION("IMPORTRANGE(""https://docs.google.com/spreadsheets/d/1QqKyyYR6Q21VydFLVH3TRQUabQu_ym0Zz7PgGX0-kHA/edit?usp=sharing"",""แผน!EB78"")"),0)</f>
        <v>0</v>
      </c>
      <c r="J293" s="1012">
        <v>0</v>
      </c>
      <c r="K293" s="998">
        <f t="shared" ref="K293:K294" ca="1" si="133">IF(I293&gt;0,J293*100/I293,0)</f>
        <v>0</v>
      </c>
      <c r="L293" s="998"/>
      <c r="M293" s="998"/>
      <c r="N293" s="998"/>
      <c r="O293" s="998"/>
      <c r="P293" s="998"/>
    </row>
    <row r="294" spans="1:26" ht="19.5" hidden="1">
      <c r="A294" s="1133"/>
      <c r="B294" s="1134"/>
      <c r="C294" s="1134"/>
      <c r="D294" s="1136"/>
      <c r="E294" s="1169" t="s">
        <v>338</v>
      </c>
      <c r="F294" s="1136"/>
      <c r="G294" s="1137"/>
      <c r="H294" s="423" t="s">
        <v>35</v>
      </c>
      <c r="I294" s="1170">
        <f ca="1">IFERROR(__xludf.DUMMYFUNCTION("IMPORTRANGE(""https://docs.google.com/spreadsheets/d/1QqKyyYR6Q21VydFLVH3TRQUabQu_ym0Zz7PgGX0-kHA/edit?usp=sharing"",""แผน!EB78"")"),0)</f>
        <v>0</v>
      </c>
      <c r="J294" s="1171">
        <v>0</v>
      </c>
      <c r="K294" s="1139">
        <f t="shared" ca="1" si="133"/>
        <v>0</v>
      </c>
      <c r="L294" s="1139"/>
      <c r="M294" s="1139"/>
      <c r="N294" s="1139"/>
      <c r="O294" s="1139"/>
      <c r="P294" s="1139"/>
    </row>
    <row r="295" spans="1:26" ht="19.5">
      <c r="A295" s="1172" t="s">
        <v>137</v>
      </c>
      <c r="B295" s="1173"/>
      <c r="C295" s="1173"/>
      <c r="D295" s="1173"/>
      <c r="E295" s="1174"/>
      <c r="F295" s="1174"/>
      <c r="G295" s="1175"/>
      <c r="H295" s="1176"/>
      <c r="I295" s="1177"/>
      <c r="J295" s="1177"/>
      <c r="K295" s="1178"/>
      <c r="L295" s="1178"/>
      <c r="M295" s="1178"/>
      <c r="N295" s="1178"/>
      <c r="O295" s="1178"/>
      <c r="P295" s="1178"/>
    </row>
    <row r="296" spans="1:26" ht="19.5">
      <c r="A296" s="1179" t="s">
        <v>138</v>
      </c>
      <c r="B296" s="1180"/>
      <c r="C296" s="1180"/>
      <c r="D296" s="1181"/>
      <c r="E296" s="1181"/>
      <c r="F296" s="1181"/>
      <c r="G296" s="1182"/>
      <c r="H296" s="1183"/>
      <c r="I296" s="1184"/>
      <c r="J296" s="1184"/>
      <c r="K296" s="1185"/>
      <c r="L296" s="1185"/>
      <c r="M296" s="1185"/>
      <c r="N296" s="1185"/>
      <c r="O296" s="1185"/>
      <c r="P296" s="1185"/>
    </row>
    <row r="297" spans="1:26" ht="19.5">
      <c r="A297" s="1186"/>
      <c r="B297" s="1187" t="s">
        <v>139</v>
      </c>
      <c r="C297" s="1188"/>
      <c r="D297" s="1188"/>
      <c r="E297" s="1188"/>
      <c r="F297" s="1188"/>
      <c r="G297" s="1189"/>
      <c r="H297" s="444" t="s">
        <v>35</v>
      </c>
      <c r="I297" s="1190">
        <f t="shared" ref="I297:J297" ca="1" si="134">I309</f>
        <v>20</v>
      </c>
      <c r="J297" s="1190">
        <f t="shared" si="134"/>
        <v>20</v>
      </c>
      <c r="K297" s="1191">
        <f ca="1">IF(I297&gt;0,J297*100/I297,0)</f>
        <v>100</v>
      </c>
      <c r="L297" s="1192"/>
      <c r="M297" s="1192"/>
      <c r="N297" s="1192"/>
      <c r="O297" s="1192"/>
      <c r="P297" s="1192"/>
    </row>
    <row r="298" spans="1:26" ht="19.5">
      <c r="A298" s="985"/>
      <c r="B298" s="986"/>
      <c r="C298" s="987" t="s">
        <v>16</v>
      </c>
      <c r="D298" s="988" t="s">
        <v>17</v>
      </c>
      <c r="E298" s="986"/>
      <c r="F298" s="986"/>
      <c r="G298" s="989"/>
      <c r="H298" s="152" t="s">
        <v>12</v>
      </c>
      <c r="I298" s="990"/>
      <c r="J298" s="990"/>
      <c r="K298" s="991"/>
      <c r="L298" s="992">
        <f t="shared" ref="L298:N298" ca="1" si="135">L299+L300</f>
        <v>82400</v>
      </c>
      <c r="M298" s="992">
        <f t="shared" ca="1" si="135"/>
        <v>64400</v>
      </c>
      <c r="N298" s="992">
        <f t="shared" ca="1" si="135"/>
        <v>34125</v>
      </c>
      <c r="O298" s="992">
        <f t="shared" ref="O298:O306" ca="1" si="136">IF(L298&gt;0,N298*100/L298,0)</f>
        <v>41.413834951456309</v>
      </c>
      <c r="P298" s="992">
        <f t="shared" ref="P298:P306" ca="1" si="137">IF(M298&gt;0,N298*100/M298,0)</f>
        <v>52.989130434782609</v>
      </c>
      <c r="Q298" s="868"/>
      <c r="R298" s="868"/>
      <c r="S298" s="868"/>
      <c r="T298" s="868"/>
      <c r="U298" s="868"/>
      <c r="V298" s="868"/>
      <c r="W298" s="868"/>
      <c r="X298" s="868"/>
      <c r="Y298" s="868"/>
      <c r="Z298" s="868"/>
    </row>
    <row r="299" spans="1:26" ht="18.75" hidden="1">
      <c r="A299" s="993"/>
      <c r="B299" s="883"/>
      <c r="C299" s="883"/>
      <c r="D299" s="883"/>
      <c r="E299" s="884" t="s">
        <v>18</v>
      </c>
      <c r="F299" s="883"/>
      <c r="G299" s="994"/>
      <c r="H299" s="158" t="s">
        <v>12</v>
      </c>
      <c r="I299" s="886"/>
      <c r="J299" s="886"/>
      <c r="K299" s="887"/>
      <c r="L299" s="887">
        <f t="shared" ref="L299:N300" si="138">L302+L305</f>
        <v>0</v>
      </c>
      <c r="M299" s="887">
        <f t="shared" si="138"/>
        <v>0</v>
      </c>
      <c r="N299" s="887">
        <f t="shared" si="138"/>
        <v>0</v>
      </c>
      <c r="O299" s="887">
        <f t="shared" si="136"/>
        <v>0</v>
      </c>
      <c r="P299" s="887">
        <f t="shared" si="137"/>
        <v>0</v>
      </c>
      <c r="Q299" s="875"/>
      <c r="R299" s="875"/>
      <c r="S299" s="875"/>
      <c r="T299" s="875"/>
      <c r="U299" s="875"/>
      <c r="V299" s="875"/>
      <c r="W299" s="875"/>
      <c r="X299" s="875"/>
      <c r="Y299" s="875"/>
      <c r="Z299" s="875"/>
    </row>
    <row r="300" spans="1:26" ht="18.75" hidden="1">
      <c r="A300" s="993"/>
      <c r="B300" s="883"/>
      <c r="C300" s="883"/>
      <c r="D300" s="883"/>
      <c r="E300" s="884" t="s">
        <v>19</v>
      </c>
      <c r="F300" s="883"/>
      <c r="G300" s="994"/>
      <c r="H300" s="158" t="s">
        <v>12</v>
      </c>
      <c r="I300" s="886"/>
      <c r="J300" s="886"/>
      <c r="K300" s="887"/>
      <c r="L300" s="887">
        <f t="shared" ca="1" si="138"/>
        <v>82400</v>
      </c>
      <c r="M300" s="887">
        <f t="shared" ca="1" si="138"/>
        <v>64400</v>
      </c>
      <c r="N300" s="887">
        <f t="shared" ca="1" si="138"/>
        <v>34125</v>
      </c>
      <c r="O300" s="887">
        <f t="shared" ca="1" si="136"/>
        <v>41.413834951456309</v>
      </c>
      <c r="P300" s="887">
        <f t="shared" ca="1" si="137"/>
        <v>52.989130434782609</v>
      </c>
      <c r="Q300" s="875"/>
      <c r="R300" s="875"/>
      <c r="S300" s="875"/>
      <c r="T300" s="875"/>
      <c r="U300" s="875"/>
      <c r="V300" s="875"/>
      <c r="W300" s="875"/>
      <c r="X300" s="875"/>
      <c r="Y300" s="875"/>
      <c r="Z300" s="875"/>
    </row>
    <row r="301" spans="1:26" ht="18.75">
      <c r="A301" s="995"/>
      <c r="B301" s="877"/>
      <c r="C301" s="996"/>
      <c r="D301" s="878" t="s">
        <v>20</v>
      </c>
      <c r="E301" s="877"/>
      <c r="F301" s="877"/>
      <c r="G301" s="879"/>
      <c r="H301" s="161" t="s">
        <v>12</v>
      </c>
      <c r="I301" s="997"/>
      <c r="J301" s="997"/>
      <c r="K301" s="998"/>
      <c r="L301" s="881">
        <f t="shared" ref="L301:N301" ca="1" si="139">L302+L303</f>
        <v>82400</v>
      </c>
      <c r="M301" s="881">
        <f t="shared" ca="1" si="139"/>
        <v>64400</v>
      </c>
      <c r="N301" s="881">
        <f t="shared" ca="1" si="139"/>
        <v>34125</v>
      </c>
      <c r="O301" s="881">
        <f t="shared" ca="1" si="136"/>
        <v>41.413834951456309</v>
      </c>
      <c r="P301" s="881">
        <f t="shared" ca="1" si="137"/>
        <v>52.989130434782609</v>
      </c>
      <c r="Q301" s="868"/>
      <c r="R301" s="868"/>
      <c r="S301" s="868"/>
      <c r="T301" s="868"/>
      <c r="U301" s="868"/>
      <c r="V301" s="868"/>
      <c r="W301" s="868"/>
      <c r="X301" s="868"/>
      <c r="Y301" s="868"/>
      <c r="Z301" s="868"/>
    </row>
    <row r="302" spans="1:26" ht="19.5" hidden="1">
      <c r="A302" s="993"/>
      <c r="B302" s="883"/>
      <c r="C302" s="999"/>
      <c r="D302" s="883"/>
      <c r="E302" s="884" t="s">
        <v>36</v>
      </c>
      <c r="F302" s="883"/>
      <c r="G302" s="994"/>
      <c r="H302" s="165" t="s">
        <v>12</v>
      </c>
      <c r="I302" s="1000"/>
      <c r="J302" s="1000"/>
      <c r="K302" s="1001"/>
      <c r="L302" s="887">
        <v>0</v>
      </c>
      <c r="M302" s="887">
        <v>0</v>
      </c>
      <c r="N302" s="887">
        <v>0</v>
      </c>
      <c r="O302" s="887">
        <f t="shared" si="136"/>
        <v>0</v>
      </c>
      <c r="P302" s="887">
        <f t="shared" si="137"/>
        <v>0</v>
      </c>
      <c r="Q302" s="875"/>
      <c r="R302" s="875"/>
      <c r="S302" s="875"/>
      <c r="T302" s="875"/>
      <c r="U302" s="875"/>
      <c r="V302" s="875"/>
      <c r="W302" s="875"/>
      <c r="X302" s="875"/>
      <c r="Y302" s="875"/>
      <c r="Z302" s="875"/>
    </row>
    <row r="303" spans="1:26" ht="19.5" hidden="1">
      <c r="A303" s="993"/>
      <c r="B303" s="883"/>
      <c r="C303" s="999"/>
      <c r="D303" s="883"/>
      <c r="E303" s="884" t="s">
        <v>37</v>
      </c>
      <c r="F303" s="883"/>
      <c r="G303" s="994"/>
      <c r="H303" s="165" t="s">
        <v>12</v>
      </c>
      <c r="I303" s="1000"/>
      <c r="J303" s="1000"/>
      <c r="K303" s="1001"/>
      <c r="L303" s="887">
        <f ca="1">IFERROR(__xludf.DUMMYFUNCTION("IMPORTRANGE(""https://docs.google.com/spreadsheets/d/1MeEWN-I1oV_STSDYn1IFDPWt_1FKiwhDph83XaGc0o0/edit?usp=sharing"",""งบพรบ!DS78"")"),82400)</f>
        <v>82400</v>
      </c>
      <c r="M303" s="887">
        <f ca="1">IFERROR(__xludf.DUMMYFUNCTION("IMPORTRANGE(""https://docs.google.com/spreadsheets/d/1MeEWN-I1oV_STSDYn1IFDPWt_1FKiwhDph83XaGc0o0/edit?usp=sharing"",""งบพรบ!DX78"")"),64400)</f>
        <v>64400</v>
      </c>
      <c r="N303" s="887">
        <f ca="1">IFERROR(__xludf.DUMMYFUNCTION("IMPORTRANGE(""https://docs.google.com/spreadsheets/d/1MeEWN-I1oV_STSDYn1IFDPWt_1FKiwhDph83XaGc0o0/edit?usp=sharing"",""งบพรบ!DZ78"")"),34125)</f>
        <v>34125</v>
      </c>
      <c r="O303" s="887">
        <f t="shared" ca="1" si="136"/>
        <v>41.413834951456309</v>
      </c>
      <c r="P303" s="887">
        <f t="shared" ca="1" si="137"/>
        <v>52.989130434782609</v>
      </c>
      <c r="Q303" s="875"/>
      <c r="R303" s="875"/>
      <c r="S303" s="875"/>
      <c r="T303" s="875"/>
      <c r="U303" s="875"/>
      <c r="V303" s="875"/>
      <c r="W303" s="875"/>
      <c r="X303" s="875"/>
      <c r="Y303" s="875"/>
      <c r="Z303" s="875"/>
    </row>
    <row r="304" spans="1:26" ht="18.75">
      <c r="A304" s="995"/>
      <c r="B304" s="877"/>
      <c r="C304" s="996"/>
      <c r="D304" s="878" t="s">
        <v>21</v>
      </c>
      <c r="E304" s="877"/>
      <c r="F304" s="877"/>
      <c r="G304" s="879"/>
      <c r="H304" s="168" t="s">
        <v>12</v>
      </c>
      <c r="I304" s="997"/>
      <c r="J304" s="997"/>
      <c r="K304" s="998"/>
      <c r="L304" s="881">
        <f t="shared" ref="L304:N304" ca="1" si="140">L305+L306</f>
        <v>0</v>
      </c>
      <c r="M304" s="881">
        <f t="shared" ca="1" si="140"/>
        <v>0</v>
      </c>
      <c r="N304" s="881">
        <f t="shared" ca="1" si="140"/>
        <v>0</v>
      </c>
      <c r="O304" s="881">
        <f t="shared" ca="1" si="136"/>
        <v>0</v>
      </c>
      <c r="P304" s="881">
        <f t="shared" ca="1" si="137"/>
        <v>0</v>
      </c>
      <c r="Q304" s="868"/>
      <c r="R304" s="868"/>
      <c r="S304" s="868"/>
      <c r="T304" s="868"/>
      <c r="U304" s="868"/>
      <c r="V304" s="868"/>
      <c r="W304" s="868"/>
      <c r="X304" s="868"/>
      <c r="Y304" s="868"/>
      <c r="Z304" s="868"/>
    </row>
    <row r="305" spans="1:26" ht="19.5" hidden="1">
      <c r="A305" s="993"/>
      <c r="B305" s="883"/>
      <c r="C305" s="999"/>
      <c r="D305" s="883"/>
      <c r="E305" s="884" t="s">
        <v>18</v>
      </c>
      <c r="F305" s="883"/>
      <c r="G305" s="994"/>
      <c r="H305" s="165" t="s">
        <v>12</v>
      </c>
      <c r="I305" s="1000"/>
      <c r="J305" s="1000"/>
      <c r="K305" s="1001"/>
      <c r="L305" s="887">
        <v>0</v>
      </c>
      <c r="M305" s="887">
        <v>0</v>
      </c>
      <c r="N305" s="887">
        <v>0</v>
      </c>
      <c r="O305" s="887">
        <f t="shared" si="136"/>
        <v>0</v>
      </c>
      <c r="P305" s="887">
        <f t="shared" si="137"/>
        <v>0</v>
      </c>
      <c r="Q305" s="875"/>
      <c r="R305" s="875"/>
      <c r="S305" s="875"/>
      <c r="T305" s="875"/>
      <c r="U305" s="875"/>
      <c r="V305" s="875"/>
      <c r="W305" s="875"/>
      <c r="X305" s="875"/>
      <c r="Y305" s="875"/>
      <c r="Z305" s="875"/>
    </row>
    <row r="306" spans="1:26" ht="19.5" hidden="1">
      <c r="A306" s="993"/>
      <c r="B306" s="883"/>
      <c r="C306" s="999"/>
      <c r="D306" s="883"/>
      <c r="E306" s="884" t="s">
        <v>19</v>
      </c>
      <c r="F306" s="883"/>
      <c r="G306" s="994"/>
      <c r="H306" s="169" t="s">
        <v>12</v>
      </c>
      <c r="I306" s="1000"/>
      <c r="J306" s="1000"/>
      <c r="K306" s="1001"/>
      <c r="L306" s="887">
        <f ca="1">IFERROR(__xludf.DUMMYFUNCTION("IMPORTRANGE(""https://docs.google.com/spreadsheets/d/1MeEWN-I1oV_STSDYn1IFDPWt_1FKiwhDph83XaGc0o0/edit?usp=sharing"",""งบพรบ!DV78"")"),0)</f>
        <v>0</v>
      </c>
      <c r="M306" s="887">
        <f ca="1">IFERROR(__xludf.DUMMYFUNCTION("IMPORTRANGE(""https://docs.google.com/spreadsheets/d/1MeEWN-I1oV_STSDYn1IFDPWt_1FKiwhDph83XaGc0o0/edit?usp=sharing"",""งบพรบ!DY78"")"),0)</f>
        <v>0</v>
      </c>
      <c r="N306" s="887">
        <f ca="1">IFERROR(__xludf.DUMMYFUNCTION("IMPORTRANGE(""https://docs.google.com/spreadsheets/d/1MeEWN-I1oV_STSDYn1IFDPWt_1FKiwhDph83XaGc0o0/edit?usp=sharing"",""งบพรบ!EA78"")"),0)</f>
        <v>0</v>
      </c>
      <c r="O306" s="887">
        <f t="shared" ca="1" si="136"/>
        <v>0</v>
      </c>
      <c r="P306" s="887">
        <f t="shared" ca="1" si="137"/>
        <v>0</v>
      </c>
      <c r="Q306" s="875"/>
      <c r="R306" s="875"/>
      <c r="S306" s="875"/>
      <c r="T306" s="875"/>
      <c r="U306" s="875"/>
      <c r="V306" s="875"/>
      <c r="W306" s="875"/>
      <c r="X306" s="875"/>
      <c r="Y306" s="875"/>
      <c r="Z306" s="875"/>
    </row>
    <row r="307" spans="1:26" ht="19.5">
      <c r="A307" s="1002"/>
      <c r="B307" s="1003"/>
      <c r="C307" s="999" t="s">
        <v>16</v>
      </c>
      <c r="D307" s="1004" t="s">
        <v>38</v>
      </c>
      <c r="E307" s="1005"/>
      <c r="F307" s="1005"/>
      <c r="G307" s="1006"/>
      <c r="H307" s="1007"/>
      <c r="I307" s="880"/>
      <c r="J307" s="880"/>
      <c r="K307" s="881"/>
      <c r="L307" s="881"/>
      <c r="M307" s="881"/>
      <c r="N307" s="881"/>
      <c r="O307" s="881"/>
      <c r="P307" s="881"/>
    </row>
    <row r="308" spans="1:26" ht="18.75">
      <c r="A308" s="1002"/>
      <c r="B308" s="1003"/>
      <c r="C308" s="1003"/>
      <c r="D308" s="1009" t="s">
        <v>140</v>
      </c>
      <c r="E308" s="1009"/>
      <c r="F308" s="1009"/>
      <c r="G308" s="1011"/>
      <c r="H308" s="762"/>
      <c r="I308" s="880"/>
      <c r="J308" s="1012">
        <v>0</v>
      </c>
      <c r="K308" s="881"/>
      <c r="L308" s="881"/>
      <c r="M308" s="881"/>
      <c r="N308" s="881"/>
      <c r="O308" s="881"/>
      <c r="P308" s="881"/>
    </row>
    <row r="309" spans="1:26" ht="18.75">
      <c r="A309" s="1002"/>
      <c r="B309" s="1003"/>
      <c r="C309" s="1003"/>
      <c r="D309" s="1009" t="s">
        <v>141</v>
      </c>
      <c r="E309" s="1009"/>
      <c r="F309" s="1009"/>
      <c r="G309" s="1011"/>
      <c r="H309" s="762" t="s">
        <v>35</v>
      </c>
      <c r="I309" s="880">
        <f ca="1">IFERROR(__xludf.DUMMYFUNCTION("IMPORTRANGE(""https://docs.google.com/spreadsheets/d/1QqKyyYR6Q21VydFLVH3TRQUabQu_ym0Zz7PgGX0-kHA/edit?usp=sharing"",""แผน!ED78"")"),20)</f>
        <v>20</v>
      </c>
      <c r="J309" s="1012">
        <v>20</v>
      </c>
      <c r="K309" s="881">
        <f t="shared" ref="K309:K312" ca="1" si="141">IF(I309&gt;0,J309*100/I309,0)</f>
        <v>100</v>
      </c>
      <c r="L309" s="881"/>
      <c r="M309" s="881"/>
      <c r="N309" s="881"/>
      <c r="O309" s="881"/>
      <c r="P309" s="881"/>
    </row>
    <row r="310" spans="1:26" ht="18.75">
      <c r="A310" s="1002"/>
      <c r="B310" s="1003"/>
      <c r="C310" s="1003"/>
      <c r="D310" s="1009" t="s">
        <v>142</v>
      </c>
      <c r="E310" s="1009"/>
      <c r="F310" s="1009"/>
      <c r="G310" s="1011"/>
      <c r="H310" s="762" t="s">
        <v>35</v>
      </c>
      <c r="I310" s="880">
        <f ca="1">IFERROR(__xludf.DUMMYFUNCTION("IMPORTRANGE(""https://docs.google.com/spreadsheets/d/1QqKyyYR6Q21VydFLVH3TRQUabQu_ym0Zz7PgGX0-kHA/edit?usp=sharing"",""แผน!ED78"")"),20)</f>
        <v>20</v>
      </c>
      <c r="J310" s="1012">
        <v>20</v>
      </c>
      <c r="K310" s="881">
        <f t="shared" ca="1" si="141"/>
        <v>100</v>
      </c>
      <c r="L310" s="881"/>
      <c r="M310" s="881"/>
      <c r="N310" s="881"/>
      <c r="O310" s="881"/>
      <c r="P310" s="881"/>
    </row>
    <row r="311" spans="1:26" ht="18.75">
      <c r="A311" s="1002"/>
      <c r="B311" s="1003"/>
      <c r="C311" s="1003"/>
      <c r="D311" s="1009" t="s">
        <v>59</v>
      </c>
      <c r="E311" s="1009"/>
      <c r="F311" s="1009"/>
      <c r="G311" s="1011"/>
      <c r="H311" s="762" t="s">
        <v>35</v>
      </c>
      <c r="I311" s="880">
        <f ca="1">IFERROR(__xludf.DUMMYFUNCTION("IMPORTRANGE(""https://docs.google.com/spreadsheets/d/1QqKyyYR6Q21VydFLVH3TRQUabQu_ym0Zz7PgGX0-kHA/edit?usp=sharing"",""แผน!ED78"")"),20)</f>
        <v>20</v>
      </c>
      <c r="J311" s="1012">
        <v>0</v>
      </c>
      <c r="K311" s="881">
        <f t="shared" ca="1" si="141"/>
        <v>0</v>
      </c>
      <c r="L311" s="881"/>
      <c r="M311" s="881"/>
      <c r="N311" s="881"/>
      <c r="O311" s="881"/>
      <c r="P311" s="881"/>
    </row>
    <row r="312" spans="1:26" ht="18.75">
      <c r="A312" s="1002"/>
      <c r="B312" s="1003"/>
      <c r="C312" s="1003"/>
      <c r="D312" s="1009" t="s">
        <v>143</v>
      </c>
      <c r="E312" s="1009"/>
      <c r="F312" s="1009"/>
      <c r="G312" s="1011"/>
      <c r="H312" s="762" t="s">
        <v>35</v>
      </c>
      <c r="I312" s="880">
        <f ca="1">IFERROR(__xludf.DUMMYFUNCTION("IMPORTRANGE(""https://docs.google.com/spreadsheets/d/1QqKyyYR6Q21VydFLVH3TRQUabQu_ym0Zz7PgGX0-kHA/edit?usp=sharing"",""แผน!EE78"")"),4)</f>
        <v>4</v>
      </c>
      <c r="J312" s="1012">
        <v>0</v>
      </c>
      <c r="K312" s="881">
        <f t="shared" ca="1" si="141"/>
        <v>0</v>
      </c>
      <c r="L312" s="881"/>
      <c r="M312" s="881"/>
      <c r="N312" s="881"/>
      <c r="O312" s="881"/>
      <c r="P312" s="881"/>
    </row>
    <row r="313" spans="1:26" ht="19.5" hidden="1">
      <c r="A313" s="1179" t="s">
        <v>144</v>
      </c>
      <c r="B313" s="1180"/>
      <c r="C313" s="1180"/>
      <c r="D313" s="1181"/>
      <c r="E313" s="1180"/>
      <c r="F313" s="1180"/>
      <c r="G313" s="1180"/>
      <c r="H313" s="1193"/>
      <c r="I313" s="1184"/>
      <c r="J313" s="1184"/>
      <c r="K313" s="1185"/>
      <c r="L313" s="1185"/>
      <c r="M313" s="1185"/>
      <c r="N313" s="1185"/>
      <c r="O313" s="1185"/>
      <c r="P313" s="1185"/>
    </row>
    <row r="314" spans="1:26" ht="19.5" hidden="1">
      <c r="A314" s="1194"/>
      <c r="B314" s="1187" t="s">
        <v>145</v>
      </c>
      <c r="C314" s="1195"/>
      <c r="D314" s="1196"/>
      <c r="E314" s="1188"/>
      <c r="F314" s="1188"/>
      <c r="G314" s="1189"/>
      <c r="H314" s="444" t="s">
        <v>146</v>
      </c>
      <c r="I314" s="1190">
        <f t="shared" ref="I314:J314" ca="1" si="142">I325</f>
        <v>0</v>
      </c>
      <c r="J314" s="1190">
        <f t="shared" si="142"/>
        <v>0</v>
      </c>
      <c r="K314" s="1191">
        <f ca="1">IF(I314&gt;0,J314*100/I314,0)</f>
        <v>0</v>
      </c>
      <c r="L314" s="1192"/>
      <c r="M314" s="1192"/>
      <c r="N314" s="1192"/>
      <c r="O314" s="1192"/>
      <c r="P314" s="1192"/>
    </row>
    <row r="315" spans="1:26" ht="19.5" hidden="1">
      <c r="A315" s="985"/>
      <c r="B315" s="986"/>
      <c r="C315" s="987" t="s">
        <v>16</v>
      </c>
      <c r="D315" s="988" t="s">
        <v>17</v>
      </c>
      <c r="E315" s="986"/>
      <c r="F315" s="986"/>
      <c r="G315" s="989"/>
      <c r="H315" s="152" t="s">
        <v>12</v>
      </c>
      <c r="I315" s="990"/>
      <c r="J315" s="990"/>
      <c r="K315" s="991"/>
      <c r="L315" s="992">
        <f t="shared" ref="L315:N315" ca="1" si="143">L316+L317</f>
        <v>0</v>
      </c>
      <c r="M315" s="992">
        <f t="shared" ca="1" si="143"/>
        <v>0</v>
      </c>
      <c r="N315" s="992">
        <f t="shared" ca="1" si="143"/>
        <v>0</v>
      </c>
      <c r="O315" s="992">
        <f t="shared" ref="O315:O323" ca="1" si="144">IF(L315&gt;0,N315*100/L315,0)</f>
        <v>0</v>
      </c>
      <c r="P315" s="992">
        <f t="shared" ref="P315:P323" ca="1" si="145">IF(M315&gt;0,N315*100/M315,0)</f>
        <v>0</v>
      </c>
      <c r="Q315" s="868"/>
      <c r="R315" s="868"/>
      <c r="S315" s="868"/>
      <c r="T315" s="868"/>
      <c r="U315" s="868"/>
      <c r="V315" s="868"/>
      <c r="W315" s="868"/>
      <c r="X315" s="868"/>
      <c r="Y315" s="868"/>
      <c r="Z315" s="868"/>
    </row>
    <row r="316" spans="1:26" ht="18.75" hidden="1">
      <c r="A316" s="993"/>
      <c r="B316" s="883"/>
      <c r="C316" s="883"/>
      <c r="D316" s="883"/>
      <c r="E316" s="884" t="s">
        <v>18</v>
      </c>
      <c r="F316" s="883"/>
      <c r="G316" s="994"/>
      <c r="H316" s="158" t="s">
        <v>12</v>
      </c>
      <c r="I316" s="886"/>
      <c r="J316" s="886"/>
      <c r="K316" s="887"/>
      <c r="L316" s="887">
        <f t="shared" ref="L316:N317" si="146">L319+L322</f>
        <v>0</v>
      </c>
      <c r="M316" s="887">
        <f t="shared" si="146"/>
        <v>0</v>
      </c>
      <c r="N316" s="887">
        <f t="shared" si="146"/>
        <v>0</v>
      </c>
      <c r="O316" s="887">
        <f t="shared" si="144"/>
        <v>0</v>
      </c>
      <c r="P316" s="887">
        <f t="shared" si="145"/>
        <v>0</v>
      </c>
      <c r="Q316" s="875"/>
      <c r="R316" s="875"/>
      <c r="S316" s="875"/>
      <c r="T316" s="875"/>
      <c r="U316" s="875"/>
      <c r="V316" s="875"/>
      <c r="W316" s="875"/>
      <c r="X316" s="875"/>
      <c r="Y316" s="875"/>
      <c r="Z316" s="875"/>
    </row>
    <row r="317" spans="1:26" ht="18.75" hidden="1">
      <c r="A317" s="993"/>
      <c r="B317" s="883"/>
      <c r="C317" s="883"/>
      <c r="D317" s="883"/>
      <c r="E317" s="884" t="s">
        <v>19</v>
      </c>
      <c r="F317" s="883"/>
      <c r="G317" s="994"/>
      <c r="H317" s="158" t="s">
        <v>12</v>
      </c>
      <c r="I317" s="886"/>
      <c r="J317" s="886"/>
      <c r="K317" s="887"/>
      <c r="L317" s="887">
        <f t="shared" ca="1" si="146"/>
        <v>0</v>
      </c>
      <c r="M317" s="887">
        <f t="shared" ca="1" si="146"/>
        <v>0</v>
      </c>
      <c r="N317" s="887">
        <f t="shared" ca="1" si="146"/>
        <v>0</v>
      </c>
      <c r="O317" s="887">
        <f t="shared" ca="1" si="144"/>
        <v>0</v>
      </c>
      <c r="P317" s="887">
        <f t="shared" ca="1" si="145"/>
        <v>0</v>
      </c>
      <c r="Q317" s="875"/>
      <c r="R317" s="875"/>
      <c r="S317" s="875"/>
      <c r="T317" s="875"/>
      <c r="U317" s="875"/>
      <c r="V317" s="875"/>
      <c r="W317" s="875"/>
      <c r="X317" s="875"/>
      <c r="Y317" s="875"/>
      <c r="Z317" s="875"/>
    </row>
    <row r="318" spans="1:26" ht="18.75" hidden="1">
      <c r="A318" s="995"/>
      <c r="B318" s="877"/>
      <c r="C318" s="996"/>
      <c r="D318" s="878" t="s">
        <v>20</v>
      </c>
      <c r="E318" s="877"/>
      <c r="F318" s="877"/>
      <c r="G318" s="879"/>
      <c r="H318" s="161" t="s">
        <v>12</v>
      </c>
      <c r="I318" s="997"/>
      <c r="J318" s="997"/>
      <c r="K318" s="998"/>
      <c r="L318" s="881">
        <f t="shared" ref="L318:N318" ca="1" si="147">L319+L320</f>
        <v>0</v>
      </c>
      <c r="M318" s="881">
        <f t="shared" ca="1" si="147"/>
        <v>0</v>
      </c>
      <c r="N318" s="881">
        <f t="shared" ca="1" si="147"/>
        <v>0</v>
      </c>
      <c r="O318" s="881">
        <f t="shared" ca="1" si="144"/>
        <v>0</v>
      </c>
      <c r="P318" s="881">
        <f t="shared" ca="1" si="145"/>
        <v>0</v>
      </c>
      <c r="Q318" s="868"/>
      <c r="R318" s="868"/>
      <c r="S318" s="868"/>
      <c r="T318" s="868"/>
      <c r="U318" s="868"/>
      <c r="V318" s="868"/>
      <c r="W318" s="868"/>
      <c r="X318" s="868"/>
      <c r="Y318" s="868"/>
      <c r="Z318" s="868"/>
    </row>
    <row r="319" spans="1:26" ht="19.5" hidden="1">
      <c r="A319" s="993"/>
      <c r="B319" s="883"/>
      <c r="C319" s="999"/>
      <c r="D319" s="883"/>
      <c r="E319" s="884" t="s">
        <v>36</v>
      </c>
      <c r="F319" s="883"/>
      <c r="G319" s="994"/>
      <c r="H319" s="165" t="s">
        <v>12</v>
      </c>
      <c r="I319" s="1000"/>
      <c r="J319" s="1000"/>
      <c r="K319" s="1001"/>
      <c r="L319" s="887">
        <v>0</v>
      </c>
      <c r="M319" s="887">
        <v>0</v>
      </c>
      <c r="N319" s="887">
        <v>0</v>
      </c>
      <c r="O319" s="887">
        <f t="shared" si="144"/>
        <v>0</v>
      </c>
      <c r="P319" s="887">
        <f t="shared" si="145"/>
        <v>0</v>
      </c>
      <c r="Q319" s="875"/>
      <c r="R319" s="875"/>
      <c r="S319" s="875"/>
      <c r="T319" s="875"/>
      <c r="U319" s="875"/>
      <c r="V319" s="875"/>
      <c r="W319" s="875"/>
      <c r="X319" s="875"/>
      <c r="Y319" s="875"/>
      <c r="Z319" s="875"/>
    </row>
    <row r="320" spans="1:26" ht="19.5" hidden="1">
      <c r="A320" s="993"/>
      <c r="B320" s="883"/>
      <c r="C320" s="999"/>
      <c r="D320" s="883"/>
      <c r="E320" s="884" t="s">
        <v>37</v>
      </c>
      <c r="F320" s="883"/>
      <c r="G320" s="994"/>
      <c r="H320" s="165" t="s">
        <v>12</v>
      </c>
      <c r="I320" s="1000"/>
      <c r="J320" s="1000"/>
      <c r="K320" s="1001"/>
      <c r="L320" s="887">
        <f ca="1">IFERROR(__xludf.DUMMYFUNCTION("IMPORTRANGE(""https://docs.google.com/spreadsheets/d/1MeEWN-I1oV_STSDYn1IFDPWt_1FKiwhDph83XaGc0o0/edit?usp=sharing"",""งบพรบ!EC78"")"),0)</f>
        <v>0</v>
      </c>
      <c r="M320" s="887">
        <f ca="1">IFERROR(__xludf.DUMMYFUNCTION("IMPORTRANGE(""https://docs.google.com/spreadsheets/d/1MeEWN-I1oV_STSDYn1IFDPWt_1FKiwhDph83XaGc0o0/edit?usp=sharing"",""งบพรบ!EH78"")"),0)</f>
        <v>0</v>
      </c>
      <c r="N320" s="887">
        <f ca="1">IFERROR(__xludf.DUMMYFUNCTION("IMPORTRANGE(""https://docs.google.com/spreadsheets/d/1MeEWN-I1oV_STSDYn1IFDPWt_1FKiwhDph83XaGc0o0/edit?usp=sharing"",""งบพรบ!EJ78"")"),0)</f>
        <v>0</v>
      </c>
      <c r="O320" s="887">
        <f t="shared" ca="1" si="144"/>
        <v>0</v>
      </c>
      <c r="P320" s="887">
        <f t="shared" ca="1" si="145"/>
        <v>0</v>
      </c>
      <c r="Q320" s="875"/>
      <c r="R320" s="875"/>
      <c r="S320" s="875"/>
      <c r="T320" s="875"/>
      <c r="U320" s="875"/>
      <c r="V320" s="875"/>
      <c r="W320" s="875"/>
      <c r="X320" s="875"/>
      <c r="Y320" s="875"/>
      <c r="Z320" s="875"/>
    </row>
    <row r="321" spans="1:26" ht="18.75" hidden="1">
      <c r="A321" s="995"/>
      <c r="B321" s="877"/>
      <c r="C321" s="996"/>
      <c r="D321" s="878" t="s">
        <v>21</v>
      </c>
      <c r="E321" s="877"/>
      <c r="F321" s="877"/>
      <c r="G321" s="879"/>
      <c r="H321" s="168" t="s">
        <v>12</v>
      </c>
      <c r="I321" s="997"/>
      <c r="J321" s="997"/>
      <c r="K321" s="998"/>
      <c r="L321" s="881">
        <f t="shared" ref="L321:N321" ca="1" si="148">L322+L323</f>
        <v>0</v>
      </c>
      <c r="M321" s="881">
        <f t="shared" ca="1" si="148"/>
        <v>0</v>
      </c>
      <c r="N321" s="881">
        <f t="shared" ca="1" si="148"/>
        <v>0</v>
      </c>
      <c r="O321" s="881">
        <f t="shared" ca="1" si="144"/>
        <v>0</v>
      </c>
      <c r="P321" s="881">
        <f t="shared" ca="1" si="145"/>
        <v>0</v>
      </c>
      <c r="Q321" s="868"/>
      <c r="R321" s="868"/>
      <c r="S321" s="868"/>
      <c r="T321" s="868"/>
      <c r="U321" s="868"/>
      <c r="V321" s="868"/>
      <c r="W321" s="868"/>
      <c r="X321" s="868"/>
      <c r="Y321" s="868"/>
      <c r="Z321" s="868"/>
    </row>
    <row r="322" spans="1:26" ht="19.5" hidden="1">
      <c r="A322" s="993"/>
      <c r="B322" s="883"/>
      <c r="C322" s="999"/>
      <c r="D322" s="883"/>
      <c r="E322" s="884" t="s">
        <v>18</v>
      </c>
      <c r="F322" s="883"/>
      <c r="G322" s="994"/>
      <c r="H322" s="165" t="s">
        <v>12</v>
      </c>
      <c r="I322" s="1000"/>
      <c r="J322" s="1000"/>
      <c r="K322" s="1001"/>
      <c r="L322" s="887">
        <v>0</v>
      </c>
      <c r="M322" s="887">
        <v>0</v>
      </c>
      <c r="N322" s="887">
        <v>0</v>
      </c>
      <c r="O322" s="887">
        <f t="shared" si="144"/>
        <v>0</v>
      </c>
      <c r="P322" s="887">
        <f t="shared" si="145"/>
        <v>0</v>
      </c>
      <c r="Q322" s="875"/>
      <c r="R322" s="875"/>
      <c r="S322" s="875"/>
      <c r="T322" s="875"/>
      <c r="U322" s="875"/>
      <c r="V322" s="875"/>
      <c r="W322" s="875"/>
      <c r="X322" s="875"/>
      <c r="Y322" s="875"/>
      <c r="Z322" s="875"/>
    </row>
    <row r="323" spans="1:26" ht="19.5" hidden="1">
      <c r="A323" s="993"/>
      <c r="B323" s="883"/>
      <c r="C323" s="999"/>
      <c r="D323" s="883"/>
      <c r="E323" s="884" t="s">
        <v>19</v>
      </c>
      <c r="F323" s="883"/>
      <c r="G323" s="994"/>
      <c r="H323" s="169" t="s">
        <v>12</v>
      </c>
      <c r="I323" s="1000"/>
      <c r="J323" s="1000"/>
      <c r="K323" s="1001"/>
      <c r="L323" s="887">
        <f ca="1">IFERROR(__xludf.DUMMYFUNCTION("IMPORTRANGE(""https://docs.google.com/spreadsheets/d/1MeEWN-I1oV_STSDYn1IFDPWt_1FKiwhDph83XaGc0o0/edit?usp=sharing"",""งบพรบ!EF78"")"),0)</f>
        <v>0</v>
      </c>
      <c r="M323" s="887">
        <f ca="1">IFERROR(__xludf.DUMMYFUNCTION("IMPORTRANGE(""https://docs.google.com/spreadsheets/d/1MeEWN-I1oV_STSDYn1IFDPWt_1FKiwhDph83XaGc0o0/edit?usp=sharing"",""งบพรบ!EI78"")"),0)</f>
        <v>0</v>
      </c>
      <c r="N323" s="887">
        <f ca="1">IFERROR(__xludf.DUMMYFUNCTION("IMPORTRANGE(""https://docs.google.com/spreadsheets/d/1MeEWN-I1oV_STSDYn1IFDPWt_1FKiwhDph83XaGc0o0/edit?usp=sharing"",""งบพรบ!EK78"")"),0)</f>
        <v>0</v>
      </c>
      <c r="O323" s="887">
        <f t="shared" ca="1" si="144"/>
        <v>0</v>
      </c>
      <c r="P323" s="887">
        <f t="shared" ca="1" si="145"/>
        <v>0</v>
      </c>
      <c r="Q323" s="875"/>
      <c r="R323" s="875"/>
      <c r="S323" s="875"/>
      <c r="T323" s="875"/>
      <c r="U323" s="875"/>
      <c r="V323" s="875"/>
      <c r="W323" s="875"/>
      <c r="X323" s="875"/>
      <c r="Y323" s="875"/>
      <c r="Z323" s="875"/>
    </row>
    <row r="324" spans="1:26" ht="19.5" hidden="1">
      <c r="A324" s="1002"/>
      <c r="B324" s="1003"/>
      <c r="C324" s="999" t="s">
        <v>16</v>
      </c>
      <c r="D324" s="1004" t="s">
        <v>38</v>
      </c>
      <c r="E324" s="1005"/>
      <c r="F324" s="1005"/>
      <c r="G324" s="1006"/>
      <c r="H324" s="1007"/>
      <c r="I324" s="997"/>
      <c r="J324" s="880"/>
      <c r="K324" s="881"/>
      <c r="L324" s="881"/>
      <c r="M324" s="881"/>
      <c r="N324" s="881"/>
      <c r="O324" s="998"/>
      <c r="P324" s="998"/>
    </row>
    <row r="325" spans="1:26" ht="18.75" hidden="1">
      <c r="A325" s="1002"/>
      <c r="B325" s="1003"/>
      <c r="C325" s="1003"/>
      <c r="D325" s="1008" t="s">
        <v>147</v>
      </c>
      <c r="E325" s="1010"/>
      <c r="F325" s="1009"/>
      <c r="G325" s="1011"/>
      <c r="H325" s="622" t="s">
        <v>146</v>
      </c>
      <c r="I325" s="880">
        <f ca="1">IFERROR(__xludf.DUMMYFUNCTION("IMPORTRANGE(""https://docs.google.com/spreadsheets/d/1QqKyyYR6Q21VydFLVH3TRQUabQu_ym0Zz7PgGX0-kHA/edit?usp=sharing"",""แผน!EF78"")"),0)</f>
        <v>0</v>
      </c>
      <c r="J325" s="1012">
        <v>0</v>
      </c>
      <c r="K325" s="881">
        <f ca="1">IF(I325&gt;0,J325*100/I325,0)</f>
        <v>0</v>
      </c>
      <c r="L325" s="881"/>
      <c r="M325" s="881"/>
      <c r="N325" s="881"/>
      <c r="O325" s="998"/>
      <c r="P325" s="998"/>
    </row>
    <row r="326" spans="1:26" ht="19.5">
      <c r="A326" s="1179" t="s">
        <v>148</v>
      </c>
      <c r="B326" s="1180"/>
      <c r="C326" s="1180"/>
      <c r="D326" s="1181"/>
      <c r="E326" s="1180"/>
      <c r="F326" s="1180"/>
      <c r="G326" s="1180"/>
      <c r="H326" s="1193"/>
      <c r="I326" s="1184"/>
      <c r="J326" s="1184"/>
      <c r="K326" s="1185"/>
      <c r="L326" s="1185"/>
      <c r="M326" s="1185"/>
      <c r="N326" s="1185"/>
      <c r="O326" s="1185"/>
      <c r="P326" s="1185"/>
    </row>
    <row r="327" spans="1:26" ht="19.5">
      <c r="A327" s="1186"/>
      <c r="B327" s="1187" t="s">
        <v>149</v>
      </c>
      <c r="C327" s="1196"/>
      <c r="D327" s="1188"/>
      <c r="E327" s="1188"/>
      <c r="F327" s="1188"/>
      <c r="G327" s="1189"/>
      <c r="H327" s="444" t="s">
        <v>35</v>
      </c>
      <c r="I327" s="1190">
        <f ca="1">IFERROR(__xludf.DUMMYFUNCTION("IMPORTRANGE(""https://docs.google.com/spreadsheets/d/1QqKyyYR6Q21VydFLVH3TRQUabQu_ym0Zz7PgGX0-kHA/edit?usp=sharing"",""แผน!EG78"")"),1600)</f>
        <v>1600</v>
      </c>
      <c r="J327" s="1190">
        <f ca="1">J338+J341+J342+J343</f>
        <v>1750</v>
      </c>
      <c r="K327" s="1191">
        <f ca="1">IF(I327&gt;0,J327*100/I327,0)</f>
        <v>109.375</v>
      </c>
      <c r="L327" s="1192"/>
      <c r="M327" s="1192"/>
      <c r="N327" s="1192"/>
      <c r="O327" s="1192"/>
      <c r="P327" s="1192"/>
    </row>
    <row r="328" spans="1:26" ht="19.5">
      <c r="A328" s="985"/>
      <c r="B328" s="986"/>
      <c r="C328" s="987" t="s">
        <v>16</v>
      </c>
      <c r="D328" s="988" t="s">
        <v>17</v>
      </c>
      <c r="E328" s="986"/>
      <c r="F328" s="986"/>
      <c r="G328" s="989"/>
      <c r="H328" s="152" t="s">
        <v>12</v>
      </c>
      <c r="I328" s="990"/>
      <c r="J328" s="990"/>
      <c r="K328" s="991"/>
      <c r="L328" s="992">
        <f t="shared" ref="L328:N328" ca="1" si="149">L329+L330</f>
        <v>174000</v>
      </c>
      <c r="M328" s="992">
        <f t="shared" ca="1" si="149"/>
        <v>133000</v>
      </c>
      <c r="N328" s="992">
        <f t="shared" ca="1" si="149"/>
        <v>67650.33</v>
      </c>
      <c r="O328" s="992">
        <f t="shared" ref="O328:O336" ca="1" si="150">IF(L328&gt;0,N328*100/L328,0)</f>
        <v>38.8795</v>
      </c>
      <c r="P328" s="992">
        <f t="shared" ref="P328:P336" ca="1" si="151">IF(M328&gt;0,N328*100/M328,0)</f>
        <v>50.864909774436093</v>
      </c>
      <c r="Q328" s="868"/>
      <c r="R328" s="868"/>
      <c r="S328" s="868"/>
      <c r="T328" s="868"/>
      <c r="U328" s="868"/>
      <c r="V328" s="868"/>
      <c r="W328" s="868"/>
      <c r="X328" s="868"/>
      <c r="Y328" s="868"/>
      <c r="Z328" s="868"/>
    </row>
    <row r="329" spans="1:26" ht="18.75" hidden="1">
      <c r="A329" s="993"/>
      <c r="B329" s="883"/>
      <c r="C329" s="883"/>
      <c r="D329" s="883"/>
      <c r="E329" s="884" t="s">
        <v>18</v>
      </c>
      <c r="F329" s="883"/>
      <c r="G329" s="994"/>
      <c r="H329" s="158" t="s">
        <v>12</v>
      </c>
      <c r="I329" s="886"/>
      <c r="J329" s="886"/>
      <c r="K329" s="887"/>
      <c r="L329" s="887">
        <f t="shared" ref="L329:N330" si="152">L332+L335</f>
        <v>0</v>
      </c>
      <c r="M329" s="887">
        <f t="shared" si="152"/>
        <v>0</v>
      </c>
      <c r="N329" s="887">
        <f t="shared" si="152"/>
        <v>0</v>
      </c>
      <c r="O329" s="887">
        <f t="shared" si="150"/>
        <v>0</v>
      </c>
      <c r="P329" s="887">
        <f t="shared" si="151"/>
        <v>0</v>
      </c>
      <c r="Q329" s="875"/>
      <c r="R329" s="875"/>
      <c r="S329" s="875"/>
      <c r="T329" s="875"/>
      <c r="U329" s="875"/>
      <c r="V329" s="875"/>
      <c r="W329" s="875"/>
      <c r="X329" s="875"/>
      <c r="Y329" s="875"/>
      <c r="Z329" s="875"/>
    </row>
    <row r="330" spans="1:26" ht="18.75" hidden="1">
      <c r="A330" s="993"/>
      <c r="B330" s="883"/>
      <c r="C330" s="883"/>
      <c r="D330" s="883"/>
      <c r="E330" s="884" t="s">
        <v>19</v>
      </c>
      <c r="F330" s="883"/>
      <c r="G330" s="994"/>
      <c r="H330" s="158" t="s">
        <v>12</v>
      </c>
      <c r="I330" s="886"/>
      <c r="J330" s="886"/>
      <c r="K330" s="887"/>
      <c r="L330" s="887">
        <f t="shared" ca="1" si="152"/>
        <v>174000</v>
      </c>
      <c r="M330" s="887">
        <f t="shared" ca="1" si="152"/>
        <v>133000</v>
      </c>
      <c r="N330" s="887">
        <f t="shared" ca="1" si="152"/>
        <v>67650.33</v>
      </c>
      <c r="O330" s="887">
        <f t="shared" ca="1" si="150"/>
        <v>38.8795</v>
      </c>
      <c r="P330" s="887">
        <f t="shared" ca="1" si="151"/>
        <v>50.864909774436093</v>
      </c>
      <c r="Q330" s="875"/>
      <c r="R330" s="875"/>
      <c r="S330" s="875"/>
      <c r="T330" s="875"/>
      <c r="U330" s="875"/>
      <c r="V330" s="875"/>
      <c r="W330" s="875"/>
      <c r="X330" s="875"/>
      <c r="Y330" s="875"/>
      <c r="Z330" s="875"/>
    </row>
    <row r="331" spans="1:26" ht="18.75">
      <c r="A331" s="995"/>
      <c r="B331" s="877"/>
      <c r="C331" s="996"/>
      <c r="D331" s="878" t="s">
        <v>20</v>
      </c>
      <c r="E331" s="877"/>
      <c r="F331" s="877"/>
      <c r="G331" s="879"/>
      <c r="H331" s="161" t="s">
        <v>12</v>
      </c>
      <c r="I331" s="997"/>
      <c r="J331" s="997"/>
      <c r="K331" s="998"/>
      <c r="L331" s="881">
        <f t="shared" ref="L331:N331" ca="1" si="153">L332+L333</f>
        <v>174000</v>
      </c>
      <c r="M331" s="881">
        <f t="shared" ca="1" si="153"/>
        <v>133000</v>
      </c>
      <c r="N331" s="881">
        <f t="shared" ca="1" si="153"/>
        <v>67650.33</v>
      </c>
      <c r="O331" s="881">
        <f t="shared" ca="1" si="150"/>
        <v>38.8795</v>
      </c>
      <c r="P331" s="881">
        <f t="shared" ca="1" si="151"/>
        <v>50.864909774436093</v>
      </c>
      <c r="Q331" s="868"/>
      <c r="R331" s="868"/>
      <c r="S331" s="868"/>
      <c r="T331" s="868"/>
      <c r="U331" s="868"/>
      <c r="V331" s="868"/>
      <c r="W331" s="868"/>
      <c r="X331" s="868"/>
      <c r="Y331" s="868"/>
      <c r="Z331" s="868"/>
    </row>
    <row r="332" spans="1:26" ht="19.5" hidden="1">
      <c r="A332" s="993"/>
      <c r="B332" s="883"/>
      <c r="C332" s="999"/>
      <c r="D332" s="883"/>
      <c r="E332" s="884" t="s">
        <v>36</v>
      </c>
      <c r="F332" s="883"/>
      <c r="G332" s="994"/>
      <c r="H332" s="165" t="s">
        <v>12</v>
      </c>
      <c r="I332" s="1000"/>
      <c r="J332" s="1000"/>
      <c r="K332" s="1001"/>
      <c r="L332" s="887">
        <v>0</v>
      </c>
      <c r="M332" s="887">
        <v>0</v>
      </c>
      <c r="N332" s="887">
        <v>0</v>
      </c>
      <c r="O332" s="887">
        <f t="shared" si="150"/>
        <v>0</v>
      </c>
      <c r="P332" s="887">
        <f t="shared" si="151"/>
        <v>0</v>
      </c>
      <c r="Q332" s="875"/>
      <c r="R332" s="875"/>
      <c r="S332" s="875"/>
      <c r="T332" s="875"/>
      <c r="U332" s="875"/>
      <c r="V332" s="875"/>
      <c r="W332" s="875"/>
      <c r="X332" s="875"/>
      <c r="Y332" s="875"/>
      <c r="Z332" s="875"/>
    </row>
    <row r="333" spans="1:26" ht="19.5" hidden="1">
      <c r="A333" s="993"/>
      <c r="B333" s="883"/>
      <c r="C333" s="999"/>
      <c r="D333" s="883"/>
      <c r="E333" s="884" t="s">
        <v>37</v>
      </c>
      <c r="F333" s="883"/>
      <c r="G333" s="994"/>
      <c r="H333" s="165" t="s">
        <v>12</v>
      </c>
      <c r="I333" s="1000"/>
      <c r="J333" s="1000"/>
      <c r="K333" s="1001"/>
      <c r="L333" s="887">
        <f ca="1">IFERROR(__xludf.DUMMYFUNCTION("IMPORTRANGE(""https://docs.google.com/spreadsheets/d/1MeEWN-I1oV_STSDYn1IFDPWt_1FKiwhDph83XaGc0o0/edit?usp=sharing"",""งบพรบ!EM78"")"),174000)</f>
        <v>174000</v>
      </c>
      <c r="M333" s="887">
        <f ca="1">IFERROR(__xludf.DUMMYFUNCTION("IMPORTRANGE(""https://docs.google.com/spreadsheets/d/1MeEWN-I1oV_STSDYn1IFDPWt_1FKiwhDph83XaGc0o0/edit?usp=sharing"",""งบพรบ!ER78"")"),133000)</f>
        <v>133000</v>
      </c>
      <c r="N333" s="887">
        <f ca="1">IFERROR(__xludf.DUMMYFUNCTION("IMPORTRANGE(""https://docs.google.com/spreadsheets/d/1MeEWN-I1oV_STSDYn1IFDPWt_1FKiwhDph83XaGc0o0/edit?usp=sharing"",""งบพรบ!ET78"")"),67650.33)</f>
        <v>67650.33</v>
      </c>
      <c r="O333" s="887">
        <f t="shared" ca="1" si="150"/>
        <v>38.8795</v>
      </c>
      <c r="P333" s="887">
        <f t="shared" ca="1" si="151"/>
        <v>50.864909774436093</v>
      </c>
      <c r="Q333" s="875"/>
      <c r="R333" s="875"/>
      <c r="S333" s="875"/>
      <c r="T333" s="875"/>
      <c r="U333" s="875"/>
      <c r="V333" s="875"/>
      <c r="W333" s="875"/>
      <c r="X333" s="875"/>
      <c r="Y333" s="875"/>
      <c r="Z333" s="875"/>
    </row>
    <row r="334" spans="1:26" ht="18.75">
      <c r="A334" s="995"/>
      <c r="B334" s="877"/>
      <c r="C334" s="996"/>
      <c r="D334" s="878" t="s">
        <v>21</v>
      </c>
      <c r="E334" s="877"/>
      <c r="F334" s="877"/>
      <c r="G334" s="879"/>
      <c r="H334" s="168" t="s">
        <v>12</v>
      </c>
      <c r="I334" s="997"/>
      <c r="J334" s="997"/>
      <c r="K334" s="998"/>
      <c r="L334" s="881">
        <f t="shared" ref="L334:N334" ca="1" si="154">L335+L336</f>
        <v>0</v>
      </c>
      <c r="M334" s="881">
        <f t="shared" ca="1" si="154"/>
        <v>0</v>
      </c>
      <c r="N334" s="881">
        <f t="shared" ca="1" si="154"/>
        <v>0</v>
      </c>
      <c r="O334" s="881">
        <f t="shared" ca="1" si="150"/>
        <v>0</v>
      </c>
      <c r="P334" s="881">
        <f t="shared" ca="1" si="151"/>
        <v>0</v>
      </c>
      <c r="Q334" s="868"/>
      <c r="R334" s="868"/>
      <c r="S334" s="868"/>
      <c r="T334" s="868"/>
      <c r="U334" s="868"/>
      <c r="V334" s="868"/>
      <c r="W334" s="868"/>
      <c r="X334" s="868"/>
      <c r="Y334" s="868"/>
      <c r="Z334" s="868"/>
    </row>
    <row r="335" spans="1:26" ht="19.5" hidden="1">
      <c r="A335" s="993"/>
      <c r="B335" s="883"/>
      <c r="C335" s="999"/>
      <c r="D335" s="883"/>
      <c r="E335" s="884" t="s">
        <v>18</v>
      </c>
      <c r="F335" s="883"/>
      <c r="G335" s="994"/>
      <c r="H335" s="165" t="s">
        <v>12</v>
      </c>
      <c r="I335" s="1000"/>
      <c r="J335" s="1000"/>
      <c r="K335" s="1001"/>
      <c r="L335" s="887">
        <v>0</v>
      </c>
      <c r="M335" s="887">
        <v>0</v>
      </c>
      <c r="N335" s="887">
        <v>0</v>
      </c>
      <c r="O335" s="887">
        <f t="shared" si="150"/>
        <v>0</v>
      </c>
      <c r="P335" s="887">
        <f t="shared" si="151"/>
        <v>0</v>
      </c>
      <c r="Q335" s="875"/>
      <c r="R335" s="875"/>
      <c r="S335" s="875"/>
      <c r="T335" s="875"/>
      <c r="U335" s="875"/>
      <c r="V335" s="875"/>
      <c r="W335" s="875"/>
      <c r="X335" s="875"/>
      <c r="Y335" s="875"/>
      <c r="Z335" s="875"/>
    </row>
    <row r="336" spans="1:26" ht="19.5" hidden="1">
      <c r="A336" s="993"/>
      <c r="B336" s="883"/>
      <c r="C336" s="999"/>
      <c r="D336" s="883"/>
      <c r="E336" s="884" t="s">
        <v>19</v>
      </c>
      <c r="F336" s="883"/>
      <c r="G336" s="994"/>
      <c r="H336" s="169" t="s">
        <v>12</v>
      </c>
      <c r="I336" s="1000"/>
      <c r="J336" s="1000"/>
      <c r="K336" s="1001"/>
      <c r="L336" s="887">
        <f ca="1">IFERROR(__xludf.DUMMYFUNCTION("IMPORTRANGE(""https://docs.google.com/spreadsheets/d/1MeEWN-I1oV_STSDYn1IFDPWt_1FKiwhDph83XaGc0o0/edit?usp=sharing"",""งบพรบ!EP78"")"),0)</f>
        <v>0</v>
      </c>
      <c r="M336" s="887">
        <f ca="1">IFERROR(__xludf.DUMMYFUNCTION("IMPORTRANGE(""https://docs.google.com/spreadsheets/d/1MeEWN-I1oV_STSDYn1IFDPWt_1FKiwhDph83XaGc0o0/edit?usp=sharing"",""งบพรบ!ES78"")"),0)</f>
        <v>0</v>
      </c>
      <c r="N336" s="887">
        <f ca="1">IFERROR(__xludf.DUMMYFUNCTION("IMPORTRANGE(""https://docs.google.com/spreadsheets/d/1MeEWN-I1oV_STSDYn1IFDPWt_1FKiwhDph83XaGc0o0/edit?usp=sharing"",""งบพรบ!EU78"")"),0)</f>
        <v>0</v>
      </c>
      <c r="O336" s="887">
        <f t="shared" ca="1" si="150"/>
        <v>0</v>
      </c>
      <c r="P336" s="887">
        <f t="shared" ca="1" si="151"/>
        <v>0</v>
      </c>
      <c r="Q336" s="875"/>
      <c r="R336" s="875"/>
      <c r="S336" s="875"/>
      <c r="T336" s="875"/>
      <c r="U336" s="875"/>
      <c r="V336" s="875"/>
      <c r="W336" s="875"/>
      <c r="X336" s="875"/>
      <c r="Y336" s="875"/>
      <c r="Z336" s="875"/>
    </row>
    <row r="337" spans="1:26" ht="19.5">
      <c r="A337" s="1002"/>
      <c r="B337" s="1003"/>
      <c r="C337" s="999" t="s">
        <v>16</v>
      </c>
      <c r="D337" s="1004" t="s">
        <v>38</v>
      </c>
      <c r="E337" s="1005"/>
      <c r="F337" s="1005"/>
      <c r="G337" s="1006"/>
      <c r="H337" s="1007"/>
      <c r="I337" s="997"/>
      <c r="J337" s="880"/>
      <c r="K337" s="881"/>
      <c r="L337" s="881"/>
      <c r="M337" s="881"/>
      <c r="N337" s="881"/>
      <c r="O337" s="998"/>
      <c r="P337" s="998"/>
    </row>
    <row r="338" spans="1:26" ht="18.75">
      <c r="A338" s="1086"/>
      <c r="B338" s="877"/>
      <c r="C338" s="1084"/>
      <c r="D338" s="1009" t="s">
        <v>150</v>
      </c>
      <c r="E338" s="1003"/>
      <c r="F338" s="877"/>
      <c r="G338" s="879"/>
      <c r="H338" s="277" t="s">
        <v>35</v>
      </c>
      <c r="I338" s="880">
        <f ca="1">IFERROR(__xludf.DUMMYFUNCTION("IMPORTRANGE(""https://docs.google.com/spreadsheets/d/1QqKyyYR6Q21VydFLVH3TRQUabQu_ym0Zz7PgGX0-kHA/edit?usp=sharing"",""แผน!EG78"")"),1600)</f>
        <v>1600</v>
      </c>
      <c r="J338" s="880">
        <f ca="1">IFERROR(__xludf.DUMMYFUNCTION("IMPORTRANGE(""https://docs.google.com/spreadsheets/d/1kVcqe37tkHyjCSG3S0O1AXqVkqjo8mSIZil3BcpIysc/edit?usp=sharing"",""ศูนย์!D78"")"),1609)</f>
        <v>1609</v>
      </c>
      <c r="K338" s="881">
        <f ca="1">IF(I338&gt;0,J338*100/I338,0)</f>
        <v>100.5625</v>
      </c>
      <c r="L338" s="881"/>
      <c r="M338" s="881"/>
      <c r="N338" s="881"/>
      <c r="O338" s="881"/>
      <c r="P338" s="881"/>
    </row>
    <row r="339" spans="1:26" ht="18.75">
      <c r="A339" s="1086"/>
      <c r="B339" s="877"/>
      <c r="C339" s="1084"/>
      <c r="D339" s="1009" t="s">
        <v>151</v>
      </c>
      <c r="E339" s="1003"/>
      <c r="F339" s="877"/>
      <c r="G339" s="879"/>
      <c r="H339" s="277"/>
      <c r="I339" s="880"/>
      <c r="J339" s="880"/>
      <c r="K339" s="881"/>
      <c r="L339" s="881"/>
      <c r="M339" s="881"/>
      <c r="N339" s="881"/>
      <c r="O339" s="881"/>
      <c r="P339" s="881"/>
    </row>
    <row r="340" spans="1:26" ht="18.75">
      <c r="A340" s="1086"/>
      <c r="B340" s="877"/>
      <c r="C340" s="1084"/>
      <c r="D340" s="1010"/>
      <c r="E340" s="1009" t="s">
        <v>152</v>
      </c>
      <c r="F340" s="877"/>
      <c r="G340" s="879"/>
      <c r="H340" s="277" t="s">
        <v>153</v>
      </c>
      <c r="I340" s="880">
        <f ca="1">IFERROR(__xludf.DUMMYFUNCTION("IMPORTRANGE(""https://docs.google.com/spreadsheets/d/1QqKyyYR6Q21VydFLVH3TRQUabQu_ym0Zz7PgGX0-kHA/edit?usp=sharing"",""แผน!EH78"")"),8)</f>
        <v>8</v>
      </c>
      <c r="J340" s="880">
        <f ca="1">IFERROR(__xludf.DUMMYFUNCTION("IMPORTRANGE(""https://docs.google.com/spreadsheets/d/1kVcqe37tkHyjCSG3S0O1AXqVkqjo8mSIZil3BcpIysc/edit?usp=sharing"",""ศูนย์!E78"")"),4)</f>
        <v>4</v>
      </c>
      <c r="K340" s="881">
        <f ca="1">IF(I340&gt;0,J340*100/I340,0)</f>
        <v>50</v>
      </c>
      <c r="L340" s="881"/>
      <c r="M340" s="881"/>
      <c r="N340" s="881"/>
      <c r="O340" s="881"/>
      <c r="P340" s="881"/>
    </row>
    <row r="341" spans="1:26" ht="18.75">
      <c r="A341" s="1086"/>
      <c r="B341" s="877"/>
      <c r="C341" s="1084"/>
      <c r="D341" s="1010"/>
      <c r="E341" s="1009" t="s">
        <v>154</v>
      </c>
      <c r="F341" s="877"/>
      <c r="G341" s="879"/>
      <c r="H341" s="277" t="s">
        <v>35</v>
      </c>
      <c r="I341" s="880"/>
      <c r="J341" s="880">
        <f ca="1">IFERROR(__xludf.DUMMYFUNCTION("IMPORTRANGE(""https://docs.google.com/spreadsheets/d/1kVcqe37tkHyjCSG3S0O1AXqVkqjo8mSIZil3BcpIysc/edit?usp=sharing"",""ศูนย์!F78"")"),141)</f>
        <v>141</v>
      </c>
      <c r="K341" s="881"/>
      <c r="L341" s="881"/>
      <c r="M341" s="881"/>
      <c r="N341" s="881"/>
      <c r="O341" s="881"/>
      <c r="P341" s="881"/>
    </row>
    <row r="342" spans="1:26" ht="18.75">
      <c r="A342" s="1086"/>
      <c r="B342" s="877"/>
      <c r="C342" s="1084"/>
      <c r="D342" s="1009" t="s">
        <v>155</v>
      </c>
      <c r="E342" s="1010"/>
      <c r="F342" s="1010"/>
      <c r="G342" s="879"/>
      <c r="H342" s="277" t="s">
        <v>35</v>
      </c>
      <c r="I342" s="880"/>
      <c r="J342" s="880">
        <f ca="1">IFERROR(__xludf.DUMMYFUNCTION("IMPORTRANGE(""https://docs.google.com/spreadsheets/d/1kVcqe37tkHyjCSG3S0O1AXqVkqjo8mSIZil3BcpIysc/edit?usp=sharing"",""ศูนย์!G78"")"),0)</f>
        <v>0</v>
      </c>
      <c r="K342" s="881"/>
      <c r="L342" s="881"/>
      <c r="M342" s="881"/>
      <c r="N342" s="881"/>
      <c r="O342" s="881"/>
      <c r="P342" s="881"/>
    </row>
    <row r="343" spans="1:26" ht="18.75">
      <c r="A343" s="1086"/>
      <c r="B343" s="877"/>
      <c r="C343" s="1084"/>
      <c r="D343" s="1009" t="s">
        <v>156</v>
      </c>
      <c r="E343" s="1010"/>
      <c r="F343" s="1010"/>
      <c r="G343" s="879"/>
      <c r="H343" s="277" t="s">
        <v>35</v>
      </c>
      <c r="I343" s="880"/>
      <c r="J343" s="880">
        <f ca="1">IFERROR(__xludf.DUMMYFUNCTION("IMPORTRANGE(""https://docs.google.com/spreadsheets/d/1kVcqe37tkHyjCSG3S0O1AXqVkqjo8mSIZil3BcpIysc/edit?usp=sharing"",""ศูนย์!H78"")"),0)</f>
        <v>0</v>
      </c>
      <c r="K343" s="881"/>
      <c r="L343" s="881"/>
      <c r="M343" s="881"/>
      <c r="N343" s="881"/>
      <c r="O343" s="881"/>
      <c r="P343" s="881"/>
    </row>
    <row r="344" spans="1:26" ht="19.5">
      <c r="A344" s="1186"/>
      <c r="B344" s="1187" t="s">
        <v>157</v>
      </c>
      <c r="C344" s="1196"/>
      <c r="D344" s="1188"/>
      <c r="E344" s="1188"/>
      <c r="F344" s="1188"/>
      <c r="G344" s="1189"/>
      <c r="H344" s="444"/>
      <c r="I344" s="1197"/>
      <c r="J344" s="1197"/>
      <c r="K344" s="1192"/>
      <c r="L344" s="1192"/>
      <c r="M344" s="1192"/>
      <c r="N344" s="1192"/>
      <c r="O344" s="1192"/>
      <c r="P344" s="1192"/>
    </row>
    <row r="345" spans="1:26" ht="19.5">
      <c r="A345" s="985"/>
      <c r="B345" s="986"/>
      <c r="C345" s="987" t="s">
        <v>16</v>
      </c>
      <c r="D345" s="988" t="s">
        <v>17</v>
      </c>
      <c r="E345" s="986"/>
      <c r="F345" s="986"/>
      <c r="G345" s="989"/>
      <c r="H345" s="152" t="s">
        <v>12</v>
      </c>
      <c r="I345" s="990"/>
      <c r="J345" s="990"/>
      <c r="K345" s="991"/>
      <c r="L345" s="992">
        <f t="shared" ref="L345:N345" ca="1" si="155">L346+L347</f>
        <v>695090</v>
      </c>
      <c r="M345" s="992">
        <f t="shared" ca="1" si="155"/>
        <v>609370</v>
      </c>
      <c r="N345" s="992">
        <f t="shared" ca="1" si="155"/>
        <v>424267.87</v>
      </c>
      <c r="O345" s="992">
        <f t="shared" ref="O345:O353" ca="1" si="156">IF(L345&gt;0,N345*100/L345,0)</f>
        <v>61.037832510897871</v>
      </c>
      <c r="P345" s="992">
        <f t="shared" ref="P345:P353" ca="1" si="157">IF(M345&gt;0,N345*100/M345,0)</f>
        <v>69.624016607315752</v>
      </c>
      <c r="Q345" s="868"/>
      <c r="R345" s="868"/>
      <c r="S345" s="868"/>
      <c r="T345" s="868"/>
      <c r="U345" s="868"/>
      <c r="V345" s="868"/>
      <c r="W345" s="868"/>
      <c r="X345" s="868"/>
      <c r="Y345" s="868"/>
      <c r="Z345" s="868"/>
    </row>
    <row r="346" spans="1:26" ht="18.75" hidden="1">
      <c r="A346" s="993"/>
      <c r="B346" s="883"/>
      <c r="C346" s="883"/>
      <c r="D346" s="883"/>
      <c r="E346" s="884" t="s">
        <v>18</v>
      </c>
      <c r="F346" s="883"/>
      <c r="G346" s="994"/>
      <c r="H346" s="158" t="s">
        <v>12</v>
      </c>
      <c r="I346" s="886"/>
      <c r="J346" s="886"/>
      <c r="K346" s="887"/>
      <c r="L346" s="887">
        <f t="shared" ref="L346:N347" si="158">L349+L352</f>
        <v>0</v>
      </c>
      <c r="M346" s="887">
        <f t="shared" si="158"/>
        <v>0</v>
      </c>
      <c r="N346" s="887">
        <f t="shared" si="158"/>
        <v>0</v>
      </c>
      <c r="O346" s="887">
        <f t="shared" si="156"/>
        <v>0</v>
      </c>
      <c r="P346" s="887">
        <f t="shared" si="157"/>
        <v>0</v>
      </c>
      <c r="Q346" s="875"/>
      <c r="R346" s="875"/>
      <c r="S346" s="875"/>
      <c r="T346" s="875"/>
      <c r="U346" s="875"/>
      <c r="V346" s="875"/>
      <c r="W346" s="875"/>
      <c r="X346" s="875"/>
      <c r="Y346" s="875"/>
      <c r="Z346" s="875"/>
    </row>
    <row r="347" spans="1:26" ht="18.75" hidden="1">
      <c r="A347" s="993"/>
      <c r="B347" s="883"/>
      <c r="C347" s="883"/>
      <c r="D347" s="883"/>
      <c r="E347" s="884" t="s">
        <v>19</v>
      </c>
      <c r="F347" s="883"/>
      <c r="G347" s="994"/>
      <c r="H347" s="158" t="s">
        <v>12</v>
      </c>
      <c r="I347" s="886"/>
      <c r="J347" s="886"/>
      <c r="K347" s="887"/>
      <c r="L347" s="887">
        <f t="shared" ca="1" si="158"/>
        <v>695090</v>
      </c>
      <c r="M347" s="887">
        <f t="shared" ca="1" si="158"/>
        <v>609370</v>
      </c>
      <c r="N347" s="887">
        <f t="shared" ca="1" si="158"/>
        <v>424267.87</v>
      </c>
      <c r="O347" s="887">
        <f t="shared" ca="1" si="156"/>
        <v>61.037832510897871</v>
      </c>
      <c r="P347" s="887">
        <f t="shared" ca="1" si="157"/>
        <v>69.624016607315752</v>
      </c>
      <c r="Q347" s="875"/>
      <c r="R347" s="875"/>
      <c r="S347" s="875"/>
      <c r="T347" s="875"/>
      <c r="U347" s="875"/>
      <c r="V347" s="875"/>
      <c r="W347" s="875"/>
      <c r="X347" s="875"/>
      <c r="Y347" s="875"/>
      <c r="Z347" s="875"/>
    </row>
    <row r="348" spans="1:26" ht="18.75">
      <c r="A348" s="995"/>
      <c r="B348" s="877"/>
      <c r="C348" s="996"/>
      <c r="D348" s="878" t="s">
        <v>20</v>
      </c>
      <c r="E348" s="877"/>
      <c r="F348" s="877"/>
      <c r="G348" s="879"/>
      <c r="H348" s="161" t="s">
        <v>12</v>
      </c>
      <c r="I348" s="997"/>
      <c r="J348" s="997"/>
      <c r="K348" s="998"/>
      <c r="L348" s="881">
        <f t="shared" ref="L348:N348" ca="1" si="159">L349+L350</f>
        <v>619090</v>
      </c>
      <c r="M348" s="881">
        <f t="shared" ca="1" si="159"/>
        <v>534370</v>
      </c>
      <c r="N348" s="881">
        <f t="shared" ca="1" si="159"/>
        <v>349267.87</v>
      </c>
      <c r="O348" s="881">
        <f t="shared" ca="1" si="156"/>
        <v>56.416332035729859</v>
      </c>
      <c r="P348" s="881">
        <f t="shared" ca="1" si="157"/>
        <v>65.360680801691714</v>
      </c>
      <c r="Q348" s="868"/>
      <c r="R348" s="868"/>
      <c r="S348" s="868"/>
      <c r="T348" s="868"/>
      <c r="U348" s="868"/>
      <c r="V348" s="868"/>
      <c r="W348" s="868"/>
      <c r="X348" s="868"/>
      <c r="Y348" s="868"/>
      <c r="Z348" s="868"/>
    </row>
    <row r="349" spans="1:26" ht="19.5" hidden="1">
      <c r="A349" s="993"/>
      <c r="B349" s="883"/>
      <c r="C349" s="999"/>
      <c r="D349" s="883"/>
      <c r="E349" s="884" t="s">
        <v>36</v>
      </c>
      <c r="F349" s="883"/>
      <c r="G349" s="994"/>
      <c r="H349" s="165" t="s">
        <v>12</v>
      </c>
      <c r="I349" s="1000"/>
      <c r="J349" s="1000"/>
      <c r="K349" s="1001"/>
      <c r="L349" s="887">
        <v>0</v>
      </c>
      <c r="M349" s="887">
        <v>0</v>
      </c>
      <c r="N349" s="887">
        <v>0</v>
      </c>
      <c r="O349" s="887">
        <f t="shared" si="156"/>
        <v>0</v>
      </c>
      <c r="P349" s="887">
        <f t="shared" si="157"/>
        <v>0</v>
      </c>
      <c r="Q349" s="875"/>
      <c r="R349" s="875"/>
      <c r="S349" s="875"/>
      <c r="T349" s="875"/>
      <c r="U349" s="875"/>
      <c r="V349" s="875"/>
      <c r="W349" s="875"/>
      <c r="X349" s="875"/>
      <c r="Y349" s="875"/>
      <c r="Z349" s="875"/>
    </row>
    <row r="350" spans="1:26" ht="19.5" hidden="1">
      <c r="A350" s="993"/>
      <c r="B350" s="883"/>
      <c r="C350" s="999"/>
      <c r="D350" s="883"/>
      <c r="E350" s="884" t="s">
        <v>37</v>
      </c>
      <c r="F350" s="883"/>
      <c r="G350" s="994"/>
      <c r="H350" s="165" t="s">
        <v>12</v>
      </c>
      <c r="I350" s="1000"/>
      <c r="J350" s="1000"/>
      <c r="K350" s="1001"/>
      <c r="L350" s="887">
        <f ca="1">IFERROR(__xludf.DUMMYFUNCTION("IMPORTRANGE(""https://docs.google.com/spreadsheets/d/1MeEWN-I1oV_STSDYn1IFDPWt_1FKiwhDph83XaGc0o0/edit?usp=sharing"",""งบพรบ!EW78"")"),619090)</f>
        <v>619090</v>
      </c>
      <c r="M350" s="887">
        <f ca="1">IFERROR(__xludf.DUMMYFUNCTION("IMPORTRANGE(""https://docs.google.com/spreadsheets/d/1MeEWN-I1oV_STSDYn1IFDPWt_1FKiwhDph83XaGc0o0/edit?usp=sharing"",""งบพรบ!FB78"")"),534370)</f>
        <v>534370</v>
      </c>
      <c r="N350" s="887">
        <f ca="1">IFERROR(__xludf.DUMMYFUNCTION("IMPORTRANGE(""https://docs.google.com/spreadsheets/d/1MeEWN-I1oV_STSDYn1IFDPWt_1FKiwhDph83XaGc0o0/edit?usp=sharing"",""งบพรบ!FD78"")"),349267.87)</f>
        <v>349267.87</v>
      </c>
      <c r="O350" s="887">
        <f t="shared" ca="1" si="156"/>
        <v>56.416332035729859</v>
      </c>
      <c r="P350" s="887">
        <f t="shared" ca="1" si="157"/>
        <v>65.360680801691714</v>
      </c>
      <c r="Q350" s="875"/>
      <c r="R350" s="875"/>
      <c r="S350" s="875"/>
      <c r="T350" s="875"/>
      <c r="U350" s="875"/>
      <c r="V350" s="875"/>
      <c r="W350" s="875"/>
      <c r="X350" s="875"/>
      <c r="Y350" s="875"/>
      <c r="Z350" s="875"/>
    </row>
    <row r="351" spans="1:26" ht="18.75">
      <c r="A351" s="995"/>
      <c r="B351" s="877"/>
      <c r="C351" s="996"/>
      <c r="D351" s="878" t="s">
        <v>21</v>
      </c>
      <c r="E351" s="877"/>
      <c r="F351" s="877"/>
      <c r="G351" s="879"/>
      <c r="H351" s="168" t="s">
        <v>12</v>
      </c>
      <c r="I351" s="997"/>
      <c r="J351" s="997"/>
      <c r="K351" s="998"/>
      <c r="L351" s="881">
        <f t="shared" ref="L351:N351" ca="1" si="160">L352+L353</f>
        <v>76000</v>
      </c>
      <c r="M351" s="881">
        <f t="shared" ca="1" si="160"/>
        <v>75000</v>
      </c>
      <c r="N351" s="881">
        <f t="shared" ca="1" si="160"/>
        <v>75000</v>
      </c>
      <c r="O351" s="881">
        <f t="shared" ca="1" si="156"/>
        <v>98.684210526315795</v>
      </c>
      <c r="P351" s="881">
        <f t="shared" ca="1" si="157"/>
        <v>100</v>
      </c>
      <c r="Q351" s="868"/>
      <c r="R351" s="868"/>
      <c r="S351" s="868"/>
      <c r="T351" s="868"/>
      <c r="U351" s="868"/>
      <c r="V351" s="868"/>
      <c r="W351" s="868"/>
      <c r="X351" s="868"/>
      <c r="Y351" s="868"/>
      <c r="Z351" s="868"/>
    </row>
    <row r="352" spans="1:26" ht="19.5" hidden="1">
      <c r="A352" s="993"/>
      <c r="B352" s="883"/>
      <c r="C352" s="999"/>
      <c r="D352" s="883"/>
      <c r="E352" s="884" t="s">
        <v>18</v>
      </c>
      <c r="F352" s="883"/>
      <c r="G352" s="994"/>
      <c r="H352" s="165" t="s">
        <v>12</v>
      </c>
      <c r="I352" s="1000"/>
      <c r="J352" s="1000"/>
      <c r="K352" s="1001"/>
      <c r="L352" s="887">
        <v>0</v>
      </c>
      <c r="M352" s="887">
        <v>0</v>
      </c>
      <c r="N352" s="887">
        <v>0</v>
      </c>
      <c r="O352" s="887">
        <f t="shared" si="156"/>
        <v>0</v>
      </c>
      <c r="P352" s="887">
        <f t="shared" si="157"/>
        <v>0</v>
      </c>
      <c r="Q352" s="875"/>
      <c r="R352" s="875"/>
      <c r="S352" s="875"/>
      <c r="T352" s="875"/>
      <c r="U352" s="875"/>
      <c r="V352" s="875"/>
      <c r="W352" s="875"/>
      <c r="X352" s="875"/>
      <c r="Y352" s="875"/>
      <c r="Z352" s="875"/>
    </row>
    <row r="353" spans="1:26" ht="19.5" hidden="1">
      <c r="A353" s="993"/>
      <c r="B353" s="883"/>
      <c r="C353" s="999"/>
      <c r="D353" s="883"/>
      <c r="E353" s="884" t="s">
        <v>19</v>
      </c>
      <c r="F353" s="883"/>
      <c r="G353" s="994"/>
      <c r="H353" s="169" t="s">
        <v>12</v>
      </c>
      <c r="I353" s="1000"/>
      <c r="J353" s="1000"/>
      <c r="K353" s="1001"/>
      <c r="L353" s="887">
        <f ca="1">IFERROR(__xludf.DUMMYFUNCTION("IMPORTRANGE(""https://docs.google.com/spreadsheets/d/1MeEWN-I1oV_STSDYn1IFDPWt_1FKiwhDph83XaGc0o0/edit?usp=sharing"",""งบพรบ!EZ78"")"),76000)</f>
        <v>76000</v>
      </c>
      <c r="M353" s="887">
        <f ca="1">IFERROR(__xludf.DUMMYFUNCTION("IMPORTRANGE(""https://docs.google.com/spreadsheets/d/1MeEWN-I1oV_STSDYn1IFDPWt_1FKiwhDph83XaGc0o0/edit?usp=sharing"",""งบพรบ!FC78"")"),75000)</f>
        <v>75000</v>
      </c>
      <c r="N353" s="887">
        <f ca="1">IFERROR(__xludf.DUMMYFUNCTION("IMPORTRANGE(""https://docs.google.com/spreadsheets/d/1MeEWN-I1oV_STSDYn1IFDPWt_1FKiwhDph83XaGc0o0/edit?usp=sharing"",""งบพรบ!FE78"")"),75000)</f>
        <v>75000</v>
      </c>
      <c r="O353" s="887">
        <f t="shared" ca="1" si="156"/>
        <v>98.684210526315795</v>
      </c>
      <c r="P353" s="887">
        <f t="shared" ca="1" si="157"/>
        <v>100</v>
      </c>
      <c r="Q353" s="875"/>
      <c r="R353" s="875"/>
      <c r="S353" s="875"/>
      <c r="T353" s="875"/>
      <c r="U353" s="875"/>
      <c r="V353" s="875"/>
      <c r="W353" s="875"/>
      <c r="X353" s="875"/>
      <c r="Y353" s="875"/>
      <c r="Z353" s="875"/>
    </row>
    <row r="354" spans="1:26" ht="19.5">
      <c r="A354" s="1063"/>
      <c r="B354" s="1070"/>
      <c r="C354" s="1064"/>
      <c r="D354" s="1198" t="s">
        <v>158</v>
      </c>
      <c r="E354" s="1064"/>
      <c r="F354" s="1064"/>
      <c r="G354" s="1066"/>
      <c r="H354" s="1199"/>
      <c r="I354" s="1067"/>
      <c r="J354" s="1067"/>
      <c r="K354" s="1068"/>
      <c r="L354" s="1068"/>
      <c r="M354" s="1068"/>
      <c r="N354" s="1068"/>
      <c r="O354" s="1068"/>
      <c r="P354" s="1068"/>
    </row>
    <row r="355" spans="1:26" ht="19.5">
      <c r="A355" s="1200"/>
      <c r="B355" s="1201"/>
      <c r="C355" s="1202"/>
      <c r="D355" s="1203" t="s">
        <v>159</v>
      </c>
      <c r="E355" s="1204"/>
      <c r="F355" s="1204"/>
      <c r="G355" s="1205"/>
      <c r="H355" s="463" t="s">
        <v>35</v>
      </c>
      <c r="I355" s="1206">
        <f ca="1">IFERROR(__xludf.DUMMYFUNCTION("IMPORTRANGE(""https://docs.google.com/spreadsheets/d/1QqKyyYR6Q21VydFLVH3TRQUabQu_ym0Zz7PgGX0-kHA/edit?usp=sharing"",""แผน!EP78"")"),250)</f>
        <v>250</v>
      </c>
      <c r="J355" s="1206">
        <f ca="1">J362</f>
        <v>95</v>
      </c>
      <c r="K355" s="1207">
        <f ca="1">IF(I355&gt;0,J355*100/I355,0)</f>
        <v>38</v>
      </c>
      <c r="L355" s="1208"/>
      <c r="M355" s="1208"/>
      <c r="N355" s="1208"/>
      <c r="O355" s="1208"/>
      <c r="P355" s="1208"/>
    </row>
    <row r="356" spans="1:26" ht="19.5">
      <c r="A356" s="1200"/>
      <c r="B356" s="1201"/>
      <c r="C356" s="1202"/>
      <c r="D356" s="1209" t="s">
        <v>160</v>
      </c>
      <c r="E356" s="1204"/>
      <c r="F356" s="1204"/>
      <c r="G356" s="1205"/>
      <c r="H356" s="1210"/>
      <c r="I356" s="1211"/>
      <c r="J356" s="1211"/>
      <c r="K356" s="1208"/>
      <c r="L356" s="1208"/>
      <c r="M356" s="1208"/>
      <c r="N356" s="1208"/>
      <c r="O356" s="1208"/>
      <c r="P356" s="1208"/>
    </row>
    <row r="357" spans="1:26" ht="19.5">
      <c r="A357" s="1002"/>
      <c r="B357" s="1003"/>
      <c r="C357" s="999" t="s">
        <v>16</v>
      </c>
      <c r="D357" s="1004" t="s">
        <v>38</v>
      </c>
      <c r="E357" s="1005"/>
      <c r="F357" s="1005"/>
      <c r="G357" s="1006"/>
      <c r="H357" s="1007"/>
      <c r="I357" s="880"/>
      <c r="J357" s="880"/>
      <c r="K357" s="881"/>
      <c r="L357" s="998"/>
      <c r="M357" s="998"/>
      <c r="N357" s="998"/>
      <c r="O357" s="998"/>
      <c r="P357" s="998"/>
    </row>
    <row r="358" spans="1:26" ht="18.75">
      <c r="A358" s="1002"/>
      <c r="B358" s="1010"/>
      <c r="C358" s="1003"/>
      <c r="D358" s="1010"/>
      <c r="E358" s="1008" t="s">
        <v>161</v>
      </c>
      <c r="F358" s="1010"/>
      <c r="G358" s="1011"/>
      <c r="H358" s="185" t="s">
        <v>35</v>
      </c>
      <c r="I358" s="880">
        <v>0</v>
      </c>
      <c r="J358" s="880">
        <f ca="1">IFERROR(__xludf.DUMMYFUNCTION("IMPORTRANGE(""https://docs.google.com/spreadsheets/d/1XWAQStnk-4SwqDmLtmXYiTMKHgktTP8We1SCoS47DrQ/edit?usp=sharing"",""จัดที่ดิน!W78"")"),168)</f>
        <v>168</v>
      </c>
      <c r="K358" s="881">
        <f t="shared" ref="K358:K365" si="161">IF(I358&gt;0,J358*100/I358,0)</f>
        <v>0</v>
      </c>
      <c r="L358" s="998"/>
      <c r="M358" s="998"/>
      <c r="N358" s="998"/>
      <c r="O358" s="998"/>
      <c r="P358" s="998"/>
    </row>
    <row r="359" spans="1:26" ht="18.75">
      <c r="A359" s="1002"/>
      <c r="B359" s="1010"/>
      <c r="C359" s="1003"/>
      <c r="D359" s="1010"/>
      <c r="E359" s="1010"/>
      <c r="F359" s="1010"/>
      <c r="G359" s="1011"/>
      <c r="H359" s="185" t="s">
        <v>46</v>
      </c>
      <c r="I359" s="880">
        <f ca="1">IFERROR(__xludf.DUMMYFUNCTION("IMPORTRANGE(""https://docs.google.com/spreadsheets/d/1QqKyyYR6Q21VydFLVH3TRQUabQu_ym0Zz7PgGX0-kHA/edit?usp=sharing"",""แผน!EO78"")"),3020)</f>
        <v>3020</v>
      </c>
      <c r="J359" s="880">
        <f ca="1">IFERROR(__xludf.DUMMYFUNCTION("IMPORTRANGE(""https://docs.google.com/spreadsheets/d/1XWAQStnk-4SwqDmLtmXYiTMKHgktTP8We1SCoS47DrQ/edit?usp=sharing"",""จัดที่ดิน!X78"")"),1087.75)</f>
        <v>1087.75</v>
      </c>
      <c r="K359" s="881">
        <f t="shared" ca="1" si="161"/>
        <v>36.018211920529801</v>
      </c>
      <c r="L359" s="998"/>
      <c r="M359" s="998"/>
      <c r="N359" s="998"/>
      <c r="O359" s="998"/>
      <c r="P359" s="998"/>
    </row>
    <row r="360" spans="1:26" ht="18.75">
      <c r="A360" s="1002"/>
      <c r="B360" s="1010"/>
      <c r="C360" s="1003"/>
      <c r="D360" s="1010"/>
      <c r="E360" s="1008" t="s">
        <v>162</v>
      </c>
      <c r="F360" s="1010"/>
      <c r="G360" s="1011"/>
      <c r="H360" s="762" t="s">
        <v>35</v>
      </c>
      <c r="I360" s="880">
        <f ca="1">IFERROR(__xludf.DUMMYFUNCTION("IMPORTRANGE(""https://docs.google.com/spreadsheets/d/1QqKyyYR6Q21VydFLVH3TRQUabQu_ym0Zz7PgGX0-kHA/edit?usp=sharing"",""แผน!EP78"")"),250)</f>
        <v>250</v>
      </c>
      <c r="J360" s="880">
        <f ca="1">IFERROR(__xludf.DUMMYFUNCTION("IMPORTRANGE(""https://docs.google.com/spreadsheets/d/1XWAQStnk-4SwqDmLtmXYiTMKHgktTP8We1SCoS47DrQ/edit?usp=sharing"",""จัดที่ดิน!Y78"")"),117)</f>
        <v>117</v>
      </c>
      <c r="K360" s="881">
        <f t="shared" ca="1" si="161"/>
        <v>46.8</v>
      </c>
      <c r="L360" s="998"/>
      <c r="M360" s="998"/>
      <c r="N360" s="998"/>
      <c r="O360" s="998"/>
      <c r="P360" s="998"/>
    </row>
    <row r="361" spans="1:26" ht="18.75">
      <c r="A361" s="1002"/>
      <c r="B361" s="1010"/>
      <c r="C361" s="1003"/>
      <c r="D361" s="1010"/>
      <c r="E361" s="1010"/>
      <c r="F361" s="1010"/>
      <c r="G361" s="1011"/>
      <c r="H361" s="762" t="s">
        <v>46</v>
      </c>
      <c r="I361" s="880">
        <v>0</v>
      </c>
      <c r="J361" s="880">
        <f ca="1">IFERROR(__xludf.DUMMYFUNCTION("IMPORTRANGE(""https://docs.google.com/spreadsheets/d/1XWAQStnk-4SwqDmLtmXYiTMKHgktTP8We1SCoS47DrQ/edit?usp=sharing"",""จัดที่ดิน!Z78"")"),846.829999999999)</f>
        <v>846.82999999999902</v>
      </c>
      <c r="K361" s="881">
        <f t="shared" si="161"/>
        <v>0</v>
      </c>
      <c r="L361" s="998"/>
      <c r="M361" s="998"/>
      <c r="N361" s="998"/>
      <c r="O361" s="998"/>
      <c r="P361" s="998"/>
    </row>
    <row r="362" spans="1:26" ht="18.75">
      <c r="A362" s="1002"/>
      <c r="B362" s="1010"/>
      <c r="C362" s="1003"/>
      <c r="D362" s="1010"/>
      <c r="E362" s="1008" t="s">
        <v>163</v>
      </c>
      <c r="F362" s="1010"/>
      <c r="G362" s="1011"/>
      <c r="H362" s="762" t="s">
        <v>35</v>
      </c>
      <c r="I362" s="880">
        <f ca="1">IFERROR(__xludf.DUMMYFUNCTION("IMPORTRANGE(""https://docs.google.com/spreadsheets/d/1QqKyyYR6Q21VydFLVH3TRQUabQu_ym0Zz7PgGX0-kHA/edit?usp=sharing"",""แผน!EP78"")"),250)</f>
        <v>250</v>
      </c>
      <c r="J362" s="880">
        <f ca="1">IFERROR(__xludf.DUMMYFUNCTION("IMPORTRANGE(""https://docs.google.com/spreadsheets/d/1XWAQStnk-4SwqDmLtmXYiTMKHgktTP8We1SCoS47DrQ/edit?usp=sharing"",""จัดที่ดิน!AA78"")"),95)</f>
        <v>95</v>
      </c>
      <c r="K362" s="881">
        <f t="shared" ca="1" si="161"/>
        <v>38</v>
      </c>
      <c r="L362" s="998"/>
      <c r="M362" s="998"/>
      <c r="N362" s="998"/>
      <c r="O362" s="998"/>
      <c r="P362" s="998"/>
    </row>
    <row r="363" spans="1:26" ht="18.75">
      <c r="A363" s="1212" t="s">
        <v>164</v>
      </c>
      <c r="B363" s="1010"/>
      <c r="C363" s="1003"/>
      <c r="D363" s="1010"/>
      <c r="E363" s="1009"/>
      <c r="F363" s="1010"/>
      <c r="G363" s="1011"/>
      <c r="H363" s="762" t="s">
        <v>46</v>
      </c>
      <c r="I363" s="880">
        <v>0</v>
      </c>
      <c r="J363" s="880">
        <f ca="1">IFERROR(__xludf.DUMMYFUNCTION("IMPORTRANGE(""https://docs.google.com/spreadsheets/d/1XWAQStnk-4SwqDmLtmXYiTMKHgktTP8We1SCoS47DrQ/edit?usp=sharing"",""จัดที่ดิน!AB78"")"),743.27)</f>
        <v>743.27</v>
      </c>
      <c r="K363" s="881">
        <f t="shared" si="161"/>
        <v>0</v>
      </c>
      <c r="L363" s="998"/>
      <c r="M363" s="998"/>
      <c r="N363" s="998"/>
      <c r="O363" s="998"/>
      <c r="P363" s="998"/>
    </row>
    <row r="364" spans="1:26" ht="19.5">
      <c r="A364" s="1213"/>
      <c r="B364" s="1214"/>
      <c r="C364" s="1215"/>
      <c r="D364" s="1216" t="s">
        <v>165</v>
      </c>
      <c r="E364" s="1217"/>
      <c r="F364" s="1217"/>
      <c r="G364" s="1218"/>
      <c r="H364" s="478" t="s">
        <v>35</v>
      </c>
      <c r="I364" s="1219">
        <f t="shared" ref="I364:J364" ca="1" si="162">I365+I374</f>
        <v>600</v>
      </c>
      <c r="J364" s="1219">
        <f t="shared" ca="1" si="162"/>
        <v>301</v>
      </c>
      <c r="K364" s="1220">
        <f t="shared" ca="1" si="161"/>
        <v>50.166666666666664</v>
      </c>
      <c r="L364" s="1221"/>
      <c r="M364" s="1221"/>
      <c r="N364" s="1221"/>
      <c r="O364" s="1221"/>
      <c r="P364" s="122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222"/>
      <c r="B365" s="1223"/>
      <c r="C365" s="1224"/>
      <c r="D365" s="1224" t="s">
        <v>166</v>
      </c>
      <c r="E365" s="1225"/>
      <c r="F365" s="1225"/>
      <c r="G365" s="1226"/>
      <c r="H365" s="489" t="s">
        <v>35</v>
      </c>
      <c r="I365" s="1227">
        <f ca="1">IFERROR(__xludf.DUMMYFUNCTION("IMPORTRANGE(""https://docs.google.com/spreadsheets/d/1QqKyyYR6Q21VydFLVH3TRQUabQu_ym0Zz7PgGX0-kHA/edit?usp=sharing"",""แผน!EJ78"")"),150)</f>
        <v>150</v>
      </c>
      <c r="J365" s="1227">
        <f ca="1">J372</f>
        <v>95</v>
      </c>
      <c r="K365" s="1228">
        <f t="shared" ca="1" si="161"/>
        <v>63.333333333333336</v>
      </c>
      <c r="L365" s="1229"/>
      <c r="M365" s="1229"/>
      <c r="N365" s="1229"/>
      <c r="O365" s="1229"/>
      <c r="P365" s="1229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222"/>
      <c r="B366" s="1223"/>
      <c r="C366" s="1224"/>
      <c r="D366" s="1230" t="s">
        <v>167</v>
      </c>
      <c r="E366" s="1225"/>
      <c r="F366" s="1225"/>
      <c r="G366" s="1226"/>
      <c r="H366" s="1231"/>
      <c r="I366" s="1232"/>
      <c r="J366" s="1232"/>
      <c r="K366" s="1229"/>
      <c r="L366" s="1229"/>
      <c r="M366" s="1229"/>
      <c r="N366" s="1229"/>
      <c r="O366" s="1229"/>
      <c r="P366" s="1229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002"/>
      <c r="B367" s="1003"/>
      <c r="C367" s="999" t="s">
        <v>16</v>
      </c>
      <c r="D367" s="1004" t="s">
        <v>38</v>
      </c>
      <c r="E367" s="1005"/>
      <c r="F367" s="1005"/>
      <c r="G367" s="1006"/>
      <c r="H367" s="1007"/>
      <c r="I367" s="880"/>
      <c r="J367" s="880"/>
      <c r="K367" s="881"/>
      <c r="L367" s="998"/>
      <c r="M367" s="998"/>
      <c r="N367" s="998"/>
      <c r="O367" s="998"/>
      <c r="P367" s="998"/>
    </row>
    <row r="368" spans="1:26" ht="18.75">
      <c r="A368" s="1002"/>
      <c r="B368" s="1010"/>
      <c r="C368" s="1003"/>
      <c r="D368" s="1010"/>
      <c r="E368" s="1008" t="s">
        <v>161</v>
      </c>
      <c r="F368" s="1010"/>
      <c r="G368" s="1011"/>
      <c r="H368" s="185" t="s">
        <v>35</v>
      </c>
      <c r="I368" s="880">
        <v>0</v>
      </c>
      <c r="J368" s="880">
        <f ca="1">IFERROR(__xludf.DUMMYFUNCTION("IMPORTRANGE(""https://docs.google.com/spreadsheets/d/1XWAQStnk-4SwqDmLtmXYiTMKHgktTP8We1SCoS47DrQ/edit?usp=sharing"",""จัดที่ดิน!E78"")"),139)</f>
        <v>139</v>
      </c>
      <c r="K368" s="881">
        <f t="shared" ref="K368:K374" si="163">IF(I368&gt;0,J368*100/I368,0)</f>
        <v>0</v>
      </c>
      <c r="L368" s="998"/>
      <c r="M368" s="998"/>
      <c r="N368" s="998"/>
      <c r="O368" s="998"/>
      <c r="P368" s="998"/>
    </row>
    <row r="369" spans="1:26" ht="18.75">
      <c r="A369" s="1002"/>
      <c r="B369" s="1010"/>
      <c r="C369" s="1003"/>
      <c r="D369" s="1010"/>
      <c r="E369" s="1010"/>
      <c r="F369" s="1010"/>
      <c r="G369" s="1011"/>
      <c r="H369" s="185" t="s">
        <v>46</v>
      </c>
      <c r="I369" s="880">
        <f ca="1">IFERROR(__xludf.DUMMYFUNCTION("IMPORTRANGE(""https://docs.google.com/spreadsheets/d/1QqKyyYR6Q21VydFLVH3TRQUabQu_ym0Zz7PgGX0-kHA/edit?usp=sharing"",""แผน!EI78"")"),1520)</f>
        <v>1520</v>
      </c>
      <c r="J369" s="880">
        <f ca="1">IFERROR(__xludf.DUMMYFUNCTION("IMPORTRANGE(""https://docs.google.com/spreadsheets/d/1XWAQStnk-4SwqDmLtmXYiTMKHgktTP8We1SCoS47DrQ/edit?usp=sharing"",""จัดที่ดิน!F78"")"),902.92)</f>
        <v>902.92</v>
      </c>
      <c r="K369" s="881">
        <f t="shared" ca="1" si="163"/>
        <v>59.402631578947371</v>
      </c>
      <c r="L369" s="998"/>
      <c r="M369" s="998"/>
      <c r="N369" s="998"/>
      <c r="O369" s="998"/>
      <c r="P369" s="998"/>
    </row>
    <row r="370" spans="1:26" ht="18.75">
      <c r="A370" s="1002"/>
      <c r="B370" s="1010"/>
      <c r="C370" s="1003"/>
      <c r="D370" s="1010"/>
      <c r="E370" s="1008" t="s">
        <v>162</v>
      </c>
      <c r="F370" s="1010"/>
      <c r="G370" s="1011"/>
      <c r="H370" s="762" t="s">
        <v>35</v>
      </c>
      <c r="I370" s="880">
        <f ca="1">IFERROR(__xludf.DUMMYFUNCTION("IMPORTRANGE(""https://docs.google.com/spreadsheets/d/1QqKyyYR6Q21VydFLVH3TRQUabQu_ym0Zz7PgGX0-kHA/edit?usp=sharing"",""แผน!EJ78"")"),150)</f>
        <v>150</v>
      </c>
      <c r="J370" s="880">
        <f ca="1">IFERROR(__xludf.DUMMYFUNCTION("IMPORTRANGE(""https://docs.google.com/spreadsheets/d/1XWAQStnk-4SwqDmLtmXYiTMKHgktTP8We1SCoS47DrQ/edit?usp=sharing"",""จัดที่ดิน!G78"")"),92)</f>
        <v>92</v>
      </c>
      <c r="K370" s="881">
        <f t="shared" ca="1" si="163"/>
        <v>61.333333333333336</v>
      </c>
      <c r="L370" s="998"/>
      <c r="M370" s="998"/>
      <c r="N370" s="998"/>
      <c r="O370" s="998"/>
      <c r="P370" s="998"/>
    </row>
    <row r="371" spans="1:26" ht="18.75">
      <c r="A371" s="1002"/>
      <c r="B371" s="1010"/>
      <c r="C371" s="1003"/>
      <c r="D371" s="1010"/>
      <c r="E371" s="1010"/>
      <c r="F371" s="1010"/>
      <c r="G371" s="1011"/>
      <c r="H371" s="762" t="s">
        <v>46</v>
      </c>
      <c r="I371" s="880">
        <v>0</v>
      </c>
      <c r="J371" s="880">
        <f ca="1">IFERROR(__xludf.DUMMYFUNCTION("IMPORTRANGE(""https://docs.google.com/spreadsheets/d/1XWAQStnk-4SwqDmLtmXYiTMKHgktTP8We1SCoS47DrQ/edit?usp=sharing"",""จัดที่ดิน!H78"")"),678.14)</f>
        <v>678.14</v>
      </c>
      <c r="K371" s="881">
        <f t="shared" si="163"/>
        <v>0</v>
      </c>
      <c r="L371" s="998"/>
      <c r="M371" s="998"/>
      <c r="N371" s="998"/>
      <c r="O371" s="998"/>
      <c r="P371" s="998"/>
    </row>
    <row r="372" spans="1:26" ht="18.75">
      <c r="A372" s="1002"/>
      <c r="B372" s="1010"/>
      <c r="C372" s="1003"/>
      <c r="D372" s="1010"/>
      <c r="E372" s="1008" t="s">
        <v>163</v>
      </c>
      <c r="F372" s="1010"/>
      <c r="G372" s="1011"/>
      <c r="H372" s="762" t="s">
        <v>35</v>
      </c>
      <c r="I372" s="880">
        <f ca="1">IFERROR(__xludf.DUMMYFUNCTION("IMPORTRANGE(""https://docs.google.com/spreadsheets/d/1QqKyyYR6Q21VydFLVH3TRQUabQu_ym0Zz7PgGX0-kHA/edit?usp=sharing"",""แผน!EJ78"")"),150)</f>
        <v>150</v>
      </c>
      <c r="J372" s="880">
        <f ca="1">IFERROR(__xludf.DUMMYFUNCTION("IMPORTRANGE(""https://docs.google.com/spreadsheets/d/1XWAQStnk-4SwqDmLtmXYiTMKHgktTP8We1SCoS47DrQ/edit?usp=sharing"",""จัดที่ดิน!I78"")"),95)</f>
        <v>95</v>
      </c>
      <c r="K372" s="881">
        <f t="shared" ca="1" si="163"/>
        <v>63.333333333333336</v>
      </c>
      <c r="L372" s="998"/>
      <c r="M372" s="998"/>
      <c r="N372" s="998"/>
      <c r="O372" s="998"/>
      <c r="P372" s="998"/>
    </row>
    <row r="373" spans="1:26" ht="18.75">
      <c r="A373" s="1212" t="s">
        <v>164</v>
      </c>
      <c r="B373" s="1010"/>
      <c r="C373" s="1003"/>
      <c r="D373" s="1010"/>
      <c r="E373" s="1009"/>
      <c r="F373" s="1010"/>
      <c r="G373" s="1011"/>
      <c r="H373" s="762" t="s">
        <v>46</v>
      </c>
      <c r="I373" s="880">
        <v>0</v>
      </c>
      <c r="J373" s="880">
        <f ca="1">IFERROR(__xludf.DUMMYFUNCTION("IMPORTRANGE(""https://docs.google.com/spreadsheets/d/1XWAQStnk-4SwqDmLtmXYiTMKHgktTP8We1SCoS47DrQ/edit?usp=sharing"",""จัดที่ดิน!J78"")"),743.27)</f>
        <v>743.27</v>
      </c>
      <c r="K373" s="881">
        <f t="shared" si="163"/>
        <v>0</v>
      </c>
      <c r="L373" s="998"/>
      <c r="M373" s="998"/>
      <c r="N373" s="998"/>
      <c r="O373" s="998"/>
      <c r="P373" s="998"/>
    </row>
    <row r="374" spans="1:26" ht="19.5">
      <c r="A374" s="1222"/>
      <c r="B374" s="1223"/>
      <c r="C374" s="1224"/>
      <c r="D374" s="1224" t="s">
        <v>168</v>
      </c>
      <c r="E374" s="1225"/>
      <c r="F374" s="1225"/>
      <c r="G374" s="1226"/>
      <c r="H374" s="489" t="s">
        <v>35</v>
      </c>
      <c r="I374" s="1233">
        <f ca="1">IFERROR(__xludf.DUMMYFUNCTION("IMPORTRANGE(""https://docs.google.com/spreadsheets/d/1QqKyyYR6Q21VydFLVH3TRQUabQu_ym0Zz7PgGX0-kHA/edit?usp=sharing"",""แผน!EU78"")"),450)</f>
        <v>450</v>
      </c>
      <c r="J374" s="1227">
        <f ca="1">J381</f>
        <v>206</v>
      </c>
      <c r="K374" s="1228">
        <f t="shared" ca="1" si="163"/>
        <v>45.777777777777779</v>
      </c>
      <c r="L374" s="1229"/>
      <c r="M374" s="1229"/>
      <c r="N374" s="1229"/>
      <c r="O374" s="1229"/>
      <c r="P374" s="1229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222"/>
      <c r="B375" s="1223"/>
      <c r="C375" s="1224"/>
      <c r="D375" s="1230" t="s">
        <v>169</v>
      </c>
      <c r="E375" s="1225"/>
      <c r="F375" s="1225"/>
      <c r="G375" s="1226"/>
      <c r="H375" s="1231"/>
      <c r="I375" s="1232"/>
      <c r="J375" s="1232"/>
      <c r="K375" s="1229"/>
      <c r="L375" s="1229"/>
      <c r="M375" s="1229"/>
      <c r="N375" s="1229"/>
      <c r="O375" s="1229"/>
      <c r="P375" s="1229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002"/>
      <c r="B376" s="1003"/>
      <c r="C376" s="999" t="s">
        <v>16</v>
      </c>
      <c r="D376" s="1004" t="s">
        <v>38</v>
      </c>
      <c r="E376" s="1005"/>
      <c r="F376" s="1005"/>
      <c r="G376" s="1006"/>
      <c r="H376" s="1007"/>
      <c r="I376" s="880"/>
      <c r="J376" s="880"/>
      <c r="K376" s="881"/>
      <c r="L376" s="998"/>
      <c r="M376" s="998"/>
      <c r="N376" s="998"/>
      <c r="O376" s="998"/>
      <c r="P376" s="998"/>
    </row>
    <row r="377" spans="1:26" ht="18.75">
      <c r="A377" s="1002"/>
      <c r="B377" s="1010"/>
      <c r="C377" s="1003"/>
      <c r="D377" s="1010"/>
      <c r="E377" s="1008" t="s">
        <v>161</v>
      </c>
      <c r="F377" s="1010"/>
      <c r="G377" s="1011"/>
      <c r="H377" s="185" t="s">
        <v>35</v>
      </c>
      <c r="I377" s="880">
        <v>0</v>
      </c>
      <c r="J377" s="880">
        <f ca="1">IFERROR(__xludf.DUMMYFUNCTION("IMPORTRANGE(""https://docs.google.com/spreadsheets/d/1XWAQStnk-4SwqDmLtmXYiTMKHgktTP8We1SCoS47DrQ/edit?usp=sharing"",""จัดที่ดิน!AH78"")"),29)</f>
        <v>29</v>
      </c>
      <c r="K377" s="881">
        <f t="shared" ref="K377:K382" si="164">IF(I377&gt;0,J377*100/I377,0)</f>
        <v>0</v>
      </c>
      <c r="L377" s="998"/>
      <c r="M377" s="998"/>
      <c r="N377" s="998"/>
      <c r="O377" s="998"/>
      <c r="P377" s="998"/>
    </row>
    <row r="378" spans="1:26" ht="18.75">
      <c r="A378" s="1002"/>
      <c r="B378" s="1010"/>
      <c r="C378" s="1003"/>
      <c r="D378" s="1010"/>
      <c r="E378" s="1010"/>
      <c r="F378" s="1010"/>
      <c r="G378" s="1011"/>
      <c r="H378" s="185" t="s">
        <v>46</v>
      </c>
      <c r="I378" s="880">
        <f ca="1">IFERROR(__xludf.DUMMYFUNCTION("IMPORTRANGE(""https://docs.google.com/spreadsheets/d/1QqKyyYR6Q21VydFLVH3TRQUabQu_ym0Zz7PgGX0-kHA/edit?usp=sharing"",""แผน!ET78"")"),1500)</f>
        <v>1500</v>
      </c>
      <c r="J378" s="880">
        <f ca="1">IFERROR(__xludf.DUMMYFUNCTION("IMPORTRANGE(""https://docs.google.com/spreadsheets/d/1XWAQStnk-4SwqDmLtmXYiTMKHgktTP8We1SCoS47DrQ/edit?usp=sharing"",""จัดที่ดิน!AI78"")"),184.83)</f>
        <v>184.83</v>
      </c>
      <c r="K378" s="881">
        <f t="shared" ca="1" si="164"/>
        <v>12.321999999999999</v>
      </c>
      <c r="L378" s="998"/>
      <c r="M378" s="998"/>
      <c r="N378" s="998"/>
      <c r="O378" s="998"/>
      <c r="P378" s="998"/>
    </row>
    <row r="379" spans="1:26" ht="18.75">
      <c r="A379" s="1002"/>
      <c r="B379" s="1010"/>
      <c r="C379" s="1003"/>
      <c r="D379" s="1010"/>
      <c r="E379" s="1008" t="s">
        <v>162</v>
      </c>
      <c r="F379" s="1010"/>
      <c r="G379" s="1011"/>
      <c r="H379" s="762" t="s">
        <v>35</v>
      </c>
      <c r="I379" s="880">
        <f ca="1">IFERROR(__xludf.DUMMYFUNCTION("IMPORTRANGE(""https://docs.google.com/spreadsheets/d/1QqKyyYR6Q21VydFLVH3TRQUabQu_ym0Zz7PgGX0-kHA/edit?usp=sharing"",""แผน!EU78"")"),450)</f>
        <v>450</v>
      </c>
      <c r="J379" s="880">
        <f ca="1">IFERROR(__xludf.DUMMYFUNCTION("IMPORTRANGE(""https://docs.google.com/spreadsheets/d/1XWAQStnk-4SwqDmLtmXYiTMKHgktTP8We1SCoS47DrQ/edit?usp=sharing"",""จัดที่ดิน!AJ78"")"),231)</f>
        <v>231</v>
      </c>
      <c r="K379" s="881">
        <f t="shared" ca="1" si="164"/>
        <v>51.333333333333336</v>
      </c>
      <c r="L379" s="998"/>
      <c r="M379" s="998"/>
      <c r="N379" s="998"/>
      <c r="O379" s="998"/>
      <c r="P379" s="998"/>
    </row>
    <row r="380" spans="1:26" ht="18.75">
      <c r="A380" s="1002"/>
      <c r="B380" s="1010"/>
      <c r="C380" s="1003"/>
      <c r="D380" s="1010"/>
      <c r="E380" s="1010"/>
      <c r="F380" s="1010"/>
      <c r="G380" s="1011"/>
      <c r="H380" s="762" t="s">
        <v>46</v>
      </c>
      <c r="I380" s="880">
        <v>0</v>
      </c>
      <c r="J380" s="880">
        <f ca="1">IFERROR(__xludf.DUMMYFUNCTION("IMPORTRANGE(""https://docs.google.com/spreadsheets/d/1XWAQStnk-4SwqDmLtmXYiTMKHgktTP8We1SCoS47DrQ/edit?usp=sharing"",""จัดที่ดิน!AK78"")"),2181.02999999999)</f>
        <v>2181.0299999999902</v>
      </c>
      <c r="K380" s="881">
        <f t="shared" si="164"/>
        <v>0</v>
      </c>
      <c r="L380" s="998"/>
      <c r="M380" s="998"/>
      <c r="N380" s="998"/>
      <c r="O380" s="998"/>
      <c r="P380" s="998"/>
    </row>
    <row r="381" spans="1:26" ht="18.75">
      <c r="A381" s="1002"/>
      <c r="B381" s="1010"/>
      <c r="C381" s="1003"/>
      <c r="D381" s="1010"/>
      <c r="E381" s="1008" t="s">
        <v>163</v>
      </c>
      <c r="F381" s="1010"/>
      <c r="G381" s="1011"/>
      <c r="H381" s="762" t="s">
        <v>35</v>
      </c>
      <c r="I381" s="880">
        <f ca="1">IFERROR(__xludf.DUMMYFUNCTION("IMPORTRANGE(""https://docs.google.com/spreadsheets/d/1QqKyyYR6Q21VydFLVH3TRQUabQu_ym0Zz7PgGX0-kHA/edit?usp=sharing"",""แผน!EU78"")"),450)</f>
        <v>450</v>
      </c>
      <c r="J381" s="880">
        <f ca="1">IFERROR(__xludf.DUMMYFUNCTION("IMPORTRANGE(""https://docs.google.com/spreadsheets/d/1XWAQStnk-4SwqDmLtmXYiTMKHgktTP8We1SCoS47DrQ/edit?usp=sharing"",""จัดที่ดิน!AL78"")"),206)</f>
        <v>206</v>
      </c>
      <c r="K381" s="881">
        <f t="shared" ca="1" si="164"/>
        <v>45.777777777777779</v>
      </c>
      <c r="L381" s="998"/>
      <c r="M381" s="998"/>
      <c r="N381" s="998"/>
      <c r="O381" s="998"/>
      <c r="P381" s="998"/>
    </row>
    <row r="382" spans="1:26" ht="18.75">
      <c r="A382" s="1212" t="s">
        <v>164</v>
      </c>
      <c r="B382" s="1010"/>
      <c r="C382" s="1003"/>
      <c r="D382" s="1010"/>
      <c r="E382" s="1009"/>
      <c r="F382" s="1010"/>
      <c r="G382" s="1011"/>
      <c r="H382" s="762" t="s">
        <v>46</v>
      </c>
      <c r="I382" s="880">
        <v>0</v>
      </c>
      <c r="J382" s="880">
        <f ca="1">IFERROR(__xludf.DUMMYFUNCTION("IMPORTRANGE(""https://docs.google.com/spreadsheets/d/1XWAQStnk-4SwqDmLtmXYiTMKHgktTP8We1SCoS47DrQ/edit?usp=sharing"",""จัดที่ดิน!AM78"")"),2016.38)</f>
        <v>2016.38</v>
      </c>
      <c r="K382" s="881">
        <f t="shared" si="164"/>
        <v>0</v>
      </c>
      <c r="L382" s="998"/>
      <c r="M382" s="998"/>
      <c r="N382" s="998"/>
      <c r="O382" s="998"/>
      <c r="P382" s="998"/>
    </row>
    <row r="383" spans="1:26" ht="19.5">
      <c r="A383" s="1234"/>
      <c r="B383" s="1235"/>
      <c r="C383" s="1091"/>
      <c r="D383" s="1236" t="s">
        <v>170</v>
      </c>
      <c r="E383" s="1091"/>
      <c r="F383" s="1091"/>
      <c r="G383" s="1237"/>
      <c r="H383" s="1199"/>
      <c r="I383" s="1067"/>
      <c r="J383" s="1067"/>
      <c r="K383" s="1068"/>
      <c r="L383" s="1068"/>
      <c r="M383" s="1068"/>
      <c r="N383" s="1068"/>
      <c r="O383" s="1068"/>
      <c r="P383" s="1068"/>
    </row>
    <row r="384" spans="1:26" ht="19.5">
      <c r="A384" s="1002"/>
      <c r="B384" s="1003"/>
      <c r="C384" s="877" t="s">
        <v>16</v>
      </c>
      <c r="D384" s="1004" t="s">
        <v>38</v>
      </c>
      <c r="E384" s="1005"/>
      <c r="F384" s="1005"/>
      <c r="G384" s="1006"/>
      <c r="H384" s="1007"/>
      <c r="I384" s="880"/>
      <c r="J384" s="880"/>
      <c r="K384" s="881"/>
      <c r="L384" s="998"/>
      <c r="M384" s="998"/>
      <c r="N384" s="998"/>
      <c r="O384" s="998"/>
      <c r="P384" s="998"/>
    </row>
    <row r="385" spans="1:26" ht="18.75">
      <c r="A385" s="1133"/>
      <c r="B385" s="1136"/>
      <c r="C385" s="1134"/>
      <c r="D385" s="1136"/>
      <c r="E385" s="1238" t="s">
        <v>171</v>
      </c>
      <c r="F385" s="1136"/>
      <c r="G385" s="1137"/>
      <c r="H385" s="504" t="s">
        <v>35</v>
      </c>
      <c r="I385" s="1138">
        <f ca="1">IFERROR(__xludf.DUMMYFUNCTION("IMPORTRANGE(""https://docs.google.com/spreadsheets/d/1QqKyyYR6Q21VydFLVH3TRQUabQu_ym0Zz7PgGX0-kHA/edit?usp=sharing"",""แผน!EW78"")"),40)</f>
        <v>40</v>
      </c>
      <c r="J385" s="1138">
        <f ca="1">IFERROR(__xludf.DUMMYFUNCTION("IMPORTRANGE(""https://docs.google.com/spreadsheets/d/1XWAQStnk-4SwqDmLtmXYiTMKHgktTP8We1SCoS47DrQ/edit?usp=sharing"",""จัดที่ดิน!AP78"")"),13)</f>
        <v>13</v>
      </c>
      <c r="K385" s="1239">
        <f ca="1">IF(I385&gt;0,J385*100/I385,0)</f>
        <v>32.5</v>
      </c>
      <c r="L385" s="1139"/>
      <c r="M385" s="1139"/>
      <c r="N385" s="1139"/>
      <c r="O385" s="1139"/>
      <c r="P385" s="1139"/>
    </row>
    <row r="386" spans="1:26" ht="19.5" hidden="1">
      <c r="A386" s="1240" t="s">
        <v>172</v>
      </c>
      <c r="B386" s="1241"/>
      <c r="C386" s="1241"/>
      <c r="D386" s="1241"/>
      <c r="E386" s="1242"/>
      <c r="F386" s="1242"/>
      <c r="G386" s="1243"/>
      <c r="H386" s="1244"/>
      <c r="I386" s="1245"/>
      <c r="J386" s="1245"/>
      <c r="K386" s="1246"/>
      <c r="L386" s="1246"/>
      <c r="M386" s="1246"/>
      <c r="N386" s="1246"/>
      <c r="O386" s="1246"/>
      <c r="P386" s="1246"/>
    </row>
    <row r="387" spans="1:26" ht="19.5" hidden="1">
      <c r="A387" s="1247" t="s">
        <v>173</v>
      </c>
      <c r="B387" s="1248"/>
      <c r="C387" s="1248"/>
      <c r="D387" s="1249"/>
      <c r="E387" s="1248"/>
      <c r="F387" s="1248"/>
      <c r="G387" s="1248"/>
      <c r="H387" s="1250"/>
      <c r="I387" s="1251"/>
      <c r="J387" s="1251"/>
      <c r="K387" s="1252"/>
      <c r="L387" s="1252"/>
      <c r="M387" s="1252"/>
      <c r="N387" s="1252"/>
      <c r="O387" s="1252"/>
      <c r="P387" s="1252"/>
    </row>
    <row r="388" spans="1:26" ht="19.5" hidden="1">
      <c r="A388" s="1253"/>
      <c r="B388" s="1254" t="s">
        <v>174</v>
      </c>
      <c r="C388" s="1255"/>
      <c r="D388" s="1256"/>
      <c r="E388" s="1256"/>
      <c r="F388" s="1256"/>
      <c r="G388" s="1257"/>
      <c r="H388" s="525" t="s">
        <v>66</v>
      </c>
      <c r="I388" s="1258">
        <f t="shared" ref="I388:J388" si="165">I400</f>
        <v>0</v>
      </c>
      <c r="J388" s="1258">
        <f t="shared" si="165"/>
        <v>0</v>
      </c>
      <c r="K388" s="1259">
        <f>IF(I388&gt;0,J388*100/I388,0)</f>
        <v>0</v>
      </c>
      <c r="L388" s="1260"/>
      <c r="M388" s="1260"/>
      <c r="N388" s="1260"/>
      <c r="O388" s="1260"/>
      <c r="P388" s="1260"/>
    </row>
    <row r="389" spans="1:26" ht="19.5" hidden="1">
      <c r="A389" s="985"/>
      <c r="B389" s="986"/>
      <c r="C389" s="987" t="s">
        <v>16</v>
      </c>
      <c r="D389" s="988" t="s">
        <v>17</v>
      </c>
      <c r="E389" s="986"/>
      <c r="F389" s="986"/>
      <c r="G389" s="989"/>
      <c r="H389" s="152" t="s">
        <v>12</v>
      </c>
      <c r="I389" s="990"/>
      <c r="J389" s="990"/>
      <c r="K389" s="991"/>
      <c r="L389" s="992">
        <f t="shared" ref="L389:N389" ca="1" si="166">L390+L391</f>
        <v>0</v>
      </c>
      <c r="M389" s="992">
        <f t="shared" ca="1" si="166"/>
        <v>0</v>
      </c>
      <c r="N389" s="992">
        <f t="shared" ca="1" si="166"/>
        <v>0</v>
      </c>
      <c r="O389" s="992">
        <f t="shared" ref="O389:O397" ca="1" si="167">IF(L389&gt;0,N389*100/L389,0)</f>
        <v>0</v>
      </c>
      <c r="P389" s="992">
        <f t="shared" ref="P389:P397" ca="1" si="168">IF(M389&gt;0,N389*100/M389,0)</f>
        <v>0</v>
      </c>
      <c r="Q389" s="868"/>
      <c r="R389" s="868"/>
      <c r="S389" s="868"/>
      <c r="T389" s="868"/>
      <c r="U389" s="868"/>
      <c r="V389" s="868"/>
      <c r="W389" s="868"/>
      <c r="X389" s="868"/>
      <c r="Y389" s="868"/>
      <c r="Z389" s="868"/>
    </row>
    <row r="390" spans="1:26" ht="18.75" hidden="1">
      <c r="A390" s="993"/>
      <c r="B390" s="883"/>
      <c r="C390" s="883"/>
      <c r="D390" s="883"/>
      <c r="E390" s="884" t="s">
        <v>18</v>
      </c>
      <c r="F390" s="883"/>
      <c r="G390" s="994"/>
      <c r="H390" s="158" t="s">
        <v>12</v>
      </c>
      <c r="I390" s="886"/>
      <c r="J390" s="886"/>
      <c r="K390" s="887"/>
      <c r="L390" s="887">
        <f t="shared" ref="L390:N391" si="169">L393+L396</f>
        <v>0</v>
      </c>
      <c r="M390" s="887">
        <f t="shared" si="169"/>
        <v>0</v>
      </c>
      <c r="N390" s="887">
        <f t="shared" si="169"/>
        <v>0</v>
      </c>
      <c r="O390" s="887">
        <f t="shared" si="167"/>
        <v>0</v>
      </c>
      <c r="P390" s="887">
        <f t="shared" si="168"/>
        <v>0</v>
      </c>
      <c r="Q390" s="875"/>
      <c r="R390" s="875"/>
      <c r="S390" s="875"/>
      <c r="T390" s="875"/>
      <c r="U390" s="875"/>
      <c r="V390" s="875"/>
      <c r="W390" s="875"/>
      <c r="X390" s="875"/>
      <c r="Y390" s="875"/>
      <c r="Z390" s="875"/>
    </row>
    <row r="391" spans="1:26" ht="18.75" hidden="1">
      <c r="A391" s="993"/>
      <c r="B391" s="883"/>
      <c r="C391" s="883"/>
      <c r="D391" s="883"/>
      <c r="E391" s="884" t="s">
        <v>19</v>
      </c>
      <c r="F391" s="883"/>
      <c r="G391" s="994"/>
      <c r="H391" s="158" t="s">
        <v>12</v>
      </c>
      <c r="I391" s="886"/>
      <c r="J391" s="886"/>
      <c r="K391" s="887"/>
      <c r="L391" s="887">
        <f t="shared" ca="1" si="169"/>
        <v>0</v>
      </c>
      <c r="M391" s="887">
        <f t="shared" ca="1" si="169"/>
        <v>0</v>
      </c>
      <c r="N391" s="887">
        <f t="shared" ca="1" si="169"/>
        <v>0</v>
      </c>
      <c r="O391" s="887">
        <f t="shared" ca="1" si="167"/>
        <v>0</v>
      </c>
      <c r="P391" s="887">
        <f t="shared" ca="1" si="168"/>
        <v>0</v>
      </c>
      <c r="Q391" s="875"/>
      <c r="R391" s="875"/>
      <c r="S391" s="875"/>
      <c r="T391" s="875"/>
      <c r="U391" s="875"/>
      <c r="V391" s="875"/>
      <c r="W391" s="875"/>
      <c r="X391" s="875"/>
      <c r="Y391" s="875"/>
      <c r="Z391" s="875"/>
    </row>
    <row r="392" spans="1:26" ht="18.75" hidden="1">
      <c r="A392" s="995"/>
      <c r="B392" s="877"/>
      <c r="C392" s="996"/>
      <c r="D392" s="878" t="s">
        <v>20</v>
      </c>
      <c r="E392" s="877"/>
      <c r="F392" s="877"/>
      <c r="G392" s="879"/>
      <c r="H392" s="161" t="s">
        <v>12</v>
      </c>
      <c r="I392" s="997"/>
      <c r="J392" s="997"/>
      <c r="K392" s="998"/>
      <c r="L392" s="881">
        <f t="shared" ref="L392:N392" ca="1" si="170">L393+L394</f>
        <v>0</v>
      </c>
      <c r="M392" s="881">
        <f t="shared" ca="1" si="170"/>
        <v>0</v>
      </c>
      <c r="N392" s="881">
        <f t="shared" ca="1" si="170"/>
        <v>0</v>
      </c>
      <c r="O392" s="881">
        <f t="shared" ca="1" si="167"/>
        <v>0</v>
      </c>
      <c r="P392" s="881">
        <f t="shared" ca="1" si="168"/>
        <v>0</v>
      </c>
      <c r="Q392" s="868"/>
      <c r="R392" s="868"/>
      <c r="S392" s="868"/>
      <c r="T392" s="868"/>
      <c r="U392" s="868"/>
      <c r="V392" s="868"/>
      <c r="W392" s="868"/>
      <c r="X392" s="868"/>
      <c r="Y392" s="868"/>
      <c r="Z392" s="868"/>
    </row>
    <row r="393" spans="1:26" ht="19.5" hidden="1">
      <c r="A393" s="993"/>
      <c r="B393" s="883"/>
      <c r="C393" s="999"/>
      <c r="D393" s="883"/>
      <c r="E393" s="884" t="s">
        <v>36</v>
      </c>
      <c r="F393" s="883"/>
      <c r="G393" s="994"/>
      <c r="H393" s="165" t="s">
        <v>12</v>
      </c>
      <c r="I393" s="1000"/>
      <c r="J393" s="1000"/>
      <c r="K393" s="1001"/>
      <c r="L393" s="887">
        <v>0</v>
      </c>
      <c r="M393" s="887">
        <v>0</v>
      </c>
      <c r="N393" s="887">
        <v>0</v>
      </c>
      <c r="O393" s="887">
        <f t="shared" si="167"/>
        <v>0</v>
      </c>
      <c r="P393" s="887">
        <f t="shared" si="168"/>
        <v>0</v>
      </c>
      <c r="Q393" s="875"/>
      <c r="R393" s="875"/>
      <c r="S393" s="875"/>
      <c r="T393" s="875"/>
      <c r="U393" s="875"/>
      <c r="V393" s="875"/>
      <c r="W393" s="875"/>
      <c r="X393" s="875"/>
      <c r="Y393" s="875"/>
      <c r="Z393" s="875"/>
    </row>
    <row r="394" spans="1:26" ht="19.5" hidden="1">
      <c r="A394" s="993"/>
      <c r="B394" s="883"/>
      <c r="C394" s="999"/>
      <c r="D394" s="883"/>
      <c r="E394" s="884" t="s">
        <v>37</v>
      </c>
      <c r="F394" s="883"/>
      <c r="G394" s="994"/>
      <c r="H394" s="165" t="s">
        <v>12</v>
      </c>
      <c r="I394" s="1000"/>
      <c r="J394" s="1000"/>
      <c r="K394" s="1001"/>
      <c r="L394" s="887">
        <f ca="1">IFERROR(__xludf.DUMMYFUNCTION("IMPORTRANGE(""https://docs.google.com/spreadsheets/d/1MeEWN-I1oV_STSDYn1IFDPWt_1FKiwhDph83XaGc0o0/edit?usp=sharing"",""งบพรบ!FG78"")"),0)</f>
        <v>0</v>
      </c>
      <c r="M394" s="887">
        <f ca="1">IFERROR(__xludf.DUMMYFUNCTION("IMPORTRANGE(""https://docs.google.com/spreadsheets/d/1MeEWN-I1oV_STSDYn1IFDPWt_1FKiwhDph83XaGc0o0/edit?usp=sharing"",""งบพรบ!FL78"")"),0)</f>
        <v>0</v>
      </c>
      <c r="N394" s="887">
        <f ca="1">IFERROR(__xludf.DUMMYFUNCTION("IMPORTRANGE(""https://docs.google.com/spreadsheets/d/1MeEWN-I1oV_STSDYn1IFDPWt_1FKiwhDph83XaGc0o0/edit?usp=sharing"",""งบพรบ!FN78"")"),0)</f>
        <v>0</v>
      </c>
      <c r="O394" s="887">
        <f t="shared" ca="1" si="167"/>
        <v>0</v>
      </c>
      <c r="P394" s="887">
        <f t="shared" ca="1" si="168"/>
        <v>0</v>
      </c>
      <c r="Q394" s="875"/>
      <c r="R394" s="875"/>
      <c r="S394" s="875"/>
      <c r="T394" s="875"/>
      <c r="U394" s="875"/>
      <c r="V394" s="875"/>
      <c r="W394" s="875"/>
      <c r="X394" s="875"/>
      <c r="Y394" s="875"/>
      <c r="Z394" s="875"/>
    </row>
    <row r="395" spans="1:26" ht="18.75" hidden="1">
      <c r="A395" s="995"/>
      <c r="B395" s="877"/>
      <c r="C395" s="996"/>
      <c r="D395" s="878" t="s">
        <v>21</v>
      </c>
      <c r="E395" s="877"/>
      <c r="F395" s="877"/>
      <c r="G395" s="879"/>
      <c r="H395" s="168" t="s">
        <v>12</v>
      </c>
      <c r="I395" s="997"/>
      <c r="J395" s="997"/>
      <c r="K395" s="998"/>
      <c r="L395" s="881">
        <f t="shared" ref="L395:N395" ca="1" si="171">L396+L397</f>
        <v>0</v>
      </c>
      <c r="M395" s="881">
        <f t="shared" ca="1" si="171"/>
        <v>0</v>
      </c>
      <c r="N395" s="881">
        <f t="shared" ca="1" si="171"/>
        <v>0</v>
      </c>
      <c r="O395" s="881">
        <f t="shared" ca="1" si="167"/>
        <v>0</v>
      </c>
      <c r="P395" s="881">
        <f t="shared" ca="1" si="168"/>
        <v>0</v>
      </c>
      <c r="Q395" s="868"/>
      <c r="R395" s="868"/>
      <c r="S395" s="868"/>
      <c r="T395" s="868"/>
      <c r="U395" s="868"/>
      <c r="V395" s="868"/>
      <c r="W395" s="868"/>
      <c r="X395" s="868"/>
      <c r="Y395" s="868"/>
      <c r="Z395" s="868"/>
    </row>
    <row r="396" spans="1:26" ht="19.5" hidden="1">
      <c r="A396" s="993"/>
      <c r="B396" s="883"/>
      <c r="C396" s="999"/>
      <c r="D396" s="883"/>
      <c r="E396" s="884" t="s">
        <v>18</v>
      </c>
      <c r="F396" s="883"/>
      <c r="G396" s="994"/>
      <c r="H396" s="165" t="s">
        <v>12</v>
      </c>
      <c r="I396" s="1000"/>
      <c r="J396" s="1000"/>
      <c r="K396" s="1001"/>
      <c r="L396" s="887">
        <v>0</v>
      </c>
      <c r="M396" s="887">
        <v>0</v>
      </c>
      <c r="N396" s="887">
        <v>0</v>
      </c>
      <c r="O396" s="887">
        <f t="shared" si="167"/>
        <v>0</v>
      </c>
      <c r="P396" s="887">
        <f t="shared" si="168"/>
        <v>0</v>
      </c>
      <c r="Q396" s="875"/>
      <c r="R396" s="875"/>
      <c r="S396" s="875"/>
      <c r="T396" s="875"/>
      <c r="U396" s="875"/>
      <c r="V396" s="875"/>
      <c r="W396" s="875"/>
      <c r="X396" s="875"/>
      <c r="Y396" s="875"/>
      <c r="Z396" s="875"/>
    </row>
    <row r="397" spans="1:26" ht="19.5" hidden="1">
      <c r="A397" s="993"/>
      <c r="B397" s="883"/>
      <c r="C397" s="999"/>
      <c r="D397" s="883"/>
      <c r="E397" s="884" t="s">
        <v>19</v>
      </c>
      <c r="F397" s="883"/>
      <c r="G397" s="994"/>
      <c r="H397" s="169" t="s">
        <v>12</v>
      </c>
      <c r="I397" s="1000"/>
      <c r="J397" s="1000"/>
      <c r="K397" s="1001"/>
      <c r="L397" s="887">
        <f ca="1">IFERROR(__xludf.DUMMYFUNCTION("IMPORTRANGE(""https://docs.google.com/spreadsheets/d/1MeEWN-I1oV_STSDYn1IFDPWt_1FKiwhDph83XaGc0o0/edit?usp=sharing"",""งบพรบ!FJ78"")"),0)</f>
        <v>0</v>
      </c>
      <c r="M397" s="887">
        <f ca="1">IFERROR(__xludf.DUMMYFUNCTION("IMPORTRANGE(""https://docs.google.com/spreadsheets/d/1MeEWN-I1oV_STSDYn1IFDPWt_1FKiwhDph83XaGc0o0/edit?usp=sharing"",""งบพรบ!FM78"")"),0)</f>
        <v>0</v>
      </c>
      <c r="N397" s="887">
        <f ca="1">IFERROR(__xludf.DUMMYFUNCTION("IMPORTRANGE(""https://docs.google.com/spreadsheets/d/1MeEWN-I1oV_STSDYn1IFDPWt_1FKiwhDph83XaGc0o0/edit?usp=sharing"",""งบพรบ!FO78"")"),0)</f>
        <v>0</v>
      </c>
      <c r="O397" s="887">
        <f t="shared" ca="1" si="167"/>
        <v>0</v>
      </c>
      <c r="P397" s="887">
        <f t="shared" ca="1" si="168"/>
        <v>0</v>
      </c>
      <c r="Q397" s="875"/>
      <c r="R397" s="875"/>
      <c r="S397" s="875"/>
      <c r="T397" s="875"/>
      <c r="U397" s="875"/>
      <c r="V397" s="875"/>
      <c r="W397" s="875"/>
      <c r="X397" s="875"/>
      <c r="Y397" s="875"/>
      <c r="Z397" s="875"/>
    </row>
    <row r="398" spans="1:26" ht="19.5" hidden="1">
      <c r="A398" s="1002"/>
      <c r="B398" s="1003"/>
      <c r="C398" s="999" t="s">
        <v>16</v>
      </c>
      <c r="D398" s="1004" t="s">
        <v>38</v>
      </c>
      <c r="E398" s="1005"/>
      <c r="F398" s="1005"/>
      <c r="G398" s="1006"/>
      <c r="H398" s="1007"/>
      <c r="I398" s="997"/>
      <c r="J398" s="880"/>
      <c r="K398" s="881"/>
      <c r="L398" s="881"/>
      <c r="M398" s="881"/>
      <c r="N398" s="881"/>
      <c r="O398" s="998"/>
      <c r="P398" s="998"/>
    </row>
    <row r="399" spans="1:26" ht="18.75" hidden="1">
      <c r="A399" s="1261"/>
      <c r="B399" s="986"/>
      <c r="C399" s="1262"/>
      <c r="D399" s="1021" t="s">
        <v>175</v>
      </c>
      <c r="E399" s="1166"/>
      <c r="F399" s="986"/>
      <c r="G399" s="989"/>
      <c r="H399" s="532" t="s">
        <v>9</v>
      </c>
      <c r="I399" s="880">
        <v>0</v>
      </c>
      <c r="J399" s="1012">
        <v>0</v>
      </c>
      <c r="K399" s="881">
        <f t="shared" ref="K399:K401" si="172">IF(I399&gt;0,J399*100/I399,0)</f>
        <v>0</v>
      </c>
      <c r="L399" s="1263"/>
      <c r="M399" s="1263"/>
      <c r="N399" s="1263"/>
      <c r="O399" s="1263"/>
      <c r="P399" s="1263"/>
      <c r="Q399" s="868"/>
      <c r="R399" s="868"/>
      <c r="S399" s="868"/>
      <c r="T399" s="868"/>
      <c r="U399" s="868"/>
      <c r="V399" s="868"/>
      <c r="W399" s="868"/>
      <c r="X399" s="868"/>
      <c r="Y399" s="868"/>
      <c r="Z399" s="868"/>
    </row>
    <row r="400" spans="1:26" ht="18.75" hidden="1">
      <c r="A400" s="1086"/>
      <c r="B400" s="877"/>
      <c r="C400" s="1084"/>
      <c r="D400" s="1009" t="s">
        <v>176</v>
      </c>
      <c r="E400" s="1003"/>
      <c r="F400" s="877"/>
      <c r="G400" s="879"/>
      <c r="H400" s="277" t="s">
        <v>66</v>
      </c>
      <c r="I400" s="880">
        <v>0</v>
      </c>
      <c r="J400" s="1012">
        <v>0</v>
      </c>
      <c r="K400" s="881">
        <f t="shared" si="172"/>
        <v>0</v>
      </c>
      <c r="L400" s="881"/>
      <c r="M400" s="881"/>
      <c r="N400" s="881"/>
      <c r="O400" s="881"/>
      <c r="P400" s="881"/>
    </row>
    <row r="401" spans="1:26" ht="19.5" hidden="1">
      <c r="A401" s="1253"/>
      <c r="B401" s="1254" t="s">
        <v>177</v>
      </c>
      <c r="C401" s="1255"/>
      <c r="D401" s="1256"/>
      <c r="E401" s="1256"/>
      <c r="F401" s="1256"/>
      <c r="G401" s="1257"/>
      <c r="H401" s="525" t="s">
        <v>66</v>
      </c>
      <c r="I401" s="1258">
        <f t="shared" ref="I401:J401" si="173">I412</f>
        <v>0</v>
      </c>
      <c r="J401" s="1258">
        <f t="shared" si="173"/>
        <v>0</v>
      </c>
      <c r="K401" s="1259">
        <f t="shared" si="172"/>
        <v>0</v>
      </c>
      <c r="L401" s="1260"/>
      <c r="M401" s="1260"/>
      <c r="N401" s="1260"/>
      <c r="O401" s="1260"/>
      <c r="P401" s="1260"/>
    </row>
    <row r="402" spans="1:26" ht="19.5" hidden="1">
      <c r="A402" s="985"/>
      <c r="B402" s="986"/>
      <c r="C402" s="987" t="s">
        <v>16</v>
      </c>
      <c r="D402" s="988" t="s">
        <v>17</v>
      </c>
      <c r="E402" s="986"/>
      <c r="F402" s="986"/>
      <c r="G402" s="989"/>
      <c r="H402" s="152" t="s">
        <v>12</v>
      </c>
      <c r="I402" s="990"/>
      <c r="J402" s="990"/>
      <c r="K402" s="991"/>
      <c r="L402" s="992">
        <f t="shared" ref="L402:N402" ca="1" si="174">L403+L404</f>
        <v>0</v>
      </c>
      <c r="M402" s="992">
        <f t="shared" ca="1" si="174"/>
        <v>0</v>
      </c>
      <c r="N402" s="992">
        <f t="shared" ca="1" si="174"/>
        <v>0</v>
      </c>
      <c r="O402" s="992">
        <f t="shared" ref="O402:O410" ca="1" si="175">IF(L402&gt;0,N402*100/L402,0)</f>
        <v>0</v>
      </c>
      <c r="P402" s="992">
        <f t="shared" ref="P402:P410" ca="1" si="176">IF(M402&gt;0,N402*100/M402,0)</f>
        <v>0</v>
      </c>
      <c r="Q402" s="868"/>
      <c r="R402" s="868"/>
      <c r="S402" s="868"/>
      <c r="T402" s="868"/>
      <c r="U402" s="868"/>
      <c r="V402" s="868"/>
      <c r="W402" s="868"/>
      <c r="X402" s="868"/>
      <c r="Y402" s="868"/>
      <c r="Z402" s="868"/>
    </row>
    <row r="403" spans="1:26" ht="18.75" hidden="1">
      <c r="A403" s="993"/>
      <c r="B403" s="883"/>
      <c r="C403" s="883"/>
      <c r="D403" s="883"/>
      <c r="E403" s="884" t="s">
        <v>18</v>
      </c>
      <c r="F403" s="883"/>
      <c r="G403" s="994"/>
      <c r="H403" s="158" t="s">
        <v>12</v>
      </c>
      <c r="I403" s="886"/>
      <c r="J403" s="886"/>
      <c r="K403" s="887"/>
      <c r="L403" s="887">
        <f t="shared" ref="L403:N404" si="177">L406+L409</f>
        <v>0</v>
      </c>
      <c r="M403" s="887">
        <f t="shared" si="177"/>
        <v>0</v>
      </c>
      <c r="N403" s="887">
        <f t="shared" si="177"/>
        <v>0</v>
      </c>
      <c r="O403" s="887">
        <f t="shared" si="175"/>
        <v>0</v>
      </c>
      <c r="P403" s="887">
        <f t="shared" si="176"/>
        <v>0</v>
      </c>
      <c r="Q403" s="875"/>
      <c r="R403" s="875"/>
      <c r="S403" s="875"/>
      <c r="T403" s="875"/>
      <c r="U403" s="875"/>
      <c r="V403" s="875"/>
      <c r="W403" s="875"/>
      <c r="X403" s="875"/>
      <c r="Y403" s="875"/>
      <c r="Z403" s="875"/>
    </row>
    <row r="404" spans="1:26" ht="18.75" hidden="1">
      <c r="A404" s="993"/>
      <c r="B404" s="883"/>
      <c r="C404" s="883"/>
      <c r="D404" s="883"/>
      <c r="E404" s="884" t="s">
        <v>19</v>
      </c>
      <c r="F404" s="883"/>
      <c r="G404" s="994"/>
      <c r="H404" s="158" t="s">
        <v>12</v>
      </c>
      <c r="I404" s="886"/>
      <c r="J404" s="886"/>
      <c r="K404" s="887"/>
      <c r="L404" s="887">
        <f t="shared" ca="1" si="177"/>
        <v>0</v>
      </c>
      <c r="M404" s="887">
        <f t="shared" ca="1" si="177"/>
        <v>0</v>
      </c>
      <c r="N404" s="887">
        <f t="shared" ca="1" si="177"/>
        <v>0</v>
      </c>
      <c r="O404" s="887">
        <f t="shared" ca="1" si="175"/>
        <v>0</v>
      </c>
      <c r="P404" s="887">
        <f t="shared" ca="1" si="176"/>
        <v>0</v>
      </c>
      <c r="Q404" s="875"/>
      <c r="R404" s="875"/>
      <c r="S404" s="875"/>
      <c r="T404" s="875"/>
      <c r="U404" s="875"/>
      <c r="V404" s="875"/>
      <c r="W404" s="875"/>
      <c r="X404" s="875"/>
      <c r="Y404" s="875"/>
      <c r="Z404" s="875"/>
    </row>
    <row r="405" spans="1:26" ht="18.75" hidden="1">
      <c r="A405" s="995"/>
      <c r="B405" s="877"/>
      <c r="C405" s="996"/>
      <c r="D405" s="878" t="s">
        <v>20</v>
      </c>
      <c r="E405" s="877"/>
      <c r="F405" s="877"/>
      <c r="G405" s="879"/>
      <c r="H405" s="161" t="s">
        <v>12</v>
      </c>
      <c r="I405" s="997"/>
      <c r="J405" s="997"/>
      <c r="K405" s="998"/>
      <c r="L405" s="881">
        <f t="shared" ref="L405:N405" ca="1" si="178">L406+L407</f>
        <v>0</v>
      </c>
      <c r="M405" s="881">
        <f t="shared" ca="1" si="178"/>
        <v>0</v>
      </c>
      <c r="N405" s="881">
        <f t="shared" ca="1" si="178"/>
        <v>0</v>
      </c>
      <c r="O405" s="881">
        <f t="shared" ca="1" si="175"/>
        <v>0</v>
      </c>
      <c r="P405" s="881">
        <f t="shared" ca="1" si="176"/>
        <v>0</v>
      </c>
      <c r="Q405" s="868"/>
      <c r="R405" s="868"/>
      <c r="S405" s="868"/>
      <c r="T405" s="868"/>
      <c r="U405" s="868"/>
      <c r="V405" s="868"/>
      <c r="W405" s="868"/>
      <c r="X405" s="868"/>
      <c r="Y405" s="868"/>
      <c r="Z405" s="868"/>
    </row>
    <row r="406" spans="1:26" ht="19.5" hidden="1">
      <c r="A406" s="993"/>
      <c r="B406" s="883"/>
      <c r="C406" s="999"/>
      <c r="D406" s="883"/>
      <c r="E406" s="884" t="s">
        <v>36</v>
      </c>
      <c r="F406" s="883"/>
      <c r="G406" s="994"/>
      <c r="H406" s="165" t="s">
        <v>12</v>
      </c>
      <c r="I406" s="1000"/>
      <c r="J406" s="1000"/>
      <c r="K406" s="1001"/>
      <c r="L406" s="887">
        <v>0</v>
      </c>
      <c r="M406" s="887">
        <v>0</v>
      </c>
      <c r="N406" s="887">
        <v>0</v>
      </c>
      <c r="O406" s="887">
        <f t="shared" si="175"/>
        <v>0</v>
      </c>
      <c r="P406" s="887">
        <f t="shared" si="176"/>
        <v>0</v>
      </c>
      <c r="Q406" s="875"/>
      <c r="R406" s="875"/>
      <c r="S406" s="875"/>
      <c r="T406" s="875"/>
      <c r="U406" s="875"/>
      <c r="V406" s="875"/>
      <c r="W406" s="875"/>
      <c r="X406" s="875"/>
      <c r="Y406" s="875"/>
      <c r="Z406" s="875"/>
    </row>
    <row r="407" spans="1:26" ht="19.5" hidden="1">
      <c r="A407" s="993"/>
      <c r="B407" s="883"/>
      <c r="C407" s="999"/>
      <c r="D407" s="883"/>
      <c r="E407" s="884" t="s">
        <v>37</v>
      </c>
      <c r="F407" s="883"/>
      <c r="G407" s="994"/>
      <c r="H407" s="165" t="s">
        <v>12</v>
      </c>
      <c r="I407" s="1000"/>
      <c r="J407" s="1000"/>
      <c r="K407" s="1001"/>
      <c r="L407" s="887">
        <f ca="1">IFERROR(__xludf.DUMMYFUNCTION("IMPORTRANGE(""https://docs.google.com/spreadsheets/d/1MeEWN-I1oV_STSDYn1IFDPWt_1FKiwhDph83XaGc0o0/edit?usp=sharing"",""งบพรบ!FQ78"")"),0)</f>
        <v>0</v>
      </c>
      <c r="M407" s="887">
        <f ca="1">IFERROR(__xludf.DUMMYFUNCTION("IMPORTRANGE(""https://docs.google.com/spreadsheets/d/1MeEWN-I1oV_STSDYn1IFDPWt_1FKiwhDph83XaGc0o0/edit?usp=sharing"",""งบพรบ!FV78"")"),0)</f>
        <v>0</v>
      </c>
      <c r="N407" s="887">
        <f ca="1">IFERROR(__xludf.DUMMYFUNCTION("IMPORTRANGE(""https://docs.google.com/spreadsheets/d/1MeEWN-I1oV_STSDYn1IFDPWt_1FKiwhDph83XaGc0o0/edit?usp=sharing"",""งบพรบ!FX78"")"),0)</f>
        <v>0</v>
      </c>
      <c r="O407" s="887">
        <f t="shared" ca="1" si="175"/>
        <v>0</v>
      </c>
      <c r="P407" s="887">
        <f t="shared" ca="1" si="176"/>
        <v>0</v>
      </c>
      <c r="Q407" s="875"/>
      <c r="R407" s="875"/>
      <c r="S407" s="875"/>
      <c r="T407" s="875"/>
      <c r="U407" s="875"/>
      <c r="V407" s="875"/>
      <c r="W407" s="875"/>
      <c r="X407" s="875"/>
      <c r="Y407" s="875"/>
      <c r="Z407" s="875"/>
    </row>
    <row r="408" spans="1:26" ht="18.75" hidden="1">
      <c r="A408" s="995"/>
      <c r="B408" s="877"/>
      <c r="C408" s="996"/>
      <c r="D408" s="878" t="s">
        <v>21</v>
      </c>
      <c r="E408" s="877"/>
      <c r="F408" s="877"/>
      <c r="G408" s="879"/>
      <c r="H408" s="168" t="s">
        <v>12</v>
      </c>
      <c r="I408" s="997"/>
      <c r="J408" s="997"/>
      <c r="K408" s="998"/>
      <c r="L408" s="881">
        <f t="shared" ref="L408:N408" ca="1" si="179">L409+L410</f>
        <v>0</v>
      </c>
      <c r="M408" s="881">
        <f t="shared" ca="1" si="179"/>
        <v>0</v>
      </c>
      <c r="N408" s="881">
        <f t="shared" ca="1" si="179"/>
        <v>0</v>
      </c>
      <c r="O408" s="881">
        <f t="shared" ca="1" si="175"/>
        <v>0</v>
      </c>
      <c r="P408" s="881">
        <f t="shared" ca="1" si="176"/>
        <v>0</v>
      </c>
      <c r="Q408" s="868"/>
      <c r="R408" s="868"/>
      <c r="S408" s="868"/>
      <c r="T408" s="868"/>
      <c r="U408" s="868"/>
      <c r="V408" s="868"/>
      <c r="W408" s="868"/>
      <c r="X408" s="868"/>
      <c r="Y408" s="868"/>
      <c r="Z408" s="868"/>
    </row>
    <row r="409" spans="1:26" ht="19.5" hidden="1">
      <c r="A409" s="993"/>
      <c r="B409" s="883"/>
      <c r="C409" s="999"/>
      <c r="D409" s="883"/>
      <c r="E409" s="884" t="s">
        <v>18</v>
      </c>
      <c r="F409" s="883"/>
      <c r="G409" s="994"/>
      <c r="H409" s="165" t="s">
        <v>12</v>
      </c>
      <c r="I409" s="1000"/>
      <c r="J409" s="1000"/>
      <c r="K409" s="1001"/>
      <c r="L409" s="887">
        <v>0</v>
      </c>
      <c r="M409" s="887">
        <v>0</v>
      </c>
      <c r="N409" s="887">
        <v>0</v>
      </c>
      <c r="O409" s="887">
        <f t="shared" si="175"/>
        <v>0</v>
      </c>
      <c r="P409" s="887">
        <f t="shared" si="176"/>
        <v>0</v>
      </c>
      <c r="Q409" s="875"/>
      <c r="R409" s="875"/>
      <c r="S409" s="875"/>
      <c r="T409" s="875"/>
      <c r="U409" s="875"/>
      <c r="V409" s="875"/>
      <c r="W409" s="875"/>
      <c r="X409" s="875"/>
      <c r="Y409" s="875"/>
      <c r="Z409" s="875"/>
    </row>
    <row r="410" spans="1:26" ht="19.5" hidden="1">
      <c r="A410" s="993"/>
      <c r="B410" s="883"/>
      <c r="C410" s="999"/>
      <c r="D410" s="883"/>
      <c r="E410" s="884" t="s">
        <v>19</v>
      </c>
      <c r="F410" s="883"/>
      <c r="G410" s="994"/>
      <c r="H410" s="169" t="s">
        <v>12</v>
      </c>
      <c r="I410" s="1000"/>
      <c r="J410" s="1000"/>
      <c r="K410" s="1001"/>
      <c r="L410" s="887">
        <f ca="1">IFERROR(__xludf.DUMMYFUNCTION("IMPORTRANGE(""https://docs.google.com/spreadsheets/d/1MeEWN-I1oV_STSDYn1IFDPWt_1FKiwhDph83XaGc0o0/edit?usp=sharing"",""งบพรบ!FT78"")"),0)</f>
        <v>0</v>
      </c>
      <c r="M410" s="887">
        <f ca="1">IFERROR(__xludf.DUMMYFUNCTION("IMPORTRANGE(""https://docs.google.com/spreadsheets/d/1MeEWN-I1oV_STSDYn1IFDPWt_1FKiwhDph83XaGc0o0/edit?usp=sharing"",""งบพรบ!FW78"")"),0)</f>
        <v>0</v>
      </c>
      <c r="N410" s="887">
        <f ca="1">IFERROR(__xludf.DUMMYFUNCTION("IMPORTRANGE(""https://docs.google.com/spreadsheets/d/1MeEWN-I1oV_STSDYn1IFDPWt_1FKiwhDph83XaGc0o0/edit?usp=sharing"",""งบพรบ!FY78"")"),0)</f>
        <v>0</v>
      </c>
      <c r="O410" s="887">
        <f t="shared" ca="1" si="175"/>
        <v>0</v>
      </c>
      <c r="P410" s="887">
        <f t="shared" ca="1" si="176"/>
        <v>0</v>
      </c>
      <c r="Q410" s="875"/>
      <c r="R410" s="875"/>
      <c r="S410" s="875"/>
      <c r="T410" s="875"/>
      <c r="U410" s="875"/>
      <c r="V410" s="875"/>
      <c r="W410" s="875"/>
      <c r="X410" s="875"/>
      <c r="Y410" s="875"/>
      <c r="Z410" s="875"/>
    </row>
    <row r="411" spans="1:26" ht="19.5" hidden="1">
      <c r="A411" s="1002"/>
      <c r="B411" s="1003"/>
      <c r="C411" s="999" t="s">
        <v>16</v>
      </c>
      <c r="D411" s="1264" t="s">
        <v>38</v>
      </c>
      <c r="E411" s="1265"/>
      <c r="F411" s="1265"/>
      <c r="G411" s="1266"/>
      <c r="H411" s="1007"/>
      <c r="I411" s="880"/>
      <c r="J411" s="880"/>
      <c r="K411" s="881"/>
      <c r="L411" s="998"/>
      <c r="M411" s="998"/>
      <c r="N411" s="998"/>
      <c r="O411" s="998"/>
      <c r="P411" s="998"/>
    </row>
    <row r="412" spans="1:26" ht="18.75" hidden="1">
      <c r="A412" s="1002"/>
      <c r="B412" s="1010"/>
      <c r="C412" s="1010"/>
      <c r="D412" s="1009" t="s">
        <v>178</v>
      </c>
      <c r="E412" s="1010"/>
      <c r="F412" s="1010"/>
      <c r="G412" s="1011"/>
      <c r="H412" s="537" t="s">
        <v>66</v>
      </c>
      <c r="I412" s="880">
        <v>0</v>
      </c>
      <c r="J412" s="1012">
        <v>0</v>
      </c>
      <c r="K412" s="881">
        <f t="shared" ref="K412:K413" si="180">IF(I412&gt;0,J412*100/I412,0)</f>
        <v>0</v>
      </c>
      <c r="L412" s="998"/>
      <c r="M412" s="998"/>
      <c r="N412" s="998"/>
      <c r="O412" s="998"/>
      <c r="P412" s="998"/>
    </row>
    <row r="413" spans="1:26" ht="19.5" hidden="1" thickBot="1">
      <c r="A413" s="1267"/>
      <c r="B413" s="1268"/>
      <c r="C413" s="1268"/>
      <c r="D413" s="1269" t="s">
        <v>179</v>
      </c>
      <c r="E413" s="1268"/>
      <c r="F413" s="1268"/>
      <c r="G413" s="1270"/>
      <c r="H413" s="542" t="s">
        <v>180</v>
      </c>
      <c r="I413" s="1271">
        <v>0</v>
      </c>
      <c r="J413" s="1272">
        <v>0</v>
      </c>
      <c r="K413" s="1273">
        <f t="shared" si="180"/>
        <v>0</v>
      </c>
      <c r="L413" s="1274"/>
      <c r="M413" s="1274"/>
      <c r="N413" s="1274"/>
      <c r="O413" s="1274"/>
      <c r="P413" s="1274"/>
    </row>
    <row r="414" spans="1:26" ht="19.5">
      <c r="A414" s="1275" t="s">
        <v>181</v>
      </c>
      <c r="B414" s="1276"/>
      <c r="C414" s="1276"/>
      <c r="D414" s="1276"/>
      <c r="E414" s="1276"/>
      <c r="F414" s="1276"/>
      <c r="G414" s="1277"/>
      <c r="H414" s="1278"/>
      <c r="I414" s="1279"/>
      <c r="J414" s="1279"/>
      <c r="K414" s="1280"/>
      <c r="L414" s="1281">
        <f t="shared" ref="L414:N414" ca="1" si="181">L419+L444+L467+L502+L523+L544+L629+L655+L685+L737+L754+L770+L786+L805</f>
        <v>792843</v>
      </c>
      <c r="M414" s="1281">
        <f t="shared" ca="1" si="181"/>
        <v>792843</v>
      </c>
      <c r="N414" s="1281">
        <f t="shared" si="181"/>
        <v>227576.68</v>
      </c>
      <c r="O414" s="1281">
        <f ca="1">IF(L414&gt;0,N414*100/L414,0)</f>
        <v>28.70387706014936</v>
      </c>
      <c r="P414" s="1281">
        <f ca="1">IF(M414&gt;0,N414*100/M414,0)</f>
        <v>28.70387706014936</v>
      </c>
    </row>
    <row r="415" spans="1:26" ht="19.5">
      <c r="A415" s="1282" t="s">
        <v>182</v>
      </c>
      <c r="B415" s="1283"/>
      <c r="C415" s="1283"/>
      <c r="D415" s="1283"/>
      <c r="E415" s="1283"/>
      <c r="F415" s="1283"/>
      <c r="G415" s="1283"/>
      <c r="H415" s="1284"/>
      <c r="I415" s="1285"/>
      <c r="J415" s="1285"/>
      <c r="K415" s="1286"/>
      <c r="L415" s="1287"/>
      <c r="M415" s="1287"/>
      <c r="N415" s="1287"/>
      <c r="O415" s="1287"/>
      <c r="P415" s="1287"/>
    </row>
    <row r="416" spans="1:26" ht="19.5">
      <c r="A416" s="1282" t="s">
        <v>183</v>
      </c>
      <c r="B416" s="1283"/>
      <c r="C416" s="1283"/>
      <c r="D416" s="1283"/>
      <c r="E416" s="1283"/>
      <c r="F416" s="1283"/>
      <c r="G416" s="1288"/>
      <c r="H416" s="1289"/>
      <c r="I416" s="1290"/>
      <c r="J416" s="1290"/>
      <c r="K416" s="1287"/>
      <c r="L416" s="1287"/>
      <c r="M416" s="1287"/>
      <c r="N416" s="1287"/>
      <c r="O416" s="1287"/>
      <c r="P416" s="1287"/>
    </row>
    <row r="417" spans="1:26" ht="39">
      <c r="A417" s="563">
        <v>1</v>
      </c>
      <c r="B417" s="1291" t="s">
        <v>184</v>
      </c>
      <c r="C417" s="1291"/>
      <c r="D417" s="1292"/>
      <c r="E417" s="1292"/>
      <c r="F417" s="1292"/>
      <c r="G417" s="1293"/>
      <c r="H417" s="568" t="s">
        <v>35</v>
      </c>
      <c r="I417" s="1294">
        <f t="shared" ref="I417:J418" ca="1" si="182">I433</f>
        <v>20</v>
      </c>
      <c r="J417" s="1294">
        <f t="shared" ca="1" si="182"/>
        <v>20</v>
      </c>
      <c r="K417" s="1295">
        <f t="shared" ref="K417:K418" ca="1" si="183">IF(I417&gt;0,J417*100/I417,0)</f>
        <v>100</v>
      </c>
      <c r="L417" s="1296"/>
      <c r="M417" s="1296"/>
      <c r="N417" s="1296"/>
      <c r="O417" s="1296"/>
      <c r="P417" s="1296"/>
    </row>
    <row r="418" spans="1:26" ht="19.5">
      <c r="A418" s="1297"/>
      <c r="B418" s="563"/>
      <c r="C418" s="1291"/>
      <c r="D418" s="1292"/>
      <c r="E418" s="1292"/>
      <c r="F418" s="1292"/>
      <c r="G418" s="1293"/>
      <c r="H418" s="568" t="s">
        <v>49</v>
      </c>
      <c r="I418" s="1294">
        <f t="shared" ca="1" si="182"/>
        <v>1</v>
      </c>
      <c r="J418" s="1294">
        <f t="shared" si="182"/>
        <v>1</v>
      </c>
      <c r="K418" s="1295">
        <f t="shared" ca="1" si="183"/>
        <v>100</v>
      </c>
      <c r="L418" s="1296"/>
      <c r="M418" s="1296"/>
      <c r="N418" s="1296"/>
      <c r="O418" s="1296"/>
      <c r="P418" s="1296"/>
    </row>
    <row r="419" spans="1:26" ht="19.5">
      <c r="A419" s="985"/>
      <c r="B419" s="986"/>
      <c r="C419" s="986" t="s">
        <v>16</v>
      </c>
      <c r="D419" s="1298" t="s">
        <v>17</v>
      </c>
      <c r="E419" s="846"/>
      <c r="F419" s="846"/>
      <c r="G419" s="989"/>
      <c r="H419" s="275" t="s">
        <v>12</v>
      </c>
      <c r="I419" s="990"/>
      <c r="J419" s="990"/>
      <c r="K419" s="991"/>
      <c r="L419" s="992">
        <f t="shared" ref="L419:N419" ca="1" si="184">L420+L421</f>
        <v>78660</v>
      </c>
      <c r="M419" s="992">
        <f t="shared" ca="1" si="184"/>
        <v>78660</v>
      </c>
      <c r="N419" s="992">
        <f t="shared" si="184"/>
        <v>24440</v>
      </c>
      <c r="O419" s="992">
        <f t="shared" ref="O419:O424" ca="1" si="185">IF(L419&gt;0,N419*100/L419,0)</f>
        <v>31.070429697431987</v>
      </c>
      <c r="P419" s="992">
        <f t="shared" ref="P419:P424" ca="1" si="186">IF(M419&gt;0,N419*100/M419,0)</f>
        <v>31.070429697431987</v>
      </c>
      <c r="Q419" s="868"/>
      <c r="R419" s="868"/>
      <c r="S419" s="868"/>
      <c r="T419" s="868"/>
      <c r="U419" s="868"/>
      <c r="V419" s="868"/>
      <c r="W419" s="868"/>
      <c r="X419" s="868"/>
      <c r="Y419" s="868"/>
      <c r="Z419" s="868"/>
    </row>
    <row r="420" spans="1:26" ht="18.75" hidden="1">
      <c r="A420" s="993"/>
      <c r="B420" s="883"/>
      <c r="C420" s="883"/>
      <c r="D420" s="1114"/>
      <c r="E420" s="884" t="s">
        <v>185</v>
      </c>
      <c r="F420" s="883"/>
      <c r="G420" s="994"/>
      <c r="H420" s="165" t="s">
        <v>12</v>
      </c>
      <c r="I420" s="886"/>
      <c r="J420" s="886"/>
      <c r="K420" s="887"/>
      <c r="L420" s="887">
        <f t="shared" ref="L420:N421" si="187">L423+L430</f>
        <v>0</v>
      </c>
      <c r="M420" s="887">
        <f t="shared" si="187"/>
        <v>0</v>
      </c>
      <c r="N420" s="887">
        <f t="shared" si="187"/>
        <v>0</v>
      </c>
      <c r="O420" s="887">
        <f t="shared" si="185"/>
        <v>0</v>
      </c>
      <c r="P420" s="887">
        <f t="shared" si="186"/>
        <v>0</v>
      </c>
      <c r="Q420" s="875"/>
      <c r="R420" s="875"/>
      <c r="S420" s="875"/>
      <c r="T420" s="875"/>
      <c r="U420" s="875"/>
      <c r="V420" s="875"/>
      <c r="W420" s="875"/>
      <c r="X420" s="875"/>
      <c r="Y420" s="875"/>
      <c r="Z420" s="875"/>
    </row>
    <row r="421" spans="1:26" ht="18.75" hidden="1">
      <c r="A421" s="993"/>
      <c r="B421" s="883"/>
      <c r="C421" s="883"/>
      <c r="D421" s="1114"/>
      <c r="E421" s="884" t="s">
        <v>186</v>
      </c>
      <c r="F421" s="883"/>
      <c r="G421" s="994"/>
      <c r="H421" s="165" t="s">
        <v>12</v>
      </c>
      <c r="I421" s="886"/>
      <c r="J421" s="886"/>
      <c r="K421" s="887"/>
      <c r="L421" s="887">
        <f t="shared" ca="1" si="187"/>
        <v>78660</v>
      </c>
      <c r="M421" s="887">
        <f t="shared" ca="1" si="187"/>
        <v>78660</v>
      </c>
      <c r="N421" s="887">
        <f t="shared" si="187"/>
        <v>24440</v>
      </c>
      <c r="O421" s="887">
        <f t="shared" ca="1" si="185"/>
        <v>31.070429697431987</v>
      </c>
      <c r="P421" s="887">
        <f t="shared" ca="1" si="186"/>
        <v>31.070429697431987</v>
      </c>
      <c r="Q421" s="875"/>
      <c r="R421" s="875"/>
      <c r="S421" s="875"/>
      <c r="T421" s="875"/>
      <c r="U421" s="875"/>
      <c r="V421" s="875"/>
      <c r="W421" s="875"/>
      <c r="X421" s="875"/>
      <c r="Y421" s="875"/>
      <c r="Z421" s="875"/>
    </row>
    <row r="422" spans="1:26" ht="18.75">
      <c r="A422" s="995"/>
      <c r="B422" s="1084"/>
      <c r="C422" s="877"/>
      <c r="D422" s="878" t="s">
        <v>20</v>
      </c>
      <c r="E422" s="877"/>
      <c r="F422" s="877"/>
      <c r="G422" s="879"/>
      <c r="H422" s="161" t="s">
        <v>12</v>
      </c>
      <c r="I422" s="997"/>
      <c r="J422" s="997"/>
      <c r="K422" s="998"/>
      <c r="L422" s="881">
        <f t="shared" ref="L422:N422" ca="1" si="188">L423+L424</f>
        <v>78660</v>
      </c>
      <c r="M422" s="881">
        <f t="shared" ca="1" si="188"/>
        <v>78660</v>
      </c>
      <c r="N422" s="881">
        <f t="shared" si="188"/>
        <v>24440</v>
      </c>
      <c r="O422" s="881">
        <f t="shared" ca="1" si="185"/>
        <v>31.070429697431987</v>
      </c>
      <c r="P422" s="881">
        <f t="shared" ca="1" si="186"/>
        <v>31.070429697431987</v>
      </c>
      <c r="Q422" s="868"/>
      <c r="R422" s="868"/>
      <c r="S422" s="868"/>
      <c r="T422" s="868"/>
      <c r="U422" s="868"/>
      <c r="V422" s="868"/>
      <c r="W422" s="868"/>
      <c r="X422" s="868"/>
      <c r="Y422" s="868"/>
      <c r="Z422" s="868"/>
    </row>
    <row r="423" spans="1:26" ht="18.75" hidden="1">
      <c r="A423" s="993"/>
      <c r="B423" s="883"/>
      <c r="C423" s="883"/>
      <c r="D423" s="1114"/>
      <c r="E423" s="884" t="s">
        <v>185</v>
      </c>
      <c r="F423" s="883"/>
      <c r="G423" s="994"/>
      <c r="H423" s="165" t="s">
        <v>12</v>
      </c>
      <c r="I423" s="886"/>
      <c r="J423" s="886"/>
      <c r="K423" s="887"/>
      <c r="L423" s="887">
        <v>0</v>
      </c>
      <c r="M423" s="887">
        <v>0</v>
      </c>
      <c r="N423" s="887">
        <v>0</v>
      </c>
      <c r="O423" s="887">
        <f t="shared" si="185"/>
        <v>0</v>
      </c>
      <c r="P423" s="887">
        <f t="shared" si="186"/>
        <v>0</v>
      </c>
      <c r="Q423" s="875"/>
      <c r="R423" s="875"/>
      <c r="S423" s="875"/>
      <c r="T423" s="875"/>
      <c r="U423" s="875"/>
      <c r="V423" s="875"/>
      <c r="W423" s="875"/>
      <c r="X423" s="875"/>
      <c r="Y423" s="875"/>
      <c r="Z423" s="875"/>
    </row>
    <row r="424" spans="1:26" ht="18.75" hidden="1">
      <c r="A424" s="993"/>
      <c r="B424" s="883"/>
      <c r="C424" s="883"/>
      <c r="D424" s="1114"/>
      <c r="E424" s="884" t="s">
        <v>186</v>
      </c>
      <c r="F424" s="883"/>
      <c r="G424" s="994"/>
      <c r="H424" s="165" t="s">
        <v>12</v>
      </c>
      <c r="I424" s="886"/>
      <c r="J424" s="886"/>
      <c r="K424" s="887"/>
      <c r="L424" s="887">
        <f ca="1">IFERROR(__xludf.DUMMYFUNCTION("IMPORTRANGE(""https://docs.google.com/spreadsheets/d/1QqKyyYR6Q21VydFLVH3TRQUabQu_ym0Zz7PgGX0-kHA/edit?usp=sharing"",""แผน!EY78"")"),78660)</f>
        <v>78660</v>
      </c>
      <c r="M424" s="887">
        <f ca="1">L424</f>
        <v>78660</v>
      </c>
      <c r="N424" s="887">
        <f>N425+N426+N427+N428</f>
        <v>24440</v>
      </c>
      <c r="O424" s="887">
        <f t="shared" ca="1" si="185"/>
        <v>31.070429697431987</v>
      </c>
      <c r="P424" s="887">
        <f t="shared" ca="1" si="186"/>
        <v>31.070429697431987</v>
      </c>
      <c r="Q424" s="875"/>
      <c r="R424" s="875"/>
      <c r="S424" s="875"/>
      <c r="T424" s="875"/>
      <c r="U424" s="875"/>
      <c r="V424" s="875"/>
      <c r="W424" s="875"/>
      <c r="X424" s="875"/>
      <c r="Y424" s="875"/>
      <c r="Z424" s="875"/>
    </row>
    <row r="425" spans="1:26" ht="18.75">
      <c r="A425" s="1299"/>
      <c r="B425" s="1300"/>
      <c r="C425" s="1301"/>
      <c r="D425" s="1301"/>
      <c r="E425" s="1301"/>
      <c r="F425" s="1301" t="s">
        <v>187</v>
      </c>
      <c r="G425" s="1016"/>
      <c r="H425" s="161" t="s">
        <v>12</v>
      </c>
      <c r="I425" s="880"/>
      <c r="J425" s="880"/>
      <c r="K425" s="881"/>
      <c r="L425" s="881"/>
      <c r="M425" s="881"/>
      <c r="N425" s="1085">
        <f>22120+960</f>
        <v>23080</v>
      </c>
      <c r="O425" s="881"/>
      <c r="P425" s="881"/>
      <c r="Q425" s="1302"/>
      <c r="R425" s="1302"/>
      <c r="S425" s="1302"/>
      <c r="T425" s="1302"/>
      <c r="U425" s="1302"/>
      <c r="V425" s="1302"/>
      <c r="W425" s="1302"/>
      <c r="X425" s="1302"/>
      <c r="Y425" s="1302"/>
      <c r="Z425" s="1302"/>
    </row>
    <row r="426" spans="1:26" ht="18.75">
      <c r="A426" s="1299"/>
      <c r="B426" s="1300"/>
      <c r="C426" s="1301"/>
      <c r="D426" s="1301"/>
      <c r="E426" s="1301"/>
      <c r="F426" s="1301" t="s">
        <v>188</v>
      </c>
      <c r="G426" s="1016"/>
      <c r="H426" s="161" t="s">
        <v>12</v>
      </c>
      <c r="I426" s="880"/>
      <c r="J426" s="880"/>
      <c r="K426" s="881"/>
      <c r="L426" s="881"/>
      <c r="M426" s="881"/>
      <c r="N426" s="1085">
        <v>0</v>
      </c>
      <c r="O426" s="881"/>
      <c r="P426" s="881"/>
      <c r="Q426" s="1302"/>
      <c r="R426" s="1302"/>
      <c r="S426" s="1302"/>
      <c r="T426" s="1302"/>
      <c r="U426" s="1302"/>
      <c r="V426" s="1302"/>
      <c r="W426" s="1302"/>
      <c r="X426" s="1302"/>
      <c r="Y426" s="1302"/>
      <c r="Z426" s="1302"/>
    </row>
    <row r="427" spans="1:26" ht="18.75">
      <c r="A427" s="1299"/>
      <c r="B427" s="1300"/>
      <c r="C427" s="1301"/>
      <c r="D427" s="1301"/>
      <c r="E427" s="1301"/>
      <c r="F427" s="1301" t="s">
        <v>189</v>
      </c>
      <c r="G427" s="1016"/>
      <c r="H427" s="161" t="s">
        <v>12</v>
      </c>
      <c r="I427" s="880"/>
      <c r="J427" s="880"/>
      <c r="K427" s="881"/>
      <c r="L427" s="881"/>
      <c r="M427" s="881"/>
      <c r="N427" s="1085">
        <v>0</v>
      </c>
      <c r="O427" s="881"/>
      <c r="P427" s="881"/>
      <c r="Q427" s="1302"/>
      <c r="R427" s="1302"/>
      <c r="S427" s="1302"/>
      <c r="T427" s="1302"/>
      <c r="U427" s="1302"/>
      <c r="V427" s="1302"/>
      <c r="W427" s="1302"/>
      <c r="X427" s="1302"/>
      <c r="Y427" s="1302"/>
      <c r="Z427" s="1302"/>
    </row>
    <row r="428" spans="1:26" ht="18.75">
      <c r="A428" s="1086"/>
      <c r="B428" s="1084"/>
      <c r="C428" s="877"/>
      <c r="D428" s="877"/>
      <c r="E428" s="877"/>
      <c r="F428" s="996" t="s">
        <v>190</v>
      </c>
      <c r="G428" s="1030"/>
      <c r="H428" s="161" t="s">
        <v>12</v>
      </c>
      <c r="I428" s="880"/>
      <c r="J428" s="880"/>
      <c r="K428" s="881"/>
      <c r="L428" s="881"/>
      <c r="M428" s="881"/>
      <c r="N428" s="1085">
        <v>1360</v>
      </c>
      <c r="O428" s="881"/>
      <c r="P428" s="881"/>
      <c r="Q428" s="868"/>
      <c r="R428" s="868"/>
      <c r="S428" s="868"/>
      <c r="T428" s="868"/>
      <c r="U428" s="868"/>
      <c r="V428" s="868"/>
      <c r="W428" s="868"/>
      <c r="X428" s="868"/>
      <c r="Y428" s="868"/>
      <c r="Z428" s="868"/>
    </row>
    <row r="429" spans="1:26" ht="18.75">
      <c r="A429" s="995"/>
      <c r="B429" s="1084"/>
      <c r="C429" s="877"/>
      <c r="D429" s="878" t="s">
        <v>21</v>
      </c>
      <c r="E429" s="877"/>
      <c r="F429" s="877"/>
      <c r="G429" s="879"/>
      <c r="H429" s="168" t="s">
        <v>12</v>
      </c>
      <c r="I429" s="997"/>
      <c r="J429" s="997"/>
      <c r="K429" s="998"/>
      <c r="L429" s="881">
        <f t="shared" ref="L429:N429" ca="1" si="189">L430+L431</f>
        <v>0</v>
      </c>
      <c r="M429" s="881">
        <f t="shared" si="189"/>
        <v>0</v>
      </c>
      <c r="N429" s="881">
        <f t="shared" si="189"/>
        <v>0</v>
      </c>
      <c r="O429" s="881">
        <f t="shared" ref="O429:O431" ca="1" si="190">IF(L429&gt;0,N429*100/L429,0)</f>
        <v>0</v>
      </c>
      <c r="P429" s="881">
        <f t="shared" ref="P429:P431" si="191">IF(M429&gt;0,N429*100/M429,0)</f>
        <v>0</v>
      </c>
      <c r="Q429" s="868"/>
      <c r="R429" s="868"/>
      <c r="S429" s="868"/>
      <c r="T429" s="868"/>
      <c r="U429" s="868"/>
      <c r="V429" s="868"/>
      <c r="W429" s="868"/>
      <c r="X429" s="868"/>
      <c r="Y429" s="868"/>
      <c r="Z429" s="868"/>
    </row>
    <row r="430" spans="1:26" ht="18.75" hidden="1">
      <c r="A430" s="993"/>
      <c r="B430" s="1105"/>
      <c r="C430" s="883"/>
      <c r="D430" s="883"/>
      <c r="E430" s="884" t="s">
        <v>18</v>
      </c>
      <c r="F430" s="883"/>
      <c r="G430" s="885"/>
      <c r="H430" s="165" t="s">
        <v>12</v>
      </c>
      <c r="I430" s="1000"/>
      <c r="J430" s="1000"/>
      <c r="K430" s="1001"/>
      <c r="L430" s="887">
        <v>0</v>
      </c>
      <c r="M430" s="887">
        <v>0</v>
      </c>
      <c r="N430" s="887">
        <v>0</v>
      </c>
      <c r="O430" s="887">
        <f t="shared" si="190"/>
        <v>0</v>
      </c>
      <c r="P430" s="887">
        <f t="shared" si="191"/>
        <v>0</v>
      </c>
      <c r="Q430" s="875"/>
      <c r="R430" s="875"/>
      <c r="S430" s="875"/>
      <c r="T430" s="875"/>
      <c r="U430" s="875"/>
      <c r="V430" s="875"/>
      <c r="W430" s="875"/>
      <c r="X430" s="875"/>
      <c r="Y430" s="875"/>
      <c r="Z430" s="875"/>
    </row>
    <row r="431" spans="1:26" ht="18.75" hidden="1">
      <c r="A431" s="993"/>
      <c r="B431" s="1105"/>
      <c r="C431" s="883"/>
      <c r="D431" s="883"/>
      <c r="E431" s="884" t="s">
        <v>19</v>
      </c>
      <c r="F431" s="883"/>
      <c r="G431" s="885"/>
      <c r="H431" s="169" t="s">
        <v>12</v>
      </c>
      <c r="I431" s="1000"/>
      <c r="J431" s="1000"/>
      <c r="K431" s="1001"/>
      <c r="L431" s="887">
        <f ca="1">IFERROR(__xludf.DUMMYFUNCTION("IMPORTRANGE(""https://docs.google.com/spreadsheets/d/1QqKyyYR6Q21VydFLVH3TRQUabQu_ym0Zz7PgGX0-kHA/edit?usp=sharing"",""แผน!FB78"")"),0)</f>
        <v>0</v>
      </c>
      <c r="M431" s="887">
        <v>0</v>
      </c>
      <c r="N431" s="887">
        <v>0</v>
      </c>
      <c r="O431" s="887">
        <f t="shared" ca="1" si="190"/>
        <v>0</v>
      </c>
      <c r="P431" s="887">
        <f t="shared" si="191"/>
        <v>0</v>
      </c>
      <c r="Q431" s="875"/>
      <c r="R431" s="875"/>
      <c r="S431" s="875"/>
      <c r="T431" s="875"/>
      <c r="U431" s="875"/>
      <c r="V431" s="875"/>
      <c r="W431" s="875"/>
      <c r="X431" s="875"/>
      <c r="Y431" s="875"/>
      <c r="Z431" s="875"/>
    </row>
    <row r="432" spans="1:26" ht="19.5">
      <c r="A432" s="1165"/>
      <c r="B432" s="1166"/>
      <c r="C432" s="986" t="s">
        <v>16</v>
      </c>
      <c r="D432" s="1303" t="s">
        <v>38</v>
      </c>
      <c r="E432" s="1304"/>
      <c r="F432" s="1304"/>
      <c r="G432" s="1305"/>
      <c r="H432" s="1306"/>
      <c r="I432" s="990"/>
      <c r="J432" s="990"/>
      <c r="K432" s="991"/>
      <c r="L432" s="991"/>
      <c r="M432" s="991"/>
      <c r="N432" s="991"/>
      <c r="O432" s="991"/>
      <c r="P432" s="991"/>
      <c r="Q432" s="868"/>
      <c r="R432" s="868"/>
      <c r="S432" s="868"/>
      <c r="T432" s="868"/>
      <c r="U432" s="868"/>
      <c r="V432" s="868"/>
      <c r="W432" s="868"/>
      <c r="X432" s="868"/>
      <c r="Y432" s="868"/>
      <c r="Z432" s="868"/>
    </row>
    <row r="433" spans="1:26" ht="19.5">
      <c r="A433" s="1002"/>
      <c r="B433" s="1003"/>
      <c r="C433" s="1003"/>
      <c r="D433" s="1013" t="s">
        <v>191</v>
      </c>
      <c r="E433" s="1010"/>
      <c r="F433" s="1010"/>
      <c r="G433" s="1011"/>
      <c r="H433" s="196" t="s">
        <v>35</v>
      </c>
      <c r="I433" s="1019">
        <f ca="1">I435</f>
        <v>20</v>
      </c>
      <c r="J433" s="1019">
        <f ca="1">IF(AND(J435=I435,J437=I437,J439=I439),I437+I439,IF(AND(J435=I437,J437=I437),I437,IF(AND(J435=I439,J439=I439),I439,0)))</f>
        <v>20</v>
      </c>
      <c r="K433" s="1020">
        <f t="shared" ref="K433:K435" ca="1" si="192">IF(I433&gt;0,J433*100/I433,0)</f>
        <v>100</v>
      </c>
      <c r="L433" s="881"/>
      <c r="M433" s="881"/>
      <c r="N433" s="881"/>
      <c r="O433" s="881"/>
      <c r="P433" s="881"/>
      <c r="Q433" s="868"/>
      <c r="R433" s="868"/>
      <c r="S433" s="868"/>
      <c r="T433" s="868"/>
      <c r="U433" s="868"/>
      <c r="V433" s="868"/>
      <c r="W433" s="868"/>
      <c r="X433" s="868"/>
      <c r="Y433" s="868"/>
      <c r="Z433" s="868"/>
    </row>
    <row r="434" spans="1:26" ht="19.5">
      <c r="A434" s="1002"/>
      <c r="B434" s="1003"/>
      <c r="C434" s="1003"/>
      <c r="D434" s="1013" t="s">
        <v>192</v>
      </c>
      <c r="E434" s="1010"/>
      <c r="F434" s="1010"/>
      <c r="G434" s="1011"/>
      <c r="H434" s="196" t="s">
        <v>49</v>
      </c>
      <c r="I434" s="1019">
        <f t="shared" ref="I434:J434" ca="1" si="193">I438+I440</f>
        <v>1</v>
      </c>
      <c r="J434" s="1019">
        <f t="shared" si="193"/>
        <v>1</v>
      </c>
      <c r="K434" s="1020">
        <f t="shared" ca="1" si="192"/>
        <v>100</v>
      </c>
      <c r="L434" s="881"/>
      <c r="M434" s="881"/>
      <c r="N434" s="881"/>
      <c r="O434" s="881"/>
      <c r="P434" s="881"/>
      <c r="Q434" s="868"/>
      <c r="R434" s="868"/>
      <c r="S434" s="868"/>
      <c r="T434" s="868"/>
      <c r="U434" s="868"/>
      <c r="V434" s="868"/>
      <c r="W434" s="868"/>
      <c r="X434" s="868"/>
      <c r="Y434" s="868"/>
      <c r="Z434" s="868"/>
    </row>
    <row r="435" spans="1:26" ht="18.75">
      <c r="A435" s="1002"/>
      <c r="B435" s="1003"/>
      <c r="C435" s="1003"/>
      <c r="D435" s="1009" t="s">
        <v>193</v>
      </c>
      <c r="E435" s="1010"/>
      <c r="F435" s="1010"/>
      <c r="G435" s="1011"/>
      <c r="H435" s="622" t="s">
        <v>35</v>
      </c>
      <c r="I435" s="582">
        <f ca="1">IFERROR(__xludf.DUMMYFUNCTION("IMPORTRANGE(""https://docs.google.com/spreadsheets/d/1QqKyyYR6Q21VydFLVH3TRQUabQu_ym0Zz7PgGX0-kHA/edit?usp=sharing"",""แผน!FC78"")"),20)</f>
        <v>20</v>
      </c>
      <c r="J435" s="583">
        <v>20</v>
      </c>
      <c r="K435" s="881">
        <f t="shared" ca="1" si="192"/>
        <v>100</v>
      </c>
      <c r="L435" s="881"/>
      <c r="M435" s="881"/>
      <c r="N435" s="881"/>
      <c r="O435" s="881"/>
      <c r="P435" s="881"/>
      <c r="Q435" s="868"/>
      <c r="R435" s="868"/>
      <c r="S435" s="868"/>
      <c r="T435" s="868"/>
      <c r="U435" s="868"/>
      <c r="V435" s="868"/>
      <c r="W435" s="868"/>
      <c r="X435" s="868"/>
      <c r="Y435" s="868"/>
      <c r="Z435" s="868"/>
    </row>
    <row r="436" spans="1:26" ht="18.75">
      <c r="A436" s="1002"/>
      <c r="B436" s="1003"/>
      <c r="C436" s="1003"/>
      <c r="D436" s="1009" t="s">
        <v>194</v>
      </c>
      <c r="E436" s="1010"/>
      <c r="F436" s="1010"/>
      <c r="G436" s="1011"/>
      <c r="H436" s="622"/>
      <c r="I436" s="880"/>
      <c r="J436" s="880"/>
      <c r="K436" s="881"/>
      <c r="L436" s="881"/>
      <c r="M436" s="881"/>
      <c r="N436" s="881"/>
      <c r="O436" s="881"/>
      <c r="P436" s="881"/>
      <c r="Q436" s="868"/>
      <c r="R436" s="868"/>
      <c r="S436" s="868"/>
      <c r="T436" s="868"/>
      <c r="U436" s="868"/>
      <c r="V436" s="868"/>
      <c r="W436" s="868"/>
      <c r="X436" s="868"/>
      <c r="Y436" s="868"/>
      <c r="Z436" s="868"/>
    </row>
    <row r="437" spans="1:26" ht="18.75">
      <c r="A437" s="1002"/>
      <c r="B437" s="1003"/>
      <c r="C437" s="1003"/>
      <c r="D437" s="1009" t="s">
        <v>195</v>
      </c>
      <c r="E437" s="1010"/>
      <c r="F437" s="1010"/>
      <c r="G437" s="1011"/>
      <c r="H437" s="622" t="s">
        <v>35</v>
      </c>
      <c r="I437" s="582">
        <f ca="1">IFERROR(__xludf.DUMMYFUNCTION("IMPORTRANGE(""https://docs.google.com/spreadsheets/d/1QqKyyYR6Q21VydFLVH3TRQUabQu_ym0Zz7PgGX0-kHA/edit?usp=sharing"",""แผน!FD78"")"),0)</f>
        <v>0</v>
      </c>
      <c r="J437" s="583">
        <v>0</v>
      </c>
      <c r="K437" s="881">
        <f t="shared" ref="K437:K443" ca="1" si="194">IF(I437&gt;0,J437*100/I437,0)</f>
        <v>0</v>
      </c>
      <c r="L437" s="881"/>
      <c r="M437" s="881"/>
      <c r="N437" s="881"/>
      <c r="O437" s="881"/>
      <c r="P437" s="881"/>
      <c r="Q437" s="868"/>
      <c r="R437" s="868"/>
      <c r="S437" s="868"/>
      <c r="T437" s="868"/>
      <c r="U437" s="868"/>
      <c r="V437" s="868"/>
      <c r="W437" s="868"/>
      <c r="X437" s="868"/>
      <c r="Y437" s="868"/>
      <c r="Z437" s="868"/>
    </row>
    <row r="438" spans="1:26" ht="18.75">
      <c r="A438" s="1002"/>
      <c r="B438" s="1003"/>
      <c r="C438" s="1003"/>
      <c r="D438" s="1009" t="s">
        <v>196</v>
      </c>
      <c r="E438" s="1010"/>
      <c r="F438" s="1010"/>
      <c r="G438" s="1011"/>
      <c r="H438" s="622" t="s">
        <v>49</v>
      </c>
      <c r="I438" s="880">
        <f ca="1">IFERROR(__xludf.DUMMYFUNCTION("IMPORTRANGE(""https://docs.google.com/spreadsheets/d/1QqKyyYR6Q21VydFLVH3TRQUabQu_ym0Zz7PgGX0-kHA/edit?usp=sharing"",""แผน!FE78"")"),0)</f>
        <v>0</v>
      </c>
      <c r="J438" s="1012">
        <v>0</v>
      </c>
      <c r="K438" s="881">
        <f t="shared" ca="1" si="194"/>
        <v>0</v>
      </c>
      <c r="L438" s="881"/>
      <c r="M438" s="881"/>
      <c r="N438" s="881"/>
      <c r="O438" s="881"/>
      <c r="P438" s="881"/>
      <c r="Q438" s="868"/>
      <c r="R438" s="868"/>
      <c r="S438" s="868"/>
      <c r="T438" s="868"/>
      <c r="U438" s="868"/>
      <c r="V438" s="868"/>
      <c r="W438" s="868"/>
      <c r="X438" s="868"/>
      <c r="Y438" s="868"/>
      <c r="Z438" s="868"/>
    </row>
    <row r="439" spans="1:26" ht="18.75">
      <c r="A439" s="1002"/>
      <c r="B439" s="1003"/>
      <c r="C439" s="1003"/>
      <c r="D439" s="1009" t="s">
        <v>197</v>
      </c>
      <c r="E439" s="1010"/>
      <c r="F439" s="1010"/>
      <c r="G439" s="1011"/>
      <c r="H439" s="622" t="s">
        <v>35</v>
      </c>
      <c r="I439" s="582">
        <f ca="1">IFERROR(__xludf.DUMMYFUNCTION("IMPORTRANGE(""https://docs.google.com/spreadsheets/d/1QqKyyYR6Q21VydFLVH3TRQUabQu_ym0Zz7PgGX0-kHA/edit?usp=sharing"",""แผน!FF78"")"),20)</f>
        <v>20</v>
      </c>
      <c r="J439" s="583">
        <v>20</v>
      </c>
      <c r="K439" s="881">
        <f t="shared" ca="1" si="194"/>
        <v>100</v>
      </c>
      <c r="L439" s="881"/>
      <c r="M439" s="881"/>
      <c r="N439" s="881"/>
      <c r="O439" s="881"/>
      <c r="P439" s="881"/>
      <c r="Q439" s="868"/>
      <c r="R439" s="868"/>
      <c r="S439" s="868"/>
      <c r="T439" s="868"/>
      <c r="U439" s="868"/>
      <c r="V439" s="868"/>
      <c r="W439" s="868"/>
      <c r="X439" s="868"/>
      <c r="Y439" s="868"/>
      <c r="Z439" s="868"/>
    </row>
    <row r="440" spans="1:26" ht="18.75">
      <c r="A440" s="1002"/>
      <c r="B440" s="1003"/>
      <c r="C440" s="1003"/>
      <c r="D440" s="1009" t="s">
        <v>198</v>
      </c>
      <c r="E440" s="1010"/>
      <c r="F440" s="1010"/>
      <c r="G440" s="1011"/>
      <c r="H440" s="622" t="s">
        <v>49</v>
      </c>
      <c r="I440" s="880">
        <f ca="1">IFERROR(__xludf.DUMMYFUNCTION("IMPORTRANGE(""https://docs.google.com/spreadsheets/d/1QqKyyYR6Q21VydFLVH3TRQUabQu_ym0Zz7PgGX0-kHA/edit?usp=sharing"",""แผน!FG78"")"),1)</f>
        <v>1</v>
      </c>
      <c r="J440" s="1012">
        <v>1</v>
      </c>
      <c r="K440" s="881">
        <f t="shared" ca="1" si="194"/>
        <v>100</v>
      </c>
      <c r="L440" s="881"/>
      <c r="M440" s="881"/>
      <c r="N440" s="881"/>
      <c r="O440" s="881"/>
      <c r="P440" s="881"/>
      <c r="Q440" s="868"/>
      <c r="R440" s="868"/>
      <c r="S440" s="868"/>
      <c r="T440" s="868"/>
      <c r="U440" s="868"/>
      <c r="V440" s="868"/>
      <c r="W440" s="868"/>
      <c r="X440" s="868"/>
      <c r="Y440" s="868"/>
      <c r="Z440" s="868"/>
    </row>
    <row r="441" spans="1:26" ht="18.75" hidden="1">
      <c r="A441" s="1002"/>
      <c r="B441" s="1003"/>
      <c r="C441" s="1003"/>
      <c r="D441" s="1074" t="s">
        <v>199</v>
      </c>
      <c r="E441" s="1010"/>
      <c r="F441" s="1010"/>
      <c r="G441" s="1011"/>
      <c r="H441" s="622" t="s">
        <v>35</v>
      </c>
      <c r="I441" s="880">
        <f ca="1">IFERROR(__xludf.DUMMYFUNCTION("IMPORTRANGE(""https://docs.google.com/spreadsheets/d/1QqKyyYR6Q21VydFLVH3TRQUabQu_ym0Zz7PgGX0-kHA/edit?usp=sharing"",""แผน!FH78"")"),0)</f>
        <v>0</v>
      </c>
      <c r="J441" s="880">
        <v>0</v>
      </c>
      <c r="K441" s="881">
        <f t="shared" ca="1" si="194"/>
        <v>0</v>
      </c>
      <c r="L441" s="881"/>
      <c r="M441" s="881"/>
      <c r="N441" s="881"/>
      <c r="O441" s="881"/>
      <c r="P441" s="881"/>
      <c r="Q441" s="868"/>
      <c r="R441" s="868"/>
      <c r="S441" s="868"/>
      <c r="T441" s="868"/>
      <c r="U441" s="868"/>
      <c r="V441" s="868"/>
      <c r="W441" s="868"/>
      <c r="X441" s="868"/>
      <c r="Y441" s="868"/>
      <c r="Z441" s="868"/>
    </row>
    <row r="442" spans="1:26" ht="19.5" hidden="1">
      <c r="A442" s="584">
        <v>2</v>
      </c>
      <c r="B442" s="1307" t="s">
        <v>200</v>
      </c>
      <c r="C442" s="1308"/>
      <c r="D442" s="1308"/>
      <c r="E442" s="1308"/>
      <c r="F442" s="1308"/>
      <c r="G442" s="1309"/>
      <c r="H442" s="588" t="s">
        <v>35</v>
      </c>
      <c r="I442" s="1310">
        <f t="shared" ref="I442:J442" ca="1" si="195">I460</f>
        <v>0</v>
      </c>
      <c r="J442" s="1310">
        <f t="shared" si="195"/>
        <v>0</v>
      </c>
      <c r="K442" s="1311">
        <f t="shared" ca="1" si="194"/>
        <v>0</v>
      </c>
      <c r="L442" s="1312"/>
      <c r="M442" s="1312"/>
      <c r="N442" s="1312"/>
      <c r="O442" s="1312"/>
      <c r="P442" s="1312"/>
      <c r="Q442" s="1302"/>
      <c r="R442" s="1302"/>
      <c r="S442" s="1302"/>
      <c r="T442" s="1302"/>
      <c r="U442" s="1302"/>
      <c r="V442" s="1302"/>
      <c r="W442" s="1302"/>
      <c r="X442" s="1302"/>
      <c r="Y442" s="1302"/>
      <c r="Z442" s="1302"/>
    </row>
    <row r="443" spans="1:26" ht="19.5" hidden="1">
      <c r="A443" s="1313"/>
      <c r="B443" s="1314"/>
      <c r="C443" s="1315"/>
      <c r="D443" s="1315"/>
      <c r="E443" s="1315"/>
      <c r="F443" s="1315"/>
      <c r="G443" s="1316"/>
      <c r="H443" s="568" t="s">
        <v>46</v>
      </c>
      <c r="I443" s="1294">
        <f t="shared" ref="I443:J443" ca="1" si="196">I462</f>
        <v>0</v>
      </c>
      <c r="J443" s="1294">
        <f t="shared" si="196"/>
        <v>0</v>
      </c>
      <c r="K443" s="1295">
        <f t="shared" ca="1" si="194"/>
        <v>0</v>
      </c>
      <c r="L443" s="1296"/>
      <c r="M443" s="1296"/>
      <c r="N443" s="1296"/>
      <c r="O443" s="1296"/>
      <c r="P443" s="1296"/>
      <c r="Q443" s="1302"/>
      <c r="R443" s="1302"/>
      <c r="S443" s="1302"/>
      <c r="T443" s="1302"/>
      <c r="U443" s="1302"/>
      <c r="V443" s="1302"/>
      <c r="W443" s="1302"/>
      <c r="X443" s="1302"/>
      <c r="Y443" s="1302"/>
      <c r="Z443" s="1302"/>
    </row>
    <row r="444" spans="1:26" ht="19.5" hidden="1">
      <c r="A444" s="1317"/>
      <c r="B444" s="1301"/>
      <c r="C444" s="1301" t="s">
        <v>16</v>
      </c>
      <c r="D444" s="1318" t="s">
        <v>17</v>
      </c>
      <c r="E444" s="841"/>
      <c r="F444" s="841"/>
      <c r="G444" s="1016"/>
      <c r="H444" s="597" t="s">
        <v>12</v>
      </c>
      <c r="I444" s="880"/>
      <c r="J444" s="880"/>
      <c r="K444" s="881"/>
      <c r="L444" s="1020">
        <f t="shared" ref="L444:N444" ca="1" si="197">L445+L446</f>
        <v>0</v>
      </c>
      <c r="M444" s="1020">
        <f t="shared" si="197"/>
        <v>0</v>
      </c>
      <c r="N444" s="1020">
        <f t="shared" si="197"/>
        <v>0</v>
      </c>
      <c r="O444" s="1020">
        <f t="shared" ref="O444:O449" ca="1" si="198">IF(L444&gt;0,N444*100/L444,0)</f>
        <v>0</v>
      </c>
      <c r="P444" s="1020">
        <f t="shared" ref="P444:P449" si="199">IF(M444&gt;0,N444*100/M444,0)</f>
        <v>0</v>
      </c>
      <c r="Q444" s="1302"/>
      <c r="R444" s="1302"/>
      <c r="S444" s="1302"/>
      <c r="T444" s="1302"/>
      <c r="U444" s="1302"/>
      <c r="V444" s="1302"/>
      <c r="W444" s="1302"/>
      <c r="X444" s="1302"/>
      <c r="Y444" s="1302"/>
      <c r="Z444" s="1302"/>
    </row>
    <row r="445" spans="1:26" ht="18.75" hidden="1">
      <c r="A445" s="1319"/>
      <c r="B445" s="1320"/>
      <c r="C445" s="1320"/>
      <c r="D445" s="1321"/>
      <c r="E445" s="1320" t="s">
        <v>185</v>
      </c>
      <c r="F445" s="1320"/>
      <c r="G445" s="1322"/>
      <c r="H445" s="165" t="s">
        <v>12</v>
      </c>
      <c r="I445" s="886"/>
      <c r="J445" s="886"/>
      <c r="K445" s="887"/>
      <c r="L445" s="887">
        <f t="shared" ref="L445:N446" si="200">L448+L455</f>
        <v>0</v>
      </c>
      <c r="M445" s="887">
        <f t="shared" si="200"/>
        <v>0</v>
      </c>
      <c r="N445" s="887">
        <f t="shared" si="200"/>
        <v>0</v>
      </c>
      <c r="O445" s="887">
        <f t="shared" si="198"/>
        <v>0</v>
      </c>
      <c r="P445" s="887">
        <f t="shared" si="199"/>
        <v>0</v>
      </c>
      <c r="Q445" s="1323"/>
      <c r="R445" s="1323"/>
      <c r="S445" s="1323"/>
      <c r="T445" s="1323"/>
      <c r="U445" s="1323"/>
      <c r="V445" s="1323"/>
      <c r="W445" s="1323"/>
      <c r="X445" s="1323"/>
      <c r="Y445" s="1323"/>
      <c r="Z445" s="1323"/>
    </row>
    <row r="446" spans="1:26" ht="18.75" hidden="1">
      <c r="A446" s="1319"/>
      <c r="B446" s="1324"/>
      <c r="C446" s="1320"/>
      <c r="D446" s="1321"/>
      <c r="E446" s="1320" t="s">
        <v>186</v>
      </c>
      <c r="F446" s="1320"/>
      <c r="G446" s="1322"/>
      <c r="H446" s="165" t="s">
        <v>12</v>
      </c>
      <c r="I446" s="886"/>
      <c r="J446" s="886"/>
      <c r="K446" s="887"/>
      <c r="L446" s="887">
        <f t="shared" ca="1" si="200"/>
        <v>0</v>
      </c>
      <c r="M446" s="887">
        <f t="shared" si="200"/>
        <v>0</v>
      </c>
      <c r="N446" s="887">
        <f t="shared" si="200"/>
        <v>0</v>
      </c>
      <c r="O446" s="887">
        <f t="shared" ca="1" si="198"/>
        <v>0</v>
      </c>
      <c r="P446" s="887">
        <f t="shared" si="199"/>
        <v>0</v>
      </c>
      <c r="Q446" s="1323"/>
      <c r="R446" s="1323"/>
      <c r="S446" s="1323"/>
      <c r="T446" s="1323"/>
      <c r="U446" s="1323"/>
      <c r="V446" s="1323"/>
      <c r="W446" s="1323"/>
      <c r="X446" s="1323"/>
      <c r="Y446" s="1323"/>
      <c r="Z446" s="1323"/>
    </row>
    <row r="447" spans="1:26" ht="18.75" hidden="1">
      <c r="A447" s="1317"/>
      <c r="B447" s="1300"/>
      <c r="C447" s="1301"/>
      <c r="D447" s="1325" t="s">
        <v>20</v>
      </c>
      <c r="E447" s="1301"/>
      <c r="F447" s="1301"/>
      <c r="G447" s="1016"/>
      <c r="H447" s="161" t="s">
        <v>12</v>
      </c>
      <c r="I447" s="997"/>
      <c r="J447" s="997"/>
      <c r="K447" s="998"/>
      <c r="L447" s="881">
        <f t="shared" ref="L447:N447" ca="1" si="201">L448+L449</f>
        <v>0</v>
      </c>
      <c r="M447" s="881">
        <f t="shared" si="201"/>
        <v>0</v>
      </c>
      <c r="N447" s="881">
        <f t="shared" si="201"/>
        <v>0</v>
      </c>
      <c r="O447" s="881">
        <f t="shared" ca="1" si="198"/>
        <v>0</v>
      </c>
      <c r="P447" s="881">
        <f t="shared" si="199"/>
        <v>0</v>
      </c>
      <c r="Q447" s="1302"/>
      <c r="R447" s="1302"/>
      <c r="S447" s="1302"/>
      <c r="T447" s="1302"/>
      <c r="U447" s="1302"/>
      <c r="V447" s="1302"/>
      <c r="W447" s="1302"/>
      <c r="X447" s="1302"/>
      <c r="Y447" s="1302"/>
      <c r="Z447" s="1302"/>
    </row>
    <row r="448" spans="1:26" ht="18.75" hidden="1">
      <c r="A448" s="1319"/>
      <c r="B448" s="1324"/>
      <c r="C448" s="1320"/>
      <c r="D448" s="1321"/>
      <c r="E448" s="1320" t="s">
        <v>185</v>
      </c>
      <c r="F448" s="1320"/>
      <c r="G448" s="1322"/>
      <c r="H448" s="165" t="s">
        <v>12</v>
      </c>
      <c r="I448" s="886"/>
      <c r="J448" s="886"/>
      <c r="K448" s="887"/>
      <c r="L448" s="887">
        <v>0</v>
      </c>
      <c r="M448" s="887">
        <v>0</v>
      </c>
      <c r="N448" s="887">
        <v>0</v>
      </c>
      <c r="O448" s="887">
        <f t="shared" si="198"/>
        <v>0</v>
      </c>
      <c r="P448" s="887">
        <f t="shared" si="199"/>
        <v>0</v>
      </c>
      <c r="Q448" s="1323"/>
      <c r="R448" s="1323"/>
      <c r="S448" s="1323"/>
      <c r="T448" s="1323"/>
      <c r="U448" s="1323"/>
      <c r="V448" s="1323"/>
      <c r="W448" s="1323"/>
      <c r="X448" s="1323"/>
      <c r="Y448" s="1323"/>
      <c r="Z448" s="1323"/>
    </row>
    <row r="449" spans="1:26" ht="18.75" hidden="1">
      <c r="A449" s="1319"/>
      <c r="B449" s="1324"/>
      <c r="C449" s="1320"/>
      <c r="D449" s="1321"/>
      <c r="E449" s="1320" t="s">
        <v>186</v>
      </c>
      <c r="F449" s="1320"/>
      <c r="G449" s="1322"/>
      <c r="H449" s="165" t="s">
        <v>12</v>
      </c>
      <c r="I449" s="886"/>
      <c r="J449" s="886"/>
      <c r="K449" s="887"/>
      <c r="L449" s="887">
        <f ca="1">IFERROR(__xludf.DUMMYFUNCTION("IMPORTRANGE(""https://docs.google.com/spreadsheets/d/1QqKyyYR6Q21VydFLVH3TRQUabQu_ym0Zz7PgGX0-kHA/edit?usp=sharing"",""แผน!FJ78"")"),0)</f>
        <v>0</v>
      </c>
      <c r="M449" s="887">
        <v>0</v>
      </c>
      <c r="N449" s="887">
        <f>N450+N451+N452+N453</f>
        <v>0</v>
      </c>
      <c r="O449" s="887">
        <f t="shared" ca="1" si="198"/>
        <v>0</v>
      </c>
      <c r="P449" s="887">
        <f t="shared" si="199"/>
        <v>0</v>
      </c>
      <c r="Q449" s="1323"/>
      <c r="R449" s="1323"/>
      <c r="S449" s="1323"/>
      <c r="T449" s="1323"/>
      <c r="U449" s="1323"/>
      <c r="V449" s="1323"/>
      <c r="W449" s="1323"/>
      <c r="X449" s="1323"/>
      <c r="Y449" s="1323"/>
      <c r="Z449" s="1323"/>
    </row>
    <row r="450" spans="1:26" ht="18.75" hidden="1">
      <c r="A450" s="1299"/>
      <c r="B450" s="1300"/>
      <c r="C450" s="1301"/>
      <c r="D450" s="1301"/>
      <c r="E450" s="1301"/>
      <c r="F450" s="1301" t="s">
        <v>187</v>
      </c>
      <c r="G450" s="1016"/>
      <c r="H450" s="161" t="s">
        <v>12</v>
      </c>
      <c r="I450" s="880"/>
      <c r="J450" s="880"/>
      <c r="K450" s="881"/>
      <c r="L450" s="881"/>
      <c r="M450" s="881"/>
      <c r="N450" s="1085">
        <v>0</v>
      </c>
      <c r="O450" s="881"/>
      <c r="P450" s="881"/>
      <c r="Q450" s="1302"/>
      <c r="R450" s="1302"/>
      <c r="S450" s="1302"/>
      <c r="T450" s="1302"/>
      <c r="U450" s="1302"/>
      <c r="V450" s="1302"/>
      <c r="W450" s="1302"/>
      <c r="X450" s="1302"/>
      <c r="Y450" s="1302"/>
      <c r="Z450" s="1302"/>
    </row>
    <row r="451" spans="1:26" ht="18.75" hidden="1">
      <c r="A451" s="1299"/>
      <c r="B451" s="1300"/>
      <c r="C451" s="1301"/>
      <c r="D451" s="1301"/>
      <c r="E451" s="1301"/>
      <c r="F451" s="1301" t="s">
        <v>188</v>
      </c>
      <c r="G451" s="1016"/>
      <c r="H451" s="161" t="s">
        <v>12</v>
      </c>
      <c r="I451" s="880"/>
      <c r="J451" s="880"/>
      <c r="K451" s="881"/>
      <c r="L451" s="881"/>
      <c r="M451" s="881"/>
      <c r="N451" s="1085">
        <v>0</v>
      </c>
      <c r="O451" s="881"/>
      <c r="P451" s="881"/>
      <c r="Q451" s="1302"/>
      <c r="R451" s="1302"/>
      <c r="S451" s="1302"/>
      <c r="T451" s="1302"/>
      <c r="U451" s="1302"/>
      <c r="V451" s="1302"/>
      <c r="W451" s="1302"/>
      <c r="X451" s="1302"/>
      <c r="Y451" s="1302"/>
      <c r="Z451" s="1302"/>
    </row>
    <row r="452" spans="1:26" ht="18.75" hidden="1">
      <c r="A452" s="1299"/>
      <c r="B452" s="1300"/>
      <c r="C452" s="1300"/>
      <c r="D452" s="1300"/>
      <c r="E452" s="1300"/>
      <c r="F452" s="1301" t="s">
        <v>189</v>
      </c>
      <c r="G452" s="1016"/>
      <c r="H452" s="161" t="s">
        <v>12</v>
      </c>
      <c r="I452" s="880"/>
      <c r="J452" s="880"/>
      <c r="K452" s="881"/>
      <c r="L452" s="881"/>
      <c r="M452" s="881"/>
      <c r="N452" s="1085">
        <v>0</v>
      </c>
      <c r="O452" s="881"/>
      <c r="P452" s="881"/>
      <c r="Q452" s="1302"/>
      <c r="R452" s="1302"/>
      <c r="S452" s="1302"/>
      <c r="T452" s="1302"/>
      <c r="U452" s="1302"/>
      <c r="V452" s="1302"/>
      <c r="W452" s="1302"/>
      <c r="X452" s="1302"/>
      <c r="Y452" s="1302"/>
      <c r="Z452" s="1302"/>
    </row>
    <row r="453" spans="1:26" ht="18.75" hidden="1">
      <c r="A453" s="1299"/>
      <c r="B453" s="1300"/>
      <c r="C453" s="1300"/>
      <c r="D453" s="1300"/>
      <c r="E453" s="1300"/>
      <c r="F453" s="1301" t="s">
        <v>190</v>
      </c>
      <c r="G453" s="1016"/>
      <c r="H453" s="161" t="s">
        <v>12</v>
      </c>
      <c r="I453" s="880"/>
      <c r="J453" s="880"/>
      <c r="K453" s="881"/>
      <c r="L453" s="881"/>
      <c r="M453" s="881"/>
      <c r="N453" s="1085">
        <v>0</v>
      </c>
      <c r="O453" s="881"/>
      <c r="P453" s="881"/>
      <c r="Q453" s="1302"/>
      <c r="R453" s="1302"/>
      <c r="S453" s="1302"/>
      <c r="T453" s="1302"/>
      <c r="U453" s="1302"/>
      <c r="V453" s="1302"/>
      <c r="W453" s="1302"/>
      <c r="X453" s="1302"/>
      <c r="Y453" s="1302"/>
      <c r="Z453" s="1302"/>
    </row>
    <row r="454" spans="1:26" ht="18.75" hidden="1">
      <c r="A454" s="1317"/>
      <c r="B454" s="1300"/>
      <c r="C454" s="1300"/>
      <c r="D454" s="1325" t="s">
        <v>21</v>
      </c>
      <c r="E454" s="1300"/>
      <c r="F454" s="1301"/>
      <c r="G454" s="1016"/>
      <c r="H454" s="168" t="s">
        <v>12</v>
      </c>
      <c r="I454" s="997"/>
      <c r="J454" s="997"/>
      <c r="K454" s="998"/>
      <c r="L454" s="881">
        <f t="shared" ref="L454:N454" ca="1" si="202">L455+L456</f>
        <v>0</v>
      </c>
      <c r="M454" s="881">
        <f t="shared" si="202"/>
        <v>0</v>
      </c>
      <c r="N454" s="881">
        <f t="shared" si="202"/>
        <v>0</v>
      </c>
      <c r="O454" s="881">
        <f t="shared" ref="O454:O456" ca="1" si="203">IF(L454&gt;0,N454*100/L454,0)</f>
        <v>0</v>
      </c>
      <c r="P454" s="881">
        <f t="shared" ref="P454:P456" si="204">IF(M454&gt;0,N454*100/M454,0)</f>
        <v>0</v>
      </c>
      <c r="Q454" s="1302"/>
      <c r="R454" s="1302"/>
      <c r="S454" s="1302"/>
      <c r="T454" s="1302"/>
      <c r="U454" s="1302"/>
      <c r="V454" s="1302"/>
      <c r="W454" s="1302"/>
      <c r="X454" s="1302"/>
      <c r="Y454" s="1302"/>
      <c r="Z454" s="1302"/>
    </row>
    <row r="455" spans="1:26" ht="18.75" hidden="1">
      <c r="A455" s="1319"/>
      <c r="B455" s="1324"/>
      <c r="C455" s="1324"/>
      <c r="D455" s="1324"/>
      <c r="E455" s="1324" t="s">
        <v>18</v>
      </c>
      <c r="F455" s="1320"/>
      <c r="G455" s="1322"/>
      <c r="H455" s="165" t="s">
        <v>12</v>
      </c>
      <c r="I455" s="1000"/>
      <c r="J455" s="1000"/>
      <c r="K455" s="1001"/>
      <c r="L455" s="887">
        <v>0</v>
      </c>
      <c r="M455" s="887">
        <v>0</v>
      </c>
      <c r="N455" s="887">
        <v>0</v>
      </c>
      <c r="O455" s="887">
        <f t="shared" si="203"/>
        <v>0</v>
      </c>
      <c r="P455" s="887">
        <f t="shared" si="204"/>
        <v>0</v>
      </c>
      <c r="Q455" s="1323"/>
      <c r="R455" s="1323"/>
      <c r="S455" s="1323"/>
      <c r="T455" s="1323"/>
      <c r="U455" s="1323"/>
      <c r="V455" s="1323"/>
      <c r="W455" s="1323"/>
      <c r="X455" s="1323"/>
      <c r="Y455" s="1323"/>
      <c r="Z455" s="1323"/>
    </row>
    <row r="456" spans="1:26" ht="18.75" hidden="1">
      <c r="A456" s="1319"/>
      <c r="B456" s="1324"/>
      <c r="C456" s="1324"/>
      <c r="D456" s="1324"/>
      <c r="E456" s="1324" t="s">
        <v>19</v>
      </c>
      <c r="F456" s="1320"/>
      <c r="G456" s="1322"/>
      <c r="H456" s="169" t="s">
        <v>12</v>
      </c>
      <c r="I456" s="1000"/>
      <c r="J456" s="1000"/>
      <c r="K456" s="1001"/>
      <c r="L456" s="887">
        <f ca="1">IFERROR(__xludf.DUMMYFUNCTION("IMPORTRANGE(""https://docs.google.com/spreadsheets/d/1QqKyyYR6Q21VydFLVH3TRQUabQu_ym0Zz7PgGX0-kHA/edit?usp=sharing"",""แผน!FM78"")"),0)</f>
        <v>0</v>
      </c>
      <c r="M456" s="887">
        <v>0</v>
      </c>
      <c r="N456" s="887">
        <v>0</v>
      </c>
      <c r="O456" s="887">
        <f t="shared" ca="1" si="203"/>
        <v>0</v>
      </c>
      <c r="P456" s="887">
        <f t="shared" si="204"/>
        <v>0</v>
      </c>
      <c r="Q456" s="1323"/>
      <c r="R456" s="1323"/>
      <c r="S456" s="1323"/>
      <c r="T456" s="1323"/>
      <c r="U456" s="1323"/>
      <c r="V456" s="1323"/>
      <c r="W456" s="1323"/>
      <c r="X456" s="1323"/>
      <c r="Y456" s="1323"/>
      <c r="Z456" s="1323"/>
    </row>
    <row r="457" spans="1:26" ht="19.5" hidden="1">
      <c r="A457" s="1326"/>
      <c r="B457" s="1327"/>
      <c r="C457" s="1300" t="s">
        <v>16</v>
      </c>
      <c r="D457" s="1328" t="s">
        <v>38</v>
      </c>
      <c r="E457" s="1329"/>
      <c r="F457" s="1330"/>
      <c r="G457" s="1331"/>
      <c r="H457" s="1007"/>
      <c r="I457" s="880"/>
      <c r="J457" s="880"/>
      <c r="K457" s="881"/>
      <c r="L457" s="881"/>
      <c r="M457" s="881"/>
      <c r="N457" s="881"/>
      <c r="O457" s="881"/>
      <c r="P457" s="881"/>
      <c r="Q457" s="1302"/>
      <c r="R457" s="1302"/>
      <c r="S457" s="1302"/>
      <c r="T457" s="1302"/>
      <c r="U457" s="1302"/>
      <c r="V457" s="1302"/>
      <c r="W457" s="1302"/>
      <c r="X457" s="1302"/>
      <c r="Y457" s="1302"/>
      <c r="Z457" s="1302"/>
    </row>
    <row r="458" spans="1:26" ht="18.75" hidden="1">
      <c r="A458" s="1332"/>
      <c r="B458" s="1333"/>
      <c r="C458" s="1333"/>
      <c r="D458" s="1333" t="s">
        <v>201</v>
      </c>
      <c r="E458" s="1333"/>
      <c r="F458" s="1321"/>
      <c r="G458" s="1113"/>
      <c r="H458" s="370" t="s">
        <v>35</v>
      </c>
      <c r="I458" s="886">
        <v>0</v>
      </c>
      <c r="J458" s="886">
        <v>0</v>
      </c>
      <c r="K458" s="887">
        <f>IF(I458&gt;0,J458*100/I458,0)</f>
        <v>0</v>
      </c>
      <c r="L458" s="887"/>
      <c r="M458" s="887"/>
      <c r="N458" s="887"/>
      <c r="O458" s="887"/>
      <c r="P458" s="887"/>
      <c r="Q458" s="1323"/>
      <c r="R458" s="1323"/>
      <c r="S458" s="1323"/>
      <c r="T458" s="1323"/>
      <c r="U458" s="1323"/>
      <c r="V458" s="1323"/>
      <c r="W458" s="1323"/>
      <c r="X458" s="1323"/>
      <c r="Y458" s="1323"/>
      <c r="Z458" s="1323"/>
    </row>
    <row r="459" spans="1:26" ht="18.75" hidden="1">
      <c r="A459" s="1332"/>
      <c r="B459" s="1333"/>
      <c r="C459" s="1333"/>
      <c r="D459" s="1333" t="s">
        <v>202</v>
      </c>
      <c r="E459" s="1333"/>
      <c r="F459" s="1321"/>
      <c r="G459" s="1113"/>
      <c r="H459" s="370"/>
      <c r="I459" s="886"/>
      <c r="J459" s="886"/>
      <c r="K459" s="887"/>
      <c r="L459" s="887"/>
      <c r="M459" s="887"/>
      <c r="N459" s="887"/>
      <c r="O459" s="887"/>
      <c r="P459" s="887"/>
      <c r="Q459" s="1323"/>
      <c r="R459" s="1323"/>
      <c r="S459" s="1323"/>
      <c r="T459" s="1323"/>
      <c r="U459" s="1323"/>
      <c r="V459" s="1323"/>
      <c r="W459" s="1323"/>
      <c r="X459" s="1323"/>
      <c r="Y459" s="1323"/>
      <c r="Z459" s="1323"/>
    </row>
    <row r="460" spans="1:26" ht="18.75" hidden="1">
      <c r="A460" s="1326"/>
      <c r="B460" s="1327"/>
      <c r="C460" s="1327"/>
      <c r="D460" s="1327" t="s">
        <v>203</v>
      </c>
      <c r="E460" s="1327"/>
      <c r="F460" s="1014"/>
      <c r="G460" s="1007"/>
      <c r="H460" s="762" t="s">
        <v>35</v>
      </c>
      <c r="I460" s="880">
        <f ca="1">IFERROR(__xludf.DUMMYFUNCTION("IMPORTRANGE(""https://docs.google.com/spreadsheets/d/1QqKyyYR6Q21VydFLVH3TRQUabQu_ym0Zz7PgGX0-kHA/edit?usp=sharing"",""แผน!FN78"")"),0)</f>
        <v>0</v>
      </c>
      <c r="J460" s="1012">
        <v>0</v>
      </c>
      <c r="K460" s="881">
        <f ca="1">IF(I460&gt;0,J460*100/I460,0)</f>
        <v>0</v>
      </c>
      <c r="L460" s="881"/>
      <c r="M460" s="881"/>
      <c r="N460" s="881"/>
      <c r="O460" s="881"/>
      <c r="P460" s="881"/>
      <c r="Q460" s="1302"/>
      <c r="R460" s="1302"/>
      <c r="S460" s="1302"/>
      <c r="T460" s="1302"/>
      <c r="U460" s="1302"/>
      <c r="V460" s="1302"/>
      <c r="W460" s="1302"/>
      <c r="X460" s="1302"/>
      <c r="Y460" s="1302"/>
      <c r="Z460" s="1302"/>
    </row>
    <row r="461" spans="1:26" ht="18.75" hidden="1">
      <c r="A461" s="1326"/>
      <c r="B461" s="1327"/>
      <c r="C461" s="1327"/>
      <c r="D461" s="1327" t="s">
        <v>204</v>
      </c>
      <c r="E461" s="1014"/>
      <c r="F461" s="1014"/>
      <c r="G461" s="1007"/>
      <c r="H461" s="762"/>
      <c r="I461" s="880"/>
      <c r="J461" s="880"/>
      <c r="K461" s="881"/>
      <c r="L461" s="881"/>
      <c r="M461" s="881"/>
      <c r="N461" s="881"/>
      <c r="O461" s="881"/>
      <c r="P461" s="881"/>
      <c r="Q461" s="1302"/>
      <c r="R461" s="1302"/>
      <c r="S461" s="1302"/>
      <c r="T461" s="1302"/>
      <c r="U461" s="1302"/>
      <c r="V461" s="1302"/>
      <c r="W461" s="1302"/>
      <c r="X461" s="1302"/>
      <c r="Y461" s="1302"/>
      <c r="Z461" s="1302"/>
    </row>
    <row r="462" spans="1:26" ht="18.75" hidden="1">
      <c r="A462" s="1326"/>
      <c r="B462" s="1327"/>
      <c r="C462" s="1327"/>
      <c r="D462" s="1327" t="s">
        <v>205</v>
      </c>
      <c r="E462" s="1014"/>
      <c r="F462" s="1014"/>
      <c r="G462" s="1007"/>
      <c r="H462" s="762" t="s">
        <v>46</v>
      </c>
      <c r="I462" s="880">
        <f ca="1">IFERROR(__xludf.DUMMYFUNCTION("IMPORTRANGE(""https://docs.google.com/spreadsheets/d/1QqKyyYR6Q21VydFLVH3TRQUabQu_ym0Zz7PgGX0-kHA/edit?usp=sharing"",""แผน!FO78"")"),0)</f>
        <v>0</v>
      </c>
      <c r="J462" s="1012">
        <v>0</v>
      </c>
      <c r="K462" s="881">
        <f ca="1">IF(I462&gt;0,J462*100/I462,0)</f>
        <v>0</v>
      </c>
      <c r="L462" s="881"/>
      <c r="M462" s="881"/>
      <c r="N462" s="881"/>
      <c r="O462" s="881"/>
      <c r="P462" s="881"/>
      <c r="Q462" s="1302"/>
      <c r="R462" s="1302"/>
      <c r="S462" s="1302"/>
      <c r="T462" s="1302"/>
      <c r="U462" s="1302"/>
      <c r="V462" s="1302"/>
      <c r="W462" s="1302"/>
      <c r="X462" s="1302"/>
      <c r="Y462" s="1302"/>
      <c r="Z462" s="1302"/>
    </row>
    <row r="463" spans="1:26" ht="18.75" hidden="1">
      <c r="A463" s="1326"/>
      <c r="B463" s="1327"/>
      <c r="C463" s="1327"/>
      <c r="D463" s="1327" t="s">
        <v>59</v>
      </c>
      <c r="E463" s="1014"/>
      <c r="F463" s="1301"/>
      <c r="G463" s="1016"/>
      <c r="H463" s="762" t="s">
        <v>46</v>
      </c>
      <c r="I463" s="880">
        <f ca="1">IFERROR(__xludf.DUMMYFUNCTION("IMPORTRANGE(""https://docs.google.com/spreadsheets/d/1QqKyyYR6Q21VydFLVH3TRQUabQu_ym0Zz7PgGX0-kHA/edit?usp=sharing"",""แผน!FO78"")"),0)</f>
        <v>0</v>
      </c>
      <c r="J463" s="1012">
        <v>0</v>
      </c>
      <c r="K463" s="881"/>
      <c r="L463" s="881"/>
      <c r="M463" s="881"/>
      <c r="N463" s="881"/>
      <c r="O463" s="881"/>
      <c r="P463" s="881"/>
      <c r="Q463" s="1302"/>
      <c r="R463" s="1302"/>
      <c r="S463" s="1302"/>
      <c r="T463" s="1302"/>
      <c r="U463" s="1302"/>
      <c r="V463" s="1302"/>
      <c r="W463" s="1302"/>
      <c r="X463" s="1302"/>
      <c r="Y463" s="1302"/>
      <c r="Z463" s="1302"/>
    </row>
    <row r="464" spans="1:26" ht="19.5" hidden="1">
      <c r="A464" s="1326"/>
      <c r="B464" s="1327"/>
      <c r="C464" s="1327"/>
      <c r="D464" s="1327"/>
      <c r="E464" s="1014"/>
      <c r="F464" s="1014"/>
      <c r="G464" s="1334"/>
      <c r="H464" s="762" t="s">
        <v>35</v>
      </c>
      <c r="I464" s="880">
        <f ca="1">IFERROR(__xludf.DUMMYFUNCTION("IMPORTRANGE(""https://docs.google.com/spreadsheets/d/1QqKyyYR6Q21VydFLVH3TRQUabQu_ym0Zz7PgGX0-kHA/edit?usp=sharing"",""แผน!FN78"")"),0)</f>
        <v>0</v>
      </c>
      <c r="J464" s="1012">
        <v>0</v>
      </c>
      <c r="K464" s="881"/>
      <c r="L464" s="881"/>
      <c r="M464" s="881"/>
      <c r="N464" s="881"/>
      <c r="O464" s="881"/>
      <c r="P464" s="881"/>
      <c r="Q464" s="1302"/>
      <c r="R464" s="1302"/>
      <c r="S464" s="1302"/>
      <c r="T464" s="1302"/>
      <c r="U464" s="1302"/>
      <c r="V464" s="1302"/>
      <c r="W464" s="1302"/>
      <c r="X464" s="1302"/>
      <c r="Y464" s="1302"/>
      <c r="Z464" s="1302"/>
    </row>
    <row r="465" spans="1:26" ht="19.5">
      <c r="A465" s="584">
        <v>3</v>
      </c>
      <c r="B465" s="1307" t="s">
        <v>206</v>
      </c>
      <c r="C465" s="1308"/>
      <c r="D465" s="1308"/>
      <c r="E465" s="1308"/>
      <c r="F465" s="1308"/>
      <c r="G465" s="1309"/>
      <c r="H465" s="588" t="s">
        <v>35</v>
      </c>
      <c r="I465" s="1310">
        <f ca="1">IFERROR(__xludf.DUMMYFUNCTION("IMPORTRANGE(""https://docs.google.com/spreadsheets/d/1QqKyyYR6Q21VydFLVH3TRQUabQu_ym0Zz7PgGX0-kHA/edit?usp=sharing"",""แผน!FX78"")"),21)</f>
        <v>21</v>
      </c>
      <c r="J465" s="1310">
        <f>J485+J489+J492</f>
        <v>21</v>
      </c>
      <c r="K465" s="1311">
        <f t="shared" ref="K465:K466" ca="1" si="205">IF(I465&gt;0,J465*100/I465,0)</f>
        <v>100</v>
      </c>
      <c r="L465" s="1312"/>
      <c r="M465" s="1312"/>
      <c r="N465" s="1312"/>
      <c r="O465" s="1312"/>
      <c r="P465" s="1312"/>
      <c r="Q465" s="1302"/>
      <c r="R465" s="1302"/>
      <c r="S465" s="1302"/>
      <c r="T465" s="1302"/>
      <c r="U465" s="1302"/>
      <c r="V465" s="1302"/>
      <c r="W465" s="1302"/>
      <c r="X465" s="1302"/>
      <c r="Y465" s="1302"/>
      <c r="Z465" s="1302"/>
    </row>
    <row r="466" spans="1:26" ht="19.5">
      <c r="A466" s="1313"/>
      <c r="B466" s="1314"/>
      <c r="C466" s="1315"/>
      <c r="D466" s="1315"/>
      <c r="E466" s="1315"/>
      <c r="F466" s="1315"/>
      <c r="G466" s="1316"/>
      <c r="H466" s="568" t="s">
        <v>46</v>
      </c>
      <c r="I466" s="1294">
        <f ca="1">IFERROR(__xludf.DUMMYFUNCTION("IMPORTRANGE(""https://docs.google.com/spreadsheets/d/1QqKyyYR6Q21VydFLVH3TRQUabQu_ym0Zz7PgGX0-kHA/edit?usp=sharing"",""แผน!FW78"")"),200)</f>
        <v>200</v>
      </c>
      <c r="J466" s="1294">
        <f>J495+J498</f>
        <v>0</v>
      </c>
      <c r="K466" s="1295">
        <f t="shared" ca="1" si="205"/>
        <v>0</v>
      </c>
      <c r="L466" s="1296"/>
      <c r="M466" s="1296"/>
      <c r="N466" s="1296"/>
      <c r="O466" s="1296"/>
      <c r="P466" s="1296"/>
      <c r="Q466" s="1302"/>
      <c r="R466" s="1302"/>
      <c r="S466" s="1302"/>
      <c r="T466" s="1302"/>
      <c r="U466" s="1302"/>
      <c r="V466" s="1302"/>
      <c r="W466" s="1302"/>
      <c r="X466" s="1302"/>
      <c r="Y466" s="1302"/>
      <c r="Z466" s="1302"/>
    </row>
    <row r="467" spans="1:26" ht="19.5">
      <c r="A467" s="1317"/>
      <c r="B467" s="1301"/>
      <c r="C467" s="1301" t="s">
        <v>16</v>
      </c>
      <c r="D467" s="1318" t="s">
        <v>17</v>
      </c>
      <c r="E467" s="841"/>
      <c r="F467" s="841"/>
      <c r="G467" s="1016"/>
      <c r="H467" s="597" t="s">
        <v>12</v>
      </c>
      <c r="I467" s="880"/>
      <c r="J467" s="880"/>
      <c r="K467" s="881"/>
      <c r="L467" s="1020">
        <f t="shared" ref="L467:N467" ca="1" si="206">L468+L469</f>
        <v>187163</v>
      </c>
      <c r="M467" s="1020">
        <f t="shared" ca="1" si="206"/>
        <v>187163</v>
      </c>
      <c r="N467" s="1020">
        <f t="shared" si="206"/>
        <v>43314</v>
      </c>
      <c r="O467" s="1020">
        <f t="shared" ref="O467:O472" ca="1" si="207">IF(L467&gt;0,N467*100/L467,0)</f>
        <v>23.14239459722274</v>
      </c>
      <c r="P467" s="1020">
        <f t="shared" ref="P467:P472" ca="1" si="208">IF(M467&gt;0,N467*100/M467,0)</f>
        <v>23.14239459722274</v>
      </c>
      <c r="Q467" s="1302"/>
      <c r="R467" s="1302"/>
      <c r="S467" s="1302"/>
      <c r="T467" s="1302"/>
      <c r="U467" s="1302"/>
      <c r="V467" s="1302"/>
      <c r="W467" s="1302"/>
      <c r="X467" s="1302"/>
      <c r="Y467" s="1302"/>
      <c r="Z467" s="1302"/>
    </row>
    <row r="468" spans="1:26" ht="18.75" hidden="1">
      <c r="A468" s="1319"/>
      <c r="B468" s="1320"/>
      <c r="C468" s="1320"/>
      <c r="D468" s="1321"/>
      <c r="E468" s="1320" t="s">
        <v>185</v>
      </c>
      <c r="F468" s="1320"/>
      <c r="G468" s="1322"/>
      <c r="H468" s="165" t="s">
        <v>12</v>
      </c>
      <c r="I468" s="886"/>
      <c r="J468" s="886"/>
      <c r="K468" s="887"/>
      <c r="L468" s="887">
        <f t="shared" ref="L468:N469" si="209">L471+L478</f>
        <v>0</v>
      </c>
      <c r="M468" s="887">
        <f t="shared" si="209"/>
        <v>0</v>
      </c>
      <c r="N468" s="887">
        <f t="shared" si="209"/>
        <v>0</v>
      </c>
      <c r="O468" s="887">
        <f t="shared" si="207"/>
        <v>0</v>
      </c>
      <c r="P468" s="887">
        <f t="shared" si="208"/>
        <v>0</v>
      </c>
      <c r="Q468" s="1323"/>
      <c r="R468" s="1323"/>
      <c r="S468" s="1323"/>
      <c r="T468" s="1323"/>
      <c r="U468" s="1323"/>
      <c r="V468" s="1323"/>
      <c r="W468" s="1323"/>
      <c r="X468" s="1323"/>
      <c r="Y468" s="1323"/>
      <c r="Z468" s="1323"/>
    </row>
    <row r="469" spans="1:26" ht="18.75" hidden="1">
      <c r="A469" s="1319"/>
      <c r="B469" s="1324"/>
      <c r="C469" s="1320"/>
      <c r="D469" s="1321"/>
      <c r="E469" s="1320" t="s">
        <v>186</v>
      </c>
      <c r="F469" s="1320"/>
      <c r="G469" s="1322"/>
      <c r="H469" s="165" t="s">
        <v>12</v>
      </c>
      <c r="I469" s="886"/>
      <c r="J469" s="886"/>
      <c r="K469" s="887"/>
      <c r="L469" s="887">
        <f t="shared" ca="1" si="209"/>
        <v>187163</v>
      </c>
      <c r="M469" s="887">
        <f t="shared" ca="1" si="209"/>
        <v>187163</v>
      </c>
      <c r="N469" s="887">
        <f t="shared" si="209"/>
        <v>43314</v>
      </c>
      <c r="O469" s="887">
        <f t="shared" ca="1" si="207"/>
        <v>23.14239459722274</v>
      </c>
      <c r="P469" s="887">
        <f t="shared" ca="1" si="208"/>
        <v>23.14239459722274</v>
      </c>
      <c r="Q469" s="1323"/>
      <c r="R469" s="1323"/>
      <c r="S469" s="1323"/>
      <c r="T469" s="1323"/>
      <c r="U469" s="1323"/>
      <c r="V469" s="1323"/>
      <c r="W469" s="1323"/>
      <c r="X469" s="1323"/>
      <c r="Y469" s="1323"/>
      <c r="Z469" s="1323"/>
    </row>
    <row r="470" spans="1:26" ht="18.75">
      <c r="A470" s="1317"/>
      <c r="B470" s="1300"/>
      <c r="C470" s="1301"/>
      <c r="D470" s="1325" t="s">
        <v>20</v>
      </c>
      <c r="E470" s="1301"/>
      <c r="F470" s="1301"/>
      <c r="G470" s="1016"/>
      <c r="H470" s="161" t="s">
        <v>12</v>
      </c>
      <c r="I470" s="997"/>
      <c r="J470" s="997"/>
      <c r="K470" s="998"/>
      <c r="L470" s="881">
        <f t="shared" ref="L470:N470" ca="1" si="210">L471+L472</f>
        <v>187163</v>
      </c>
      <c r="M470" s="881">
        <f t="shared" ca="1" si="210"/>
        <v>187163</v>
      </c>
      <c r="N470" s="881">
        <f t="shared" si="210"/>
        <v>43314</v>
      </c>
      <c r="O470" s="881">
        <f t="shared" ca="1" si="207"/>
        <v>23.14239459722274</v>
      </c>
      <c r="P470" s="881">
        <f t="shared" ca="1" si="208"/>
        <v>23.14239459722274</v>
      </c>
      <c r="Q470" s="1302"/>
      <c r="R470" s="1302"/>
      <c r="S470" s="1302"/>
      <c r="T470" s="1302"/>
      <c r="U470" s="1302"/>
      <c r="V470" s="1302"/>
      <c r="W470" s="1302"/>
      <c r="X470" s="1302"/>
      <c r="Y470" s="1302"/>
      <c r="Z470" s="1302"/>
    </row>
    <row r="471" spans="1:26" ht="18.75" hidden="1">
      <c r="A471" s="1319"/>
      <c r="B471" s="1324"/>
      <c r="C471" s="1320"/>
      <c r="D471" s="1321"/>
      <c r="E471" s="1320" t="s">
        <v>185</v>
      </c>
      <c r="F471" s="1320"/>
      <c r="G471" s="1322"/>
      <c r="H471" s="165" t="s">
        <v>12</v>
      </c>
      <c r="I471" s="886"/>
      <c r="J471" s="886"/>
      <c r="K471" s="887"/>
      <c r="L471" s="887">
        <v>0</v>
      </c>
      <c r="M471" s="887">
        <v>0</v>
      </c>
      <c r="N471" s="887">
        <v>0</v>
      </c>
      <c r="O471" s="887">
        <f t="shared" si="207"/>
        <v>0</v>
      </c>
      <c r="P471" s="887">
        <f t="shared" si="208"/>
        <v>0</v>
      </c>
      <c r="Q471" s="1323"/>
      <c r="R471" s="1323"/>
      <c r="S471" s="1323"/>
      <c r="T471" s="1323"/>
      <c r="U471" s="1323"/>
      <c r="V471" s="1323"/>
      <c r="W471" s="1323"/>
      <c r="X471" s="1323"/>
      <c r="Y471" s="1323"/>
      <c r="Z471" s="1323"/>
    </row>
    <row r="472" spans="1:26" ht="18.75" hidden="1">
      <c r="A472" s="1319"/>
      <c r="B472" s="1324"/>
      <c r="C472" s="1320"/>
      <c r="D472" s="1321"/>
      <c r="E472" s="1320" t="s">
        <v>186</v>
      </c>
      <c r="F472" s="1320"/>
      <c r="G472" s="1322"/>
      <c r="H472" s="165" t="s">
        <v>12</v>
      </c>
      <c r="I472" s="886"/>
      <c r="J472" s="886"/>
      <c r="K472" s="887"/>
      <c r="L472" s="887">
        <f ca="1">IFERROR(__xludf.DUMMYFUNCTION("IMPORTRANGE(""https://docs.google.com/spreadsheets/d/1QqKyyYR6Q21VydFLVH3TRQUabQu_ym0Zz7PgGX0-kHA/edit?usp=sharing"",""แผน!FS78"")"),187163)</f>
        <v>187163</v>
      </c>
      <c r="M472" s="887">
        <f ca="1">L472</f>
        <v>187163</v>
      </c>
      <c r="N472" s="887">
        <f>N473+N474+N475+N476</f>
        <v>43314</v>
      </c>
      <c r="O472" s="887">
        <f t="shared" ca="1" si="207"/>
        <v>23.14239459722274</v>
      </c>
      <c r="P472" s="887">
        <f t="shared" ca="1" si="208"/>
        <v>23.14239459722274</v>
      </c>
      <c r="Q472" s="1323"/>
      <c r="R472" s="1323"/>
      <c r="S472" s="1323"/>
      <c r="T472" s="1323"/>
      <c r="U472" s="1323"/>
      <c r="V472" s="1323"/>
      <c r="W472" s="1323"/>
      <c r="X472" s="1323"/>
      <c r="Y472" s="1323"/>
      <c r="Z472" s="1323"/>
    </row>
    <row r="473" spans="1:26" ht="18.75">
      <c r="A473" s="1299"/>
      <c r="B473" s="1300"/>
      <c r="C473" s="1301"/>
      <c r="D473" s="1301"/>
      <c r="E473" s="1301"/>
      <c r="F473" s="1301" t="s">
        <v>187</v>
      </c>
      <c r="G473" s="1016"/>
      <c r="H473" s="161" t="s">
        <v>12</v>
      </c>
      <c r="I473" s="880"/>
      <c r="J473" s="880"/>
      <c r="K473" s="881"/>
      <c r="L473" s="881"/>
      <c r="M473" s="881"/>
      <c r="N473" s="1085">
        <f>37823-220</f>
        <v>37603</v>
      </c>
      <c r="O473" s="881"/>
      <c r="P473" s="881"/>
      <c r="Q473" s="1302"/>
      <c r="R473" s="1302"/>
      <c r="S473" s="1302"/>
      <c r="T473" s="1302"/>
      <c r="U473" s="1302"/>
      <c r="V473" s="1302"/>
      <c r="W473" s="1302"/>
      <c r="X473" s="1302"/>
      <c r="Y473" s="1302"/>
      <c r="Z473" s="1302"/>
    </row>
    <row r="474" spans="1:26" ht="18.75">
      <c r="A474" s="1299"/>
      <c r="B474" s="1300"/>
      <c r="C474" s="1301"/>
      <c r="D474" s="1301"/>
      <c r="E474" s="1301"/>
      <c r="F474" s="1301" t="s">
        <v>188</v>
      </c>
      <c r="G474" s="1016"/>
      <c r="H474" s="161" t="s">
        <v>12</v>
      </c>
      <c r="I474" s="880"/>
      <c r="J474" s="880"/>
      <c r="K474" s="881"/>
      <c r="L474" s="881"/>
      <c r="M474" s="881"/>
      <c r="N474" s="1085">
        <v>0</v>
      </c>
      <c r="O474" s="881"/>
      <c r="P474" s="881"/>
      <c r="Q474" s="1302"/>
      <c r="R474" s="1302"/>
      <c r="S474" s="1302"/>
      <c r="T474" s="1302"/>
      <c r="U474" s="1302"/>
      <c r="V474" s="1302"/>
      <c r="W474" s="1302"/>
      <c r="X474" s="1302"/>
      <c r="Y474" s="1302"/>
      <c r="Z474" s="1302"/>
    </row>
    <row r="475" spans="1:26" ht="18.75">
      <c r="A475" s="1299"/>
      <c r="B475" s="1300"/>
      <c r="C475" s="1300"/>
      <c r="D475" s="1300"/>
      <c r="E475" s="1300"/>
      <c r="F475" s="1301" t="s">
        <v>189</v>
      </c>
      <c r="G475" s="1016"/>
      <c r="H475" s="161" t="s">
        <v>12</v>
      </c>
      <c r="I475" s="880"/>
      <c r="J475" s="880"/>
      <c r="K475" s="881"/>
      <c r="L475" s="881"/>
      <c r="M475" s="881"/>
      <c r="N475" s="1085">
        <v>0</v>
      </c>
      <c r="O475" s="881"/>
      <c r="P475" s="881"/>
      <c r="Q475" s="1302"/>
      <c r="R475" s="1302"/>
      <c r="S475" s="1302"/>
      <c r="T475" s="1302"/>
      <c r="U475" s="1302"/>
      <c r="V475" s="1302"/>
      <c r="W475" s="1302"/>
      <c r="X475" s="1302"/>
      <c r="Y475" s="1302"/>
      <c r="Z475" s="1302"/>
    </row>
    <row r="476" spans="1:26" ht="18.75">
      <c r="A476" s="1299"/>
      <c r="B476" s="1300"/>
      <c r="C476" s="1300"/>
      <c r="D476" s="1300"/>
      <c r="E476" s="1300"/>
      <c r="F476" s="1301" t="s">
        <v>190</v>
      </c>
      <c r="G476" s="1016"/>
      <c r="H476" s="161" t="s">
        <v>12</v>
      </c>
      <c r="I476" s="880"/>
      <c r="J476" s="880"/>
      <c r="K476" s="881"/>
      <c r="L476" s="881"/>
      <c r="M476" s="881"/>
      <c r="N476" s="1085">
        <f>4201+120+360+240+550+240</f>
        <v>5711</v>
      </c>
      <c r="O476" s="881"/>
      <c r="P476" s="881"/>
      <c r="Q476" s="1302"/>
      <c r="R476" s="1302"/>
      <c r="S476" s="1302"/>
      <c r="T476" s="1302"/>
      <c r="U476" s="1302"/>
      <c r="V476" s="1302"/>
      <c r="W476" s="1302"/>
      <c r="X476" s="1302"/>
      <c r="Y476" s="1302"/>
      <c r="Z476" s="1302"/>
    </row>
    <row r="477" spans="1:26" ht="18.75">
      <c r="A477" s="1317"/>
      <c r="B477" s="1300"/>
      <c r="C477" s="1300"/>
      <c r="D477" s="1325" t="s">
        <v>21</v>
      </c>
      <c r="E477" s="1300"/>
      <c r="F477" s="1300"/>
      <c r="G477" s="1016"/>
      <c r="H477" s="168" t="s">
        <v>12</v>
      </c>
      <c r="I477" s="997"/>
      <c r="J477" s="997"/>
      <c r="K477" s="998"/>
      <c r="L477" s="881">
        <f t="shared" ref="L477:N477" ca="1" si="211">L478+L479</f>
        <v>0</v>
      </c>
      <c r="M477" s="881">
        <f t="shared" si="211"/>
        <v>0</v>
      </c>
      <c r="N477" s="881">
        <f t="shared" si="211"/>
        <v>0</v>
      </c>
      <c r="O477" s="881">
        <f t="shared" ref="O477:O479" ca="1" si="212">IF(L477&gt;0,N477*100/L477,0)</f>
        <v>0</v>
      </c>
      <c r="P477" s="881">
        <f t="shared" ref="P477:P479" si="213">IF(M477&gt;0,N477*100/M477,0)</f>
        <v>0</v>
      </c>
      <c r="Q477" s="1302"/>
      <c r="R477" s="1302"/>
      <c r="S477" s="1302"/>
      <c r="T477" s="1302"/>
      <c r="U477" s="1302"/>
      <c r="V477" s="1302"/>
      <c r="W477" s="1302"/>
      <c r="X477" s="1302"/>
      <c r="Y477" s="1302"/>
      <c r="Z477" s="1302"/>
    </row>
    <row r="478" spans="1:26" ht="18.75" hidden="1">
      <c r="A478" s="1319"/>
      <c r="B478" s="1324"/>
      <c r="C478" s="1324"/>
      <c r="D478" s="1324"/>
      <c r="E478" s="1324" t="s">
        <v>18</v>
      </c>
      <c r="F478" s="1324"/>
      <c r="G478" s="1322"/>
      <c r="H478" s="165" t="s">
        <v>12</v>
      </c>
      <c r="I478" s="1000"/>
      <c r="J478" s="1000"/>
      <c r="K478" s="1001"/>
      <c r="L478" s="887">
        <v>0</v>
      </c>
      <c r="M478" s="887">
        <v>0</v>
      </c>
      <c r="N478" s="887">
        <v>0</v>
      </c>
      <c r="O478" s="887">
        <f t="shared" si="212"/>
        <v>0</v>
      </c>
      <c r="P478" s="887">
        <f t="shared" si="213"/>
        <v>0</v>
      </c>
      <c r="Q478" s="1323"/>
      <c r="R478" s="1323"/>
      <c r="S478" s="1323"/>
      <c r="T478" s="1323"/>
      <c r="U478" s="1323"/>
      <c r="V478" s="1323"/>
      <c r="W478" s="1323"/>
      <c r="X478" s="1323"/>
      <c r="Y478" s="1323"/>
      <c r="Z478" s="1323"/>
    </row>
    <row r="479" spans="1:26" ht="18.75" hidden="1">
      <c r="A479" s="1319"/>
      <c r="B479" s="1324"/>
      <c r="C479" s="1324"/>
      <c r="D479" s="1324"/>
      <c r="E479" s="1324" t="s">
        <v>19</v>
      </c>
      <c r="F479" s="1324"/>
      <c r="G479" s="1322"/>
      <c r="H479" s="169" t="s">
        <v>12</v>
      </c>
      <c r="I479" s="1000"/>
      <c r="J479" s="1000"/>
      <c r="K479" s="1001"/>
      <c r="L479" s="887">
        <f ca="1">IFERROR(__xludf.DUMMYFUNCTION("IMPORTRANGE(""https://docs.google.com/spreadsheets/d/1QqKyyYR6Q21VydFLVH3TRQUabQu_ym0Zz7PgGX0-kHA/edit?usp=sharing"",""แผน!FV78"")"),0)</f>
        <v>0</v>
      </c>
      <c r="M479" s="887">
        <v>0</v>
      </c>
      <c r="N479" s="887">
        <v>0</v>
      </c>
      <c r="O479" s="887">
        <f t="shared" ca="1" si="212"/>
        <v>0</v>
      </c>
      <c r="P479" s="887">
        <f t="shared" si="213"/>
        <v>0</v>
      </c>
      <c r="Q479" s="1323"/>
      <c r="R479" s="1323"/>
      <c r="S479" s="1323"/>
      <c r="T479" s="1323"/>
      <c r="U479" s="1323"/>
      <c r="V479" s="1323"/>
      <c r="W479" s="1323"/>
      <c r="X479" s="1323"/>
      <c r="Y479" s="1323"/>
      <c r="Z479" s="1323"/>
    </row>
    <row r="480" spans="1:26" ht="19.5">
      <c r="A480" s="1326"/>
      <c r="B480" s="1327"/>
      <c r="C480" s="1300" t="s">
        <v>16</v>
      </c>
      <c r="D480" s="1335" t="s">
        <v>38</v>
      </c>
      <c r="E480" s="1329"/>
      <c r="F480" s="1330"/>
      <c r="G480" s="1331"/>
      <c r="H480" s="1007"/>
      <c r="I480" s="880"/>
      <c r="J480" s="880"/>
      <c r="K480" s="881"/>
      <c r="L480" s="881"/>
      <c r="M480" s="881"/>
      <c r="N480" s="881"/>
      <c r="O480" s="881"/>
      <c r="P480" s="881"/>
      <c r="Q480" s="1302"/>
      <c r="R480" s="1302"/>
      <c r="S480" s="1302"/>
      <c r="T480" s="1302"/>
      <c r="U480" s="1302"/>
      <c r="V480" s="1302"/>
      <c r="W480" s="1302"/>
      <c r="X480" s="1302"/>
      <c r="Y480" s="1302"/>
      <c r="Z480" s="1302"/>
    </row>
    <row r="481" spans="1:26" ht="19.5">
      <c r="A481" s="1326"/>
      <c r="B481" s="1327"/>
      <c r="C481" s="1327"/>
      <c r="D481" s="1336" t="s">
        <v>207</v>
      </c>
      <c r="E481" s="1327"/>
      <c r="F481" s="1327"/>
      <c r="G481" s="1007"/>
      <c r="H481" s="1016"/>
      <c r="I481" s="880"/>
      <c r="J481" s="880"/>
      <c r="K481" s="881"/>
      <c r="L481" s="881"/>
      <c r="M481" s="881"/>
      <c r="N481" s="881"/>
      <c r="O481" s="881"/>
      <c r="P481" s="881"/>
      <c r="Q481" s="1302"/>
      <c r="R481" s="1302"/>
      <c r="S481" s="1302"/>
      <c r="T481" s="1302"/>
      <c r="U481" s="1302"/>
      <c r="V481" s="1302"/>
      <c r="W481" s="1302"/>
      <c r="X481" s="1302"/>
      <c r="Y481" s="1302"/>
      <c r="Z481" s="1302"/>
    </row>
    <row r="482" spans="1:26" ht="18.75">
      <c r="A482" s="1326"/>
      <c r="B482" s="1327"/>
      <c r="C482" s="1327"/>
      <c r="D482" s="1327"/>
      <c r="E482" s="1327" t="s">
        <v>208</v>
      </c>
      <c r="F482" s="1327"/>
      <c r="G482" s="1007"/>
      <c r="H482" s="1016"/>
      <c r="I482" s="880"/>
      <c r="J482" s="880"/>
      <c r="K482" s="881"/>
      <c r="L482" s="881"/>
      <c r="M482" s="881"/>
      <c r="N482" s="881"/>
      <c r="O482" s="881"/>
      <c r="P482" s="881"/>
      <c r="Q482" s="1302"/>
      <c r="R482" s="1302"/>
      <c r="S482" s="1302"/>
      <c r="T482" s="1302"/>
      <c r="U482" s="1302"/>
      <c r="V482" s="1302"/>
      <c r="W482" s="1302"/>
      <c r="X482" s="1302"/>
      <c r="Y482" s="1302"/>
      <c r="Z482" s="1302"/>
    </row>
    <row r="483" spans="1:26" ht="18.75">
      <c r="A483" s="1326"/>
      <c r="B483" s="1327"/>
      <c r="C483" s="1327"/>
      <c r="D483" s="1327"/>
      <c r="E483" s="1327"/>
      <c r="F483" s="1327" t="s">
        <v>209</v>
      </c>
      <c r="G483" s="1007"/>
      <c r="H483" s="622" t="s">
        <v>46</v>
      </c>
      <c r="I483" s="880">
        <f ca="1">IFERROR(__xludf.DUMMYFUNCTION("IMPORTRANGE(""https://docs.google.com/spreadsheets/d/1QqKyyYR6Q21VydFLVH3TRQUabQu_ym0Zz7PgGX0-kHA/edit?usp=sharing"",""แผน!FY78"")"),180)</f>
        <v>180</v>
      </c>
      <c r="J483" s="1012">
        <v>0</v>
      </c>
      <c r="K483" s="881">
        <f ca="1">IF(I483&gt;0,J483*100/I483,0)</f>
        <v>0</v>
      </c>
      <c r="L483" s="881"/>
      <c r="M483" s="881"/>
      <c r="N483" s="881"/>
      <c r="O483" s="881"/>
      <c r="P483" s="881"/>
      <c r="Q483" s="1302"/>
      <c r="R483" s="1302"/>
      <c r="S483" s="1302"/>
      <c r="T483" s="1302"/>
      <c r="U483" s="1302"/>
      <c r="V483" s="1302"/>
      <c r="W483" s="1302"/>
      <c r="X483" s="1302"/>
      <c r="Y483" s="1302"/>
      <c r="Z483" s="1302"/>
    </row>
    <row r="484" spans="1:26" ht="18.75">
      <c r="A484" s="1326"/>
      <c r="B484" s="1327"/>
      <c r="C484" s="1327"/>
      <c r="D484" s="1327"/>
      <c r="E484" s="1327"/>
      <c r="F484" s="1327" t="s">
        <v>210</v>
      </c>
      <c r="G484" s="1007"/>
      <c r="H484" s="622" t="s">
        <v>35</v>
      </c>
      <c r="I484" s="880"/>
      <c r="J484" s="1012">
        <v>0</v>
      </c>
      <c r="K484" s="881"/>
      <c r="L484" s="881"/>
      <c r="M484" s="881"/>
      <c r="N484" s="881"/>
      <c r="O484" s="881"/>
      <c r="P484" s="881"/>
      <c r="Q484" s="1302"/>
      <c r="R484" s="1302"/>
      <c r="S484" s="1302"/>
      <c r="T484" s="1302"/>
      <c r="U484" s="1302"/>
      <c r="V484" s="1302"/>
      <c r="W484" s="1302"/>
      <c r="X484" s="1302"/>
      <c r="Y484" s="1302"/>
      <c r="Z484" s="1302"/>
    </row>
    <row r="485" spans="1:26" ht="18.75">
      <c r="A485" s="1326"/>
      <c r="B485" s="1327"/>
      <c r="C485" s="1327"/>
      <c r="D485" s="1327"/>
      <c r="E485" s="1327"/>
      <c r="F485" s="1327" t="s">
        <v>211</v>
      </c>
      <c r="G485" s="1007"/>
      <c r="H485" s="622" t="s">
        <v>35</v>
      </c>
      <c r="I485" s="880">
        <f ca="1">IFERROR(__xludf.DUMMYFUNCTION("IMPORTRANGE(""https://docs.google.com/spreadsheets/d/1QqKyyYR6Q21VydFLVH3TRQUabQu_ym0Zz7PgGX0-kHA/edit?usp=sharing"",""แผน!FZ78"")"),18)</f>
        <v>18</v>
      </c>
      <c r="J485" s="1012">
        <v>18</v>
      </c>
      <c r="K485" s="881">
        <f ca="1">IF(I485&gt;0,J485*100/I485,0)</f>
        <v>100</v>
      </c>
      <c r="L485" s="881"/>
      <c r="M485" s="881"/>
      <c r="N485" s="881"/>
      <c r="O485" s="881"/>
      <c r="P485" s="881"/>
      <c r="Q485" s="1302"/>
      <c r="R485" s="1302"/>
      <c r="S485" s="1302"/>
      <c r="T485" s="1302"/>
      <c r="U485" s="1302"/>
      <c r="V485" s="1302"/>
      <c r="W485" s="1302"/>
      <c r="X485" s="1302"/>
      <c r="Y485" s="1302"/>
      <c r="Z485" s="1302"/>
    </row>
    <row r="486" spans="1:26" ht="18.75">
      <c r="A486" s="1326"/>
      <c r="B486" s="1327"/>
      <c r="C486" s="1327"/>
      <c r="D486" s="1327"/>
      <c r="E486" s="1327" t="s">
        <v>62</v>
      </c>
      <c r="F486" s="1327"/>
      <c r="G486" s="1007"/>
      <c r="H486" s="622"/>
      <c r="I486" s="880"/>
      <c r="J486" s="880"/>
      <c r="K486" s="881"/>
      <c r="L486" s="881"/>
      <c r="M486" s="881"/>
      <c r="N486" s="881"/>
      <c r="O486" s="881"/>
      <c r="P486" s="881"/>
      <c r="Q486" s="1302"/>
      <c r="R486" s="1302"/>
      <c r="S486" s="1302"/>
      <c r="T486" s="1302"/>
      <c r="U486" s="1302"/>
      <c r="V486" s="1302"/>
      <c r="W486" s="1302"/>
      <c r="X486" s="1302"/>
      <c r="Y486" s="1302"/>
      <c r="Z486" s="1302"/>
    </row>
    <row r="487" spans="1:26" ht="18.75">
      <c r="A487" s="1326"/>
      <c r="B487" s="1327"/>
      <c r="C487" s="1327"/>
      <c r="D487" s="1327"/>
      <c r="E487" s="1327"/>
      <c r="F487" s="1327" t="s">
        <v>209</v>
      </c>
      <c r="G487" s="1007"/>
      <c r="H487" s="622" t="s">
        <v>46</v>
      </c>
      <c r="I487" s="880">
        <f ca="1">IFERROR(__xludf.DUMMYFUNCTION("IMPORTRANGE(""https://docs.google.com/spreadsheets/d/1QqKyyYR6Q21VydFLVH3TRQUabQu_ym0Zz7PgGX0-kHA/edit?usp=sharing"",""แผน!GA78"")"),20)</f>
        <v>20</v>
      </c>
      <c r="J487" s="1012">
        <v>0</v>
      </c>
      <c r="K487" s="881">
        <f ca="1">IF(I487&gt;0,J487*100/I487,0)</f>
        <v>0</v>
      </c>
      <c r="L487" s="881"/>
      <c r="M487" s="881"/>
      <c r="N487" s="881"/>
      <c r="O487" s="881"/>
      <c r="P487" s="881"/>
      <c r="Q487" s="1302"/>
      <c r="R487" s="1302"/>
      <c r="S487" s="1302"/>
      <c r="T487" s="1302"/>
      <c r="U487" s="1302"/>
      <c r="V487" s="1302"/>
      <c r="W487" s="1302"/>
      <c r="X487" s="1302"/>
      <c r="Y487" s="1302"/>
      <c r="Z487" s="1302"/>
    </row>
    <row r="488" spans="1:26" ht="18.75">
      <c r="A488" s="1326"/>
      <c r="B488" s="1327"/>
      <c r="C488" s="1327"/>
      <c r="D488" s="1327"/>
      <c r="E488" s="1327"/>
      <c r="F488" s="1327" t="s">
        <v>212</v>
      </c>
      <c r="G488" s="1007"/>
      <c r="H488" s="622" t="s">
        <v>35</v>
      </c>
      <c r="I488" s="880"/>
      <c r="J488" s="1012">
        <v>0</v>
      </c>
      <c r="K488" s="881"/>
      <c r="L488" s="881"/>
      <c r="M488" s="881"/>
      <c r="N488" s="881"/>
      <c r="O488" s="881"/>
      <c r="P488" s="881"/>
      <c r="Q488" s="1302"/>
      <c r="R488" s="1302"/>
      <c r="S488" s="1302"/>
      <c r="T488" s="1302"/>
      <c r="U488" s="1302"/>
      <c r="V488" s="1302"/>
      <c r="W488" s="1302"/>
      <c r="X488" s="1302"/>
      <c r="Y488" s="1302"/>
      <c r="Z488" s="1302"/>
    </row>
    <row r="489" spans="1:26" ht="18.75">
      <c r="A489" s="1326"/>
      <c r="B489" s="1327"/>
      <c r="C489" s="1327"/>
      <c r="D489" s="1327"/>
      <c r="E489" s="1327"/>
      <c r="F489" s="1327" t="s">
        <v>213</v>
      </c>
      <c r="G489" s="1007"/>
      <c r="H489" s="622" t="s">
        <v>35</v>
      </c>
      <c r="I489" s="880">
        <f ca="1">IFERROR(__xludf.DUMMYFUNCTION("IMPORTRANGE(""https://docs.google.com/spreadsheets/d/1QqKyyYR6Q21VydFLVH3TRQUabQu_ym0Zz7PgGX0-kHA/edit?usp=sharing"",""แผน!GB78"")"),2)</f>
        <v>2</v>
      </c>
      <c r="J489" s="1012">
        <v>2</v>
      </c>
      <c r="K489" s="881">
        <f ca="1">IF(I489&gt;0,J489*100/I489,0)</f>
        <v>100</v>
      </c>
      <c r="L489" s="881"/>
      <c r="M489" s="881"/>
      <c r="N489" s="881"/>
      <c r="O489" s="881"/>
      <c r="P489" s="881"/>
      <c r="Q489" s="1302"/>
      <c r="R489" s="1302"/>
      <c r="S489" s="1302"/>
      <c r="T489" s="1302"/>
      <c r="U489" s="1302"/>
      <c r="V489" s="1302"/>
      <c r="W489" s="1302"/>
      <c r="X489" s="1302"/>
      <c r="Y489" s="1302"/>
      <c r="Z489" s="1302"/>
    </row>
    <row r="490" spans="1:26" ht="18.75">
      <c r="A490" s="1326"/>
      <c r="B490" s="1327"/>
      <c r="C490" s="1327"/>
      <c r="D490" s="1327"/>
      <c r="E490" s="1327" t="s">
        <v>63</v>
      </c>
      <c r="F490" s="1014"/>
      <c r="G490" s="1007"/>
      <c r="H490" s="622"/>
      <c r="I490" s="880"/>
      <c r="J490" s="880"/>
      <c r="K490" s="881"/>
      <c r="L490" s="881"/>
      <c r="M490" s="881"/>
      <c r="N490" s="881"/>
      <c r="O490" s="881"/>
      <c r="P490" s="881"/>
      <c r="Q490" s="1302"/>
      <c r="R490" s="1302"/>
      <c r="S490" s="1302"/>
      <c r="T490" s="1302"/>
      <c r="U490" s="1302"/>
      <c r="V490" s="1302"/>
      <c r="W490" s="1302"/>
      <c r="X490" s="1302"/>
      <c r="Y490" s="1302"/>
      <c r="Z490" s="1302"/>
    </row>
    <row r="491" spans="1:26" ht="18.75">
      <c r="A491" s="1326"/>
      <c r="B491" s="1327"/>
      <c r="C491" s="1327"/>
      <c r="D491" s="1327"/>
      <c r="E491" s="1327"/>
      <c r="F491" s="1327" t="s">
        <v>214</v>
      </c>
      <c r="G491" s="1007"/>
      <c r="H491" s="622" t="s">
        <v>35</v>
      </c>
      <c r="I491" s="880"/>
      <c r="J491" s="1012">
        <v>0</v>
      </c>
      <c r="K491" s="881"/>
      <c r="L491" s="881"/>
      <c r="M491" s="881"/>
      <c r="N491" s="881"/>
      <c r="O491" s="881"/>
      <c r="P491" s="881"/>
      <c r="Q491" s="1302"/>
      <c r="R491" s="1302"/>
      <c r="S491" s="1302"/>
      <c r="T491" s="1302"/>
      <c r="U491" s="1302"/>
      <c r="V491" s="1302"/>
      <c r="W491" s="1302"/>
      <c r="X491" s="1302"/>
      <c r="Y491" s="1302"/>
      <c r="Z491" s="1302"/>
    </row>
    <row r="492" spans="1:26" ht="18.75">
      <c r="A492" s="1326"/>
      <c r="B492" s="1327"/>
      <c r="C492" s="1327"/>
      <c r="D492" s="1327"/>
      <c r="E492" s="1327"/>
      <c r="F492" s="1327" t="s">
        <v>215</v>
      </c>
      <c r="G492" s="1007"/>
      <c r="H492" s="622" t="s">
        <v>35</v>
      </c>
      <c r="I492" s="880">
        <f ca="1">IFERROR(__xludf.DUMMYFUNCTION("IMPORTRANGE(""https://docs.google.com/spreadsheets/d/1QqKyyYR6Q21VydFLVH3TRQUabQu_ym0Zz7PgGX0-kHA/edit?usp=sharing"",""แผน!GC78"")"),1)</f>
        <v>1</v>
      </c>
      <c r="J492" s="1012">
        <v>1</v>
      </c>
      <c r="K492" s="881">
        <f ca="1">IF(I492&gt;0,J492*100/I492,0)</f>
        <v>100</v>
      </c>
      <c r="L492" s="881"/>
      <c r="M492" s="881"/>
      <c r="N492" s="881"/>
      <c r="O492" s="881"/>
      <c r="P492" s="881"/>
      <c r="Q492" s="1302"/>
      <c r="R492" s="1302"/>
      <c r="S492" s="1302"/>
      <c r="T492" s="1302"/>
      <c r="U492" s="1302"/>
      <c r="V492" s="1302"/>
      <c r="W492" s="1302"/>
      <c r="X492" s="1302"/>
      <c r="Y492" s="1302"/>
      <c r="Z492" s="1302"/>
    </row>
    <row r="493" spans="1:26" ht="19.5">
      <c r="A493" s="1326"/>
      <c r="B493" s="1327"/>
      <c r="C493" s="1327"/>
      <c r="D493" s="1336" t="s">
        <v>59</v>
      </c>
      <c r="E493" s="1327"/>
      <c r="F493" s="1014"/>
      <c r="G493" s="1007"/>
      <c r="H493" s="1016"/>
      <c r="I493" s="880"/>
      <c r="J493" s="880"/>
      <c r="K493" s="881"/>
      <c r="L493" s="881"/>
      <c r="M493" s="881"/>
      <c r="N493" s="881"/>
      <c r="O493" s="881"/>
      <c r="P493" s="881"/>
      <c r="Q493" s="1302"/>
      <c r="R493" s="1302"/>
      <c r="S493" s="1302"/>
      <c r="T493" s="1302"/>
      <c r="U493" s="1302"/>
      <c r="V493" s="1302"/>
      <c r="W493" s="1302"/>
      <c r="X493" s="1302"/>
      <c r="Y493" s="1302"/>
      <c r="Z493" s="1302"/>
    </row>
    <row r="494" spans="1:26" ht="18.75">
      <c r="A494" s="1326"/>
      <c r="B494" s="1327"/>
      <c r="C494" s="1327"/>
      <c r="D494" s="1327"/>
      <c r="E494" s="1327" t="s">
        <v>208</v>
      </c>
      <c r="F494" s="1014"/>
      <c r="G494" s="1007"/>
      <c r="H494" s="1016"/>
      <c r="I494" s="880"/>
      <c r="J494" s="880"/>
      <c r="K494" s="881"/>
      <c r="L494" s="881"/>
      <c r="M494" s="881"/>
      <c r="N494" s="881"/>
      <c r="O494" s="881"/>
      <c r="P494" s="881"/>
      <c r="Q494" s="1302"/>
      <c r="R494" s="1302"/>
      <c r="S494" s="1302"/>
      <c r="T494" s="1302"/>
      <c r="U494" s="1302"/>
      <c r="V494" s="1302"/>
      <c r="W494" s="1302"/>
      <c r="X494" s="1302"/>
      <c r="Y494" s="1302"/>
      <c r="Z494" s="1302"/>
    </row>
    <row r="495" spans="1:26" ht="18.75">
      <c r="A495" s="1326"/>
      <c r="B495" s="1327"/>
      <c r="C495" s="1327"/>
      <c r="D495" s="1327"/>
      <c r="E495" s="1327"/>
      <c r="F495" s="1014" t="s">
        <v>216</v>
      </c>
      <c r="G495" s="1007"/>
      <c r="H495" s="622" t="s">
        <v>46</v>
      </c>
      <c r="I495" s="880">
        <f ca="1">IFERROR(__xludf.DUMMYFUNCTION("IMPORTRANGE(""https://docs.google.com/spreadsheets/d/1QqKyyYR6Q21VydFLVH3TRQUabQu_ym0Zz7PgGX0-kHA/edit?usp=sharing"",""แผน!FY78"")"),180)</f>
        <v>180</v>
      </c>
      <c r="J495" s="1012">
        <v>0</v>
      </c>
      <c r="K495" s="881">
        <f ca="1">IF(I495&gt;0,J495*100/I495,0)</f>
        <v>0</v>
      </c>
      <c r="L495" s="881"/>
      <c r="M495" s="881"/>
      <c r="N495" s="881"/>
      <c r="O495" s="881"/>
      <c r="P495" s="881"/>
      <c r="Q495" s="1302"/>
      <c r="R495" s="1302"/>
      <c r="S495" s="1302"/>
      <c r="T495" s="1302"/>
      <c r="U495" s="1302"/>
      <c r="V495" s="1302"/>
      <c r="W495" s="1302"/>
      <c r="X495" s="1302"/>
      <c r="Y495" s="1302"/>
      <c r="Z495" s="1302"/>
    </row>
    <row r="496" spans="1:26" ht="18.75">
      <c r="A496" s="1326"/>
      <c r="B496" s="1327"/>
      <c r="C496" s="1327"/>
      <c r="D496" s="1327"/>
      <c r="E496" s="1327"/>
      <c r="F496" s="1014" t="s">
        <v>217</v>
      </c>
      <c r="G496" s="1007"/>
      <c r="H496" s="622" t="s">
        <v>46</v>
      </c>
      <c r="I496" s="880"/>
      <c r="J496" s="1012">
        <v>0</v>
      </c>
      <c r="K496" s="881"/>
      <c r="L496" s="881"/>
      <c r="M496" s="881"/>
      <c r="N496" s="881"/>
      <c r="O496" s="881"/>
      <c r="P496" s="881"/>
      <c r="Q496" s="1302"/>
      <c r="R496" s="1302"/>
      <c r="S496" s="1302"/>
      <c r="T496" s="1302"/>
      <c r="U496" s="1302"/>
      <c r="V496" s="1302"/>
      <c r="W496" s="1302"/>
      <c r="X496" s="1302"/>
      <c r="Y496" s="1302"/>
      <c r="Z496" s="1302"/>
    </row>
    <row r="497" spans="1:26" ht="18.75">
      <c r="A497" s="1326"/>
      <c r="B497" s="1327"/>
      <c r="C497" s="1327"/>
      <c r="D497" s="1327"/>
      <c r="E497" s="1327" t="s">
        <v>62</v>
      </c>
      <c r="F497" s="1014"/>
      <c r="G497" s="1007"/>
      <c r="H497" s="1016"/>
      <c r="I497" s="880"/>
      <c r="J497" s="880"/>
      <c r="K497" s="881"/>
      <c r="L497" s="881"/>
      <c r="M497" s="881"/>
      <c r="N497" s="881"/>
      <c r="O497" s="881"/>
      <c r="P497" s="881"/>
      <c r="Q497" s="1302"/>
      <c r="R497" s="1302"/>
      <c r="S497" s="1302"/>
      <c r="T497" s="1302"/>
      <c r="U497" s="1302"/>
      <c r="V497" s="1302"/>
      <c r="W497" s="1302"/>
      <c r="X497" s="1302"/>
      <c r="Y497" s="1302"/>
      <c r="Z497" s="1302"/>
    </row>
    <row r="498" spans="1:26" ht="18.75">
      <c r="A498" s="1326"/>
      <c r="B498" s="1327"/>
      <c r="C498" s="1327"/>
      <c r="D498" s="1327"/>
      <c r="E498" s="1014"/>
      <c r="F498" s="1014" t="s">
        <v>218</v>
      </c>
      <c r="G498" s="1007"/>
      <c r="H498" s="622" t="s">
        <v>46</v>
      </c>
      <c r="I498" s="880">
        <f ca="1">IFERROR(__xludf.DUMMYFUNCTION("IMPORTRANGE(""https://docs.google.com/spreadsheets/d/1QqKyyYR6Q21VydFLVH3TRQUabQu_ym0Zz7PgGX0-kHA/edit?usp=sharing"",""แผน!GA78"")"),20)</f>
        <v>20</v>
      </c>
      <c r="J498" s="1012">
        <v>0</v>
      </c>
      <c r="K498" s="881">
        <f ca="1">IF(I498&gt;0,J498*100/I498,0)</f>
        <v>0</v>
      </c>
      <c r="L498" s="881"/>
      <c r="M498" s="881"/>
      <c r="N498" s="881"/>
      <c r="O498" s="881"/>
      <c r="P498" s="881"/>
      <c r="Q498" s="1302"/>
      <c r="R498" s="1302"/>
      <c r="S498" s="1302"/>
      <c r="T498" s="1302"/>
      <c r="U498" s="1302"/>
      <c r="V498" s="1302"/>
      <c r="W498" s="1302"/>
      <c r="X498" s="1302"/>
      <c r="Y498" s="1302"/>
      <c r="Z498" s="1302"/>
    </row>
    <row r="499" spans="1:26" ht="18.75">
      <c r="A499" s="1326"/>
      <c r="B499" s="1327"/>
      <c r="C499" s="1327"/>
      <c r="D499" s="1327"/>
      <c r="E499" s="1014"/>
      <c r="F499" s="1014" t="s">
        <v>219</v>
      </c>
      <c r="G499" s="1007"/>
      <c r="H499" s="622" t="s">
        <v>46</v>
      </c>
      <c r="I499" s="880"/>
      <c r="J499" s="1012">
        <v>0</v>
      </c>
      <c r="K499" s="881"/>
      <c r="L499" s="881"/>
      <c r="M499" s="881"/>
      <c r="N499" s="881"/>
      <c r="O499" s="881"/>
      <c r="P499" s="881"/>
      <c r="Q499" s="1302"/>
      <c r="R499" s="1302"/>
      <c r="S499" s="1302"/>
      <c r="T499" s="1302"/>
      <c r="U499" s="1302"/>
      <c r="V499" s="1302"/>
      <c r="W499" s="1302"/>
      <c r="X499" s="1302"/>
      <c r="Y499" s="1302"/>
      <c r="Z499" s="1302"/>
    </row>
    <row r="500" spans="1:26" ht="19.5" hidden="1">
      <c r="A500" s="626">
        <v>4</v>
      </c>
      <c r="B500" s="1337" t="s">
        <v>220</v>
      </c>
      <c r="C500" s="1338"/>
      <c r="D500" s="1339"/>
      <c r="E500" s="1339"/>
      <c r="F500" s="1339"/>
      <c r="G500" s="1340"/>
      <c r="H500" s="631" t="s">
        <v>109</v>
      </c>
      <c r="I500" s="1341"/>
      <c r="J500" s="1341">
        <f t="shared" ref="J500:J501" si="214">J516</f>
        <v>0</v>
      </c>
      <c r="K500" s="1342">
        <f t="shared" ref="K500:K501" si="215">IF(I500&gt;0,J500*100/I500,0)</f>
        <v>0</v>
      </c>
      <c r="L500" s="1343"/>
      <c r="M500" s="1343"/>
      <c r="N500" s="1343"/>
      <c r="O500" s="1343"/>
      <c r="P500" s="1343"/>
      <c r="Q500" s="1323"/>
      <c r="R500" s="1323"/>
      <c r="S500" s="1323"/>
      <c r="T500" s="1323"/>
      <c r="U500" s="1323"/>
      <c r="V500" s="1323"/>
      <c r="W500" s="1323"/>
      <c r="X500" s="1323"/>
      <c r="Y500" s="1323"/>
      <c r="Z500" s="1323"/>
    </row>
    <row r="501" spans="1:26" ht="19.5" hidden="1">
      <c r="A501" s="1344"/>
      <c r="B501" s="1345" t="s">
        <v>221</v>
      </c>
      <c r="C501" s="1345"/>
      <c r="D501" s="1346"/>
      <c r="E501" s="1346"/>
      <c r="F501" s="1346"/>
      <c r="G501" s="1347"/>
      <c r="H501" s="640" t="s">
        <v>35</v>
      </c>
      <c r="I501" s="1348"/>
      <c r="J501" s="1348">
        <f t="shared" si="214"/>
        <v>0</v>
      </c>
      <c r="K501" s="1349">
        <f t="shared" si="215"/>
        <v>0</v>
      </c>
      <c r="L501" s="1350"/>
      <c r="M501" s="1350"/>
      <c r="N501" s="1350"/>
      <c r="O501" s="1350"/>
      <c r="P501" s="1350"/>
      <c r="Q501" s="1323"/>
      <c r="R501" s="1323"/>
      <c r="S501" s="1323"/>
      <c r="T501" s="1323"/>
      <c r="U501" s="1323"/>
      <c r="V501" s="1323"/>
      <c r="W501" s="1323"/>
      <c r="X501" s="1323"/>
      <c r="Y501" s="1323"/>
      <c r="Z501" s="1323"/>
    </row>
    <row r="502" spans="1:26" ht="19.5" hidden="1">
      <c r="A502" s="1319"/>
      <c r="B502" s="1320"/>
      <c r="C502" s="1320" t="s">
        <v>16</v>
      </c>
      <c r="D502" s="1351" t="s">
        <v>17</v>
      </c>
      <c r="E502" s="841"/>
      <c r="F502" s="841"/>
      <c r="G502" s="1322"/>
      <c r="H502" s="644" t="s">
        <v>12</v>
      </c>
      <c r="I502" s="886"/>
      <c r="J502" s="886"/>
      <c r="K502" s="887"/>
      <c r="L502" s="1352">
        <f t="shared" ref="L502:N502" si="216">L503+L504</f>
        <v>0</v>
      </c>
      <c r="M502" s="1352">
        <f t="shared" si="216"/>
        <v>0</v>
      </c>
      <c r="N502" s="1352">
        <f t="shared" si="216"/>
        <v>0</v>
      </c>
      <c r="O502" s="1352">
        <f t="shared" ref="O502:O507" si="217">IF(L502&gt;0,N502*100/L502,0)</f>
        <v>0</v>
      </c>
      <c r="P502" s="1352">
        <f t="shared" ref="P502:P507" si="218">IF(M502&gt;0,N502*100/M502,0)</f>
        <v>0</v>
      </c>
      <c r="Q502" s="1323"/>
      <c r="R502" s="1323"/>
      <c r="S502" s="1323"/>
      <c r="T502" s="1323"/>
      <c r="U502" s="1323"/>
      <c r="V502" s="1323"/>
      <c r="W502" s="1323"/>
      <c r="X502" s="1323"/>
      <c r="Y502" s="1323"/>
      <c r="Z502" s="1323"/>
    </row>
    <row r="503" spans="1:26" ht="18.75" hidden="1">
      <c r="A503" s="1319"/>
      <c r="B503" s="1320"/>
      <c r="C503" s="1320"/>
      <c r="D503" s="1321"/>
      <c r="E503" s="1320" t="s">
        <v>185</v>
      </c>
      <c r="F503" s="1320"/>
      <c r="G503" s="1322"/>
      <c r="H503" s="165" t="s">
        <v>12</v>
      </c>
      <c r="I503" s="886"/>
      <c r="J503" s="886"/>
      <c r="K503" s="887"/>
      <c r="L503" s="887">
        <f t="shared" ref="L503:N504" si="219">L506+L513</f>
        <v>0</v>
      </c>
      <c r="M503" s="887">
        <f t="shared" si="219"/>
        <v>0</v>
      </c>
      <c r="N503" s="887">
        <f t="shared" si="219"/>
        <v>0</v>
      </c>
      <c r="O503" s="887">
        <f t="shared" si="217"/>
        <v>0</v>
      </c>
      <c r="P503" s="887">
        <f t="shared" si="218"/>
        <v>0</v>
      </c>
      <c r="Q503" s="1323"/>
      <c r="R503" s="1323"/>
      <c r="S503" s="1323"/>
      <c r="T503" s="1323"/>
      <c r="U503" s="1323"/>
      <c r="V503" s="1323"/>
      <c r="W503" s="1323"/>
      <c r="X503" s="1323"/>
      <c r="Y503" s="1323"/>
      <c r="Z503" s="1323"/>
    </row>
    <row r="504" spans="1:26" ht="18.75" hidden="1">
      <c r="A504" s="1319"/>
      <c r="B504" s="1324"/>
      <c r="C504" s="1320"/>
      <c r="D504" s="1321"/>
      <c r="E504" s="1320" t="s">
        <v>186</v>
      </c>
      <c r="F504" s="1320"/>
      <c r="G504" s="1322"/>
      <c r="H504" s="165" t="s">
        <v>12</v>
      </c>
      <c r="I504" s="886"/>
      <c r="J504" s="886"/>
      <c r="K504" s="887"/>
      <c r="L504" s="887">
        <f t="shared" si="219"/>
        <v>0</v>
      </c>
      <c r="M504" s="887">
        <f t="shared" si="219"/>
        <v>0</v>
      </c>
      <c r="N504" s="887">
        <f t="shared" si="219"/>
        <v>0</v>
      </c>
      <c r="O504" s="887">
        <f t="shared" si="217"/>
        <v>0</v>
      </c>
      <c r="P504" s="887">
        <f t="shared" si="218"/>
        <v>0</v>
      </c>
      <c r="Q504" s="1323"/>
      <c r="R504" s="1323"/>
      <c r="S504" s="1323"/>
      <c r="T504" s="1323"/>
      <c r="U504" s="1323"/>
      <c r="V504" s="1323"/>
      <c r="W504" s="1323"/>
      <c r="X504" s="1323"/>
      <c r="Y504" s="1323"/>
      <c r="Z504" s="1323"/>
    </row>
    <row r="505" spans="1:26" ht="18.75" hidden="1">
      <c r="A505" s="1319"/>
      <c r="B505" s="1324"/>
      <c r="C505" s="1320"/>
      <c r="D505" s="1353" t="s">
        <v>20</v>
      </c>
      <c r="E505" s="1320"/>
      <c r="F505" s="1320"/>
      <c r="G505" s="1322"/>
      <c r="H505" s="165" t="s">
        <v>12</v>
      </c>
      <c r="I505" s="1000"/>
      <c r="J505" s="1000"/>
      <c r="K505" s="1001"/>
      <c r="L505" s="887">
        <f t="shared" ref="L505:N505" si="220">L506+L507</f>
        <v>0</v>
      </c>
      <c r="M505" s="887">
        <f t="shared" si="220"/>
        <v>0</v>
      </c>
      <c r="N505" s="887">
        <f t="shared" si="220"/>
        <v>0</v>
      </c>
      <c r="O505" s="887">
        <f t="shared" si="217"/>
        <v>0</v>
      </c>
      <c r="P505" s="887">
        <f t="shared" si="218"/>
        <v>0</v>
      </c>
      <c r="Q505" s="1323"/>
      <c r="R505" s="1323"/>
      <c r="S505" s="1323"/>
      <c r="T505" s="1323"/>
      <c r="U505" s="1323"/>
      <c r="V505" s="1323"/>
      <c r="W505" s="1323"/>
      <c r="X505" s="1323"/>
      <c r="Y505" s="1323"/>
      <c r="Z505" s="1323"/>
    </row>
    <row r="506" spans="1:26" ht="18.75" hidden="1">
      <c r="A506" s="1319"/>
      <c r="B506" s="1324"/>
      <c r="C506" s="1320"/>
      <c r="D506" s="1321"/>
      <c r="E506" s="1320" t="s">
        <v>185</v>
      </c>
      <c r="F506" s="1320"/>
      <c r="G506" s="1322"/>
      <c r="H506" s="165" t="s">
        <v>12</v>
      </c>
      <c r="I506" s="886"/>
      <c r="J506" s="886"/>
      <c r="K506" s="887"/>
      <c r="L506" s="887">
        <v>0</v>
      </c>
      <c r="M506" s="887">
        <v>0</v>
      </c>
      <c r="N506" s="887">
        <v>0</v>
      </c>
      <c r="O506" s="887">
        <f t="shared" si="217"/>
        <v>0</v>
      </c>
      <c r="P506" s="887">
        <f t="shared" si="218"/>
        <v>0</v>
      </c>
      <c r="Q506" s="1323"/>
      <c r="R506" s="1323"/>
      <c r="S506" s="1323"/>
      <c r="T506" s="1323"/>
      <c r="U506" s="1323"/>
      <c r="V506" s="1323"/>
      <c r="W506" s="1323"/>
      <c r="X506" s="1323"/>
      <c r="Y506" s="1323"/>
      <c r="Z506" s="1323"/>
    </row>
    <row r="507" spans="1:26" ht="18.75" hidden="1">
      <c r="A507" s="1319"/>
      <c r="B507" s="1324"/>
      <c r="C507" s="1320"/>
      <c r="D507" s="1321"/>
      <c r="E507" s="1320" t="s">
        <v>186</v>
      </c>
      <c r="F507" s="1320"/>
      <c r="G507" s="1322"/>
      <c r="H507" s="165" t="s">
        <v>12</v>
      </c>
      <c r="I507" s="886"/>
      <c r="J507" s="886"/>
      <c r="K507" s="887"/>
      <c r="L507" s="887">
        <v>0</v>
      </c>
      <c r="M507" s="887">
        <v>0</v>
      </c>
      <c r="N507" s="887">
        <f>N508+N509+N510+N511</f>
        <v>0</v>
      </c>
      <c r="O507" s="887">
        <f t="shared" si="217"/>
        <v>0</v>
      </c>
      <c r="P507" s="887">
        <f t="shared" si="218"/>
        <v>0</v>
      </c>
      <c r="Q507" s="1323"/>
      <c r="R507" s="1323"/>
      <c r="S507" s="1323"/>
      <c r="T507" s="1323"/>
      <c r="U507" s="1323"/>
      <c r="V507" s="1323"/>
      <c r="W507" s="1323"/>
      <c r="X507" s="1323"/>
      <c r="Y507" s="1323"/>
      <c r="Z507" s="1323"/>
    </row>
    <row r="508" spans="1:26" ht="18.75" hidden="1">
      <c r="A508" s="1354"/>
      <c r="B508" s="1324"/>
      <c r="C508" s="1320"/>
      <c r="D508" s="1320"/>
      <c r="E508" s="1320"/>
      <c r="F508" s="1320" t="s">
        <v>187</v>
      </c>
      <c r="G508" s="1322"/>
      <c r="H508" s="165" t="s">
        <v>12</v>
      </c>
      <c r="I508" s="886"/>
      <c r="J508" s="886"/>
      <c r="K508" s="887"/>
      <c r="L508" s="887"/>
      <c r="M508" s="887"/>
      <c r="N508" s="887">
        <v>0</v>
      </c>
      <c r="O508" s="887"/>
      <c r="P508" s="887"/>
      <c r="Q508" s="1323"/>
      <c r="R508" s="1323"/>
      <c r="S508" s="1323"/>
      <c r="T508" s="1323"/>
      <c r="U508" s="1323"/>
      <c r="V508" s="1323"/>
      <c r="W508" s="1323"/>
      <c r="X508" s="1323"/>
      <c r="Y508" s="1323"/>
      <c r="Z508" s="1323"/>
    </row>
    <row r="509" spans="1:26" ht="18.75" hidden="1">
      <c r="A509" s="1354"/>
      <c r="B509" s="1324"/>
      <c r="C509" s="1320"/>
      <c r="D509" s="1320"/>
      <c r="E509" s="1320"/>
      <c r="F509" s="1320" t="s">
        <v>188</v>
      </c>
      <c r="G509" s="1322"/>
      <c r="H509" s="165" t="s">
        <v>12</v>
      </c>
      <c r="I509" s="886"/>
      <c r="J509" s="886"/>
      <c r="K509" s="887"/>
      <c r="L509" s="887"/>
      <c r="M509" s="887"/>
      <c r="N509" s="887">
        <v>0</v>
      </c>
      <c r="O509" s="887"/>
      <c r="P509" s="887"/>
      <c r="Q509" s="1323"/>
      <c r="R509" s="1323"/>
      <c r="S509" s="1323"/>
      <c r="T509" s="1323"/>
      <c r="U509" s="1323"/>
      <c r="V509" s="1323"/>
      <c r="W509" s="1323"/>
      <c r="X509" s="1323"/>
      <c r="Y509" s="1323"/>
      <c r="Z509" s="1323"/>
    </row>
    <row r="510" spans="1:26" ht="18.75" hidden="1">
      <c r="A510" s="1354"/>
      <c r="B510" s="1324"/>
      <c r="C510" s="1324"/>
      <c r="D510" s="1324"/>
      <c r="E510" s="1320"/>
      <c r="F510" s="1320" t="s">
        <v>189</v>
      </c>
      <c r="G510" s="1322"/>
      <c r="H510" s="165" t="s">
        <v>12</v>
      </c>
      <c r="I510" s="886"/>
      <c r="J510" s="886"/>
      <c r="K510" s="887"/>
      <c r="L510" s="887"/>
      <c r="M510" s="887"/>
      <c r="N510" s="887">
        <v>0</v>
      </c>
      <c r="O510" s="887"/>
      <c r="P510" s="887"/>
      <c r="Q510" s="1323"/>
      <c r="R510" s="1323"/>
      <c r="S510" s="1323"/>
      <c r="T510" s="1323"/>
      <c r="U510" s="1323"/>
      <c r="V510" s="1323"/>
      <c r="W510" s="1323"/>
      <c r="X510" s="1323"/>
      <c r="Y510" s="1323"/>
      <c r="Z510" s="1323"/>
    </row>
    <row r="511" spans="1:26" ht="18.75" hidden="1">
      <c r="A511" s="1354"/>
      <c r="B511" s="1324"/>
      <c r="C511" s="1324"/>
      <c r="D511" s="1324"/>
      <c r="E511" s="1320"/>
      <c r="F511" s="1320" t="s">
        <v>190</v>
      </c>
      <c r="G511" s="1322"/>
      <c r="H511" s="165" t="s">
        <v>12</v>
      </c>
      <c r="I511" s="886"/>
      <c r="J511" s="886"/>
      <c r="K511" s="887"/>
      <c r="L511" s="887"/>
      <c r="M511" s="887"/>
      <c r="N511" s="887">
        <v>0</v>
      </c>
      <c r="O511" s="887"/>
      <c r="P511" s="887"/>
      <c r="Q511" s="1323"/>
      <c r="R511" s="1323"/>
      <c r="S511" s="1323"/>
      <c r="T511" s="1323"/>
      <c r="U511" s="1323"/>
      <c r="V511" s="1323"/>
      <c r="W511" s="1323"/>
      <c r="X511" s="1323"/>
      <c r="Y511" s="1323"/>
      <c r="Z511" s="1323"/>
    </row>
    <row r="512" spans="1:26" ht="18.75" hidden="1">
      <c r="A512" s="1319"/>
      <c r="B512" s="1324"/>
      <c r="C512" s="1324"/>
      <c r="D512" s="1353" t="s">
        <v>21</v>
      </c>
      <c r="E512" s="1324"/>
      <c r="F512" s="1320"/>
      <c r="G512" s="1322"/>
      <c r="H512" s="169" t="s">
        <v>12</v>
      </c>
      <c r="I512" s="1000"/>
      <c r="J512" s="1000"/>
      <c r="K512" s="1001"/>
      <c r="L512" s="887">
        <f t="shared" ref="L512:N512" si="221">L513+L514</f>
        <v>0</v>
      </c>
      <c r="M512" s="887">
        <f t="shared" si="221"/>
        <v>0</v>
      </c>
      <c r="N512" s="887">
        <f t="shared" si="221"/>
        <v>0</v>
      </c>
      <c r="O512" s="887">
        <f t="shared" ref="O512:O514" si="222">IF(L512&gt;0,N512*100/L512,0)</f>
        <v>0</v>
      </c>
      <c r="P512" s="887">
        <f t="shared" ref="P512:P514" si="223">IF(M512&gt;0,N512*100/M512,0)</f>
        <v>0</v>
      </c>
      <c r="Q512" s="1323"/>
      <c r="R512" s="1323"/>
      <c r="S512" s="1323"/>
      <c r="T512" s="1323"/>
      <c r="U512" s="1323"/>
      <c r="V512" s="1323"/>
      <c r="W512" s="1323"/>
      <c r="X512" s="1323"/>
      <c r="Y512" s="1323"/>
      <c r="Z512" s="1323"/>
    </row>
    <row r="513" spans="1:26" ht="18.75" hidden="1">
      <c r="A513" s="1319"/>
      <c r="B513" s="1324"/>
      <c r="C513" s="1324"/>
      <c r="D513" s="1324"/>
      <c r="E513" s="1324" t="s">
        <v>18</v>
      </c>
      <c r="F513" s="1320"/>
      <c r="G513" s="1322"/>
      <c r="H513" s="165" t="s">
        <v>12</v>
      </c>
      <c r="I513" s="1000"/>
      <c r="J513" s="1000"/>
      <c r="K513" s="1001"/>
      <c r="L513" s="887">
        <v>0</v>
      </c>
      <c r="M513" s="887">
        <v>0</v>
      </c>
      <c r="N513" s="887">
        <v>0</v>
      </c>
      <c r="O513" s="887">
        <f t="shared" si="222"/>
        <v>0</v>
      </c>
      <c r="P513" s="887">
        <f t="shared" si="223"/>
        <v>0</v>
      </c>
      <c r="Q513" s="1323"/>
      <c r="R513" s="1323"/>
      <c r="S513" s="1323"/>
      <c r="T513" s="1323"/>
      <c r="U513" s="1323"/>
      <c r="V513" s="1323"/>
      <c r="W513" s="1323"/>
      <c r="X513" s="1323"/>
      <c r="Y513" s="1323"/>
      <c r="Z513" s="1323"/>
    </row>
    <row r="514" spans="1:26" ht="18.75" hidden="1">
      <c r="A514" s="1319"/>
      <c r="B514" s="1324"/>
      <c r="C514" s="1324"/>
      <c r="D514" s="1320"/>
      <c r="E514" s="1324" t="s">
        <v>19</v>
      </c>
      <c r="F514" s="1320"/>
      <c r="G514" s="1322"/>
      <c r="H514" s="169" t="s">
        <v>12</v>
      </c>
      <c r="I514" s="1000"/>
      <c r="J514" s="1000"/>
      <c r="K514" s="1001"/>
      <c r="L514" s="887">
        <v>0</v>
      </c>
      <c r="M514" s="887">
        <v>0</v>
      </c>
      <c r="N514" s="887">
        <v>0</v>
      </c>
      <c r="O514" s="887">
        <f t="shared" si="222"/>
        <v>0</v>
      </c>
      <c r="P514" s="887">
        <f t="shared" si="223"/>
        <v>0</v>
      </c>
      <c r="Q514" s="1323"/>
      <c r="R514" s="1323"/>
      <c r="S514" s="1323"/>
      <c r="T514" s="1323"/>
      <c r="U514" s="1323"/>
      <c r="V514" s="1323"/>
      <c r="W514" s="1323"/>
      <c r="X514" s="1323"/>
      <c r="Y514" s="1323"/>
      <c r="Z514" s="1323"/>
    </row>
    <row r="515" spans="1:26" ht="19.5" hidden="1">
      <c r="A515" s="1332"/>
      <c r="B515" s="1333"/>
      <c r="C515" s="1324" t="s">
        <v>16</v>
      </c>
      <c r="D515" s="1355" t="s">
        <v>38</v>
      </c>
      <c r="E515" s="1356"/>
      <c r="F515" s="1356"/>
      <c r="G515" s="1357"/>
      <c r="H515" s="1113"/>
      <c r="I515" s="1000"/>
      <c r="J515" s="1000"/>
      <c r="K515" s="1001"/>
      <c r="L515" s="1001"/>
      <c r="M515" s="1001"/>
      <c r="N515" s="1001"/>
      <c r="O515" s="1001"/>
      <c r="P515" s="1001"/>
      <c r="Q515" s="1323"/>
      <c r="R515" s="1323"/>
      <c r="S515" s="1323"/>
      <c r="T515" s="1323"/>
      <c r="U515" s="1323"/>
      <c r="V515" s="1323"/>
      <c r="W515" s="1323"/>
      <c r="X515" s="1323"/>
      <c r="Y515" s="1323"/>
      <c r="Z515" s="1323"/>
    </row>
    <row r="516" spans="1:26" ht="18.75" hidden="1">
      <c r="A516" s="1332"/>
      <c r="B516" s="1333"/>
      <c r="C516" s="1333"/>
      <c r="D516" s="1333" t="s">
        <v>222</v>
      </c>
      <c r="E516" s="1321"/>
      <c r="F516" s="1321"/>
      <c r="G516" s="1113"/>
      <c r="H516" s="651" t="s">
        <v>109</v>
      </c>
      <c r="I516" s="886"/>
      <c r="J516" s="886">
        <v>0</v>
      </c>
      <c r="K516" s="1001">
        <f t="shared" ref="K516:K517" si="224">IF(I516&gt;0,J516*100/I516,0)</f>
        <v>0</v>
      </c>
      <c r="L516" s="1001"/>
      <c r="M516" s="1001"/>
      <c r="N516" s="1001"/>
      <c r="O516" s="1001"/>
      <c r="P516" s="1001"/>
      <c r="Q516" s="1323"/>
      <c r="R516" s="1323"/>
      <c r="S516" s="1323"/>
      <c r="T516" s="1323"/>
      <c r="U516" s="1323"/>
      <c r="V516" s="1323"/>
      <c r="W516" s="1323"/>
      <c r="X516" s="1323"/>
      <c r="Y516" s="1323"/>
      <c r="Z516" s="1323"/>
    </row>
    <row r="517" spans="1:26" ht="19.5" hidden="1">
      <c r="A517" s="1332"/>
      <c r="B517" s="1333"/>
      <c r="C517" s="1333"/>
      <c r="D517" s="1333" t="s">
        <v>223</v>
      </c>
      <c r="E517" s="1321"/>
      <c r="F517" s="1321"/>
      <c r="G517" s="1113"/>
      <c r="H517" s="652" t="s">
        <v>35</v>
      </c>
      <c r="I517" s="1358"/>
      <c r="J517" s="1358">
        <f>J518+J519</f>
        <v>0</v>
      </c>
      <c r="K517" s="1359">
        <f t="shared" si="224"/>
        <v>0</v>
      </c>
      <c r="L517" s="1001"/>
      <c r="M517" s="1001"/>
      <c r="N517" s="1001"/>
      <c r="O517" s="1001"/>
      <c r="P517" s="1001"/>
      <c r="Q517" s="1323"/>
      <c r="R517" s="1323"/>
      <c r="S517" s="1323"/>
      <c r="T517" s="1323"/>
      <c r="U517" s="1323"/>
      <c r="V517" s="1323"/>
      <c r="W517" s="1323"/>
      <c r="X517" s="1323"/>
      <c r="Y517" s="1323"/>
      <c r="Z517" s="1323"/>
    </row>
    <row r="518" spans="1:26" ht="18.75" hidden="1">
      <c r="A518" s="1332"/>
      <c r="B518" s="1333"/>
      <c r="C518" s="1333"/>
      <c r="D518" s="1333"/>
      <c r="E518" s="1333" t="s">
        <v>224</v>
      </c>
      <c r="F518" s="1321"/>
      <c r="G518" s="1113"/>
      <c r="H518" s="370" t="s">
        <v>35</v>
      </c>
      <c r="I518" s="886"/>
      <c r="J518" s="886"/>
      <c r="K518" s="1001"/>
      <c r="L518" s="1001"/>
      <c r="M518" s="1001"/>
      <c r="N518" s="1001"/>
      <c r="O518" s="1001"/>
      <c r="P518" s="1001"/>
      <c r="Q518" s="1323"/>
      <c r="R518" s="1323"/>
      <c r="S518" s="1323"/>
      <c r="T518" s="1323"/>
      <c r="U518" s="1323"/>
      <c r="V518" s="1323"/>
      <c r="W518" s="1323"/>
      <c r="X518" s="1323"/>
      <c r="Y518" s="1323"/>
      <c r="Z518" s="1323"/>
    </row>
    <row r="519" spans="1:26" ht="18.75" hidden="1">
      <c r="A519" s="1332"/>
      <c r="B519" s="1333"/>
      <c r="C519" s="1333"/>
      <c r="D519" s="1333"/>
      <c r="E519" s="1333" t="s">
        <v>225</v>
      </c>
      <c r="F519" s="1321"/>
      <c r="G519" s="1113"/>
      <c r="H519" s="651" t="s">
        <v>35</v>
      </c>
      <c r="I519" s="886"/>
      <c r="J519" s="886"/>
      <c r="K519" s="1001"/>
      <c r="L519" s="1001"/>
      <c r="M519" s="1001"/>
      <c r="N519" s="1001"/>
      <c r="O519" s="1001"/>
      <c r="P519" s="1001"/>
      <c r="Q519" s="1323"/>
      <c r="R519" s="1323"/>
      <c r="S519" s="1323"/>
      <c r="T519" s="1323"/>
      <c r="U519" s="1323"/>
      <c r="V519" s="1323"/>
      <c r="W519" s="1323"/>
      <c r="X519" s="1323"/>
      <c r="Y519" s="1323"/>
      <c r="Z519" s="1323"/>
    </row>
    <row r="520" spans="1:26" ht="19.5">
      <c r="A520" s="1360" t="s">
        <v>137</v>
      </c>
      <c r="B520" s="1361"/>
      <c r="C520" s="1361"/>
      <c r="D520" s="1362"/>
      <c r="E520" s="1362"/>
      <c r="F520" s="1362"/>
      <c r="G520" s="1363"/>
      <c r="H520" s="1364"/>
      <c r="I520" s="1365"/>
      <c r="J520" s="1365"/>
      <c r="K520" s="1366"/>
      <c r="L520" s="1366"/>
      <c r="M520" s="1366"/>
      <c r="N520" s="1366"/>
      <c r="O520" s="1366"/>
      <c r="P520" s="1366"/>
    </row>
    <row r="521" spans="1:26" ht="19.5" hidden="1">
      <c r="A521" s="662">
        <v>5</v>
      </c>
      <c r="B521" s="1367" t="s">
        <v>226</v>
      </c>
      <c r="C521" s="1368"/>
      <c r="D521" s="1369"/>
      <c r="E521" s="1369"/>
      <c r="F521" s="1369"/>
      <c r="G521" s="1369"/>
      <c r="H521" s="1370"/>
      <c r="I521" s="1371"/>
      <c r="J521" s="1371"/>
      <c r="K521" s="1372"/>
      <c r="L521" s="1372"/>
      <c r="M521" s="1372"/>
      <c r="N521" s="1372"/>
      <c r="O521" s="1372"/>
      <c r="P521" s="1372"/>
      <c r="Q521" s="1302"/>
      <c r="R521" s="1302"/>
      <c r="S521" s="1302"/>
      <c r="T521" s="1302"/>
      <c r="U521" s="1302"/>
      <c r="V521" s="1302"/>
      <c r="W521" s="1302"/>
      <c r="X521" s="1302"/>
      <c r="Y521" s="1302"/>
      <c r="Z521" s="1302"/>
    </row>
    <row r="522" spans="1:26" ht="19.5" hidden="1">
      <c r="A522" s="1373"/>
      <c r="B522" s="1374" t="s">
        <v>227</v>
      </c>
      <c r="C522" s="1375"/>
      <c r="D522" s="1375"/>
      <c r="E522" s="1375"/>
      <c r="F522" s="1375"/>
      <c r="G522" s="1376"/>
      <c r="H522" s="673" t="s">
        <v>35</v>
      </c>
      <c r="I522" s="1377">
        <f t="shared" ref="I522:J522" ca="1" si="225">I537</f>
        <v>0</v>
      </c>
      <c r="J522" s="1377">
        <f t="shared" ca="1" si="225"/>
        <v>0</v>
      </c>
      <c r="K522" s="1378">
        <f ca="1">IF(I522&gt;0,J522*100/I522,0)</f>
        <v>0</v>
      </c>
      <c r="L522" s="1379"/>
      <c r="M522" s="1379"/>
      <c r="N522" s="1379"/>
      <c r="O522" s="1379"/>
      <c r="P522" s="1379"/>
      <c r="Q522" s="1302"/>
      <c r="R522" s="1302"/>
      <c r="S522" s="1302"/>
      <c r="T522" s="1302"/>
      <c r="U522" s="1302"/>
      <c r="V522" s="1302"/>
      <c r="W522" s="1302"/>
      <c r="X522" s="1302"/>
      <c r="Y522" s="1302"/>
      <c r="Z522" s="1302"/>
    </row>
    <row r="523" spans="1:26" ht="19.5" hidden="1">
      <c r="A523" s="1317"/>
      <c r="B523" s="1301"/>
      <c r="C523" s="1301" t="s">
        <v>16</v>
      </c>
      <c r="D523" s="1318" t="s">
        <v>17</v>
      </c>
      <c r="E523" s="841"/>
      <c r="F523" s="841"/>
      <c r="G523" s="1016"/>
      <c r="H523" s="597" t="s">
        <v>12</v>
      </c>
      <c r="I523" s="880"/>
      <c r="J523" s="880"/>
      <c r="K523" s="881"/>
      <c r="L523" s="1020">
        <f t="shared" ref="L523:N523" ca="1" si="226">L524+L525</f>
        <v>0</v>
      </c>
      <c r="M523" s="1020">
        <f t="shared" si="226"/>
        <v>0</v>
      </c>
      <c r="N523" s="1020">
        <f t="shared" si="226"/>
        <v>0</v>
      </c>
      <c r="O523" s="1020">
        <f t="shared" ref="O523:O528" ca="1" si="227">IF(L523&gt;0,N523*100/L523,0)</f>
        <v>0</v>
      </c>
      <c r="P523" s="1020">
        <f t="shared" ref="P523:P528" si="228">IF(M523&gt;0,N523*100/M523,0)</f>
        <v>0</v>
      </c>
      <c r="Q523" s="1302"/>
      <c r="R523" s="1302"/>
      <c r="S523" s="1302"/>
      <c r="T523" s="1302"/>
      <c r="U523" s="1302"/>
      <c r="V523" s="1302"/>
      <c r="W523" s="1302"/>
      <c r="X523" s="1302"/>
      <c r="Y523" s="1302"/>
      <c r="Z523" s="1302"/>
    </row>
    <row r="524" spans="1:26" ht="18.75" hidden="1">
      <c r="A524" s="1319"/>
      <c r="B524" s="1320"/>
      <c r="C524" s="1320"/>
      <c r="D524" s="1321"/>
      <c r="E524" s="1320" t="s">
        <v>185</v>
      </c>
      <c r="F524" s="1320"/>
      <c r="G524" s="1322"/>
      <c r="H524" s="165" t="s">
        <v>12</v>
      </c>
      <c r="I524" s="886"/>
      <c r="J524" s="886"/>
      <c r="K524" s="887"/>
      <c r="L524" s="887">
        <f t="shared" ref="L524:N525" si="229">L527+L534</f>
        <v>0</v>
      </c>
      <c r="M524" s="887">
        <f t="shared" si="229"/>
        <v>0</v>
      </c>
      <c r="N524" s="887">
        <f t="shared" si="229"/>
        <v>0</v>
      </c>
      <c r="O524" s="887">
        <f t="shared" si="227"/>
        <v>0</v>
      </c>
      <c r="P524" s="887">
        <f t="shared" si="228"/>
        <v>0</v>
      </c>
      <c r="Q524" s="1323"/>
      <c r="R524" s="1323"/>
      <c r="S524" s="1323"/>
      <c r="T524" s="1323"/>
      <c r="U524" s="1323"/>
      <c r="V524" s="1323"/>
      <c r="W524" s="1323"/>
      <c r="X524" s="1323"/>
      <c r="Y524" s="1323"/>
      <c r="Z524" s="1323"/>
    </row>
    <row r="525" spans="1:26" ht="18.75" hidden="1">
      <c r="A525" s="1319"/>
      <c r="B525" s="1324"/>
      <c r="C525" s="1320"/>
      <c r="D525" s="1321"/>
      <c r="E525" s="1320" t="s">
        <v>186</v>
      </c>
      <c r="F525" s="1320"/>
      <c r="G525" s="1322"/>
      <c r="H525" s="165" t="s">
        <v>12</v>
      </c>
      <c r="I525" s="886"/>
      <c r="J525" s="886"/>
      <c r="K525" s="887"/>
      <c r="L525" s="887">
        <f t="shared" ca="1" si="229"/>
        <v>0</v>
      </c>
      <c r="M525" s="887">
        <f t="shared" si="229"/>
        <v>0</v>
      </c>
      <c r="N525" s="887">
        <f t="shared" si="229"/>
        <v>0</v>
      </c>
      <c r="O525" s="887">
        <f t="shared" ca="1" si="227"/>
        <v>0</v>
      </c>
      <c r="P525" s="887">
        <f t="shared" si="228"/>
        <v>0</v>
      </c>
      <c r="Q525" s="1323"/>
      <c r="R525" s="1323"/>
      <c r="S525" s="1323"/>
      <c r="T525" s="1323"/>
      <c r="U525" s="1323"/>
      <c r="V525" s="1323"/>
      <c r="W525" s="1323"/>
      <c r="X525" s="1323"/>
      <c r="Y525" s="1323"/>
      <c r="Z525" s="1323"/>
    </row>
    <row r="526" spans="1:26" ht="18.75" hidden="1">
      <c r="A526" s="1317"/>
      <c r="B526" s="1300"/>
      <c r="C526" s="1301"/>
      <c r="D526" s="1325" t="s">
        <v>20</v>
      </c>
      <c r="E526" s="1301"/>
      <c r="F526" s="1301"/>
      <c r="G526" s="1016"/>
      <c r="H526" s="161" t="s">
        <v>12</v>
      </c>
      <c r="I526" s="997"/>
      <c r="J526" s="997"/>
      <c r="K526" s="998"/>
      <c r="L526" s="881">
        <f t="shared" ref="L526:N526" ca="1" si="230">L527+L528</f>
        <v>0</v>
      </c>
      <c r="M526" s="881">
        <f t="shared" si="230"/>
        <v>0</v>
      </c>
      <c r="N526" s="881">
        <f t="shared" si="230"/>
        <v>0</v>
      </c>
      <c r="O526" s="881">
        <f t="shared" ca="1" si="227"/>
        <v>0</v>
      </c>
      <c r="P526" s="881">
        <f t="shared" si="228"/>
        <v>0</v>
      </c>
      <c r="Q526" s="1302"/>
      <c r="R526" s="1302"/>
      <c r="S526" s="1302"/>
      <c r="T526" s="1302"/>
      <c r="U526" s="1302"/>
      <c r="V526" s="1302"/>
      <c r="W526" s="1302"/>
      <c r="X526" s="1302"/>
      <c r="Y526" s="1302"/>
      <c r="Z526" s="1302"/>
    </row>
    <row r="527" spans="1:26" ht="18.75" hidden="1">
      <c r="A527" s="1319"/>
      <c r="B527" s="1324"/>
      <c r="C527" s="1320"/>
      <c r="D527" s="1321"/>
      <c r="E527" s="1320" t="s">
        <v>185</v>
      </c>
      <c r="F527" s="1320"/>
      <c r="G527" s="1322"/>
      <c r="H527" s="165" t="s">
        <v>12</v>
      </c>
      <c r="I527" s="886"/>
      <c r="J527" s="886"/>
      <c r="K527" s="887"/>
      <c r="L527" s="887">
        <v>0</v>
      </c>
      <c r="M527" s="887">
        <v>0</v>
      </c>
      <c r="N527" s="887">
        <v>0</v>
      </c>
      <c r="O527" s="887">
        <f t="shared" si="227"/>
        <v>0</v>
      </c>
      <c r="P527" s="887">
        <f t="shared" si="228"/>
        <v>0</v>
      </c>
      <c r="Q527" s="1323"/>
      <c r="R527" s="1323"/>
      <c r="S527" s="1323"/>
      <c r="T527" s="1323"/>
      <c r="U527" s="1323"/>
      <c r="V527" s="1323"/>
      <c r="W527" s="1323"/>
      <c r="X527" s="1323"/>
      <c r="Y527" s="1323"/>
      <c r="Z527" s="1323"/>
    </row>
    <row r="528" spans="1:26" ht="18.75" hidden="1">
      <c r="A528" s="1319"/>
      <c r="B528" s="1324"/>
      <c r="C528" s="1320"/>
      <c r="D528" s="1321"/>
      <c r="E528" s="1320" t="s">
        <v>186</v>
      </c>
      <c r="F528" s="1320"/>
      <c r="G528" s="1322"/>
      <c r="H528" s="165" t="s">
        <v>12</v>
      </c>
      <c r="I528" s="886"/>
      <c r="J528" s="886"/>
      <c r="K528" s="887"/>
      <c r="L528" s="887">
        <f ca="1">IFERROR(__xludf.DUMMYFUNCTION("IMPORTRANGE(""https://docs.google.com/spreadsheets/d/1QqKyyYR6Q21VydFLVH3TRQUabQu_ym0Zz7PgGX0-kHA/edit?usp=sharing"",""แผน!GQ78"")"),0)</f>
        <v>0</v>
      </c>
      <c r="M528" s="887">
        <v>0</v>
      </c>
      <c r="N528" s="887">
        <f>N529+N530+N531+N532</f>
        <v>0</v>
      </c>
      <c r="O528" s="887">
        <f t="shared" ca="1" si="227"/>
        <v>0</v>
      </c>
      <c r="P528" s="887">
        <f t="shared" si="228"/>
        <v>0</v>
      </c>
      <c r="Q528" s="1323"/>
      <c r="R528" s="1323"/>
      <c r="S528" s="1323"/>
      <c r="T528" s="1323"/>
      <c r="U528" s="1323"/>
      <c r="V528" s="1323"/>
      <c r="W528" s="1323"/>
      <c r="X528" s="1323"/>
      <c r="Y528" s="1323"/>
      <c r="Z528" s="1323"/>
    </row>
    <row r="529" spans="1:26" ht="18.75" hidden="1">
      <c r="A529" s="1299"/>
      <c r="B529" s="1300"/>
      <c r="C529" s="1301"/>
      <c r="D529" s="1301"/>
      <c r="E529" s="1301"/>
      <c r="F529" s="1301" t="s">
        <v>187</v>
      </c>
      <c r="G529" s="1016"/>
      <c r="H529" s="161" t="s">
        <v>12</v>
      </c>
      <c r="I529" s="880"/>
      <c r="J529" s="880"/>
      <c r="K529" s="881"/>
      <c r="L529" s="881"/>
      <c r="M529" s="881"/>
      <c r="N529" s="1085">
        <v>0</v>
      </c>
      <c r="O529" s="881"/>
      <c r="P529" s="881"/>
      <c r="Q529" s="1302"/>
      <c r="R529" s="1302"/>
      <c r="S529" s="1302"/>
      <c r="T529" s="1302"/>
      <c r="U529" s="1302"/>
      <c r="V529" s="1302"/>
      <c r="W529" s="1302"/>
      <c r="X529" s="1302"/>
      <c r="Y529" s="1302"/>
      <c r="Z529" s="1302"/>
    </row>
    <row r="530" spans="1:26" ht="18.75" hidden="1">
      <c r="A530" s="1299"/>
      <c r="B530" s="1300"/>
      <c r="C530" s="1301"/>
      <c r="D530" s="1301"/>
      <c r="E530" s="1301"/>
      <c r="F530" s="1301" t="s">
        <v>188</v>
      </c>
      <c r="G530" s="1016"/>
      <c r="H530" s="161" t="s">
        <v>12</v>
      </c>
      <c r="I530" s="880"/>
      <c r="J530" s="880"/>
      <c r="K530" s="881"/>
      <c r="L530" s="881"/>
      <c r="M530" s="881"/>
      <c r="N530" s="1085">
        <v>0</v>
      </c>
      <c r="O530" s="881"/>
      <c r="P530" s="881"/>
      <c r="Q530" s="1302"/>
      <c r="R530" s="1302"/>
      <c r="S530" s="1302"/>
      <c r="T530" s="1302"/>
      <c r="U530" s="1302"/>
      <c r="V530" s="1302"/>
      <c r="W530" s="1302"/>
      <c r="X530" s="1302"/>
      <c r="Y530" s="1302"/>
      <c r="Z530" s="1302"/>
    </row>
    <row r="531" spans="1:26" ht="18.75" hidden="1">
      <c r="A531" s="1299"/>
      <c r="B531" s="1300"/>
      <c r="C531" s="1301"/>
      <c r="D531" s="1301"/>
      <c r="E531" s="1301"/>
      <c r="F531" s="1301" t="s">
        <v>189</v>
      </c>
      <c r="G531" s="1016"/>
      <c r="H531" s="161" t="s">
        <v>12</v>
      </c>
      <c r="I531" s="880"/>
      <c r="J531" s="880"/>
      <c r="K531" s="881"/>
      <c r="L531" s="881"/>
      <c r="M531" s="881"/>
      <c r="N531" s="1085">
        <v>0</v>
      </c>
      <c r="O531" s="881"/>
      <c r="P531" s="881"/>
      <c r="Q531" s="1302"/>
      <c r="R531" s="1302"/>
      <c r="S531" s="1302"/>
      <c r="T531" s="1302"/>
      <c r="U531" s="1302"/>
      <c r="V531" s="1302"/>
      <c r="W531" s="1302"/>
      <c r="X531" s="1302"/>
      <c r="Y531" s="1302"/>
      <c r="Z531" s="1302"/>
    </row>
    <row r="532" spans="1:26" ht="18.75" hidden="1">
      <c r="A532" s="1299"/>
      <c r="B532" s="1300"/>
      <c r="C532" s="1301"/>
      <c r="D532" s="1301"/>
      <c r="E532" s="1301"/>
      <c r="F532" s="1301" t="s">
        <v>190</v>
      </c>
      <c r="G532" s="1016"/>
      <c r="H532" s="161" t="s">
        <v>12</v>
      </c>
      <c r="I532" s="880"/>
      <c r="J532" s="880"/>
      <c r="K532" s="881"/>
      <c r="L532" s="881"/>
      <c r="M532" s="881"/>
      <c r="N532" s="1085">
        <v>0</v>
      </c>
      <c r="O532" s="881"/>
      <c r="P532" s="881"/>
      <c r="Q532" s="1302"/>
      <c r="R532" s="1302"/>
      <c r="S532" s="1302"/>
      <c r="T532" s="1302"/>
      <c r="U532" s="1302"/>
      <c r="V532" s="1302"/>
      <c r="W532" s="1302"/>
      <c r="X532" s="1302"/>
      <c r="Y532" s="1302"/>
      <c r="Z532" s="1302"/>
    </row>
    <row r="533" spans="1:26" ht="18.75" hidden="1">
      <c r="A533" s="1317"/>
      <c r="B533" s="1300"/>
      <c r="C533" s="1301"/>
      <c r="D533" s="1325" t="s">
        <v>21</v>
      </c>
      <c r="E533" s="1301"/>
      <c r="F533" s="1301"/>
      <c r="G533" s="1016"/>
      <c r="H533" s="168" t="s">
        <v>12</v>
      </c>
      <c r="I533" s="997"/>
      <c r="J533" s="997"/>
      <c r="K533" s="998"/>
      <c r="L533" s="881">
        <f t="shared" ref="L533:N533" ca="1" si="231">L534+L535</f>
        <v>0</v>
      </c>
      <c r="M533" s="881">
        <f t="shared" si="231"/>
        <v>0</v>
      </c>
      <c r="N533" s="881">
        <f t="shared" si="231"/>
        <v>0</v>
      </c>
      <c r="O533" s="881">
        <f t="shared" ref="O533:O535" ca="1" si="232">IF(L533&gt;0,N533*100/L533,0)</f>
        <v>0</v>
      </c>
      <c r="P533" s="881">
        <f t="shared" ref="P533:P535" si="233">IF(M533&gt;0,N533*100/M533,0)</f>
        <v>0</v>
      </c>
      <c r="Q533" s="1302"/>
      <c r="R533" s="1302"/>
      <c r="S533" s="1302"/>
      <c r="T533" s="1302"/>
      <c r="U533" s="1302"/>
      <c r="V533" s="1302"/>
      <c r="W533" s="1302"/>
      <c r="X533" s="1302"/>
      <c r="Y533" s="1302"/>
      <c r="Z533" s="1302"/>
    </row>
    <row r="534" spans="1:26" ht="18.75" hidden="1">
      <c r="A534" s="1319"/>
      <c r="B534" s="1324"/>
      <c r="C534" s="1320"/>
      <c r="D534" s="1320"/>
      <c r="E534" s="1320" t="s">
        <v>18</v>
      </c>
      <c r="F534" s="1320"/>
      <c r="G534" s="1322"/>
      <c r="H534" s="165" t="s">
        <v>12</v>
      </c>
      <c r="I534" s="1000"/>
      <c r="J534" s="1000"/>
      <c r="K534" s="1001"/>
      <c r="L534" s="887">
        <v>0</v>
      </c>
      <c r="M534" s="887">
        <v>0</v>
      </c>
      <c r="N534" s="887">
        <v>0</v>
      </c>
      <c r="O534" s="887">
        <f t="shared" si="232"/>
        <v>0</v>
      </c>
      <c r="P534" s="887">
        <f t="shared" si="233"/>
        <v>0</v>
      </c>
      <c r="Q534" s="1323"/>
      <c r="R534" s="1323"/>
      <c r="S534" s="1323"/>
      <c r="T534" s="1323"/>
      <c r="U534" s="1323"/>
      <c r="V534" s="1323"/>
      <c r="W534" s="1323"/>
      <c r="X534" s="1323"/>
      <c r="Y534" s="1323"/>
      <c r="Z534" s="1323"/>
    </row>
    <row r="535" spans="1:26" ht="18.75" hidden="1">
      <c r="A535" s="1319"/>
      <c r="B535" s="1324"/>
      <c r="C535" s="1320"/>
      <c r="D535" s="1320"/>
      <c r="E535" s="1320" t="s">
        <v>19</v>
      </c>
      <c r="F535" s="1320"/>
      <c r="G535" s="1322"/>
      <c r="H535" s="169" t="s">
        <v>12</v>
      </c>
      <c r="I535" s="1000"/>
      <c r="J535" s="1000"/>
      <c r="K535" s="1001"/>
      <c r="L535" s="887">
        <f ca="1">IFERROR(__xludf.DUMMYFUNCTION("IMPORTRANGE(""https://docs.google.com/spreadsheets/d/1QqKyyYR6Q21VydFLVH3TRQUabQu_ym0Zz7PgGX0-kHA/edit?usp=sharing"",""แผน!GT78"")"),0)</f>
        <v>0</v>
      </c>
      <c r="M535" s="887">
        <v>0</v>
      </c>
      <c r="N535" s="887">
        <v>0</v>
      </c>
      <c r="O535" s="887">
        <f t="shared" ca="1" si="232"/>
        <v>0</v>
      </c>
      <c r="P535" s="887">
        <f t="shared" si="233"/>
        <v>0</v>
      </c>
      <c r="Q535" s="1323"/>
      <c r="R535" s="1323"/>
      <c r="S535" s="1323"/>
      <c r="T535" s="1323"/>
      <c r="U535" s="1323"/>
      <c r="V535" s="1323"/>
      <c r="W535" s="1323"/>
      <c r="X535" s="1323"/>
      <c r="Y535" s="1323"/>
      <c r="Z535" s="1323"/>
    </row>
    <row r="536" spans="1:26" ht="19.5" hidden="1">
      <c r="A536" s="1326"/>
      <c r="B536" s="1327"/>
      <c r="C536" s="1301" t="s">
        <v>16</v>
      </c>
      <c r="D536" s="1380" t="s">
        <v>38</v>
      </c>
      <c r="E536" s="1330"/>
      <c r="F536" s="1330"/>
      <c r="G536" s="1331"/>
      <c r="H536" s="1007"/>
      <c r="I536" s="997"/>
      <c r="J536" s="997"/>
      <c r="K536" s="998"/>
      <c r="L536" s="998"/>
      <c r="M536" s="998"/>
      <c r="N536" s="998"/>
      <c r="O536" s="998"/>
      <c r="P536" s="998"/>
      <c r="Q536" s="1302"/>
      <c r="R536" s="1302"/>
      <c r="S536" s="1302"/>
      <c r="T536" s="1302"/>
      <c r="U536" s="1302"/>
      <c r="V536" s="1302"/>
      <c r="W536" s="1302"/>
      <c r="X536" s="1302"/>
      <c r="Y536" s="1302"/>
      <c r="Z536" s="1302"/>
    </row>
    <row r="537" spans="1:26" ht="19.5" hidden="1">
      <c r="A537" s="1299"/>
      <c r="B537" s="1300"/>
      <c r="C537" s="1301"/>
      <c r="D537" s="1301" t="s">
        <v>228</v>
      </c>
      <c r="E537" s="1301"/>
      <c r="F537" s="1301"/>
      <c r="G537" s="1016"/>
      <c r="H537" s="622" t="s">
        <v>35</v>
      </c>
      <c r="I537" s="1019">
        <f ca="1">IFERROR(__xludf.DUMMYFUNCTION("IMPORTRANGE(""https://docs.google.com/spreadsheets/d/1QqKyyYR6Q21VydFLVH3TRQUabQu_ym0Zz7PgGX0-kHA/edit?usp=sharing"",""แผน!GU78"")"),0)</f>
        <v>0</v>
      </c>
      <c r="J537" s="1019">
        <f ca="1">IF(AND(J538=I538,J539=I539,J540=I540,J541=I541),I537,0)</f>
        <v>0</v>
      </c>
      <c r="K537" s="881">
        <f t="shared" ref="K537:K543" ca="1" si="234">IF(I537&gt;0,J537*100/I537,0)</f>
        <v>0</v>
      </c>
      <c r="L537" s="881"/>
      <c r="M537" s="881"/>
      <c r="N537" s="881"/>
      <c r="O537" s="881"/>
      <c r="P537" s="881"/>
      <c r="Q537" s="1381"/>
      <c r="R537" s="1381"/>
      <c r="S537" s="1381"/>
      <c r="T537" s="1381"/>
      <c r="U537" s="1381"/>
      <c r="V537" s="1381"/>
      <c r="W537" s="1381"/>
      <c r="X537" s="1381"/>
      <c r="Y537" s="1381"/>
      <c r="Z537" s="1381"/>
    </row>
    <row r="538" spans="1:26" ht="18.75" hidden="1">
      <c r="A538" s="1299"/>
      <c r="B538" s="1300"/>
      <c r="C538" s="1301"/>
      <c r="D538" s="1301"/>
      <c r="E538" s="1301" t="s">
        <v>229</v>
      </c>
      <c r="F538" s="1301"/>
      <c r="G538" s="1016"/>
      <c r="H538" s="622" t="s">
        <v>35</v>
      </c>
      <c r="I538" s="880">
        <f ca="1">IFERROR(__xludf.DUMMYFUNCTION("IMPORTRANGE(""https://docs.google.com/spreadsheets/d/1QqKyyYR6Q21VydFLVH3TRQUabQu_ym0Zz7PgGX0-kHA/edit?usp=sharing"",""แผน!GV78"")"),0)</f>
        <v>0</v>
      </c>
      <c r="J538" s="1012">
        <v>0</v>
      </c>
      <c r="K538" s="881">
        <f t="shared" ca="1" si="234"/>
        <v>0</v>
      </c>
      <c r="L538" s="881"/>
      <c r="M538" s="881"/>
      <c r="N538" s="881"/>
      <c r="O538" s="881"/>
      <c r="P538" s="881"/>
      <c r="Q538" s="1381"/>
      <c r="R538" s="1381"/>
      <c r="S538" s="1381"/>
      <c r="T538" s="1381"/>
      <c r="U538" s="1381"/>
      <c r="V538" s="1381"/>
      <c r="W538" s="1381"/>
      <c r="X538" s="1381"/>
      <c r="Y538" s="1381"/>
      <c r="Z538" s="1381"/>
    </row>
    <row r="539" spans="1:26" ht="18.75" hidden="1">
      <c r="A539" s="1299"/>
      <c r="B539" s="1300"/>
      <c r="C539" s="1301"/>
      <c r="D539" s="1301"/>
      <c r="E539" s="1301" t="s">
        <v>230</v>
      </c>
      <c r="F539" s="1301"/>
      <c r="G539" s="1016"/>
      <c r="H539" s="622" t="s">
        <v>35</v>
      </c>
      <c r="I539" s="880">
        <f ca="1">IFERROR(__xludf.DUMMYFUNCTION("IMPORTRANGE(""https://docs.google.com/spreadsheets/d/1QqKyyYR6Q21VydFLVH3TRQUabQu_ym0Zz7PgGX0-kHA/edit?usp=sharing"",""แผน!GW78"")"),0)</f>
        <v>0</v>
      </c>
      <c r="J539" s="1012">
        <v>0</v>
      </c>
      <c r="K539" s="881">
        <f t="shared" ca="1" si="234"/>
        <v>0</v>
      </c>
      <c r="L539" s="881"/>
      <c r="M539" s="881"/>
      <c r="N539" s="881"/>
      <c r="O539" s="881"/>
      <c r="P539" s="881"/>
      <c r="Q539" s="1381"/>
      <c r="R539" s="1381"/>
      <c r="S539" s="1381"/>
      <c r="T539" s="1381"/>
      <c r="U539" s="1381"/>
      <c r="V539" s="1381"/>
      <c r="W539" s="1381"/>
      <c r="X539" s="1381"/>
      <c r="Y539" s="1381"/>
      <c r="Z539" s="1381"/>
    </row>
    <row r="540" spans="1:26" ht="18.75" hidden="1">
      <c r="A540" s="1299"/>
      <c r="B540" s="1300"/>
      <c r="C540" s="1301"/>
      <c r="D540" s="1301"/>
      <c r="E540" s="1301" t="s">
        <v>231</v>
      </c>
      <c r="F540" s="1301"/>
      <c r="G540" s="1016"/>
      <c r="H540" s="622" t="s">
        <v>35</v>
      </c>
      <c r="I540" s="880">
        <f ca="1">IFERROR(__xludf.DUMMYFUNCTION("IMPORTRANGE(""https://docs.google.com/spreadsheets/d/1QqKyyYR6Q21VydFLVH3TRQUabQu_ym0Zz7PgGX0-kHA/edit?usp=sharing"",""แผน!GX78"")"),0)</f>
        <v>0</v>
      </c>
      <c r="J540" s="1012">
        <v>0</v>
      </c>
      <c r="K540" s="881">
        <f t="shared" ca="1" si="234"/>
        <v>0</v>
      </c>
      <c r="L540" s="881"/>
      <c r="M540" s="881"/>
      <c r="N540" s="881"/>
      <c r="O540" s="881"/>
      <c r="P540" s="881"/>
      <c r="Q540" s="1381"/>
      <c r="R540" s="1381"/>
      <c r="S540" s="1381"/>
      <c r="T540" s="1381"/>
      <c r="U540" s="1381"/>
      <c r="V540" s="1381"/>
      <c r="W540" s="1381"/>
      <c r="X540" s="1381"/>
      <c r="Y540" s="1381"/>
      <c r="Z540" s="1381"/>
    </row>
    <row r="541" spans="1:26" ht="18.75" hidden="1">
      <c r="A541" s="1299"/>
      <c r="B541" s="1300"/>
      <c r="C541" s="1301"/>
      <c r="D541" s="1301"/>
      <c r="E541" s="1382" t="s">
        <v>232</v>
      </c>
      <c r="F541" s="1301"/>
      <c r="G541" s="1016"/>
      <c r="H541" s="622" t="s">
        <v>35</v>
      </c>
      <c r="I541" s="880">
        <f ca="1">IFERROR(__xludf.DUMMYFUNCTION("IMPORTRANGE(""https://docs.google.com/spreadsheets/d/1QqKyyYR6Q21VydFLVH3TRQUabQu_ym0Zz7PgGX0-kHA/edit?usp=sharing"",""แผน!GY78"")"),0)</f>
        <v>0</v>
      </c>
      <c r="J541" s="1012">
        <v>0</v>
      </c>
      <c r="K541" s="881">
        <f t="shared" ca="1" si="234"/>
        <v>0</v>
      </c>
      <c r="L541" s="881"/>
      <c r="M541" s="881"/>
      <c r="N541" s="881"/>
      <c r="O541" s="881"/>
      <c r="P541" s="881"/>
      <c r="Q541" s="1381"/>
      <c r="R541" s="1381"/>
      <c r="S541" s="1381"/>
      <c r="T541" s="1381"/>
      <c r="U541" s="1381"/>
      <c r="V541" s="1381"/>
      <c r="W541" s="1381"/>
      <c r="X541" s="1381"/>
      <c r="Y541" s="1381"/>
      <c r="Z541" s="1381"/>
    </row>
    <row r="542" spans="1:26" ht="18.75" hidden="1">
      <c r="A542" s="1299"/>
      <c r="B542" s="1300"/>
      <c r="C542" s="1301"/>
      <c r="D542" s="1301" t="s">
        <v>59</v>
      </c>
      <c r="E542" s="1301"/>
      <c r="F542" s="1301"/>
      <c r="G542" s="1016"/>
      <c r="H542" s="622" t="s">
        <v>35</v>
      </c>
      <c r="I542" s="880">
        <f ca="1">IFERROR(__xludf.DUMMYFUNCTION("IMPORTRANGE(""https://docs.google.com/spreadsheets/d/1QqKyyYR6Q21VydFLVH3TRQUabQu_ym0Zz7PgGX0-kHA/edit?usp=sharing"",""แผน!GZ78"")"),0)</f>
        <v>0</v>
      </c>
      <c r="J542" s="1012">
        <v>0</v>
      </c>
      <c r="K542" s="881">
        <f t="shared" ca="1" si="234"/>
        <v>0</v>
      </c>
      <c r="L542" s="881"/>
      <c r="M542" s="881"/>
      <c r="N542" s="881"/>
      <c r="O542" s="881"/>
      <c r="P542" s="881"/>
      <c r="Q542" s="1381"/>
      <c r="R542" s="1381"/>
      <c r="S542" s="1381"/>
      <c r="T542" s="1381"/>
      <c r="U542" s="1381"/>
      <c r="V542" s="1381"/>
      <c r="W542" s="1381"/>
      <c r="X542" s="1381"/>
      <c r="Y542" s="1381"/>
      <c r="Z542" s="1381"/>
    </row>
    <row r="543" spans="1:26" ht="19.5">
      <c r="A543" s="662">
        <v>6</v>
      </c>
      <c r="B543" s="1383" t="s">
        <v>233</v>
      </c>
      <c r="C543" s="1369"/>
      <c r="D543" s="1369"/>
      <c r="E543" s="1369"/>
      <c r="F543" s="1369"/>
      <c r="G543" s="1370"/>
      <c r="H543" s="684" t="s">
        <v>46</v>
      </c>
      <c r="I543" s="1384">
        <f t="shared" ref="I543:J543" ca="1" si="235">I559</f>
        <v>29942</v>
      </c>
      <c r="J543" s="1384">
        <f t="shared" si="235"/>
        <v>0</v>
      </c>
      <c r="K543" s="1385">
        <f t="shared" ca="1" si="234"/>
        <v>0</v>
      </c>
      <c r="L543" s="1372"/>
      <c r="M543" s="1372"/>
      <c r="N543" s="1372"/>
      <c r="O543" s="1372"/>
      <c r="P543" s="1372"/>
      <c r="Q543" s="1302"/>
      <c r="R543" s="1302"/>
      <c r="S543" s="1302"/>
      <c r="T543" s="1302"/>
      <c r="U543" s="1302"/>
      <c r="V543" s="1302"/>
      <c r="W543" s="1302"/>
      <c r="X543" s="1302"/>
      <c r="Y543" s="1302"/>
      <c r="Z543" s="1302"/>
    </row>
    <row r="544" spans="1:26" ht="19.5">
      <c r="A544" s="1386"/>
      <c r="B544" s="1387"/>
      <c r="C544" s="1387" t="s">
        <v>16</v>
      </c>
      <c r="D544" s="1388" t="s">
        <v>17</v>
      </c>
      <c r="E544" s="846"/>
      <c r="F544" s="846"/>
      <c r="G544" s="1389"/>
      <c r="H544" s="275" t="s">
        <v>12</v>
      </c>
      <c r="I544" s="990"/>
      <c r="J544" s="990"/>
      <c r="K544" s="991"/>
      <c r="L544" s="992">
        <f t="shared" ref="L544:N544" ca="1" si="236">L545+L546</f>
        <v>305575</v>
      </c>
      <c r="M544" s="992">
        <f t="shared" ca="1" si="236"/>
        <v>305575</v>
      </c>
      <c r="N544" s="992">
        <f t="shared" si="236"/>
        <v>157472.68</v>
      </c>
      <c r="O544" s="992">
        <f t="shared" ref="O544:O549" ca="1" si="237">IF(L544&gt;0,N544*100/L544,0)</f>
        <v>51.533234066923015</v>
      </c>
      <c r="P544" s="992">
        <f t="shared" ref="P544:P549" ca="1" si="238">IF(M544&gt;0,N544*100/M544,0)</f>
        <v>51.533234066923015</v>
      </c>
      <c r="Q544" s="1302"/>
      <c r="R544" s="1302"/>
      <c r="S544" s="1302"/>
      <c r="T544" s="1302"/>
      <c r="U544" s="1302"/>
      <c r="V544" s="1302"/>
      <c r="W544" s="1302"/>
      <c r="X544" s="1302"/>
      <c r="Y544" s="1302"/>
      <c r="Z544" s="1302"/>
    </row>
    <row r="545" spans="1:26" ht="18.75" hidden="1">
      <c r="A545" s="1319"/>
      <c r="B545" s="1320"/>
      <c r="C545" s="1320"/>
      <c r="D545" s="1320"/>
      <c r="E545" s="1320" t="s">
        <v>185</v>
      </c>
      <c r="F545" s="1320"/>
      <c r="G545" s="1322"/>
      <c r="H545" s="165" t="s">
        <v>12</v>
      </c>
      <c r="I545" s="886"/>
      <c r="J545" s="886"/>
      <c r="K545" s="887"/>
      <c r="L545" s="887">
        <f t="shared" ref="L545:L546" si="239">L548+L556</f>
        <v>0</v>
      </c>
      <c r="M545" s="887">
        <f t="shared" ref="M545:N546" si="240">M548+M555</f>
        <v>0</v>
      </c>
      <c r="N545" s="887">
        <f t="shared" si="240"/>
        <v>0</v>
      </c>
      <c r="O545" s="887">
        <f t="shared" si="237"/>
        <v>0</v>
      </c>
      <c r="P545" s="887">
        <f t="shared" si="238"/>
        <v>0</v>
      </c>
      <c r="Q545" s="1323"/>
      <c r="R545" s="1323"/>
      <c r="S545" s="1323"/>
      <c r="T545" s="1323"/>
      <c r="U545" s="1323"/>
      <c r="V545" s="1323"/>
      <c r="W545" s="1323"/>
      <c r="X545" s="1323"/>
      <c r="Y545" s="1323"/>
      <c r="Z545" s="1323"/>
    </row>
    <row r="546" spans="1:26" ht="18.75" hidden="1">
      <c r="A546" s="1319"/>
      <c r="B546" s="1324"/>
      <c r="C546" s="1320"/>
      <c r="D546" s="1320"/>
      <c r="E546" s="1320" t="s">
        <v>186</v>
      </c>
      <c r="F546" s="1320"/>
      <c r="G546" s="1322"/>
      <c r="H546" s="165" t="s">
        <v>12</v>
      </c>
      <c r="I546" s="886"/>
      <c r="J546" s="886"/>
      <c r="K546" s="887"/>
      <c r="L546" s="887">
        <f t="shared" ca="1" si="239"/>
        <v>305575</v>
      </c>
      <c r="M546" s="887">
        <f t="shared" ca="1" si="240"/>
        <v>305575</v>
      </c>
      <c r="N546" s="887">
        <f t="shared" si="240"/>
        <v>157472.68</v>
      </c>
      <c r="O546" s="887">
        <f t="shared" ca="1" si="237"/>
        <v>51.533234066923015</v>
      </c>
      <c r="P546" s="887">
        <f t="shared" ca="1" si="238"/>
        <v>51.533234066923015</v>
      </c>
      <c r="Q546" s="1323"/>
      <c r="R546" s="1323"/>
      <c r="S546" s="1323"/>
      <c r="T546" s="1323"/>
      <c r="U546" s="1323"/>
      <c r="V546" s="1323"/>
      <c r="W546" s="1323"/>
      <c r="X546" s="1323"/>
      <c r="Y546" s="1323"/>
      <c r="Z546" s="1323"/>
    </row>
    <row r="547" spans="1:26" ht="18.75">
      <c r="A547" s="1317"/>
      <c r="B547" s="1300"/>
      <c r="C547" s="1301"/>
      <c r="D547" s="1325" t="s">
        <v>20</v>
      </c>
      <c r="E547" s="1301"/>
      <c r="F547" s="1301"/>
      <c r="G547" s="1016"/>
      <c r="H547" s="161" t="s">
        <v>12</v>
      </c>
      <c r="I547" s="997"/>
      <c r="J547" s="997"/>
      <c r="K547" s="998"/>
      <c r="L547" s="881">
        <f t="shared" ref="L547:N547" ca="1" si="241">L548+L549</f>
        <v>305575</v>
      </c>
      <c r="M547" s="881">
        <f t="shared" ca="1" si="241"/>
        <v>305575</v>
      </c>
      <c r="N547" s="881">
        <f t="shared" si="241"/>
        <v>157472.68</v>
      </c>
      <c r="O547" s="881">
        <f t="shared" ca="1" si="237"/>
        <v>51.533234066923015</v>
      </c>
      <c r="P547" s="881">
        <f t="shared" ca="1" si="238"/>
        <v>51.533234066923015</v>
      </c>
      <c r="Q547" s="1302"/>
      <c r="R547" s="1302"/>
      <c r="S547" s="1302"/>
      <c r="T547" s="1302"/>
      <c r="U547" s="1302"/>
      <c r="V547" s="1302"/>
      <c r="W547" s="1302"/>
      <c r="X547" s="1302"/>
      <c r="Y547" s="1302"/>
      <c r="Z547" s="1302"/>
    </row>
    <row r="548" spans="1:26" ht="18.75" hidden="1">
      <c r="A548" s="1319"/>
      <c r="B548" s="1324"/>
      <c r="C548" s="1320"/>
      <c r="D548" s="1321"/>
      <c r="E548" s="1320" t="s">
        <v>185</v>
      </c>
      <c r="F548" s="1320"/>
      <c r="G548" s="1322"/>
      <c r="H548" s="165" t="s">
        <v>12</v>
      </c>
      <c r="I548" s="886"/>
      <c r="J548" s="886"/>
      <c r="K548" s="887"/>
      <c r="L548" s="887">
        <v>0</v>
      </c>
      <c r="M548" s="887">
        <v>0</v>
      </c>
      <c r="N548" s="887">
        <v>0</v>
      </c>
      <c r="O548" s="887">
        <f t="shared" si="237"/>
        <v>0</v>
      </c>
      <c r="P548" s="887">
        <f t="shared" si="238"/>
        <v>0</v>
      </c>
      <c r="Q548" s="1323"/>
      <c r="R548" s="1323"/>
      <c r="S548" s="1323"/>
      <c r="T548" s="1323"/>
      <c r="U548" s="1323"/>
      <c r="V548" s="1323"/>
      <c r="W548" s="1323"/>
      <c r="X548" s="1323"/>
      <c r="Y548" s="1323"/>
      <c r="Z548" s="1323"/>
    </row>
    <row r="549" spans="1:26" ht="18.75" hidden="1">
      <c r="A549" s="1319"/>
      <c r="B549" s="1324"/>
      <c r="C549" s="1320"/>
      <c r="D549" s="1321"/>
      <c r="E549" s="1320" t="s">
        <v>186</v>
      </c>
      <c r="F549" s="1320"/>
      <c r="G549" s="1322"/>
      <c r="H549" s="165" t="s">
        <v>12</v>
      </c>
      <c r="I549" s="886"/>
      <c r="J549" s="886"/>
      <c r="K549" s="887"/>
      <c r="L549" s="887">
        <f ca="1">IFERROR(__xludf.DUMMYFUNCTION("IMPORTRANGE(""https://docs.google.com/spreadsheets/d/1QqKyyYR6Q21VydFLVH3TRQUabQu_ym0Zz7PgGX0-kHA/edit?usp=sharing"",""แผน!HB78"")"),305575)</f>
        <v>305575</v>
      </c>
      <c r="M549" s="887">
        <f ca="1">L549</f>
        <v>305575</v>
      </c>
      <c r="N549" s="887">
        <f>N550+N551+N552+N553+N554</f>
        <v>157472.68</v>
      </c>
      <c r="O549" s="887">
        <f t="shared" ca="1" si="237"/>
        <v>51.533234066923015</v>
      </c>
      <c r="P549" s="887">
        <f t="shared" ca="1" si="238"/>
        <v>51.533234066923015</v>
      </c>
      <c r="Q549" s="1323"/>
      <c r="R549" s="1323"/>
      <c r="S549" s="1323"/>
      <c r="T549" s="1323"/>
      <c r="U549" s="1323"/>
      <c r="V549" s="1323"/>
      <c r="W549" s="1323"/>
      <c r="X549" s="1323"/>
      <c r="Y549" s="1323"/>
      <c r="Z549" s="1323"/>
    </row>
    <row r="550" spans="1:26" ht="18.75">
      <c r="A550" s="1299"/>
      <c r="B550" s="1300"/>
      <c r="C550" s="1301"/>
      <c r="D550" s="1301"/>
      <c r="E550" s="1301"/>
      <c r="F550" s="1301" t="s">
        <v>187</v>
      </c>
      <c r="G550" s="1016"/>
      <c r="H550" s="161" t="s">
        <v>12</v>
      </c>
      <c r="I550" s="880"/>
      <c r="J550" s="880"/>
      <c r="K550" s="881"/>
      <c r="L550" s="881"/>
      <c r="M550" s="881"/>
      <c r="N550" s="1085">
        <f>25460+3480</f>
        <v>28940</v>
      </c>
      <c r="O550" s="881"/>
      <c r="P550" s="881"/>
      <c r="Q550" s="1302"/>
      <c r="R550" s="1302"/>
      <c r="S550" s="1302"/>
      <c r="T550" s="1302"/>
      <c r="U550" s="1302"/>
      <c r="V550" s="1302"/>
      <c r="W550" s="1302"/>
      <c r="X550" s="1302"/>
      <c r="Y550" s="1302"/>
      <c r="Z550" s="1302"/>
    </row>
    <row r="551" spans="1:26" ht="18.75">
      <c r="A551" s="1299"/>
      <c r="B551" s="1300"/>
      <c r="C551" s="1300"/>
      <c r="D551" s="1300"/>
      <c r="E551" s="1301"/>
      <c r="F551" s="1301" t="s">
        <v>188</v>
      </c>
      <c r="G551" s="1016"/>
      <c r="H551" s="161" t="s">
        <v>12</v>
      </c>
      <c r="I551" s="880"/>
      <c r="J551" s="880"/>
      <c r="K551" s="881"/>
      <c r="L551" s="881"/>
      <c r="M551" s="881"/>
      <c r="N551" s="1085">
        <f>18230+8120</f>
        <v>26350</v>
      </c>
      <c r="O551" s="881"/>
      <c r="P551" s="881"/>
      <c r="Q551" s="1302"/>
      <c r="R551" s="1302"/>
      <c r="S551" s="1302"/>
      <c r="T551" s="1302"/>
      <c r="U551" s="1302"/>
      <c r="V551" s="1302"/>
      <c r="W551" s="1302"/>
      <c r="X551" s="1302"/>
      <c r="Y551" s="1302"/>
      <c r="Z551" s="1302"/>
    </row>
    <row r="552" spans="1:26" ht="18.75">
      <c r="A552" s="1299"/>
      <c r="B552" s="1300"/>
      <c r="C552" s="1301"/>
      <c r="D552" s="1301"/>
      <c r="E552" s="1301"/>
      <c r="F552" s="1301" t="s">
        <v>189</v>
      </c>
      <c r="G552" s="1016"/>
      <c r="H552" s="161" t="s">
        <v>12</v>
      </c>
      <c r="I552" s="880"/>
      <c r="J552" s="880"/>
      <c r="K552" s="881"/>
      <c r="L552" s="881"/>
      <c r="M552" s="881"/>
      <c r="N552" s="1085">
        <f>12566.67+12566.67+12566.67+12566.67</f>
        <v>50266.68</v>
      </c>
      <c r="O552" s="881"/>
      <c r="P552" s="881"/>
      <c r="Q552" s="1302"/>
      <c r="R552" s="1302"/>
      <c r="S552" s="1302"/>
      <c r="T552" s="1302"/>
      <c r="U552" s="1302"/>
      <c r="V552" s="1302"/>
      <c r="W552" s="1302"/>
      <c r="X552" s="1302"/>
      <c r="Y552" s="1302"/>
      <c r="Z552" s="1302"/>
    </row>
    <row r="553" spans="1:26" ht="18.75">
      <c r="A553" s="1299"/>
      <c r="B553" s="1300"/>
      <c r="C553" s="1300"/>
      <c r="D553" s="1300"/>
      <c r="E553" s="1301"/>
      <c r="F553" s="1301" t="s">
        <v>190</v>
      </c>
      <c r="G553" s="1016"/>
      <c r="H553" s="161" t="s">
        <v>12</v>
      </c>
      <c r="I553" s="880"/>
      <c r="J553" s="880"/>
      <c r="K553" s="881"/>
      <c r="L553" s="881"/>
      <c r="M553" s="881"/>
      <c r="N553" s="1085">
        <f>4533+3508+17583+432+2240+1820+3380+1220+1920+1220+10760+3300</f>
        <v>51916</v>
      </c>
      <c r="O553" s="881"/>
      <c r="P553" s="881"/>
      <c r="Q553" s="1302"/>
      <c r="R553" s="1302"/>
      <c r="S553" s="1302"/>
      <c r="T553" s="1302"/>
      <c r="U553" s="1302"/>
      <c r="V553" s="1302"/>
      <c r="W553" s="1302"/>
      <c r="X553" s="1302"/>
      <c r="Y553" s="1302"/>
      <c r="Z553" s="1302"/>
    </row>
    <row r="554" spans="1:26" ht="18.75">
      <c r="A554" s="1299"/>
      <c r="B554" s="1300"/>
      <c r="C554" s="1300"/>
      <c r="D554" s="1300"/>
      <c r="E554" s="1301"/>
      <c r="F554" s="1301" t="s">
        <v>234</v>
      </c>
      <c r="G554" s="1016"/>
      <c r="H554" s="161" t="s">
        <v>12</v>
      </c>
      <c r="I554" s="880"/>
      <c r="J554" s="880"/>
      <c r="K554" s="881"/>
      <c r="L554" s="881"/>
      <c r="M554" s="881"/>
      <c r="N554" s="1085">
        <v>0</v>
      </c>
      <c r="O554" s="881"/>
      <c r="P554" s="881"/>
      <c r="Q554" s="1302"/>
      <c r="R554" s="1302"/>
      <c r="S554" s="1302"/>
      <c r="T554" s="1302"/>
      <c r="U554" s="1302"/>
      <c r="V554" s="1302"/>
      <c r="W554" s="1302"/>
      <c r="X554" s="1302"/>
      <c r="Y554" s="1302"/>
      <c r="Z554" s="1302"/>
    </row>
    <row r="555" spans="1:26" ht="18.75">
      <c r="A555" s="1317"/>
      <c r="B555" s="1300"/>
      <c r="C555" s="1300"/>
      <c r="D555" s="1325" t="s">
        <v>21</v>
      </c>
      <c r="E555" s="1301"/>
      <c r="F555" s="1301"/>
      <c r="G555" s="1016"/>
      <c r="H555" s="168" t="s">
        <v>12</v>
      </c>
      <c r="I555" s="997"/>
      <c r="J555" s="997"/>
      <c r="K555" s="998"/>
      <c r="L555" s="881">
        <f t="shared" ref="L555:N555" ca="1" si="242">L556+L557</f>
        <v>0</v>
      </c>
      <c r="M555" s="881">
        <f t="shared" si="242"/>
        <v>0</v>
      </c>
      <c r="N555" s="881">
        <f t="shared" si="242"/>
        <v>0</v>
      </c>
      <c r="O555" s="881">
        <f t="shared" ref="O555:O557" ca="1" si="243">IF(L555&gt;0,N555*100/L555,0)</f>
        <v>0</v>
      </c>
      <c r="P555" s="881">
        <f t="shared" ref="P555:P557" si="244">IF(M555&gt;0,N555*100/M555,0)</f>
        <v>0</v>
      </c>
      <c r="Q555" s="1302"/>
      <c r="R555" s="1302"/>
      <c r="S555" s="1302"/>
      <c r="T555" s="1302"/>
      <c r="U555" s="1302"/>
      <c r="V555" s="1302"/>
      <c r="W555" s="1302"/>
      <c r="X555" s="1302"/>
      <c r="Y555" s="1302"/>
      <c r="Z555" s="1302"/>
    </row>
    <row r="556" spans="1:26" ht="18.75" hidden="1">
      <c r="A556" s="1319"/>
      <c r="B556" s="1324"/>
      <c r="C556" s="1324"/>
      <c r="D556" s="1320"/>
      <c r="E556" s="1320" t="s">
        <v>18</v>
      </c>
      <c r="F556" s="1320"/>
      <c r="G556" s="1322"/>
      <c r="H556" s="165" t="s">
        <v>12</v>
      </c>
      <c r="I556" s="1000"/>
      <c r="J556" s="1000"/>
      <c r="K556" s="1001"/>
      <c r="L556" s="887">
        <v>0</v>
      </c>
      <c r="M556" s="887">
        <v>0</v>
      </c>
      <c r="N556" s="887">
        <v>0</v>
      </c>
      <c r="O556" s="887">
        <f t="shared" si="243"/>
        <v>0</v>
      </c>
      <c r="P556" s="887">
        <f t="shared" si="244"/>
        <v>0</v>
      </c>
      <c r="Q556" s="1323"/>
      <c r="R556" s="1323"/>
      <c r="S556" s="1323"/>
      <c r="T556" s="1323"/>
      <c r="U556" s="1323"/>
      <c r="V556" s="1323"/>
      <c r="W556" s="1323"/>
      <c r="X556" s="1323"/>
      <c r="Y556" s="1323"/>
      <c r="Z556" s="1323"/>
    </row>
    <row r="557" spans="1:26" ht="18.75" hidden="1">
      <c r="A557" s="1319"/>
      <c r="B557" s="1324"/>
      <c r="C557" s="1324"/>
      <c r="D557" s="1320"/>
      <c r="E557" s="1320" t="s">
        <v>19</v>
      </c>
      <c r="F557" s="1320"/>
      <c r="G557" s="1322"/>
      <c r="H557" s="169" t="s">
        <v>12</v>
      </c>
      <c r="I557" s="1000"/>
      <c r="J557" s="1000"/>
      <c r="K557" s="1001"/>
      <c r="L557" s="887">
        <f ca="1">IFERROR(__xludf.DUMMYFUNCTION("IMPORTRANGE(""https://docs.google.com/spreadsheets/d/1QqKyyYR6Q21VydFLVH3TRQUabQu_ym0Zz7PgGX0-kHA/edit?usp=sharing"",""แผน!HF78"")"),0)</f>
        <v>0</v>
      </c>
      <c r="M557" s="887">
        <v>0</v>
      </c>
      <c r="N557" s="887">
        <v>0</v>
      </c>
      <c r="O557" s="887">
        <f t="shared" ca="1" si="243"/>
        <v>0</v>
      </c>
      <c r="P557" s="887">
        <f t="shared" si="244"/>
        <v>0</v>
      </c>
      <c r="Q557" s="1323"/>
      <c r="R557" s="1323"/>
      <c r="S557" s="1323"/>
      <c r="T557" s="1323"/>
      <c r="U557" s="1323"/>
      <c r="V557" s="1323"/>
      <c r="W557" s="1323"/>
      <c r="X557" s="1323"/>
      <c r="Y557" s="1323"/>
      <c r="Z557" s="1323"/>
    </row>
    <row r="558" spans="1:26" ht="19.5">
      <c r="A558" s="1326"/>
      <c r="B558" s="1327"/>
      <c r="C558" s="1300" t="s">
        <v>16</v>
      </c>
      <c r="D558" s="1380" t="s">
        <v>38</v>
      </c>
      <c r="E558" s="1330"/>
      <c r="F558" s="1330"/>
      <c r="G558" s="1331"/>
      <c r="H558" s="1007"/>
      <c r="I558" s="997"/>
      <c r="J558" s="997"/>
      <c r="K558" s="998"/>
      <c r="L558" s="998"/>
      <c r="M558" s="998"/>
      <c r="N558" s="998"/>
      <c r="O558" s="998"/>
      <c r="P558" s="998"/>
      <c r="Q558" s="1302"/>
      <c r="R558" s="1302"/>
      <c r="S558" s="1302"/>
      <c r="T558" s="1302"/>
      <c r="U558" s="1302"/>
      <c r="V558" s="1302"/>
      <c r="W558" s="1302"/>
      <c r="X558" s="1302"/>
      <c r="Y558" s="1302"/>
      <c r="Z558" s="1302"/>
    </row>
    <row r="559" spans="1:26" ht="19.5">
      <c r="A559" s="1390"/>
      <c r="B559" s="1391" t="s">
        <v>235</v>
      </c>
      <c r="C559" s="1392"/>
      <c r="D559" s="1392"/>
      <c r="E559" s="1375"/>
      <c r="F559" s="1375"/>
      <c r="G559" s="1376"/>
      <c r="H559" s="693" t="s">
        <v>46</v>
      </c>
      <c r="I559" s="1377">
        <f t="shared" ref="I559:J559" ca="1" si="245">I576</f>
        <v>29942</v>
      </c>
      <c r="J559" s="1377">
        <f t="shared" si="245"/>
        <v>0</v>
      </c>
      <c r="K559" s="1378">
        <f t="shared" ref="K559:K561" ca="1" si="246">IF(I559&gt;0,J559*100/I559,0)</f>
        <v>0</v>
      </c>
      <c r="L559" s="1379"/>
      <c r="M559" s="1379"/>
      <c r="N559" s="1379"/>
      <c r="O559" s="1379"/>
      <c r="P559" s="1379"/>
      <c r="Q559" s="1302"/>
      <c r="R559" s="1302"/>
      <c r="S559" s="1302"/>
      <c r="T559" s="1302"/>
      <c r="U559" s="1302"/>
      <c r="V559" s="1302"/>
      <c r="W559" s="1302"/>
      <c r="X559" s="1302"/>
      <c r="Y559" s="1302"/>
      <c r="Z559" s="1302"/>
    </row>
    <row r="560" spans="1:26" ht="19.5">
      <c r="A560" s="1326"/>
      <c r="B560" s="1327"/>
      <c r="C560" s="1336" t="s">
        <v>236</v>
      </c>
      <c r="D560" s="1327"/>
      <c r="E560" s="1014"/>
      <c r="F560" s="1014"/>
      <c r="G560" s="1007"/>
      <c r="H560" s="765" t="s">
        <v>46</v>
      </c>
      <c r="I560" s="1018">
        <f ca="1">IFERROR(__xludf.DUMMYFUNCTION("IMPORTRANGE(""https://docs.google.com/spreadsheets/d/1QqKyyYR6Q21VydFLVH3TRQUabQu_ym0Zz7PgGX0-kHA/edit?usp=sharing"",""แผน!HH78"")"),29942)</f>
        <v>29942</v>
      </c>
      <c r="J560" s="1018">
        <f t="shared" ref="J560:J561" si="247">J562+J564+J566</f>
        <v>29942</v>
      </c>
      <c r="K560" s="1162">
        <f t="shared" ca="1" si="246"/>
        <v>100</v>
      </c>
      <c r="L560" s="998"/>
      <c r="M560" s="998"/>
      <c r="N560" s="998"/>
      <c r="O560" s="998"/>
      <c r="P560" s="998"/>
      <c r="Q560" s="1302"/>
      <c r="R560" s="1302"/>
      <c r="S560" s="1302"/>
      <c r="T560" s="1302"/>
      <c r="U560" s="1302"/>
      <c r="V560" s="1302"/>
      <c r="W560" s="1302"/>
      <c r="X560" s="1302"/>
      <c r="Y560" s="1302"/>
      <c r="Z560" s="1302"/>
    </row>
    <row r="561" spans="1:26" ht="19.5">
      <c r="A561" s="1326"/>
      <c r="B561" s="1327"/>
      <c r="C561" s="1327"/>
      <c r="D561" s="1014"/>
      <c r="E561" s="1014"/>
      <c r="F561" s="1014"/>
      <c r="G561" s="1007"/>
      <c r="H561" s="765" t="s">
        <v>34</v>
      </c>
      <c r="I561" s="1018">
        <f ca="1">IFERROR(__xludf.DUMMYFUNCTION("IMPORTRANGE(""https://docs.google.com/spreadsheets/d/1QqKyyYR6Q21VydFLVH3TRQUabQu_ym0Zz7PgGX0-kHA/edit?usp=sharing"",""แผน!HG78"")"),3752)</f>
        <v>3752</v>
      </c>
      <c r="J561" s="1018">
        <f t="shared" si="247"/>
        <v>3752</v>
      </c>
      <c r="K561" s="1162">
        <f t="shared" ca="1" si="246"/>
        <v>100</v>
      </c>
      <c r="L561" s="998"/>
      <c r="M561" s="998"/>
      <c r="N561" s="998"/>
      <c r="O561" s="998"/>
      <c r="P561" s="998"/>
      <c r="Q561" s="1302"/>
      <c r="R561" s="1302"/>
      <c r="S561" s="1302"/>
      <c r="T561" s="1302"/>
      <c r="U561" s="1302"/>
      <c r="V561" s="1302"/>
      <c r="W561" s="1302"/>
      <c r="X561" s="1302"/>
      <c r="Y561" s="1302"/>
      <c r="Z561" s="1302"/>
    </row>
    <row r="562" spans="1:26" ht="18.75">
      <c r="A562" s="1326"/>
      <c r="B562" s="1327"/>
      <c r="C562" s="1327"/>
      <c r="D562" s="1014" t="s">
        <v>237</v>
      </c>
      <c r="E562" s="1014"/>
      <c r="F562" s="1014"/>
      <c r="G562" s="1007"/>
      <c r="H562" s="762" t="s">
        <v>46</v>
      </c>
      <c r="I562" s="997"/>
      <c r="J562" s="1012">
        <v>25831</v>
      </c>
      <c r="K562" s="998"/>
      <c r="L562" s="998"/>
      <c r="M562" s="998"/>
      <c r="N562" s="998"/>
      <c r="O562" s="998"/>
      <c r="P562" s="998"/>
      <c r="Q562" s="1302"/>
      <c r="R562" s="1302"/>
      <c r="S562" s="1302"/>
      <c r="T562" s="1302"/>
      <c r="U562" s="1302"/>
      <c r="V562" s="1302"/>
      <c r="W562" s="1302"/>
      <c r="X562" s="1302"/>
      <c r="Y562" s="1302"/>
      <c r="Z562" s="1302"/>
    </row>
    <row r="563" spans="1:26" ht="18.75">
      <c r="A563" s="1326"/>
      <c r="B563" s="1327"/>
      <c r="C563" s="1327"/>
      <c r="D563" s="1327"/>
      <c r="E563" s="1014"/>
      <c r="F563" s="1014"/>
      <c r="G563" s="1007"/>
      <c r="H563" s="762" t="s">
        <v>34</v>
      </c>
      <c r="I563" s="997"/>
      <c r="J563" s="1012">
        <v>3325</v>
      </c>
      <c r="K563" s="998"/>
      <c r="L563" s="998"/>
      <c r="M563" s="998"/>
      <c r="N563" s="998"/>
      <c r="O563" s="998"/>
      <c r="P563" s="998"/>
      <c r="Q563" s="1302"/>
      <c r="R563" s="1302"/>
      <c r="S563" s="1302"/>
      <c r="T563" s="1302"/>
      <c r="U563" s="1302"/>
      <c r="V563" s="1302"/>
      <c r="W563" s="1302"/>
      <c r="X563" s="1302"/>
      <c r="Y563" s="1302"/>
      <c r="Z563" s="1302"/>
    </row>
    <row r="564" spans="1:26" ht="18.75">
      <c r="A564" s="1326"/>
      <c r="B564" s="1327"/>
      <c r="C564" s="1327"/>
      <c r="D564" s="1014" t="s">
        <v>238</v>
      </c>
      <c r="E564" s="1014"/>
      <c r="F564" s="1014"/>
      <c r="G564" s="1007"/>
      <c r="H564" s="762" t="s">
        <v>46</v>
      </c>
      <c r="I564" s="997"/>
      <c r="J564" s="1012">
        <v>3753</v>
      </c>
      <c r="K564" s="998"/>
      <c r="L564" s="998"/>
      <c r="M564" s="998"/>
      <c r="N564" s="998"/>
      <c r="O564" s="998"/>
      <c r="P564" s="998"/>
      <c r="Q564" s="1302"/>
      <c r="R564" s="1302"/>
      <c r="S564" s="1302"/>
      <c r="T564" s="1302"/>
      <c r="U564" s="1302"/>
      <c r="V564" s="1302"/>
      <c r="W564" s="1302"/>
      <c r="X564" s="1302"/>
      <c r="Y564" s="1302"/>
      <c r="Z564" s="1302"/>
    </row>
    <row r="565" spans="1:26" ht="18.75">
      <c r="A565" s="1326"/>
      <c r="B565" s="1327"/>
      <c r="C565" s="1327"/>
      <c r="D565" s="1014"/>
      <c r="E565" s="1014"/>
      <c r="F565" s="1014"/>
      <c r="G565" s="1007"/>
      <c r="H565" s="762" t="s">
        <v>34</v>
      </c>
      <c r="I565" s="997"/>
      <c r="J565" s="1012">
        <v>375</v>
      </c>
      <c r="K565" s="998"/>
      <c r="L565" s="998"/>
      <c r="M565" s="998"/>
      <c r="N565" s="998"/>
      <c r="O565" s="998"/>
      <c r="P565" s="998"/>
      <c r="Q565" s="1302"/>
      <c r="R565" s="1302"/>
      <c r="S565" s="1302"/>
      <c r="T565" s="1302"/>
      <c r="U565" s="1302"/>
      <c r="V565" s="1302"/>
      <c r="W565" s="1302"/>
      <c r="X565" s="1302"/>
      <c r="Y565" s="1302"/>
      <c r="Z565" s="1302"/>
    </row>
    <row r="566" spans="1:26" ht="18.75">
      <c r="A566" s="1326"/>
      <c r="B566" s="1327"/>
      <c r="C566" s="1327"/>
      <c r="D566" s="1014" t="s">
        <v>239</v>
      </c>
      <c r="E566" s="1014"/>
      <c r="F566" s="1014"/>
      <c r="G566" s="1007"/>
      <c r="H566" s="762" t="s">
        <v>46</v>
      </c>
      <c r="I566" s="997"/>
      <c r="J566" s="1012">
        <v>358</v>
      </c>
      <c r="K566" s="998"/>
      <c r="L566" s="998"/>
      <c r="M566" s="998"/>
      <c r="N566" s="998"/>
      <c r="O566" s="998"/>
      <c r="P566" s="998"/>
      <c r="Q566" s="1302"/>
      <c r="R566" s="1302"/>
      <c r="S566" s="1302"/>
      <c r="T566" s="1302"/>
      <c r="U566" s="1302"/>
      <c r="V566" s="1302"/>
      <c r="W566" s="1302"/>
      <c r="X566" s="1302"/>
      <c r="Y566" s="1302"/>
      <c r="Z566" s="1302"/>
    </row>
    <row r="567" spans="1:26" ht="18.75">
      <c r="A567" s="1326"/>
      <c r="B567" s="1327"/>
      <c r="C567" s="1327"/>
      <c r="D567" s="1014"/>
      <c r="E567" s="1014"/>
      <c r="F567" s="1014"/>
      <c r="G567" s="1007"/>
      <c r="H567" s="762" t="s">
        <v>34</v>
      </c>
      <c r="I567" s="997"/>
      <c r="J567" s="1012">
        <v>52</v>
      </c>
      <c r="K567" s="998"/>
      <c r="L567" s="998"/>
      <c r="M567" s="998"/>
      <c r="N567" s="998"/>
      <c r="O567" s="998"/>
      <c r="P567" s="998"/>
      <c r="Q567" s="1302"/>
      <c r="R567" s="1302"/>
      <c r="S567" s="1302"/>
      <c r="T567" s="1302"/>
      <c r="U567" s="1302"/>
      <c r="V567" s="1302"/>
      <c r="W567" s="1302"/>
      <c r="X567" s="1302"/>
      <c r="Y567" s="1302"/>
      <c r="Z567" s="1302"/>
    </row>
    <row r="568" spans="1:26" ht="19.5">
      <c r="A568" s="1326"/>
      <c r="B568" s="1327"/>
      <c r="C568" s="1336" t="s">
        <v>240</v>
      </c>
      <c r="D568" s="1014"/>
      <c r="E568" s="1014"/>
      <c r="F568" s="1014"/>
      <c r="G568" s="1007"/>
      <c r="H568" s="765" t="s">
        <v>46</v>
      </c>
      <c r="I568" s="1018">
        <f ca="1">IFERROR(__xludf.DUMMYFUNCTION("IMPORTRANGE(""https://docs.google.com/spreadsheets/d/1QqKyyYR6Q21VydFLVH3TRQUabQu_ym0Zz7PgGX0-kHA/edit?usp=sharing"",""แผน!HH78"")"),29942)</f>
        <v>29942</v>
      </c>
      <c r="J568" s="1019">
        <f t="shared" ref="J568:J569" si="248">J570+J572+J574</f>
        <v>29942</v>
      </c>
      <c r="K568" s="1162">
        <f t="shared" ref="K568:K569" ca="1" si="249">IF(I568&gt;0,J568*100/I568,0)</f>
        <v>100</v>
      </c>
      <c r="L568" s="998"/>
      <c r="M568" s="998"/>
      <c r="N568" s="998"/>
      <c r="O568" s="998"/>
      <c r="P568" s="998"/>
      <c r="Q568" s="1302"/>
      <c r="R568" s="1302"/>
      <c r="S568" s="1302"/>
      <c r="T568" s="1302"/>
      <c r="U568" s="1302"/>
      <c r="V568" s="1302"/>
      <c r="W568" s="1302"/>
      <c r="X568" s="1302"/>
      <c r="Y568" s="1302"/>
      <c r="Z568" s="1302"/>
    </row>
    <row r="569" spans="1:26" ht="19.5">
      <c r="A569" s="1326"/>
      <c r="B569" s="1327"/>
      <c r="C569" s="1327"/>
      <c r="D569" s="1327"/>
      <c r="E569" s="1014"/>
      <c r="F569" s="1014"/>
      <c r="G569" s="1007"/>
      <c r="H569" s="765" t="s">
        <v>34</v>
      </c>
      <c r="I569" s="1018">
        <f ca="1">IFERROR(__xludf.DUMMYFUNCTION("IMPORTRANGE(""https://docs.google.com/spreadsheets/d/1QqKyyYR6Q21VydFLVH3TRQUabQu_ym0Zz7PgGX0-kHA/edit?usp=sharing"",""แผน!HG78"")"),3752)</f>
        <v>3752</v>
      </c>
      <c r="J569" s="1019">
        <f t="shared" si="248"/>
        <v>3752</v>
      </c>
      <c r="K569" s="1162">
        <f t="shared" ca="1" si="249"/>
        <v>100</v>
      </c>
      <c r="L569" s="998"/>
      <c r="M569" s="998"/>
      <c r="N569" s="998"/>
      <c r="O569" s="998"/>
      <c r="P569" s="998"/>
      <c r="Q569" s="1302"/>
      <c r="R569" s="1302"/>
      <c r="S569" s="1302"/>
      <c r="T569" s="1302"/>
      <c r="U569" s="1302"/>
      <c r="V569" s="1302"/>
      <c r="W569" s="1302"/>
      <c r="X569" s="1302"/>
      <c r="Y569" s="1302"/>
      <c r="Z569" s="1302"/>
    </row>
    <row r="570" spans="1:26" ht="18.75">
      <c r="A570" s="1326"/>
      <c r="B570" s="1327"/>
      <c r="C570" s="1327"/>
      <c r="D570" s="1014" t="s">
        <v>241</v>
      </c>
      <c r="E570" s="1327"/>
      <c r="F570" s="1014"/>
      <c r="G570" s="1007"/>
      <c r="H570" s="762" t="s">
        <v>46</v>
      </c>
      <c r="I570" s="997"/>
      <c r="J570" s="1012">
        <v>25782</v>
      </c>
      <c r="K570" s="998"/>
      <c r="L570" s="998"/>
      <c r="M570" s="998"/>
      <c r="N570" s="998"/>
      <c r="O570" s="998"/>
      <c r="P570" s="998"/>
      <c r="Q570" s="1302"/>
      <c r="R570" s="1302"/>
      <c r="S570" s="1302"/>
      <c r="T570" s="1302"/>
      <c r="U570" s="1302"/>
      <c r="V570" s="1302"/>
      <c r="W570" s="1302"/>
      <c r="X570" s="1302"/>
      <c r="Y570" s="1302"/>
      <c r="Z570" s="1302"/>
    </row>
    <row r="571" spans="1:26" ht="18.75">
      <c r="A571" s="1326"/>
      <c r="B571" s="1327"/>
      <c r="C571" s="1327"/>
      <c r="D571" s="1327"/>
      <c r="E571" s="1014"/>
      <c r="F571" s="1014"/>
      <c r="G571" s="1007"/>
      <c r="H571" s="762" t="s">
        <v>34</v>
      </c>
      <c r="I571" s="997"/>
      <c r="J571" s="1012">
        <v>3314</v>
      </c>
      <c r="K571" s="998"/>
      <c r="L571" s="998"/>
      <c r="M571" s="998"/>
      <c r="N571" s="998"/>
      <c r="O571" s="998"/>
      <c r="P571" s="998"/>
      <c r="Q571" s="1302"/>
      <c r="R571" s="1302"/>
      <c r="S571" s="1302"/>
      <c r="T571" s="1302"/>
      <c r="U571" s="1302"/>
      <c r="V571" s="1302"/>
      <c r="W571" s="1302"/>
      <c r="X571" s="1302"/>
      <c r="Y571" s="1302"/>
      <c r="Z571" s="1302"/>
    </row>
    <row r="572" spans="1:26" ht="18.75">
      <c r="A572" s="1326"/>
      <c r="B572" s="1327"/>
      <c r="C572" s="1327"/>
      <c r="D572" s="1014" t="s">
        <v>242</v>
      </c>
      <c r="E572" s="1014"/>
      <c r="F572" s="1014"/>
      <c r="G572" s="1007"/>
      <c r="H572" s="762" t="s">
        <v>46</v>
      </c>
      <c r="I572" s="997"/>
      <c r="J572" s="1012">
        <v>3802</v>
      </c>
      <c r="K572" s="998"/>
      <c r="L572" s="998"/>
      <c r="M572" s="998"/>
      <c r="N572" s="998"/>
      <c r="O572" s="998"/>
      <c r="P572" s="998"/>
      <c r="Q572" s="1302"/>
      <c r="R572" s="1302"/>
      <c r="S572" s="1302"/>
      <c r="T572" s="1302"/>
      <c r="U572" s="1302"/>
      <c r="V572" s="1302"/>
      <c r="W572" s="1302"/>
      <c r="X572" s="1302"/>
      <c r="Y572" s="1302"/>
      <c r="Z572" s="1302"/>
    </row>
    <row r="573" spans="1:26" ht="18.75">
      <c r="A573" s="1326"/>
      <c r="B573" s="1327"/>
      <c r="C573" s="1327"/>
      <c r="D573" s="1014"/>
      <c r="E573" s="1014"/>
      <c r="F573" s="1014"/>
      <c r="G573" s="1007"/>
      <c r="H573" s="762" t="s">
        <v>34</v>
      </c>
      <c r="I573" s="997"/>
      <c r="J573" s="1012">
        <v>386</v>
      </c>
      <c r="K573" s="998"/>
      <c r="L573" s="998"/>
      <c r="M573" s="998"/>
      <c r="N573" s="998"/>
      <c r="O573" s="998"/>
      <c r="P573" s="998"/>
      <c r="Q573" s="1302"/>
      <c r="R573" s="1302"/>
      <c r="S573" s="1302"/>
      <c r="T573" s="1302"/>
      <c r="U573" s="1302"/>
      <c r="V573" s="1302"/>
      <c r="W573" s="1302"/>
      <c r="X573" s="1302"/>
      <c r="Y573" s="1302"/>
      <c r="Z573" s="1302"/>
    </row>
    <row r="574" spans="1:26" ht="18.75">
      <c r="A574" s="1326"/>
      <c r="B574" s="1327"/>
      <c r="C574" s="1327"/>
      <c r="D574" s="1014" t="s">
        <v>243</v>
      </c>
      <c r="E574" s="1014"/>
      <c r="F574" s="1014"/>
      <c r="G574" s="1007"/>
      <c r="H574" s="762" t="s">
        <v>46</v>
      </c>
      <c r="I574" s="997"/>
      <c r="J574" s="1012">
        <v>358</v>
      </c>
      <c r="K574" s="998"/>
      <c r="L574" s="998"/>
      <c r="M574" s="998"/>
      <c r="N574" s="998"/>
      <c r="O574" s="998"/>
      <c r="P574" s="998"/>
      <c r="Q574" s="1302"/>
      <c r="R574" s="1302"/>
      <c r="S574" s="1302"/>
      <c r="T574" s="1302"/>
      <c r="U574" s="1302"/>
      <c r="V574" s="1302"/>
      <c r="W574" s="1302"/>
      <c r="X574" s="1302"/>
      <c r="Y574" s="1302"/>
      <c r="Z574" s="1302"/>
    </row>
    <row r="575" spans="1:26" ht="18.75">
      <c r="A575" s="1326"/>
      <c r="B575" s="1327"/>
      <c r="C575" s="1327"/>
      <c r="D575" s="1327"/>
      <c r="E575" s="1014"/>
      <c r="F575" s="1014"/>
      <c r="G575" s="1007"/>
      <c r="H575" s="762" t="s">
        <v>34</v>
      </c>
      <c r="I575" s="997"/>
      <c r="J575" s="1012">
        <v>52</v>
      </c>
      <c r="K575" s="998"/>
      <c r="L575" s="998"/>
      <c r="M575" s="998"/>
      <c r="N575" s="998"/>
      <c r="O575" s="998"/>
      <c r="P575" s="998"/>
      <c r="Q575" s="1302"/>
      <c r="R575" s="1302"/>
      <c r="S575" s="1302"/>
      <c r="T575" s="1302"/>
      <c r="U575" s="1302"/>
      <c r="V575" s="1302"/>
      <c r="W575" s="1302"/>
      <c r="X575" s="1302"/>
      <c r="Y575" s="1302"/>
      <c r="Z575" s="1302"/>
    </row>
    <row r="576" spans="1:26" ht="19.5">
      <c r="A576" s="1326"/>
      <c r="B576" s="1327"/>
      <c r="C576" s="1336" t="s">
        <v>244</v>
      </c>
      <c r="D576" s="1327"/>
      <c r="E576" s="1327"/>
      <c r="F576" s="1014"/>
      <c r="G576" s="1007"/>
      <c r="H576" s="765" t="s">
        <v>46</v>
      </c>
      <c r="I576" s="1018">
        <f ca="1">IFERROR(__xludf.DUMMYFUNCTION("IMPORTRANGE(""https://docs.google.com/spreadsheets/d/1QqKyyYR6Q21VydFLVH3TRQUabQu_ym0Zz7PgGX0-kHA/edit?usp=sharing"",""แผน!HH78"")"),29942)</f>
        <v>29942</v>
      </c>
      <c r="J576" s="1019">
        <f t="shared" ref="J576:J577" si="250">J578+J580+J582+J588+J590</f>
        <v>0</v>
      </c>
      <c r="K576" s="1162">
        <f t="shared" ref="K576:K577" ca="1" si="251">IF(I576&gt;0,J576*100/I576,0)</f>
        <v>0</v>
      </c>
      <c r="L576" s="998"/>
      <c r="M576" s="998"/>
      <c r="N576" s="998"/>
      <c r="O576" s="998"/>
      <c r="P576" s="998"/>
      <c r="Q576" s="1302"/>
      <c r="R576" s="1302"/>
      <c r="S576" s="1302"/>
      <c r="T576" s="1302"/>
      <c r="U576" s="1302"/>
      <c r="V576" s="1302"/>
      <c r="W576" s="1302"/>
      <c r="X576" s="1302"/>
      <c r="Y576" s="1302"/>
      <c r="Z576" s="1302"/>
    </row>
    <row r="577" spans="1:26" ht="19.5">
      <c r="A577" s="1326"/>
      <c r="B577" s="1327"/>
      <c r="C577" s="1327"/>
      <c r="D577" s="1327"/>
      <c r="E577" s="1014"/>
      <c r="F577" s="1014"/>
      <c r="G577" s="1007"/>
      <c r="H577" s="765" t="s">
        <v>34</v>
      </c>
      <c r="I577" s="1018">
        <f ca="1">IFERROR(__xludf.DUMMYFUNCTION("IMPORTRANGE(""https://docs.google.com/spreadsheets/d/1QqKyyYR6Q21VydFLVH3TRQUabQu_ym0Zz7PgGX0-kHA/edit?usp=sharing"",""แผน!HG78"")"),3752)</f>
        <v>3752</v>
      </c>
      <c r="J577" s="1019">
        <f t="shared" si="250"/>
        <v>0</v>
      </c>
      <c r="K577" s="1162">
        <f t="shared" ca="1" si="251"/>
        <v>0</v>
      </c>
      <c r="L577" s="998"/>
      <c r="M577" s="998"/>
      <c r="N577" s="998"/>
      <c r="O577" s="998"/>
      <c r="P577" s="998"/>
      <c r="Q577" s="1302"/>
      <c r="R577" s="1302"/>
      <c r="S577" s="1302"/>
      <c r="T577" s="1302"/>
      <c r="U577" s="1302"/>
      <c r="V577" s="1302"/>
      <c r="W577" s="1302"/>
      <c r="X577" s="1302"/>
      <c r="Y577" s="1302"/>
      <c r="Z577" s="1302"/>
    </row>
    <row r="578" spans="1:26" ht="18.75">
      <c r="A578" s="1326"/>
      <c r="B578" s="1327"/>
      <c r="C578" s="1327"/>
      <c r="D578" s="1014" t="s">
        <v>245</v>
      </c>
      <c r="E578" s="1014"/>
      <c r="F578" s="1014"/>
      <c r="G578" s="1007"/>
      <c r="H578" s="762" t="s">
        <v>46</v>
      </c>
      <c r="I578" s="997"/>
      <c r="J578" s="1012">
        <v>0</v>
      </c>
      <c r="K578" s="998"/>
      <c r="L578" s="998"/>
      <c r="M578" s="998"/>
      <c r="N578" s="998"/>
      <c r="O578" s="998"/>
      <c r="P578" s="998"/>
      <c r="Q578" s="1302"/>
      <c r="R578" s="1302"/>
      <c r="S578" s="1302"/>
      <c r="T578" s="1302"/>
      <c r="U578" s="1302"/>
      <c r="V578" s="1302"/>
      <c r="W578" s="1302"/>
      <c r="X578" s="1302"/>
      <c r="Y578" s="1302"/>
      <c r="Z578" s="1302"/>
    </row>
    <row r="579" spans="1:26" ht="18.75">
      <c r="A579" s="1326"/>
      <c r="B579" s="1327"/>
      <c r="C579" s="1327"/>
      <c r="D579" s="1327"/>
      <c r="E579" s="1014"/>
      <c r="F579" s="1014"/>
      <c r="G579" s="1007"/>
      <c r="H579" s="762" t="s">
        <v>34</v>
      </c>
      <c r="I579" s="997"/>
      <c r="J579" s="1012">
        <v>0</v>
      </c>
      <c r="K579" s="998"/>
      <c r="L579" s="998"/>
      <c r="M579" s="998"/>
      <c r="N579" s="998"/>
      <c r="O579" s="998"/>
      <c r="P579" s="998"/>
      <c r="Q579" s="1302"/>
      <c r="R579" s="1302"/>
      <c r="S579" s="1302"/>
      <c r="T579" s="1302"/>
      <c r="U579" s="1302"/>
      <c r="V579" s="1302"/>
      <c r="W579" s="1302"/>
      <c r="X579" s="1302"/>
      <c r="Y579" s="1302"/>
      <c r="Z579" s="1302"/>
    </row>
    <row r="580" spans="1:26" ht="18.75">
      <c r="A580" s="1326"/>
      <c r="B580" s="1327"/>
      <c r="C580" s="1327"/>
      <c r="D580" s="1014" t="s">
        <v>246</v>
      </c>
      <c r="E580" s="1014"/>
      <c r="F580" s="1014"/>
      <c r="G580" s="1007"/>
      <c r="H580" s="762" t="s">
        <v>46</v>
      </c>
      <c r="I580" s="997"/>
      <c r="J580" s="1012">
        <v>0</v>
      </c>
      <c r="K580" s="998"/>
      <c r="L580" s="998"/>
      <c r="M580" s="998"/>
      <c r="N580" s="998"/>
      <c r="O580" s="998"/>
      <c r="P580" s="998"/>
      <c r="Q580" s="1302"/>
      <c r="R580" s="1302"/>
      <c r="S580" s="1302"/>
      <c r="T580" s="1302"/>
      <c r="U580" s="1302"/>
      <c r="V580" s="1302"/>
      <c r="W580" s="1302"/>
      <c r="X580" s="1302"/>
      <c r="Y580" s="1302"/>
      <c r="Z580" s="1302"/>
    </row>
    <row r="581" spans="1:26" ht="18.75">
      <c r="A581" s="1326"/>
      <c r="B581" s="1327"/>
      <c r="C581" s="1327"/>
      <c r="D581" s="1327"/>
      <c r="E581" s="1014"/>
      <c r="F581" s="1014"/>
      <c r="G581" s="1007"/>
      <c r="H581" s="762" t="s">
        <v>34</v>
      </c>
      <c r="I581" s="997"/>
      <c r="J581" s="1012">
        <v>0</v>
      </c>
      <c r="K581" s="998"/>
      <c r="L581" s="998"/>
      <c r="M581" s="998"/>
      <c r="N581" s="998"/>
      <c r="O581" s="998"/>
      <c r="P581" s="998"/>
      <c r="Q581" s="1302"/>
      <c r="R581" s="1302"/>
      <c r="S581" s="1302"/>
      <c r="T581" s="1302"/>
      <c r="U581" s="1302"/>
      <c r="V581" s="1302"/>
      <c r="W581" s="1302"/>
      <c r="X581" s="1302"/>
      <c r="Y581" s="1302"/>
      <c r="Z581" s="1302"/>
    </row>
    <row r="582" spans="1:26" ht="19.5">
      <c r="A582" s="1326"/>
      <c r="B582" s="1327"/>
      <c r="C582" s="1327"/>
      <c r="D582" s="1014" t="s">
        <v>247</v>
      </c>
      <c r="E582" s="1014"/>
      <c r="F582" s="1014"/>
      <c r="G582" s="1007"/>
      <c r="H582" s="762" t="s">
        <v>46</v>
      </c>
      <c r="I582" s="997"/>
      <c r="J582" s="1019">
        <f t="shared" ref="J582:J583" si="252">J584+J586</f>
        <v>0</v>
      </c>
      <c r="K582" s="1162"/>
      <c r="L582" s="998"/>
      <c r="M582" s="998"/>
      <c r="N582" s="998"/>
      <c r="O582" s="998"/>
      <c r="P582" s="998"/>
      <c r="Q582" s="1302"/>
      <c r="R582" s="1302"/>
      <c r="S582" s="1302"/>
      <c r="T582" s="1302"/>
      <c r="U582" s="1302"/>
      <c r="V582" s="1302"/>
      <c r="W582" s="1302"/>
      <c r="X582" s="1302"/>
      <c r="Y582" s="1302"/>
      <c r="Z582" s="1302"/>
    </row>
    <row r="583" spans="1:26" ht="19.5">
      <c r="A583" s="1326"/>
      <c r="B583" s="1327"/>
      <c r="C583" s="1327"/>
      <c r="D583" s="1327"/>
      <c r="E583" s="1014"/>
      <c r="F583" s="1014"/>
      <c r="G583" s="1007"/>
      <c r="H583" s="762" t="s">
        <v>34</v>
      </c>
      <c r="I583" s="997"/>
      <c r="J583" s="1019">
        <f t="shared" si="252"/>
        <v>0</v>
      </c>
      <c r="K583" s="1162"/>
      <c r="L583" s="998"/>
      <c r="M583" s="998"/>
      <c r="N583" s="998"/>
      <c r="O583" s="998"/>
      <c r="P583" s="998"/>
      <c r="Q583" s="1302"/>
      <c r="R583" s="1302"/>
      <c r="S583" s="1302"/>
      <c r="T583" s="1302"/>
      <c r="U583" s="1302"/>
      <c r="V583" s="1302"/>
      <c r="W583" s="1302"/>
      <c r="X583" s="1302"/>
      <c r="Y583" s="1302"/>
      <c r="Z583" s="1302"/>
    </row>
    <row r="584" spans="1:26" ht="18.75">
      <c r="A584" s="1326"/>
      <c r="B584" s="1327"/>
      <c r="C584" s="1327"/>
      <c r="D584" s="1327"/>
      <c r="E584" s="1014" t="s">
        <v>248</v>
      </c>
      <c r="F584" s="1014"/>
      <c r="G584" s="1007"/>
      <c r="H584" s="762" t="s">
        <v>46</v>
      </c>
      <c r="I584" s="997"/>
      <c r="J584" s="1012">
        <v>0</v>
      </c>
      <c r="K584" s="998"/>
      <c r="L584" s="998"/>
      <c r="M584" s="998"/>
      <c r="N584" s="998"/>
      <c r="O584" s="998"/>
      <c r="P584" s="998"/>
      <c r="Q584" s="1302"/>
      <c r="R584" s="1302"/>
      <c r="S584" s="1302"/>
      <c r="T584" s="1302"/>
      <c r="U584" s="1302"/>
      <c r="V584" s="1302"/>
      <c r="W584" s="1302"/>
      <c r="X584" s="1302"/>
      <c r="Y584" s="1302"/>
      <c r="Z584" s="1302"/>
    </row>
    <row r="585" spans="1:26" ht="18.75">
      <c r="A585" s="1326"/>
      <c r="B585" s="1327"/>
      <c r="C585" s="1327"/>
      <c r="D585" s="1327"/>
      <c r="E585" s="1014"/>
      <c r="F585" s="1014"/>
      <c r="G585" s="1007"/>
      <c r="H585" s="762" t="s">
        <v>34</v>
      </c>
      <c r="I585" s="997"/>
      <c r="J585" s="1012">
        <v>0</v>
      </c>
      <c r="K585" s="998"/>
      <c r="L585" s="998"/>
      <c r="M585" s="998"/>
      <c r="N585" s="998"/>
      <c r="O585" s="998"/>
      <c r="P585" s="998"/>
      <c r="Q585" s="1302"/>
      <c r="R585" s="1302"/>
      <c r="S585" s="1302"/>
      <c r="T585" s="1302"/>
      <c r="U585" s="1302"/>
      <c r="V585" s="1302"/>
      <c r="W585" s="1302"/>
      <c r="X585" s="1302"/>
      <c r="Y585" s="1302"/>
      <c r="Z585" s="1302"/>
    </row>
    <row r="586" spans="1:26" ht="18.75">
      <c r="A586" s="1326"/>
      <c r="B586" s="1327"/>
      <c r="C586" s="1327"/>
      <c r="D586" s="1327"/>
      <c r="E586" s="1014" t="s">
        <v>249</v>
      </c>
      <c r="F586" s="1014"/>
      <c r="G586" s="1007"/>
      <c r="H586" s="762" t="s">
        <v>46</v>
      </c>
      <c r="I586" s="997"/>
      <c r="J586" s="1012">
        <v>0</v>
      </c>
      <c r="K586" s="998"/>
      <c r="L586" s="998"/>
      <c r="M586" s="998"/>
      <c r="N586" s="998"/>
      <c r="O586" s="998"/>
      <c r="P586" s="998"/>
      <c r="Q586" s="1302"/>
      <c r="R586" s="1302"/>
      <c r="S586" s="1302"/>
      <c r="T586" s="1302"/>
      <c r="U586" s="1302"/>
      <c r="V586" s="1302"/>
      <c r="W586" s="1302"/>
      <c r="X586" s="1302"/>
      <c r="Y586" s="1302"/>
      <c r="Z586" s="1302"/>
    </row>
    <row r="587" spans="1:26" ht="18.75">
      <c r="A587" s="1326"/>
      <c r="B587" s="1327"/>
      <c r="C587" s="1327"/>
      <c r="D587" s="1327"/>
      <c r="E587" s="1327"/>
      <c r="F587" s="1014"/>
      <c r="G587" s="1007"/>
      <c r="H587" s="762" t="s">
        <v>34</v>
      </c>
      <c r="I587" s="997"/>
      <c r="J587" s="1012">
        <v>0</v>
      </c>
      <c r="K587" s="998"/>
      <c r="L587" s="998"/>
      <c r="M587" s="998"/>
      <c r="N587" s="998"/>
      <c r="O587" s="998"/>
      <c r="P587" s="998"/>
      <c r="Q587" s="1302"/>
      <c r="R587" s="1302"/>
      <c r="S587" s="1302"/>
      <c r="T587" s="1302"/>
      <c r="U587" s="1302"/>
      <c r="V587" s="1302"/>
      <c r="W587" s="1302"/>
      <c r="X587" s="1302"/>
      <c r="Y587" s="1302"/>
      <c r="Z587" s="1302"/>
    </row>
    <row r="588" spans="1:26" ht="18.75">
      <c r="A588" s="1326"/>
      <c r="B588" s="1327"/>
      <c r="C588" s="1327"/>
      <c r="D588" s="1014" t="s">
        <v>250</v>
      </c>
      <c r="E588" s="1014"/>
      <c r="F588" s="1014"/>
      <c r="G588" s="1007"/>
      <c r="H588" s="762" t="s">
        <v>46</v>
      </c>
      <c r="I588" s="997"/>
      <c r="J588" s="1012">
        <v>0</v>
      </c>
      <c r="K588" s="998"/>
      <c r="L588" s="998"/>
      <c r="M588" s="998"/>
      <c r="N588" s="998"/>
      <c r="O588" s="998"/>
      <c r="P588" s="998"/>
      <c r="Q588" s="1302"/>
      <c r="R588" s="1302"/>
      <c r="S588" s="1302"/>
      <c r="T588" s="1302"/>
      <c r="U588" s="1302"/>
      <c r="V588" s="1302"/>
      <c r="W588" s="1302"/>
      <c r="X588" s="1302"/>
      <c r="Y588" s="1302"/>
      <c r="Z588" s="1302"/>
    </row>
    <row r="589" spans="1:26" ht="18.75">
      <c r="A589" s="1326"/>
      <c r="B589" s="1327"/>
      <c r="C589" s="1327"/>
      <c r="D589" s="1327"/>
      <c r="E589" s="1327"/>
      <c r="F589" s="1014"/>
      <c r="G589" s="1007"/>
      <c r="H589" s="762" t="s">
        <v>34</v>
      </c>
      <c r="I589" s="997"/>
      <c r="J589" s="1012">
        <v>0</v>
      </c>
      <c r="K589" s="998"/>
      <c r="L589" s="998"/>
      <c r="M589" s="998"/>
      <c r="N589" s="998"/>
      <c r="O589" s="998"/>
      <c r="P589" s="998"/>
      <c r="Q589" s="1302"/>
      <c r="R589" s="1302"/>
      <c r="S589" s="1302"/>
      <c r="T589" s="1302"/>
      <c r="U589" s="1302"/>
      <c r="V589" s="1302"/>
      <c r="W589" s="1302"/>
      <c r="X589" s="1302"/>
      <c r="Y589" s="1302"/>
      <c r="Z589" s="1302"/>
    </row>
    <row r="590" spans="1:26" ht="18.75">
      <c r="A590" s="1326"/>
      <c r="B590" s="1327"/>
      <c r="C590" s="1327"/>
      <c r="D590" s="1014" t="s">
        <v>251</v>
      </c>
      <c r="E590" s="1014"/>
      <c r="F590" s="1014"/>
      <c r="G590" s="1007"/>
      <c r="H590" s="762" t="s">
        <v>46</v>
      </c>
      <c r="I590" s="997"/>
      <c r="J590" s="1012">
        <v>0</v>
      </c>
      <c r="K590" s="998"/>
      <c r="L590" s="998"/>
      <c r="M590" s="998"/>
      <c r="N590" s="998"/>
      <c r="O590" s="998"/>
      <c r="P590" s="998"/>
      <c r="Q590" s="1302"/>
      <c r="R590" s="1302"/>
      <c r="S590" s="1302"/>
      <c r="T590" s="1302"/>
      <c r="U590" s="1302"/>
      <c r="V590" s="1302"/>
      <c r="W590" s="1302"/>
      <c r="X590" s="1302"/>
      <c r="Y590" s="1302"/>
      <c r="Z590" s="1302"/>
    </row>
    <row r="591" spans="1:26" ht="18.75">
      <c r="A591" s="1393"/>
      <c r="B591" s="1394"/>
      <c r="C591" s="1394"/>
      <c r="D591" s="1394"/>
      <c r="E591" s="1302"/>
      <c r="F591" s="1302"/>
      <c r="G591" s="1395"/>
      <c r="H591" s="697" t="s">
        <v>34</v>
      </c>
      <c r="I591" s="1396"/>
      <c r="J591" s="1397">
        <v>0</v>
      </c>
      <c r="K591" s="1398"/>
      <c r="L591" s="1398"/>
      <c r="M591" s="1398"/>
      <c r="N591" s="1398"/>
      <c r="O591" s="1398"/>
      <c r="P591" s="1398"/>
      <c r="Q591" s="1302"/>
      <c r="R591" s="1302"/>
      <c r="S591" s="1302"/>
      <c r="T591" s="1302"/>
      <c r="U591" s="1302"/>
      <c r="V591" s="1302"/>
      <c r="W591" s="1302"/>
      <c r="X591" s="1302"/>
      <c r="Y591" s="1302"/>
      <c r="Z591" s="1302"/>
    </row>
    <row r="592" spans="1:26" ht="19.5">
      <c r="A592" s="1390"/>
      <c r="B592" s="1391" t="s">
        <v>252</v>
      </c>
      <c r="C592" s="1392"/>
      <c r="D592" s="1392"/>
      <c r="E592" s="1375"/>
      <c r="F592" s="1375"/>
      <c r="G592" s="1376"/>
      <c r="H592" s="693" t="s">
        <v>46</v>
      </c>
      <c r="I592" s="1399">
        <f t="shared" ref="I592:J592" ca="1" si="253">I593</f>
        <v>179.63</v>
      </c>
      <c r="J592" s="1377">
        <f t="shared" si="253"/>
        <v>0</v>
      </c>
      <c r="K592" s="1378">
        <f t="shared" ref="K592:K594" ca="1" si="254">IF(I592&gt;0,J592*100/I592,0)</f>
        <v>0</v>
      </c>
      <c r="L592" s="1379"/>
      <c r="M592" s="1379"/>
      <c r="N592" s="1379"/>
      <c r="O592" s="1379"/>
      <c r="P592" s="1379"/>
      <c r="Q592" s="1302"/>
      <c r="R592" s="1302"/>
      <c r="S592" s="1302"/>
      <c r="T592" s="1302"/>
      <c r="U592" s="1302"/>
      <c r="V592" s="1302"/>
      <c r="W592" s="1302"/>
      <c r="X592" s="1302"/>
      <c r="Y592" s="1302"/>
      <c r="Z592" s="1302"/>
    </row>
    <row r="593" spans="1:26" ht="19.5">
      <c r="A593" s="1326"/>
      <c r="B593" s="1327"/>
      <c r="C593" s="1336" t="s">
        <v>253</v>
      </c>
      <c r="D593" s="1327"/>
      <c r="E593" s="1327"/>
      <c r="F593" s="1014"/>
      <c r="G593" s="1007"/>
      <c r="H593" s="765" t="s">
        <v>46</v>
      </c>
      <c r="I593" s="1400">
        <f ca="1">IFERROR(__xludf.DUMMYFUNCTION("IMPORTRANGE(""https://docs.google.com/spreadsheets/d/1QqKyyYR6Q21VydFLVH3TRQUabQu_ym0Zz7PgGX0-kHA/edit?usp=sharing"",""แผน!HJ78"")"),179.63)</f>
        <v>179.63</v>
      </c>
      <c r="J593" s="1018">
        <f t="shared" ref="J593:J594" si="255">J595+J603+J609</f>
        <v>0</v>
      </c>
      <c r="K593" s="1162">
        <f t="shared" ca="1" si="254"/>
        <v>0</v>
      </c>
      <c r="L593" s="998"/>
      <c r="M593" s="998"/>
      <c r="N593" s="998"/>
      <c r="O593" s="998"/>
      <c r="P593" s="998"/>
      <c r="Q593" s="1302"/>
      <c r="R593" s="1302"/>
      <c r="S593" s="1302"/>
      <c r="T593" s="1302"/>
      <c r="U593" s="1302"/>
      <c r="V593" s="1302"/>
      <c r="W593" s="1302"/>
      <c r="X593" s="1302"/>
      <c r="Y593" s="1302"/>
      <c r="Z593" s="1302"/>
    </row>
    <row r="594" spans="1:26" ht="19.5">
      <c r="A594" s="1326"/>
      <c r="B594" s="1327"/>
      <c r="C594" s="1327"/>
      <c r="D594" s="1327"/>
      <c r="E594" s="1014"/>
      <c r="F594" s="1014"/>
      <c r="G594" s="1007"/>
      <c r="H594" s="765" t="s">
        <v>34</v>
      </c>
      <c r="I594" s="1018">
        <f ca="1">IFERROR(__xludf.DUMMYFUNCTION("IMPORTRANGE(""https://docs.google.com/spreadsheets/d/1QqKyyYR6Q21VydFLVH3TRQUabQu_ym0Zz7PgGX0-kHA/edit?usp=sharing"",""แผน!HI78"")"),36)</f>
        <v>36</v>
      </c>
      <c r="J594" s="1018">
        <f t="shared" si="255"/>
        <v>0</v>
      </c>
      <c r="K594" s="1162">
        <f t="shared" ca="1" si="254"/>
        <v>0</v>
      </c>
      <c r="L594" s="998"/>
      <c r="M594" s="998"/>
      <c r="N594" s="998"/>
      <c r="O594" s="998"/>
      <c r="P594" s="998"/>
      <c r="Q594" s="1302"/>
      <c r="R594" s="1302"/>
      <c r="S594" s="1302"/>
      <c r="T594" s="1302"/>
      <c r="U594" s="1302"/>
      <c r="V594" s="1302"/>
      <c r="W594" s="1302"/>
      <c r="X594" s="1302"/>
      <c r="Y594" s="1302"/>
      <c r="Z594" s="1302"/>
    </row>
    <row r="595" spans="1:26" ht="18.75">
      <c r="A595" s="1326"/>
      <c r="B595" s="1327"/>
      <c r="C595" s="1327" t="s">
        <v>254</v>
      </c>
      <c r="D595" s="1327"/>
      <c r="E595" s="1327"/>
      <c r="F595" s="1014"/>
      <c r="G595" s="1007"/>
      <c r="H595" s="762" t="s">
        <v>46</v>
      </c>
      <c r="I595" s="997"/>
      <c r="J595" s="997">
        <f t="shared" ref="J595:J596" si="256">J597+J599</f>
        <v>0</v>
      </c>
      <c r="K595" s="998"/>
      <c r="L595" s="998"/>
      <c r="M595" s="998"/>
      <c r="N595" s="998"/>
      <c r="O595" s="998"/>
      <c r="P595" s="998"/>
      <c r="Q595" s="1302"/>
      <c r="R595" s="1302"/>
      <c r="S595" s="1302"/>
      <c r="T595" s="1302"/>
      <c r="U595" s="1302"/>
      <c r="V595" s="1302"/>
      <c r="W595" s="1302"/>
      <c r="X595" s="1302"/>
      <c r="Y595" s="1302"/>
      <c r="Z595" s="1302"/>
    </row>
    <row r="596" spans="1:26" ht="18.75">
      <c r="A596" s="1326"/>
      <c r="B596" s="1327"/>
      <c r="C596" s="1327"/>
      <c r="D596" s="1327"/>
      <c r="E596" s="1014"/>
      <c r="F596" s="1014"/>
      <c r="G596" s="1007"/>
      <c r="H596" s="762" t="s">
        <v>34</v>
      </c>
      <c r="I596" s="997"/>
      <c r="J596" s="997">
        <f t="shared" si="256"/>
        <v>0</v>
      </c>
      <c r="K596" s="998"/>
      <c r="L596" s="998"/>
      <c r="M596" s="998"/>
      <c r="N596" s="998"/>
      <c r="O596" s="998"/>
      <c r="P596" s="998"/>
      <c r="Q596" s="1302"/>
      <c r="R596" s="1302"/>
      <c r="S596" s="1302"/>
      <c r="T596" s="1302"/>
      <c r="U596" s="1302"/>
      <c r="V596" s="1302"/>
      <c r="W596" s="1302"/>
      <c r="X596" s="1302"/>
      <c r="Y596" s="1302"/>
      <c r="Z596" s="1302"/>
    </row>
    <row r="597" spans="1:26" ht="18.75">
      <c r="A597" s="1326"/>
      <c r="B597" s="1327"/>
      <c r="C597" s="1327"/>
      <c r="D597" s="1069" t="s">
        <v>255</v>
      </c>
      <c r="E597" s="1014"/>
      <c r="F597" s="1014"/>
      <c r="G597" s="1007"/>
      <c r="H597" s="762" t="s">
        <v>46</v>
      </c>
      <c r="I597" s="997"/>
      <c r="J597" s="1012">
        <v>0</v>
      </c>
      <c r="K597" s="998"/>
      <c r="L597" s="998"/>
      <c r="M597" s="998"/>
      <c r="N597" s="998"/>
      <c r="O597" s="998"/>
      <c r="P597" s="998"/>
      <c r="Q597" s="1302"/>
      <c r="R597" s="1302"/>
      <c r="S597" s="1302"/>
      <c r="T597" s="1302"/>
      <c r="U597" s="1302"/>
      <c r="V597" s="1302"/>
      <c r="W597" s="1302"/>
      <c r="X597" s="1302"/>
      <c r="Y597" s="1302"/>
      <c r="Z597" s="1302"/>
    </row>
    <row r="598" spans="1:26" ht="18.75">
      <c r="A598" s="1326"/>
      <c r="B598" s="1327"/>
      <c r="C598" s="1327"/>
      <c r="D598" s="1327"/>
      <c r="E598" s="1014"/>
      <c r="F598" s="1014"/>
      <c r="G598" s="1007"/>
      <c r="H598" s="762" t="s">
        <v>34</v>
      </c>
      <c r="I598" s="880"/>
      <c r="J598" s="1012">
        <v>0</v>
      </c>
      <c r="K598" s="998"/>
      <c r="L598" s="998"/>
      <c r="M598" s="998"/>
      <c r="N598" s="998"/>
      <c r="O598" s="998"/>
      <c r="P598" s="998"/>
      <c r="Q598" s="1302"/>
      <c r="R598" s="1302"/>
      <c r="S598" s="1302"/>
      <c r="T598" s="1302"/>
      <c r="U598" s="1302"/>
      <c r="V598" s="1302"/>
      <c r="W598" s="1302"/>
      <c r="X598" s="1302"/>
      <c r="Y598" s="1302"/>
      <c r="Z598" s="1302"/>
    </row>
    <row r="599" spans="1:26" ht="18.75">
      <c r="A599" s="1326"/>
      <c r="B599" s="1327"/>
      <c r="C599" s="1327"/>
      <c r="D599" s="1069" t="s">
        <v>256</v>
      </c>
      <c r="E599" s="1014"/>
      <c r="F599" s="1014"/>
      <c r="G599" s="1007"/>
      <c r="H599" s="762" t="s">
        <v>46</v>
      </c>
      <c r="I599" s="880"/>
      <c r="J599" s="1012">
        <v>0</v>
      </c>
      <c r="K599" s="998"/>
      <c r="L599" s="998"/>
      <c r="M599" s="998"/>
      <c r="N599" s="998"/>
      <c r="O599" s="998"/>
      <c r="P599" s="998"/>
      <c r="Q599" s="1302"/>
      <c r="R599" s="1302"/>
      <c r="S599" s="1302"/>
      <c r="T599" s="1302"/>
      <c r="U599" s="1302"/>
      <c r="V599" s="1302"/>
      <c r="W599" s="1302"/>
      <c r="X599" s="1302"/>
      <c r="Y599" s="1302"/>
      <c r="Z599" s="1302"/>
    </row>
    <row r="600" spans="1:26" ht="18.75">
      <c r="A600" s="1326"/>
      <c r="B600" s="1327"/>
      <c r="C600" s="1327"/>
      <c r="D600" s="1327"/>
      <c r="E600" s="1014"/>
      <c r="F600" s="1014"/>
      <c r="G600" s="1007"/>
      <c r="H600" s="762" t="s">
        <v>34</v>
      </c>
      <c r="I600" s="880"/>
      <c r="J600" s="1012">
        <v>0</v>
      </c>
      <c r="K600" s="998"/>
      <c r="L600" s="998"/>
      <c r="M600" s="998"/>
      <c r="N600" s="998"/>
      <c r="O600" s="998"/>
      <c r="P600" s="998"/>
      <c r="Q600" s="1302"/>
      <c r="R600" s="1302"/>
      <c r="S600" s="1302"/>
      <c r="T600" s="1302"/>
      <c r="U600" s="1302"/>
      <c r="V600" s="1302"/>
      <c r="W600" s="1302"/>
      <c r="X600" s="1302"/>
      <c r="Y600" s="1302"/>
      <c r="Z600" s="1302"/>
    </row>
    <row r="601" spans="1:26" ht="18.75">
      <c r="A601" s="1326"/>
      <c r="B601" s="1327"/>
      <c r="C601" s="1327"/>
      <c r="D601" s="1069" t="s">
        <v>257</v>
      </c>
      <c r="E601" s="1014"/>
      <c r="F601" s="1014"/>
      <c r="G601" s="1007"/>
      <c r="H601" s="762" t="s">
        <v>46</v>
      </c>
      <c r="I601" s="880"/>
      <c r="J601" s="1012">
        <v>0</v>
      </c>
      <c r="K601" s="998"/>
      <c r="L601" s="998"/>
      <c r="M601" s="998"/>
      <c r="N601" s="998"/>
      <c r="O601" s="998"/>
      <c r="P601" s="998"/>
      <c r="Q601" s="1302"/>
      <c r="R601" s="1302"/>
      <c r="S601" s="1302"/>
      <c r="T601" s="1302"/>
      <c r="U601" s="1302"/>
      <c r="V601" s="1302"/>
      <c r="W601" s="1302"/>
      <c r="X601" s="1302"/>
      <c r="Y601" s="1302"/>
      <c r="Z601" s="1302"/>
    </row>
    <row r="602" spans="1:26" ht="18.75">
      <c r="A602" s="1326"/>
      <c r="B602" s="1327"/>
      <c r="C602" s="1327"/>
      <c r="D602" s="1327"/>
      <c r="E602" s="1014"/>
      <c r="F602" s="1014"/>
      <c r="G602" s="1007"/>
      <c r="H602" s="762" t="s">
        <v>34</v>
      </c>
      <c r="I602" s="880"/>
      <c r="J602" s="1012">
        <v>0</v>
      </c>
      <c r="K602" s="998"/>
      <c r="L602" s="998"/>
      <c r="M602" s="998"/>
      <c r="N602" s="998"/>
      <c r="O602" s="998"/>
      <c r="P602" s="998"/>
      <c r="Q602" s="1302"/>
      <c r="R602" s="1302"/>
      <c r="S602" s="1302"/>
      <c r="T602" s="1302"/>
      <c r="U602" s="1302"/>
      <c r="V602" s="1302"/>
      <c r="W602" s="1302"/>
      <c r="X602" s="1302"/>
      <c r="Y602" s="1302"/>
      <c r="Z602" s="1302"/>
    </row>
    <row r="603" spans="1:26" ht="18.75">
      <c r="A603" s="1326"/>
      <c r="B603" s="1327"/>
      <c r="C603" s="1401" t="s">
        <v>258</v>
      </c>
      <c r="D603" s="1327"/>
      <c r="E603" s="1327"/>
      <c r="F603" s="1014"/>
      <c r="G603" s="1007"/>
      <c r="H603" s="762" t="s">
        <v>46</v>
      </c>
      <c r="I603" s="880"/>
      <c r="J603" s="880">
        <f t="shared" ref="J603:J604" si="257">J605+J607</f>
        <v>0</v>
      </c>
      <c r="K603" s="998"/>
      <c r="L603" s="998"/>
      <c r="M603" s="998"/>
      <c r="N603" s="998"/>
      <c r="O603" s="998"/>
      <c r="P603" s="998"/>
      <c r="Q603" s="1302"/>
      <c r="R603" s="1302"/>
      <c r="S603" s="1302"/>
      <c r="T603" s="1302"/>
      <c r="U603" s="1302"/>
      <c r="V603" s="1302"/>
      <c r="W603" s="1302"/>
      <c r="X603" s="1302"/>
      <c r="Y603" s="1302"/>
      <c r="Z603" s="1302"/>
    </row>
    <row r="604" spans="1:26" ht="18.75">
      <c r="A604" s="1326"/>
      <c r="B604" s="1327"/>
      <c r="C604" s="1327"/>
      <c r="D604" s="1327"/>
      <c r="E604" s="1014"/>
      <c r="F604" s="1014"/>
      <c r="G604" s="1007"/>
      <c r="H604" s="762" t="s">
        <v>34</v>
      </c>
      <c r="I604" s="880"/>
      <c r="J604" s="880">
        <f t="shared" si="257"/>
        <v>0</v>
      </c>
      <c r="K604" s="998"/>
      <c r="L604" s="998"/>
      <c r="M604" s="998"/>
      <c r="N604" s="998"/>
      <c r="O604" s="998"/>
      <c r="P604" s="998"/>
      <c r="Q604" s="1302"/>
      <c r="R604" s="1302"/>
      <c r="S604" s="1302"/>
      <c r="T604" s="1302"/>
      <c r="U604" s="1302"/>
      <c r="V604" s="1302"/>
      <c r="W604" s="1302"/>
      <c r="X604" s="1302"/>
      <c r="Y604" s="1302"/>
      <c r="Z604" s="1302"/>
    </row>
    <row r="605" spans="1:26" ht="18.75">
      <c r="A605" s="1326"/>
      <c r="B605" s="1327"/>
      <c r="C605" s="1327"/>
      <c r="D605" s="1401" t="s">
        <v>259</v>
      </c>
      <c r="E605" s="1014"/>
      <c r="F605" s="1014"/>
      <c r="G605" s="1007"/>
      <c r="H605" s="762" t="s">
        <v>46</v>
      </c>
      <c r="I605" s="880"/>
      <c r="J605" s="1012">
        <v>0</v>
      </c>
      <c r="K605" s="998"/>
      <c r="L605" s="998"/>
      <c r="M605" s="998"/>
      <c r="N605" s="998"/>
      <c r="O605" s="998"/>
      <c r="P605" s="998"/>
      <c r="Q605" s="1302"/>
      <c r="R605" s="1302"/>
      <c r="S605" s="1302"/>
      <c r="T605" s="1302"/>
      <c r="U605" s="1302"/>
      <c r="V605" s="1302"/>
      <c r="W605" s="1302"/>
      <c r="X605" s="1302"/>
      <c r="Y605" s="1302"/>
      <c r="Z605" s="1302"/>
    </row>
    <row r="606" spans="1:26" ht="18.75">
      <c r="A606" s="1326"/>
      <c r="B606" s="1327"/>
      <c r="C606" s="1327"/>
      <c r="D606" s="1327"/>
      <c r="E606" s="1327"/>
      <c r="F606" s="1014"/>
      <c r="G606" s="1007"/>
      <c r="H606" s="762" t="s">
        <v>34</v>
      </c>
      <c r="I606" s="880"/>
      <c r="J606" s="1012">
        <v>0</v>
      </c>
      <c r="K606" s="998"/>
      <c r="L606" s="998"/>
      <c r="M606" s="998"/>
      <c r="N606" s="998"/>
      <c r="O606" s="998"/>
      <c r="P606" s="998"/>
      <c r="Q606" s="1302"/>
      <c r="R606" s="1302"/>
      <c r="S606" s="1302"/>
      <c r="T606" s="1302"/>
      <c r="U606" s="1302"/>
      <c r="V606" s="1302"/>
      <c r="W606" s="1302"/>
      <c r="X606" s="1302"/>
      <c r="Y606" s="1302"/>
      <c r="Z606" s="1302"/>
    </row>
    <row r="607" spans="1:26" ht="18.75">
      <c r="A607" s="1326"/>
      <c r="B607" s="1327"/>
      <c r="C607" s="1327"/>
      <c r="D607" s="1401" t="s">
        <v>260</v>
      </c>
      <c r="E607" s="1327"/>
      <c r="F607" s="1014"/>
      <c r="G607" s="1007"/>
      <c r="H607" s="762" t="s">
        <v>46</v>
      </c>
      <c r="I607" s="880"/>
      <c r="J607" s="1012">
        <v>0</v>
      </c>
      <c r="K607" s="998"/>
      <c r="L607" s="998"/>
      <c r="M607" s="998"/>
      <c r="N607" s="998"/>
      <c r="O607" s="998"/>
      <c r="P607" s="998"/>
      <c r="Q607" s="1302"/>
      <c r="R607" s="1302"/>
      <c r="S607" s="1302"/>
      <c r="T607" s="1302"/>
      <c r="U607" s="1302"/>
      <c r="V607" s="1302"/>
      <c r="W607" s="1302"/>
      <c r="X607" s="1302"/>
      <c r="Y607" s="1302"/>
      <c r="Z607" s="1302"/>
    </row>
    <row r="608" spans="1:26" ht="18.75">
      <c r="A608" s="1326"/>
      <c r="B608" s="1327"/>
      <c r="C608" s="1327"/>
      <c r="D608" s="1327"/>
      <c r="E608" s="1014"/>
      <c r="F608" s="1014"/>
      <c r="G608" s="1007"/>
      <c r="H608" s="762" t="s">
        <v>34</v>
      </c>
      <c r="I608" s="880"/>
      <c r="J608" s="1012">
        <v>0</v>
      </c>
      <c r="K608" s="998"/>
      <c r="L608" s="998"/>
      <c r="M608" s="998"/>
      <c r="N608" s="998"/>
      <c r="O608" s="998"/>
      <c r="P608" s="998"/>
      <c r="Q608" s="1302"/>
      <c r="R608" s="1302"/>
      <c r="S608" s="1302"/>
      <c r="T608" s="1302"/>
      <c r="U608" s="1302"/>
      <c r="V608" s="1302"/>
      <c r="W608" s="1302"/>
      <c r="X608" s="1302"/>
      <c r="Y608" s="1302"/>
      <c r="Z608" s="1302"/>
    </row>
    <row r="609" spans="1:26" ht="18.75">
      <c r="A609" s="1326"/>
      <c r="B609" s="1327"/>
      <c r="C609" s="1327" t="s">
        <v>261</v>
      </c>
      <c r="D609" s="1327"/>
      <c r="E609" s="1327"/>
      <c r="F609" s="1014"/>
      <c r="G609" s="1007"/>
      <c r="H609" s="762" t="s">
        <v>46</v>
      </c>
      <c r="I609" s="880"/>
      <c r="J609" s="1012">
        <v>0</v>
      </c>
      <c r="K609" s="998"/>
      <c r="L609" s="998"/>
      <c r="M609" s="998"/>
      <c r="N609" s="998"/>
      <c r="O609" s="998"/>
      <c r="P609" s="998"/>
      <c r="Q609" s="1302"/>
      <c r="R609" s="1302"/>
      <c r="S609" s="1302"/>
      <c r="T609" s="1302"/>
      <c r="U609" s="1302"/>
      <c r="V609" s="1302"/>
      <c r="W609" s="1302"/>
      <c r="X609" s="1302"/>
      <c r="Y609" s="1302"/>
      <c r="Z609" s="1302"/>
    </row>
    <row r="610" spans="1:26" ht="18.75">
      <c r="A610" s="1326"/>
      <c r="B610" s="1327"/>
      <c r="C610" s="1327"/>
      <c r="D610" s="1327"/>
      <c r="E610" s="1014"/>
      <c r="F610" s="1014"/>
      <c r="G610" s="1007"/>
      <c r="H610" s="762" t="s">
        <v>34</v>
      </c>
      <c r="I610" s="880"/>
      <c r="J610" s="1012">
        <v>0</v>
      </c>
      <c r="K610" s="998"/>
      <c r="L610" s="998"/>
      <c r="M610" s="998"/>
      <c r="N610" s="998"/>
      <c r="O610" s="998"/>
      <c r="P610" s="998"/>
      <c r="Q610" s="1302"/>
      <c r="R610" s="1302"/>
      <c r="S610" s="1302"/>
      <c r="T610" s="1302"/>
      <c r="U610" s="1302"/>
      <c r="V610" s="1302"/>
      <c r="W610" s="1302"/>
      <c r="X610" s="1302"/>
      <c r="Y610" s="1302"/>
      <c r="Z610" s="1302"/>
    </row>
    <row r="611" spans="1:26" ht="19.5">
      <c r="A611" s="1390"/>
      <c r="B611" s="1402" t="s">
        <v>262</v>
      </c>
      <c r="C611" s="1392"/>
      <c r="D611" s="1392"/>
      <c r="E611" s="1375"/>
      <c r="F611" s="1375"/>
      <c r="G611" s="1376"/>
      <c r="H611" s="705" t="s">
        <v>46</v>
      </c>
      <c r="I611" s="1377">
        <v>0</v>
      </c>
      <c r="J611" s="1377">
        <f>J614+J616</f>
        <v>0</v>
      </c>
      <c r="K611" s="1378">
        <f t="shared" ref="K611:K613" si="258">IF(I611&gt;0,J611*100/I611,0)</f>
        <v>0</v>
      </c>
      <c r="L611" s="1379"/>
      <c r="M611" s="1379"/>
      <c r="N611" s="1379"/>
      <c r="O611" s="1379"/>
      <c r="P611" s="1379"/>
      <c r="Q611" s="1302"/>
      <c r="R611" s="1302"/>
      <c r="S611" s="1302"/>
      <c r="T611" s="1302"/>
      <c r="U611" s="1302"/>
      <c r="V611" s="1302"/>
      <c r="W611" s="1302"/>
      <c r="X611" s="1302"/>
      <c r="Y611" s="1302"/>
      <c r="Z611" s="1302"/>
    </row>
    <row r="612" spans="1:26" ht="19.5" hidden="1">
      <c r="A612" s="1403"/>
      <c r="B612" s="1404"/>
      <c r="C612" s="1405" t="s">
        <v>263</v>
      </c>
      <c r="D612" s="1404"/>
      <c r="E612" s="1404"/>
      <c r="F612" s="1406"/>
      <c r="G612" s="1407"/>
      <c r="H612" s="712" t="s">
        <v>46</v>
      </c>
      <c r="I612" s="1408">
        <v>0</v>
      </c>
      <c r="J612" s="1408">
        <f t="shared" ref="J612:J613" si="259">J614+J616</f>
        <v>0</v>
      </c>
      <c r="K612" s="1409">
        <f t="shared" si="258"/>
        <v>0</v>
      </c>
      <c r="L612" s="1410"/>
      <c r="M612" s="1410"/>
      <c r="N612" s="1410"/>
      <c r="O612" s="1410"/>
      <c r="P612" s="1410"/>
      <c r="Q612" s="1323"/>
      <c r="R612" s="1323"/>
      <c r="S612" s="1323"/>
      <c r="T612" s="1323"/>
      <c r="U612" s="1323"/>
      <c r="V612" s="1323"/>
      <c r="W612" s="1323"/>
      <c r="X612" s="1323"/>
      <c r="Y612" s="1323"/>
      <c r="Z612" s="1323"/>
    </row>
    <row r="613" spans="1:26" ht="19.5" hidden="1">
      <c r="A613" s="1403"/>
      <c r="B613" s="1404"/>
      <c r="C613" s="1404" t="s">
        <v>264</v>
      </c>
      <c r="D613" s="1404"/>
      <c r="E613" s="1404"/>
      <c r="F613" s="1406"/>
      <c r="G613" s="1407"/>
      <c r="H613" s="712" t="s">
        <v>34</v>
      </c>
      <c r="I613" s="1408">
        <v>0</v>
      </c>
      <c r="J613" s="1408">
        <f t="shared" si="259"/>
        <v>0</v>
      </c>
      <c r="K613" s="1409">
        <f t="shared" si="258"/>
        <v>0</v>
      </c>
      <c r="L613" s="1410"/>
      <c r="M613" s="1410"/>
      <c r="N613" s="1410"/>
      <c r="O613" s="1410"/>
      <c r="P613" s="1410"/>
      <c r="Q613" s="1323"/>
      <c r="R613" s="1323"/>
      <c r="S613" s="1323"/>
      <c r="T613" s="1323"/>
      <c r="U613" s="1323"/>
      <c r="V613" s="1323"/>
      <c r="W613" s="1323"/>
      <c r="X613" s="1323"/>
      <c r="Y613" s="1323"/>
      <c r="Z613" s="1323"/>
    </row>
    <row r="614" spans="1:26" ht="18.75" hidden="1">
      <c r="A614" s="1332"/>
      <c r="B614" s="1333"/>
      <c r="C614" s="1333"/>
      <c r="D614" s="1321" t="s">
        <v>265</v>
      </c>
      <c r="E614" s="1333"/>
      <c r="F614" s="1321"/>
      <c r="G614" s="1113"/>
      <c r="H614" s="370" t="s">
        <v>46</v>
      </c>
      <c r="I614" s="886"/>
      <c r="J614" s="886">
        <v>0</v>
      </c>
      <c r="K614" s="1001"/>
      <c r="L614" s="1001"/>
      <c r="M614" s="1001"/>
      <c r="N614" s="1001"/>
      <c r="O614" s="1001"/>
      <c r="P614" s="1001"/>
      <c r="Q614" s="1323"/>
      <c r="R614" s="1323"/>
      <c r="S614" s="1323"/>
      <c r="T614" s="1323"/>
      <c r="U614" s="1323"/>
      <c r="V614" s="1323"/>
      <c r="W614" s="1323"/>
      <c r="X614" s="1323"/>
      <c r="Y614" s="1323"/>
      <c r="Z614" s="1323"/>
    </row>
    <row r="615" spans="1:26" ht="18.75" hidden="1">
      <c r="A615" s="1332"/>
      <c r="B615" s="1333"/>
      <c r="C615" s="1333"/>
      <c r="D615" s="1333"/>
      <c r="E615" s="1333"/>
      <c r="F615" s="1321"/>
      <c r="G615" s="1113"/>
      <c r="H615" s="370" t="s">
        <v>34</v>
      </c>
      <c r="I615" s="886"/>
      <c r="J615" s="886">
        <v>0</v>
      </c>
      <c r="K615" s="1001"/>
      <c r="L615" s="1001"/>
      <c r="M615" s="1001"/>
      <c r="N615" s="1001"/>
      <c r="O615" s="1001"/>
      <c r="P615" s="1001"/>
      <c r="Q615" s="1323"/>
      <c r="R615" s="1323"/>
      <c r="S615" s="1323"/>
      <c r="T615" s="1323"/>
      <c r="U615" s="1323"/>
      <c r="V615" s="1323"/>
      <c r="W615" s="1323"/>
      <c r="X615" s="1323"/>
      <c r="Y615" s="1323"/>
      <c r="Z615" s="1323"/>
    </row>
    <row r="616" spans="1:26" ht="18.75" hidden="1">
      <c r="A616" s="1332"/>
      <c r="B616" s="1333"/>
      <c r="C616" s="1333"/>
      <c r="D616" s="1411" t="s">
        <v>265</v>
      </c>
      <c r="E616" s="1321"/>
      <c r="F616" s="1321"/>
      <c r="G616" s="1113"/>
      <c r="H616" s="370" t="s">
        <v>46</v>
      </c>
      <c r="I616" s="886"/>
      <c r="J616" s="886">
        <v>0</v>
      </c>
      <c r="K616" s="1001"/>
      <c r="L616" s="1001"/>
      <c r="M616" s="1001"/>
      <c r="N616" s="1001"/>
      <c r="O616" s="1001"/>
      <c r="P616" s="1001"/>
      <c r="Q616" s="1323"/>
      <c r="R616" s="1323"/>
      <c r="S616" s="1323"/>
      <c r="T616" s="1323"/>
      <c r="U616" s="1323"/>
      <c r="V616" s="1323"/>
      <c r="W616" s="1323"/>
      <c r="X616" s="1323"/>
      <c r="Y616" s="1323"/>
      <c r="Z616" s="1323"/>
    </row>
    <row r="617" spans="1:26" ht="18.75" hidden="1">
      <c r="A617" s="1332"/>
      <c r="B617" s="1333"/>
      <c r="C617" s="1333"/>
      <c r="D617" s="1333"/>
      <c r="E617" s="1321"/>
      <c r="F617" s="1321"/>
      <c r="G617" s="1113"/>
      <c r="H617" s="370" t="s">
        <v>34</v>
      </c>
      <c r="I617" s="886"/>
      <c r="J617" s="886">
        <v>0</v>
      </c>
      <c r="K617" s="1001"/>
      <c r="L617" s="1001"/>
      <c r="M617" s="1001"/>
      <c r="N617" s="1001"/>
      <c r="O617" s="1001"/>
      <c r="P617" s="1001"/>
      <c r="Q617" s="1323"/>
      <c r="R617" s="1323"/>
      <c r="S617" s="1323"/>
      <c r="T617" s="1323"/>
      <c r="U617" s="1323"/>
      <c r="V617" s="1323"/>
      <c r="W617" s="1323"/>
      <c r="X617" s="1323"/>
      <c r="Y617" s="1323"/>
      <c r="Z617" s="1323"/>
    </row>
    <row r="618" spans="1:26" ht="18.75" hidden="1">
      <c r="A618" s="1332"/>
      <c r="B618" s="1333"/>
      <c r="C618" s="1333"/>
      <c r="D618" s="1411" t="s">
        <v>266</v>
      </c>
      <c r="E618" s="1321"/>
      <c r="F618" s="1321"/>
      <c r="G618" s="1113"/>
      <c r="H618" s="370" t="s">
        <v>46</v>
      </c>
      <c r="I618" s="886"/>
      <c r="J618" s="886">
        <v>0</v>
      </c>
      <c r="K618" s="1001"/>
      <c r="L618" s="1001"/>
      <c r="M618" s="1001"/>
      <c r="N618" s="1001"/>
      <c r="O618" s="1001"/>
      <c r="P618" s="1001"/>
      <c r="Q618" s="1323"/>
      <c r="R618" s="1323"/>
      <c r="S618" s="1323"/>
      <c r="T618" s="1323"/>
      <c r="U618" s="1323"/>
      <c r="V618" s="1323"/>
      <c r="W618" s="1323"/>
      <c r="X618" s="1323"/>
      <c r="Y618" s="1323"/>
      <c r="Z618" s="1323"/>
    </row>
    <row r="619" spans="1:26" ht="18.75" hidden="1">
      <c r="A619" s="1332"/>
      <c r="B619" s="1333"/>
      <c r="C619" s="1333"/>
      <c r="D619" s="1333"/>
      <c r="E619" s="1321"/>
      <c r="F619" s="1321"/>
      <c r="G619" s="1113"/>
      <c r="H619" s="370" t="s">
        <v>34</v>
      </c>
      <c r="I619" s="886"/>
      <c r="J619" s="886">
        <v>0</v>
      </c>
      <c r="K619" s="1001"/>
      <c r="L619" s="1001"/>
      <c r="M619" s="1001"/>
      <c r="N619" s="1001"/>
      <c r="O619" s="1001"/>
      <c r="P619" s="1001"/>
      <c r="Q619" s="1323"/>
      <c r="R619" s="1323"/>
      <c r="S619" s="1323"/>
      <c r="T619" s="1323"/>
      <c r="U619" s="1323"/>
      <c r="V619" s="1323"/>
      <c r="W619" s="1323"/>
      <c r="X619" s="1323"/>
      <c r="Y619" s="1323"/>
      <c r="Z619" s="1323"/>
    </row>
    <row r="620" spans="1:26" ht="19.5">
      <c r="A620" s="1412"/>
      <c r="B620" s="1413"/>
      <c r="C620" s="1414" t="s">
        <v>267</v>
      </c>
      <c r="D620" s="1413"/>
      <c r="E620" s="1413"/>
      <c r="F620" s="1415"/>
      <c r="G620" s="1416"/>
      <c r="H620" s="725" t="s">
        <v>46</v>
      </c>
      <c r="I620" s="1417">
        <f ca="1">IFERROR(__xludf.DUMMYFUNCTION("IMPORTRANGE(""https://docs.google.com/spreadsheets/d/1QqKyyYR6Q21VydFLVH3TRQUabQu_ym0Zz7PgGX0-kHA/edit?usp=sharing"",""แผน!HL78"")"),8)</f>
        <v>8</v>
      </c>
      <c r="J620" s="1417">
        <f t="shared" ref="J620:J621" si="260">J622+J624+J626</f>
        <v>0</v>
      </c>
      <c r="K620" s="1418">
        <f t="shared" ref="K620:K621" ca="1" si="261">IF(I620&gt;0,J620*100/I620,0)</f>
        <v>0</v>
      </c>
      <c r="L620" s="1419"/>
      <c r="M620" s="1419"/>
      <c r="N620" s="1419"/>
      <c r="O620" s="1419"/>
      <c r="P620" s="1419"/>
      <c r="Q620" s="1302"/>
      <c r="R620" s="1302"/>
      <c r="S620" s="1302"/>
      <c r="T620" s="1302"/>
      <c r="U620" s="1302"/>
      <c r="V620" s="1302"/>
      <c r="W620" s="1302"/>
      <c r="X620" s="1302"/>
      <c r="Y620" s="1302"/>
      <c r="Z620" s="1302"/>
    </row>
    <row r="621" spans="1:26" ht="19.5">
      <c r="A621" s="1412"/>
      <c r="B621" s="1413"/>
      <c r="C621" s="1413" t="s">
        <v>268</v>
      </c>
      <c r="D621" s="1413"/>
      <c r="E621" s="1413"/>
      <c r="F621" s="1415"/>
      <c r="G621" s="1416"/>
      <c r="H621" s="725" t="s">
        <v>34</v>
      </c>
      <c r="I621" s="1417">
        <f ca="1">IFERROR(__xludf.DUMMYFUNCTION("IMPORTRANGE(""https://docs.google.com/spreadsheets/d/1QqKyyYR6Q21VydFLVH3TRQUabQu_ym0Zz7PgGX0-kHA/edit?usp=sharing"",""แผน!HK78"")"),2)</f>
        <v>2</v>
      </c>
      <c r="J621" s="1417">
        <f t="shared" si="260"/>
        <v>0</v>
      </c>
      <c r="K621" s="1418">
        <f t="shared" ca="1" si="261"/>
        <v>0</v>
      </c>
      <c r="L621" s="1419"/>
      <c r="M621" s="1419"/>
      <c r="N621" s="1419"/>
      <c r="O621" s="1419"/>
      <c r="P621" s="1419"/>
      <c r="Q621" s="1302"/>
      <c r="R621" s="1302"/>
      <c r="S621" s="1302"/>
      <c r="T621" s="1302"/>
      <c r="U621" s="1302"/>
      <c r="V621" s="1302"/>
      <c r="W621" s="1302"/>
      <c r="X621" s="1302"/>
      <c r="Y621" s="1302"/>
      <c r="Z621" s="1302"/>
    </row>
    <row r="622" spans="1:26" ht="18.75">
      <c r="A622" s="1326"/>
      <c r="B622" s="1327"/>
      <c r="C622" s="1327"/>
      <c r="D622" s="1069" t="s">
        <v>269</v>
      </c>
      <c r="E622" s="1014"/>
      <c r="F622" s="1014"/>
      <c r="G622" s="1007"/>
      <c r="H622" s="762" t="s">
        <v>46</v>
      </c>
      <c r="I622" s="880"/>
      <c r="J622" s="1012">
        <v>0</v>
      </c>
      <c r="K622" s="998"/>
      <c r="L622" s="998"/>
      <c r="M622" s="998"/>
      <c r="N622" s="998"/>
      <c r="O622" s="998"/>
      <c r="P622" s="998"/>
      <c r="Q622" s="1302"/>
      <c r="R622" s="1302"/>
      <c r="S622" s="1302"/>
      <c r="T622" s="1302"/>
      <c r="U622" s="1302"/>
      <c r="V622" s="1302"/>
      <c r="W622" s="1302"/>
      <c r="X622" s="1302"/>
      <c r="Y622" s="1302"/>
      <c r="Z622" s="1302"/>
    </row>
    <row r="623" spans="1:26" ht="18.75">
      <c r="A623" s="1326"/>
      <c r="B623" s="1327"/>
      <c r="C623" s="1327"/>
      <c r="D623" s="1327"/>
      <c r="E623" s="1014"/>
      <c r="F623" s="1014"/>
      <c r="G623" s="1007"/>
      <c r="H623" s="762" t="s">
        <v>34</v>
      </c>
      <c r="I623" s="880"/>
      <c r="J623" s="1012">
        <v>0</v>
      </c>
      <c r="K623" s="998"/>
      <c r="L623" s="998"/>
      <c r="M623" s="998"/>
      <c r="N623" s="998"/>
      <c r="O623" s="998"/>
      <c r="P623" s="998"/>
      <c r="Q623" s="1302"/>
      <c r="R623" s="1302"/>
      <c r="S623" s="1302"/>
      <c r="T623" s="1302"/>
      <c r="U623" s="1302"/>
      <c r="V623" s="1302"/>
      <c r="W623" s="1302"/>
      <c r="X623" s="1302"/>
      <c r="Y623" s="1302"/>
      <c r="Z623" s="1302"/>
    </row>
    <row r="624" spans="1:26" ht="18.75">
      <c r="A624" s="1326"/>
      <c r="B624" s="1327"/>
      <c r="C624" s="1327"/>
      <c r="D624" s="1069" t="s">
        <v>265</v>
      </c>
      <c r="E624" s="1014"/>
      <c r="F624" s="1014"/>
      <c r="G624" s="1007"/>
      <c r="H624" s="762" t="s">
        <v>46</v>
      </c>
      <c r="I624" s="880"/>
      <c r="J624" s="1012">
        <v>0</v>
      </c>
      <c r="K624" s="998"/>
      <c r="L624" s="998"/>
      <c r="M624" s="998"/>
      <c r="N624" s="998"/>
      <c r="O624" s="998"/>
      <c r="P624" s="998"/>
      <c r="Q624" s="1302"/>
      <c r="R624" s="1302"/>
      <c r="S624" s="1302"/>
      <c r="T624" s="1302"/>
      <c r="U624" s="1302"/>
      <c r="V624" s="1302"/>
      <c r="W624" s="1302"/>
      <c r="X624" s="1302"/>
      <c r="Y624" s="1302"/>
      <c r="Z624" s="1302"/>
    </row>
    <row r="625" spans="1:26" ht="18.75">
      <c r="A625" s="1326"/>
      <c r="B625" s="1327"/>
      <c r="C625" s="1327"/>
      <c r="D625" s="1327"/>
      <c r="E625" s="1014"/>
      <c r="F625" s="1014"/>
      <c r="G625" s="1007"/>
      <c r="H625" s="762" t="s">
        <v>34</v>
      </c>
      <c r="I625" s="880"/>
      <c r="J625" s="1012">
        <v>0</v>
      </c>
      <c r="K625" s="998"/>
      <c r="L625" s="998"/>
      <c r="M625" s="998"/>
      <c r="N625" s="998"/>
      <c r="O625" s="998"/>
      <c r="P625" s="998"/>
      <c r="Q625" s="1302"/>
      <c r="R625" s="1302"/>
      <c r="S625" s="1302"/>
      <c r="T625" s="1302"/>
      <c r="U625" s="1302"/>
      <c r="V625" s="1302"/>
      <c r="W625" s="1302"/>
      <c r="X625" s="1302"/>
      <c r="Y625" s="1302"/>
      <c r="Z625" s="1302"/>
    </row>
    <row r="626" spans="1:26" ht="18.75">
      <c r="A626" s="1326"/>
      <c r="B626" s="1327"/>
      <c r="C626" s="1327"/>
      <c r="D626" s="1069" t="s">
        <v>270</v>
      </c>
      <c r="E626" s="1014"/>
      <c r="F626" s="1014"/>
      <c r="G626" s="1007"/>
      <c r="H626" s="762" t="s">
        <v>46</v>
      </c>
      <c r="I626" s="880"/>
      <c r="J626" s="1012">
        <v>0</v>
      </c>
      <c r="K626" s="998"/>
      <c r="L626" s="998"/>
      <c r="M626" s="998"/>
      <c r="N626" s="998"/>
      <c r="O626" s="998"/>
      <c r="P626" s="998"/>
      <c r="Q626" s="1302"/>
      <c r="R626" s="1302"/>
      <c r="S626" s="1302"/>
      <c r="T626" s="1302"/>
      <c r="U626" s="1302"/>
      <c r="V626" s="1302"/>
      <c r="W626" s="1302"/>
      <c r="X626" s="1302"/>
      <c r="Y626" s="1302"/>
      <c r="Z626" s="1302"/>
    </row>
    <row r="627" spans="1:26" ht="18.75">
      <c r="A627" s="1420"/>
      <c r="B627" s="1421"/>
      <c r="C627" s="1421"/>
      <c r="D627" s="1421"/>
      <c r="E627" s="1169"/>
      <c r="F627" s="1169"/>
      <c r="G627" s="1422"/>
      <c r="H627" s="423" t="s">
        <v>34</v>
      </c>
      <c r="I627" s="1138"/>
      <c r="J627" s="1171">
        <v>0</v>
      </c>
      <c r="K627" s="1139"/>
      <c r="L627" s="1139"/>
      <c r="M627" s="1139"/>
      <c r="N627" s="1139"/>
      <c r="O627" s="1139"/>
      <c r="P627" s="1139"/>
      <c r="Q627" s="1302"/>
      <c r="R627" s="1302"/>
      <c r="S627" s="1302"/>
      <c r="T627" s="1302"/>
      <c r="U627" s="1302"/>
      <c r="V627" s="1302"/>
      <c r="W627" s="1302"/>
      <c r="X627" s="1302"/>
      <c r="Y627" s="1302"/>
      <c r="Z627" s="1302"/>
    </row>
    <row r="628" spans="1:26" ht="19.5">
      <c r="A628" s="734">
        <v>7</v>
      </c>
      <c r="B628" s="1423" t="s">
        <v>271</v>
      </c>
      <c r="C628" s="1424"/>
      <c r="D628" s="1424"/>
      <c r="E628" s="1424"/>
      <c r="F628" s="1424"/>
      <c r="G628" s="1425"/>
      <c r="H628" s="738" t="s">
        <v>35</v>
      </c>
      <c r="I628" s="1426">
        <f t="shared" ref="I628:J628" ca="1" si="262">I651</f>
        <v>40</v>
      </c>
      <c r="J628" s="1426">
        <f t="shared" ca="1" si="262"/>
        <v>0</v>
      </c>
      <c r="K628" s="1427">
        <f ca="1">IF(I628&gt;0,J628*100/I628,0)</f>
        <v>0</v>
      </c>
      <c r="L628" s="1428"/>
      <c r="M628" s="1428"/>
      <c r="N628" s="1428"/>
      <c r="O628" s="1428"/>
      <c r="P628" s="1428"/>
      <c r="Q628" s="1302"/>
      <c r="R628" s="1302"/>
      <c r="S628" s="1302"/>
      <c r="T628" s="1302"/>
      <c r="U628" s="1302"/>
      <c r="V628" s="1302"/>
      <c r="W628" s="1302"/>
      <c r="X628" s="1302"/>
      <c r="Y628" s="1302"/>
      <c r="Z628" s="1302"/>
    </row>
    <row r="629" spans="1:26" ht="19.5">
      <c r="A629" s="1317"/>
      <c r="B629" s="1301"/>
      <c r="C629" s="1301" t="s">
        <v>16</v>
      </c>
      <c r="D629" s="1318" t="s">
        <v>17</v>
      </c>
      <c r="E629" s="841"/>
      <c r="F629" s="841"/>
      <c r="G629" s="1016"/>
      <c r="H629" s="597" t="s">
        <v>12</v>
      </c>
      <c r="I629" s="880"/>
      <c r="J629" s="880"/>
      <c r="K629" s="881"/>
      <c r="L629" s="1020">
        <f t="shared" ref="L629:N629" ca="1" si="263">L630+L631</f>
        <v>221445</v>
      </c>
      <c r="M629" s="1020">
        <f t="shared" ca="1" si="263"/>
        <v>221445</v>
      </c>
      <c r="N629" s="1020">
        <f t="shared" si="263"/>
        <v>2350</v>
      </c>
      <c r="O629" s="1020">
        <f t="shared" ref="O629:O634" ca="1" si="264">IF(L629&gt;0,N629*100/L629,0)</f>
        <v>1.0612115875273771</v>
      </c>
      <c r="P629" s="1020">
        <f t="shared" ref="P629:P634" ca="1" si="265">IF(M629&gt;0,N629*100/M629,0)</f>
        <v>1.0612115875273771</v>
      </c>
      <c r="Q629" s="1302"/>
      <c r="R629" s="1302"/>
      <c r="S629" s="1302"/>
      <c r="T629" s="1302"/>
      <c r="U629" s="1302"/>
      <c r="V629" s="1302"/>
      <c r="W629" s="1302"/>
      <c r="X629" s="1302"/>
      <c r="Y629" s="1302"/>
      <c r="Z629" s="1302"/>
    </row>
    <row r="630" spans="1:26" ht="18.75" hidden="1">
      <c r="A630" s="1319"/>
      <c r="B630" s="1320"/>
      <c r="C630" s="1320"/>
      <c r="D630" s="1321"/>
      <c r="E630" s="1320" t="s">
        <v>185</v>
      </c>
      <c r="F630" s="1320"/>
      <c r="G630" s="1322"/>
      <c r="H630" s="165" t="s">
        <v>12</v>
      </c>
      <c r="I630" s="886"/>
      <c r="J630" s="886"/>
      <c r="K630" s="887"/>
      <c r="L630" s="887">
        <f t="shared" ref="L630:N631" si="266">L633+L640</f>
        <v>0</v>
      </c>
      <c r="M630" s="887">
        <f t="shared" si="266"/>
        <v>0</v>
      </c>
      <c r="N630" s="887">
        <f t="shared" si="266"/>
        <v>0</v>
      </c>
      <c r="O630" s="887">
        <f t="shared" si="264"/>
        <v>0</v>
      </c>
      <c r="P630" s="887">
        <f t="shared" si="265"/>
        <v>0</v>
      </c>
      <c r="Q630" s="1323"/>
      <c r="R630" s="1323"/>
      <c r="S630" s="1323"/>
      <c r="T630" s="1323"/>
      <c r="U630" s="1323"/>
      <c r="V630" s="1323"/>
      <c r="W630" s="1323"/>
      <c r="X630" s="1323"/>
      <c r="Y630" s="1323"/>
      <c r="Z630" s="1323"/>
    </row>
    <row r="631" spans="1:26" ht="18.75" hidden="1">
      <c r="A631" s="1319"/>
      <c r="B631" s="1324"/>
      <c r="C631" s="1320"/>
      <c r="D631" s="1321"/>
      <c r="E631" s="1320" t="s">
        <v>186</v>
      </c>
      <c r="F631" s="1320"/>
      <c r="G631" s="1322"/>
      <c r="H631" s="165" t="s">
        <v>12</v>
      </c>
      <c r="I631" s="886"/>
      <c r="J631" s="886"/>
      <c r="K631" s="887"/>
      <c r="L631" s="887">
        <f t="shared" ca="1" si="266"/>
        <v>221445</v>
      </c>
      <c r="M631" s="887">
        <f t="shared" ca="1" si="266"/>
        <v>221445</v>
      </c>
      <c r="N631" s="887">
        <f t="shared" si="266"/>
        <v>2350</v>
      </c>
      <c r="O631" s="887">
        <f t="shared" ca="1" si="264"/>
        <v>1.0612115875273771</v>
      </c>
      <c r="P631" s="887">
        <f t="shared" ca="1" si="265"/>
        <v>1.0612115875273771</v>
      </c>
      <c r="Q631" s="1323"/>
      <c r="R631" s="1323"/>
      <c r="S631" s="1323"/>
      <c r="T631" s="1323"/>
      <c r="U631" s="1323"/>
      <c r="V631" s="1323"/>
      <c r="W631" s="1323"/>
      <c r="X631" s="1323"/>
      <c r="Y631" s="1323"/>
      <c r="Z631" s="1323"/>
    </row>
    <row r="632" spans="1:26" ht="18.75">
      <c r="A632" s="1317"/>
      <c r="B632" s="1300"/>
      <c r="C632" s="1301"/>
      <c r="D632" s="1325" t="s">
        <v>20</v>
      </c>
      <c r="E632" s="1301"/>
      <c r="F632" s="1301"/>
      <c r="G632" s="1016"/>
      <c r="H632" s="161" t="s">
        <v>12</v>
      </c>
      <c r="I632" s="997"/>
      <c r="J632" s="997"/>
      <c r="K632" s="998"/>
      <c r="L632" s="881">
        <f t="shared" ref="L632:N632" ca="1" si="267">L633+L634</f>
        <v>221445</v>
      </c>
      <c r="M632" s="881">
        <f t="shared" ca="1" si="267"/>
        <v>221445</v>
      </c>
      <c r="N632" s="881">
        <f t="shared" si="267"/>
        <v>2350</v>
      </c>
      <c r="O632" s="881">
        <f t="shared" ca="1" si="264"/>
        <v>1.0612115875273771</v>
      </c>
      <c r="P632" s="881">
        <f t="shared" ca="1" si="265"/>
        <v>1.0612115875273771</v>
      </c>
      <c r="Q632" s="1302"/>
      <c r="R632" s="1302"/>
      <c r="S632" s="1302"/>
      <c r="T632" s="1302"/>
      <c r="U632" s="1302"/>
      <c r="V632" s="1302"/>
      <c r="W632" s="1302"/>
      <c r="X632" s="1302"/>
      <c r="Y632" s="1302"/>
      <c r="Z632" s="1302"/>
    </row>
    <row r="633" spans="1:26" ht="18.75" hidden="1">
      <c r="A633" s="1319"/>
      <c r="B633" s="1324"/>
      <c r="C633" s="1320"/>
      <c r="D633" s="1321"/>
      <c r="E633" s="1320" t="s">
        <v>185</v>
      </c>
      <c r="F633" s="1320"/>
      <c r="G633" s="1322"/>
      <c r="H633" s="165" t="s">
        <v>12</v>
      </c>
      <c r="I633" s="886"/>
      <c r="J633" s="886"/>
      <c r="K633" s="887"/>
      <c r="L633" s="887">
        <v>0</v>
      </c>
      <c r="M633" s="887">
        <v>0</v>
      </c>
      <c r="N633" s="887">
        <v>0</v>
      </c>
      <c r="O633" s="887">
        <f t="shared" si="264"/>
        <v>0</v>
      </c>
      <c r="P633" s="887">
        <f t="shared" si="265"/>
        <v>0</v>
      </c>
      <c r="Q633" s="1323"/>
      <c r="R633" s="1323"/>
      <c r="S633" s="1323"/>
      <c r="T633" s="1323"/>
      <c r="U633" s="1323"/>
      <c r="V633" s="1323"/>
      <c r="W633" s="1323"/>
      <c r="X633" s="1323"/>
      <c r="Y633" s="1323"/>
      <c r="Z633" s="1323"/>
    </row>
    <row r="634" spans="1:26" ht="18.75" hidden="1">
      <c r="A634" s="1319"/>
      <c r="B634" s="1324"/>
      <c r="C634" s="1320"/>
      <c r="D634" s="1321"/>
      <c r="E634" s="1320" t="s">
        <v>186</v>
      </c>
      <c r="F634" s="1320"/>
      <c r="G634" s="1322"/>
      <c r="H634" s="165" t="s">
        <v>12</v>
      </c>
      <c r="I634" s="886"/>
      <c r="J634" s="886"/>
      <c r="K634" s="887"/>
      <c r="L634" s="887">
        <f ca="1">IFERROR(__xludf.DUMMYFUNCTION("IMPORTRANGE(""https://docs.google.com/spreadsheets/d/1QqKyyYR6Q21VydFLVH3TRQUabQu_ym0Zz7PgGX0-kHA/edit?usp=sharing"",""แผน!HN78"")"),221445)</f>
        <v>221445</v>
      </c>
      <c r="M634" s="887">
        <f ca="1">L634</f>
        <v>221445</v>
      </c>
      <c r="N634" s="887">
        <f>N635+N636+N637+N638</f>
        <v>2350</v>
      </c>
      <c r="O634" s="887">
        <f t="shared" ca="1" si="264"/>
        <v>1.0612115875273771</v>
      </c>
      <c r="P634" s="887">
        <f t="shared" ca="1" si="265"/>
        <v>1.0612115875273771</v>
      </c>
      <c r="Q634" s="1323"/>
      <c r="R634" s="1323"/>
      <c r="S634" s="1323"/>
      <c r="T634" s="1323"/>
      <c r="U634" s="1323"/>
      <c r="V634" s="1323"/>
      <c r="W634" s="1323"/>
      <c r="X634" s="1323"/>
      <c r="Y634" s="1323"/>
      <c r="Z634" s="1323"/>
    </row>
    <row r="635" spans="1:26" ht="18.75">
      <c r="A635" s="1299"/>
      <c r="B635" s="1300"/>
      <c r="C635" s="1301"/>
      <c r="D635" s="1301"/>
      <c r="E635" s="1301"/>
      <c r="F635" s="1301" t="s">
        <v>187</v>
      </c>
      <c r="G635" s="1016"/>
      <c r="H635" s="161" t="s">
        <v>12</v>
      </c>
      <c r="I635" s="880"/>
      <c r="J635" s="880"/>
      <c r="K635" s="881"/>
      <c r="L635" s="881"/>
      <c r="M635" s="881"/>
      <c r="N635" s="1085">
        <v>0</v>
      </c>
      <c r="O635" s="881"/>
      <c r="P635" s="881"/>
      <c r="Q635" s="1302"/>
      <c r="R635" s="1302"/>
      <c r="S635" s="1302"/>
      <c r="T635" s="1302"/>
      <c r="U635" s="1302"/>
      <c r="V635" s="1302"/>
      <c r="W635" s="1302"/>
      <c r="X635" s="1302"/>
      <c r="Y635" s="1302"/>
      <c r="Z635" s="1302"/>
    </row>
    <row r="636" spans="1:26" ht="18.75">
      <c r="A636" s="1299"/>
      <c r="B636" s="1300"/>
      <c r="C636" s="1301"/>
      <c r="D636" s="1301"/>
      <c r="E636" s="1301"/>
      <c r="F636" s="1301" t="s">
        <v>188</v>
      </c>
      <c r="G636" s="1016"/>
      <c r="H636" s="161" t="s">
        <v>12</v>
      </c>
      <c r="I636" s="880"/>
      <c r="J636" s="880"/>
      <c r="K636" s="881"/>
      <c r="L636" s="881"/>
      <c r="M636" s="881"/>
      <c r="N636" s="1085">
        <v>0</v>
      </c>
      <c r="O636" s="881"/>
      <c r="P636" s="881"/>
      <c r="Q636" s="1302"/>
      <c r="R636" s="1302"/>
      <c r="S636" s="1302"/>
      <c r="T636" s="1302"/>
      <c r="U636" s="1302"/>
      <c r="V636" s="1302"/>
      <c r="W636" s="1302"/>
      <c r="X636" s="1302"/>
      <c r="Y636" s="1302"/>
      <c r="Z636" s="1302"/>
    </row>
    <row r="637" spans="1:26" ht="18.75">
      <c r="A637" s="1299"/>
      <c r="B637" s="1300"/>
      <c r="C637" s="1301"/>
      <c r="D637" s="1301"/>
      <c r="E637" s="1301"/>
      <c r="F637" s="1301" t="s">
        <v>189</v>
      </c>
      <c r="G637" s="1016"/>
      <c r="H637" s="161" t="s">
        <v>12</v>
      </c>
      <c r="I637" s="880"/>
      <c r="J637" s="880"/>
      <c r="K637" s="881"/>
      <c r="L637" s="881"/>
      <c r="M637" s="881"/>
      <c r="N637" s="1085">
        <v>0</v>
      </c>
      <c r="O637" s="881"/>
      <c r="P637" s="881"/>
      <c r="Q637" s="1302"/>
      <c r="R637" s="1302"/>
      <c r="S637" s="1302"/>
      <c r="T637" s="1302"/>
      <c r="U637" s="1302"/>
      <c r="V637" s="1302"/>
      <c r="W637" s="1302"/>
      <c r="X637" s="1302"/>
      <c r="Y637" s="1302"/>
      <c r="Z637" s="1302"/>
    </row>
    <row r="638" spans="1:26" ht="18.75">
      <c r="A638" s="1299"/>
      <c r="B638" s="1300"/>
      <c r="C638" s="1301"/>
      <c r="D638" s="1301"/>
      <c r="E638" s="1301"/>
      <c r="F638" s="1301" t="s">
        <v>190</v>
      </c>
      <c r="G638" s="1016"/>
      <c r="H638" s="161" t="s">
        <v>12</v>
      </c>
      <c r="I638" s="880"/>
      <c r="J638" s="880"/>
      <c r="K638" s="881"/>
      <c r="L638" s="881"/>
      <c r="M638" s="881"/>
      <c r="N638" s="1085">
        <v>2350</v>
      </c>
      <c r="O638" s="881"/>
      <c r="P638" s="881"/>
      <c r="Q638" s="1302"/>
      <c r="R638" s="1302"/>
      <c r="S638" s="1302"/>
      <c r="T638" s="1302"/>
      <c r="U638" s="1302"/>
      <c r="V638" s="1302"/>
      <c r="W638" s="1302"/>
      <c r="X638" s="1302"/>
      <c r="Y638" s="1302"/>
      <c r="Z638" s="1302"/>
    </row>
    <row r="639" spans="1:26" ht="18.75">
      <c r="A639" s="1317"/>
      <c r="B639" s="1300"/>
      <c r="C639" s="1301"/>
      <c r="D639" s="1325" t="s">
        <v>21</v>
      </c>
      <c r="E639" s="1301"/>
      <c r="F639" s="1301"/>
      <c r="G639" s="1016"/>
      <c r="H639" s="168" t="s">
        <v>12</v>
      </c>
      <c r="I639" s="997"/>
      <c r="J639" s="997"/>
      <c r="K639" s="998"/>
      <c r="L639" s="881">
        <f t="shared" ref="L639:N639" ca="1" si="268">L640+L641</f>
        <v>0</v>
      </c>
      <c r="M639" s="881">
        <f t="shared" si="268"/>
        <v>0</v>
      </c>
      <c r="N639" s="881">
        <f t="shared" si="268"/>
        <v>0</v>
      </c>
      <c r="O639" s="881">
        <f t="shared" ref="O639:O641" ca="1" si="269">IF(L639&gt;0,N639*100/L639,0)</f>
        <v>0</v>
      </c>
      <c r="P639" s="881">
        <f t="shared" ref="P639:P641" si="270">IF(M639&gt;0,N639*100/M639,0)</f>
        <v>0</v>
      </c>
      <c r="Q639" s="1302"/>
      <c r="R639" s="1302"/>
      <c r="S639" s="1302"/>
      <c r="T639" s="1302"/>
      <c r="U639" s="1302"/>
      <c r="V639" s="1302"/>
      <c r="W639" s="1302"/>
      <c r="X639" s="1302"/>
      <c r="Y639" s="1302"/>
      <c r="Z639" s="1302"/>
    </row>
    <row r="640" spans="1:26" ht="18.75" hidden="1">
      <c r="A640" s="1319"/>
      <c r="B640" s="1324"/>
      <c r="C640" s="1320"/>
      <c r="D640" s="1320"/>
      <c r="E640" s="1320" t="s">
        <v>18</v>
      </c>
      <c r="F640" s="1320"/>
      <c r="G640" s="1322"/>
      <c r="H640" s="165" t="s">
        <v>12</v>
      </c>
      <c r="I640" s="1000"/>
      <c r="J640" s="1000"/>
      <c r="K640" s="1001"/>
      <c r="L640" s="887">
        <v>0</v>
      </c>
      <c r="M640" s="887">
        <v>0</v>
      </c>
      <c r="N640" s="887">
        <v>0</v>
      </c>
      <c r="O640" s="887">
        <f t="shared" si="269"/>
        <v>0</v>
      </c>
      <c r="P640" s="887">
        <f t="shared" si="270"/>
        <v>0</v>
      </c>
      <c r="Q640" s="1323"/>
      <c r="R640" s="1323"/>
      <c r="S640" s="1323"/>
      <c r="T640" s="1323"/>
      <c r="U640" s="1323"/>
      <c r="V640" s="1323"/>
      <c r="W640" s="1323"/>
      <c r="X640" s="1323"/>
      <c r="Y640" s="1323"/>
      <c r="Z640" s="1323"/>
    </row>
    <row r="641" spans="1:26" ht="18.75" hidden="1">
      <c r="A641" s="1319"/>
      <c r="B641" s="1324"/>
      <c r="C641" s="1320"/>
      <c r="D641" s="1320"/>
      <c r="E641" s="1320" t="s">
        <v>19</v>
      </c>
      <c r="F641" s="1320"/>
      <c r="G641" s="1322"/>
      <c r="H641" s="169" t="s">
        <v>12</v>
      </c>
      <c r="I641" s="1000"/>
      <c r="J641" s="1000"/>
      <c r="K641" s="1001"/>
      <c r="L641" s="887">
        <f ca="1">IFERROR(__xludf.DUMMYFUNCTION("IMPORTRANGE(""https://docs.google.com/spreadsheets/d/1QqKyyYR6Q21VydFLVH3TRQUabQu_ym0Zz7PgGX0-kHA/edit?usp=sharing"",""แผน!HQ78"")"),0)</f>
        <v>0</v>
      </c>
      <c r="M641" s="887">
        <v>0</v>
      </c>
      <c r="N641" s="887">
        <v>0</v>
      </c>
      <c r="O641" s="887">
        <f t="shared" ca="1" si="269"/>
        <v>0</v>
      </c>
      <c r="P641" s="887">
        <f t="shared" si="270"/>
        <v>0</v>
      </c>
      <c r="Q641" s="1323"/>
      <c r="R641" s="1323"/>
      <c r="S641" s="1323"/>
      <c r="T641" s="1323"/>
      <c r="U641" s="1323"/>
      <c r="V641" s="1323"/>
      <c r="W641" s="1323"/>
      <c r="X641" s="1323"/>
      <c r="Y641" s="1323"/>
      <c r="Z641" s="1323"/>
    </row>
    <row r="642" spans="1:26" ht="19.5">
      <c r="A642" s="1326"/>
      <c r="B642" s="1327"/>
      <c r="C642" s="1301" t="s">
        <v>16</v>
      </c>
      <c r="D642" s="1380" t="s">
        <v>38</v>
      </c>
      <c r="E642" s="1330"/>
      <c r="F642" s="1330"/>
      <c r="G642" s="1331"/>
      <c r="H642" s="1007"/>
      <c r="I642" s="997"/>
      <c r="J642" s="997"/>
      <c r="K642" s="998"/>
      <c r="L642" s="998"/>
      <c r="M642" s="998"/>
      <c r="N642" s="998"/>
      <c r="O642" s="998"/>
      <c r="P642" s="998"/>
      <c r="Q642" s="1302"/>
      <c r="R642" s="1302"/>
      <c r="S642" s="1302"/>
      <c r="T642" s="1302"/>
      <c r="U642" s="1302"/>
      <c r="V642" s="1302"/>
      <c r="W642" s="1302"/>
      <c r="X642" s="1302"/>
      <c r="Y642" s="1302"/>
      <c r="Z642" s="1302"/>
    </row>
    <row r="643" spans="1:26" ht="18.75">
      <c r="A643" s="1429"/>
      <c r="B643" s="1300"/>
      <c r="C643" s="1301"/>
      <c r="D643" s="1014"/>
      <c r="E643" s="1069" t="s">
        <v>272</v>
      </c>
      <c r="F643" s="1014"/>
      <c r="G643" s="1007"/>
      <c r="H643" s="762" t="s">
        <v>273</v>
      </c>
      <c r="I643" s="880">
        <f ca="1">IFERROR(__xludf.DUMMYFUNCTION("IMPORTRANGE(""https://docs.google.com/spreadsheets/d/1QqKyyYR6Q21VydFLVH3TRQUabQu_ym0Zz7PgGX0-kHA/edit?usp=sharing"",""แผน!HR78"")"),1)</f>
        <v>1</v>
      </c>
      <c r="J643" s="1012">
        <v>0</v>
      </c>
      <c r="K643" s="998">
        <f t="shared" ref="K643:K652" ca="1" si="271">IF(I643&gt;0,J643*100/I643,0)</f>
        <v>0</v>
      </c>
      <c r="L643" s="998"/>
      <c r="M643" s="998"/>
      <c r="N643" s="881"/>
      <c r="O643" s="998"/>
      <c r="P643" s="998"/>
      <c r="Q643" s="1302"/>
      <c r="R643" s="1302"/>
      <c r="S643" s="1302"/>
      <c r="T643" s="1302"/>
      <c r="U643" s="1302"/>
      <c r="V643" s="1302"/>
      <c r="W643" s="1302"/>
      <c r="X643" s="1302"/>
      <c r="Y643" s="1302"/>
      <c r="Z643" s="1302"/>
    </row>
    <row r="644" spans="1:26" ht="18.75">
      <c r="A644" s="1429"/>
      <c r="B644" s="1300"/>
      <c r="C644" s="1301"/>
      <c r="D644" s="1014"/>
      <c r="E644" s="1069" t="s">
        <v>274</v>
      </c>
      <c r="F644" s="1014"/>
      <c r="G644" s="1007"/>
      <c r="H644" s="762" t="s">
        <v>275</v>
      </c>
      <c r="I644" s="880">
        <f ca="1">IFERROR(__xludf.DUMMYFUNCTION("IMPORTRANGE(""https://docs.google.com/spreadsheets/d/1QqKyyYR6Q21VydFLVH3TRQUabQu_ym0Zz7PgGX0-kHA/edit?usp=sharing"",""แผน!HR78"")"),1)</f>
        <v>1</v>
      </c>
      <c r="J644" s="1012">
        <v>0</v>
      </c>
      <c r="K644" s="998">
        <f t="shared" ca="1" si="271"/>
        <v>0</v>
      </c>
      <c r="L644" s="998"/>
      <c r="M644" s="998"/>
      <c r="N644" s="881"/>
      <c r="O644" s="998"/>
      <c r="P644" s="998"/>
      <c r="Q644" s="1302"/>
      <c r="R644" s="1302"/>
      <c r="S644" s="1302"/>
      <c r="T644" s="1302"/>
      <c r="U644" s="1302"/>
      <c r="V644" s="1302"/>
      <c r="W644" s="1302"/>
      <c r="X644" s="1302"/>
      <c r="Y644" s="1302"/>
      <c r="Z644" s="1302"/>
    </row>
    <row r="645" spans="1:26" ht="18.75">
      <c r="A645" s="1429"/>
      <c r="B645" s="1300"/>
      <c r="C645" s="1301"/>
      <c r="D645" s="1014"/>
      <c r="E645" s="1069" t="s">
        <v>276</v>
      </c>
      <c r="F645" s="1014"/>
      <c r="G645" s="1007"/>
      <c r="H645" s="762" t="s">
        <v>34</v>
      </c>
      <c r="I645" s="880">
        <v>0</v>
      </c>
      <c r="J645" s="880">
        <f ca="1">IFERROR(__xludf.DUMMYFUNCTION("IMPORTRANGE(""https://docs.google.com/spreadsheets/d/1XWAQStnk-4SwqDmLtmXYiTMKHgktTP8We1SCoS47DrQ/edit?usp=sharing"",""จัดที่ดิน!AS78"")"),0)</f>
        <v>0</v>
      </c>
      <c r="K645" s="998">
        <f t="shared" si="271"/>
        <v>0</v>
      </c>
      <c r="L645" s="998"/>
      <c r="M645" s="998"/>
      <c r="N645" s="881"/>
      <c r="O645" s="998"/>
      <c r="P645" s="998"/>
      <c r="Q645" s="1302"/>
      <c r="R645" s="1302"/>
      <c r="S645" s="1302"/>
      <c r="T645" s="1302"/>
      <c r="U645" s="1302"/>
      <c r="V645" s="1302"/>
      <c r="W645" s="1302"/>
      <c r="X645" s="1302"/>
      <c r="Y645" s="1302"/>
      <c r="Z645" s="1302"/>
    </row>
    <row r="646" spans="1:26" ht="18.75">
      <c r="A646" s="1429"/>
      <c r="B646" s="1300"/>
      <c r="C646" s="1301"/>
      <c r="D646" s="1014"/>
      <c r="E646" s="1014"/>
      <c r="F646" s="1014"/>
      <c r="G646" s="1007"/>
      <c r="H646" s="762" t="s">
        <v>46</v>
      </c>
      <c r="I646" s="880">
        <v>0</v>
      </c>
      <c r="J646" s="880">
        <f ca="1">IFERROR(__xludf.DUMMYFUNCTION("IMPORTRANGE(""https://docs.google.com/spreadsheets/d/1XWAQStnk-4SwqDmLtmXYiTMKHgktTP8We1SCoS47DrQ/edit?usp=sharing"",""จัดที่ดิน!AT78"")"),0)</f>
        <v>0</v>
      </c>
      <c r="K646" s="881">
        <f t="shared" si="271"/>
        <v>0</v>
      </c>
      <c r="L646" s="998"/>
      <c r="M646" s="998"/>
      <c r="N646" s="881"/>
      <c r="O646" s="998"/>
      <c r="P646" s="998"/>
      <c r="Q646" s="1302"/>
      <c r="R646" s="1302"/>
      <c r="S646" s="1302"/>
      <c r="T646" s="1302"/>
      <c r="U646" s="1302"/>
      <c r="V646" s="1302"/>
      <c r="W646" s="1302"/>
      <c r="X646" s="1302"/>
      <c r="Y646" s="1302"/>
      <c r="Z646" s="1302"/>
    </row>
    <row r="647" spans="1:26" ht="18.75">
      <c r="A647" s="1429"/>
      <c r="B647" s="1300"/>
      <c r="C647" s="1301"/>
      <c r="D647" s="1014"/>
      <c r="E647" s="1069" t="s">
        <v>162</v>
      </c>
      <c r="F647" s="1014"/>
      <c r="G647" s="1007"/>
      <c r="H647" s="762" t="s">
        <v>35</v>
      </c>
      <c r="I647" s="880">
        <f ca="1">IFERROR(__xludf.DUMMYFUNCTION("IMPORTRANGE(""https://docs.google.com/spreadsheets/d/1QqKyyYR6Q21VydFLVH3TRQUabQu_ym0Zz7PgGX0-kHA/edit?usp=sharing"",""แผน!HS78"")"),40)</f>
        <v>40</v>
      </c>
      <c r="J647" s="880">
        <f ca="1">IFERROR(__xludf.DUMMYFUNCTION("IMPORTRANGE(""https://docs.google.com/spreadsheets/d/1XWAQStnk-4SwqDmLtmXYiTMKHgktTP8We1SCoS47DrQ/edit?usp=sharing"",""จัดที่ดิน!AU78"")"),0)</f>
        <v>0</v>
      </c>
      <c r="K647" s="998">
        <f t="shared" ca="1" si="271"/>
        <v>0</v>
      </c>
      <c r="L647" s="998"/>
      <c r="M647" s="998"/>
      <c r="N647" s="998"/>
      <c r="O647" s="998"/>
      <c r="P647" s="998"/>
      <c r="Q647" s="1302"/>
      <c r="R647" s="1302"/>
      <c r="S647" s="1302"/>
      <c r="T647" s="1302"/>
      <c r="U647" s="1302"/>
      <c r="V647" s="1302"/>
      <c r="W647" s="1302"/>
      <c r="X647" s="1302"/>
      <c r="Y647" s="1302"/>
      <c r="Z647" s="1302"/>
    </row>
    <row r="648" spans="1:26" ht="18.75">
      <c r="A648" s="1429"/>
      <c r="B648" s="1300"/>
      <c r="C648" s="1301"/>
      <c r="D648" s="1014"/>
      <c r="E648" s="1014"/>
      <c r="F648" s="1014"/>
      <c r="G648" s="1007"/>
      <c r="H648" s="762" t="s">
        <v>46</v>
      </c>
      <c r="I648" s="880">
        <v>0</v>
      </c>
      <c r="J648" s="880">
        <f ca="1">IFERROR(__xludf.DUMMYFUNCTION("IMPORTRANGE(""https://docs.google.com/spreadsheets/d/1XWAQStnk-4SwqDmLtmXYiTMKHgktTP8We1SCoS47DrQ/edit?usp=sharing"",""จัดที่ดิน!AV78"")"),0)</f>
        <v>0</v>
      </c>
      <c r="K648" s="881">
        <f t="shared" si="271"/>
        <v>0</v>
      </c>
      <c r="L648" s="998"/>
      <c r="M648" s="998"/>
      <c r="N648" s="998"/>
      <c r="O648" s="998"/>
      <c r="P648" s="998"/>
      <c r="Q648" s="1302"/>
      <c r="R648" s="1302"/>
      <c r="S648" s="1302"/>
      <c r="T648" s="1302"/>
      <c r="U648" s="1302"/>
      <c r="V648" s="1302"/>
      <c r="W648" s="1302"/>
      <c r="X648" s="1302"/>
      <c r="Y648" s="1302"/>
      <c r="Z648" s="1302"/>
    </row>
    <row r="649" spans="1:26" ht="18.75">
      <c r="A649" s="1429"/>
      <c r="B649" s="1300"/>
      <c r="C649" s="1301"/>
      <c r="D649" s="1014"/>
      <c r="E649" s="1069" t="s">
        <v>277</v>
      </c>
      <c r="F649" s="1014"/>
      <c r="G649" s="1007"/>
      <c r="H649" s="762" t="s">
        <v>35</v>
      </c>
      <c r="I649" s="880">
        <f ca="1">IFERROR(__xludf.DUMMYFUNCTION("IMPORTRANGE(""https://docs.google.com/spreadsheets/d/1QqKyyYR6Q21VydFLVH3TRQUabQu_ym0Zz7PgGX0-kHA/edit?usp=sharing"",""แผน!HS78"")"),40)</f>
        <v>40</v>
      </c>
      <c r="J649" s="880">
        <f ca="1">IFERROR(__xludf.DUMMYFUNCTION("IMPORTRANGE(""https://docs.google.com/spreadsheets/d/1XWAQStnk-4SwqDmLtmXYiTMKHgktTP8We1SCoS47DrQ/edit?usp=sharing"",""จัดที่ดิน!AW78"")"),0)</f>
        <v>0</v>
      </c>
      <c r="K649" s="998">
        <f t="shared" ca="1" si="271"/>
        <v>0</v>
      </c>
      <c r="L649" s="998"/>
      <c r="M649" s="998"/>
      <c r="N649" s="998"/>
      <c r="O649" s="998"/>
      <c r="P649" s="998"/>
      <c r="Q649" s="1302"/>
      <c r="R649" s="1302"/>
      <c r="S649" s="1302"/>
      <c r="T649" s="1302"/>
      <c r="U649" s="1302"/>
      <c r="V649" s="1302"/>
      <c r="W649" s="1302"/>
      <c r="X649" s="1302"/>
      <c r="Y649" s="1302"/>
      <c r="Z649" s="1302"/>
    </row>
    <row r="650" spans="1:26" ht="18.75">
      <c r="A650" s="1429"/>
      <c r="B650" s="1300"/>
      <c r="C650" s="1301"/>
      <c r="D650" s="1014"/>
      <c r="E650" s="1014"/>
      <c r="F650" s="1014"/>
      <c r="G650" s="1007"/>
      <c r="H650" s="762" t="s">
        <v>46</v>
      </c>
      <c r="I650" s="880">
        <v>0</v>
      </c>
      <c r="J650" s="880">
        <f ca="1">IFERROR(__xludf.DUMMYFUNCTION("IMPORTRANGE(""https://docs.google.com/spreadsheets/d/1XWAQStnk-4SwqDmLtmXYiTMKHgktTP8We1SCoS47DrQ/edit?usp=sharing"",""จัดที่ดิน!AX78"")"),0)</f>
        <v>0</v>
      </c>
      <c r="K650" s="881">
        <f t="shared" si="271"/>
        <v>0</v>
      </c>
      <c r="L650" s="998"/>
      <c r="M650" s="998"/>
      <c r="N650" s="998"/>
      <c r="O650" s="998"/>
      <c r="P650" s="998"/>
      <c r="Q650" s="1302"/>
      <c r="R650" s="1302"/>
      <c r="S650" s="1302"/>
      <c r="T650" s="1302"/>
      <c r="U650" s="1302"/>
      <c r="V650" s="1302"/>
      <c r="W650" s="1302"/>
      <c r="X650" s="1302"/>
      <c r="Y650" s="1302"/>
      <c r="Z650" s="1302"/>
    </row>
    <row r="651" spans="1:26" ht="18.75">
      <c r="A651" s="1429"/>
      <c r="B651" s="1300"/>
      <c r="C651" s="1301"/>
      <c r="D651" s="1014"/>
      <c r="E651" s="1069" t="s">
        <v>278</v>
      </c>
      <c r="F651" s="1014"/>
      <c r="G651" s="1007"/>
      <c r="H651" s="762" t="s">
        <v>35</v>
      </c>
      <c r="I651" s="880">
        <f ca="1">IFERROR(__xludf.DUMMYFUNCTION("IMPORTRANGE(""https://docs.google.com/spreadsheets/d/1QqKyyYR6Q21VydFLVH3TRQUabQu_ym0Zz7PgGX0-kHA/edit?usp=sharing"",""แผน!HS78"")"),40)</f>
        <v>40</v>
      </c>
      <c r="J651" s="880">
        <f ca="1">IFERROR(__xludf.DUMMYFUNCTION("IMPORTRANGE(""https://docs.google.com/spreadsheets/d/1XWAQStnk-4SwqDmLtmXYiTMKHgktTP8We1SCoS47DrQ/edit?usp=sharing"",""จัดที่ดิน!AY78"")"),0)</f>
        <v>0</v>
      </c>
      <c r="K651" s="998">
        <f t="shared" ca="1" si="271"/>
        <v>0</v>
      </c>
      <c r="L651" s="998"/>
      <c r="M651" s="998"/>
      <c r="N651" s="998"/>
      <c r="O651" s="998"/>
      <c r="P651" s="998"/>
      <c r="Q651" s="1302"/>
      <c r="R651" s="1302"/>
      <c r="S651" s="1302"/>
      <c r="T651" s="1302"/>
      <c r="U651" s="1302"/>
      <c r="V651" s="1302"/>
      <c r="W651" s="1302"/>
      <c r="X651" s="1302"/>
      <c r="Y651" s="1302"/>
      <c r="Z651" s="1302"/>
    </row>
    <row r="652" spans="1:26" ht="18.75">
      <c r="A652" s="1430"/>
      <c r="B652" s="1431"/>
      <c r="C652" s="1432"/>
      <c r="D652" s="1169"/>
      <c r="E652" s="1169"/>
      <c r="F652" s="1169"/>
      <c r="G652" s="1422"/>
      <c r="H652" s="504" t="s">
        <v>46</v>
      </c>
      <c r="I652" s="1138">
        <v>0</v>
      </c>
      <c r="J652" s="1138">
        <f ca="1">IFERROR(__xludf.DUMMYFUNCTION("IMPORTRANGE(""https://docs.google.com/spreadsheets/d/1XWAQStnk-4SwqDmLtmXYiTMKHgktTP8We1SCoS47DrQ/edit?usp=sharing"",""จัดที่ดิน!AZ78"")"),0)</f>
        <v>0</v>
      </c>
      <c r="K652" s="1239">
        <f t="shared" si="271"/>
        <v>0</v>
      </c>
      <c r="L652" s="1139"/>
      <c r="M652" s="1139"/>
      <c r="N652" s="1139"/>
      <c r="O652" s="1139"/>
      <c r="P652" s="1139"/>
      <c r="Q652" s="1302"/>
      <c r="R652" s="1302"/>
      <c r="S652" s="1302"/>
      <c r="T652" s="1302"/>
      <c r="U652" s="1302"/>
      <c r="V652" s="1302"/>
      <c r="W652" s="1302"/>
      <c r="X652" s="1302"/>
      <c r="Y652" s="1302"/>
      <c r="Z652" s="1302"/>
    </row>
    <row r="653" spans="1:26" ht="19.5" hidden="1">
      <c r="A653" s="748">
        <v>8</v>
      </c>
      <c r="B653" s="1423" t="s">
        <v>279</v>
      </c>
      <c r="C653" s="1424"/>
      <c r="D653" s="1424"/>
      <c r="E653" s="1424"/>
      <c r="F653" s="1424"/>
      <c r="G653" s="1425"/>
      <c r="H653" s="1425"/>
      <c r="I653" s="1433"/>
      <c r="J653" s="1433"/>
      <c r="K653" s="1428"/>
      <c r="L653" s="1428"/>
      <c r="M653" s="1428"/>
      <c r="N653" s="1428"/>
      <c r="O653" s="1428"/>
      <c r="P653" s="1428"/>
      <c r="Q653" s="1302"/>
      <c r="R653" s="1302"/>
      <c r="S653" s="1302"/>
      <c r="T653" s="1302"/>
      <c r="U653" s="1302"/>
      <c r="V653" s="1302"/>
      <c r="W653" s="1302"/>
      <c r="X653" s="1302"/>
      <c r="Y653" s="1302"/>
      <c r="Z653" s="1302"/>
    </row>
    <row r="654" spans="1:26" ht="19.5" hidden="1">
      <c r="A654" s="1375"/>
      <c r="B654" s="1374" t="s">
        <v>280</v>
      </c>
      <c r="C654" s="1375"/>
      <c r="D654" s="1375"/>
      <c r="E654" s="1375"/>
      <c r="F654" s="1375"/>
      <c r="G654" s="1376"/>
      <c r="H654" s="705" t="s">
        <v>46</v>
      </c>
      <c r="I654" s="1377">
        <f t="shared" ref="I654:J654" ca="1" si="272">I669</f>
        <v>0</v>
      </c>
      <c r="J654" s="1377">
        <f t="shared" si="272"/>
        <v>0</v>
      </c>
      <c r="K654" s="1378">
        <f ca="1">IF(I654&gt;0,J654*100/I654,0)</f>
        <v>0</v>
      </c>
      <c r="L654" s="1379"/>
      <c r="M654" s="1379"/>
      <c r="N654" s="1379"/>
      <c r="O654" s="1379"/>
      <c r="P654" s="1379"/>
      <c r="Q654" s="1302"/>
      <c r="R654" s="1302"/>
      <c r="S654" s="1302"/>
      <c r="T654" s="1302"/>
      <c r="U654" s="1302"/>
      <c r="V654" s="1302"/>
      <c r="W654" s="1302"/>
      <c r="X654" s="1302"/>
      <c r="Y654" s="1302"/>
      <c r="Z654" s="1302"/>
    </row>
    <row r="655" spans="1:26" ht="19.5" hidden="1">
      <c r="A655" s="1317"/>
      <c r="B655" s="1301"/>
      <c r="C655" s="1301" t="s">
        <v>16</v>
      </c>
      <c r="D655" s="1318" t="s">
        <v>17</v>
      </c>
      <c r="E655" s="841"/>
      <c r="F655" s="841"/>
      <c r="G655" s="1016"/>
      <c r="H655" s="597" t="s">
        <v>12</v>
      </c>
      <c r="I655" s="880"/>
      <c r="J655" s="880"/>
      <c r="K655" s="881"/>
      <c r="L655" s="1020">
        <f t="shared" ref="L655:N655" ca="1" si="273">L656+L657</f>
        <v>0</v>
      </c>
      <c r="M655" s="1020">
        <f t="shared" si="273"/>
        <v>0</v>
      </c>
      <c r="N655" s="1020">
        <f t="shared" si="273"/>
        <v>0</v>
      </c>
      <c r="O655" s="1020">
        <f t="shared" ref="O655:O660" ca="1" si="274">IF(L655&gt;0,N655*100/L655,0)</f>
        <v>0</v>
      </c>
      <c r="P655" s="1020">
        <f t="shared" ref="P655:P660" si="275">IF(M655&gt;0,N655*100/M655,0)</f>
        <v>0</v>
      </c>
      <c r="Q655" s="1302"/>
      <c r="R655" s="1302"/>
      <c r="S655" s="1302"/>
      <c r="T655" s="1302"/>
      <c r="U655" s="1302"/>
      <c r="V655" s="1302"/>
      <c r="W655" s="1302"/>
      <c r="X655" s="1302"/>
      <c r="Y655" s="1302"/>
      <c r="Z655" s="1302"/>
    </row>
    <row r="656" spans="1:26" ht="18.75" hidden="1">
      <c r="A656" s="1319"/>
      <c r="B656" s="1320"/>
      <c r="C656" s="1320"/>
      <c r="D656" s="1321"/>
      <c r="E656" s="1320" t="s">
        <v>185</v>
      </c>
      <c r="F656" s="1320"/>
      <c r="G656" s="1322"/>
      <c r="H656" s="165" t="s">
        <v>12</v>
      </c>
      <c r="I656" s="886"/>
      <c r="J656" s="886"/>
      <c r="K656" s="887"/>
      <c r="L656" s="887">
        <f t="shared" ref="L656:N657" si="276">L659+L666</f>
        <v>0</v>
      </c>
      <c r="M656" s="887">
        <f t="shared" si="276"/>
        <v>0</v>
      </c>
      <c r="N656" s="887">
        <f t="shared" si="276"/>
        <v>0</v>
      </c>
      <c r="O656" s="887">
        <f t="shared" si="274"/>
        <v>0</v>
      </c>
      <c r="P656" s="887">
        <f t="shared" si="275"/>
        <v>0</v>
      </c>
      <c r="Q656" s="1323"/>
      <c r="R656" s="1323"/>
      <c r="S656" s="1323"/>
      <c r="T656" s="1323"/>
      <c r="U656" s="1323"/>
      <c r="V656" s="1323"/>
      <c r="W656" s="1323"/>
      <c r="X656" s="1323"/>
      <c r="Y656" s="1323"/>
      <c r="Z656" s="1323"/>
    </row>
    <row r="657" spans="1:26" ht="18.75" hidden="1">
      <c r="A657" s="1319"/>
      <c r="B657" s="1324"/>
      <c r="C657" s="1320"/>
      <c r="D657" s="1321"/>
      <c r="E657" s="1320" t="s">
        <v>186</v>
      </c>
      <c r="F657" s="1320"/>
      <c r="G657" s="1322"/>
      <c r="H657" s="165" t="s">
        <v>12</v>
      </c>
      <c r="I657" s="886"/>
      <c r="J657" s="886"/>
      <c r="K657" s="887"/>
      <c r="L657" s="887">
        <f t="shared" ca="1" si="276"/>
        <v>0</v>
      </c>
      <c r="M657" s="887">
        <f t="shared" si="276"/>
        <v>0</v>
      </c>
      <c r="N657" s="887">
        <f t="shared" si="276"/>
        <v>0</v>
      </c>
      <c r="O657" s="887">
        <f t="shared" ca="1" si="274"/>
        <v>0</v>
      </c>
      <c r="P657" s="887">
        <f t="shared" si="275"/>
        <v>0</v>
      </c>
      <c r="Q657" s="1323"/>
      <c r="R657" s="1323"/>
      <c r="S657" s="1323"/>
      <c r="T657" s="1323"/>
      <c r="U657" s="1323"/>
      <c r="V657" s="1323"/>
      <c r="W657" s="1323"/>
      <c r="X657" s="1323"/>
      <c r="Y657" s="1323"/>
      <c r="Z657" s="1323"/>
    </row>
    <row r="658" spans="1:26" ht="18.75" hidden="1">
      <c r="A658" s="1317"/>
      <c r="B658" s="1300"/>
      <c r="C658" s="1301"/>
      <c r="D658" s="1325" t="s">
        <v>20</v>
      </c>
      <c r="E658" s="1301"/>
      <c r="F658" s="1301"/>
      <c r="G658" s="1016"/>
      <c r="H658" s="161" t="s">
        <v>12</v>
      </c>
      <c r="I658" s="997"/>
      <c r="J658" s="997"/>
      <c r="K658" s="998"/>
      <c r="L658" s="881">
        <f t="shared" ref="L658:N658" ca="1" si="277">L659+L660</f>
        <v>0</v>
      </c>
      <c r="M658" s="881">
        <f t="shared" si="277"/>
        <v>0</v>
      </c>
      <c r="N658" s="881">
        <f t="shared" si="277"/>
        <v>0</v>
      </c>
      <c r="O658" s="881">
        <f t="shared" ca="1" si="274"/>
        <v>0</v>
      </c>
      <c r="P658" s="881">
        <f t="shared" si="275"/>
        <v>0</v>
      </c>
      <c r="Q658" s="1302"/>
      <c r="R658" s="1302"/>
      <c r="S658" s="1302"/>
      <c r="T658" s="1302"/>
      <c r="U658" s="1302"/>
      <c r="V658" s="1302"/>
      <c r="W658" s="1302"/>
      <c r="X658" s="1302"/>
      <c r="Y658" s="1302"/>
      <c r="Z658" s="1302"/>
    </row>
    <row r="659" spans="1:26" ht="18.75" hidden="1">
      <c r="A659" s="1319"/>
      <c r="B659" s="1324"/>
      <c r="C659" s="1320"/>
      <c r="D659" s="1321"/>
      <c r="E659" s="1320" t="s">
        <v>185</v>
      </c>
      <c r="F659" s="1320"/>
      <c r="G659" s="1322"/>
      <c r="H659" s="165" t="s">
        <v>12</v>
      </c>
      <c r="I659" s="886"/>
      <c r="J659" s="886"/>
      <c r="K659" s="887"/>
      <c r="L659" s="887">
        <v>0</v>
      </c>
      <c r="M659" s="887">
        <v>0</v>
      </c>
      <c r="N659" s="887">
        <v>0</v>
      </c>
      <c r="O659" s="887">
        <f t="shared" si="274"/>
        <v>0</v>
      </c>
      <c r="P659" s="887">
        <f t="shared" si="275"/>
        <v>0</v>
      </c>
      <c r="Q659" s="1323"/>
      <c r="R659" s="1323"/>
      <c r="S659" s="1323"/>
      <c r="T659" s="1323"/>
      <c r="U659" s="1323"/>
      <c r="V659" s="1323"/>
      <c r="W659" s="1323"/>
      <c r="X659" s="1323"/>
      <c r="Y659" s="1323"/>
      <c r="Z659" s="1323"/>
    </row>
    <row r="660" spans="1:26" ht="18.75" hidden="1">
      <c r="A660" s="1319"/>
      <c r="B660" s="1324"/>
      <c r="C660" s="1320"/>
      <c r="D660" s="1321"/>
      <c r="E660" s="1320" t="s">
        <v>186</v>
      </c>
      <c r="F660" s="1320"/>
      <c r="G660" s="1322"/>
      <c r="H660" s="165" t="s">
        <v>12</v>
      </c>
      <c r="I660" s="886"/>
      <c r="J660" s="886"/>
      <c r="K660" s="887"/>
      <c r="L660" s="887">
        <f ca="1">IFERROR(__xludf.DUMMYFUNCTION("IMPORTRANGE(""https://docs.google.com/spreadsheets/d/1QqKyyYR6Q21VydFLVH3TRQUabQu_ym0Zz7PgGX0-kHA/edit?usp=sharing"",""แผน!HV78"")"),0)</f>
        <v>0</v>
      </c>
      <c r="M660" s="887">
        <v>0</v>
      </c>
      <c r="N660" s="887">
        <f>N661+N662+N663+N664</f>
        <v>0</v>
      </c>
      <c r="O660" s="887">
        <f t="shared" ca="1" si="274"/>
        <v>0</v>
      </c>
      <c r="P660" s="887">
        <f t="shared" si="275"/>
        <v>0</v>
      </c>
      <c r="Q660" s="1323"/>
      <c r="R660" s="1323"/>
      <c r="S660" s="1323"/>
      <c r="T660" s="1323"/>
      <c r="U660" s="1323"/>
      <c r="V660" s="1323"/>
      <c r="W660" s="1323"/>
      <c r="X660" s="1323"/>
      <c r="Y660" s="1323"/>
      <c r="Z660" s="1323"/>
    </row>
    <row r="661" spans="1:26" ht="18.75" hidden="1">
      <c r="A661" s="1299"/>
      <c r="B661" s="1300"/>
      <c r="C661" s="1301"/>
      <c r="D661" s="1301"/>
      <c r="E661" s="1301"/>
      <c r="F661" s="1301" t="s">
        <v>187</v>
      </c>
      <c r="G661" s="1016"/>
      <c r="H661" s="161" t="s">
        <v>12</v>
      </c>
      <c r="I661" s="880"/>
      <c r="J661" s="880"/>
      <c r="K661" s="881"/>
      <c r="L661" s="881"/>
      <c r="M661" s="881"/>
      <c r="N661" s="1085">
        <v>0</v>
      </c>
      <c r="O661" s="881"/>
      <c r="P661" s="881"/>
      <c r="Q661" s="1302"/>
      <c r="R661" s="1302"/>
      <c r="S661" s="1302"/>
      <c r="T661" s="1302"/>
      <c r="U661" s="1302"/>
      <c r="V661" s="1302"/>
      <c r="W661" s="1302"/>
      <c r="X661" s="1302"/>
      <c r="Y661" s="1302"/>
      <c r="Z661" s="1302"/>
    </row>
    <row r="662" spans="1:26" ht="18.75" hidden="1">
      <c r="A662" s="1299"/>
      <c r="B662" s="1300"/>
      <c r="C662" s="1301"/>
      <c r="D662" s="1301"/>
      <c r="E662" s="1301"/>
      <c r="F662" s="1301" t="s">
        <v>188</v>
      </c>
      <c r="G662" s="1016"/>
      <c r="H662" s="161" t="s">
        <v>12</v>
      </c>
      <c r="I662" s="880"/>
      <c r="J662" s="880"/>
      <c r="K662" s="881"/>
      <c r="L662" s="881"/>
      <c r="M662" s="881"/>
      <c r="N662" s="1085">
        <v>0</v>
      </c>
      <c r="O662" s="881"/>
      <c r="P662" s="881"/>
      <c r="Q662" s="1302"/>
      <c r="R662" s="1302"/>
      <c r="S662" s="1302"/>
      <c r="T662" s="1302"/>
      <c r="U662" s="1302"/>
      <c r="V662" s="1302"/>
      <c r="W662" s="1302"/>
      <c r="X662" s="1302"/>
      <c r="Y662" s="1302"/>
      <c r="Z662" s="1302"/>
    </row>
    <row r="663" spans="1:26" ht="18.75" hidden="1">
      <c r="A663" s="1299"/>
      <c r="B663" s="1300"/>
      <c r="C663" s="1300"/>
      <c r="D663" s="1301"/>
      <c r="E663" s="1301"/>
      <c r="F663" s="1301" t="s">
        <v>189</v>
      </c>
      <c r="G663" s="1016"/>
      <c r="H663" s="161" t="s">
        <v>12</v>
      </c>
      <c r="I663" s="880"/>
      <c r="J663" s="880"/>
      <c r="K663" s="881"/>
      <c r="L663" s="881"/>
      <c r="M663" s="881"/>
      <c r="N663" s="1085">
        <v>0</v>
      </c>
      <c r="O663" s="881"/>
      <c r="P663" s="881"/>
      <c r="Q663" s="1302"/>
      <c r="R663" s="1302"/>
      <c r="S663" s="1302"/>
      <c r="T663" s="1302"/>
      <c r="U663" s="1302"/>
      <c r="V663" s="1302"/>
      <c r="W663" s="1302"/>
      <c r="X663" s="1302"/>
      <c r="Y663" s="1302"/>
      <c r="Z663" s="1302"/>
    </row>
    <row r="664" spans="1:26" ht="18.75" hidden="1">
      <c r="A664" s="1299"/>
      <c r="B664" s="1300"/>
      <c r="C664" s="1300"/>
      <c r="D664" s="1300"/>
      <c r="E664" s="1301"/>
      <c r="F664" s="1301" t="s">
        <v>190</v>
      </c>
      <c r="G664" s="1016"/>
      <c r="H664" s="161" t="s">
        <v>12</v>
      </c>
      <c r="I664" s="880"/>
      <c r="J664" s="880"/>
      <c r="K664" s="881"/>
      <c r="L664" s="881"/>
      <c r="M664" s="881"/>
      <c r="N664" s="1085">
        <v>0</v>
      </c>
      <c r="O664" s="881"/>
      <c r="P664" s="881"/>
      <c r="Q664" s="1302"/>
      <c r="R664" s="1302"/>
      <c r="S664" s="1302"/>
      <c r="T664" s="1302"/>
      <c r="U664" s="1302"/>
      <c r="V664" s="1302"/>
      <c r="W664" s="1302"/>
      <c r="X664" s="1302"/>
      <c r="Y664" s="1302"/>
      <c r="Z664" s="1302"/>
    </row>
    <row r="665" spans="1:26" ht="18.75" hidden="1">
      <c r="A665" s="1317"/>
      <c r="B665" s="1300"/>
      <c r="C665" s="1300"/>
      <c r="D665" s="1325" t="s">
        <v>21</v>
      </c>
      <c r="E665" s="1301"/>
      <c r="F665" s="1301"/>
      <c r="G665" s="1016"/>
      <c r="H665" s="168" t="s">
        <v>12</v>
      </c>
      <c r="I665" s="997"/>
      <c r="J665" s="997"/>
      <c r="K665" s="998"/>
      <c r="L665" s="881">
        <f t="shared" ref="L665:N665" si="278">L666+L667</f>
        <v>0</v>
      </c>
      <c r="M665" s="881">
        <f t="shared" si="278"/>
        <v>0</v>
      </c>
      <c r="N665" s="881">
        <f t="shared" si="278"/>
        <v>0</v>
      </c>
      <c r="O665" s="881">
        <f t="shared" ref="O665:O667" si="279">IF(L665&gt;0,N665*100/L665,0)</f>
        <v>0</v>
      </c>
      <c r="P665" s="881">
        <f t="shared" ref="P665:P667" si="280">IF(M665&gt;0,N665*100/M665,0)</f>
        <v>0</v>
      </c>
      <c r="Q665" s="1302"/>
      <c r="R665" s="1302"/>
      <c r="S665" s="1302"/>
      <c r="T665" s="1302"/>
      <c r="U665" s="1302"/>
      <c r="V665" s="1302"/>
      <c r="W665" s="1302"/>
      <c r="X665" s="1302"/>
      <c r="Y665" s="1302"/>
      <c r="Z665" s="1302"/>
    </row>
    <row r="666" spans="1:26" ht="18.75" hidden="1">
      <c r="A666" s="1319"/>
      <c r="B666" s="1324"/>
      <c r="C666" s="1324"/>
      <c r="D666" s="1324"/>
      <c r="E666" s="1320" t="s">
        <v>18</v>
      </c>
      <c r="F666" s="1320"/>
      <c r="G666" s="1322"/>
      <c r="H666" s="165" t="s">
        <v>12</v>
      </c>
      <c r="I666" s="1000"/>
      <c r="J666" s="1000"/>
      <c r="K666" s="1001"/>
      <c r="L666" s="887">
        <v>0</v>
      </c>
      <c r="M666" s="887">
        <v>0</v>
      </c>
      <c r="N666" s="887">
        <v>0</v>
      </c>
      <c r="O666" s="887">
        <f t="shared" si="279"/>
        <v>0</v>
      </c>
      <c r="P666" s="887">
        <f t="shared" si="280"/>
        <v>0</v>
      </c>
      <c r="Q666" s="1323"/>
      <c r="R666" s="1323"/>
      <c r="S666" s="1323"/>
      <c r="T666" s="1323"/>
      <c r="U666" s="1323"/>
      <c r="V666" s="1323"/>
      <c r="W666" s="1323"/>
      <c r="X666" s="1323"/>
      <c r="Y666" s="1323"/>
      <c r="Z666" s="1323"/>
    </row>
    <row r="667" spans="1:26" ht="18.75" hidden="1">
      <c r="A667" s="1319"/>
      <c r="B667" s="1324"/>
      <c r="C667" s="1324"/>
      <c r="D667" s="1324"/>
      <c r="E667" s="1320" t="s">
        <v>19</v>
      </c>
      <c r="F667" s="1320"/>
      <c r="G667" s="1322"/>
      <c r="H667" s="169" t="s">
        <v>12</v>
      </c>
      <c r="I667" s="1000"/>
      <c r="J667" s="1000"/>
      <c r="K667" s="1001"/>
      <c r="L667" s="887">
        <v>0</v>
      </c>
      <c r="M667" s="887">
        <v>0</v>
      </c>
      <c r="N667" s="887">
        <v>0</v>
      </c>
      <c r="O667" s="887">
        <f t="shared" si="279"/>
        <v>0</v>
      </c>
      <c r="P667" s="887">
        <f t="shared" si="280"/>
        <v>0</v>
      </c>
      <c r="Q667" s="1323"/>
      <c r="R667" s="1323"/>
      <c r="S667" s="1323"/>
      <c r="T667" s="1323"/>
      <c r="U667" s="1323"/>
      <c r="V667" s="1323"/>
      <c r="W667" s="1323"/>
      <c r="X667" s="1323"/>
      <c r="Y667" s="1323"/>
      <c r="Z667" s="1323"/>
    </row>
    <row r="668" spans="1:26" ht="19.5" hidden="1">
      <c r="A668" s="1326"/>
      <c r="B668" s="1327"/>
      <c r="C668" s="1300" t="s">
        <v>16</v>
      </c>
      <c r="D668" s="1328" t="s">
        <v>38</v>
      </c>
      <c r="E668" s="1330"/>
      <c r="F668" s="1330"/>
      <c r="G668" s="1331"/>
      <c r="H668" s="1007"/>
      <c r="I668" s="997"/>
      <c r="J668" s="997"/>
      <c r="K668" s="998"/>
      <c r="L668" s="998"/>
      <c r="M668" s="998"/>
      <c r="N668" s="998"/>
      <c r="O668" s="998"/>
      <c r="P668" s="998"/>
      <c r="Q668" s="1302"/>
      <c r="R668" s="1302"/>
      <c r="S668" s="1302"/>
      <c r="T668" s="1302"/>
      <c r="U668" s="1302"/>
      <c r="V668" s="1302"/>
      <c r="W668" s="1302"/>
      <c r="X668" s="1302"/>
      <c r="Y668" s="1302"/>
      <c r="Z668" s="1302"/>
    </row>
    <row r="669" spans="1:26" ht="19.5" hidden="1">
      <c r="A669" s="1326"/>
      <c r="B669" s="1327"/>
      <c r="C669" s="1327"/>
      <c r="D669" s="1327" t="s">
        <v>281</v>
      </c>
      <c r="E669" s="1014"/>
      <c r="F669" s="1014"/>
      <c r="G669" s="1007"/>
      <c r="H669" s="765" t="s">
        <v>46</v>
      </c>
      <c r="I669" s="1019">
        <f ca="1">IFERROR(__xludf.DUMMYFUNCTION("IMPORTRANGE(""https://docs.google.com/spreadsheets/d/1QqKyyYR6Q21VydFLVH3TRQUabQu_ym0Zz7PgGX0-kHA/edit?usp=sharing"",""แผน!IA78"")"),0)</f>
        <v>0</v>
      </c>
      <c r="J669" s="1019">
        <f>J675</f>
        <v>0</v>
      </c>
      <c r="K669" s="1020">
        <f ca="1">IF(I669&gt;0,J669*100/I669,0)</f>
        <v>0</v>
      </c>
      <c r="L669" s="998"/>
      <c r="M669" s="998"/>
      <c r="N669" s="998"/>
      <c r="O669" s="998"/>
      <c r="P669" s="998"/>
      <c r="Q669" s="1302"/>
      <c r="R669" s="1302"/>
      <c r="S669" s="1302"/>
      <c r="T669" s="1302"/>
      <c r="U669" s="1302"/>
      <c r="V669" s="1302"/>
      <c r="W669" s="1302"/>
      <c r="X669" s="1302"/>
      <c r="Y669" s="1302"/>
      <c r="Z669" s="1302"/>
    </row>
    <row r="670" spans="1:26" ht="18.75" hidden="1">
      <c r="A670" s="1326"/>
      <c r="B670" s="1327"/>
      <c r="C670" s="1327"/>
      <c r="D670" s="1327"/>
      <c r="E670" s="1014" t="s">
        <v>282</v>
      </c>
      <c r="F670" s="1014"/>
      <c r="G670" s="1007"/>
      <c r="H670" s="762" t="s">
        <v>66</v>
      </c>
      <c r="I670" s="880">
        <f ca="1">IFERROR(__xludf.DUMMYFUNCTION("IMPORTRANGE(""https://docs.google.com/spreadsheets/d/1QqKyyYR6Q21VydFLVH3TRQUabQu_ym0Zz7PgGX0-kHA/edit?usp=sharing"",""แผน!HZ78"")"),0)</f>
        <v>0</v>
      </c>
      <c r="J670" s="1012">
        <v>0</v>
      </c>
      <c r="K670" s="881">
        <f ca="1">IF(I670&gt;0,(J670*100)/I670,0)</f>
        <v>0</v>
      </c>
      <c r="L670" s="998"/>
      <c r="M670" s="998"/>
      <c r="N670" s="998"/>
      <c r="O670" s="998"/>
      <c r="P670" s="998"/>
      <c r="Q670" s="1302"/>
      <c r="R670" s="1302"/>
      <c r="S670" s="1302"/>
      <c r="T670" s="1302"/>
      <c r="U670" s="1302"/>
      <c r="V670" s="1302"/>
      <c r="W670" s="1302"/>
      <c r="X670" s="1302"/>
      <c r="Y670" s="1302"/>
      <c r="Z670" s="1302"/>
    </row>
    <row r="671" spans="1:26" ht="18.75" hidden="1">
      <c r="A671" s="1326"/>
      <c r="B671" s="1327"/>
      <c r="C671" s="1327"/>
      <c r="D671" s="1327"/>
      <c r="E671" s="1014" t="s">
        <v>283</v>
      </c>
      <c r="F671" s="1014"/>
      <c r="G671" s="1007"/>
      <c r="H671" s="762" t="s">
        <v>66</v>
      </c>
      <c r="I671" s="880">
        <f ca="1">IFERROR(__xludf.DUMMYFUNCTION("IMPORTRANGE(""https://docs.google.com/spreadsheets/d/1QqKyyYR6Q21VydFLVH3TRQUabQu_ym0Zz7PgGX0-kHA/edit?usp=sharing"",""แผน!HZ78"")"),0)</f>
        <v>0</v>
      </c>
      <c r="J671" s="1012">
        <v>0</v>
      </c>
      <c r="K671" s="881">
        <f ca="1">IF(I$671&gt;0,J671*100/I$671,0)</f>
        <v>0</v>
      </c>
      <c r="L671" s="998"/>
      <c r="M671" s="998"/>
      <c r="N671" s="998"/>
      <c r="O671" s="998"/>
      <c r="P671" s="998"/>
      <c r="Q671" s="1302"/>
      <c r="R671" s="1302"/>
      <c r="S671" s="1302"/>
      <c r="T671" s="1302"/>
      <c r="U671" s="1302"/>
      <c r="V671" s="1302"/>
      <c r="W671" s="1302"/>
      <c r="X671" s="1302"/>
      <c r="Y671" s="1302"/>
      <c r="Z671" s="1302"/>
    </row>
    <row r="672" spans="1:26" ht="18.75" hidden="1">
      <c r="A672" s="1326"/>
      <c r="B672" s="1327"/>
      <c r="C672" s="1327"/>
      <c r="D672" s="1327"/>
      <c r="E672" s="1014" t="s">
        <v>284</v>
      </c>
      <c r="F672" s="1014"/>
      <c r="G672" s="1007"/>
      <c r="H672" s="762" t="s">
        <v>46</v>
      </c>
      <c r="I672" s="880"/>
      <c r="J672" s="1012">
        <v>0</v>
      </c>
      <c r="K672" s="881">
        <f t="shared" ref="K672:K675" ca="1" si="281">IF(I$669&gt;0,J672*100/I$669,0)</f>
        <v>0</v>
      </c>
      <c r="L672" s="998"/>
      <c r="M672" s="998"/>
      <c r="N672" s="998"/>
      <c r="O672" s="998"/>
      <c r="P672" s="998"/>
      <c r="Q672" s="1302"/>
      <c r="R672" s="1302"/>
      <c r="S672" s="1302"/>
      <c r="T672" s="1302"/>
      <c r="U672" s="1302"/>
      <c r="V672" s="1302"/>
      <c r="W672" s="1302"/>
      <c r="X672" s="1302"/>
      <c r="Y672" s="1302"/>
      <c r="Z672" s="1302"/>
    </row>
    <row r="673" spans="1:26" ht="18.75" hidden="1">
      <c r="A673" s="1326"/>
      <c r="B673" s="1327"/>
      <c r="C673" s="1327"/>
      <c r="D673" s="1327"/>
      <c r="E673" s="1014" t="s">
        <v>285</v>
      </c>
      <c r="F673" s="1014"/>
      <c r="G673" s="1007"/>
      <c r="H673" s="762" t="s">
        <v>46</v>
      </c>
      <c r="I673" s="880"/>
      <c r="J673" s="1012">
        <v>0</v>
      </c>
      <c r="K673" s="881">
        <f t="shared" ca="1" si="281"/>
        <v>0</v>
      </c>
      <c r="L673" s="998"/>
      <c r="M673" s="998"/>
      <c r="N673" s="998"/>
      <c r="O673" s="998"/>
      <c r="P673" s="998"/>
      <c r="Q673" s="1302"/>
      <c r="R673" s="1302"/>
      <c r="S673" s="1302"/>
      <c r="T673" s="1302"/>
      <c r="U673" s="1302"/>
      <c r="V673" s="1302"/>
      <c r="W673" s="1302"/>
      <c r="X673" s="1302"/>
      <c r="Y673" s="1302"/>
      <c r="Z673" s="1302"/>
    </row>
    <row r="674" spans="1:26" ht="18.75" hidden="1">
      <c r="A674" s="1326"/>
      <c r="B674" s="1327"/>
      <c r="C674" s="1327"/>
      <c r="D674" s="1327"/>
      <c r="E674" s="1014" t="s">
        <v>286</v>
      </c>
      <c r="F674" s="1014"/>
      <c r="G674" s="1007"/>
      <c r="H674" s="762" t="s">
        <v>46</v>
      </c>
      <c r="I674" s="880"/>
      <c r="J674" s="1012">
        <v>0</v>
      </c>
      <c r="K674" s="881">
        <f t="shared" ca="1" si="281"/>
        <v>0</v>
      </c>
      <c r="L674" s="998"/>
      <c r="M674" s="998"/>
      <c r="N674" s="998"/>
      <c r="O674" s="998"/>
      <c r="P674" s="998"/>
      <c r="Q674" s="1302"/>
      <c r="R674" s="1302"/>
      <c r="S674" s="1302"/>
      <c r="T674" s="1302"/>
      <c r="U674" s="1302"/>
      <c r="V674" s="1302"/>
      <c r="W674" s="1302"/>
      <c r="X674" s="1302"/>
      <c r="Y674" s="1302"/>
      <c r="Z674" s="1302"/>
    </row>
    <row r="675" spans="1:26" ht="19.5" hidden="1">
      <c r="A675" s="1326"/>
      <c r="B675" s="1327"/>
      <c r="C675" s="1327"/>
      <c r="D675" s="1327"/>
      <c r="E675" s="1014" t="s">
        <v>287</v>
      </c>
      <c r="F675" s="1014"/>
      <c r="G675" s="1007"/>
      <c r="H675" s="762" t="s">
        <v>46</v>
      </c>
      <c r="I675" s="880"/>
      <c r="J675" s="1019">
        <f>J676+J677</f>
        <v>0</v>
      </c>
      <c r="K675" s="1020">
        <f t="shared" ca="1" si="281"/>
        <v>0</v>
      </c>
      <c r="L675" s="998"/>
      <c r="M675" s="998"/>
      <c r="N675" s="998"/>
      <c r="O675" s="998"/>
      <c r="P675" s="998"/>
      <c r="Q675" s="1302"/>
      <c r="R675" s="1302"/>
      <c r="S675" s="1302"/>
      <c r="T675" s="1302"/>
      <c r="U675" s="1302"/>
      <c r="V675" s="1302"/>
      <c r="W675" s="1302"/>
      <c r="X675" s="1302"/>
      <c r="Y675" s="1302"/>
      <c r="Z675" s="1302"/>
    </row>
    <row r="676" spans="1:26" ht="18.75" hidden="1">
      <c r="A676" s="1326"/>
      <c r="B676" s="1327"/>
      <c r="C676" s="1327"/>
      <c r="D676" s="1327"/>
      <c r="E676" s="1014"/>
      <c r="F676" s="1014" t="s">
        <v>288</v>
      </c>
      <c r="G676" s="1007"/>
      <c r="H676" s="762" t="s">
        <v>46</v>
      </c>
      <c r="I676" s="880"/>
      <c r="J676" s="1012">
        <v>0</v>
      </c>
      <c r="K676" s="881"/>
      <c r="L676" s="998"/>
      <c r="M676" s="998"/>
      <c r="N676" s="998"/>
      <c r="O676" s="998"/>
      <c r="P676" s="998"/>
      <c r="Q676" s="1302"/>
      <c r="R676" s="1302"/>
      <c r="S676" s="1302"/>
      <c r="T676" s="1302"/>
      <c r="U676" s="1302"/>
      <c r="V676" s="1302"/>
      <c r="W676" s="1302"/>
      <c r="X676" s="1302"/>
      <c r="Y676" s="1302"/>
      <c r="Z676" s="1302"/>
    </row>
    <row r="677" spans="1:26" ht="18.75" hidden="1">
      <c r="A677" s="1326"/>
      <c r="B677" s="1327"/>
      <c r="C677" s="1327"/>
      <c r="D677" s="1327"/>
      <c r="E677" s="1014"/>
      <c r="F677" s="1014" t="s">
        <v>289</v>
      </c>
      <c r="G677" s="1007"/>
      <c r="H677" s="762" t="s">
        <v>46</v>
      </c>
      <c r="I677" s="880"/>
      <c r="J677" s="1012">
        <v>0</v>
      </c>
      <c r="K677" s="881"/>
      <c r="L677" s="998"/>
      <c r="M677" s="998"/>
      <c r="N677" s="998"/>
      <c r="O677" s="998"/>
      <c r="P677" s="998"/>
      <c r="Q677" s="1302"/>
      <c r="R677" s="1302"/>
      <c r="S677" s="1302"/>
      <c r="T677" s="1302"/>
      <c r="U677" s="1302"/>
      <c r="V677" s="1302"/>
      <c r="W677" s="1302"/>
      <c r="X677" s="1302"/>
      <c r="Y677" s="1302"/>
      <c r="Z677" s="1302"/>
    </row>
    <row r="678" spans="1:26" ht="19.5" hidden="1">
      <c r="A678" s="1326"/>
      <c r="B678" s="1327"/>
      <c r="C678" s="1327"/>
      <c r="D678" s="1327" t="s">
        <v>290</v>
      </c>
      <c r="E678" s="1014"/>
      <c r="F678" s="1014"/>
      <c r="G678" s="1007"/>
      <c r="H678" s="762" t="s">
        <v>46</v>
      </c>
      <c r="I678" s="1019">
        <f ca="1">IFERROR(__xludf.DUMMYFUNCTION("IMPORTRANGE(""https://docs.google.com/spreadsheets/d/1QqKyyYR6Q21VydFLVH3TRQUabQu_ym0Zz7PgGX0-kHA/edit?usp=sharing"",""แผน!IB78"")"),0)</f>
        <v>0</v>
      </c>
      <c r="J678" s="1019">
        <f>J679</f>
        <v>0</v>
      </c>
      <c r="K678" s="1020">
        <f ca="1">IF(I678&gt;0,J678*100/I678,0)</f>
        <v>0</v>
      </c>
      <c r="L678" s="998"/>
      <c r="M678" s="998"/>
      <c r="N678" s="998"/>
      <c r="O678" s="998"/>
      <c r="P678" s="998"/>
      <c r="Q678" s="1302"/>
      <c r="R678" s="1302"/>
      <c r="S678" s="1302"/>
      <c r="T678" s="1302"/>
      <c r="U678" s="1302"/>
      <c r="V678" s="1302"/>
      <c r="W678" s="1302"/>
      <c r="X678" s="1302"/>
      <c r="Y678" s="1302"/>
      <c r="Z678" s="1302"/>
    </row>
    <row r="679" spans="1:26" ht="18.75" hidden="1">
      <c r="A679" s="1326"/>
      <c r="B679" s="1327"/>
      <c r="C679" s="1327"/>
      <c r="D679" s="1327"/>
      <c r="E679" s="1014" t="s">
        <v>291</v>
      </c>
      <c r="F679" s="1014"/>
      <c r="G679" s="1007"/>
      <c r="H679" s="762" t="s">
        <v>46</v>
      </c>
      <c r="I679" s="880"/>
      <c r="J679" s="880">
        <f>J680+J681</f>
        <v>0</v>
      </c>
      <c r="K679" s="881"/>
      <c r="L679" s="998"/>
      <c r="M679" s="998"/>
      <c r="N679" s="998"/>
      <c r="O679" s="998"/>
      <c r="P679" s="998"/>
      <c r="Q679" s="1302"/>
      <c r="R679" s="1302"/>
      <c r="S679" s="1302"/>
      <c r="T679" s="1302"/>
      <c r="U679" s="1302"/>
      <c r="V679" s="1302"/>
      <c r="W679" s="1302"/>
      <c r="X679" s="1302"/>
      <c r="Y679" s="1302"/>
      <c r="Z679" s="1302"/>
    </row>
    <row r="680" spans="1:26" ht="18.75" hidden="1">
      <c r="A680" s="1326"/>
      <c r="B680" s="1327"/>
      <c r="C680" s="1327"/>
      <c r="D680" s="1327"/>
      <c r="E680" s="1014"/>
      <c r="F680" s="1014" t="s">
        <v>288</v>
      </c>
      <c r="G680" s="1007"/>
      <c r="H680" s="762" t="s">
        <v>46</v>
      </c>
      <c r="I680" s="880"/>
      <c r="J680" s="1012">
        <v>0</v>
      </c>
      <c r="K680" s="881"/>
      <c r="L680" s="998"/>
      <c r="M680" s="998"/>
      <c r="N680" s="998"/>
      <c r="O680" s="998"/>
      <c r="P680" s="998"/>
      <c r="Q680" s="1302"/>
      <c r="R680" s="1302"/>
      <c r="S680" s="1302"/>
      <c r="T680" s="1302"/>
      <c r="U680" s="1302"/>
      <c r="V680" s="1302"/>
      <c r="W680" s="1302"/>
      <c r="X680" s="1302"/>
      <c r="Y680" s="1302"/>
      <c r="Z680" s="1302"/>
    </row>
    <row r="681" spans="1:26" ht="18.75" hidden="1">
      <c r="A681" s="1326"/>
      <c r="B681" s="1327"/>
      <c r="C681" s="1327"/>
      <c r="D681" s="1327"/>
      <c r="E681" s="1014"/>
      <c r="F681" s="1014" t="s">
        <v>289</v>
      </c>
      <c r="G681" s="1007"/>
      <c r="H681" s="762" t="s">
        <v>46</v>
      </c>
      <c r="I681" s="880"/>
      <c r="J681" s="1012">
        <v>0</v>
      </c>
      <c r="K681" s="881"/>
      <c r="L681" s="998"/>
      <c r="M681" s="998"/>
      <c r="N681" s="998"/>
      <c r="O681" s="998"/>
      <c r="P681" s="998"/>
      <c r="Q681" s="1302"/>
      <c r="R681" s="1302"/>
      <c r="S681" s="1302"/>
      <c r="T681" s="1302"/>
      <c r="U681" s="1302"/>
      <c r="V681" s="1302"/>
      <c r="W681" s="1302"/>
      <c r="X681" s="1302"/>
      <c r="Y681" s="1302"/>
      <c r="Z681" s="1302"/>
    </row>
    <row r="682" spans="1:26" ht="18.75" hidden="1">
      <c r="A682" s="1326"/>
      <c r="B682" s="1327"/>
      <c r="C682" s="1327"/>
      <c r="D682" s="1327"/>
      <c r="E682" s="1014" t="s">
        <v>292</v>
      </c>
      <c r="F682" s="1014"/>
      <c r="G682" s="1007"/>
      <c r="H682" s="762" t="s">
        <v>46</v>
      </c>
      <c r="I682" s="880"/>
      <c r="J682" s="1012">
        <v>0</v>
      </c>
      <c r="K682" s="881"/>
      <c r="L682" s="998"/>
      <c r="M682" s="998"/>
      <c r="N682" s="998"/>
      <c r="O682" s="998"/>
      <c r="P682" s="998"/>
      <c r="Q682" s="1302"/>
      <c r="R682" s="1302"/>
      <c r="S682" s="1302"/>
      <c r="T682" s="1302"/>
      <c r="U682" s="1302"/>
      <c r="V682" s="1302"/>
      <c r="W682" s="1302"/>
      <c r="X682" s="1302"/>
      <c r="Y682" s="1302"/>
      <c r="Z682" s="1302"/>
    </row>
    <row r="683" spans="1:26" ht="18.75" hidden="1">
      <c r="A683" s="1326"/>
      <c r="B683" s="1327"/>
      <c r="C683" s="1327"/>
      <c r="D683" s="1327"/>
      <c r="E683" s="1014"/>
      <c r="F683" s="1014" t="s">
        <v>293</v>
      </c>
      <c r="G683" s="1007"/>
      <c r="H683" s="762" t="s">
        <v>46</v>
      </c>
      <c r="I683" s="880"/>
      <c r="J683" s="1012">
        <v>0</v>
      </c>
      <c r="K683" s="881"/>
      <c r="L683" s="998"/>
      <c r="M683" s="998"/>
      <c r="N683" s="998"/>
      <c r="O683" s="998"/>
      <c r="P683" s="998"/>
      <c r="Q683" s="1302"/>
      <c r="R683" s="1302"/>
      <c r="S683" s="1302"/>
      <c r="T683" s="1302"/>
      <c r="U683" s="1302"/>
      <c r="V683" s="1302"/>
      <c r="W683" s="1302"/>
      <c r="X683" s="1302"/>
      <c r="Y683" s="1302"/>
      <c r="Z683" s="1302"/>
    </row>
    <row r="684" spans="1:26" ht="19.5" hidden="1">
      <c r="A684" s="1434"/>
      <c r="B684" s="1435" t="s">
        <v>294</v>
      </c>
      <c r="C684" s="1434"/>
      <c r="D684" s="1434"/>
      <c r="E684" s="1434"/>
      <c r="F684" s="1434"/>
      <c r="G684" s="1436"/>
      <c r="H684" s="1436"/>
      <c r="I684" s="1437"/>
      <c r="J684" s="1437"/>
      <c r="K684" s="1438"/>
      <c r="L684" s="1438"/>
      <c r="M684" s="1438"/>
      <c r="N684" s="1438"/>
      <c r="O684" s="1438"/>
      <c r="P684" s="1438"/>
      <c r="Q684" s="1302"/>
      <c r="R684" s="1302"/>
      <c r="S684" s="1302"/>
      <c r="T684" s="1302"/>
      <c r="U684" s="1302"/>
      <c r="V684" s="1302"/>
      <c r="W684" s="1302"/>
      <c r="X684" s="1302"/>
      <c r="Y684" s="1302"/>
      <c r="Z684" s="1302"/>
    </row>
    <row r="685" spans="1:26" ht="19.5" hidden="1">
      <c r="A685" s="1317"/>
      <c r="B685" s="1301"/>
      <c r="C685" s="1301" t="s">
        <v>16</v>
      </c>
      <c r="D685" s="1318" t="s">
        <v>17</v>
      </c>
      <c r="E685" s="841"/>
      <c r="F685" s="841"/>
      <c r="G685" s="1016"/>
      <c r="H685" s="597" t="s">
        <v>12</v>
      </c>
      <c r="I685" s="880"/>
      <c r="J685" s="880"/>
      <c r="K685" s="881"/>
      <c r="L685" s="1020">
        <f t="shared" ref="L685:N685" ca="1" si="282">L686+L687</f>
        <v>0</v>
      </c>
      <c r="M685" s="1020">
        <f t="shared" si="282"/>
        <v>0</v>
      </c>
      <c r="N685" s="1020">
        <f t="shared" si="282"/>
        <v>0</v>
      </c>
      <c r="O685" s="1020">
        <f t="shared" ref="O685:O688" ca="1" si="283">IF(L685&gt;0,N685*100/L685,0)</f>
        <v>0</v>
      </c>
      <c r="P685" s="1020">
        <f t="shared" ref="P685:P688" si="284">IF(M685&gt;0,N685*100/M685,0)</f>
        <v>0</v>
      </c>
      <c r="Q685" s="1302"/>
      <c r="R685" s="1302"/>
      <c r="S685" s="1302"/>
      <c r="T685" s="1302"/>
      <c r="U685" s="1302"/>
      <c r="V685" s="1302"/>
      <c r="W685" s="1302"/>
      <c r="X685" s="1302"/>
      <c r="Y685" s="1302"/>
      <c r="Z685" s="1302"/>
    </row>
    <row r="686" spans="1:26" ht="18.75" hidden="1">
      <c r="A686" s="1319"/>
      <c r="B686" s="1320"/>
      <c r="C686" s="1320"/>
      <c r="D686" s="1321"/>
      <c r="E686" s="1320" t="s">
        <v>185</v>
      </c>
      <c r="F686" s="1320"/>
      <c r="G686" s="1322"/>
      <c r="H686" s="165" t="s">
        <v>12</v>
      </c>
      <c r="I686" s="886"/>
      <c r="J686" s="886"/>
      <c r="K686" s="887"/>
      <c r="L686" s="887">
        <f t="shared" ref="L686:N687" si="285">L689+L696</f>
        <v>0</v>
      </c>
      <c r="M686" s="887">
        <f t="shared" si="285"/>
        <v>0</v>
      </c>
      <c r="N686" s="887">
        <f t="shared" si="285"/>
        <v>0</v>
      </c>
      <c r="O686" s="887">
        <f t="shared" si="283"/>
        <v>0</v>
      </c>
      <c r="P686" s="887">
        <f t="shared" si="284"/>
        <v>0</v>
      </c>
      <c r="Q686" s="1323"/>
      <c r="R686" s="1323"/>
      <c r="S686" s="1323"/>
      <c r="T686" s="1323"/>
      <c r="U686" s="1323"/>
      <c r="V686" s="1323"/>
      <c r="W686" s="1323"/>
      <c r="X686" s="1323"/>
      <c r="Y686" s="1323"/>
      <c r="Z686" s="1323"/>
    </row>
    <row r="687" spans="1:26" ht="18.75" hidden="1">
      <c r="A687" s="1319"/>
      <c r="B687" s="1324"/>
      <c r="C687" s="1320"/>
      <c r="D687" s="1321"/>
      <c r="E687" s="1320" t="s">
        <v>186</v>
      </c>
      <c r="F687" s="1320"/>
      <c r="G687" s="1322"/>
      <c r="H687" s="165" t="s">
        <v>12</v>
      </c>
      <c r="I687" s="886"/>
      <c r="J687" s="886"/>
      <c r="K687" s="887"/>
      <c r="L687" s="887">
        <f t="shared" ca="1" si="285"/>
        <v>0</v>
      </c>
      <c r="M687" s="887">
        <f t="shared" si="285"/>
        <v>0</v>
      </c>
      <c r="N687" s="887">
        <f t="shared" si="285"/>
        <v>0</v>
      </c>
      <c r="O687" s="887">
        <f t="shared" ca="1" si="283"/>
        <v>0</v>
      </c>
      <c r="P687" s="887">
        <f t="shared" si="284"/>
        <v>0</v>
      </c>
      <c r="Q687" s="1323"/>
      <c r="R687" s="1323"/>
      <c r="S687" s="1323"/>
      <c r="T687" s="1323"/>
      <c r="U687" s="1323"/>
      <c r="V687" s="1323"/>
      <c r="W687" s="1323"/>
      <c r="X687" s="1323"/>
      <c r="Y687" s="1323"/>
      <c r="Z687" s="1323"/>
    </row>
    <row r="688" spans="1:26" ht="18.75" hidden="1">
      <c r="A688" s="1317"/>
      <c r="B688" s="1300"/>
      <c r="C688" s="1301"/>
      <c r="D688" s="1325" t="s">
        <v>20</v>
      </c>
      <c r="E688" s="1301"/>
      <c r="F688" s="1301"/>
      <c r="G688" s="1016"/>
      <c r="H688" s="161" t="s">
        <v>12</v>
      </c>
      <c r="I688" s="997"/>
      <c r="J688" s="997"/>
      <c r="K688" s="998"/>
      <c r="L688" s="881">
        <f t="shared" ref="L688:N688" ca="1" si="286">L689+L690</f>
        <v>0</v>
      </c>
      <c r="M688" s="881">
        <f t="shared" si="286"/>
        <v>0</v>
      </c>
      <c r="N688" s="881">
        <f t="shared" si="286"/>
        <v>0</v>
      </c>
      <c r="O688" s="881">
        <f t="shared" ca="1" si="283"/>
        <v>0</v>
      </c>
      <c r="P688" s="881">
        <f t="shared" si="284"/>
        <v>0</v>
      </c>
      <c r="Q688" s="1302"/>
      <c r="R688" s="1302"/>
      <c r="S688" s="1302"/>
      <c r="T688" s="1302"/>
      <c r="U688" s="1302"/>
      <c r="V688" s="1302"/>
      <c r="W688" s="1302"/>
      <c r="X688" s="1302"/>
      <c r="Y688" s="1302"/>
      <c r="Z688" s="1302"/>
    </row>
    <row r="689" spans="1:26" ht="18.75" hidden="1">
      <c r="A689" s="1319"/>
      <c r="B689" s="1324"/>
      <c r="C689" s="1320"/>
      <c r="D689" s="1321"/>
      <c r="E689" s="1320" t="s">
        <v>185</v>
      </c>
      <c r="F689" s="1320"/>
      <c r="G689" s="1322"/>
      <c r="H689" s="165" t="s">
        <v>12</v>
      </c>
      <c r="I689" s="886"/>
      <c r="J689" s="886"/>
      <c r="K689" s="887"/>
      <c r="L689" s="887">
        <v>0</v>
      </c>
      <c r="M689" s="887">
        <v>0</v>
      </c>
      <c r="N689" s="887">
        <v>0</v>
      </c>
      <c r="O689" s="887"/>
      <c r="P689" s="887"/>
      <c r="Q689" s="1323"/>
      <c r="R689" s="1323"/>
      <c r="S689" s="1323"/>
      <c r="T689" s="1323"/>
      <c r="U689" s="1323"/>
      <c r="V689" s="1323"/>
      <c r="W689" s="1323"/>
      <c r="X689" s="1323"/>
      <c r="Y689" s="1323"/>
      <c r="Z689" s="1323"/>
    </row>
    <row r="690" spans="1:26" ht="18.75" hidden="1">
      <c r="A690" s="1319"/>
      <c r="B690" s="1324"/>
      <c r="C690" s="1320"/>
      <c r="D690" s="1321"/>
      <c r="E690" s="1320" t="s">
        <v>186</v>
      </c>
      <c r="F690" s="1320"/>
      <c r="G690" s="1322"/>
      <c r="H690" s="165" t="s">
        <v>12</v>
      </c>
      <c r="I690" s="886"/>
      <c r="J690" s="886"/>
      <c r="K690" s="887"/>
      <c r="L690" s="887">
        <f ca="1">IFERROR(__xludf.DUMMYFUNCTION("IMPORTRANGE(""https://docs.google.com/spreadsheets/d/1QqKyyYR6Q21VydFLVH3TRQUabQu_ym0Zz7PgGX0-kHA/edit?usp=sharing"",""แผน!HW78"")"),0)</f>
        <v>0</v>
      </c>
      <c r="M690" s="887">
        <v>0</v>
      </c>
      <c r="N690" s="887">
        <f>N691+N692+N693+N694</f>
        <v>0</v>
      </c>
      <c r="O690" s="887">
        <f ca="1">IF(L690&gt;0,N690*100/L690,0)</f>
        <v>0</v>
      </c>
      <c r="P690" s="887">
        <f>IF(M690&gt;0,N690*100/M690,0)</f>
        <v>0</v>
      </c>
      <c r="Q690" s="1323"/>
      <c r="R690" s="1323"/>
      <c r="S690" s="1323"/>
      <c r="T690" s="1323"/>
      <c r="U690" s="1323"/>
      <c r="V690" s="1323"/>
      <c r="W690" s="1323"/>
      <c r="X690" s="1323"/>
      <c r="Y690" s="1323"/>
      <c r="Z690" s="1323"/>
    </row>
    <row r="691" spans="1:26" ht="18.75" hidden="1">
      <c r="A691" s="1299"/>
      <c r="B691" s="1300"/>
      <c r="C691" s="1301"/>
      <c r="D691" s="1301"/>
      <c r="E691" s="1301"/>
      <c r="F691" s="1301" t="s">
        <v>187</v>
      </c>
      <c r="G691" s="1016"/>
      <c r="H691" s="161" t="s">
        <v>12</v>
      </c>
      <c r="I691" s="880"/>
      <c r="J691" s="880"/>
      <c r="K691" s="881"/>
      <c r="L691" s="881"/>
      <c r="M691" s="881"/>
      <c r="N691" s="1085">
        <v>0</v>
      </c>
      <c r="O691" s="881"/>
      <c r="P691" s="881"/>
      <c r="Q691" s="1302"/>
      <c r="R691" s="1302"/>
      <c r="S691" s="1302"/>
      <c r="T691" s="1302"/>
      <c r="U691" s="1302"/>
      <c r="V691" s="1302"/>
      <c r="W691" s="1302"/>
      <c r="X691" s="1302"/>
      <c r="Y691" s="1302"/>
      <c r="Z691" s="1302"/>
    </row>
    <row r="692" spans="1:26" ht="18.75" hidden="1">
      <c r="A692" s="1299"/>
      <c r="B692" s="1300"/>
      <c r="C692" s="1301"/>
      <c r="D692" s="1301"/>
      <c r="E692" s="1301"/>
      <c r="F692" s="1301" t="s">
        <v>188</v>
      </c>
      <c r="G692" s="1016"/>
      <c r="H692" s="161" t="s">
        <v>12</v>
      </c>
      <c r="I692" s="880"/>
      <c r="J692" s="880"/>
      <c r="K692" s="881"/>
      <c r="L692" s="881"/>
      <c r="M692" s="881"/>
      <c r="N692" s="1085">
        <v>0</v>
      </c>
      <c r="O692" s="881"/>
      <c r="P692" s="881"/>
      <c r="Q692" s="1302"/>
      <c r="R692" s="1302"/>
      <c r="S692" s="1302"/>
      <c r="T692" s="1302"/>
      <c r="U692" s="1302"/>
      <c r="V692" s="1302"/>
      <c r="W692" s="1302"/>
      <c r="X692" s="1302"/>
      <c r="Y692" s="1302"/>
      <c r="Z692" s="1302"/>
    </row>
    <row r="693" spans="1:26" ht="18.75" hidden="1">
      <c r="A693" s="1299"/>
      <c r="B693" s="1300"/>
      <c r="C693" s="1301"/>
      <c r="D693" s="1301"/>
      <c r="E693" s="1301"/>
      <c r="F693" s="1301" t="s">
        <v>189</v>
      </c>
      <c r="G693" s="1016"/>
      <c r="H693" s="161" t="s">
        <v>12</v>
      </c>
      <c r="I693" s="880"/>
      <c r="J693" s="880"/>
      <c r="K693" s="881"/>
      <c r="L693" s="881"/>
      <c r="M693" s="881"/>
      <c r="N693" s="1085">
        <v>0</v>
      </c>
      <c r="O693" s="881"/>
      <c r="P693" s="881"/>
      <c r="Q693" s="1302"/>
      <c r="R693" s="1302"/>
      <c r="S693" s="1302"/>
      <c r="T693" s="1302"/>
      <c r="U693" s="1302"/>
      <c r="V693" s="1302"/>
      <c r="W693" s="1302"/>
      <c r="X693" s="1302"/>
      <c r="Y693" s="1302"/>
      <c r="Z693" s="1302"/>
    </row>
    <row r="694" spans="1:26" ht="18.75" hidden="1">
      <c r="A694" s="1299"/>
      <c r="B694" s="1300"/>
      <c r="C694" s="1301"/>
      <c r="D694" s="1301"/>
      <c r="E694" s="1301"/>
      <c r="F694" s="1301" t="s">
        <v>190</v>
      </c>
      <c r="G694" s="1016"/>
      <c r="H694" s="161" t="s">
        <v>12</v>
      </c>
      <c r="I694" s="880"/>
      <c r="J694" s="880"/>
      <c r="K694" s="881"/>
      <c r="L694" s="881"/>
      <c r="M694" s="881"/>
      <c r="N694" s="1085">
        <v>0</v>
      </c>
      <c r="O694" s="881"/>
      <c r="P694" s="881"/>
      <c r="Q694" s="1302"/>
      <c r="R694" s="1302"/>
      <c r="S694" s="1302"/>
      <c r="T694" s="1302"/>
      <c r="U694" s="1302"/>
      <c r="V694" s="1302"/>
      <c r="W694" s="1302"/>
      <c r="X694" s="1302"/>
      <c r="Y694" s="1302"/>
      <c r="Z694" s="1302"/>
    </row>
    <row r="695" spans="1:26" ht="18.75" hidden="1">
      <c r="A695" s="1317"/>
      <c r="B695" s="1300"/>
      <c r="C695" s="1301"/>
      <c r="D695" s="1325" t="s">
        <v>21</v>
      </c>
      <c r="E695" s="1301"/>
      <c r="F695" s="1301"/>
      <c r="G695" s="1016"/>
      <c r="H695" s="168" t="s">
        <v>12</v>
      </c>
      <c r="I695" s="997"/>
      <c r="J695" s="997"/>
      <c r="K695" s="998"/>
      <c r="L695" s="881">
        <f t="shared" ref="L695:N695" si="287">L696+L697</f>
        <v>0</v>
      </c>
      <c r="M695" s="881">
        <f t="shared" si="287"/>
        <v>0</v>
      </c>
      <c r="N695" s="881">
        <f t="shared" si="287"/>
        <v>0</v>
      </c>
      <c r="O695" s="881">
        <f t="shared" ref="O695:O697" si="288">IF(L695&gt;0,N695*100/L695,0)</f>
        <v>0</v>
      </c>
      <c r="P695" s="881">
        <f t="shared" ref="P695:P697" si="289">IF(M695&gt;0,N695*100/M695,0)</f>
        <v>0</v>
      </c>
      <c r="Q695" s="1302"/>
      <c r="R695" s="1302"/>
      <c r="S695" s="1302"/>
      <c r="T695" s="1302"/>
      <c r="U695" s="1302"/>
      <c r="V695" s="1302"/>
      <c r="W695" s="1302"/>
      <c r="X695" s="1302"/>
      <c r="Y695" s="1302"/>
      <c r="Z695" s="1302"/>
    </row>
    <row r="696" spans="1:26" ht="18.75" hidden="1">
      <c r="A696" s="1319"/>
      <c r="B696" s="1324"/>
      <c r="C696" s="1320"/>
      <c r="D696" s="1320"/>
      <c r="E696" s="1320" t="s">
        <v>18</v>
      </c>
      <c r="F696" s="1320"/>
      <c r="G696" s="1322"/>
      <c r="H696" s="165" t="s">
        <v>12</v>
      </c>
      <c r="I696" s="1000"/>
      <c r="J696" s="1000"/>
      <c r="K696" s="1001"/>
      <c r="L696" s="887">
        <v>0</v>
      </c>
      <c r="M696" s="887">
        <v>0</v>
      </c>
      <c r="N696" s="887">
        <v>0</v>
      </c>
      <c r="O696" s="887">
        <f t="shared" si="288"/>
        <v>0</v>
      </c>
      <c r="P696" s="887">
        <f t="shared" si="289"/>
        <v>0</v>
      </c>
      <c r="Q696" s="1323"/>
      <c r="R696" s="1323"/>
      <c r="S696" s="1323"/>
      <c r="T696" s="1323"/>
      <c r="U696" s="1323"/>
      <c r="V696" s="1323"/>
      <c r="W696" s="1323"/>
      <c r="X696" s="1323"/>
      <c r="Y696" s="1323"/>
      <c r="Z696" s="1323"/>
    </row>
    <row r="697" spans="1:26" ht="18.75" hidden="1">
      <c r="A697" s="1319"/>
      <c r="B697" s="1324"/>
      <c r="C697" s="1320"/>
      <c r="D697" s="1320"/>
      <c r="E697" s="1320" t="s">
        <v>19</v>
      </c>
      <c r="F697" s="1320"/>
      <c r="G697" s="1322"/>
      <c r="H697" s="169" t="s">
        <v>12</v>
      </c>
      <c r="I697" s="1000"/>
      <c r="J697" s="1000"/>
      <c r="K697" s="1001"/>
      <c r="L697" s="887">
        <v>0</v>
      </c>
      <c r="M697" s="887">
        <v>0</v>
      </c>
      <c r="N697" s="887">
        <v>0</v>
      </c>
      <c r="O697" s="887">
        <f t="shared" si="288"/>
        <v>0</v>
      </c>
      <c r="P697" s="887">
        <f t="shared" si="289"/>
        <v>0</v>
      </c>
      <c r="Q697" s="1323"/>
      <c r="R697" s="1323"/>
      <c r="S697" s="1323"/>
      <c r="T697" s="1323"/>
      <c r="U697" s="1323"/>
      <c r="V697" s="1323"/>
      <c r="W697" s="1323"/>
      <c r="X697" s="1323"/>
      <c r="Y697" s="1323"/>
      <c r="Z697" s="1323"/>
    </row>
    <row r="698" spans="1:26" ht="19.5" hidden="1">
      <c r="A698" s="1326"/>
      <c r="B698" s="1327"/>
      <c r="C698" s="1301" t="s">
        <v>16</v>
      </c>
      <c r="D698" s="1439" t="s">
        <v>38</v>
      </c>
      <c r="E698" s="1330"/>
      <c r="F698" s="1330"/>
      <c r="G698" s="1331"/>
      <c r="H698" s="1007"/>
      <c r="I698" s="997"/>
      <c r="J698" s="997"/>
      <c r="K698" s="998"/>
      <c r="L698" s="998"/>
      <c r="M698" s="998"/>
      <c r="N698" s="998"/>
      <c r="O698" s="998"/>
      <c r="P698" s="998"/>
      <c r="Q698" s="1302"/>
      <c r="R698" s="1302"/>
      <c r="S698" s="1302"/>
      <c r="T698" s="1302"/>
      <c r="U698" s="1302"/>
      <c r="V698" s="1302"/>
      <c r="W698" s="1302"/>
      <c r="X698" s="1302"/>
      <c r="Y698" s="1302"/>
      <c r="Z698" s="1302"/>
    </row>
    <row r="699" spans="1:26" ht="18.75" hidden="1">
      <c r="A699" s="1429"/>
      <c r="B699" s="1301"/>
      <c r="C699" s="1301"/>
      <c r="D699" s="1301" t="s">
        <v>295</v>
      </c>
      <c r="E699" s="1301"/>
      <c r="F699" s="1301"/>
      <c r="G699" s="1016"/>
      <c r="H699" s="762" t="s">
        <v>46</v>
      </c>
      <c r="I699" s="1440">
        <f ca="1">IFERROR(__xludf.DUMMYFUNCTION("IMPORTRANGE(""https://docs.google.com/spreadsheets/d/1QqKyyYR6Q21VydFLVH3TRQUabQu_ym0Zz7PgGX0-kHA/edit?usp=sharing"",""แผน!IC78"")"),0)</f>
        <v>0</v>
      </c>
      <c r="J699" s="880">
        <f ca="1">IFERROR(__xludf.DUMMYFUNCTION("IMPORTRANGE(""https://docs.google.com/spreadsheets/d/1XWAQStnk-4SwqDmLtmXYiTMKHgktTP8We1SCoS47DrQ/edit?usp=sharing"",""จัดที่ดิน!BB78"")"),0)</f>
        <v>0</v>
      </c>
      <c r="K699" s="881">
        <f t="shared" ref="K699:K701" ca="1" si="290">IF(I699&gt;0,J699*100/I699,0)</f>
        <v>0</v>
      </c>
      <c r="L699" s="881"/>
      <c r="M699" s="1016"/>
      <c r="N699" s="1441"/>
      <c r="O699" s="881"/>
      <c r="P699" s="881"/>
      <c r="Q699" s="1302"/>
      <c r="R699" s="1302"/>
      <c r="S699" s="1302"/>
      <c r="T699" s="1302"/>
      <c r="U699" s="1302"/>
      <c r="V699" s="1302"/>
      <c r="W699" s="1302"/>
      <c r="X699" s="1302"/>
      <c r="Y699" s="1302"/>
      <c r="Z699" s="1302"/>
    </row>
    <row r="700" spans="1:26" ht="18.75" hidden="1">
      <c r="A700" s="1429"/>
      <c r="B700" s="1301"/>
      <c r="C700" s="1301"/>
      <c r="D700" s="1301" t="s">
        <v>296</v>
      </c>
      <c r="E700" s="1301"/>
      <c r="F700" s="1301"/>
      <c r="G700" s="1016"/>
      <c r="H700" s="762" t="s">
        <v>35</v>
      </c>
      <c r="I700" s="1440">
        <f ca="1">IFERROR(__xludf.DUMMYFUNCTION("IMPORTRANGE(""https://docs.google.com/spreadsheets/d/1QqKyyYR6Q21VydFLVH3TRQUabQu_ym0Zz7PgGX0-kHA/edit?usp=sharing"",""แผน!ID78"")"),0)</f>
        <v>0</v>
      </c>
      <c r="J700" s="880">
        <f ca="1">IFERROR(__xludf.DUMMYFUNCTION("IMPORTRANGE(""https://docs.google.com/spreadsheets/d/1XWAQStnk-4SwqDmLtmXYiTMKHgktTP8We1SCoS47DrQ/edit?usp=sharing"",""จัดที่ดิน!BD78"")"),0)</f>
        <v>0</v>
      </c>
      <c r="K700" s="881">
        <f t="shared" ca="1" si="290"/>
        <v>0</v>
      </c>
      <c r="L700" s="881"/>
      <c r="M700" s="1016"/>
      <c r="N700" s="1441"/>
      <c r="O700" s="881"/>
      <c r="P700" s="881"/>
      <c r="Q700" s="1302"/>
      <c r="R700" s="1302"/>
      <c r="S700" s="1302"/>
      <c r="T700" s="1302"/>
      <c r="U700" s="1302"/>
      <c r="V700" s="1302"/>
      <c r="W700" s="1302"/>
      <c r="X700" s="1302"/>
      <c r="Y700" s="1302"/>
      <c r="Z700" s="1302"/>
    </row>
    <row r="701" spans="1:26" ht="19.5" hidden="1">
      <c r="A701" s="1429"/>
      <c r="B701" s="1301"/>
      <c r="C701" s="1301"/>
      <c r="D701" s="1301" t="s">
        <v>297</v>
      </c>
      <c r="E701" s="1301"/>
      <c r="F701" s="1301"/>
      <c r="G701" s="1016"/>
      <c r="H701" s="765" t="s">
        <v>46</v>
      </c>
      <c r="I701" s="1442">
        <f ca="1">IFERROR(__xludf.DUMMYFUNCTION("IMPORTRANGE(""https://docs.google.com/spreadsheets/d/1QqKyyYR6Q21VydFLVH3TRQUabQu_ym0Zz7PgGX0-kHA/edit?usp=sharing"",""แผน!IE78"")"),0)</f>
        <v>0</v>
      </c>
      <c r="J701" s="1019">
        <f>J704+J707</f>
        <v>0</v>
      </c>
      <c r="K701" s="1020">
        <f t="shared" ca="1" si="290"/>
        <v>0</v>
      </c>
      <c r="L701" s="881"/>
      <c r="M701" s="1016"/>
      <c r="N701" s="1441"/>
      <c r="O701" s="881"/>
      <c r="P701" s="881"/>
      <c r="Q701" s="1302"/>
      <c r="R701" s="1302"/>
      <c r="S701" s="1302"/>
      <c r="T701" s="1302"/>
      <c r="U701" s="1302"/>
      <c r="V701" s="1302"/>
      <c r="W701" s="1302"/>
      <c r="X701" s="1302"/>
      <c r="Y701" s="1302"/>
      <c r="Z701" s="1302"/>
    </row>
    <row r="702" spans="1:26" ht="18.75" hidden="1">
      <c r="A702" s="1429"/>
      <c r="B702" s="1301"/>
      <c r="C702" s="1301"/>
      <c r="D702" s="1301"/>
      <c r="E702" s="1301" t="s">
        <v>298</v>
      </c>
      <c r="F702" s="1301"/>
      <c r="G702" s="1016"/>
      <c r="H702" s="762" t="s">
        <v>35</v>
      </c>
      <c r="I702" s="1440"/>
      <c r="J702" s="1012">
        <v>0</v>
      </c>
      <c r="K702" s="881"/>
      <c r="L702" s="881"/>
      <c r="M702" s="1016"/>
      <c r="N702" s="1441"/>
      <c r="O702" s="881"/>
      <c r="P702" s="881"/>
      <c r="Q702" s="1302"/>
      <c r="R702" s="1302"/>
      <c r="S702" s="1302"/>
      <c r="T702" s="1302"/>
      <c r="U702" s="1302"/>
      <c r="V702" s="1302"/>
      <c r="W702" s="1302"/>
      <c r="X702" s="1302"/>
      <c r="Y702" s="1302"/>
      <c r="Z702" s="1302"/>
    </row>
    <row r="703" spans="1:26" ht="18.75" hidden="1">
      <c r="A703" s="1429"/>
      <c r="B703" s="1301"/>
      <c r="C703" s="1301"/>
      <c r="D703" s="1301"/>
      <c r="E703" s="1301"/>
      <c r="F703" s="1301"/>
      <c r="G703" s="1016"/>
      <c r="H703" s="762" t="s">
        <v>34</v>
      </c>
      <c r="I703" s="1440"/>
      <c r="J703" s="1012">
        <v>0</v>
      </c>
      <c r="K703" s="881"/>
      <c r="L703" s="881"/>
      <c r="M703" s="1016"/>
      <c r="N703" s="1441"/>
      <c r="O703" s="881"/>
      <c r="P703" s="881"/>
      <c r="Q703" s="1302"/>
      <c r="R703" s="1302"/>
      <c r="S703" s="1302"/>
      <c r="T703" s="1302"/>
      <c r="U703" s="1302"/>
      <c r="V703" s="1302"/>
      <c r="W703" s="1302"/>
      <c r="X703" s="1302"/>
      <c r="Y703" s="1302"/>
      <c r="Z703" s="1302"/>
    </row>
    <row r="704" spans="1:26" ht="18.75" hidden="1">
      <c r="A704" s="1429"/>
      <c r="B704" s="1301"/>
      <c r="C704" s="1301"/>
      <c r="D704" s="1301"/>
      <c r="E704" s="1301"/>
      <c r="F704" s="1301"/>
      <c r="G704" s="1016"/>
      <c r="H704" s="762" t="s">
        <v>46</v>
      </c>
      <c r="I704" s="1440">
        <f ca="1">IFERROR(__xludf.DUMMYFUNCTION("IMPORTRANGE(""https://docs.google.com/spreadsheets/d/1QqKyyYR6Q21VydFLVH3TRQUabQu_ym0Zz7PgGX0-kHA/edit?usp=sharing"",""แผน!IF78"")"),0)</f>
        <v>0</v>
      </c>
      <c r="J704" s="1012">
        <v>0</v>
      </c>
      <c r="K704" s="881"/>
      <c r="L704" s="881"/>
      <c r="M704" s="1016"/>
      <c r="N704" s="1441"/>
      <c r="O704" s="881"/>
      <c r="P704" s="881"/>
      <c r="Q704" s="1302"/>
      <c r="R704" s="1302"/>
      <c r="S704" s="1302"/>
      <c r="T704" s="1302"/>
      <c r="U704" s="1302"/>
      <c r="V704" s="1302"/>
      <c r="W704" s="1302"/>
      <c r="X704" s="1302"/>
      <c r="Y704" s="1302"/>
      <c r="Z704" s="1302"/>
    </row>
    <row r="705" spans="1:26" ht="18.75" hidden="1">
      <c r="A705" s="1429"/>
      <c r="B705" s="1301"/>
      <c r="C705" s="1301"/>
      <c r="D705" s="1301"/>
      <c r="E705" s="1301" t="s">
        <v>299</v>
      </c>
      <c r="F705" s="1301"/>
      <c r="G705" s="1016"/>
      <c r="H705" s="762" t="s">
        <v>35</v>
      </c>
      <c r="I705" s="1440"/>
      <c r="J705" s="1012">
        <v>0</v>
      </c>
      <c r="K705" s="881"/>
      <c r="L705" s="881"/>
      <c r="M705" s="1016"/>
      <c r="N705" s="1441"/>
      <c r="O705" s="881"/>
      <c r="P705" s="881"/>
      <c r="Q705" s="1302"/>
      <c r="R705" s="1302"/>
      <c r="S705" s="1302"/>
      <c r="T705" s="1302"/>
      <c r="U705" s="1302"/>
      <c r="V705" s="1302"/>
      <c r="W705" s="1302"/>
      <c r="X705" s="1302"/>
      <c r="Y705" s="1302"/>
      <c r="Z705" s="1302"/>
    </row>
    <row r="706" spans="1:26" ht="18.75" hidden="1">
      <c r="A706" s="1429"/>
      <c r="B706" s="1301"/>
      <c r="C706" s="1301"/>
      <c r="D706" s="1301"/>
      <c r="E706" s="1301"/>
      <c r="F706" s="1301"/>
      <c r="G706" s="1016"/>
      <c r="H706" s="762" t="s">
        <v>34</v>
      </c>
      <c r="I706" s="1440"/>
      <c r="J706" s="1012">
        <v>0</v>
      </c>
      <c r="K706" s="881"/>
      <c r="L706" s="881"/>
      <c r="M706" s="1016"/>
      <c r="N706" s="1441"/>
      <c r="O706" s="881"/>
      <c r="P706" s="881"/>
      <c r="Q706" s="1302"/>
      <c r="R706" s="1302"/>
      <c r="S706" s="1302"/>
      <c r="T706" s="1302"/>
      <c r="U706" s="1302"/>
      <c r="V706" s="1302"/>
      <c r="W706" s="1302"/>
      <c r="X706" s="1302"/>
      <c r="Y706" s="1302"/>
      <c r="Z706" s="1302"/>
    </row>
    <row r="707" spans="1:26" ht="18.75" hidden="1">
      <c r="A707" s="1429"/>
      <c r="B707" s="1301"/>
      <c r="C707" s="1301"/>
      <c r="D707" s="1301"/>
      <c r="E707" s="1301"/>
      <c r="F707" s="1301"/>
      <c r="G707" s="1016"/>
      <c r="H707" s="762" t="s">
        <v>46</v>
      </c>
      <c r="I707" s="1440">
        <f ca="1">IFERROR(__xludf.DUMMYFUNCTION("IMPORTRANGE(""https://docs.google.com/spreadsheets/d/1QqKyyYR6Q21VydFLVH3TRQUabQu_ym0Zz7PgGX0-kHA/edit?usp=sharing"",""แผน!IG78"")"),0)</f>
        <v>0</v>
      </c>
      <c r="J707" s="1012">
        <v>0</v>
      </c>
      <c r="K707" s="881"/>
      <c r="L707" s="881"/>
      <c r="M707" s="1016"/>
      <c r="N707" s="1441"/>
      <c r="O707" s="881"/>
      <c r="P707" s="881"/>
      <c r="Q707" s="1302"/>
      <c r="R707" s="1302"/>
      <c r="S707" s="1302"/>
      <c r="T707" s="1302"/>
      <c r="U707" s="1302"/>
      <c r="V707" s="1302"/>
      <c r="W707" s="1302"/>
      <c r="X707" s="1302"/>
      <c r="Y707" s="1302"/>
      <c r="Z707" s="1302"/>
    </row>
    <row r="708" spans="1:26" ht="19.5" hidden="1">
      <c r="A708" s="1429"/>
      <c r="B708" s="1301"/>
      <c r="C708" s="1301"/>
      <c r="D708" s="1382" t="s">
        <v>300</v>
      </c>
      <c r="E708" s="1301"/>
      <c r="F708" s="1301"/>
      <c r="G708" s="1016"/>
      <c r="H708" s="765" t="s">
        <v>46</v>
      </c>
      <c r="I708" s="1442">
        <f ca="1">IFERROR(__xludf.DUMMYFUNCTION("IMPORTRANGE(""https://docs.google.com/spreadsheets/d/1QqKyyYR6Q21VydFLVH3TRQUabQu_ym0Zz7PgGX0-kHA/edit?usp=sharing"",""แผน!IH78"")"),0)</f>
        <v>0</v>
      </c>
      <c r="J708" s="1019">
        <f>J714+J717</f>
        <v>0</v>
      </c>
      <c r="K708" s="1020">
        <f ca="1">IF(I708&gt;0,J708*100/I708,0)</f>
        <v>0</v>
      </c>
      <c r="L708" s="881"/>
      <c r="M708" s="1016"/>
      <c r="N708" s="1441"/>
      <c r="O708" s="881"/>
      <c r="P708" s="881"/>
      <c r="Q708" s="1302"/>
      <c r="R708" s="1302"/>
      <c r="S708" s="1302"/>
      <c r="T708" s="1302"/>
      <c r="U708" s="1302"/>
      <c r="V708" s="1302"/>
      <c r="W708" s="1302"/>
      <c r="X708" s="1302"/>
      <c r="Y708" s="1302"/>
      <c r="Z708" s="1302"/>
    </row>
    <row r="709" spans="1:26" ht="18.75" hidden="1">
      <c r="A709" s="1429"/>
      <c r="B709" s="1301"/>
      <c r="C709" s="1301"/>
      <c r="D709" s="1301"/>
      <c r="E709" s="1301" t="s">
        <v>301</v>
      </c>
      <c r="F709" s="1301"/>
      <c r="G709" s="1016"/>
      <c r="H709" s="762" t="s">
        <v>34</v>
      </c>
      <c r="I709" s="1440"/>
      <c r="J709" s="1012">
        <v>0</v>
      </c>
      <c r="K709" s="881"/>
      <c r="L709" s="1441"/>
      <c r="M709" s="1016"/>
      <c r="N709" s="1441"/>
      <c r="O709" s="881"/>
      <c r="P709" s="881"/>
      <c r="Q709" s="1302"/>
      <c r="R709" s="1302"/>
      <c r="S709" s="1302"/>
      <c r="T709" s="1302"/>
      <c r="U709" s="1302"/>
      <c r="V709" s="1302"/>
      <c r="W709" s="1302"/>
      <c r="X709" s="1302"/>
      <c r="Y709" s="1302"/>
      <c r="Z709" s="1302"/>
    </row>
    <row r="710" spans="1:26" ht="18.75" hidden="1">
      <c r="A710" s="1429"/>
      <c r="B710" s="1301"/>
      <c r="C710" s="1301"/>
      <c r="D710" s="1301"/>
      <c r="E710" s="1301"/>
      <c r="F710" s="1301"/>
      <c r="G710" s="1016"/>
      <c r="H710" s="762" t="s">
        <v>46</v>
      </c>
      <c r="I710" s="1440"/>
      <c r="J710" s="1012">
        <v>0</v>
      </c>
      <c r="K710" s="881"/>
      <c r="L710" s="1441"/>
      <c r="M710" s="1016"/>
      <c r="N710" s="1441"/>
      <c r="O710" s="881"/>
      <c r="P710" s="881"/>
      <c r="Q710" s="1302"/>
      <c r="R710" s="1302"/>
      <c r="S710" s="1302"/>
      <c r="T710" s="1302"/>
      <c r="U710" s="1302"/>
      <c r="V710" s="1302"/>
      <c r="W710" s="1302"/>
      <c r="X710" s="1302"/>
      <c r="Y710" s="1302"/>
      <c r="Z710" s="1302"/>
    </row>
    <row r="711" spans="1:26" ht="18.75" hidden="1">
      <c r="A711" s="1429"/>
      <c r="B711" s="1301"/>
      <c r="C711" s="1301"/>
      <c r="D711" s="1301"/>
      <c r="E711" s="1301" t="s">
        <v>302</v>
      </c>
      <c r="F711" s="1301"/>
      <c r="G711" s="1016"/>
      <c r="H711" s="1007"/>
      <c r="I711" s="1440"/>
      <c r="J711" s="880"/>
      <c r="K711" s="881"/>
      <c r="L711" s="1441"/>
      <c r="M711" s="1016"/>
      <c r="N711" s="1441"/>
      <c r="O711" s="881"/>
      <c r="P711" s="881"/>
      <c r="Q711" s="1302"/>
      <c r="R711" s="1302"/>
      <c r="S711" s="1302"/>
      <c r="T711" s="1302"/>
      <c r="U711" s="1302"/>
      <c r="V711" s="1302"/>
      <c r="W711" s="1302"/>
      <c r="X711" s="1302"/>
      <c r="Y711" s="1302"/>
      <c r="Z711" s="1302"/>
    </row>
    <row r="712" spans="1:26" ht="18.75" hidden="1">
      <c r="A712" s="1429"/>
      <c r="B712" s="1301"/>
      <c r="C712" s="1301"/>
      <c r="D712" s="1301"/>
      <c r="E712" s="1301"/>
      <c r="F712" s="1301" t="s">
        <v>303</v>
      </c>
      <c r="G712" s="1016"/>
      <c r="H712" s="762" t="s">
        <v>35</v>
      </c>
      <c r="I712" s="1440"/>
      <c r="J712" s="1012">
        <v>0</v>
      </c>
      <c r="K712" s="881"/>
      <c r="L712" s="1441"/>
      <c r="M712" s="1016"/>
      <c r="N712" s="1441"/>
      <c r="O712" s="881"/>
      <c r="P712" s="881"/>
      <c r="Q712" s="1302"/>
      <c r="R712" s="1302"/>
      <c r="S712" s="1302"/>
      <c r="T712" s="1302"/>
      <c r="U712" s="1302"/>
      <c r="V712" s="1302"/>
      <c r="W712" s="1302"/>
      <c r="X712" s="1302"/>
      <c r="Y712" s="1302"/>
      <c r="Z712" s="1302"/>
    </row>
    <row r="713" spans="1:26" ht="18.75" hidden="1">
      <c r="A713" s="1429"/>
      <c r="B713" s="1301"/>
      <c r="C713" s="1301"/>
      <c r="D713" s="1301"/>
      <c r="E713" s="1301"/>
      <c r="F713" s="1301"/>
      <c r="G713" s="1016"/>
      <c r="H713" s="762" t="s">
        <v>34</v>
      </c>
      <c r="I713" s="1440"/>
      <c r="J713" s="1012">
        <v>0</v>
      </c>
      <c r="K713" s="881"/>
      <c r="L713" s="1441"/>
      <c r="M713" s="1016"/>
      <c r="N713" s="1441"/>
      <c r="O713" s="881"/>
      <c r="P713" s="881"/>
      <c r="Q713" s="1302"/>
      <c r="R713" s="1302"/>
      <c r="S713" s="1302"/>
      <c r="T713" s="1302"/>
      <c r="U713" s="1302"/>
      <c r="V713" s="1302"/>
      <c r="W713" s="1302"/>
      <c r="X713" s="1302"/>
      <c r="Y713" s="1302"/>
      <c r="Z713" s="1302"/>
    </row>
    <row r="714" spans="1:26" ht="18.75" hidden="1">
      <c r="A714" s="1429"/>
      <c r="B714" s="1301"/>
      <c r="C714" s="1301"/>
      <c r="D714" s="1301"/>
      <c r="E714" s="1301"/>
      <c r="F714" s="1301"/>
      <c r="G714" s="1016"/>
      <c r="H714" s="762" t="s">
        <v>46</v>
      </c>
      <c r="I714" s="1440"/>
      <c r="J714" s="1012">
        <v>0</v>
      </c>
      <c r="K714" s="881"/>
      <c r="L714" s="1441"/>
      <c r="M714" s="1016"/>
      <c r="N714" s="1441"/>
      <c r="O714" s="881"/>
      <c r="P714" s="881"/>
      <c r="Q714" s="1302"/>
      <c r="R714" s="1302"/>
      <c r="S714" s="1302"/>
      <c r="T714" s="1302"/>
      <c r="U714" s="1302"/>
      <c r="V714" s="1302"/>
      <c r="W714" s="1302"/>
      <c r="X714" s="1302"/>
      <c r="Y714" s="1302"/>
      <c r="Z714" s="1302"/>
    </row>
    <row r="715" spans="1:26" ht="18.75" hidden="1">
      <c r="A715" s="1429"/>
      <c r="B715" s="1301"/>
      <c r="C715" s="1301"/>
      <c r="D715" s="1301"/>
      <c r="E715" s="1301"/>
      <c r="F715" s="1301" t="s">
        <v>304</v>
      </c>
      <c r="G715" s="1016"/>
      <c r="H715" s="762" t="s">
        <v>35</v>
      </c>
      <c r="I715" s="1440"/>
      <c r="J715" s="1012">
        <v>0</v>
      </c>
      <c r="K715" s="881"/>
      <c r="L715" s="1441"/>
      <c r="M715" s="1016"/>
      <c r="N715" s="1441"/>
      <c r="O715" s="881"/>
      <c r="P715" s="881"/>
      <c r="Q715" s="1302"/>
      <c r="R715" s="1302"/>
      <c r="S715" s="1302"/>
      <c r="T715" s="1302"/>
      <c r="U715" s="1302"/>
      <c r="V715" s="1302"/>
      <c r="W715" s="1302"/>
      <c r="X715" s="1302"/>
      <c r="Y715" s="1302"/>
      <c r="Z715" s="1302"/>
    </row>
    <row r="716" spans="1:26" ht="18.75" hidden="1">
      <c r="A716" s="1429"/>
      <c r="B716" s="1301"/>
      <c r="C716" s="1301"/>
      <c r="D716" s="1301"/>
      <c r="E716" s="1301"/>
      <c r="F716" s="1301"/>
      <c r="G716" s="1016"/>
      <c r="H716" s="762" t="s">
        <v>34</v>
      </c>
      <c r="I716" s="1440"/>
      <c r="J716" s="1012">
        <v>0</v>
      </c>
      <c r="K716" s="881"/>
      <c r="L716" s="1441"/>
      <c r="M716" s="1016"/>
      <c r="N716" s="1441"/>
      <c r="O716" s="881"/>
      <c r="P716" s="881"/>
      <c r="Q716" s="1302"/>
      <c r="R716" s="1302"/>
      <c r="S716" s="1302"/>
      <c r="T716" s="1302"/>
      <c r="U716" s="1302"/>
      <c r="V716" s="1302"/>
      <c r="W716" s="1302"/>
      <c r="X716" s="1302"/>
      <c r="Y716" s="1302"/>
      <c r="Z716" s="1302"/>
    </row>
    <row r="717" spans="1:26" ht="18.75" hidden="1">
      <c r="A717" s="1429"/>
      <c r="B717" s="1301"/>
      <c r="C717" s="1301"/>
      <c r="D717" s="1301"/>
      <c r="E717" s="1301"/>
      <c r="F717" s="1301"/>
      <c r="G717" s="1016"/>
      <c r="H717" s="762" t="s">
        <v>46</v>
      </c>
      <c r="I717" s="1440"/>
      <c r="J717" s="1012">
        <v>0</v>
      </c>
      <c r="K717" s="881"/>
      <c r="L717" s="1441"/>
      <c r="M717" s="1016"/>
      <c r="N717" s="1441"/>
      <c r="O717" s="881"/>
      <c r="P717" s="881"/>
      <c r="Q717" s="1302"/>
      <c r="R717" s="1302"/>
      <c r="S717" s="1302"/>
      <c r="T717" s="1302"/>
      <c r="U717" s="1302"/>
      <c r="V717" s="1302"/>
      <c r="W717" s="1302"/>
      <c r="X717" s="1302"/>
      <c r="Y717" s="1302"/>
      <c r="Z717" s="1302"/>
    </row>
    <row r="718" spans="1:26" ht="18.75" hidden="1">
      <c r="A718" s="1429"/>
      <c r="B718" s="1301"/>
      <c r="C718" s="1301"/>
      <c r="D718" s="1301" t="s">
        <v>305</v>
      </c>
      <c r="E718" s="1301"/>
      <c r="F718" s="1301"/>
      <c r="G718" s="1016"/>
      <c r="H718" s="762" t="s">
        <v>35</v>
      </c>
      <c r="I718" s="1440"/>
      <c r="J718" s="880">
        <f ca="1">IFERROR(__xludf.DUMMYFUNCTION("IMPORTRANGE(""https://docs.google.com/spreadsheets/d/1XWAQStnk-4SwqDmLtmXYiTMKHgktTP8We1SCoS47DrQ/edit?usp=sharing"",""จัดที่ดิน!BF78"")"),0)</f>
        <v>0</v>
      </c>
      <c r="K718" s="881"/>
      <c r="L718" s="881"/>
      <c r="M718" s="1016"/>
      <c r="N718" s="1441"/>
      <c r="O718" s="881"/>
      <c r="P718" s="881"/>
      <c r="Q718" s="1302"/>
      <c r="R718" s="1302"/>
      <c r="S718" s="1302"/>
      <c r="T718" s="1302"/>
      <c r="U718" s="1302"/>
      <c r="V718" s="1302"/>
      <c r="W718" s="1302"/>
      <c r="X718" s="1302"/>
      <c r="Y718" s="1302"/>
      <c r="Z718" s="1302"/>
    </row>
    <row r="719" spans="1:26" ht="18.75" hidden="1">
      <c r="A719" s="1429"/>
      <c r="B719" s="1301"/>
      <c r="C719" s="1301"/>
      <c r="D719" s="1301"/>
      <c r="E719" s="1301"/>
      <c r="F719" s="1301"/>
      <c r="G719" s="1016"/>
      <c r="H719" s="762" t="s">
        <v>34</v>
      </c>
      <c r="I719" s="1440"/>
      <c r="J719" s="880">
        <f ca="1">IFERROR(__xludf.DUMMYFUNCTION("IMPORTRANGE(""https://docs.google.com/spreadsheets/d/1XWAQStnk-4SwqDmLtmXYiTMKHgktTP8We1SCoS47DrQ/edit?usp=sharing"",""จัดที่ดิน!BG78"")"),0)</f>
        <v>0</v>
      </c>
      <c r="K719" s="881"/>
      <c r="L719" s="1441"/>
      <c r="M719" s="1016"/>
      <c r="N719" s="1441"/>
      <c r="O719" s="881"/>
      <c r="P719" s="881"/>
      <c r="Q719" s="1302"/>
      <c r="R719" s="1302"/>
      <c r="S719" s="1302"/>
      <c r="T719" s="1302"/>
      <c r="U719" s="1302"/>
      <c r="V719" s="1302"/>
      <c r="W719" s="1302"/>
      <c r="X719" s="1302"/>
      <c r="Y719" s="1302"/>
      <c r="Z719" s="1302"/>
    </row>
    <row r="720" spans="1:26" ht="18.75" hidden="1">
      <c r="A720" s="1429"/>
      <c r="B720" s="1301"/>
      <c r="C720" s="1301"/>
      <c r="D720" s="1301"/>
      <c r="E720" s="1301"/>
      <c r="F720" s="1301"/>
      <c r="G720" s="1016"/>
      <c r="H720" s="762" t="s">
        <v>46</v>
      </c>
      <c r="I720" s="1440">
        <f ca="1">IFERROR(__xludf.DUMMYFUNCTION("IMPORTRANGE(""https://docs.google.com/spreadsheets/d/1QqKyyYR6Q21VydFLVH3TRQUabQu_ym0Zz7PgGX0-kHA/edit?usp=sharing"",""แผน!II78"")"),0)</f>
        <v>0</v>
      </c>
      <c r="J720" s="880">
        <f ca="1">IFERROR(__xludf.DUMMYFUNCTION("IMPORTRANGE(""https://docs.google.com/spreadsheets/d/1XWAQStnk-4SwqDmLtmXYiTMKHgktTP8We1SCoS47DrQ/edit?usp=sharing"",""จัดที่ดิน!BH78"")"),0)</f>
        <v>0</v>
      </c>
      <c r="K720" s="881">
        <f t="shared" ref="K720:K723" ca="1" si="291">IF(I720&gt;0,J720*100/I720,0)</f>
        <v>0</v>
      </c>
      <c r="L720" s="1441"/>
      <c r="M720" s="1016"/>
      <c r="N720" s="1441"/>
      <c r="O720" s="881"/>
      <c r="P720" s="881"/>
      <c r="Q720" s="1302"/>
      <c r="R720" s="1302"/>
      <c r="S720" s="1302"/>
      <c r="T720" s="1302"/>
      <c r="U720" s="1302"/>
      <c r="V720" s="1302"/>
      <c r="W720" s="1302"/>
      <c r="X720" s="1302"/>
      <c r="Y720" s="1302"/>
      <c r="Z720" s="1302"/>
    </row>
    <row r="721" spans="1:26" ht="19.5" hidden="1">
      <c r="A721" s="1429"/>
      <c r="B721" s="1301"/>
      <c r="C721" s="1301"/>
      <c r="D721" s="1301" t="s">
        <v>306</v>
      </c>
      <c r="E721" s="1301"/>
      <c r="F721" s="1301"/>
      <c r="G721" s="1016"/>
      <c r="H721" s="765" t="s">
        <v>35</v>
      </c>
      <c r="I721" s="1442">
        <f ca="1">IFERROR(__xludf.DUMMYFUNCTION("IMPORTRANGE(""https://docs.google.com/spreadsheets/d/1QqKyyYR6Q21VydFLVH3TRQUabQu_ym0Zz7PgGX0-kHA/edit?usp=sharing"",""แผน!IJ78"")"),0)</f>
        <v>0</v>
      </c>
      <c r="J721" s="1019">
        <f ca="1">J723+J726</f>
        <v>0</v>
      </c>
      <c r="K721" s="1020">
        <f t="shared" ca="1" si="291"/>
        <v>0</v>
      </c>
      <c r="L721" s="1441"/>
      <c r="M721" s="1016"/>
      <c r="N721" s="1441"/>
      <c r="O721" s="881"/>
      <c r="P721" s="881"/>
      <c r="Q721" s="1302"/>
      <c r="R721" s="1302"/>
      <c r="S721" s="1302"/>
      <c r="T721" s="1302"/>
      <c r="U721" s="1302"/>
      <c r="V721" s="1302"/>
      <c r="W721" s="1302"/>
      <c r="X721" s="1302"/>
      <c r="Y721" s="1302"/>
      <c r="Z721" s="1302"/>
    </row>
    <row r="722" spans="1:26" ht="19.5" hidden="1">
      <c r="A722" s="1429"/>
      <c r="B722" s="1301"/>
      <c r="C722" s="1301"/>
      <c r="D722" s="1301"/>
      <c r="E722" s="1301"/>
      <c r="F722" s="1301"/>
      <c r="G722" s="1016"/>
      <c r="H722" s="765" t="s">
        <v>46</v>
      </c>
      <c r="I722" s="1442">
        <f ca="1">IFERROR(__xludf.DUMMYFUNCTION("IMPORTRANGE(""https://docs.google.com/spreadsheets/d/1QqKyyYR6Q21VydFLVH3TRQUabQu_ym0Zz7PgGX0-kHA/edit?usp=sharing"",""แผน!IK78"")"),0)</f>
        <v>0</v>
      </c>
      <c r="J722" s="1019">
        <f ca="1">J725+J728</f>
        <v>0</v>
      </c>
      <c r="K722" s="1020">
        <f t="shared" ca="1" si="291"/>
        <v>0</v>
      </c>
      <c r="L722" s="881"/>
      <c r="M722" s="1016"/>
      <c r="N722" s="1441"/>
      <c r="O722" s="881"/>
      <c r="P722" s="881"/>
      <c r="Q722" s="1302"/>
      <c r="R722" s="1302"/>
      <c r="S722" s="1302"/>
      <c r="T722" s="1302"/>
      <c r="U722" s="1302"/>
      <c r="V722" s="1302"/>
      <c r="W722" s="1302"/>
      <c r="X722" s="1302"/>
      <c r="Y722" s="1302"/>
      <c r="Z722" s="1302"/>
    </row>
    <row r="723" spans="1:26" ht="18.75" hidden="1">
      <c r="A723" s="1429"/>
      <c r="B723" s="1301"/>
      <c r="C723" s="1301"/>
      <c r="D723" s="1301"/>
      <c r="E723" s="1301" t="s">
        <v>307</v>
      </c>
      <c r="F723" s="1301"/>
      <c r="G723" s="1016"/>
      <c r="H723" s="762" t="s">
        <v>35</v>
      </c>
      <c r="I723" s="1440">
        <f ca="1">IFERROR(__xludf.DUMMYFUNCTION("IMPORTRANGE(""https://docs.google.com/spreadsheets/d/1QqKyyYR6Q21VydFLVH3TRQUabQu_ym0Zz7PgGX0-kHA/edit?usp=sharing"",""แผน!IL78"")"),0)</f>
        <v>0</v>
      </c>
      <c r="J723" s="880">
        <f ca="1">IFERROR(__xludf.DUMMYFUNCTION("IMPORTRANGE(""https://docs.google.com/spreadsheets/d/1XWAQStnk-4SwqDmLtmXYiTMKHgktTP8We1SCoS47DrQ/edit?usp=sharing"",""จัดที่ดิน!BM78"")"),0)</f>
        <v>0</v>
      </c>
      <c r="K723" s="881">
        <f t="shared" ca="1" si="291"/>
        <v>0</v>
      </c>
      <c r="L723" s="881"/>
      <c r="M723" s="1016"/>
      <c r="N723" s="1441"/>
      <c r="O723" s="881"/>
      <c r="P723" s="881"/>
      <c r="Q723" s="1302"/>
      <c r="R723" s="1302"/>
      <c r="S723" s="1302"/>
      <c r="T723" s="1302"/>
      <c r="U723" s="1302"/>
      <c r="V723" s="1302"/>
      <c r="W723" s="1302"/>
      <c r="X723" s="1302"/>
      <c r="Y723" s="1302"/>
      <c r="Z723" s="1302"/>
    </row>
    <row r="724" spans="1:26" ht="18.75" hidden="1">
      <c r="A724" s="1429"/>
      <c r="B724" s="1301"/>
      <c r="C724" s="1301"/>
      <c r="D724" s="1301"/>
      <c r="E724" s="1301"/>
      <c r="F724" s="1301"/>
      <c r="G724" s="1016"/>
      <c r="H724" s="762" t="s">
        <v>34</v>
      </c>
      <c r="I724" s="1440"/>
      <c r="J724" s="880">
        <f ca="1">IFERROR(__xludf.DUMMYFUNCTION("IMPORTRANGE(""https://docs.google.com/spreadsheets/d/1XWAQStnk-4SwqDmLtmXYiTMKHgktTP8We1SCoS47DrQ/edit?usp=sharing"",""จัดที่ดิน!BN78"")"),0)</f>
        <v>0</v>
      </c>
      <c r="K724" s="881"/>
      <c r="L724" s="1441"/>
      <c r="M724" s="1016"/>
      <c r="N724" s="1441"/>
      <c r="O724" s="881"/>
      <c r="P724" s="881"/>
      <c r="Q724" s="1302"/>
      <c r="R724" s="1302"/>
      <c r="S724" s="1302"/>
      <c r="T724" s="1302"/>
      <c r="U724" s="1302"/>
      <c r="V724" s="1302"/>
      <c r="W724" s="1302"/>
      <c r="X724" s="1302"/>
      <c r="Y724" s="1302"/>
      <c r="Z724" s="1302"/>
    </row>
    <row r="725" spans="1:26" ht="18.75" hidden="1">
      <c r="A725" s="1429"/>
      <c r="B725" s="1301"/>
      <c r="C725" s="1301"/>
      <c r="D725" s="1301"/>
      <c r="E725" s="1301"/>
      <c r="F725" s="1301"/>
      <c r="G725" s="1016"/>
      <c r="H725" s="762" t="s">
        <v>46</v>
      </c>
      <c r="I725" s="1440">
        <f ca="1">IFERROR(__xludf.DUMMYFUNCTION("IMPORTRANGE(""https://docs.google.com/spreadsheets/d/1QqKyyYR6Q21VydFLVH3TRQUabQu_ym0Zz7PgGX0-kHA/edit?usp=sharing"",""แผน!IM78"")"),0)</f>
        <v>0</v>
      </c>
      <c r="J725" s="880">
        <f ca="1">IFERROR(__xludf.DUMMYFUNCTION("IMPORTRANGE(""https://docs.google.com/spreadsheets/d/1XWAQStnk-4SwqDmLtmXYiTMKHgktTP8We1SCoS47DrQ/edit?usp=sharing"",""จัดที่ดิน!BO78"")"),0)</f>
        <v>0</v>
      </c>
      <c r="K725" s="881">
        <f t="shared" ref="K725:K726" ca="1" si="292">IF(I725&gt;0,J725*100/I725,0)</f>
        <v>0</v>
      </c>
      <c r="L725" s="1441"/>
      <c r="M725" s="1016"/>
      <c r="N725" s="1441"/>
      <c r="O725" s="881"/>
      <c r="P725" s="881"/>
      <c r="Q725" s="1302"/>
      <c r="R725" s="1302"/>
      <c r="S725" s="1302"/>
      <c r="T725" s="1302"/>
      <c r="U725" s="1302"/>
      <c r="V725" s="1302"/>
      <c r="W725" s="1302"/>
      <c r="X725" s="1302"/>
      <c r="Y725" s="1302"/>
      <c r="Z725" s="1302"/>
    </row>
    <row r="726" spans="1:26" ht="18.75" hidden="1">
      <c r="A726" s="1429"/>
      <c r="B726" s="1301"/>
      <c r="C726" s="1301"/>
      <c r="D726" s="1301"/>
      <c r="E726" s="1301" t="s">
        <v>308</v>
      </c>
      <c r="F726" s="1301"/>
      <c r="G726" s="1016"/>
      <c r="H726" s="762" t="s">
        <v>35</v>
      </c>
      <c r="I726" s="1440">
        <f ca="1">IFERROR(__xludf.DUMMYFUNCTION("IMPORTRANGE(""https://docs.google.com/spreadsheets/d/1QqKyyYR6Q21VydFLVH3TRQUabQu_ym0Zz7PgGX0-kHA/edit?usp=sharing"",""แผน!IN78"")"),0)</f>
        <v>0</v>
      </c>
      <c r="J726" s="880">
        <f ca="1">IFERROR(__xludf.DUMMYFUNCTION("IMPORTRANGE(""https://docs.google.com/spreadsheets/d/1XWAQStnk-4SwqDmLtmXYiTMKHgktTP8We1SCoS47DrQ/edit?usp=sharing"",""จัดที่ดิน!BR78"")"),0)</f>
        <v>0</v>
      </c>
      <c r="K726" s="881">
        <f t="shared" ca="1" si="292"/>
        <v>0</v>
      </c>
      <c r="L726" s="881"/>
      <c r="M726" s="1016"/>
      <c r="N726" s="1441"/>
      <c r="O726" s="881"/>
      <c r="P726" s="881"/>
      <c r="Q726" s="1302"/>
      <c r="R726" s="1302"/>
      <c r="S726" s="1302"/>
      <c r="T726" s="1302"/>
      <c r="U726" s="1302"/>
      <c r="V726" s="1302"/>
      <c r="W726" s="1302"/>
      <c r="X726" s="1302"/>
      <c r="Y726" s="1302"/>
      <c r="Z726" s="1302"/>
    </row>
    <row r="727" spans="1:26" ht="18.75" hidden="1">
      <c r="A727" s="1429"/>
      <c r="B727" s="1301"/>
      <c r="C727" s="1301"/>
      <c r="D727" s="1301"/>
      <c r="E727" s="1301"/>
      <c r="F727" s="1301"/>
      <c r="G727" s="1016"/>
      <c r="H727" s="762" t="s">
        <v>34</v>
      </c>
      <c r="I727" s="1440"/>
      <c r="J727" s="880">
        <f ca="1">IFERROR(__xludf.DUMMYFUNCTION("IMPORTRANGE(""https://docs.google.com/spreadsheets/d/1XWAQStnk-4SwqDmLtmXYiTMKHgktTP8We1SCoS47DrQ/edit?usp=sharing"",""จัดที่ดิน!BS78"")"),0)</f>
        <v>0</v>
      </c>
      <c r="K727" s="881"/>
      <c r="L727" s="1441"/>
      <c r="M727" s="1016"/>
      <c r="N727" s="1441"/>
      <c r="O727" s="881"/>
      <c r="P727" s="881"/>
      <c r="Q727" s="1302"/>
      <c r="R727" s="1302"/>
      <c r="S727" s="1302"/>
      <c r="T727" s="1302"/>
      <c r="U727" s="1302"/>
      <c r="V727" s="1302"/>
      <c r="W727" s="1302"/>
      <c r="X727" s="1302"/>
      <c r="Y727" s="1302"/>
      <c r="Z727" s="1302"/>
    </row>
    <row r="728" spans="1:26" ht="18.75" hidden="1">
      <c r="A728" s="1429"/>
      <c r="B728" s="1301"/>
      <c r="C728" s="1301"/>
      <c r="D728" s="1301"/>
      <c r="E728" s="1301"/>
      <c r="F728" s="1301"/>
      <c r="G728" s="1016"/>
      <c r="H728" s="762" t="s">
        <v>46</v>
      </c>
      <c r="I728" s="1440">
        <f ca="1">IFERROR(__xludf.DUMMYFUNCTION("IMPORTRANGE(""https://docs.google.com/spreadsheets/d/1QqKyyYR6Q21VydFLVH3TRQUabQu_ym0Zz7PgGX0-kHA/edit?usp=sharing"",""แผน!IO78"")"),0)</f>
        <v>0</v>
      </c>
      <c r="J728" s="880">
        <f ca="1">IFERROR(__xludf.DUMMYFUNCTION("IMPORTRANGE(""https://docs.google.com/spreadsheets/d/1XWAQStnk-4SwqDmLtmXYiTMKHgktTP8We1SCoS47DrQ/edit?usp=sharing"",""จัดที่ดิน!BT78"")"),0)</f>
        <v>0</v>
      </c>
      <c r="K728" s="881">
        <f t="shared" ref="K728:K729" ca="1" si="293">IF(I728&gt;0,J728*100/I728,0)</f>
        <v>0</v>
      </c>
      <c r="L728" s="1441"/>
      <c r="M728" s="1016"/>
      <c r="N728" s="1441"/>
      <c r="O728" s="881"/>
      <c r="P728" s="881"/>
      <c r="Q728" s="1302"/>
      <c r="R728" s="1302"/>
      <c r="S728" s="1302"/>
      <c r="T728" s="1302"/>
      <c r="U728" s="1302"/>
      <c r="V728" s="1302"/>
      <c r="W728" s="1302"/>
      <c r="X728" s="1302"/>
      <c r="Y728" s="1302"/>
      <c r="Z728" s="1302"/>
    </row>
    <row r="729" spans="1:26" ht="19.5" hidden="1">
      <c r="A729" s="1429"/>
      <c r="B729" s="1301"/>
      <c r="C729" s="1301"/>
      <c r="D729" s="1301" t="s">
        <v>309</v>
      </c>
      <c r="E729" s="1301"/>
      <c r="F729" s="1301"/>
      <c r="G729" s="1016"/>
      <c r="H729" s="765" t="s">
        <v>46</v>
      </c>
      <c r="I729" s="1442">
        <f ca="1">IFERROR(__xludf.DUMMYFUNCTION("IMPORTRANGE(""https://docs.google.com/spreadsheets/d/1QqKyyYR6Q21VydFLVH3TRQUabQu_ym0Zz7PgGX0-kHA/edit?usp=sharing"",""แผน!IP78"")"),0)</f>
        <v>0</v>
      </c>
      <c r="J729" s="1019">
        <f>J732+J735</f>
        <v>0</v>
      </c>
      <c r="K729" s="1020">
        <f t="shared" ca="1" si="293"/>
        <v>0</v>
      </c>
      <c r="L729" s="881"/>
      <c r="M729" s="1016"/>
      <c r="N729" s="1441"/>
      <c r="O729" s="881"/>
      <c r="P729" s="881"/>
      <c r="Q729" s="1302"/>
      <c r="R729" s="1302"/>
      <c r="S729" s="1302"/>
      <c r="T729" s="1302"/>
      <c r="U729" s="1302"/>
      <c r="V729" s="1302"/>
      <c r="W729" s="1302"/>
      <c r="X729" s="1302"/>
      <c r="Y729" s="1302"/>
      <c r="Z729" s="1302"/>
    </row>
    <row r="730" spans="1:26" ht="18.75" hidden="1">
      <c r="A730" s="1429"/>
      <c r="B730" s="1301"/>
      <c r="C730" s="1301"/>
      <c r="D730" s="1301"/>
      <c r="E730" s="1301" t="s">
        <v>310</v>
      </c>
      <c r="F730" s="1301"/>
      <c r="G730" s="1016"/>
      <c r="H730" s="762" t="s">
        <v>35</v>
      </c>
      <c r="I730" s="1440"/>
      <c r="J730" s="1012">
        <v>0</v>
      </c>
      <c r="K730" s="881"/>
      <c r="L730" s="1441"/>
      <c r="M730" s="881"/>
      <c r="N730" s="1441"/>
      <c r="O730" s="881"/>
      <c r="P730" s="881"/>
      <c r="Q730" s="1302"/>
      <c r="R730" s="1302"/>
      <c r="S730" s="1302"/>
      <c r="T730" s="1302"/>
      <c r="U730" s="1302"/>
      <c r="V730" s="1302"/>
      <c r="W730" s="1302"/>
      <c r="X730" s="1302"/>
      <c r="Y730" s="1302"/>
      <c r="Z730" s="1302"/>
    </row>
    <row r="731" spans="1:26" ht="18.75" hidden="1">
      <c r="A731" s="1429"/>
      <c r="B731" s="1301"/>
      <c r="C731" s="1301"/>
      <c r="D731" s="1301"/>
      <c r="E731" s="1301"/>
      <c r="F731" s="1301"/>
      <c r="G731" s="1016"/>
      <c r="H731" s="762" t="s">
        <v>34</v>
      </c>
      <c r="I731" s="1440"/>
      <c r="J731" s="1012">
        <v>0</v>
      </c>
      <c r="K731" s="881"/>
      <c r="L731" s="1441"/>
      <c r="M731" s="881"/>
      <c r="N731" s="1441"/>
      <c r="O731" s="881"/>
      <c r="P731" s="881"/>
      <c r="Q731" s="1302"/>
      <c r="R731" s="1302"/>
      <c r="S731" s="1302"/>
      <c r="T731" s="1302"/>
      <c r="U731" s="1302"/>
      <c r="V731" s="1302"/>
      <c r="W731" s="1302"/>
      <c r="X731" s="1302"/>
      <c r="Y731" s="1302"/>
      <c r="Z731" s="1302"/>
    </row>
    <row r="732" spans="1:26" ht="18.75" hidden="1">
      <c r="A732" s="1429"/>
      <c r="B732" s="1301"/>
      <c r="C732" s="1301"/>
      <c r="D732" s="1301"/>
      <c r="E732" s="1301"/>
      <c r="F732" s="1301"/>
      <c r="G732" s="1016"/>
      <c r="H732" s="762" t="s">
        <v>46</v>
      </c>
      <c r="I732" s="1440"/>
      <c r="J732" s="1012">
        <v>0</v>
      </c>
      <c r="K732" s="881"/>
      <c r="L732" s="1441"/>
      <c r="M732" s="881"/>
      <c r="N732" s="1441"/>
      <c r="O732" s="881"/>
      <c r="P732" s="881"/>
      <c r="Q732" s="1302"/>
      <c r="R732" s="1302"/>
      <c r="S732" s="1302"/>
      <c r="T732" s="1302"/>
      <c r="U732" s="1302"/>
      <c r="V732" s="1302"/>
      <c r="W732" s="1302"/>
      <c r="X732" s="1302"/>
      <c r="Y732" s="1302"/>
      <c r="Z732" s="1302"/>
    </row>
    <row r="733" spans="1:26" ht="18.75" hidden="1">
      <c r="A733" s="1429"/>
      <c r="B733" s="1301"/>
      <c r="C733" s="1301"/>
      <c r="D733" s="1301"/>
      <c r="E733" s="1301" t="s">
        <v>311</v>
      </c>
      <c r="F733" s="1301"/>
      <c r="G733" s="1016"/>
      <c r="H733" s="762" t="s">
        <v>35</v>
      </c>
      <c r="I733" s="1440"/>
      <c r="J733" s="1012">
        <v>0</v>
      </c>
      <c r="K733" s="881"/>
      <c r="L733" s="1441"/>
      <c r="M733" s="881"/>
      <c r="N733" s="1441"/>
      <c r="O733" s="881"/>
      <c r="P733" s="881"/>
      <c r="Q733" s="1302"/>
      <c r="R733" s="1302"/>
      <c r="S733" s="1302"/>
      <c r="T733" s="1302"/>
      <c r="U733" s="1302"/>
      <c r="V733" s="1302"/>
      <c r="W733" s="1302"/>
      <c r="X733" s="1302"/>
      <c r="Y733" s="1302"/>
      <c r="Z733" s="1302"/>
    </row>
    <row r="734" spans="1:26" ht="18.75" hidden="1">
      <c r="A734" s="1429"/>
      <c r="B734" s="1301"/>
      <c r="C734" s="1301"/>
      <c r="D734" s="1301"/>
      <c r="E734" s="1301"/>
      <c r="F734" s="1301"/>
      <c r="G734" s="1016"/>
      <c r="H734" s="762" t="s">
        <v>34</v>
      </c>
      <c r="I734" s="1440"/>
      <c r="J734" s="1012">
        <v>0</v>
      </c>
      <c r="K734" s="881"/>
      <c r="L734" s="1441"/>
      <c r="M734" s="881"/>
      <c r="N734" s="1441"/>
      <c r="O734" s="881"/>
      <c r="P734" s="881"/>
      <c r="Q734" s="1302"/>
      <c r="R734" s="1302"/>
      <c r="S734" s="1302"/>
      <c r="T734" s="1302"/>
      <c r="U734" s="1302"/>
      <c r="V734" s="1302"/>
      <c r="W734" s="1302"/>
      <c r="X734" s="1302"/>
      <c r="Y734" s="1302"/>
      <c r="Z734" s="1302"/>
    </row>
    <row r="735" spans="1:26" ht="19.5" hidden="1">
      <c r="A735" s="1443"/>
      <c r="B735" s="1444" t="s">
        <v>312</v>
      </c>
      <c r="C735" s="1169"/>
      <c r="D735" s="1169"/>
      <c r="E735" s="1169"/>
      <c r="F735" s="1169"/>
      <c r="G735" s="1422"/>
      <c r="H735" s="423" t="s">
        <v>46</v>
      </c>
      <c r="I735" s="1445"/>
      <c r="J735" s="1171">
        <v>0</v>
      </c>
      <c r="K735" s="1239"/>
      <c r="L735" s="1446"/>
      <c r="M735" s="1239"/>
      <c r="N735" s="1446"/>
      <c r="O735" s="1239"/>
      <c r="P735" s="1239"/>
      <c r="Q735" s="1302"/>
      <c r="R735" s="1302"/>
      <c r="S735" s="1302"/>
      <c r="T735" s="1302"/>
      <c r="U735" s="1302"/>
      <c r="V735" s="1302"/>
      <c r="W735" s="1302"/>
      <c r="X735" s="1302"/>
      <c r="Y735" s="1302"/>
      <c r="Z735" s="1302"/>
    </row>
    <row r="736" spans="1:26" ht="19.5" hidden="1">
      <c r="A736" s="772">
        <v>9</v>
      </c>
      <c r="B736" s="1447" t="s">
        <v>313</v>
      </c>
      <c r="C736" s="1448"/>
      <c r="D736" s="1448"/>
      <c r="E736" s="1448"/>
      <c r="F736" s="1448"/>
      <c r="G736" s="1449"/>
      <c r="H736" s="776" t="s">
        <v>46</v>
      </c>
      <c r="I736" s="1450"/>
      <c r="J736" s="1450">
        <f>J751</f>
        <v>0</v>
      </c>
      <c r="K736" s="1451">
        <f>IF(I736&gt;0,J736*100/I736,0)</f>
        <v>0</v>
      </c>
      <c r="L736" s="1452"/>
      <c r="M736" s="1452"/>
      <c r="N736" s="1452"/>
      <c r="O736" s="1452"/>
      <c r="P736" s="1452"/>
      <c r="Q736" s="1323"/>
      <c r="R736" s="1323"/>
      <c r="S736" s="1323"/>
      <c r="T736" s="1323"/>
      <c r="U736" s="1323"/>
      <c r="V736" s="1323"/>
      <c r="W736" s="1323"/>
      <c r="X736" s="1323"/>
      <c r="Y736" s="1323"/>
      <c r="Z736" s="1323"/>
    </row>
    <row r="737" spans="1:26" ht="19.5" hidden="1">
      <c r="A737" s="1319"/>
      <c r="B737" s="1320"/>
      <c r="C737" s="1320" t="s">
        <v>16</v>
      </c>
      <c r="D737" s="1351" t="s">
        <v>17</v>
      </c>
      <c r="E737" s="841"/>
      <c r="F737" s="841"/>
      <c r="G737" s="1322"/>
      <c r="H737" s="644" t="s">
        <v>12</v>
      </c>
      <c r="I737" s="886"/>
      <c r="J737" s="886"/>
      <c r="K737" s="887"/>
      <c r="L737" s="1352">
        <f t="shared" ref="L737:N737" si="294">L738+L739</f>
        <v>0</v>
      </c>
      <c r="M737" s="1352">
        <f t="shared" si="294"/>
        <v>0</v>
      </c>
      <c r="N737" s="1352">
        <f t="shared" si="294"/>
        <v>0</v>
      </c>
      <c r="O737" s="1352">
        <f t="shared" ref="O737:O742" si="295">IF(L737&gt;0,N737*100/L737,0)</f>
        <v>0</v>
      </c>
      <c r="P737" s="1352">
        <f t="shared" ref="P737:P742" si="296">IF(M737&gt;0,N737*100/M737,0)</f>
        <v>0</v>
      </c>
      <c r="Q737" s="1323"/>
      <c r="R737" s="1323"/>
      <c r="S737" s="1323"/>
      <c r="T737" s="1323"/>
      <c r="U737" s="1323"/>
      <c r="V737" s="1323"/>
      <c r="W737" s="1323"/>
      <c r="X737" s="1323"/>
      <c r="Y737" s="1323"/>
      <c r="Z737" s="1323"/>
    </row>
    <row r="738" spans="1:26" ht="18.75" hidden="1">
      <c r="A738" s="1319"/>
      <c r="B738" s="1320"/>
      <c r="C738" s="1320"/>
      <c r="D738" s="1321"/>
      <c r="E738" s="1320" t="s">
        <v>185</v>
      </c>
      <c r="F738" s="1320"/>
      <c r="G738" s="1322"/>
      <c r="H738" s="165" t="s">
        <v>12</v>
      </c>
      <c r="I738" s="886"/>
      <c r="J738" s="886"/>
      <c r="K738" s="887"/>
      <c r="L738" s="887">
        <f t="shared" ref="L738:N739" si="297">L741+L748</f>
        <v>0</v>
      </c>
      <c r="M738" s="887">
        <f t="shared" si="297"/>
        <v>0</v>
      </c>
      <c r="N738" s="887">
        <f t="shared" si="297"/>
        <v>0</v>
      </c>
      <c r="O738" s="887">
        <f t="shared" si="295"/>
        <v>0</v>
      </c>
      <c r="P738" s="887">
        <f t="shared" si="296"/>
        <v>0</v>
      </c>
      <c r="Q738" s="1323"/>
      <c r="R738" s="1323"/>
      <c r="S738" s="1323"/>
      <c r="T738" s="1323"/>
      <c r="U738" s="1323"/>
      <c r="V738" s="1323"/>
      <c r="W738" s="1323"/>
      <c r="X738" s="1323"/>
      <c r="Y738" s="1323"/>
      <c r="Z738" s="1323"/>
    </row>
    <row r="739" spans="1:26" ht="18.75" hidden="1">
      <c r="A739" s="1319"/>
      <c r="B739" s="1324"/>
      <c r="C739" s="1320"/>
      <c r="D739" s="1321"/>
      <c r="E739" s="1320" t="s">
        <v>186</v>
      </c>
      <c r="F739" s="1320"/>
      <c r="G739" s="1322"/>
      <c r="H739" s="165" t="s">
        <v>12</v>
      </c>
      <c r="I739" s="886"/>
      <c r="J739" s="886"/>
      <c r="K739" s="887"/>
      <c r="L739" s="887">
        <f t="shared" si="297"/>
        <v>0</v>
      </c>
      <c r="M739" s="887">
        <f t="shared" si="297"/>
        <v>0</v>
      </c>
      <c r="N739" s="887">
        <f t="shared" si="297"/>
        <v>0</v>
      </c>
      <c r="O739" s="887">
        <f t="shared" si="295"/>
        <v>0</v>
      </c>
      <c r="P739" s="887">
        <f t="shared" si="296"/>
        <v>0</v>
      </c>
      <c r="Q739" s="1323"/>
      <c r="R739" s="1323"/>
      <c r="S739" s="1323"/>
      <c r="T739" s="1323"/>
      <c r="U739" s="1323"/>
      <c r="V739" s="1323"/>
      <c r="W739" s="1323"/>
      <c r="X739" s="1323"/>
      <c r="Y739" s="1323"/>
      <c r="Z739" s="1323"/>
    </row>
    <row r="740" spans="1:26" ht="19.5" hidden="1">
      <c r="A740" s="1319"/>
      <c r="B740" s="1324"/>
      <c r="C740" s="1320"/>
      <c r="D740" s="1453" t="s">
        <v>20</v>
      </c>
      <c r="E740" s="1320"/>
      <c r="F740" s="1320"/>
      <c r="G740" s="1322"/>
      <c r="H740" s="644" t="s">
        <v>12</v>
      </c>
      <c r="I740" s="1000"/>
      <c r="J740" s="1000"/>
      <c r="K740" s="1001"/>
      <c r="L740" s="1352">
        <f t="shared" ref="L740:N740" si="298">L741+L742</f>
        <v>0</v>
      </c>
      <c r="M740" s="1352">
        <f t="shared" si="298"/>
        <v>0</v>
      </c>
      <c r="N740" s="1352">
        <f t="shared" si="298"/>
        <v>0</v>
      </c>
      <c r="O740" s="1352">
        <f t="shared" si="295"/>
        <v>0</v>
      </c>
      <c r="P740" s="1352">
        <f t="shared" si="296"/>
        <v>0</v>
      </c>
      <c r="Q740" s="1323"/>
      <c r="R740" s="1323"/>
      <c r="S740" s="1323"/>
      <c r="T740" s="1323"/>
      <c r="U740" s="1323"/>
      <c r="V740" s="1323"/>
      <c r="W740" s="1323"/>
      <c r="X740" s="1323"/>
      <c r="Y740" s="1323"/>
      <c r="Z740" s="1323"/>
    </row>
    <row r="741" spans="1:26" ht="18.75" hidden="1">
      <c r="A741" s="1319"/>
      <c r="B741" s="1324"/>
      <c r="C741" s="1320"/>
      <c r="D741" s="1321"/>
      <c r="E741" s="1320" t="s">
        <v>185</v>
      </c>
      <c r="F741" s="1320"/>
      <c r="G741" s="1322"/>
      <c r="H741" s="165" t="s">
        <v>12</v>
      </c>
      <c r="I741" s="886"/>
      <c r="J741" s="886"/>
      <c r="K741" s="887"/>
      <c r="L741" s="887">
        <v>0</v>
      </c>
      <c r="M741" s="887">
        <v>0</v>
      </c>
      <c r="N741" s="887">
        <v>0</v>
      </c>
      <c r="O741" s="887">
        <f t="shared" si="295"/>
        <v>0</v>
      </c>
      <c r="P741" s="887">
        <f t="shared" si="296"/>
        <v>0</v>
      </c>
      <c r="Q741" s="1323"/>
      <c r="R741" s="1323"/>
      <c r="S741" s="1323"/>
      <c r="T741" s="1323"/>
      <c r="U741" s="1323"/>
      <c r="V741" s="1323"/>
      <c r="W741" s="1323"/>
      <c r="X741" s="1323"/>
      <c r="Y741" s="1323"/>
      <c r="Z741" s="1323"/>
    </row>
    <row r="742" spans="1:26" ht="18.75" hidden="1">
      <c r="A742" s="1319"/>
      <c r="B742" s="1324"/>
      <c r="C742" s="1320"/>
      <c r="D742" s="1321"/>
      <c r="E742" s="1320" t="s">
        <v>186</v>
      </c>
      <c r="F742" s="1320"/>
      <c r="G742" s="1322"/>
      <c r="H742" s="165" t="s">
        <v>12</v>
      </c>
      <c r="I742" s="886"/>
      <c r="J742" s="886"/>
      <c r="K742" s="887"/>
      <c r="L742" s="887">
        <v>0</v>
      </c>
      <c r="M742" s="887">
        <v>0</v>
      </c>
      <c r="N742" s="887">
        <f>N743+N744+N745+N746</f>
        <v>0</v>
      </c>
      <c r="O742" s="887">
        <f t="shared" si="295"/>
        <v>0</v>
      </c>
      <c r="P742" s="887">
        <f t="shared" si="296"/>
        <v>0</v>
      </c>
      <c r="Q742" s="1323"/>
      <c r="R742" s="1323"/>
      <c r="S742" s="1323"/>
      <c r="T742" s="1323"/>
      <c r="U742" s="1323"/>
      <c r="V742" s="1323"/>
      <c r="W742" s="1323"/>
      <c r="X742" s="1323"/>
      <c r="Y742" s="1323"/>
      <c r="Z742" s="1323"/>
    </row>
    <row r="743" spans="1:26" ht="18.75" hidden="1">
      <c r="A743" s="1354"/>
      <c r="B743" s="1324"/>
      <c r="C743" s="1320"/>
      <c r="D743" s="1320"/>
      <c r="E743" s="1320"/>
      <c r="F743" s="1320" t="s">
        <v>187</v>
      </c>
      <c r="G743" s="1322"/>
      <c r="H743" s="165" t="s">
        <v>12</v>
      </c>
      <c r="I743" s="886"/>
      <c r="J743" s="886"/>
      <c r="K743" s="887"/>
      <c r="L743" s="887"/>
      <c r="M743" s="887"/>
      <c r="N743" s="887"/>
      <c r="O743" s="887"/>
      <c r="P743" s="887"/>
      <c r="Q743" s="1323"/>
      <c r="R743" s="1323"/>
      <c r="S743" s="1323"/>
      <c r="T743" s="1323"/>
      <c r="U743" s="1323"/>
      <c r="V743" s="1323"/>
      <c r="W743" s="1323"/>
      <c r="X743" s="1323"/>
      <c r="Y743" s="1323"/>
      <c r="Z743" s="1323"/>
    </row>
    <row r="744" spans="1:26" ht="18.75" hidden="1">
      <c r="A744" s="1354"/>
      <c r="B744" s="1324"/>
      <c r="C744" s="1320"/>
      <c r="D744" s="1320"/>
      <c r="E744" s="1320"/>
      <c r="F744" s="1320" t="s">
        <v>188</v>
      </c>
      <c r="G744" s="1322"/>
      <c r="H744" s="165" t="s">
        <v>12</v>
      </c>
      <c r="I744" s="886"/>
      <c r="J744" s="886"/>
      <c r="K744" s="887"/>
      <c r="L744" s="887"/>
      <c r="M744" s="887"/>
      <c r="N744" s="887"/>
      <c r="O744" s="887"/>
      <c r="P744" s="887"/>
      <c r="Q744" s="1323"/>
      <c r="R744" s="1323"/>
      <c r="S744" s="1323"/>
      <c r="T744" s="1323"/>
      <c r="U744" s="1323"/>
      <c r="V744" s="1323"/>
      <c r="W744" s="1323"/>
      <c r="X744" s="1323"/>
      <c r="Y744" s="1323"/>
      <c r="Z744" s="1323"/>
    </row>
    <row r="745" spans="1:26" ht="18.75" hidden="1">
      <c r="A745" s="1354"/>
      <c r="B745" s="1324"/>
      <c r="C745" s="1320"/>
      <c r="D745" s="1320"/>
      <c r="E745" s="1320"/>
      <c r="F745" s="1320" t="s">
        <v>189</v>
      </c>
      <c r="G745" s="1322"/>
      <c r="H745" s="165" t="s">
        <v>12</v>
      </c>
      <c r="I745" s="886"/>
      <c r="J745" s="886"/>
      <c r="K745" s="887"/>
      <c r="L745" s="887"/>
      <c r="M745" s="887"/>
      <c r="N745" s="887"/>
      <c r="O745" s="887"/>
      <c r="P745" s="887"/>
      <c r="Q745" s="1323"/>
      <c r="R745" s="1323"/>
      <c r="S745" s="1323"/>
      <c r="T745" s="1323"/>
      <c r="U745" s="1323"/>
      <c r="V745" s="1323"/>
      <c r="W745" s="1323"/>
      <c r="X745" s="1323"/>
      <c r="Y745" s="1323"/>
      <c r="Z745" s="1323"/>
    </row>
    <row r="746" spans="1:26" ht="18.75" hidden="1">
      <c r="A746" s="1354"/>
      <c r="B746" s="1324"/>
      <c r="C746" s="1320"/>
      <c r="D746" s="1320"/>
      <c r="E746" s="1320"/>
      <c r="F746" s="1320" t="s">
        <v>190</v>
      </c>
      <c r="G746" s="1322"/>
      <c r="H746" s="165" t="s">
        <v>12</v>
      </c>
      <c r="I746" s="886"/>
      <c r="J746" s="886"/>
      <c r="K746" s="887"/>
      <c r="L746" s="887"/>
      <c r="M746" s="887"/>
      <c r="N746" s="887"/>
      <c r="O746" s="887"/>
      <c r="P746" s="887"/>
      <c r="Q746" s="1323"/>
      <c r="R746" s="1323"/>
      <c r="S746" s="1323"/>
      <c r="T746" s="1323"/>
      <c r="U746" s="1323"/>
      <c r="V746" s="1323"/>
      <c r="W746" s="1323"/>
      <c r="X746" s="1323"/>
      <c r="Y746" s="1323"/>
      <c r="Z746" s="1323"/>
    </row>
    <row r="747" spans="1:26" ht="19.5" hidden="1">
      <c r="A747" s="1319"/>
      <c r="B747" s="1324"/>
      <c r="C747" s="1320"/>
      <c r="D747" s="1453" t="s">
        <v>21</v>
      </c>
      <c r="E747" s="1320"/>
      <c r="F747" s="1320"/>
      <c r="G747" s="1322"/>
      <c r="H747" s="781" t="s">
        <v>12</v>
      </c>
      <c r="I747" s="1000"/>
      <c r="J747" s="1000"/>
      <c r="K747" s="1001"/>
      <c r="L747" s="1352">
        <f t="shared" ref="L747:N747" si="299">L748+L749</f>
        <v>0</v>
      </c>
      <c r="M747" s="1352">
        <f t="shared" si="299"/>
        <v>0</v>
      </c>
      <c r="N747" s="1352">
        <f t="shared" si="299"/>
        <v>0</v>
      </c>
      <c r="O747" s="1352">
        <f t="shared" ref="O747:O749" si="300">IF(L747&gt;0,N747*100/L747,0)</f>
        <v>0</v>
      </c>
      <c r="P747" s="1352">
        <f t="shared" ref="P747:P749" si="301">IF(M747&gt;0,N747*100/M747,0)</f>
        <v>0</v>
      </c>
      <c r="Q747" s="1323"/>
      <c r="R747" s="1323"/>
      <c r="S747" s="1323"/>
      <c r="T747" s="1323"/>
      <c r="U747" s="1323"/>
      <c r="V747" s="1323"/>
      <c r="W747" s="1323"/>
      <c r="X747" s="1323"/>
      <c r="Y747" s="1323"/>
      <c r="Z747" s="1323"/>
    </row>
    <row r="748" spans="1:26" ht="18.75" hidden="1">
      <c r="A748" s="1319"/>
      <c r="B748" s="1324"/>
      <c r="C748" s="1320"/>
      <c r="D748" s="1320"/>
      <c r="E748" s="1320" t="s">
        <v>18</v>
      </c>
      <c r="F748" s="1320"/>
      <c r="G748" s="1322"/>
      <c r="H748" s="165" t="s">
        <v>12</v>
      </c>
      <c r="I748" s="1000"/>
      <c r="J748" s="1000"/>
      <c r="K748" s="1001"/>
      <c r="L748" s="887">
        <v>0</v>
      </c>
      <c r="M748" s="887">
        <v>0</v>
      </c>
      <c r="N748" s="887">
        <v>0</v>
      </c>
      <c r="O748" s="887">
        <f t="shared" si="300"/>
        <v>0</v>
      </c>
      <c r="P748" s="887">
        <f t="shared" si="301"/>
        <v>0</v>
      </c>
      <c r="Q748" s="1323"/>
      <c r="R748" s="1323"/>
      <c r="S748" s="1323"/>
      <c r="T748" s="1323"/>
      <c r="U748" s="1323"/>
      <c r="V748" s="1323"/>
      <c r="W748" s="1323"/>
      <c r="X748" s="1323"/>
      <c r="Y748" s="1323"/>
      <c r="Z748" s="1323"/>
    </row>
    <row r="749" spans="1:26" ht="18.75" hidden="1">
      <c r="A749" s="1319"/>
      <c r="B749" s="1324"/>
      <c r="C749" s="1320"/>
      <c r="D749" s="1320"/>
      <c r="E749" s="1320" t="s">
        <v>19</v>
      </c>
      <c r="F749" s="1320"/>
      <c r="G749" s="1322"/>
      <c r="H749" s="169" t="s">
        <v>12</v>
      </c>
      <c r="I749" s="1000"/>
      <c r="J749" s="1000"/>
      <c r="K749" s="1001"/>
      <c r="L749" s="887">
        <v>0</v>
      </c>
      <c r="M749" s="887">
        <v>0</v>
      </c>
      <c r="N749" s="887">
        <v>0</v>
      </c>
      <c r="O749" s="887">
        <f t="shared" si="300"/>
        <v>0</v>
      </c>
      <c r="P749" s="887">
        <f t="shared" si="301"/>
        <v>0</v>
      </c>
      <c r="Q749" s="1323"/>
      <c r="R749" s="1323"/>
      <c r="S749" s="1323"/>
      <c r="T749" s="1323"/>
      <c r="U749" s="1323"/>
      <c r="V749" s="1323"/>
      <c r="W749" s="1323"/>
      <c r="X749" s="1323"/>
      <c r="Y749" s="1323"/>
      <c r="Z749" s="1323"/>
    </row>
    <row r="750" spans="1:26" ht="19.5" hidden="1">
      <c r="A750" s="1332"/>
      <c r="B750" s="1333"/>
      <c r="C750" s="1320" t="s">
        <v>16</v>
      </c>
      <c r="D750" s="1454" t="s">
        <v>38</v>
      </c>
      <c r="E750" s="1356"/>
      <c r="F750" s="1356"/>
      <c r="G750" s="1357"/>
      <c r="H750" s="1113"/>
      <c r="I750" s="1000"/>
      <c r="J750" s="1000"/>
      <c r="K750" s="1001"/>
      <c r="L750" s="1001"/>
      <c r="M750" s="1001"/>
      <c r="N750" s="1001"/>
      <c r="O750" s="1001"/>
      <c r="P750" s="1001"/>
      <c r="Q750" s="1323"/>
      <c r="R750" s="1323"/>
      <c r="S750" s="1323"/>
      <c r="T750" s="1323"/>
      <c r="U750" s="1323"/>
      <c r="V750" s="1323"/>
      <c r="W750" s="1323"/>
      <c r="X750" s="1323"/>
      <c r="Y750" s="1323"/>
      <c r="Z750" s="1323"/>
    </row>
    <row r="751" spans="1:26" ht="18.75" hidden="1">
      <c r="A751" s="1354"/>
      <c r="B751" s="1324"/>
      <c r="C751" s="1320"/>
      <c r="D751" s="1320"/>
      <c r="E751" s="1320" t="s">
        <v>314</v>
      </c>
      <c r="F751" s="1320"/>
      <c r="G751" s="1322"/>
      <c r="H751" s="165" t="s">
        <v>46</v>
      </c>
      <c r="I751" s="886"/>
      <c r="J751" s="886"/>
      <c r="K751" s="887"/>
      <c r="L751" s="887"/>
      <c r="M751" s="887"/>
      <c r="N751" s="887"/>
      <c r="O751" s="887"/>
      <c r="P751" s="887"/>
      <c r="Q751" s="1323"/>
      <c r="R751" s="1323"/>
      <c r="S751" s="1323"/>
      <c r="T751" s="1323"/>
      <c r="U751" s="1323"/>
      <c r="V751" s="1323"/>
      <c r="W751" s="1323"/>
      <c r="X751" s="1323"/>
      <c r="Y751" s="1323"/>
      <c r="Z751" s="1323"/>
    </row>
    <row r="752" spans="1:26" ht="18.75" hidden="1">
      <c r="A752" s="1354"/>
      <c r="B752" s="1324"/>
      <c r="C752" s="1320"/>
      <c r="D752" s="1320"/>
      <c r="E752" s="1320"/>
      <c r="F752" s="1320"/>
      <c r="G752" s="1322"/>
      <c r="H752" s="165" t="s">
        <v>315</v>
      </c>
      <c r="I752" s="886"/>
      <c r="J752" s="886"/>
      <c r="K752" s="887"/>
      <c r="L752" s="887"/>
      <c r="M752" s="887"/>
      <c r="N752" s="887"/>
      <c r="O752" s="887"/>
      <c r="P752" s="887"/>
      <c r="Q752" s="1323"/>
      <c r="R752" s="1323"/>
      <c r="S752" s="1323"/>
      <c r="T752" s="1323"/>
      <c r="U752" s="1323"/>
      <c r="V752" s="1323"/>
      <c r="W752" s="1323"/>
      <c r="X752" s="1323"/>
      <c r="Y752" s="1323"/>
      <c r="Z752" s="1323"/>
    </row>
    <row r="753" spans="1:26" ht="19.5" hidden="1">
      <c r="A753" s="783">
        <v>10</v>
      </c>
      <c r="B753" s="1455" t="s">
        <v>316</v>
      </c>
      <c r="C753" s="1456"/>
      <c r="D753" s="1456"/>
      <c r="E753" s="1456"/>
      <c r="F753" s="1456"/>
      <c r="G753" s="1457"/>
      <c r="H753" s="787" t="s">
        <v>46</v>
      </c>
      <c r="I753" s="1458"/>
      <c r="J753" s="1458">
        <f>J768</f>
        <v>0</v>
      </c>
      <c r="K753" s="1459">
        <f>IF(I753&gt;0,J753*100/I753,0)</f>
        <v>0</v>
      </c>
      <c r="L753" s="1460"/>
      <c r="M753" s="1460"/>
      <c r="N753" s="1460"/>
      <c r="O753" s="1460"/>
      <c r="P753" s="1460"/>
      <c r="Q753" s="1323"/>
      <c r="R753" s="1323"/>
      <c r="S753" s="1323"/>
      <c r="T753" s="1323"/>
      <c r="U753" s="1323"/>
      <c r="V753" s="1323"/>
      <c r="W753" s="1323"/>
      <c r="X753" s="1323"/>
      <c r="Y753" s="1323"/>
      <c r="Z753" s="1323"/>
    </row>
    <row r="754" spans="1:26" ht="19.5" hidden="1">
      <c r="A754" s="1319"/>
      <c r="B754" s="1320"/>
      <c r="C754" s="1320" t="s">
        <v>16</v>
      </c>
      <c r="D754" s="1351" t="s">
        <v>17</v>
      </c>
      <c r="E754" s="841"/>
      <c r="F754" s="841"/>
      <c r="G754" s="1322"/>
      <c r="H754" s="644" t="s">
        <v>12</v>
      </c>
      <c r="I754" s="886"/>
      <c r="J754" s="886"/>
      <c r="K754" s="887"/>
      <c r="L754" s="1352">
        <f t="shared" ref="L754:N754" si="302">L755+L756</f>
        <v>0</v>
      </c>
      <c r="M754" s="1352">
        <f t="shared" si="302"/>
        <v>0</v>
      </c>
      <c r="N754" s="1352">
        <f t="shared" si="302"/>
        <v>0</v>
      </c>
      <c r="O754" s="1352">
        <f t="shared" ref="O754:O759" si="303">IF(L754&gt;0,N754*100/L754,0)</f>
        <v>0</v>
      </c>
      <c r="P754" s="1352">
        <f t="shared" ref="P754:P759" si="304">IF(M754&gt;0,N754*100/M754,0)</f>
        <v>0</v>
      </c>
      <c r="Q754" s="1323"/>
      <c r="R754" s="1323"/>
      <c r="S754" s="1323"/>
      <c r="T754" s="1323"/>
      <c r="U754" s="1323"/>
      <c r="V754" s="1323"/>
      <c r="W754" s="1323"/>
      <c r="X754" s="1323"/>
      <c r="Y754" s="1323"/>
      <c r="Z754" s="1323"/>
    </row>
    <row r="755" spans="1:26" ht="18.75" hidden="1">
      <c r="A755" s="1319"/>
      <c r="B755" s="1320"/>
      <c r="C755" s="1320"/>
      <c r="D755" s="1321"/>
      <c r="E755" s="1320" t="s">
        <v>185</v>
      </c>
      <c r="F755" s="1320"/>
      <c r="G755" s="1322"/>
      <c r="H755" s="165" t="s">
        <v>12</v>
      </c>
      <c r="I755" s="886"/>
      <c r="J755" s="886"/>
      <c r="K755" s="887"/>
      <c r="L755" s="887">
        <f t="shared" ref="L755:N756" si="305">L758+L765</f>
        <v>0</v>
      </c>
      <c r="M755" s="887">
        <f t="shared" si="305"/>
        <v>0</v>
      </c>
      <c r="N755" s="887">
        <f t="shared" si="305"/>
        <v>0</v>
      </c>
      <c r="O755" s="887">
        <f t="shared" si="303"/>
        <v>0</v>
      </c>
      <c r="P755" s="887">
        <f t="shared" si="304"/>
        <v>0</v>
      </c>
      <c r="Q755" s="1323"/>
      <c r="R755" s="1323"/>
      <c r="S755" s="1323"/>
      <c r="T755" s="1323"/>
      <c r="U755" s="1323"/>
      <c r="V755" s="1323"/>
      <c r="W755" s="1323"/>
      <c r="X755" s="1323"/>
      <c r="Y755" s="1323"/>
      <c r="Z755" s="1323"/>
    </row>
    <row r="756" spans="1:26" ht="18.75" hidden="1">
      <c r="A756" s="1319"/>
      <c r="B756" s="1324"/>
      <c r="C756" s="1320"/>
      <c r="D756" s="1321"/>
      <c r="E756" s="1320" t="s">
        <v>186</v>
      </c>
      <c r="F756" s="1320"/>
      <c r="G756" s="1322"/>
      <c r="H756" s="165" t="s">
        <v>12</v>
      </c>
      <c r="I756" s="886"/>
      <c r="J756" s="886"/>
      <c r="K756" s="887"/>
      <c r="L756" s="887">
        <f t="shared" si="305"/>
        <v>0</v>
      </c>
      <c r="M756" s="887">
        <f t="shared" si="305"/>
        <v>0</v>
      </c>
      <c r="N756" s="887">
        <f t="shared" si="305"/>
        <v>0</v>
      </c>
      <c r="O756" s="887">
        <f t="shared" si="303"/>
        <v>0</v>
      </c>
      <c r="P756" s="887">
        <f t="shared" si="304"/>
        <v>0</v>
      </c>
      <c r="Q756" s="1323"/>
      <c r="R756" s="1323"/>
      <c r="S756" s="1323"/>
      <c r="T756" s="1323"/>
      <c r="U756" s="1323"/>
      <c r="V756" s="1323"/>
      <c r="W756" s="1323"/>
      <c r="X756" s="1323"/>
      <c r="Y756" s="1323"/>
      <c r="Z756" s="1323"/>
    </row>
    <row r="757" spans="1:26" ht="19.5" hidden="1">
      <c r="A757" s="1319"/>
      <c r="B757" s="1324"/>
      <c r="C757" s="1320"/>
      <c r="D757" s="1453" t="s">
        <v>20</v>
      </c>
      <c r="E757" s="1320"/>
      <c r="F757" s="1320"/>
      <c r="G757" s="1322"/>
      <c r="H757" s="644" t="s">
        <v>12</v>
      </c>
      <c r="I757" s="1000"/>
      <c r="J757" s="1000"/>
      <c r="K757" s="1001"/>
      <c r="L757" s="1352">
        <f t="shared" ref="L757:N757" si="306">L758+L759</f>
        <v>0</v>
      </c>
      <c r="M757" s="1352">
        <f t="shared" si="306"/>
        <v>0</v>
      </c>
      <c r="N757" s="1352">
        <f t="shared" si="306"/>
        <v>0</v>
      </c>
      <c r="O757" s="1352">
        <f t="shared" si="303"/>
        <v>0</v>
      </c>
      <c r="P757" s="1352">
        <f t="shared" si="304"/>
        <v>0</v>
      </c>
      <c r="Q757" s="1323"/>
      <c r="R757" s="1323"/>
      <c r="S757" s="1323"/>
      <c r="T757" s="1323"/>
      <c r="U757" s="1323"/>
      <c r="V757" s="1323"/>
      <c r="W757" s="1323"/>
      <c r="X757" s="1323"/>
      <c r="Y757" s="1323"/>
      <c r="Z757" s="1323"/>
    </row>
    <row r="758" spans="1:26" ht="18.75" hidden="1">
      <c r="A758" s="1319"/>
      <c r="B758" s="1324"/>
      <c r="C758" s="1320"/>
      <c r="D758" s="1321"/>
      <c r="E758" s="1320" t="s">
        <v>185</v>
      </c>
      <c r="F758" s="1320"/>
      <c r="G758" s="1322"/>
      <c r="H758" s="165" t="s">
        <v>12</v>
      </c>
      <c r="I758" s="886"/>
      <c r="J758" s="886"/>
      <c r="K758" s="887"/>
      <c r="L758" s="887">
        <v>0</v>
      </c>
      <c r="M758" s="887">
        <v>0</v>
      </c>
      <c r="N758" s="887">
        <v>0</v>
      </c>
      <c r="O758" s="887">
        <f t="shared" si="303"/>
        <v>0</v>
      </c>
      <c r="P758" s="887">
        <f t="shared" si="304"/>
        <v>0</v>
      </c>
      <c r="Q758" s="1323"/>
      <c r="R758" s="1323"/>
      <c r="S758" s="1323"/>
      <c r="T758" s="1323"/>
      <c r="U758" s="1323"/>
      <c r="V758" s="1323"/>
      <c r="W758" s="1323"/>
      <c r="X758" s="1323"/>
      <c r="Y758" s="1323"/>
      <c r="Z758" s="1323"/>
    </row>
    <row r="759" spans="1:26" ht="18.75" hidden="1">
      <c r="A759" s="1319"/>
      <c r="B759" s="1324"/>
      <c r="C759" s="1320"/>
      <c r="D759" s="1321"/>
      <c r="E759" s="1320" t="s">
        <v>186</v>
      </c>
      <c r="F759" s="1320"/>
      <c r="G759" s="1322"/>
      <c r="H759" s="165" t="s">
        <v>12</v>
      </c>
      <c r="I759" s="886"/>
      <c r="J759" s="886"/>
      <c r="K759" s="887"/>
      <c r="L759" s="887">
        <v>0</v>
      </c>
      <c r="M759" s="887">
        <v>0</v>
      </c>
      <c r="N759" s="887">
        <f>N760+N761+N762+N763</f>
        <v>0</v>
      </c>
      <c r="O759" s="887">
        <f t="shared" si="303"/>
        <v>0</v>
      </c>
      <c r="P759" s="887">
        <f t="shared" si="304"/>
        <v>0</v>
      </c>
      <c r="Q759" s="1323"/>
      <c r="R759" s="1323"/>
      <c r="S759" s="1323"/>
      <c r="T759" s="1323"/>
      <c r="U759" s="1323"/>
      <c r="V759" s="1323"/>
      <c r="W759" s="1323"/>
      <c r="X759" s="1323"/>
      <c r="Y759" s="1323"/>
      <c r="Z759" s="1323"/>
    </row>
    <row r="760" spans="1:26" ht="18.75" hidden="1">
      <c r="A760" s="1354"/>
      <c r="B760" s="1324"/>
      <c r="C760" s="1320"/>
      <c r="D760" s="1320"/>
      <c r="E760" s="1320"/>
      <c r="F760" s="1320" t="s">
        <v>187</v>
      </c>
      <c r="G760" s="1322"/>
      <c r="H760" s="165" t="s">
        <v>12</v>
      </c>
      <c r="I760" s="886"/>
      <c r="J760" s="886"/>
      <c r="K760" s="887"/>
      <c r="L760" s="887"/>
      <c r="M760" s="887"/>
      <c r="N760" s="887"/>
      <c r="O760" s="887"/>
      <c r="P760" s="887"/>
      <c r="Q760" s="1323"/>
      <c r="R760" s="1323"/>
      <c r="S760" s="1323"/>
      <c r="T760" s="1323"/>
      <c r="U760" s="1323"/>
      <c r="V760" s="1323"/>
      <c r="W760" s="1323"/>
      <c r="X760" s="1323"/>
      <c r="Y760" s="1323"/>
      <c r="Z760" s="1323"/>
    </row>
    <row r="761" spans="1:26" ht="18.75" hidden="1">
      <c r="A761" s="1354"/>
      <c r="B761" s="1324"/>
      <c r="C761" s="1320"/>
      <c r="D761" s="1320"/>
      <c r="E761" s="1320"/>
      <c r="F761" s="1320" t="s">
        <v>188</v>
      </c>
      <c r="G761" s="1322"/>
      <c r="H761" s="165" t="s">
        <v>12</v>
      </c>
      <c r="I761" s="886"/>
      <c r="J761" s="886"/>
      <c r="K761" s="887"/>
      <c r="L761" s="887"/>
      <c r="M761" s="887"/>
      <c r="N761" s="887"/>
      <c r="O761" s="887"/>
      <c r="P761" s="887"/>
      <c r="Q761" s="1323"/>
      <c r="R761" s="1323"/>
      <c r="S761" s="1323"/>
      <c r="T761" s="1323"/>
      <c r="U761" s="1323"/>
      <c r="V761" s="1323"/>
      <c r="W761" s="1323"/>
      <c r="X761" s="1323"/>
      <c r="Y761" s="1323"/>
      <c r="Z761" s="1323"/>
    </row>
    <row r="762" spans="1:26" ht="18.75" hidden="1">
      <c r="A762" s="1354"/>
      <c r="B762" s="1324"/>
      <c r="C762" s="1320"/>
      <c r="D762" s="1320"/>
      <c r="E762" s="1320"/>
      <c r="F762" s="1320" t="s">
        <v>189</v>
      </c>
      <c r="G762" s="1322"/>
      <c r="H762" s="165" t="s">
        <v>12</v>
      </c>
      <c r="I762" s="886"/>
      <c r="J762" s="886"/>
      <c r="K762" s="887"/>
      <c r="L762" s="887"/>
      <c r="M762" s="887"/>
      <c r="N762" s="887"/>
      <c r="O762" s="887"/>
      <c r="P762" s="887"/>
      <c r="Q762" s="1323"/>
      <c r="R762" s="1323"/>
      <c r="S762" s="1323"/>
      <c r="T762" s="1323"/>
      <c r="U762" s="1323"/>
      <c r="V762" s="1323"/>
      <c r="W762" s="1323"/>
      <c r="X762" s="1323"/>
      <c r="Y762" s="1323"/>
      <c r="Z762" s="1323"/>
    </row>
    <row r="763" spans="1:26" ht="18.75" hidden="1">
      <c r="A763" s="1354"/>
      <c r="B763" s="1324"/>
      <c r="C763" s="1320"/>
      <c r="D763" s="1320"/>
      <c r="E763" s="1320"/>
      <c r="F763" s="1320" t="s">
        <v>190</v>
      </c>
      <c r="G763" s="1322"/>
      <c r="H763" s="165" t="s">
        <v>12</v>
      </c>
      <c r="I763" s="886"/>
      <c r="J763" s="886"/>
      <c r="K763" s="887"/>
      <c r="L763" s="887"/>
      <c r="M763" s="887"/>
      <c r="N763" s="887"/>
      <c r="O763" s="887"/>
      <c r="P763" s="887"/>
      <c r="Q763" s="1323"/>
      <c r="R763" s="1323"/>
      <c r="S763" s="1323"/>
      <c r="T763" s="1323"/>
      <c r="U763" s="1323"/>
      <c r="V763" s="1323"/>
      <c r="W763" s="1323"/>
      <c r="X763" s="1323"/>
      <c r="Y763" s="1323"/>
      <c r="Z763" s="1323"/>
    </row>
    <row r="764" spans="1:26" ht="19.5" hidden="1">
      <c r="A764" s="1319"/>
      <c r="B764" s="1324"/>
      <c r="C764" s="1320"/>
      <c r="D764" s="1453" t="s">
        <v>21</v>
      </c>
      <c r="E764" s="1320"/>
      <c r="F764" s="1320"/>
      <c r="G764" s="1322"/>
      <c r="H764" s="781" t="s">
        <v>12</v>
      </c>
      <c r="I764" s="1000"/>
      <c r="J764" s="1000"/>
      <c r="K764" s="1001"/>
      <c r="L764" s="1352">
        <f t="shared" ref="L764:N764" si="307">L765+L766</f>
        <v>0</v>
      </c>
      <c r="M764" s="1352">
        <f t="shared" si="307"/>
        <v>0</v>
      </c>
      <c r="N764" s="1352">
        <f t="shared" si="307"/>
        <v>0</v>
      </c>
      <c r="O764" s="1352">
        <f t="shared" ref="O764:O766" si="308">IF(L764&gt;0,N764*100/L764,0)</f>
        <v>0</v>
      </c>
      <c r="P764" s="1352">
        <f t="shared" ref="P764:P766" si="309">IF(M764&gt;0,N764*100/M764,0)</f>
        <v>0</v>
      </c>
      <c r="Q764" s="1323"/>
      <c r="R764" s="1323"/>
      <c r="S764" s="1323"/>
      <c r="T764" s="1323"/>
      <c r="U764" s="1323"/>
      <c r="V764" s="1323"/>
      <c r="W764" s="1323"/>
      <c r="X764" s="1323"/>
      <c r="Y764" s="1323"/>
      <c r="Z764" s="1323"/>
    </row>
    <row r="765" spans="1:26" ht="18.75" hidden="1">
      <c r="A765" s="1319"/>
      <c r="B765" s="1324"/>
      <c r="C765" s="1320"/>
      <c r="D765" s="1320"/>
      <c r="E765" s="1320" t="s">
        <v>18</v>
      </c>
      <c r="F765" s="1320"/>
      <c r="G765" s="1322"/>
      <c r="H765" s="165" t="s">
        <v>12</v>
      </c>
      <c r="I765" s="1000"/>
      <c r="J765" s="1000"/>
      <c r="K765" s="1001"/>
      <c r="L765" s="887">
        <v>0</v>
      </c>
      <c r="M765" s="887">
        <v>0</v>
      </c>
      <c r="N765" s="887">
        <v>0</v>
      </c>
      <c r="O765" s="887">
        <f t="shared" si="308"/>
        <v>0</v>
      </c>
      <c r="P765" s="887">
        <f t="shared" si="309"/>
        <v>0</v>
      </c>
      <c r="Q765" s="1323"/>
      <c r="R765" s="1323"/>
      <c r="S765" s="1323"/>
      <c r="T765" s="1323"/>
      <c r="U765" s="1323"/>
      <c r="V765" s="1323"/>
      <c r="W765" s="1323"/>
      <c r="X765" s="1323"/>
      <c r="Y765" s="1323"/>
      <c r="Z765" s="1323"/>
    </row>
    <row r="766" spans="1:26" ht="18.75" hidden="1">
      <c r="A766" s="1319"/>
      <c r="B766" s="1324"/>
      <c r="C766" s="1320"/>
      <c r="D766" s="1320"/>
      <c r="E766" s="1320" t="s">
        <v>19</v>
      </c>
      <c r="F766" s="1320"/>
      <c r="G766" s="1322"/>
      <c r="H766" s="169" t="s">
        <v>12</v>
      </c>
      <c r="I766" s="1000"/>
      <c r="J766" s="1000"/>
      <c r="K766" s="1001"/>
      <c r="L766" s="887">
        <v>0</v>
      </c>
      <c r="M766" s="887">
        <v>0</v>
      </c>
      <c r="N766" s="887">
        <v>0</v>
      </c>
      <c r="O766" s="887">
        <f t="shared" si="308"/>
        <v>0</v>
      </c>
      <c r="P766" s="887">
        <f t="shared" si="309"/>
        <v>0</v>
      </c>
      <c r="Q766" s="1323"/>
      <c r="R766" s="1323"/>
      <c r="S766" s="1323"/>
      <c r="T766" s="1323"/>
      <c r="U766" s="1323"/>
      <c r="V766" s="1323"/>
      <c r="W766" s="1323"/>
      <c r="X766" s="1323"/>
      <c r="Y766" s="1323"/>
      <c r="Z766" s="1323"/>
    </row>
    <row r="767" spans="1:26" ht="19.5" hidden="1">
      <c r="A767" s="1332"/>
      <c r="B767" s="1333"/>
      <c r="C767" s="1320" t="s">
        <v>16</v>
      </c>
      <c r="D767" s="1454" t="s">
        <v>38</v>
      </c>
      <c r="E767" s="1356"/>
      <c r="F767" s="1356"/>
      <c r="G767" s="1357"/>
      <c r="H767" s="1113"/>
      <c r="I767" s="1000"/>
      <c r="J767" s="1000"/>
      <c r="K767" s="1001"/>
      <c r="L767" s="1001"/>
      <c r="M767" s="1001"/>
      <c r="N767" s="1001"/>
      <c r="O767" s="1001"/>
      <c r="P767" s="1001"/>
      <c r="Q767" s="1323"/>
      <c r="R767" s="1323"/>
      <c r="S767" s="1323"/>
      <c r="T767" s="1323"/>
      <c r="U767" s="1323"/>
      <c r="V767" s="1323"/>
      <c r="W767" s="1323"/>
      <c r="X767" s="1323"/>
      <c r="Y767" s="1323"/>
      <c r="Z767" s="1323"/>
    </row>
    <row r="768" spans="1:26" ht="18.75" hidden="1">
      <c r="A768" s="1354"/>
      <c r="B768" s="1324"/>
      <c r="C768" s="1320"/>
      <c r="D768" s="1320"/>
      <c r="E768" s="1320" t="s">
        <v>317</v>
      </c>
      <c r="F768" s="1320"/>
      <c r="G768" s="1322"/>
      <c r="H768" s="165" t="s">
        <v>46</v>
      </c>
      <c r="I768" s="886"/>
      <c r="J768" s="886"/>
      <c r="K768" s="887"/>
      <c r="L768" s="887"/>
      <c r="M768" s="887"/>
      <c r="N768" s="887"/>
      <c r="O768" s="887"/>
      <c r="P768" s="887"/>
      <c r="Q768" s="1323"/>
      <c r="R768" s="1323"/>
      <c r="S768" s="1323"/>
      <c r="T768" s="1323"/>
      <c r="U768" s="1323"/>
      <c r="V768" s="1323"/>
      <c r="W768" s="1323"/>
      <c r="X768" s="1323"/>
      <c r="Y768" s="1323"/>
      <c r="Z768" s="1323"/>
    </row>
    <row r="769" spans="1:26" ht="19.5" hidden="1">
      <c r="A769" s="791">
        <v>11</v>
      </c>
      <c r="B769" s="1461" t="s">
        <v>318</v>
      </c>
      <c r="C769" s="1462"/>
      <c r="D769" s="1462"/>
      <c r="E769" s="1462"/>
      <c r="F769" s="1462"/>
      <c r="G769" s="1463"/>
      <c r="H769" s="795" t="s">
        <v>46</v>
      </c>
      <c r="I769" s="1464"/>
      <c r="J769" s="1464">
        <f>J784</f>
        <v>0</v>
      </c>
      <c r="K769" s="1465">
        <f>IF(I769&gt;0,J769*100/I769,0)</f>
        <v>0</v>
      </c>
      <c r="L769" s="1466"/>
      <c r="M769" s="1466"/>
      <c r="N769" s="1466"/>
      <c r="O769" s="1466"/>
      <c r="P769" s="1466"/>
      <c r="Q769" s="1323"/>
      <c r="R769" s="1323"/>
      <c r="S769" s="1323"/>
      <c r="T769" s="1323"/>
      <c r="U769" s="1323"/>
      <c r="V769" s="1323"/>
      <c r="W769" s="1323"/>
      <c r="X769" s="1323"/>
      <c r="Y769" s="1323"/>
      <c r="Z769" s="1323"/>
    </row>
    <row r="770" spans="1:26" ht="19.5" hidden="1">
      <c r="A770" s="1319"/>
      <c r="B770" s="1320"/>
      <c r="C770" s="1320" t="s">
        <v>16</v>
      </c>
      <c r="D770" s="1351" t="s">
        <v>17</v>
      </c>
      <c r="E770" s="841"/>
      <c r="F770" s="841"/>
      <c r="G770" s="1322"/>
      <c r="H770" s="644" t="s">
        <v>12</v>
      </c>
      <c r="I770" s="886"/>
      <c r="J770" s="886"/>
      <c r="K770" s="887"/>
      <c r="L770" s="1352">
        <f t="shared" ref="L770:N770" si="310">L771+L772</f>
        <v>0</v>
      </c>
      <c r="M770" s="1352">
        <f t="shared" si="310"/>
        <v>0</v>
      </c>
      <c r="N770" s="1352">
        <f t="shared" si="310"/>
        <v>0</v>
      </c>
      <c r="O770" s="1352">
        <f t="shared" ref="O770:O775" si="311">IF(L770&gt;0,N770*100/L770,0)</f>
        <v>0</v>
      </c>
      <c r="P770" s="1352">
        <f t="shared" ref="P770:P775" si="312">IF(M770&gt;0,N770*100/M770,0)</f>
        <v>0</v>
      </c>
      <c r="Q770" s="1323"/>
      <c r="R770" s="1323"/>
      <c r="S770" s="1323"/>
      <c r="T770" s="1323"/>
      <c r="U770" s="1323"/>
      <c r="V770" s="1323"/>
      <c r="W770" s="1323"/>
      <c r="X770" s="1323"/>
      <c r="Y770" s="1323"/>
      <c r="Z770" s="1323"/>
    </row>
    <row r="771" spans="1:26" ht="18.75" hidden="1">
      <c r="A771" s="1319"/>
      <c r="B771" s="1320"/>
      <c r="C771" s="1320"/>
      <c r="D771" s="1321"/>
      <c r="E771" s="1320" t="s">
        <v>185</v>
      </c>
      <c r="F771" s="1320"/>
      <c r="G771" s="1322"/>
      <c r="H771" s="165" t="s">
        <v>12</v>
      </c>
      <c r="I771" s="886"/>
      <c r="J771" s="886"/>
      <c r="K771" s="887"/>
      <c r="L771" s="887">
        <f t="shared" ref="L771:N772" si="313">L774+L781</f>
        <v>0</v>
      </c>
      <c r="M771" s="887">
        <f t="shared" si="313"/>
        <v>0</v>
      </c>
      <c r="N771" s="887">
        <f t="shared" si="313"/>
        <v>0</v>
      </c>
      <c r="O771" s="887">
        <f t="shared" si="311"/>
        <v>0</v>
      </c>
      <c r="P771" s="887">
        <f t="shared" si="312"/>
        <v>0</v>
      </c>
      <c r="Q771" s="1323"/>
      <c r="R771" s="1323"/>
      <c r="S771" s="1323"/>
      <c r="T771" s="1323"/>
      <c r="U771" s="1323"/>
      <c r="V771" s="1323"/>
      <c r="W771" s="1323"/>
      <c r="X771" s="1323"/>
      <c r="Y771" s="1323"/>
      <c r="Z771" s="1323"/>
    </row>
    <row r="772" spans="1:26" ht="18.75" hidden="1">
      <c r="A772" s="1319"/>
      <c r="B772" s="1324"/>
      <c r="C772" s="1320"/>
      <c r="D772" s="1321"/>
      <c r="E772" s="1320" t="s">
        <v>186</v>
      </c>
      <c r="F772" s="1320"/>
      <c r="G772" s="1322"/>
      <c r="H772" s="165" t="s">
        <v>12</v>
      </c>
      <c r="I772" s="886"/>
      <c r="J772" s="886"/>
      <c r="K772" s="887"/>
      <c r="L772" s="887">
        <f t="shared" si="313"/>
        <v>0</v>
      </c>
      <c r="M772" s="887">
        <f t="shared" si="313"/>
        <v>0</v>
      </c>
      <c r="N772" s="887">
        <f t="shared" si="313"/>
        <v>0</v>
      </c>
      <c r="O772" s="887">
        <f t="shared" si="311"/>
        <v>0</v>
      </c>
      <c r="P772" s="887">
        <f t="shared" si="312"/>
        <v>0</v>
      </c>
      <c r="Q772" s="1323"/>
      <c r="R772" s="1323"/>
      <c r="S772" s="1323"/>
      <c r="T772" s="1323"/>
      <c r="U772" s="1323"/>
      <c r="V772" s="1323"/>
      <c r="W772" s="1323"/>
      <c r="X772" s="1323"/>
      <c r="Y772" s="1323"/>
      <c r="Z772" s="1323"/>
    </row>
    <row r="773" spans="1:26" ht="19.5" hidden="1">
      <c r="A773" s="1319"/>
      <c r="B773" s="1324"/>
      <c r="C773" s="1320"/>
      <c r="D773" s="1453" t="s">
        <v>20</v>
      </c>
      <c r="E773" s="1320"/>
      <c r="F773" s="1320"/>
      <c r="G773" s="1322"/>
      <c r="H773" s="644" t="s">
        <v>12</v>
      </c>
      <c r="I773" s="1000"/>
      <c r="J773" s="1000"/>
      <c r="K773" s="1001"/>
      <c r="L773" s="1352">
        <f t="shared" ref="L773:N773" si="314">L774+L775</f>
        <v>0</v>
      </c>
      <c r="M773" s="1352">
        <f t="shared" si="314"/>
        <v>0</v>
      </c>
      <c r="N773" s="1352">
        <f t="shared" si="314"/>
        <v>0</v>
      </c>
      <c r="O773" s="1352">
        <f t="shared" si="311"/>
        <v>0</v>
      </c>
      <c r="P773" s="1352">
        <f t="shared" si="312"/>
        <v>0</v>
      </c>
      <c r="Q773" s="1323"/>
      <c r="R773" s="1323"/>
      <c r="S773" s="1323"/>
      <c r="T773" s="1323"/>
      <c r="U773" s="1323"/>
      <c r="V773" s="1323"/>
      <c r="W773" s="1323"/>
      <c r="X773" s="1323"/>
      <c r="Y773" s="1323"/>
      <c r="Z773" s="1323"/>
    </row>
    <row r="774" spans="1:26" ht="18.75" hidden="1">
      <c r="A774" s="1319"/>
      <c r="B774" s="1324"/>
      <c r="C774" s="1320"/>
      <c r="D774" s="1321"/>
      <c r="E774" s="1320" t="s">
        <v>185</v>
      </c>
      <c r="F774" s="1320"/>
      <c r="G774" s="1322"/>
      <c r="H774" s="165" t="s">
        <v>12</v>
      </c>
      <c r="I774" s="886"/>
      <c r="J774" s="886"/>
      <c r="K774" s="887"/>
      <c r="L774" s="887">
        <v>0</v>
      </c>
      <c r="M774" s="887">
        <v>0</v>
      </c>
      <c r="N774" s="887">
        <v>0</v>
      </c>
      <c r="O774" s="887">
        <f t="shared" si="311"/>
        <v>0</v>
      </c>
      <c r="P774" s="887">
        <f t="shared" si="312"/>
        <v>0</v>
      </c>
      <c r="Q774" s="1323"/>
      <c r="R774" s="1323"/>
      <c r="S774" s="1323"/>
      <c r="T774" s="1323"/>
      <c r="U774" s="1323"/>
      <c r="V774" s="1323"/>
      <c r="W774" s="1323"/>
      <c r="X774" s="1323"/>
      <c r="Y774" s="1323"/>
      <c r="Z774" s="1323"/>
    </row>
    <row r="775" spans="1:26" ht="18.75" hidden="1">
      <c r="A775" s="1319"/>
      <c r="B775" s="1324"/>
      <c r="C775" s="1320"/>
      <c r="D775" s="1321"/>
      <c r="E775" s="1320" t="s">
        <v>186</v>
      </c>
      <c r="F775" s="1320"/>
      <c r="G775" s="1322"/>
      <c r="H775" s="165" t="s">
        <v>12</v>
      </c>
      <c r="I775" s="886"/>
      <c r="J775" s="886"/>
      <c r="K775" s="887"/>
      <c r="L775" s="887">
        <v>0</v>
      </c>
      <c r="M775" s="887">
        <v>0</v>
      </c>
      <c r="N775" s="887">
        <f>N776+N777+N778+N779</f>
        <v>0</v>
      </c>
      <c r="O775" s="887">
        <f t="shared" si="311"/>
        <v>0</v>
      </c>
      <c r="P775" s="887">
        <f t="shared" si="312"/>
        <v>0</v>
      </c>
      <c r="Q775" s="1323"/>
      <c r="R775" s="1323"/>
      <c r="S775" s="1323"/>
      <c r="T775" s="1323"/>
      <c r="U775" s="1323"/>
      <c r="V775" s="1323"/>
      <c r="W775" s="1323"/>
      <c r="X775" s="1323"/>
      <c r="Y775" s="1323"/>
      <c r="Z775" s="1323"/>
    </row>
    <row r="776" spans="1:26" ht="18.75" hidden="1">
      <c r="A776" s="1354"/>
      <c r="B776" s="1324"/>
      <c r="C776" s="1320"/>
      <c r="D776" s="1320"/>
      <c r="E776" s="1320"/>
      <c r="F776" s="1320" t="s">
        <v>187</v>
      </c>
      <c r="G776" s="1322"/>
      <c r="H776" s="165" t="s">
        <v>12</v>
      </c>
      <c r="I776" s="886"/>
      <c r="J776" s="886"/>
      <c r="K776" s="887"/>
      <c r="L776" s="887"/>
      <c r="M776" s="887"/>
      <c r="N776" s="887"/>
      <c r="O776" s="887"/>
      <c r="P776" s="887"/>
      <c r="Q776" s="1323"/>
      <c r="R776" s="1323"/>
      <c r="S776" s="1323"/>
      <c r="T776" s="1323"/>
      <c r="U776" s="1323"/>
      <c r="V776" s="1323"/>
      <c r="W776" s="1323"/>
      <c r="X776" s="1323"/>
      <c r="Y776" s="1323"/>
      <c r="Z776" s="1323"/>
    </row>
    <row r="777" spans="1:26" ht="18.75" hidden="1">
      <c r="A777" s="1354"/>
      <c r="B777" s="1324"/>
      <c r="C777" s="1320"/>
      <c r="D777" s="1320"/>
      <c r="E777" s="1320"/>
      <c r="F777" s="1320" t="s">
        <v>188</v>
      </c>
      <c r="G777" s="1322"/>
      <c r="H777" s="165" t="s">
        <v>12</v>
      </c>
      <c r="I777" s="886"/>
      <c r="J777" s="886"/>
      <c r="K777" s="887"/>
      <c r="L777" s="887"/>
      <c r="M777" s="887"/>
      <c r="N777" s="887"/>
      <c r="O777" s="887"/>
      <c r="P777" s="887"/>
      <c r="Q777" s="1323"/>
      <c r="R777" s="1323"/>
      <c r="S777" s="1323"/>
      <c r="T777" s="1323"/>
      <c r="U777" s="1323"/>
      <c r="V777" s="1323"/>
      <c r="W777" s="1323"/>
      <c r="X777" s="1323"/>
      <c r="Y777" s="1323"/>
      <c r="Z777" s="1323"/>
    </row>
    <row r="778" spans="1:26" ht="18.75" hidden="1">
      <c r="A778" s="1354"/>
      <c r="B778" s="1324"/>
      <c r="C778" s="1320"/>
      <c r="D778" s="1320"/>
      <c r="E778" s="1320"/>
      <c r="F778" s="1320" t="s">
        <v>189</v>
      </c>
      <c r="G778" s="1322"/>
      <c r="H778" s="165" t="s">
        <v>12</v>
      </c>
      <c r="I778" s="886"/>
      <c r="J778" s="886"/>
      <c r="K778" s="887"/>
      <c r="L778" s="887"/>
      <c r="M778" s="887"/>
      <c r="N778" s="887"/>
      <c r="O778" s="887"/>
      <c r="P778" s="887"/>
      <c r="Q778" s="1323"/>
      <c r="R778" s="1323"/>
      <c r="S778" s="1323"/>
      <c r="T778" s="1323"/>
      <c r="U778" s="1323"/>
      <c r="V778" s="1323"/>
      <c r="W778" s="1323"/>
      <c r="X778" s="1323"/>
      <c r="Y778" s="1323"/>
      <c r="Z778" s="1323"/>
    </row>
    <row r="779" spans="1:26" ht="18.75" hidden="1">
      <c r="A779" s="1354"/>
      <c r="B779" s="1324"/>
      <c r="C779" s="1320"/>
      <c r="D779" s="1320"/>
      <c r="E779" s="1320"/>
      <c r="F779" s="1320" t="s">
        <v>190</v>
      </c>
      <c r="G779" s="1322"/>
      <c r="H779" s="165" t="s">
        <v>12</v>
      </c>
      <c r="I779" s="886"/>
      <c r="J779" s="886"/>
      <c r="K779" s="887"/>
      <c r="L779" s="887"/>
      <c r="M779" s="887"/>
      <c r="N779" s="887"/>
      <c r="O779" s="887"/>
      <c r="P779" s="887"/>
      <c r="Q779" s="1323"/>
      <c r="R779" s="1323"/>
      <c r="S779" s="1323"/>
      <c r="T779" s="1323"/>
      <c r="U779" s="1323"/>
      <c r="V779" s="1323"/>
      <c r="W779" s="1323"/>
      <c r="X779" s="1323"/>
      <c r="Y779" s="1323"/>
      <c r="Z779" s="1323"/>
    </row>
    <row r="780" spans="1:26" ht="19.5" hidden="1">
      <c r="A780" s="1319"/>
      <c r="B780" s="1324"/>
      <c r="C780" s="1320"/>
      <c r="D780" s="1453" t="s">
        <v>21</v>
      </c>
      <c r="E780" s="1320"/>
      <c r="F780" s="1320"/>
      <c r="G780" s="1322"/>
      <c r="H780" s="781" t="s">
        <v>12</v>
      </c>
      <c r="I780" s="1000"/>
      <c r="J780" s="1000"/>
      <c r="K780" s="1001"/>
      <c r="L780" s="1352">
        <f t="shared" ref="L780:N780" si="315">L781+L782</f>
        <v>0</v>
      </c>
      <c r="M780" s="1352">
        <f t="shared" si="315"/>
        <v>0</v>
      </c>
      <c r="N780" s="1352">
        <f t="shared" si="315"/>
        <v>0</v>
      </c>
      <c r="O780" s="1352">
        <f t="shared" ref="O780:O782" si="316">IF(L780&gt;0,N780*100/L780,0)</f>
        <v>0</v>
      </c>
      <c r="P780" s="1352">
        <f t="shared" ref="P780:P782" si="317">IF(M780&gt;0,N780*100/M780,0)</f>
        <v>0</v>
      </c>
      <c r="Q780" s="1323"/>
      <c r="R780" s="1323"/>
      <c r="S780" s="1323"/>
      <c r="T780" s="1323"/>
      <c r="U780" s="1323"/>
      <c r="V780" s="1323"/>
      <c r="W780" s="1323"/>
      <c r="X780" s="1323"/>
      <c r="Y780" s="1323"/>
      <c r="Z780" s="1323"/>
    </row>
    <row r="781" spans="1:26" ht="18.75" hidden="1">
      <c r="A781" s="1319"/>
      <c r="B781" s="1324"/>
      <c r="C781" s="1320"/>
      <c r="D781" s="1320"/>
      <c r="E781" s="1320" t="s">
        <v>18</v>
      </c>
      <c r="F781" s="1320"/>
      <c r="G781" s="1322"/>
      <c r="H781" s="165" t="s">
        <v>12</v>
      </c>
      <c r="I781" s="1000"/>
      <c r="J781" s="1000"/>
      <c r="K781" s="1001"/>
      <c r="L781" s="887">
        <v>0</v>
      </c>
      <c r="M781" s="887">
        <v>0</v>
      </c>
      <c r="N781" s="887">
        <v>0</v>
      </c>
      <c r="O781" s="887">
        <f t="shared" si="316"/>
        <v>0</v>
      </c>
      <c r="P781" s="887">
        <f t="shared" si="317"/>
        <v>0</v>
      </c>
      <c r="Q781" s="1323"/>
      <c r="R781" s="1323"/>
      <c r="S781" s="1323"/>
      <c r="T781" s="1323"/>
      <c r="U781" s="1323"/>
      <c r="V781" s="1323"/>
      <c r="W781" s="1323"/>
      <c r="X781" s="1323"/>
      <c r="Y781" s="1323"/>
      <c r="Z781" s="1323"/>
    </row>
    <row r="782" spans="1:26" ht="18.75" hidden="1">
      <c r="A782" s="1319"/>
      <c r="B782" s="1324"/>
      <c r="C782" s="1320"/>
      <c r="D782" s="1320"/>
      <c r="E782" s="1320" t="s">
        <v>19</v>
      </c>
      <c r="F782" s="1320"/>
      <c r="G782" s="1322"/>
      <c r="H782" s="169" t="s">
        <v>12</v>
      </c>
      <c r="I782" s="1000"/>
      <c r="J782" s="1000"/>
      <c r="K782" s="1001"/>
      <c r="L782" s="887">
        <v>0</v>
      </c>
      <c r="M782" s="887">
        <v>0</v>
      </c>
      <c r="N782" s="887">
        <v>0</v>
      </c>
      <c r="O782" s="887">
        <f t="shared" si="316"/>
        <v>0</v>
      </c>
      <c r="P782" s="887">
        <f t="shared" si="317"/>
        <v>0</v>
      </c>
      <c r="Q782" s="1323"/>
      <c r="R782" s="1323"/>
      <c r="S782" s="1323"/>
      <c r="T782" s="1323"/>
      <c r="U782" s="1323"/>
      <c r="V782" s="1323"/>
      <c r="W782" s="1323"/>
      <c r="X782" s="1323"/>
      <c r="Y782" s="1323"/>
      <c r="Z782" s="1323"/>
    </row>
    <row r="783" spans="1:26" ht="19.5" hidden="1">
      <c r="A783" s="1332"/>
      <c r="B783" s="1333"/>
      <c r="C783" s="1320" t="s">
        <v>16</v>
      </c>
      <c r="D783" s="1454" t="s">
        <v>38</v>
      </c>
      <c r="E783" s="1356"/>
      <c r="F783" s="1356"/>
      <c r="G783" s="1357"/>
      <c r="H783" s="1467"/>
      <c r="I783" s="1000"/>
      <c r="J783" s="1000"/>
      <c r="K783" s="1001"/>
      <c r="L783" s="1001"/>
      <c r="M783" s="1001"/>
      <c r="N783" s="1001"/>
      <c r="O783" s="1001"/>
      <c r="P783" s="1001"/>
      <c r="Q783" s="1323"/>
      <c r="R783" s="1323"/>
      <c r="S783" s="1323"/>
      <c r="T783" s="1323"/>
      <c r="U783" s="1323"/>
      <c r="V783" s="1323"/>
      <c r="W783" s="1323"/>
      <c r="X783" s="1323"/>
      <c r="Y783" s="1323"/>
      <c r="Z783" s="1323"/>
    </row>
    <row r="784" spans="1:26" ht="18.75" hidden="1">
      <c r="A784" s="1354"/>
      <c r="B784" s="1324"/>
      <c r="C784" s="1320"/>
      <c r="D784" s="1320"/>
      <c r="E784" s="1320" t="s">
        <v>319</v>
      </c>
      <c r="F784" s="1320"/>
      <c r="G784" s="1322"/>
      <c r="H784" s="165" t="s">
        <v>46</v>
      </c>
      <c r="I784" s="886"/>
      <c r="J784" s="886"/>
      <c r="K784" s="887"/>
      <c r="L784" s="887"/>
      <c r="M784" s="887"/>
      <c r="N784" s="887"/>
      <c r="O784" s="887"/>
      <c r="P784" s="887"/>
      <c r="Q784" s="1323"/>
      <c r="R784" s="1323"/>
      <c r="S784" s="1323"/>
      <c r="T784" s="1323"/>
      <c r="U784" s="1323"/>
      <c r="V784" s="1323"/>
      <c r="W784" s="1323"/>
      <c r="X784" s="1323"/>
      <c r="Y784" s="1323"/>
      <c r="Z784" s="1323"/>
    </row>
    <row r="785" spans="1:26" ht="19.5" hidden="1">
      <c r="A785" s="800">
        <v>12</v>
      </c>
      <c r="B785" s="1468" t="s">
        <v>320</v>
      </c>
      <c r="C785" s="1469"/>
      <c r="D785" s="1469"/>
      <c r="E785" s="1469"/>
      <c r="F785" s="1469"/>
      <c r="G785" s="1470"/>
      <c r="H785" s="804" t="s">
        <v>46</v>
      </c>
      <c r="I785" s="1471">
        <f t="shared" ref="I785:J785" ca="1" si="318">I800</f>
        <v>0</v>
      </c>
      <c r="J785" s="1472">
        <f t="shared" ca="1" si="318"/>
        <v>0</v>
      </c>
      <c r="K785" s="1473">
        <f ca="1">IF(I785&gt;0,J785*100/I785,0)</f>
        <v>0</v>
      </c>
      <c r="L785" s="1474"/>
      <c r="M785" s="1474"/>
      <c r="N785" s="1474"/>
      <c r="O785" s="1474"/>
      <c r="P785" s="1474"/>
      <c r="Q785" s="1302"/>
      <c r="R785" s="1302"/>
      <c r="S785" s="1302"/>
      <c r="T785" s="1302"/>
      <c r="U785" s="1302"/>
      <c r="V785" s="1302"/>
      <c r="W785" s="1302"/>
      <c r="X785" s="1302"/>
      <c r="Y785" s="1302"/>
      <c r="Z785" s="1302"/>
    </row>
    <row r="786" spans="1:26" ht="19.5" hidden="1">
      <c r="A786" s="1317"/>
      <c r="B786" s="1300"/>
      <c r="C786" s="1301" t="s">
        <v>16</v>
      </c>
      <c r="D786" s="1318" t="s">
        <v>17</v>
      </c>
      <c r="E786" s="841"/>
      <c r="F786" s="841"/>
      <c r="G786" s="1016"/>
      <c r="H786" s="597" t="s">
        <v>12</v>
      </c>
      <c r="I786" s="880"/>
      <c r="J786" s="880"/>
      <c r="K786" s="881"/>
      <c r="L786" s="1020">
        <f t="shared" ref="L786:N786" ca="1" si="319">L787+L788</f>
        <v>0</v>
      </c>
      <c r="M786" s="1020">
        <f t="shared" si="319"/>
        <v>0</v>
      </c>
      <c r="N786" s="1020">
        <f t="shared" si="319"/>
        <v>0</v>
      </c>
      <c r="O786" s="1020">
        <f t="shared" ref="O786:O791" ca="1" si="320">IF(L786&gt;0,N786*100/L786,0)</f>
        <v>0</v>
      </c>
      <c r="P786" s="1020">
        <f t="shared" ref="P786:P791" si="321">IF(M786&gt;0,N786*100/M786,0)</f>
        <v>0</v>
      </c>
      <c r="Q786" s="1302"/>
      <c r="R786" s="1302"/>
      <c r="S786" s="1302"/>
      <c r="T786" s="1302"/>
      <c r="U786" s="1302"/>
      <c r="V786" s="1302"/>
      <c r="W786" s="1302"/>
      <c r="X786" s="1302"/>
      <c r="Y786" s="1302"/>
      <c r="Z786" s="1302"/>
    </row>
    <row r="787" spans="1:26" ht="18.75" hidden="1">
      <c r="A787" s="1319"/>
      <c r="B787" s="1324"/>
      <c r="C787" s="1320"/>
      <c r="D787" s="1321"/>
      <c r="E787" s="1320" t="s">
        <v>185</v>
      </c>
      <c r="F787" s="1320"/>
      <c r="G787" s="1322"/>
      <c r="H787" s="165" t="s">
        <v>12</v>
      </c>
      <c r="I787" s="886"/>
      <c r="J787" s="886"/>
      <c r="K787" s="887"/>
      <c r="L787" s="887">
        <f t="shared" ref="L787:N788" si="322">L790+L797</f>
        <v>0</v>
      </c>
      <c r="M787" s="887">
        <f t="shared" si="322"/>
        <v>0</v>
      </c>
      <c r="N787" s="887">
        <f t="shared" si="322"/>
        <v>0</v>
      </c>
      <c r="O787" s="887">
        <f t="shared" si="320"/>
        <v>0</v>
      </c>
      <c r="P787" s="887">
        <f t="shared" si="321"/>
        <v>0</v>
      </c>
      <c r="Q787" s="1323"/>
      <c r="R787" s="1323"/>
      <c r="S787" s="1323"/>
      <c r="T787" s="1323"/>
      <c r="U787" s="1323"/>
      <c r="V787" s="1323"/>
      <c r="W787" s="1323"/>
      <c r="X787" s="1323"/>
      <c r="Y787" s="1323"/>
      <c r="Z787" s="1323"/>
    </row>
    <row r="788" spans="1:26" ht="18.75" hidden="1">
      <c r="A788" s="1319"/>
      <c r="B788" s="1324"/>
      <c r="C788" s="1324"/>
      <c r="D788" s="1333"/>
      <c r="E788" s="1320" t="s">
        <v>186</v>
      </c>
      <c r="F788" s="1320"/>
      <c r="G788" s="1322"/>
      <c r="H788" s="165" t="s">
        <v>12</v>
      </c>
      <c r="I788" s="886"/>
      <c r="J788" s="886"/>
      <c r="K788" s="887"/>
      <c r="L788" s="887">
        <f t="shared" ca="1" si="322"/>
        <v>0</v>
      </c>
      <c r="M788" s="887">
        <f t="shared" si="322"/>
        <v>0</v>
      </c>
      <c r="N788" s="887">
        <f t="shared" si="322"/>
        <v>0</v>
      </c>
      <c r="O788" s="887">
        <f t="shared" ca="1" si="320"/>
        <v>0</v>
      </c>
      <c r="P788" s="887">
        <f t="shared" si="321"/>
        <v>0</v>
      </c>
      <c r="Q788" s="1323"/>
      <c r="R788" s="1323"/>
      <c r="S788" s="1323"/>
      <c r="T788" s="1323"/>
      <c r="U788" s="1323"/>
      <c r="V788" s="1323"/>
      <c r="W788" s="1323"/>
      <c r="X788" s="1323"/>
      <c r="Y788" s="1323"/>
      <c r="Z788" s="1323"/>
    </row>
    <row r="789" spans="1:26" ht="18.75" hidden="1">
      <c r="A789" s="1317"/>
      <c r="B789" s="1300"/>
      <c r="C789" s="1300"/>
      <c r="D789" s="1325" t="s">
        <v>20</v>
      </c>
      <c r="E789" s="1301"/>
      <c r="F789" s="1301"/>
      <c r="G789" s="1016"/>
      <c r="H789" s="161" t="s">
        <v>12</v>
      </c>
      <c r="I789" s="997"/>
      <c r="J789" s="997"/>
      <c r="K789" s="998"/>
      <c r="L789" s="881">
        <f t="shared" ref="L789:N789" ca="1" si="323">L790+L791</f>
        <v>0</v>
      </c>
      <c r="M789" s="881">
        <f t="shared" si="323"/>
        <v>0</v>
      </c>
      <c r="N789" s="881">
        <f t="shared" si="323"/>
        <v>0</v>
      </c>
      <c r="O789" s="881">
        <f t="shared" ca="1" si="320"/>
        <v>0</v>
      </c>
      <c r="P789" s="881">
        <f t="shared" si="321"/>
        <v>0</v>
      </c>
      <c r="Q789" s="1302"/>
      <c r="R789" s="1302"/>
      <c r="S789" s="1302"/>
      <c r="T789" s="1302"/>
      <c r="U789" s="1302"/>
      <c r="V789" s="1302"/>
      <c r="W789" s="1302"/>
      <c r="X789" s="1302"/>
      <c r="Y789" s="1302"/>
      <c r="Z789" s="1302"/>
    </row>
    <row r="790" spans="1:26" ht="18.75" hidden="1">
      <c r="A790" s="1319"/>
      <c r="B790" s="1324"/>
      <c r="C790" s="1324"/>
      <c r="D790" s="1333"/>
      <c r="E790" s="1320" t="s">
        <v>185</v>
      </c>
      <c r="F790" s="1320"/>
      <c r="G790" s="1322"/>
      <c r="H790" s="165" t="s">
        <v>12</v>
      </c>
      <c r="I790" s="886"/>
      <c r="J790" s="886"/>
      <c r="K790" s="887"/>
      <c r="L790" s="887">
        <v>0</v>
      </c>
      <c r="M790" s="887">
        <v>0</v>
      </c>
      <c r="N790" s="887">
        <v>0</v>
      </c>
      <c r="O790" s="887">
        <f t="shared" si="320"/>
        <v>0</v>
      </c>
      <c r="P790" s="887">
        <f t="shared" si="321"/>
        <v>0</v>
      </c>
      <c r="Q790" s="1323"/>
      <c r="R790" s="1323"/>
      <c r="S790" s="1323"/>
      <c r="T790" s="1323"/>
      <c r="U790" s="1323"/>
      <c r="V790" s="1323"/>
      <c r="W790" s="1323"/>
      <c r="X790" s="1323"/>
      <c r="Y790" s="1323"/>
      <c r="Z790" s="1323"/>
    </row>
    <row r="791" spans="1:26" ht="18.75" hidden="1">
      <c r="A791" s="1319"/>
      <c r="B791" s="1324"/>
      <c r="C791" s="1324"/>
      <c r="D791" s="1333"/>
      <c r="E791" s="1320" t="s">
        <v>186</v>
      </c>
      <c r="F791" s="1320"/>
      <c r="G791" s="1322"/>
      <c r="H791" s="165" t="s">
        <v>12</v>
      </c>
      <c r="I791" s="886"/>
      <c r="J791" s="886"/>
      <c r="K791" s="887"/>
      <c r="L791" s="887">
        <f ca="1">IFERROR(__xludf.DUMMYFUNCTION("IMPORTRANGE(""https://docs.google.com/spreadsheets/d/1QqKyyYR6Q21VydFLVH3TRQUabQu_ym0Zz7PgGX0-kHA/edit?usp=sharing"",""แผน!JJ78"")"),0)</f>
        <v>0</v>
      </c>
      <c r="M791" s="887">
        <v>0</v>
      </c>
      <c r="N791" s="887">
        <f>N792+N793+N794+N795</f>
        <v>0</v>
      </c>
      <c r="O791" s="887">
        <f t="shared" ca="1" si="320"/>
        <v>0</v>
      </c>
      <c r="P791" s="887">
        <f t="shared" si="321"/>
        <v>0</v>
      </c>
      <c r="Q791" s="1323"/>
      <c r="R791" s="1323"/>
      <c r="S791" s="1323"/>
      <c r="T791" s="1323"/>
      <c r="U791" s="1323"/>
      <c r="V791" s="1323"/>
      <c r="W791" s="1323"/>
      <c r="X791" s="1323"/>
      <c r="Y791" s="1323"/>
      <c r="Z791" s="1323"/>
    </row>
    <row r="792" spans="1:26" ht="18.75" hidden="1">
      <c r="A792" s="1299"/>
      <c r="B792" s="1300"/>
      <c r="C792" s="1301"/>
      <c r="D792" s="1301"/>
      <c r="E792" s="1301"/>
      <c r="F792" s="1301" t="s">
        <v>187</v>
      </c>
      <c r="G792" s="1016"/>
      <c r="H792" s="161" t="s">
        <v>12</v>
      </c>
      <c r="I792" s="880"/>
      <c r="J792" s="880"/>
      <c r="K792" s="881"/>
      <c r="L792" s="881"/>
      <c r="M792" s="881"/>
      <c r="N792" s="1085">
        <v>0</v>
      </c>
      <c r="O792" s="881"/>
      <c r="P792" s="881"/>
      <c r="Q792" s="1302"/>
      <c r="R792" s="1302"/>
      <c r="S792" s="1302"/>
      <c r="T792" s="1302"/>
      <c r="U792" s="1302"/>
      <c r="V792" s="1302"/>
      <c r="W792" s="1302"/>
      <c r="X792" s="1302"/>
      <c r="Y792" s="1302"/>
      <c r="Z792" s="1302"/>
    </row>
    <row r="793" spans="1:26" ht="18.75" hidden="1">
      <c r="A793" s="1299"/>
      <c r="B793" s="1300"/>
      <c r="C793" s="1301"/>
      <c r="D793" s="1301"/>
      <c r="E793" s="1301"/>
      <c r="F793" s="1301" t="s">
        <v>188</v>
      </c>
      <c r="G793" s="1016"/>
      <c r="H793" s="161" t="s">
        <v>12</v>
      </c>
      <c r="I793" s="880"/>
      <c r="J793" s="880"/>
      <c r="K793" s="881"/>
      <c r="L793" s="881"/>
      <c r="M793" s="881"/>
      <c r="N793" s="1085">
        <v>0</v>
      </c>
      <c r="O793" s="881"/>
      <c r="P793" s="881"/>
      <c r="Q793" s="1302"/>
      <c r="R793" s="1302"/>
      <c r="S793" s="1302"/>
      <c r="T793" s="1302"/>
      <c r="U793" s="1302"/>
      <c r="V793" s="1302"/>
      <c r="W793" s="1302"/>
      <c r="X793" s="1302"/>
      <c r="Y793" s="1302"/>
      <c r="Z793" s="1302"/>
    </row>
    <row r="794" spans="1:26" ht="18.75" hidden="1">
      <c r="A794" s="1299"/>
      <c r="B794" s="1300"/>
      <c r="C794" s="1301"/>
      <c r="D794" s="1301"/>
      <c r="E794" s="1301"/>
      <c r="F794" s="1301" t="s">
        <v>189</v>
      </c>
      <c r="G794" s="1016"/>
      <c r="H794" s="161" t="s">
        <v>12</v>
      </c>
      <c r="I794" s="880"/>
      <c r="J794" s="880"/>
      <c r="K794" s="881"/>
      <c r="L794" s="881"/>
      <c r="M794" s="881"/>
      <c r="N794" s="1085">
        <v>0</v>
      </c>
      <c r="O794" s="881"/>
      <c r="P794" s="881"/>
      <c r="Q794" s="1302"/>
      <c r="R794" s="1302"/>
      <c r="S794" s="1302"/>
      <c r="T794" s="1302"/>
      <c r="U794" s="1302"/>
      <c r="V794" s="1302"/>
      <c r="W794" s="1302"/>
      <c r="X794" s="1302"/>
      <c r="Y794" s="1302"/>
      <c r="Z794" s="1302"/>
    </row>
    <row r="795" spans="1:26" ht="18.75" hidden="1">
      <c r="A795" s="1299"/>
      <c r="B795" s="1300"/>
      <c r="C795" s="1301"/>
      <c r="D795" s="1301"/>
      <c r="E795" s="1301"/>
      <c r="F795" s="1301" t="s">
        <v>190</v>
      </c>
      <c r="G795" s="1016"/>
      <c r="H795" s="161" t="s">
        <v>12</v>
      </c>
      <c r="I795" s="880"/>
      <c r="J795" s="880"/>
      <c r="K795" s="881"/>
      <c r="L795" s="881"/>
      <c r="M795" s="881"/>
      <c r="N795" s="1085">
        <v>0</v>
      </c>
      <c r="O795" s="881"/>
      <c r="P795" s="881"/>
      <c r="Q795" s="1302"/>
      <c r="R795" s="1302"/>
      <c r="S795" s="1302"/>
      <c r="T795" s="1302"/>
      <c r="U795" s="1302"/>
      <c r="V795" s="1302"/>
      <c r="W795" s="1302"/>
      <c r="X795" s="1302"/>
      <c r="Y795" s="1302"/>
      <c r="Z795" s="1302"/>
    </row>
    <row r="796" spans="1:26" ht="18.75" hidden="1">
      <c r="A796" s="1317"/>
      <c r="B796" s="1300"/>
      <c r="C796" s="1301"/>
      <c r="D796" s="1325" t="s">
        <v>21</v>
      </c>
      <c r="E796" s="1301"/>
      <c r="F796" s="1301"/>
      <c r="G796" s="1016"/>
      <c r="H796" s="168" t="s">
        <v>12</v>
      </c>
      <c r="I796" s="997"/>
      <c r="J796" s="997"/>
      <c r="K796" s="998"/>
      <c r="L796" s="881">
        <f t="shared" ref="L796:N796" si="324">L797+L798</f>
        <v>0</v>
      </c>
      <c r="M796" s="881">
        <f t="shared" si="324"/>
        <v>0</v>
      </c>
      <c r="N796" s="881">
        <f t="shared" si="324"/>
        <v>0</v>
      </c>
      <c r="O796" s="881">
        <f t="shared" ref="O796:O798" si="325">IF(L796&gt;0,N796*100/L796,0)</f>
        <v>0</v>
      </c>
      <c r="P796" s="881">
        <f t="shared" ref="P796:P798" si="326">IF(M796&gt;0,N796*100/M796,0)</f>
        <v>0</v>
      </c>
      <c r="Q796" s="1302"/>
      <c r="R796" s="1302"/>
      <c r="S796" s="1302"/>
      <c r="T796" s="1302"/>
      <c r="U796" s="1302"/>
      <c r="V796" s="1302"/>
      <c r="W796" s="1302"/>
      <c r="X796" s="1302"/>
      <c r="Y796" s="1302"/>
      <c r="Z796" s="1302"/>
    </row>
    <row r="797" spans="1:26" ht="18.75" hidden="1">
      <c r="A797" s="1319"/>
      <c r="B797" s="1324"/>
      <c r="C797" s="1320"/>
      <c r="D797" s="1320"/>
      <c r="E797" s="1320" t="s">
        <v>18</v>
      </c>
      <c r="F797" s="1320"/>
      <c r="G797" s="1322"/>
      <c r="H797" s="165" t="s">
        <v>12</v>
      </c>
      <c r="I797" s="1000"/>
      <c r="J797" s="1000"/>
      <c r="K797" s="1001"/>
      <c r="L797" s="887">
        <v>0</v>
      </c>
      <c r="M797" s="887">
        <v>0</v>
      </c>
      <c r="N797" s="887">
        <v>0</v>
      </c>
      <c r="O797" s="887">
        <f t="shared" si="325"/>
        <v>0</v>
      </c>
      <c r="P797" s="887">
        <f t="shared" si="326"/>
        <v>0</v>
      </c>
      <c r="Q797" s="1323"/>
      <c r="R797" s="1323"/>
      <c r="S797" s="1323"/>
      <c r="T797" s="1323"/>
      <c r="U797" s="1323"/>
      <c r="V797" s="1323"/>
      <c r="W797" s="1323"/>
      <c r="X797" s="1323"/>
      <c r="Y797" s="1323"/>
      <c r="Z797" s="1323"/>
    </row>
    <row r="798" spans="1:26" ht="18.75" hidden="1">
      <c r="A798" s="1319"/>
      <c r="B798" s="1324"/>
      <c r="C798" s="1320"/>
      <c r="D798" s="1320"/>
      <c r="E798" s="1320" t="s">
        <v>19</v>
      </c>
      <c r="F798" s="1320"/>
      <c r="G798" s="1322"/>
      <c r="H798" s="169" t="s">
        <v>12</v>
      </c>
      <c r="I798" s="1000"/>
      <c r="J798" s="1000"/>
      <c r="K798" s="1001"/>
      <c r="L798" s="887">
        <v>0</v>
      </c>
      <c r="M798" s="887">
        <v>0</v>
      </c>
      <c r="N798" s="887">
        <v>0</v>
      </c>
      <c r="O798" s="887">
        <f t="shared" si="325"/>
        <v>0</v>
      </c>
      <c r="P798" s="887">
        <f t="shared" si="326"/>
        <v>0</v>
      </c>
      <c r="Q798" s="1323"/>
      <c r="R798" s="1323"/>
      <c r="S798" s="1323"/>
      <c r="T798" s="1323"/>
      <c r="U798" s="1323"/>
      <c r="V798" s="1323"/>
      <c r="W798" s="1323"/>
      <c r="X798" s="1323"/>
      <c r="Y798" s="1323"/>
      <c r="Z798" s="1323"/>
    </row>
    <row r="799" spans="1:26" ht="19.5" hidden="1">
      <c r="A799" s="1326"/>
      <c r="B799" s="1327"/>
      <c r="C799" s="1301" t="s">
        <v>16</v>
      </c>
      <c r="D799" s="1439" t="s">
        <v>38</v>
      </c>
      <c r="E799" s="1330"/>
      <c r="F799" s="1330"/>
      <c r="G799" s="1331"/>
      <c r="H799" s="1475"/>
      <c r="I799" s="997"/>
      <c r="J799" s="997"/>
      <c r="K799" s="998"/>
      <c r="L799" s="998"/>
      <c r="M799" s="998"/>
      <c r="N799" s="998"/>
      <c r="O799" s="998"/>
      <c r="P799" s="998"/>
      <c r="Q799" s="1302"/>
      <c r="R799" s="1302"/>
      <c r="S799" s="1302"/>
      <c r="T799" s="1302"/>
      <c r="U799" s="1302"/>
      <c r="V799" s="1302"/>
      <c r="W799" s="1302"/>
      <c r="X799" s="1302"/>
      <c r="Y799" s="1302"/>
      <c r="Z799" s="1302"/>
    </row>
    <row r="800" spans="1:26" ht="18.75" hidden="1">
      <c r="A800" s="1326"/>
      <c r="B800" s="1327"/>
      <c r="C800" s="1327"/>
      <c r="D800" s="1327"/>
      <c r="E800" s="1014"/>
      <c r="F800" s="1014" t="s">
        <v>321</v>
      </c>
      <c r="G800" s="1007"/>
      <c r="H800" s="185" t="s">
        <v>46</v>
      </c>
      <c r="I800" s="997">
        <f ca="1">IFERROR(__xludf.DUMMYFUNCTION("IMPORTRANGE(""https://docs.google.com/spreadsheets/d/1QqKyyYR6Q21VydFLVH3TRQUabQu_ym0Zz7PgGX0-kHA/edit?usp=sharing"",""แผน!JN78"")"),0)</f>
        <v>0</v>
      </c>
      <c r="J800" s="997">
        <f ca="1">IFERROR(__xludf.DUMMYFUNCTION("IMPORTRANGE(""https://docs.google.com/spreadsheets/d/1MaWodYyGHDf7siQLGxnXhG4mBNTNIuy296niS2xXulU/edit?usp=sharing"",""RTK!H78"")"),0)</f>
        <v>0</v>
      </c>
      <c r="K800" s="881">
        <f ca="1">IF(I800&gt;0,J800*100/I800,0)</f>
        <v>0</v>
      </c>
      <c r="L800" s="881"/>
      <c r="M800" s="881"/>
      <c r="N800" s="881"/>
      <c r="O800" s="998"/>
      <c r="P800" s="998"/>
      <c r="Q800" s="1302"/>
      <c r="R800" s="1302"/>
      <c r="S800" s="1302"/>
      <c r="T800" s="1302"/>
      <c r="U800" s="1302"/>
      <c r="V800" s="1302"/>
      <c r="W800" s="1302"/>
      <c r="X800" s="1302"/>
      <c r="Y800" s="1302"/>
      <c r="Z800" s="1302"/>
    </row>
    <row r="801" spans="1:26" ht="18.75" hidden="1">
      <c r="A801" s="1326"/>
      <c r="B801" s="1327"/>
      <c r="C801" s="1327"/>
      <c r="D801" s="1327"/>
      <c r="E801" s="1014"/>
      <c r="F801" s="1014"/>
      <c r="G801" s="1007"/>
      <c r="H801" s="161" t="s">
        <v>34</v>
      </c>
      <c r="I801" s="997"/>
      <c r="J801" s="880">
        <f ca="1">IFERROR(__xludf.DUMMYFUNCTION("IMPORTRANGE(""https://docs.google.com/spreadsheets/d/1MaWodYyGHDf7siQLGxnXhG4mBNTNIuy296niS2xXulU/edit?usp=sharing"",""RTK!I78"")"),0)</f>
        <v>0</v>
      </c>
      <c r="K801" s="881"/>
      <c r="L801" s="881"/>
      <c r="M801" s="881"/>
      <c r="N801" s="881"/>
      <c r="O801" s="998"/>
      <c r="P801" s="998"/>
      <c r="Q801" s="1302"/>
      <c r="R801" s="1302"/>
      <c r="S801" s="1302"/>
      <c r="T801" s="1302"/>
      <c r="U801" s="1302"/>
      <c r="V801" s="1302"/>
      <c r="W801" s="1302"/>
      <c r="X801" s="1302"/>
      <c r="Y801" s="1302"/>
      <c r="Z801" s="1302"/>
    </row>
    <row r="802" spans="1:26" ht="18.75" hidden="1">
      <c r="A802" s="1332"/>
      <c r="B802" s="1333"/>
      <c r="C802" s="1333"/>
      <c r="D802" s="1333"/>
      <c r="E802" s="1321"/>
      <c r="F802" s="1321" t="s">
        <v>322</v>
      </c>
      <c r="G802" s="1113"/>
      <c r="H802" s="651" t="s">
        <v>46</v>
      </c>
      <c r="I802" s="1000"/>
      <c r="J802" s="886"/>
      <c r="K802" s="1001">
        <f>IF(I802&gt;0,J802*100/I802,0)</f>
        <v>0</v>
      </c>
      <c r="L802" s="1001"/>
      <c r="M802" s="1001"/>
      <c r="N802" s="1001"/>
      <c r="O802" s="1001"/>
      <c r="P802" s="1001"/>
      <c r="Q802" s="1323"/>
      <c r="R802" s="1323"/>
      <c r="S802" s="1323"/>
      <c r="T802" s="1323"/>
      <c r="U802" s="1323"/>
      <c r="V802" s="1323"/>
      <c r="W802" s="1323"/>
      <c r="X802" s="1323"/>
      <c r="Y802" s="1323"/>
      <c r="Z802" s="1323"/>
    </row>
    <row r="803" spans="1:26" ht="18.75" hidden="1">
      <c r="A803" s="1332"/>
      <c r="B803" s="1333"/>
      <c r="C803" s="1333"/>
      <c r="D803" s="1333"/>
      <c r="E803" s="1321"/>
      <c r="F803" s="1321"/>
      <c r="G803" s="1113"/>
      <c r="H803" s="651" t="s">
        <v>34</v>
      </c>
      <c r="I803" s="1000"/>
      <c r="J803" s="886"/>
      <c r="K803" s="1001"/>
      <c r="L803" s="1001"/>
      <c r="M803" s="1001"/>
      <c r="N803" s="1001"/>
      <c r="O803" s="1001"/>
      <c r="P803" s="1001"/>
      <c r="Q803" s="1323"/>
      <c r="R803" s="1323"/>
      <c r="S803" s="1323"/>
      <c r="T803" s="1323"/>
      <c r="U803" s="1323"/>
      <c r="V803" s="1323"/>
      <c r="W803" s="1323"/>
      <c r="X803" s="1323"/>
      <c r="Y803" s="1323"/>
      <c r="Z803" s="1323"/>
    </row>
    <row r="804" spans="1:26" ht="19.5" hidden="1">
      <c r="A804" s="791">
        <v>13</v>
      </c>
      <c r="B804" s="1461" t="s">
        <v>323</v>
      </c>
      <c r="C804" s="1462"/>
      <c r="D804" s="1476"/>
      <c r="E804" s="1462"/>
      <c r="F804" s="1462"/>
      <c r="G804" s="1463"/>
      <c r="H804" s="795" t="s">
        <v>46</v>
      </c>
      <c r="I804" s="1464"/>
      <c r="J804" s="1464">
        <f>J819</f>
        <v>0</v>
      </c>
      <c r="K804" s="1465">
        <f>IF(I804&gt;0,J804*100/I804,0)</f>
        <v>0</v>
      </c>
      <c r="L804" s="1466"/>
      <c r="M804" s="1466"/>
      <c r="N804" s="1466"/>
      <c r="O804" s="1466"/>
      <c r="P804" s="1466"/>
      <c r="Q804" s="1323"/>
      <c r="R804" s="1323"/>
      <c r="S804" s="1323"/>
      <c r="T804" s="1323"/>
      <c r="U804" s="1323"/>
      <c r="V804" s="1323"/>
      <c r="W804" s="1323"/>
      <c r="X804" s="1323"/>
      <c r="Y804" s="1323"/>
      <c r="Z804" s="1323"/>
    </row>
    <row r="805" spans="1:26" ht="19.5" hidden="1">
      <c r="A805" s="1319"/>
      <c r="B805" s="1320"/>
      <c r="C805" s="1320" t="s">
        <v>16</v>
      </c>
      <c r="D805" s="1351" t="s">
        <v>17</v>
      </c>
      <c r="E805" s="841"/>
      <c r="F805" s="841"/>
      <c r="G805" s="1322"/>
      <c r="H805" s="644" t="s">
        <v>12</v>
      </c>
      <c r="I805" s="886"/>
      <c r="J805" s="886"/>
      <c r="K805" s="887"/>
      <c r="L805" s="1352">
        <f t="shared" ref="L805:N805" si="327">L806+L807</f>
        <v>0</v>
      </c>
      <c r="M805" s="1352">
        <f t="shared" si="327"/>
        <v>0</v>
      </c>
      <c r="N805" s="1352">
        <f t="shared" si="327"/>
        <v>0</v>
      </c>
      <c r="O805" s="1352">
        <f t="shared" ref="O805:O810" si="328">IF(L805&gt;0,N805*100/L805,0)</f>
        <v>0</v>
      </c>
      <c r="P805" s="1352">
        <f t="shared" ref="P805:P810" si="329">IF(M805&gt;0,N805*100/M805,0)</f>
        <v>0</v>
      </c>
      <c r="Q805" s="1323"/>
      <c r="R805" s="1323"/>
      <c r="S805" s="1323"/>
      <c r="T805" s="1323"/>
      <c r="U805" s="1323"/>
      <c r="V805" s="1323"/>
      <c r="W805" s="1323"/>
      <c r="X805" s="1323"/>
      <c r="Y805" s="1323"/>
      <c r="Z805" s="1323"/>
    </row>
    <row r="806" spans="1:26" ht="18.75" hidden="1">
      <c r="A806" s="1319"/>
      <c r="B806" s="1320"/>
      <c r="C806" s="1320"/>
      <c r="D806" s="1333"/>
      <c r="E806" s="1320" t="s">
        <v>185</v>
      </c>
      <c r="F806" s="1320"/>
      <c r="G806" s="1322"/>
      <c r="H806" s="165" t="s">
        <v>12</v>
      </c>
      <c r="I806" s="886"/>
      <c r="J806" s="886"/>
      <c r="K806" s="887"/>
      <c r="L806" s="887">
        <f t="shared" ref="L806:N807" si="330">L809+L816</f>
        <v>0</v>
      </c>
      <c r="M806" s="887">
        <f t="shared" si="330"/>
        <v>0</v>
      </c>
      <c r="N806" s="887">
        <f t="shared" si="330"/>
        <v>0</v>
      </c>
      <c r="O806" s="887">
        <f t="shared" si="328"/>
        <v>0</v>
      </c>
      <c r="P806" s="887">
        <f t="shared" si="329"/>
        <v>0</v>
      </c>
      <c r="Q806" s="1323"/>
      <c r="R806" s="1323"/>
      <c r="S806" s="1323"/>
      <c r="T806" s="1323"/>
      <c r="U806" s="1323"/>
      <c r="V806" s="1323"/>
      <c r="W806" s="1323"/>
      <c r="X806" s="1323"/>
      <c r="Y806" s="1323"/>
      <c r="Z806" s="1323"/>
    </row>
    <row r="807" spans="1:26" ht="18.75" hidden="1">
      <c r="A807" s="1319"/>
      <c r="B807" s="1320"/>
      <c r="C807" s="1320"/>
      <c r="D807" s="1333"/>
      <c r="E807" s="1320" t="s">
        <v>186</v>
      </c>
      <c r="F807" s="1320"/>
      <c r="G807" s="1322"/>
      <c r="H807" s="165" t="s">
        <v>12</v>
      </c>
      <c r="I807" s="886"/>
      <c r="J807" s="886"/>
      <c r="K807" s="887"/>
      <c r="L807" s="887">
        <f t="shared" si="330"/>
        <v>0</v>
      </c>
      <c r="M807" s="887">
        <f t="shared" si="330"/>
        <v>0</v>
      </c>
      <c r="N807" s="887">
        <f t="shared" si="330"/>
        <v>0</v>
      </c>
      <c r="O807" s="887">
        <f t="shared" si="328"/>
        <v>0</v>
      </c>
      <c r="P807" s="887">
        <f t="shared" si="329"/>
        <v>0</v>
      </c>
      <c r="Q807" s="1323"/>
      <c r="R807" s="1323"/>
      <c r="S807" s="1323"/>
      <c r="T807" s="1323"/>
      <c r="U807" s="1323"/>
      <c r="V807" s="1323"/>
      <c r="W807" s="1323"/>
      <c r="X807" s="1323"/>
      <c r="Y807" s="1323"/>
      <c r="Z807" s="1323"/>
    </row>
    <row r="808" spans="1:26" ht="19.5" hidden="1">
      <c r="A808" s="1319"/>
      <c r="B808" s="1324"/>
      <c r="C808" s="1320"/>
      <c r="D808" s="1477" t="s">
        <v>20</v>
      </c>
      <c r="E808" s="841"/>
      <c r="F808" s="841"/>
      <c r="G808" s="1322"/>
      <c r="H808" s="644" t="s">
        <v>12</v>
      </c>
      <c r="I808" s="1000"/>
      <c r="J808" s="1000"/>
      <c r="K808" s="1001"/>
      <c r="L808" s="1352">
        <f t="shared" ref="L808:N808" si="331">L809+L810</f>
        <v>0</v>
      </c>
      <c r="M808" s="1352">
        <f t="shared" si="331"/>
        <v>0</v>
      </c>
      <c r="N808" s="1352">
        <f t="shared" si="331"/>
        <v>0</v>
      </c>
      <c r="O808" s="1352">
        <f t="shared" si="328"/>
        <v>0</v>
      </c>
      <c r="P808" s="1352">
        <f t="shared" si="329"/>
        <v>0</v>
      </c>
      <c r="Q808" s="1323"/>
      <c r="R808" s="1323"/>
      <c r="S808" s="1323"/>
      <c r="T808" s="1323"/>
      <c r="U808" s="1323"/>
      <c r="V808" s="1323"/>
      <c r="W808" s="1323"/>
      <c r="X808" s="1323"/>
      <c r="Y808" s="1323"/>
      <c r="Z808" s="1323"/>
    </row>
    <row r="809" spans="1:26" ht="18.75" hidden="1">
      <c r="A809" s="1319"/>
      <c r="B809" s="1320"/>
      <c r="C809" s="1320"/>
      <c r="D809" s="1333"/>
      <c r="E809" s="1320" t="s">
        <v>185</v>
      </c>
      <c r="F809" s="1320"/>
      <c r="G809" s="1322"/>
      <c r="H809" s="165" t="s">
        <v>12</v>
      </c>
      <c r="I809" s="886"/>
      <c r="J809" s="886"/>
      <c r="K809" s="887"/>
      <c r="L809" s="887">
        <v>0</v>
      </c>
      <c r="M809" s="887">
        <v>0</v>
      </c>
      <c r="N809" s="887">
        <v>0</v>
      </c>
      <c r="O809" s="887">
        <f t="shared" si="328"/>
        <v>0</v>
      </c>
      <c r="P809" s="887">
        <f t="shared" si="329"/>
        <v>0</v>
      </c>
      <c r="Q809" s="1323"/>
      <c r="R809" s="1323"/>
      <c r="S809" s="1323"/>
      <c r="T809" s="1323"/>
      <c r="U809" s="1323"/>
      <c r="V809" s="1323"/>
      <c r="W809" s="1323"/>
      <c r="X809" s="1323"/>
      <c r="Y809" s="1323"/>
      <c r="Z809" s="1323"/>
    </row>
    <row r="810" spans="1:26" ht="18.75" hidden="1">
      <c r="A810" s="1319"/>
      <c r="B810" s="1320"/>
      <c r="C810" s="1320"/>
      <c r="D810" s="1333"/>
      <c r="E810" s="1320" t="s">
        <v>186</v>
      </c>
      <c r="F810" s="1320"/>
      <c r="G810" s="1322"/>
      <c r="H810" s="165" t="s">
        <v>12</v>
      </c>
      <c r="I810" s="886"/>
      <c r="J810" s="886"/>
      <c r="K810" s="887"/>
      <c r="L810" s="887">
        <v>0</v>
      </c>
      <c r="M810" s="887">
        <v>0</v>
      </c>
      <c r="N810" s="887">
        <f>N811+N812+N813+N814</f>
        <v>0</v>
      </c>
      <c r="O810" s="887">
        <f t="shared" si="328"/>
        <v>0</v>
      </c>
      <c r="P810" s="887">
        <f t="shared" si="329"/>
        <v>0</v>
      </c>
      <c r="Q810" s="1323"/>
      <c r="R810" s="1323"/>
      <c r="S810" s="1323"/>
      <c r="T810" s="1323"/>
      <c r="U810" s="1323"/>
      <c r="V810" s="1323"/>
      <c r="W810" s="1323"/>
      <c r="X810" s="1323"/>
      <c r="Y810" s="1323"/>
      <c r="Z810" s="1323"/>
    </row>
    <row r="811" spans="1:26" ht="18.75" hidden="1">
      <c r="A811" s="1354"/>
      <c r="B811" s="1324"/>
      <c r="C811" s="1320"/>
      <c r="D811" s="1324"/>
      <c r="E811" s="1320"/>
      <c r="F811" s="1320" t="s">
        <v>187</v>
      </c>
      <c r="G811" s="1322"/>
      <c r="H811" s="165" t="s">
        <v>12</v>
      </c>
      <c r="I811" s="886"/>
      <c r="J811" s="886"/>
      <c r="K811" s="887"/>
      <c r="L811" s="887"/>
      <c r="M811" s="887"/>
      <c r="N811" s="887"/>
      <c r="O811" s="887"/>
      <c r="P811" s="887"/>
      <c r="Q811" s="1323"/>
      <c r="R811" s="1323"/>
      <c r="S811" s="1323"/>
      <c r="T811" s="1323"/>
      <c r="U811" s="1323"/>
      <c r="V811" s="1323"/>
      <c r="W811" s="1323"/>
      <c r="X811" s="1323"/>
      <c r="Y811" s="1323"/>
      <c r="Z811" s="1323"/>
    </row>
    <row r="812" spans="1:26" ht="18.75" hidden="1">
      <c r="A812" s="1354"/>
      <c r="B812" s="1324"/>
      <c r="C812" s="1320"/>
      <c r="D812" s="1324"/>
      <c r="E812" s="1320"/>
      <c r="F812" s="1320" t="s">
        <v>188</v>
      </c>
      <c r="G812" s="1322"/>
      <c r="H812" s="165" t="s">
        <v>12</v>
      </c>
      <c r="I812" s="886"/>
      <c r="J812" s="886"/>
      <c r="K812" s="887"/>
      <c r="L812" s="887"/>
      <c r="M812" s="887"/>
      <c r="N812" s="887"/>
      <c r="O812" s="887"/>
      <c r="P812" s="887"/>
      <c r="Q812" s="1323"/>
      <c r="R812" s="1323"/>
      <c r="S812" s="1323"/>
      <c r="T812" s="1323"/>
      <c r="U812" s="1323"/>
      <c r="V812" s="1323"/>
      <c r="W812" s="1323"/>
      <c r="X812" s="1323"/>
      <c r="Y812" s="1323"/>
      <c r="Z812" s="1323"/>
    </row>
    <row r="813" spans="1:26" ht="18.75" hidden="1">
      <c r="A813" s="1354"/>
      <c r="B813" s="1324"/>
      <c r="C813" s="1320"/>
      <c r="D813" s="1324"/>
      <c r="E813" s="1320"/>
      <c r="F813" s="1320" t="s">
        <v>189</v>
      </c>
      <c r="G813" s="1322"/>
      <c r="H813" s="165" t="s">
        <v>12</v>
      </c>
      <c r="I813" s="886"/>
      <c r="J813" s="886"/>
      <c r="K813" s="887"/>
      <c r="L813" s="887"/>
      <c r="M813" s="887"/>
      <c r="N813" s="887"/>
      <c r="O813" s="887"/>
      <c r="P813" s="887"/>
      <c r="Q813" s="1323"/>
      <c r="R813" s="1323"/>
      <c r="S813" s="1323"/>
      <c r="T813" s="1323"/>
      <c r="U813" s="1323"/>
      <c r="V813" s="1323"/>
      <c r="W813" s="1323"/>
      <c r="X813" s="1323"/>
      <c r="Y813" s="1323"/>
      <c r="Z813" s="1323"/>
    </row>
    <row r="814" spans="1:26" ht="18.75" hidden="1">
      <c r="A814" s="1354"/>
      <c r="B814" s="1324"/>
      <c r="C814" s="1320"/>
      <c r="D814" s="1324"/>
      <c r="E814" s="1320"/>
      <c r="F814" s="1320" t="s">
        <v>190</v>
      </c>
      <c r="G814" s="1322"/>
      <c r="H814" s="165" t="s">
        <v>12</v>
      </c>
      <c r="I814" s="886"/>
      <c r="J814" s="886"/>
      <c r="K814" s="887"/>
      <c r="L814" s="887"/>
      <c r="M814" s="887"/>
      <c r="N814" s="887"/>
      <c r="O814" s="887"/>
      <c r="P814" s="887"/>
      <c r="Q814" s="1323"/>
      <c r="R814" s="1323"/>
      <c r="S814" s="1323"/>
      <c r="T814" s="1323"/>
      <c r="U814" s="1323"/>
      <c r="V814" s="1323"/>
      <c r="W814" s="1323"/>
      <c r="X814" s="1323"/>
      <c r="Y814" s="1323"/>
      <c r="Z814" s="1323"/>
    </row>
    <row r="815" spans="1:26" ht="19.5" hidden="1">
      <c r="A815" s="1319"/>
      <c r="B815" s="1324"/>
      <c r="C815" s="1320"/>
      <c r="D815" s="1477" t="s">
        <v>21</v>
      </c>
      <c r="E815" s="841"/>
      <c r="F815" s="841"/>
      <c r="G815" s="1322"/>
      <c r="H815" s="781" t="s">
        <v>12</v>
      </c>
      <c r="I815" s="1000"/>
      <c r="J815" s="1000"/>
      <c r="K815" s="1001"/>
      <c r="L815" s="1352">
        <f t="shared" ref="L815:N815" si="332">L816+L817</f>
        <v>0</v>
      </c>
      <c r="M815" s="1352">
        <f t="shared" si="332"/>
        <v>0</v>
      </c>
      <c r="N815" s="1352">
        <f t="shared" si="332"/>
        <v>0</v>
      </c>
      <c r="O815" s="1352">
        <f t="shared" ref="O815:O817" si="333">IF(L815&gt;0,N815*100/L815,0)</f>
        <v>0</v>
      </c>
      <c r="P815" s="1352">
        <f t="shared" ref="P815:P817" si="334">IF(M815&gt;0,N815*100/M815,0)</f>
        <v>0</v>
      </c>
      <c r="Q815" s="1323"/>
      <c r="R815" s="1323"/>
      <c r="S815" s="1323"/>
      <c r="T815" s="1323"/>
      <c r="U815" s="1323"/>
      <c r="V815" s="1323"/>
      <c r="W815" s="1323"/>
      <c r="X815" s="1323"/>
      <c r="Y815" s="1323"/>
      <c r="Z815" s="1323"/>
    </row>
    <row r="816" spans="1:26" ht="18.75" hidden="1">
      <c r="A816" s="1319"/>
      <c r="B816" s="1324"/>
      <c r="C816" s="1320"/>
      <c r="D816" s="1324"/>
      <c r="E816" s="1320" t="s">
        <v>18</v>
      </c>
      <c r="F816" s="1320"/>
      <c r="G816" s="1322"/>
      <c r="H816" s="165" t="s">
        <v>12</v>
      </c>
      <c r="I816" s="1000"/>
      <c r="J816" s="1000"/>
      <c r="K816" s="1001"/>
      <c r="L816" s="887">
        <v>0</v>
      </c>
      <c r="M816" s="887">
        <v>0</v>
      </c>
      <c r="N816" s="887">
        <v>0</v>
      </c>
      <c r="O816" s="887">
        <f t="shared" si="333"/>
        <v>0</v>
      </c>
      <c r="P816" s="887">
        <f t="shared" si="334"/>
        <v>0</v>
      </c>
      <c r="Q816" s="1323"/>
      <c r="R816" s="1323"/>
      <c r="S816" s="1323"/>
      <c r="T816" s="1323"/>
      <c r="U816" s="1323"/>
      <c r="V816" s="1323"/>
      <c r="W816" s="1323"/>
      <c r="X816" s="1323"/>
      <c r="Y816" s="1323"/>
      <c r="Z816" s="1323"/>
    </row>
    <row r="817" spans="1:26" ht="18.75" hidden="1">
      <c r="A817" s="1319"/>
      <c r="B817" s="1324"/>
      <c r="C817" s="1320"/>
      <c r="D817" s="1324"/>
      <c r="E817" s="1320" t="s">
        <v>19</v>
      </c>
      <c r="F817" s="1320"/>
      <c r="G817" s="1322"/>
      <c r="H817" s="169" t="s">
        <v>12</v>
      </c>
      <c r="I817" s="1000"/>
      <c r="J817" s="1000"/>
      <c r="K817" s="1001"/>
      <c r="L817" s="887">
        <v>0</v>
      </c>
      <c r="M817" s="887">
        <v>0</v>
      </c>
      <c r="N817" s="887">
        <v>0</v>
      </c>
      <c r="O817" s="887">
        <f t="shared" si="333"/>
        <v>0</v>
      </c>
      <c r="P817" s="887">
        <f t="shared" si="334"/>
        <v>0</v>
      </c>
      <c r="Q817" s="1323"/>
      <c r="R817" s="1323"/>
      <c r="S817" s="1323"/>
      <c r="T817" s="1323"/>
      <c r="U817" s="1323"/>
      <c r="V817" s="1323"/>
      <c r="W817" s="1323"/>
      <c r="X817" s="1323"/>
      <c r="Y817" s="1323"/>
      <c r="Z817" s="1323"/>
    </row>
    <row r="818" spans="1:26" ht="19.5" hidden="1">
      <c r="A818" s="1332"/>
      <c r="B818" s="1333"/>
      <c r="C818" s="1320" t="s">
        <v>16</v>
      </c>
      <c r="D818" s="1478" t="s">
        <v>38</v>
      </c>
      <c r="E818" s="1356"/>
      <c r="F818" s="1356"/>
      <c r="G818" s="1357"/>
      <c r="H818" s="1113"/>
      <c r="I818" s="1000"/>
      <c r="J818" s="1000"/>
      <c r="K818" s="1001"/>
      <c r="L818" s="1001"/>
      <c r="M818" s="1001"/>
      <c r="N818" s="1001"/>
      <c r="O818" s="1001"/>
      <c r="P818" s="1001"/>
      <c r="Q818" s="1323"/>
      <c r="R818" s="1323"/>
      <c r="S818" s="1323"/>
      <c r="T818" s="1323"/>
      <c r="U818" s="1323"/>
      <c r="V818" s="1323"/>
      <c r="W818" s="1323"/>
      <c r="X818" s="1323"/>
      <c r="Y818" s="1323"/>
      <c r="Z818" s="1323"/>
    </row>
    <row r="819" spans="1:26" ht="19.5" hidden="1" thickBot="1">
      <c r="A819" s="1479"/>
      <c r="B819" s="1480"/>
      <c r="C819" s="1481"/>
      <c r="D819" s="1480"/>
      <c r="E819" s="1481" t="s">
        <v>324</v>
      </c>
      <c r="F819" s="1481"/>
      <c r="G819" s="1482"/>
      <c r="H819" s="817" t="s">
        <v>46</v>
      </c>
      <c r="I819" s="1483"/>
      <c r="J819" s="1483"/>
      <c r="K819" s="1484"/>
      <c r="L819" s="1484"/>
      <c r="M819" s="1484"/>
      <c r="N819" s="1484"/>
      <c r="O819" s="1484"/>
      <c r="P819" s="1484"/>
      <c r="Q819" s="1323"/>
      <c r="R819" s="1323"/>
      <c r="S819" s="1323"/>
      <c r="T819" s="1323"/>
      <c r="U819" s="1323"/>
      <c r="V819" s="1323"/>
      <c r="W819" s="1323"/>
      <c r="X819" s="1323"/>
      <c r="Y819" s="1323"/>
      <c r="Z819" s="1323"/>
    </row>
    <row r="820" spans="1:26" ht="19.5">
      <c r="A820" s="1485" t="s">
        <v>334</v>
      </c>
      <c r="B820" s="1486"/>
      <c r="C820" s="1486"/>
      <c r="D820" s="1487"/>
      <c r="E820" s="1486"/>
      <c r="F820" s="1486"/>
      <c r="G820" s="1488"/>
      <c r="H820" s="1489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0"/>
      <c r="J820" s="1490"/>
      <c r="K820" s="1491"/>
      <c r="L820" s="1491"/>
      <c r="M820" s="1491"/>
      <c r="N820" s="1491"/>
      <c r="O820" s="1491"/>
      <c r="P820" s="1491"/>
      <c r="Q820" s="1302"/>
      <c r="R820" s="1302"/>
      <c r="S820" s="1302"/>
      <c r="T820" s="1302"/>
      <c r="U820" s="1302"/>
      <c r="V820" s="1302"/>
      <c r="W820" s="1302"/>
      <c r="X820" s="1302"/>
      <c r="Y820" s="1302"/>
      <c r="Z820" s="1302"/>
    </row>
    <row r="821" spans="1:26" ht="18.75">
      <c r="A821" s="1429"/>
      <c r="B821" s="1301" t="s">
        <v>326</v>
      </c>
      <c r="C821" s="1301"/>
      <c r="D821" s="1300"/>
      <c r="E821" s="1301"/>
      <c r="F821" s="1301"/>
      <c r="G821" s="1016"/>
      <c r="H821" s="622" t="s">
        <v>12</v>
      </c>
      <c r="I821" s="880">
        <f ca="1">IFERROR(__xludf.DUMMYFUNCTION("IMPORTRANGE(""https://docs.google.com/spreadsheets/d/19vJNZY_5yjcGF2XGBMNZRCAIB0Kwfpjp8YEOfu-bneM/edit?usp=sharing"",""งานกองทุน!D78"")"),2828251.92)</f>
        <v>2828251.92</v>
      </c>
      <c r="J821" s="880">
        <f ca="1">IFERROR(__xludf.DUMMYFUNCTION("IMPORTRANGE(""https://docs.google.com/spreadsheets/d/19vJNZY_5yjcGF2XGBMNZRCAIB0Kwfpjp8YEOfu-bneM/edit?usp=sharing"",""งานกองทุน!F78"")"),419091.43)</f>
        <v>419091.43</v>
      </c>
      <c r="K821" s="881">
        <f t="shared" ref="K821:K828" ca="1" si="335">IF(I821&gt;0,J821*100/I821,0)</f>
        <v>14.818037496461772</v>
      </c>
      <c r="L821" s="881"/>
      <c r="M821" s="881"/>
      <c r="N821" s="881"/>
      <c r="O821" s="881"/>
      <c r="P821" s="881"/>
      <c r="Q821" s="1302"/>
      <c r="R821" s="1302"/>
      <c r="S821" s="1302"/>
      <c r="T821" s="1302"/>
      <c r="U821" s="1302"/>
      <c r="V821" s="1302"/>
      <c r="W821" s="1302"/>
      <c r="X821" s="1302"/>
      <c r="Y821" s="1302"/>
      <c r="Z821" s="1302"/>
    </row>
    <row r="822" spans="1:26" ht="18.75">
      <c r="A822" s="1429"/>
      <c r="B822" s="1301"/>
      <c r="C822" s="1301"/>
      <c r="D822" s="1300"/>
      <c r="E822" s="1301"/>
      <c r="F822" s="1301"/>
      <c r="G822" s="1016"/>
      <c r="H822" s="622" t="s">
        <v>35</v>
      </c>
      <c r="I822" s="880">
        <f ca="1">IFERROR(__xludf.DUMMYFUNCTION("IMPORTRANGE(""https://docs.google.com/spreadsheets/d/19vJNZY_5yjcGF2XGBMNZRCAIB0Kwfpjp8YEOfu-bneM/edit?usp=sharing"",""งานกองทุน!C78"")"),178)</f>
        <v>178</v>
      </c>
      <c r="J822" s="880">
        <f ca="1">IFERROR(__xludf.DUMMYFUNCTION("IMPORTRANGE(""https://docs.google.com/spreadsheets/d/19vJNZY_5yjcGF2XGBMNZRCAIB0Kwfpjp8YEOfu-bneM/edit?usp=sharing"",""งานกองทุน!E78"")"),24)</f>
        <v>24</v>
      </c>
      <c r="K822" s="881">
        <f t="shared" ca="1" si="335"/>
        <v>13.48314606741573</v>
      </c>
      <c r="L822" s="881"/>
      <c r="M822" s="881"/>
      <c r="N822" s="881"/>
      <c r="O822" s="881"/>
      <c r="P822" s="881"/>
      <c r="Q822" s="1302"/>
      <c r="R822" s="1302"/>
      <c r="S822" s="1302"/>
      <c r="T822" s="1302"/>
      <c r="U822" s="1302"/>
      <c r="V822" s="1302"/>
      <c r="W822" s="1302"/>
      <c r="X822" s="1302"/>
      <c r="Y822" s="1302"/>
      <c r="Z822" s="1302"/>
    </row>
    <row r="823" spans="1:26" ht="18.75">
      <c r="A823" s="1429"/>
      <c r="B823" s="1301" t="s">
        <v>327</v>
      </c>
      <c r="C823" s="1301"/>
      <c r="D823" s="1300"/>
      <c r="E823" s="1301"/>
      <c r="F823" s="1301"/>
      <c r="G823" s="1016"/>
      <c r="H823" s="622" t="s">
        <v>12</v>
      </c>
      <c r="I823" s="880">
        <f ca="1">IFERROR(__xludf.DUMMYFUNCTION("IMPORTRANGE(""https://docs.google.com/spreadsheets/d/19vJNZY_5yjcGF2XGBMNZRCAIB0Kwfpjp8YEOfu-bneM/edit?usp=sharing"",""งานกองทุน!I78"")"),2053041.08)</f>
        <v>2053041.08</v>
      </c>
      <c r="J823" s="880">
        <f ca="1">IFERROR(__xludf.DUMMYFUNCTION("IMPORTRANGE(""https://docs.google.com/spreadsheets/d/19vJNZY_5yjcGF2XGBMNZRCAIB0Kwfpjp8YEOfu-bneM/edit?usp=sharing"",""งานกองทุน!K78"")"),362551.52)</f>
        <v>362551.52</v>
      </c>
      <c r="K823" s="881">
        <f t="shared" ca="1" si="335"/>
        <v>17.659243330873828</v>
      </c>
      <c r="L823" s="881"/>
      <c r="M823" s="881"/>
      <c r="N823" s="881"/>
      <c r="O823" s="881"/>
      <c r="P823" s="881"/>
      <c r="Q823" s="1302"/>
      <c r="R823" s="1302"/>
      <c r="S823" s="1302"/>
      <c r="T823" s="1302"/>
      <c r="U823" s="1302"/>
      <c r="V823" s="1302"/>
      <c r="W823" s="1302"/>
      <c r="X823" s="1302"/>
      <c r="Y823" s="1302"/>
      <c r="Z823" s="1302"/>
    </row>
    <row r="824" spans="1:26" ht="18.75">
      <c r="A824" s="1429"/>
      <c r="B824" s="1301"/>
      <c r="C824" s="1301"/>
      <c r="D824" s="1300"/>
      <c r="E824" s="1301"/>
      <c r="F824" s="1301"/>
      <c r="G824" s="1016"/>
      <c r="H824" s="622" t="s">
        <v>35</v>
      </c>
      <c r="I824" s="880">
        <f ca="1">IFERROR(__xludf.DUMMYFUNCTION("IMPORTRANGE(""https://docs.google.com/spreadsheets/d/19vJNZY_5yjcGF2XGBMNZRCAIB0Kwfpjp8YEOfu-bneM/edit?usp=sharing"",""งานกองทุน!H78"")"),93)</f>
        <v>93</v>
      </c>
      <c r="J824" s="880">
        <f ca="1">IFERROR(__xludf.DUMMYFUNCTION("IMPORTRANGE(""https://docs.google.com/spreadsheets/d/19vJNZY_5yjcGF2XGBMNZRCAIB0Kwfpjp8YEOfu-bneM/edit?usp=sharing"",""งานกองทุน!J78"")"),65)</f>
        <v>65</v>
      </c>
      <c r="K824" s="881">
        <f t="shared" ca="1" si="335"/>
        <v>69.892473118279568</v>
      </c>
      <c r="L824" s="881"/>
      <c r="M824" s="881"/>
      <c r="N824" s="881"/>
      <c r="O824" s="881"/>
      <c r="P824" s="881"/>
      <c r="Q824" s="1302"/>
      <c r="R824" s="1302"/>
      <c r="S824" s="1302"/>
      <c r="T824" s="1302"/>
      <c r="U824" s="1302"/>
      <c r="V824" s="1302"/>
      <c r="W824" s="1302"/>
      <c r="X824" s="1302"/>
      <c r="Y824" s="1302"/>
      <c r="Z824" s="1302"/>
    </row>
    <row r="825" spans="1:26" ht="18.75">
      <c r="A825" s="1429"/>
      <c r="B825" s="1301" t="s">
        <v>328</v>
      </c>
      <c r="C825" s="1301"/>
      <c r="D825" s="1300"/>
      <c r="E825" s="1301"/>
      <c r="F825" s="1301"/>
      <c r="G825" s="1016"/>
      <c r="H825" s="622" t="s">
        <v>12</v>
      </c>
      <c r="I825" s="880">
        <f ca="1">IFERROR(__xludf.DUMMYFUNCTION("IMPORTRANGE(""https://docs.google.com/spreadsheets/d/19vJNZY_5yjcGF2XGBMNZRCAIB0Kwfpjp8YEOfu-bneM/edit?usp=sharing"",""งานกองทุน!N78"")"),0)</f>
        <v>0</v>
      </c>
      <c r="J825" s="880">
        <f ca="1">IFERROR(__xludf.DUMMYFUNCTION("IMPORTRANGE(""https://docs.google.com/spreadsheets/d/19vJNZY_5yjcGF2XGBMNZRCAIB0Kwfpjp8YEOfu-bneM/edit?usp=sharing"",""งานกองทุน!P78"")"),0)</f>
        <v>0</v>
      </c>
      <c r="K825" s="881">
        <f t="shared" ca="1" si="335"/>
        <v>0</v>
      </c>
      <c r="L825" s="881"/>
      <c r="M825" s="881"/>
      <c r="N825" s="881"/>
      <c r="O825" s="881"/>
      <c r="P825" s="881"/>
      <c r="Q825" s="1302"/>
      <c r="R825" s="1302"/>
      <c r="S825" s="1302"/>
      <c r="T825" s="1302"/>
      <c r="U825" s="1302"/>
      <c r="V825" s="1302"/>
      <c r="W825" s="1302"/>
      <c r="X825" s="1302"/>
      <c r="Y825" s="1302"/>
      <c r="Z825" s="1302"/>
    </row>
    <row r="826" spans="1:26" ht="18.75">
      <c r="A826" s="1429"/>
      <c r="B826" s="1301"/>
      <c r="C826" s="1301"/>
      <c r="D826" s="1300"/>
      <c r="E826" s="1301"/>
      <c r="F826" s="1301"/>
      <c r="G826" s="1016"/>
      <c r="H826" s="622" t="s">
        <v>35</v>
      </c>
      <c r="I826" s="880">
        <f ca="1">IFERROR(__xludf.DUMMYFUNCTION("IMPORTRANGE(""https://docs.google.com/spreadsheets/d/19vJNZY_5yjcGF2XGBMNZRCAIB0Kwfpjp8YEOfu-bneM/edit?usp=sharing"",""งานกองทุน!M78"")"),0)</f>
        <v>0</v>
      </c>
      <c r="J826" s="880">
        <f ca="1">IFERROR(__xludf.DUMMYFUNCTION("IMPORTRANGE(""https://docs.google.com/spreadsheets/d/19vJNZY_5yjcGF2XGBMNZRCAIB0Kwfpjp8YEOfu-bneM/edit?usp=sharing"",""งานกองทุน!O78"")"),0)</f>
        <v>0</v>
      </c>
      <c r="K826" s="881">
        <f t="shared" ca="1" si="335"/>
        <v>0</v>
      </c>
      <c r="L826" s="881"/>
      <c r="M826" s="881"/>
      <c r="N826" s="881"/>
      <c r="O826" s="881"/>
      <c r="P826" s="881"/>
      <c r="Q826" s="1302"/>
      <c r="R826" s="1302"/>
      <c r="S826" s="1302"/>
      <c r="T826" s="1302"/>
      <c r="U826" s="1302"/>
      <c r="V826" s="1302"/>
      <c r="W826" s="1302"/>
      <c r="X826" s="1302"/>
      <c r="Y826" s="1302"/>
      <c r="Z826" s="1302"/>
    </row>
    <row r="827" spans="1:26" ht="18.75">
      <c r="A827" s="1429"/>
      <c r="B827" s="1301" t="s">
        <v>329</v>
      </c>
      <c r="C827" s="1301"/>
      <c r="D827" s="1300"/>
      <c r="E827" s="1301"/>
      <c r="F827" s="1301"/>
      <c r="G827" s="1016"/>
      <c r="H827" s="622" t="s">
        <v>12</v>
      </c>
      <c r="I827" s="880">
        <f ca="1">IFERROR(__xludf.DUMMYFUNCTION("IMPORTRANGE(""https://docs.google.com/spreadsheets/d/19vJNZY_5yjcGF2XGBMNZRCAIB0Kwfpjp8YEOfu-bneM/edit?usp=sharing"",""งานกองทุน!S78"")"),2280000)</f>
        <v>2280000</v>
      </c>
      <c r="J827" s="880">
        <f ca="1">IFERROR(__xludf.DUMMYFUNCTION("IMPORTRANGE(""https://docs.google.com/spreadsheets/d/19vJNZY_5yjcGF2XGBMNZRCAIB0Kwfpjp8YEOfu-bneM/edit?usp=sharing"",""งานกองทุน!U78"")"),830000)</f>
        <v>830000</v>
      </c>
      <c r="K827" s="881">
        <f t="shared" ca="1" si="335"/>
        <v>36.403508771929822</v>
      </c>
      <c r="L827" s="881"/>
      <c r="M827" s="881"/>
      <c r="N827" s="881"/>
      <c r="O827" s="881"/>
      <c r="P827" s="881"/>
      <c r="Q827" s="1302"/>
      <c r="R827" s="1302"/>
      <c r="S827" s="1302"/>
      <c r="T827" s="1302"/>
      <c r="U827" s="1302"/>
      <c r="V827" s="1302"/>
      <c r="W827" s="1302"/>
      <c r="X827" s="1302"/>
      <c r="Y827" s="1302"/>
      <c r="Z827" s="1302"/>
    </row>
    <row r="828" spans="1:26" ht="18.75">
      <c r="A828" s="1430"/>
      <c r="B828" s="1432"/>
      <c r="C828" s="1432"/>
      <c r="D828" s="1431"/>
      <c r="E828" s="1432"/>
      <c r="F828" s="1432"/>
      <c r="G828" s="1492"/>
      <c r="H828" s="827" t="s">
        <v>35</v>
      </c>
      <c r="I828" s="1138">
        <f ca="1">IFERROR(__xludf.DUMMYFUNCTION("IMPORTRANGE(""https://docs.google.com/spreadsheets/d/19vJNZY_5yjcGF2XGBMNZRCAIB0Kwfpjp8YEOfu-bneM/edit?usp=sharing"",""งานกองทุน!R78"")"),91)</f>
        <v>91</v>
      </c>
      <c r="J828" s="1138">
        <f ca="1">IFERROR(__xludf.DUMMYFUNCTION("IMPORTRANGE(""https://docs.google.com/spreadsheets/d/19vJNZY_5yjcGF2XGBMNZRCAIB0Kwfpjp8YEOfu-bneM/edit?usp=sharing"",""งานกองทุน!T78"")"),39)</f>
        <v>39</v>
      </c>
      <c r="K828" s="1239">
        <f t="shared" ca="1" si="335"/>
        <v>42.857142857142854</v>
      </c>
      <c r="L828" s="1239"/>
      <c r="M828" s="1239"/>
      <c r="N828" s="1239"/>
      <c r="O828" s="1239"/>
      <c r="P828" s="1239"/>
      <c r="Q828" s="1302"/>
      <c r="R828" s="1302"/>
      <c r="S828" s="1302"/>
      <c r="T828" s="1302"/>
      <c r="U828" s="1302"/>
      <c r="V828" s="1302"/>
      <c r="W828" s="1302"/>
      <c r="X828" s="1302"/>
      <c r="Y828" s="1302"/>
      <c r="Z828" s="130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0D9D2-5A8D-41AF-BE9F-BFCC20A9861C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Q1" sqref="Q1"/>
    </sheetView>
  </sheetViews>
  <sheetFormatPr defaultColWidth="12.5703125" defaultRowHeight="15.75" customHeight="1"/>
  <cols>
    <col min="1" max="3" width="3.28515625" style="852" customWidth="1"/>
    <col min="4" max="6" width="5.85546875" style="852" customWidth="1"/>
    <col min="7" max="7" width="56.42578125" style="852" customWidth="1"/>
    <col min="8" max="8" width="9.42578125" style="852" customWidth="1"/>
    <col min="9" max="9" width="14.5703125" style="852" bestFit="1" customWidth="1"/>
    <col min="10" max="10" width="13.7109375" style="852" bestFit="1" customWidth="1"/>
    <col min="11" max="11" width="13.28515625" style="852" bestFit="1" customWidth="1"/>
    <col min="12" max="15" width="20.28515625" style="852" bestFit="1" customWidth="1"/>
    <col min="16" max="16" width="22.140625" style="852" bestFit="1" customWidth="1"/>
    <col min="17" max="16384" width="12.5703125" style="852"/>
  </cols>
  <sheetData>
    <row r="1" spans="1:26" ht="19.5">
      <c r="A1" s="828" t="s">
        <v>0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51"/>
      <c r="Q1" s="1494"/>
    </row>
    <row r="2" spans="1:26" ht="19.5">
      <c r="A2" s="828" t="s">
        <v>341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</row>
    <row r="3" spans="1:26" ht="19.5">
      <c r="A3" s="828" t="s">
        <v>330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</row>
    <row r="4" spans="1:26" ht="12.75">
      <c r="A4" s="853"/>
      <c r="B4" s="853"/>
      <c r="C4" s="853"/>
      <c r="D4" s="853"/>
      <c r="E4" s="853"/>
      <c r="F4" s="853"/>
      <c r="G4" s="853"/>
      <c r="H4" s="853"/>
      <c r="I4" s="853"/>
      <c r="J4" s="854"/>
      <c r="K4" s="855"/>
      <c r="L4" s="854"/>
      <c r="M4" s="854"/>
      <c r="N4" s="854"/>
      <c r="O4" s="853"/>
      <c r="P4" s="853"/>
    </row>
    <row r="5" spans="1:26" ht="19.5">
      <c r="A5" s="836" t="s">
        <v>2</v>
      </c>
      <c r="B5" s="851"/>
      <c r="C5" s="851"/>
      <c r="D5" s="851"/>
      <c r="E5" s="851"/>
      <c r="F5" s="851"/>
      <c r="G5" s="837"/>
      <c r="H5" s="830" t="s">
        <v>3</v>
      </c>
      <c r="I5" s="832" t="s">
        <v>4</v>
      </c>
      <c r="J5" s="833"/>
      <c r="K5" s="831"/>
      <c r="L5" s="834" t="s">
        <v>5</v>
      </c>
      <c r="M5" s="831"/>
      <c r="N5" s="835" t="s">
        <v>6</v>
      </c>
      <c r="O5" s="833"/>
      <c r="P5" s="831"/>
    </row>
    <row r="6" spans="1:26" ht="19.5">
      <c r="A6" s="838"/>
      <c r="B6" s="833"/>
      <c r="C6" s="833"/>
      <c r="D6" s="833"/>
      <c r="E6" s="833"/>
      <c r="F6" s="833"/>
      <c r="G6" s="831"/>
      <c r="H6" s="83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6" t="s">
        <v>15</v>
      </c>
      <c r="B7" s="833"/>
      <c r="C7" s="833"/>
      <c r="D7" s="833"/>
      <c r="E7" s="833"/>
      <c r="F7" s="833"/>
      <c r="G7" s="831"/>
      <c r="H7" s="857"/>
      <c r="I7" s="858"/>
      <c r="J7" s="858"/>
      <c r="K7" s="859"/>
      <c r="L7" s="859"/>
      <c r="M7" s="859"/>
      <c r="N7" s="859"/>
      <c r="O7" s="859"/>
      <c r="P7" s="859"/>
    </row>
    <row r="8" spans="1:26" ht="19.5">
      <c r="A8" s="860"/>
      <c r="B8" s="861"/>
      <c r="C8" s="862" t="s">
        <v>16</v>
      </c>
      <c r="D8" s="863" t="s">
        <v>17</v>
      </c>
      <c r="E8" s="861"/>
      <c r="F8" s="861"/>
      <c r="G8" s="864"/>
      <c r="H8" s="19" t="s">
        <v>12</v>
      </c>
      <c r="I8" s="865"/>
      <c r="J8" s="865"/>
      <c r="K8" s="866"/>
      <c r="L8" s="867">
        <f t="shared" ref="L8:N8" ca="1" si="0">L9+L10</f>
        <v>2683594</v>
      </c>
      <c r="M8" s="867">
        <f t="shared" ca="1" si="0"/>
        <v>2411785.66</v>
      </c>
      <c r="N8" s="867">
        <f t="shared" ca="1" si="0"/>
        <v>1424255.1</v>
      </c>
      <c r="O8" s="867">
        <f t="shared" ref="O8:O16" ca="1" si="1">IF(L8&gt;0,N8*100/L8,0)</f>
        <v>53.0726741824583</v>
      </c>
      <c r="P8" s="867">
        <f t="shared" ref="P8:P16" ca="1" si="2">IF(M8&gt;0,N8*100/M8,0)</f>
        <v>59.053966677950974</v>
      </c>
      <c r="Q8" s="868"/>
      <c r="R8" s="868"/>
      <c r="S8" s="868"/>
      <c r="T8" s="868"/>
      <c r="U8" s="868"/>
      <c r="V8" s="868"/>
      <c r="W8" s="868"/>
      <c r="X8" s="868"/>
      <c r="Y8" s="868"/>
      <c r="Z8" s="868"/>
    </row>
    <row r="9" spans="1:26" ht="18.75" hidden="1">
      <c r="A9" s="869"/>
      <c r="B9" s="870"/>
      <c r="C9" s="870"/>
      <c r="D9" s="870"/>
      <c r="E9" s="871" t="s">
        <v>18</v>
      </c>
      <c r="F9" s="870"/>
      <c r="G9" s="872"/>
      <c r="H9" s="28" t="s">
        <v>12</v>
      </c>
      <c r="I9" s="873"/>
      <c r="J9" s="873"/>
      <c r="K9" s="874"/>
      <c r="L9" s="874">
        <f t="shared" ref="L9:N10" si="3">L12+L15</f>
        <v>0</v>
      </c>
      <c r="M9" s="874">
        <f t="shared" si="3"/>
        <v>0</v>
      </c>
      <c r="N9" s="874">
        <f t="shared" si="3"/>
        <v>0</v>
      </c>
      <c r="O9" s="874">
        <f t="shared" si="1"/>
        <v>0</v>
      </c>
      <c r="P9" s="874">
        <f t="shared" si="2"/>
        <v>0</v>
      </c>
      <c r="Q9" s="875"/>
      <c r="R9" s="875"/>
      <c r="S9" s="875"/>
      <c r="T9" s="875"/>
      <c r="U9" s="875"/>
      <c r="V9" s="875"/>
      <c r="W9" s="875"/>
      <c r="X9" s="875"/>
      <c r="Y9" s="875"/>
      <c r="Z9" s="875"/>
    </row>
    <row r="10" spans="1:26" ht="18.75" hidden="1">
      <c r="A10" s="869"/>
      <c r="B10" s="870"/>
      <c r="C10" s="870"/>
      <c r="D10" s="870"/>
      <c r="E10" s="871" t="s">
        <v>19</v>
      </c>
      <c r="F10" s="870"/>
      <c r="G10" s="872"/>
      <c r="H10" s="28" t="s">
        <v>12</v>
      </c>
      <c r="I10" s="873"/>
      <c r="J10" s="873"/>
      <c r="K10" s="874"/>
      <c r="L10" s="874">
        <f t="shared" ca="1" si="3"/>
        <v>2683594</v>
      </c>
      <c r="M10" s="874">
        <f t="shared" ca="1" si="3"/>
        <v>2411785.66</v>
      </c>
      <c r="N10" s="874">
        <f t="shared" ca="1" si="3"/>
        <v>1424255.1</v>
      </c>
      <c r="O10" s="874">
        <f t="shared" ca="1" si="1"/>
        <v>53.0726741824583</v>
      </c>
      <c r="P10" s="874">
        <f t="shared" ca="1" si="2"/>
        <v>59.053966677950974</v>
      </c>
      <c r="Q10" s="875"/>
      <c r="R10" s="875"/>
      <c r="S10" s="875"/>
      <c r="T10" s="875"/>
      <c r="U10" s="875"/>
      <c r="V10" s="875"/>
      <c r="W10" s="875"/>
      <c r="X10" s="875"/>
      <c r="Y10" s="875"/>
      <c r="Z10" s="875"/>
    </row>
    <row r="11" spans="1:26" ht="18.75">
      <c r="A11" s="876"/>
      <c r="B11" s="877"/>
      <c r="C11" s="877"/>
      <c r="D11" s="878" t="s">
        <v>20</v>
      </c>
      <c r="E11" s="877"/>
      <c r="F11" s="877"/>
      <c r="G11" s="879"/>
      <c r="H11" s="622" t="s">
        <v>12</v>
      </c>
      <c r="I11" s="880"/>
      <c r="J11" s="880"/>
      <c r="K11" s="881"/>
      <c r="L11" s="881">
        <f t="shared" ref="L11:N11" ca="1" si="4">L12+L13</f>
        <v>2592794</v>
      </c>
      <c r="M11" s="881">
        <f t="shared" ca="1" si="4"/>
        <v>2320985.66</v>
      </c>
      <c r="N11" s="881">
        <f t="shared" ca="1" si="4"/>
        <v>1333455.1000000001</v>
      </c>
      <c r="O11" s="881">
        <f t="shared" ca="1" si="1"/>
        <v>51.429272823062696</v>
      </c>
      <c r="P11" s="881">
        <f t="shared" ca="1" si="2"/>
        <v>57.452104206451672</v>
      </c>
      <c r="Q11" s="868"/>
      <c r="R11" s="868"/>
      <c r="S11" s="868"/>
      <c r="T11" s="868"/>
      <c r="U11" s="868"/>
      <c r="V11" s="868"/>
      <c r="W11" s="868"/>
      <c r="X11" s="868"/>
      <c r="Y11" s="868"/>
      <c r="Z11" s="868"/>
    </row>
    <row r="12" spans="1:26" ht="18.75" hidden="1">
      <c r="A12" s="882"/>
      <c r="B12" s="883"/>
      <c r="C12" s="883"/>
      <c r="D12" s="883"/>
      <c r="E12" s="884" t="s">
        <v>18</v>
      </c>
      <c r="F12" s="883"/>
      <c r="G12" s="885"/>
      <c r="H12" s="43" t="s">
        <v>12</v>
      </c>
      <c r="I12" s="886"/>
      <c r="J12" s="886"/>
      <c r="K12" s="887"/>
      <c r="L12" s="887">
        <f t="shared" ref="L12:N13" si="5">L22+L32</f>
        <v>0</v>
      </c>
      <c r="M12" s="887">
        <f t="shared" si="5"/>
        <v>0</v>
      </c>
      <c r="N12" s="887">
        <f t="shared" si="5"/>
        <v>0</v>
      </c>
      <c r="O12" s="887">
        <f t="shared" si="1"/>
        <v>0</v>
      </c>
      <c r="P12" s="887">
        <f t="shared" si="2"/>
        <v>0</v>
      </c>
      <c r="Q12" s="875"/>
      <c r="R12" s="875"/>
      <c r="S12" s="875"/>
      <c r="T12" s="875"/>
      <c r="U12" s="875"/>
      <c r="V12" s="875"/>
      <c r="W12" s="875"/>
      <c r="X12" s="875"/>
      <c r="Y12" s="875"/>
      <c r="Z12" s="875"/>
    </row>
    <row r="13" spans="1:26" ht="18.75" hidden="1">
      <c r="A13" s="882"/>
      <c r="B13" s="883"/>
      <c r="C13" s="883"/>
      <c r="D13" s="883"/>
      <c r="E13" s="884" t="s">
        <v>19</v>
      </c>
      <c r="F13" s="883"/>
      <c r="G13" s="885"/>
      <c r="H13" s="43" t="s">
        <v>12</v>
      </c>
      <c r="I13" s="886"/>
      <c r="J13" s="886"/>
      <c r="K13" s="887"/>
      <c r="L13" s="887">
        <f t="shared" ca="1" si="5"/>
        <v>2592794</v>
      </c>
      <c r="M13" s="887">
        <f t="shared" ca="1" si="5"/>
        <v>2320985.66</v>
      </c>
      <c r="N13" s="887">
        <f t="shared" ca="1" si="5"/>
        <v>1333455.1000000001</v>
      </c>
      <c r="O13" s="887">
        <f t="shared" ca="1" si="1"/>
        <v>51.429272823062696</v>
      </c>
      <c r="P13" s="887">
        <f t="shared" ca="1" si="2"/>
        <v>57.452104206451672</v>
      </c>
      <c r="Q13" s="875"/>
      <c r="R13" s="875"/>
      <c r="S13" s="875"/>
      <c r="T13" s="875"/>
      <c r="U13" s="875"/>
      <c r="V13" s="875"/>
      <c r="W13" s="875"/>
      <c r="X13" s="875"/>
      <c r="Y13" s="875"/>
      <c r="Z13" s="875"/>
    </row>
    <row r="14" spans="1:26" ht="18.75">
      <c r="A14" s="876"/>
      <c r="B14" s="877"/>
      <c r="C14" s="877"/>
      <c r="D14" s="878" t="s">
        <v>21</v>
      </c>
      <c r="E14" s="877"/>
      <c r="F14" s="877"/>
      <c r="G14" s="879"/>
      <c r="H14" s="622" t="s">
        <v>12</v>
      </c>
      <c r="I14" s="880"/>
      <c r="J14" s="880"/>
      <c r="K14" s="881"/>
      <c r="L14" s="881">
        <f t="shared" ref="L14:N14" ca="1" si="6">L15+L16</f>
        <v>90800</v>
      </c>
      <c r="M14" s="881">
        <f t="shared" ca="1" si="6"/>
        <v>90800</v>
      </c>
      <c r="N14" s="881">
        <f t="shared" ca="1" si="6"/>
        <v>90800</v>
      </c>
      <c r="O14" s="881">
        <f t="shared" ca="1" si="1"/>
        <v>100</v>
      </c>
      <c r="P14" s="881">
        <f t="shared" ca="1" si="2"/>
        <v>100</v>
      </c>
      <c r="Q14" s="868"/>
      <c r="R14" s="868"/>
      <c r="S14" s="868"/>
      <c r="T14" s="868"/>
      <c r="U14" s="868"/>
      <c r="V14" s="868"/>
      <c r="W14" s="868"/>
      <c r="X14" s="868"/>
      <c r="Y14" s="868"/>
      <c r="Z14" s="868"/>
    </row>
    <row r="15" spans="1:26" ht="18.75" hidden="1">
      <c r="A15" s="882"/>
      <c r="B15" s="883"/>
      <c r="C15" s="883"/>
      <c r="D15" s="883"/>
      <c r="E15" s="884" t="s">
        <v>18</v>
      </c>
      <c r="F15" s="883"/>
      <c r="G15" s="885"/>
      <c r="H15" s="43" t="s">
        <v>12</v>
      </c>
      <c r="I15" s="886"/>
      <c r="J15" s="886"/>
      <c r="K15" s="887"/>
      <c r="L15" s="887">
        <f t="shared" ref="L15:N16" si="7">L25+L35</f>
        <v>0</v>
      </c>
      <c r="M15" s="887">
        <f t="shared" si="7"/>
        <v>0</v>
      </c>
      <c r="N15" s="887">
        <f t="shared" si="7"/>
        <v>0</v>
      </c>
      <c r="O15" s="887">
        <f t="shared" si="1"/>
        <v>0</v>
      </c>
      <c r="P15" s="887">
        <f t="shared" si="2"/>
        <v>0</v>
      </c>
      <c r="Q15" s="875"/>
      <c r="R15" s="875"/>
      <c r="S15" s="875"/>
      <c r="T15" s="875"/>
      <c r="U15" s="875"/>
      <c r="V15" s="875"/>
      <c r="W15" s="875"/>
      <c r="X15" s="875"/>
      <c r="Y15" s="875"/>
      <c r="Z15" s="875"/>
    </row>
    <row r="16" spans="1:26" ht="18.75" hidden="1">
      <c r="A16" s="888"/>
      <c r="B16" s="889"/>
      <c r="C16" s="889"/>
      <c r="D16" s="889"/>
      <c r="E16" s="890" t="s">
        <v>19</v>
      </c>
      <c r="F16" s="889"/>
      <c r="G16" s="891"/>
      <c r="H16" s="50" t="s">
        <v>12</v>
      </c>
      <c r="I16" s="892"/>
      <c r="J16" s="892"/>
      <c r="K16" s="893"/>
      <c r="L16" s="893">
        <f t="shared" ca="1" si="7"/>
        <v>90800</v>
      </c>
      <c r="M16" s="893">
        <f t="shared" ca="1" si="7"/>
        <v>90800</v>
      </c>
      <c r="N16" s="893">
        <f t="shared" ca="1" si="7"/>
        <v>90800</v>
      </c>
      <c r="O16" s="893">
        <f t="shared" ca="1" si="1"/>
        <v>100</v>
      </c>
      <c r="P16" s="893">
        <f t="shared" ca="1" si="2"/>
        <v>100</v>
      </c>
      <c r="Q16" s="875"/>
      <c r="R16" s="875"/>
      <c r="S16" s="875"/>
      <c r="T16" s="875"/>
      <c r="U16" s="875"/>
      <c r="V16" s="875"/>
      <c r="W16" s="875"/>
      <c r="X16" s="875"/>
      <c r="Y16" s="875"/>
      <c r="Z16" s="875"/>
    </row>
    <row r="17" spans="1:26" ht="19.5">
      <c r="A17" s="856" t="s">
        <v>22</v>
      </c>
      <c r="B17" s="833"/>
      <c r="C17" s="833"/>
      <c r="D17" s="833"/>
      <c r="E17" s="833"/>
      <c r="F17" s="833"/>
      <c r="G17" s="831"/>
      <c r="H17" s="857"/>
      <c r="I17" s="858"/>
      <c r="J17" s="858"/>
      <c r="K17" s="859"/>
      <c r="L17" s="859"/>
      <c r="M17" s="859"/>
      <c r="N17" s="859"/>
      <c r="O17" s="859"/>
      <c r="P17" s="859"/>
    </row>
    <row r="18" spans="1:26" ht="19.5">
      <c r="A18" s="860"/>
      <c r="B18" s="861"/>
      <c r="C18" s="862" t="s">
        <v>16</v>
      </c>
      <c r="D18" s="863" t="s">
        <v>17</v>
      </c>
      <c r="E18" s="861"/>
      <c r="F18" s="861"/>
      <c r="G18" s="864"/>
      <c r="H18" s="19" t="s">
        <v>12</v>
      </c>
      <c r="I18" s="865"/>
      <c r="J18" s="865"/>
      <c r="K18" s="866"/>
      <c r="L18" s="867">
        <f t="shared" ref="L18:N18" ca="1" si="8">L19+L20</f>
        <v>1945970</v>
      </c>
      <c r="M18" s="867">
        <f t="shared" ca="1" si="8"/>
        <v>1679771.66</v>
      </c>
      <c r="N18" s="867">
        <f t="shared" ca="1" si="8"/>
        <v>1088857.1000000001</v>
      </c>
      <c r="O18" s="867">
        <f t="shared" ref="O18:O26" ca="1" si="9">IF(L18&gt;0,N18*100/L18,0)</f>
        <v>55.954464868420381</v>
      </c>
      <c r="P18" s="867">
        <f t="shared" ref="P18:P26" ca="1" si="10">IF(M18&gt;0,N18*100/M18,0)</f>
        <v>64.82173297292087</v>
      </c>
      <c r="Q18" s="868"/>
      <c r="R18" s="868"/>
      <c r="S18" s="868"/>
      <c r="T18" s="868"/>
      <c r="U18" s="868"/>
      <c r="V18" s="868"/>
      <c r="W18" s="868"/>
      <c r="X18" s="868"/>
      <c r="Y18" s="868"/>
      <c r="Z18" s="868"/>
    </row>
    <row r="19" spans="1:26" ht="18.75" hidden="1">
      <c r="A19" s="869"/>
      <c r="B19" s="870"/>
      <c r="C19" s="870"/>
      <c r="D19" s="870"/>
      <c r="E19" s="871" t="s">
        <v>18</v>
      </c>
      <c r="F19" s="870"/>
      <c r="G19" s="872"/>
      <c r="H19" s="28" t="s">
        <v>12</v>
      </c>
      <c r="I19" s="873"/>
      <c r="J19" s="873"/>
      <c r="K19" s="874"/>
      <c r="L19" s="874">
        <f t="shared" ref="L19:N20" si="11">L22+L25</f>
        <v>0</v>
      </c>
      <c r="M19" s="874">
        <f t="shared" si="11"/>
        <v>0</v>
      </c>
      <c r="N19" s="874">
        <f t="shared" si="11"/>
        <v>0</v>
      </c>
      <c r="O19" s="874">
        <f t="shared" si="9"/>
        <v>0</v>
      </c>
      <c r="P19" s="874">
        <f t="shared" si="10"/>
        <v>0</v>
      </c>
      <c r="Q19" s="875"/>
      <c r="R19" s="875"/>
      <c r="S19" s="875"/>
      <c r="T19" s="875"/>
      <c r="U19" s="875"/>
      <c r="V19" s="875"/>
      <c r="W19" s="875"/>
      <c r="X19" s="875"/>
      <c r="Y19" s="875"/>
      <c r="Z19" s="875"/>
    </row>
    <row r="20" spans="1:26" ht="18.75" hidden="1">
      <c r="A20" s="869"/>
      <c r="B20" s="870"/>
      <c r="C20" s="870"/>
      <c r="D20" s="870"/>
      <c r="E20" s="871" t="s">
        <v>19</v>
      </c>
      <c r="F20" s="870"/>
      <c r="G20" s="872"/>
      <c r="H20" s="28" t="s">
        <v>12</v>
      </c>
      <c r="I20" s="873"/>
      <c r="J20" s="873"/>
      <c r="K20" s="874"/>
      <c r="L20" s="874">
        <f t="shared" ca="1" si="11"/>
        <v>1945970</v>
      </c>
      <c r="M20" s="874">
        <f t="shared" ca="1" si="11"/>
        <v>1679771.66</v>
      </c>
      <c r="N20" s="874">
        <f t="shared" ca="1" si="11"/>
        <v>1088857.1000000001</v>
      </c>
      <c r="O20" s="874">
        <f t="shared" ca="1" si="9"/>
        <v>55.954464868420381</v>
      </c>
      <c r="P20" s="874">
        <f t="shared" ca="1" si="10"/>
        <v>64.82173297292087</v>
      </c>
      <c r="Q20" s="875"/>
      <c r="R20" s="875"/>
      <c r="S20" s="875"/>
      <c r="T20" s="875"/>
      <c r="U20" s="875"/>
      <c r="V20" s="875"/>
      <c r="W20" s="875"/>
      <c r="X20" s="875"/>
      <c r="Y20" s="875"/>
      <c r="Z20" s="875"/>
    </row>
    <row r="21" spans="1:26" ht="18.75">
      <c r="A21" s="876"/>
      <c r="B21" s="877"/>
      <c r="C21" s="877"/>
      <c r="D21" s="878" t="s">
        <v>20</v>
      </c>
      <c r="E21" s="877"/>
      <c r="F21" s="877"/>
      <c r="G21" s="879"/>
      <c r="H21" s="622" t="s">
        <v>12</v>
      </c>
      <c r="I21" s="880"/>
      <c r="J21" s="880"/>
      <c r="K21" s="881"/>
      <c r="L21" s="881">
        <f t="shared" ref="L21:N21" ca="1" si="12">L22+L23</f>
        <v>1855170</v>
      </c>
      <c r="M21" s="881">
        <f t="shared" ca="1" si="12"/>
        <v>1588971.66</v>
      </c>
      <c r="N21" s="881">
        <f t="shared" ca="1" si="12"/>
        <v>998057.10000000009</v>
      </c>
      <c r="O21" s="881">
        <f t="shared" ca="1" si="9"/>
        <v>53.79868691278967</v>
      </c>
      <c r="P21" s="881">
        <f t="shared" ca="1" si="10"/>
        <v>62.811510433106164</v>
      </c>
      <c r="Q21" s="868"/>
      <c r="R21" s="868"/>
      <c r="S21" s="868"/>
      <c r="T21" s="868"/>
      <c r="U21" s="868"/>
      <c r="V21" s="868"/>
      <c r="W21" s="868"/>
      <c r="X21" s="868"/>
      <c r="Y21" s="868"/>
      <c r="Z21" s="868"/>
    </row>
    <row r="22" spans="1:26" ht="18.75" hidden="1">
      <c r="A22" s="882"/>
      <c r="B22" s="883"/>
      <c r="C22" s="883"/>
      <c r="D22" s="883"/>
      <c r="E22" s="884" t="s">
        <v>18</v>
      </c>
      <c r="F22" s="883"/>
      <c r="G22" s="885"/>
      <c r="H22" s="43" t="s">
        <v>12</v>
      </c>
      <c r="I22" s="886"/>
      <c r="J22" s="886"/>
      <c r="K22" s="887"/>
      <c r="L22" s="887">
        <f t="shared" ref="L22:N23" si="13">L45+L57+L70+L92+L123+L136+L153+L185+L169+L265+L281+L302+L319+L332+L349+L393+L406</f>
        <v>0</v>
      </c>
      <c r="M22" s="887">
        <f t="shared" si="13"/>
        <v>0</v>
      </c>
      <c r="N22" s="887">
        <f t="shared" si="13"/>
        <v>0</v>
      </c>
      <c r="O22" s="887">
        <f t="shared" si="9"/>
        <v>0</v>
      </c>
      <c r="P22" s="887">
        <f t="shared" si="10"/>
        <v>0</v>
      </c>
      <c r="Q22" s="875"/>
      <c r="R22" s="875"/>
      <c r="S22" s="875"/>
      <c r="T22" s="875"/>
      <c r="U22" s="875"/>
      <c r="V22" s="875"/>
      <c r="W22" s="875"/>
      <c r="X22" s="875"/>
      <c r="Y22" s="875"/>
      <c r="Z22" s="875"/>
    </row>
    <row r="23" spans="1:26" ht="18.75" hidden="1">
      <c r="A23" s="882"/>
      <c r="B23" s="883"/>
      <c r="C23" s="883"/>
      <c r="D23" s="883"/>
      <c r="E23" s="884" t="s">
        <v>19</v>
      </c>
      <c r="F23" s="883"/>
      <c r="G23" s="885"/>
      <c r="H23" s="43" t="s">
        <v>12</v>
      </c>
      <c r="I23" s="886"/>
      <c r="J23" s="886"/>
      <c r="K23" s="887"/>
      <c r="L23" s="887">
        <f t="shared" ca="1" si="13"/>
        <v>1855170</v>
      </c>
      <c r="M23" s="887">
        <f t="shared" ca="1" si="13"/>
        <v>1588971.66</v>
      </c>
      <c r="N23" s="887">
        <f t="shared" ca="1" si="13"/>
        <v>998057.10000000009</v>
      </c>
      <c r="O23" s="887">
        <f t="shared" ca="1" si="9"/>
        <v>53.79868691278967</v>
      </c>
      <c r="P23" s="887">
        <f t="shared" ca="1" si="10"/>
        <v>62.811510433106164</v>
      </c>
      <c r="Q23" s="875"/>
      <c r="R23" s="875"/>
      <c r="S23" s="875"/>
      <c r="T23" s="875"/>
      <c r="U23" s="875"/>
      <c r="V23" s="875"/>
      <c r="W23" s="875"/>
      <c r="X23" s="875"/>
      <c r="Y23" s="875"/>
      <c r="Z23" s="875"/>
    </row>
    <row r="24" spans="1:26" ht="18.75">
      <c r="A24" s="876"/>
      <c r="B24" s="877"/>
      <c r="C24" s="877"/>
      <c r="D24" s="878" t="s">
        <v>21</v>
      </c>
      <c r="E24" s="877"/>
      <c r="F24" s="877"/>
      <c r="G24" s="879"/>
      <c r="H24" s="622" t="s">
        <v>12</v>
      </c>
      <c r="I24" s="880"/>
      <c r="J24" s="880"/>
      <c r="K24" s="881"/>
      <c r="L24" s="881">
        <f t="shared" ref="L24:N24" ca="1" si="14">L25+L26</f>
        <v>90800</v>
      </c>
      <c r="M24" s="881">
        <f t="shared" ca="1" si="14"/>
        <v>90800</v>
      </c>
      <c r="N24" s="881">
        <f t="shared" ca="1" si="14"/>
        <v>90800</v>
      </c>
      <c r="O24" s="881">
        <f t="shared" ca="1" si="9"/>
        <v>100</v>
      </c>
      <c r="P24" s="881">
        <f t="shared" ca="1" si="10"/>
        <v>100</v>
      </c>
      <c r="Q24" s="868"/>
      <c r="R24" s="868"/>
      <c r="S24" s="868"/>
      <c r="T24" s="868"/>
      <c r="U24" s="868"/>
      <c r="V24" s="868"/>
      <c r="W24" s="868"/>
      <c r="X24" s="868"/>
      <c r="Y24" s="868"/>
      <c r="Z24" s="868"/>
    </row>
    <row r="25" spans="1:26" ht="18.75" hidden="1">
      <c r="A25" s="882"/>
      <c r="B25" s="883"/>
      <c r="C25" s="883"/>
      <c r="D25" s="883"/>
      <c r="E25" s="884" t="s">
        <v>18</v>
      </c>
      <c r="F25" s="883"/>
      <c r="G25" s="885"/>
      <c r="H25" s="43" t="s">
        <v>12</v>
      </c>
      <c r="I25" s="886"/>
      <c r="J25" s="886"/>
      <c r="K25" s="887"/>
      <c r="L25" s="887">
        <f t="shared" ref="L25:N26" si="15">L48+L60+L73+L95+L126+L139+L156+L188+L172+L268+L284+L305+L322+L335+L352+L396+L409</f>
        <v>0</v>
      </c>
      <c r="M25" s="887">
        <f t="shared" si="15"/>
        <v>0</v>
      </c>
      <c r="N25" s="887">
        <f t="shared" si="15"/>
        <v>0</v>
      </c>
      <c r="O25" s="887">
        <f t="shared" si="9"/>
        <v>0</v>
      </c>
      <c r="P25" s="887">
        <f t="shared" si="10"/>
        <v>0</v>
      </c>
      <c r="Q25" s="875"/>
      <c r="R25" s="875"/>
      <c r="S25" s="875"/>
      <c r="T25" s="875"/>
      <c r="U25" s="875"/>
      <c r="V25" s="875"/>
      <c r="W25" s="875"/>
      <c r="X25" s="875"/>
      <c r="Y25" s="875"/>
      <c r="Z25" s="875"/>
    </row>
    <row r="26" spans="1:26" ht="18.75" hidden="1">
      <c r="A26" s="888"/>
      <c r="B26" s="889"/>
      <c r="C26" s="889"/>
      <c r="D26" s="889"/>
      <c r="E26" s="890" t="s">
        <v>19</v>
      </c>
      <c r="F26" s="889"/>
      <c r="G26" s="891"/>
      <c r="H26" s="50" t="s">
        <v>12</v>
      </c>
      <c r="I26" s="892"/>
      <c r="J26" s="892"/>
      <c r="K26" s="893"/>
      <c r="L26" s="893">
        <f t="shared" ca="1" si="15"/>
        <v>90800</v>
      </c>
      <c r="M26" s="893">
        <f t="shared" ca="1" si="15"/>
        <v>90800</v>
      </c>
      <c r="N26" s="893">
        <f t="shared" ca="1" si="15"/>
        <v>90800</v>
      </c>
      <c r="O26" s="893">
        <f t="shared" ca="1" si="9"/>
        <v>100</v>
      </c>
      <c r="P26" s="893">
        <f t="shared" ca="1" si="10"/>
        <v>100</v>
      </c>
      <c r="Q26" s="875"/>
      <c r="R26" s="875"/>
      <c r="S26" s="875"/>
      <c r="T26" s="875"/>
      <c r="U26" s="875"/>
      <c r="V26" s="875"/>
      <c r="W26" s="875"/>
      <c r="X26" s="875"/>
      <c r="Y26" s="875"/>
      <c r="Z26" s="875"/>
    </row>
    <row r="27" spans="1:26" ht="19.5">
      <c r="A27" s="856" t="s">
        <v>23</v>
      </c>
      <c r="B27" s="833"/>
      <c r="C27" s="833"/>
      <c r="D27" s="833"/>
      <c r="E27" s="833"/>
      <c r="F27" s="833"/>
      <c r="G27" s="831"/>
      <c r="H27" s="857"/>
      <c r="I27" s="858"/>
      <c r="J27" s="858"/>
      <c r="K27" s="859"/>
      <c r="L27" s="859"/>
      <c r="M27" s="859"/>
      <c r="N27" s="859"/>
      <c r="O27" s="859"/>
      <c r="P27" s="859"/>
    </row>
    <row r="28" spans="1:26" ht="19.5">
      <c r="A28" s="860"/>
      <c r="B28" s="861"/>
      <c r="C28" s="862" t="s">
        <v>16</v>
      </c>
      <c r="D28" s="863" t="s">
        <v>17</v>
      </c>
      <c r="E28" s="861"/>
      <c r="F28" s="861"/>
      <c r="G28" s="864"/>
      <c r="H28" s="19" t="s">
        <v>12</v>
      </c>
      <c r="I28" s="865"/>
      <c r="J28" s="865"/>
      <c r="K28" s="866"/>
      <c r="L28" s="867">
        <f t="shared" ref="L28:N28" ca="1" si="16">L29+L30</f>
        <v>737624</v>
      </c>
      <c r="M28" s="867">
        <f t="shared" ca="1" si="16"/>
        <v>732014</v>
      </c>
      <c r="N28" s="867">
        <f t="shared" si="16"/>
        <v>335398</v>
      </c>
      <c r="O28" s="867">
        <f t="shared" ref="O28:O37" ca="1" si="17">IF(L28&gt;0,N28*100/L28,0)</f>
        <v>45.470049781460474</v>
      </c>
      <c r="P28" s="867">
        <f t="shared" ref="P28:P37" ca="1" si="18">IF(M28&gt;0,N28*100/M28,0)</f>
        <v>45.81852259656236</v>
      </c>
      <c r="Q28" s="868"/>
      <c r="R28" s="868"/>
      <c r="S28" s="868"/>
      <c r="T28" s="868"/>
      <c r="U28" s="868"/>
      <c r="V28" s="868"/>
      <c r="W28" s="868"/>
      <c r="X28" s="868"/>
      <c r="Y28" s="868"/>
      <c r="Z28" s="868"/>
    </row>
    <row r="29" spans="1:26" ht="18.75" hidden="1">
      <c r="A29" s="869"/>
      <c r="B29" s="870"/>
      <c r="C29" s="870"/>
      <c r="D29" s="870"/>
      <c r="E29" s="871" t="s">
        <v>18</v>
      </c>
      <c r="F29" s="870"/>
      <c r="G29" s="872"/>
      <c r="H29" s="28" t="s">
        <v>12</v>
      </c>
      <c r="I29" s="873"/>
      <c r="J29" s="873"/>
      <c r="K29" s="874"/>
      <c r="L29" s="874">
        <f t="shared" ref="L29:N30" si="19">L32+L35</f>
        <v>0</v>
      </c>
      <c r="M29" s="874">
        <f t="shared" si="19"/>
        <v>0</v>
      </c>
      <c r="N29" s="874">
        <f t="shared" si="19"/>
        <v>0</v>
      </c>
      <c r="O29" s="874">
        <f t="shared" si="17"/>
        <v>0</v>
      </c>
      <c r="P29" s="874">
        <f t="shared" si="18"/>
        <v>0</v>
      </c>
      <c r="Q29" s="875"/>
      <c r="R29" s="875"/>
      <c r="S29" s="875"/>
      <c r="T29" s="875"/>
      <c r="U29" s="875"/>
      <c r="V29" s="875"/>
      <c r="W29" s="875"/>
      <c r="X29" s="875"/>
      <c r="Y29" s="875"/>
      <c r="Z29" s="875"/>
    </row>
    <row r="30" spans="1:26" ht="18.75" hidden="1">
      <c r="A30" s="869"/>
      <c r="B30" s="870"/>
      <c r="C30" s="870"/>
      <c r="D30" s="870"/>
      <c r="E30" s="871" t="s">
        <v>19</v>
      </c>
      <c r="F30" s="870"/>
      <c r="G30" s="872"/>
      <c r="H30" s="28" t="s">
        <v>12</v>
      </c>
      <c r="I30" s="873"/>
      <c r="J30" s="873"/>
      <c r="K30" s="874"/>
      <c r="L30" s="874">
        <f t="shared" ca="1" si="19"/>
        <v>737624</v>
      </c>
      <c r="M30" s="874">
        <f t="shared" ca="1" si="19"/>
        <v>732014</v>
      </c>
      <c r="N30" s="874">
        <f t="shared" si="19"/>
        <v>335398</v>
      </c>
      <c r="O30" s="874">
        <f t="shared" ca="1" si="17"/>
        <v>45.470049781460474</v>
      </c>
      <c r="P30" s="874">
        <f t="shared" ca="1" si="18"/>
        <v>45.81852259656236</v>
      </c>
      <c r="Q30" s="875"/>
      <c r="R30" s="875"/>
      <c r="S30" s="875"/>
      <c r="T30" s="875"/>
      <c r="U30" s="875"/>
      <c r="V30" s="875"/>
      <c r="W30" s="875"/>
      <c r="X30" s="875"/>
      <c r="Y30" s="875"/>
      <c r="Z30" s="875"/>
    </row>
    <row r="31" spans="1:26" ht="18.75">
      <c r="A31" s="876"/>
      <c r="B31" s="877"/>
      <c r="C31" s="877"/>
      <c r="D31" s="878" t="s">
        <v>20</v>
      </c>
      <c r="E31" s="877"/>
      <c r="F31" s="877"/>
      <c r="G31" s="879"/>
      <c r="H31" s="622" t="s">
        <v>12</v>
      </c>
      <c r="I31" s="880"/>
      <c r="J31" s="880"/>
      <c r="K31" s="881"/>
      <c r="L31" s="881">
        <f t="shared" ref="L31:N31" ca="1" si="20">L32+L33</f>
        <v>737624</v>
      </c>
      <c r="M31" s="881">
        <f t="shared" ca="1" si="20"/>
        <v>732014</v>
      </c>
      <c r="N31" s="881">
        <f t="shared" si="20"/>
        <v>335398</v>
      </c>
      <c r="O31" s="881">
        <f t="shared" ca="1" si="17"/>
        <v>45.470049781460474</v>
      </c>
      <c r="P31" s="881">
        <f t="shared" ca="1" si="18"/>
        <v>45.81852259656236</v>
      </c>
      <c r="Q31" s="868"/>
      <c r="R31" s="868"/>
      <c r="S31" s="868"/>
      <c r="T31" s="868"/>
      <c r="U31" s="868"/>
      <c r="V31" s="868"/>
      <c r="W31" s="868"/>
      <c r="X31" s="868"/>
      <c r="Y31" s="868"/>
      <c r="Z31" s="868"/>
    </row>
    <row r="32" spans="1:26" ht="18.75" hidden="1">
      <c r="A32" s="882"/>
      <c r="B32" s="883"/>
      <c r="C32" s="883"/>
      <c r="D32" s="883"/>
      <c r="E32" s="884" t="s">
        <v>18</v>
      </c>
      <c r="F32" s="883"/>
      <c r="G32" s="885"/>
      <c r="H32" s="43" t="s">
        <v>12</v>
      </c>
      <c r="I32" s="886"/>
      <c r="J32" s="886"/>
      <c r="K32" s="887"/>
      <c r="L32" s="887">
        <f t="shared" ref="L32:N33" si="21">L423+L448+L471+L506+L527+L548+L633+L659+L689+L741+L758+L774+L790+L809</f>
        <v>0</v>
      </c>
      <c r="M32" s="887">
        <f t="shared" si="21"/>
        <v>0</v>
      </c>
      <c r="N32" s="887">
        <f t="shared" si="21"/>
        <v>0</v>
      </c>
      <c r="O32" s="887">
        <f t="shared" si="17"/>
        <v>0</v>
      </c>
      <c r="P32" s="887">
        <f t="shared" si="18"/>
        <v>0</v>
      </c>
      <c r="Q32" s="875"/>
      <c r="R32" s="875"/>
      <c r="S32" s="875"/>
      <c r="T32" s="875"/>
      <c r="U32" s="875"/>
      <c r="V32" s="875"/>
      <c r="W32" s="875"/>
      <c r="X32" s="875"/>
      <c r="Y32" s="875"/>
      <c r="Z32" s="875"/>
    </row>
    <row r="33" spans="1:26" ht="18.75" hidden="1">
      <c r="A33" s="882"/>
      <c r="B33" s="883"/>
      <c r="C33" s="883"/>
      <c r="D33" s="883"/>
      <c r="E33" s="884" t="s">
        <v>19</v>
      </c>
      <c r="F33" s="883"/>
      <c r="G33" s="885"/>
      <c r="H33" s="43" t="s">
        <v>12</v>
      </c>
      <c r="I33" s="886"/>
      <c r="J33" s="886"/>
      <c r="K33" s="887"/>
      <c r="L33" s="887">
        <f t="shared" ca="1" si="21"/>
        <v>737624</v>
      </c>
      <c r="M33" s="887">
        <f t="shared" ca="1" si="21"/>
        <v>732014</v>
      </c>
      <c r="N33" s="887">
        <f t="shared" si="21"/>
        <v>335398</v>
      </c>
      <c r="O33" s="887">
        <f t="shared" ca="1" si="17"/>
        <v>45.470049781460474</v>
      </c>
      <c r="P33" s="887">
        <f t="shared" ca="1" si="18"/>
        <v>45.81852259656236</v>
      </c>
      <c r="Q33" s="875"/>
      <c r="R33" s="875"/>
      <c r="S33" s="875"/>
      <c r="T33" s="875"/>
      <c r="U33" s="875"/>
      <c r="V33" s="875"/>
      <c r="W33" s="875"/>
      <c r="X33" s="875"/>
      <c r="Y33" s="875"/>
      <c r="Z33" s="875"/>
    </row>
    <row r="34" spans="1:26" ht="18.75">
      <c r="A34" s="876"/>
      <c r="B34" s="877"/>
      <c r="C34" s="877"/>
      <c r="D34" s="878" t="s">
        <v>21</v>
      </c>
      <c r="E34" s="877"/>
      <c r="F34" s="877"/>
      <c r="G34" s="879"/>
      <c r="H34" s="622" t="s">
        <v>12</v>
      </c>
      <c r="I34" s="880"/>
      <c r="J34" s="880"/>
      <c r="K34" s="881"/>
      <c r="L34" s="881">
        <f t="shared" ref="L34:N34" ca="1" si="22">L35+L36</f>
        <v>0</v>
      </c>
      <c r="M34" s="881">
        <f t="shared" si="22"/>
        <v>0</v>
      </c>
      <c r="N34" s="881">
        <f t="shared" si="22"/>
        <v>0</v>
      </c>
      <c r="O34" s="881">
        <f t="shared" ca="1" si="17"/>
        <v>0</v>
      </c>
      <c r="P34" s="881">
        <f t="shared" si="18"/>
        <v>0</v>
      </c>
      <c r="Q34" s="868"/>
      <c r="R34" s="868"/>
      <c r="S34" s="868"/>
      <c r="T34" s="868"/>
      <c r="U34" s="868"/>
      <c r="V34" s="868"/>
      <c r="W34" s="868"/>
      <c r="X34" s="868"/>
      <c r="Y34" s="868"/>
      <c r="Z34" s="868"/>
    </row>
    <row r="35" spans="1:26" ht="18.75" hidden="1">
      <c r="A35" s="882"/>
      <c r="B35" s="883"/>
      <c r="C35" s="883"/>
      <c r="D35" s="883"/>
      <c r="E35" s="884" t="s">
        <v>18</v>
      </c>
      <c r="F35" s="883"/>
      <c r="G35" s="885"/>
      <c r="H35" s="43" t="s">
        <v>12</v>
      </c>
      <c r="I35" s="886"/>
      <c r="J35" s="886"/>
      <c r="K35" s="887"/>
      <c r="L35" s="887">
        <f t="shared" ref="L35:N36" si="23">L430+L455+L478+L513+L534+L556+L640+L666+L696+L748+L765+L781+L797+L816</f>
        <v>0</v>
      </c>
      <c r="M35" s="887">
        <f t="shared" si="23"/>
        <v>0</v>
      </c>
      <c r="N35" s="887">
        <f t="shared" si="23"/>
        <v>0</v>
      </c>
      <c r="O35" s="887">
        <f t="shared" si="17"/>
        <v>0</v>
      </c>
      <c r="P35" s="887">
        <f t="shared" si="18"/>
        <v>0</v>
      </c>
      <c r="Q35" s="875"/>
      <c r="R35" s="875"/>
      <c r="S35" s="875"/>
      <c r="T35" s="875"/>
      <c r="U35" s="875"/>
      <c r="V35" s="875"/>
      <c r="W35" s="875"/>
      <c r="X35" s="875"/>
      <c r="Y35" s="875"/>
      <c r="Z35" s="875"/>
    </row>
    <row r="36" spans="1:26" ht="18.75" hidden="1">
      <c r="A36" s="888"/>
      <c r="B36" s="889"/>
      <c r="C36" s="889"/>
      <c r="D36" s="889"/>
      <c r="E36" s="890" t="s">
        <v>19</v>
      </c>
      <c r="F36" s="889"/>
      <c r="G36" s="891"/>
      <c r="H36" s="50" t="s">
        <v>12</v>
      </c>
      <c r="I36" s="892"/>
      <c r="J36" s="892"/>
      <c r="K36" s="893"/>
      <c r="L36" s="893">
        <f t="shared" ca="1" si="23"/>
        <v>0</v>
      </c>
      <c r="M36" s="893">
        <f t="shared" si="23"/>
        <v>0</v>
      </c>
      <c r="N36" s="893">
        <f t="shared" si="23"/>
        <v>0</v>
      </c>
      <c r="O36" s="893">
        <f t="shared" ca="1" si="17"/>
        <v>0</v>
      </c>
      <c r="P36" s="893">
        <f t="shared" si="18"/>
        <v>0</v>
      </c>
      <c r="Q36" s="875"/>
      <c r="R36" s="875"/>
      <c r="S36" s="875"/>
      <c r="T36" s="875"/>
      <c r="U36" s="875"/>
      <c r="V36" s="875"/>
      <c r="W36" s="875"/>
      <c r="X36" s="875"/>
      <c r="Y36" s="875"/>
      <c r="Z36" s="875"/>
    </row>
    <row r="37" spans="1:26" ht="19.5">
      <c r="A37" s="894" t="s">
        <v>24</v>
      </c>
      <c r="B37" s="895"/>
      <c r="C37" s="895"/>
      <c r="D37" s="895"/>
      <c r="E37" s="895"/>
      <c r="F37" s="895"/>
      <c r="G37" s="896"/>
      <c r="H37" s="897"/>
      <c r="I37" s="898"/>
      <c r="J37" s="898"/>
      <c r="K37" s="899"/>
      <c r="L37" s="900">
        <f t="shared" ref="L37:N37" ca="1" si="24">L41+L53+L66+L88+L119+L132+L149+L165+L181+L261+L277+L298+L315+L328+L345+L389+L402</f>
        <v>1945970</v>
      </c>
      <c r="M37" s="900">
        <f t="shared" ca="1" si="24"/>
        <v>1679771.66</v>
      </c>
      <c r="N37" s="900">
        <f t="shared" ca="1" si="24"/>
        <v>1088857.1000000001</v>
      </c>
      <c r="O37" s="900">
        <f t="shared" ca="1" si="17"/>
        <v>55.954464868420381</v>
      </c>
      <c r="P37" s="900">
        <f t="shared" ca="1" si="18"/>
        <v>64.82173297292087</v>
      </c>
    </row>
    <row r="38" spans="1:26" ht="19.5">
      <c r="A38" s="901" t="s">
        <v>25</v>
      </c>
      <c r="B38" s="902"/>
      <c r="C38" s="902"/>
      <c r="D38" s="902"/>
      <c r="E38" s="902"/>
      <c r="F38" s="902"/>
      <c r="G38" s="903"/>
      <c r="H38" s="904"/>
      <c r="I38" s="905"/>
      <c r="J38" s="905"/>
      <c r="K38" s="906"/>
      <c r="L38" s="906"/>
      <c r="M38" s="906"/>
      <c r="N38" s="906"/>
      <c r="O38" s="906"/>
      <c r="P38" s="906"/>
    </row>
    <row r="39" spans="1:26" ht="19.5">
      <c r="A39" s="907"/>
      <c r="B39" s="908" t="s">
        <v>26</v>
      </c>
      <c r="C39" s="909"/>
      <c r="D39" s="909"/>
      <c r="E39" s="909"/>
      <c r="F39" s="909"/>
      <c r="G39" s="910"/>
      <c r="H39" s="911"/>
      <c r="I39" s="912"/>
      <c r="J39" s="912"/>
      <c r="K39" s="913"/>
      <c r="L39" s="913"/>
      <c r="M39" s="913"/>
      <c r="N39" s="913"/>
      <c r="O39" s="913"/>
      <c r="P39" s="913"/>
    </row>
    <row r="40" spans="1:26" ht="19.5">
      <c r="A40" s="914"/>
      <c r="B40" s="915" t="s">
        <v>27</v>
      </c>
      <c r="C40" s="841"/>
      <c r="D40" s="841"/>
      <c r="E40" s="841"/>
      <c r="F40" s="841"/>
      <c r="G40" s="842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82" t="s">
        <v>12</v>
      </c>
      <c r="I41" s="924"/>
      <c r="J41" s="924"/>
      <c r="K41" s="925"/>
      <c r="L41" s="926">
        <f t="shared" ref="L41:N41" ca="1" si="25">L42+L43</f>
        <v>273150</v>
      </c>
      <c r="M41" s="926">
        <f t="shared" ca="1" si="25"/>
        <v>373026.66</v>
      </c>
      <c r="N41" s="926">
        <f t="shared" ca="1" si="25"/>
        <v>236469</v>
      </c>
      <c r="O41" s="926">
        <f t="shared" ref="O41:O49" ca="1" si="26">IF(L41&gt;0,N41*100/L41,0)</f>
        <v>86.571114772103243</v>
      </c>
      <c r="P41" s="926">
        <f t="shared" ref="P41:P49" ca="1" si="27">IF(M41&gt;0,N41*100/M41,0)</f>
        <v>63.391983833005398</v>
      </c>
      <c r="Q41" s="868"/>
      <c r="R41" s="868"/>
      <c r="S41" s="868"/>
      <c r="T41" s="868"/>
      <c r="U41" s="868"/>
      <c r="V41" s="868"/>
      <c r="W41" s="868"/>
      <c r="X41" s="868"/>
      <c r="Y41" s="868"/>
      <c r="Z41" s="868"/>
    </row>
    <row r="42" spans="1:26" ht="18.75" hidden="1">
      <c r="A42" s="927"/>
      <c r="B42" s="928"/>
      <c r="C42" s="928"/>
      <c r="D42" s="928"/>
      <c r="E42" s="929" t="s">
        <v>18</v>
      </c>
      <c r="F42" s="928"/>
      <c r="G42" s="930"/>
      <c r="H42" s="90" t="s">
        <v>12</v>
      </c>
      <c r="I42" s="931"/>
      <c r="J42" s="931"/>
      <c r="K42" s="932"/>
      <c r="L42" s="932">
        <f t="shared" ref="L42:N43" si="28">L45+L48</f>
        <v>0</v>
      </c>
      <c r="M42" s="932">
        <f t="shared" si="28"/>
        <v>0</v>
      </c>
      <c r="N42" s="932">
        <f t="shared" si="28"/>
        <v>0</v>
      </c>
      <c r="O42" s="932">
        <f t="shared" si="26"/>
        <v>0</v>
      </c>
      <c r="P42" s="932">
        <f t="shared" si="27"/>
        <v>0</v>
      </c>
      <c r="Q42" s="875"/>
      <c r="R42" s="875"/>
      <c r="S42" s="875"/>
      <c r="T42" s="875"/>
      <c r="U42" s="875"/>
      <c r="V42" s="875"/>
      <c r="W42" s="875"/>
      <c r="X42" s="875"/>
      <c r="Y42" s="875"/>
      <c r="Z42" s="875"/>
    </row>
    <row r="43" spans="1:26" ht="18.75" hidden="1">
      <c r="A43" s="927"/>
      <c r="B43" s="928"/>
      <c r="C43" s="928"/>
      <c r="D43" s="928"/>
      <c r="E43" s="929" t="s">
        <v>19</v>
      </c>
      <c r="F43" s="928"/>
      <c r="G43" s="930"/>
      <c r="H43" s="90" t="s">
        <v>12</v>
      </c>
      <c r="I43" s="931"/>
      <c r="J43" s="931"/>
      <c r="K43" s="932"/>
      <c r="L43" s="932">
        <f t="shared" ca="1" si="28"/>
        <v>273150</v>
      </c>
      <c r="M43" s="932">
        <f t="shared" ca="1" si="28"/>
        <v>373026.66</v>
      </c>
      <c r="N43" s="932">
        <f t="shared" ca="1" si="28"/>
        <v>236469</v>
      </c>
      <c r="O43" s="932">
        <f t="shared" ca="1" si="26"/>
        <v>86.571114772103243</v>
      </c>
      <c r="P43" s="932">
        <f t="shared" ca="1" si="27"/>
        <v>63.391983833005398</v>
      </c>
      <c r="Q43" s="875"/>
      <c r="R43" s="875"/>
      <c r="S43" s="875"/>
      <c r="T43" s="875"/>
      <c r="U43" s="875"/>
      <c r="V43" s="875"/>
      <c r="W43" s="875"/>
      <c r="X43" s="875"/>
      <c r="Y43" s="875"/>
      <c r="Z43" s="875"/>
    </row>
    <row r="44" spans="1:26" ht="18.75">
      <c r="A44" s="876"/>
      <c r="B44" s="877"/>
      <c r="C44" s="877"/>
      <c r="D44" s="878" t="s">
        <v>20</v>
      </c>
      <c r="E44" s="877"/>
      <c r="F44" s="877"/>
      <c r="G44" s="879"/>
      <c r="H44" s="622" t="s">
        <v>12</v>
      </c>
      <c r="I44" s="880"/>
      <c r="J44" s="880"/>
      <c r="K44" s="881"/>
      <c r="L44" s="881">
        <f t="shared" ref="L44:N44" ca="1" si="29">L45+L46</f>
        <v>273150</v>
      </c>
      <c r="M44" s="881">
        <f t="shared" ca="1" si="29"/>
        <v>373026.66</v>
      </c>
      <c r="N44" s="881">
        <f t="shared" ca="1" si="29"/>
        <v>236469</v>
      </c>
      <c r="O44" s="881">
        <f t="shared" ca="1" si="26"/>
        <v>86.571114772103243</v>
      </c>
      <c r="P44" s="881">
        <f t="shared" ca="1" si="27"/>
        <v>63.391983833005398</v>
      </c>
      <c r="Q44" s="868"/>
      <c r="R44" s="868"/>
      <c r="S44" s="868"/>
      <c r="T44" s="868"/>
      <c r="U44" s="868"/>
      <c r="V44" s="868"/>
      <c r="W44" s="868"/>
      <c r="X44" s="868"/>
      <c r="Y44" s="868"/>
      <c r="Z44" s="868"/>
    </row>
    <row r="45" spans="1:26" ht="18.75" hidden="1">
      <c r="A45" s="882"/>
      <c r="B45" s="883"/>
      <c r="C45" s="883"/>
      <c r="D45" s="883"/>
      <c r="E45" s="884" t="s">
        <v>18</v>
      </c>
      <c r="F45" s="883"/>
      <c r="G45" s="885"/>
      <c r="H45" s="43" t="s">
        <v>12</v>
      </c>
      <c r="I45" s="886"/>
      <c r="J45" s="886"/>
      <c r="K45" s="887"/>
      <c r="L45" s="887">
        <v>0</v>
      </c>
      <c r="M45" s="887">
        <v>0</v>
      </c>
      <c r="N45" s="887">
        <v>0</v>
      </c>
      <c r="O45" s="887">
        <f t="shared" si="26"/>
        <v>0</v>
      </c>
      <c r="P45" s="887">
        <f t="shared" si="27"/>
        <v>0</v>
      </c>
      <c r="Q45" s="875"/>
      <c r="R45" s="875"/>
      <c r="S45" s="875"/>
      <c r="T45" s="875"/>
      <c r="U45" s="875"/>
      <c r="V45" s="875"/>
      <c r="W45" s="875"/>
      <c r="X45" s="875"/>
      <c r="Y45" s="875"/>
      <c r="Z45" s="875"/>
    </row>
    <row r="46" spans="1:26" ht="18.75" hidden="1">
      <c r="A46" s="882"/>
      <c r="B46" s="883"/>
      <c r="C46" s="883"/>
      <c r="D46" s="883"/>
      <c r="E46" s="884" t="s">
        <v>19</v>
      </c>
      <c r="F46" s="883"/>
      <c r="G46" s="885"/>
      <c r="H46" s="43" t="s">
        <v>12</v>
      </c>
      <c r="I46" s="886"/>
      <c r="J46" s="886"/>
      <c r="K46" s="887"/>
      <c r="L46" s="887">
        <f ca="1">IFERROR(__xludf.DUMMYFUNCTION("IMPORTRANGE(""https://docs.google.com/spreadsheets/d/1MeEWN-I1oV_STSDYn1IFDPWt_1FKiwhDph83XaGc0o0/edit?usp=sharing"",""งบพรบ!M79"")"),273150)</f>
        <v>273150</v>
      </c>
      <c r="M46" s="887">
        <f ca="1">IFERROR(__xludf.DUMMYFUNCTION("IMPORTRANGE(""https://docs.google.com/spreadsheets/d/1MeEWN-I1oV_STSDYn1IFDPWt_1FKiwhDph83XaGc0o0/edit?usp=sharing"",""งบพรบ!R79"")"),373026.66)</f>
        <v>373026.66</v>
      </c>
      <c r="N46" s="887">
        <f ca="1">IFERROR(__xludf.DUMMYFUNCTION("IMPORTRANGE(""https://docs.google.com/spreadsheets/d/1MeEWN-I1oV_STSDYn1IFDPWt_1FKiwhDph83XaGc0o0/edit?usp=sharing"",""งบพรบ!T79"")"),236469)</f>
        <v>236469</v>
      </c>
      <c r="O46" s="887">
        <f t="shared" ca="1" si="26"/>
        <v>86.571114772103243</v>
      </c>
      <c r="P46" s="887">
        <f t="shared" ca="1" si="27"/>
        <v>63.391983833005398</v>
      </c>
      <c r="Q46" s="875"/>
      <c r="R46" s="875"/>
      <c r="S46" s="875"/>
      <c r="T46" s="875"/>
      <c r="U46" s="875"/>
      <c r="V46" s="875"/>
      <c r="W46" s="875"/>
      <c r="X46" s="875"/>
      <c r="Y46" s="875"/>
      <c r="Z46" s="875"/>
    </row>
    <row r="47" spans="1:26" ht="18.75">
      <c r="A47" s="876"/>
      <c r="B47" s="877"/>
      <c r="C47" s="877"/>
      <c r="D47" s="878" t="s">
        <v>21</v>
      </c>
      <c r="E47" s="877"/>
      <c r="F47" s="877"/>
      <c r="G47" s="879"/>
      <c r="H47" s="622" t="s">
        <v>12</v>
      </c>
      <c r="I47" s="880"/>
      <c r="J47" s="880"/>
      <c r="K47" s="881"/>
      <c r="L47" s="881">
        <f t="shared" ref="L47:N47" ca="1" si="30">L48+L49</f>
        <v>0</v>
      </c>
      <c r="M47" s="881">
        <f t="shared" ca="1" si="30"/>
        <v>0</v>
      </c>
      <c r="N47" s="881">
        <f t="shared" ca="1" si="30"/>
        <v>0</v>
      </c>
      <c r="O47" s="881">
        <f t="shared" ca="1" si="26"/>
        <v>0</v>
      </c>
      <c r="P47" s="881">
        <f t="shared" ca="1" si="27"/>
        <v>0</v>
      </c>
      <c r="Q47" s="868"/>
      <c r="R47" s="868"/>
      <c r="S47" s="868"/>
      <c r="T47" s="868"/>
      <c r="U47" s="868"/>
      <c r="V47" s="868"/>
      <c r="W47" s="868"/>
      <c r="X47" s="868"/>
      <c r="Y47" s="868"/>
      <c r="Z47" s="868"/>
    </row>
    <row r="48" spans="1:26" ht="18.75" hidden="1">
      <c r="A48" s="882"/>
      <c r="B48" s="883"/>
      <c r="C48" s="883"/>
      <c r="D48" s="883"/>
      <c r="E48" s="884" t="s">
        <v>18</v>
      </c>
      <c r="F48" s="883"/>
      <c r="G48" s="885"/>
      <c r="H48" s="43" t="s">
        <v>12</v>
      </c>
      <c r="I48" s="886"/>
      <c r="J48" s="886"/>
      <c r="K48" s="887"/>
      <c r="L48" s="887">
        <v>0</v>
      </c>
      <c r="M48" s="887">
        <v>0</v>
      </c>
      <c r="N48" s="887">
        <v>0</v>
      </c>
      <c r="O48" s="887">
        <f t="shared" si="26"/>
        <v>0</v>
      </c>
      <c r="P48" s="887">
        <f t="shared" si="27"/>
        <v>0</v>
      </c>
      <c r="Q48" s="875"/>
      <c r="R48" s="875"/>
      <c r="S48" s="875"/>
      <c r="T48" s="875"/>
      <c r="U48" s="875"/>
      <c r="V48" s="875"/>
      <c r="W48" s="875"/>
      <c r="X48" s="875"/>
      <c r="Y48" s="875"/>
      <c r="Z48" s="875"/>
    </row>
    <row r="49" spans="1:26" ht="18.75" hidden="1">
      <c r="A49" s="888"/>
      <c r="B49" s="889"/>
      <c r="C49" s="889"/>
      <c r="D49" s="889"/>
      <c r="E49" s="890" t="s">
        <v>19</v>
      </c>
      <c r="F49" s="889"/>
      <c r="G49" s="891"/>
      <c r="H49" s="50" t="s">
        <v>12</v>
      </c>
      <c r="I49" s="892"/>
      <c r="J49" s="892"/>
      <c r="K49" s="893"/>
      <c r="L49" s="893">
        <f ca="1">IFERROR(__xludf.DUMMYFUNCTION("IMPORTRANGE(""https://docs.google.com/spreadsheets/d/1MeEWN-I1oV_STSDYn1IFDPWt_1FKiwhDph83XaGc0o0/edit?usp=sharing"",""งบพรบ!P79"")"),0)</f>
        <v>0</v>
      </c>
      <c r="M49" s="893">
        <f ca="1">IFERROR(__xludf.DUMMYFUNCTION("IMPORTRANGE(""https://docs.google.com/spreadsheets/d/1MeEWN-I1oV_STSDYn1IFDPWt_1FKiwhDph83XaGc0o0/edit?usp=sharing"",""งบพรบ!S79"")"),0)</f>
        <v>0</v>
      </c>
      <c r="N49" s="893">
        <f ca="1">IFERROR(__xludf.DUMMYFUNCTION("IMPORTRANGE(""https://docs.google.com/spreadsheets/d/1MeEWN-I1oV_STSDYn1IFDPWt_1FKiwhDph83XaGc0o0/edit?usp=sharing"",""งบพรบ!U79"")"),0)</f>
        <v>0</v>
      </c>
      <c r="O49" s="893">
        <f t="shared" ca="1" si="26"/>
        <v>0</v>
      </c>
      <c r="P49" s="893">
        <f t="shared" ca="1" si="27"/>
        <v>0</v>
      </c>
      <c r="Q49" s="875"/>
      <c r="R49" s="875"/>
      <c r="S49" s="875"/>
      <c r="T49" s="875"/>
      <c r="U49" s="875"/>
      <c r="V49" s="875"/>
      <c r="W49" s="875"/>
      <c r="X49" s="875"/>
      <c r="Y49" s="875"/>
      <c r="Z49" s="875"/>
    </row>
    <row r="50" spans="1:26" ht="19.5">
      <c r="A50" s="933" t="s">
        <v>28</v>
      </c>
      <c r="B50" s="833"/>
      <c r="C50" s="833"/>
      <c r="D50" s="833"/>
      <c r="E50" s="833"/>
      <c r="F50" s="833"/>
      <c r="G50" s="831"/>
      <c r="H50" s="934"/>
      <c r="I50" s="935"/>
      <c r="J50" s="935"/>
      <c r="K50" s="936"/>
      <c r="L50" s="936"/>
      <c r="M50" s="936"/>
      <c r="N50" s="936"/>
      <c r="O50" s="936"/>
      <c r="P50" s="936"/>
    </row>
    <row r="51" spans="1:26" ht="19.5">
      <c r="A51" s="937"/>
      <c r="B51" s="938" t="s">
        <v>29</v>
      </c>
      <c r="C51" s="841"/>
      <c r="D51" s="841"/>
      <c r="E51" s="841"/>
      <c r="F51" s="841"/>
      <c r="G51" s="842"/>
      <c r="H51" s="939"/>
      <c r="I51" s="940"/>
      <c r="J51" s="940"/>
      <c r="K51" s="941"/>
      <c r="L51" s="941"/>
      <c r="M51" s="941"/>
      <c r="N51" s="941"/>
      <c r="O51" s="941"/>
      <c r="P51" s="941"/>
    </row>
    <row r="52" spans="1:26" ht="19.5">
      <c r="A52" s="942"/>
      <c r="B52" s="943" t="s">
        <v>30</v>
      </c>
      <c r="C52" s="944"/>
      <c r="D52" s="944"/>
      <c r="E52" s="944"/>
      <c r="F52" s="944"/>
      <c r="G52" s="945"/>
      <c r="H52" s="946"/>
      <c r="I52" s="947"/>
      <c r="J52" s="947"/>
      <c r="K52" s="948"/>
      <c r="L52" s="948"/>
      <c r="M52" s="948"/>
      <c r="N52" s="948"/>
      <c r="O52" s="948"/>
      <c r="P52" s="948"/>
    </row>
    <row r="53" spans="1:26" ht="19.5">
      <c r="A53" s="949"/>
      <c r="B53" s="950"/>
      <c r="C53" s="951" t="s">
        <v>16</v>
      </c>
      <c r="D53" s="952" t="s">
        <v>17</v>
      </c>
      <c r="E53" s="950"/>
      <c r="F53" s="950"/>
      <c r="G53" s="953"/>
      <c r="H53" s="113" t="s">
        <v>12</v>
      </c>
      <c r="I53" s="954"/>
      <c r="J53" s="954"/>
      <c r="K53" s="955"/>
      <c r="L53" s="956">
        <f t="shared" ref="L53:N53" ca="1" si="31">L54+L55</f>
        <v>559000</v>
      </c>
      <c r="M53" s="956">
        <f t="shared" ca="1" si="31"/>
        <v>419250</v>
      </c>
      <c r="N53" s="956">
        <f t="shared" ca="1" si="31"/>
        <v>238453.18</v>
      </c>
      <c r="O53" s="956">
        <f t="shared" ref="O53:O61" ca="1" si="32">IF(L53&gt;0,N53*100/L53,0)</f>
        <v>42.65709838998211</v>
      </c>
      <c r="P53" s="956">
        <f t="shared" ref="P53:P61" ca="1" si="33">IF(M53&gt;0,N53*100/M53,0)</f>
        <v>56.876131186642816</v>
      </c>
      <c r="Q53" s="868"/>
      <c r="R53" s="868"/>
      <c r="S53" s="868"/>
      <c r="T53" s="868"/>
      <c r="U53" s="868"/>
      <c r="V53" s="868"/>
      <c r="W53" s="868"/>
      <c r="X53" s="868"/>
      <c r="Y53" s="868"/>
      <c r="Z53" s="868"/>
    </row>
    <row r="54" spans="1:26" ht="18.75" hidden="1">
      <c r="A54" s="957"/>
      <c r="B54" s="958"/>
      <c r="C54" s="958"/>
      <c r="D54" s="958"/>
      <c r="E54" s="959" t="s">
        <v>18</v>
      </c>
      <c r="F54" s="958"/>
      <c r="G54" s="960"/>
      <c r="H54" s="121" t="s">
        <v>12</v>
      </c>
      <c r="I54" s="961"/>
      <c r="J54" s="961"/>
      <c r="K54" s="962"/>
      <c r="L54" s="962">
        <f t="shared" ref="L54:N55" si="34">L57+L60</f>
        <v>0</v>
      </c>
      <c r="M54" s="962">
        <f t="shared" si="34"/>
        <v>0</v>
      </c>
      <c r="N54" s="962">
        <f t="shared" si="34"/>
        <v>0</v>
      </c>
      <c r="O54" s="962">
        <f t="shared" si="32"/>
        <v>0</v>
      </c>
      <c r="P54" s="962">
        <f t="shared" si="33"/>
        <v>0</v>
      </c>
      <c r="Q54" s="875"/>
      <c r="R54" s="875"/>
      <c r="S54" s="875"/>
      <c r="T54" s="875"/>
      <c r="U54" s="875"/>
      <c r="V54" s="875"/>
      <c r="W54" s="875"/>
      <c r="X54" s="875"/>
      <c r="Y54" s="875"/>
      <c r="Z54" s="875"/>
    </row>
    <row r="55" spans="1:26" ht="18.75" hidden="1">
      <c r="A55" s="957"/>
      <c r="B55" s="958"/>
      <c r="C55" s="958"/>
      <c r="D55" s="958"/>
      <c r="E55" s="959" t="s">
        <v>19</v>
      </c>
      <c r="F55" s="958"/>
      <c r="G55" s="960"/>
      <c r="H55" s="121" t="s">
        <v>12</v>
      </c>
      <c r="I55" s="961"/>
      <c r="J55" s="961"/>
      <c r="K55" s="962"/>
      <c r="L55" s="962">
        <f t="shared" ca="1" si="34"/>
        <v>559000</v>
      </c>
      <c r="M55" s="962">
        <f t="shared" ca="1" si="34"/>
        <v>419250</v>
      </c>
      <c r="N55" s="962">
        <f t="shared" ca="1" si="34"/>
        <v>238453.18</v>
      </c>
      <c r="O55" s="962">
        <f t="shared" ca="1" si="32"/>
        <v>42.65709838998211</v>
      </c>
      <c r="P55" s="962">
        <f t="shared" ca="1" si="33"/>
        <v>56.876131186642816</v>
      </c>
      <c r="Q55" s="875"/>
      <c r="R55" s="875"/>
      <c r="S55" s="875"/>
      <c r="T55" s="875"/>
      <c r="U55" s="875"/>
      <c r="V55" s="875"/>
      <c r="W55" s="875"/>
      <c r="X55" s="875"/>
      <c r="Y55" s="875"/>
      <c r="Z55" s="875"/>
    </row>
    <row r="56" spans="1:26" ht="18.75">
      <c r="A56" s="876"/>
      <c r="B56" s="877"/>
      <c r="C56" s="877"/>
      <c r="D56" s="878" t="s">
        <v>20</v>
      </c>
      <c r="E56" s="877"/>
      <c r="F56" s="877"/>
      <c r="G56" s="879"/>
      <c r="H56" s="622" t="s">
        <v>12</v>
      </c>
      <c r="I56" s="880"/>
      <c r="J56" s="880"/>
      <c r="K56" s="881"/>
      <c r="L56" s="881">
        <f t="shared" ref="L56:N56" ca="1" si="35">L57+L58</f>
        <v>559000</v>
      </c>
      <c r="M56" s="881">
        <f t="shared" ca="1" si="35"/>
        <v>419250</v>
      </c>
      <c r="N56" s="881">
        <f t="shared" ca="1" si="35"/>
        <v>238453.18</v>
      </c>
      <c r="O56" s="881">
        <f t="shared" ca="1" si="32"/>
        <v>42.65709838998211</v>
      </c>
      <c r="P56" s="881">
        <f t="shared" ca="1" si="33"/>
        <v>56.876131186642816</v>
      </c>
      <c r="Q56" s="868"/>
      <c r="R56" s="868"/>
      <c r="S56" s="868"/>
      <c r="T56" s="868"/>
      <c r="U56" s="868"/>
      <c r="V56" s="868"/>
      <c r="W56" s="868"/>
      <c r="X56" s="868"/>
      <c r="Y56" s="868"/>
      <c r="Z56" s="868"/>
    </row>
    <row r="57" spans="1:26" ht="18.75" hidden="1">
      <c r="A57" s="882"/>
      <c r="B57" s="883"/>
      <c r="C57" s="883"/>
      <c r="D57" s="883"/>
      <c r="E57" s="884" t="s">
        <v>18</v>
      </c>
      <c r="F57" s="883"/>
      <c r="G57" s="885"/>
      <c r="H57" s="43" t="s">
        <v>12</v>
      </c>
      <c r="I57" s="886"/>
      <c r="J57" s="886"/>
      <c r="K57" s="887"/>
      <c r="L57" s="887">
        <v>0</v>
      </c>
      <c r="M57" s="887">
        <v>0</v>
      </c>
      <c r="N57" s="887">
        <v>0</v>
      </c>
      <c r="O57" s="887">
        <f t="shared" si="32"/>
        <v>0</v>
      </c>
      <c r="P57" s="887">
        <f t="shared" si="33"/>
        <v>0</v>
      </c>
      <c r="Q57" s="875"/>
      <c r="R57" s="875"/>
      <c r="S57" s="875"/>
      <c r="T57" s="875"/>
      <c r="U57" s="875"/>
      <c r="V57" s="875"/>
      <c r="W57" s="875"/>
      <c r="X57" s="875"/>
      <c r="Y57" s="875"/>
      <c r="Z57" s="875"/>
    </row>
    <row r="58" spans="1:26" ht="18.75" hidden="1">
      <c r="A58" s="882"/>
      <c r="B58" s="883"/>
      <c r="C58" s="883"/>
      <c r="D58" s="883"/>
      <c r="E58" s="884" t="s">
        <v>19</v>
      </c>
      <c r="F58" s="883"/>
      <c r="G58" s="885"/>
      <c r="H58" s="43" t="s">
        <v>12</v>
      </c>
      <c r="I58" s="886"/>
      <c r="J58" s="886"/>
      <c r="K58" s="887"/>
      <c r="L58" s="887">
        <f ca="1">IFERROR(__xludf.DUMMYFUNCTION("IMPORTRANGE(""https://docs.google.com/spreadsheets/d/1MeEWN-I1oV_STSDYn1IFDPWt_1FKiwhDph83XaGc0o0/edit?usp=sharing"",""งบพรบ!W79"")"),559000)</f>
        <v>559000</v>
      </c>
      <c r="M58" s="887">
        <f ca="1">IFERROR(__xludf.DUMMYFUNCTION("IMPORTRANGE(""https://docs.google.com/spreadsheets/d/1MeEWN-I1oV_STSDYn1IFDPWt_1FKiwhDph83XaGc0o0/edit?usp=sharing"",""งบพรบ!AB79"")"),419250)</f>
        <v>419250</v>
      </c>
      <c r="N58" s="887">
        <f ca="1">IFERROR(__xludf.DUMMYFUNCTION("IMPORTRANGE(""https://docs.google.com/spreadsheets/d/1MeEWN-I1oV_STSDYn1IFDPWt_1FKiwhDph83XaGc0o0/edit?usp=sharing"",""งบพรบ!AD79"")"),238453.18)</f>
        <v>238453.18</v>
      </c>
      <c r="O58" s="887">
        <f t="shared" ca="1" si="32"/>
        <v>42.65709838998211</v>
      </c>
      <c r="P58" s="887">
        <f t="shared" ca="1" si="33"/>
        <v>56.876131186642816</v>
      </c>
      <c r="Q58" s="875"/>
      <c r="R58" s="875"/>
      <c r="S58" s="875"/>
      <c r="T58" s="875"/>
      <c r="U58" s="875"/>
      <c r="V58" s="875"/>
      <c r="W58" s="875"/>
      <c r="X58" s="875"/>
      <c r="Y58" s="875"/>
      <c r="Z58" s="875"/>
    </row>
    <row r="59" spans="1:26" ht="18.75">
      <c r="A59" s="876"/>
      <c r="B59" s="877"/>
      <c r="C59" s="877"/>
      <c r="D59" s="878" t="s">
        <v>21</v>
      </c>
      <c r="E59" s="877"/>
      <c r="F59" s="877"/>
      <c r="G59" s="879"/>
      <c r="H59" s="622" t="s">
        <v>12</v>
      </c>
      <c r="I59" s="880"/>
      <c r="J59" s="880"/>
      <c r="K59" s="881"/>
      <c r="L59" s="881">
        <f t="shared" ref="L59:N59" ca="1" si="36">L60+L61</f>
        <v>0</v>
      </c>
      <c r="M59" s="881">
        <f t="shared" ca="1" si="36"/>
        <v>0</v>
      </c>
      <c r="N59" s="881">
        <f t="shared" ca="1" si="36"/>
        <v>0</v>
      </c>
      <c r="O59" s="881">
        <f t="shared" ca="1" si="32"/>
        <v>0</v>
      </c>
      <c r="P59" s="881">
        <f t="shared" ca="1" si="33"/>
        <v>0</v>
      </c>
      <c r="Q59" s="868"/>
      <c r="R59" s="868"/>
      <c r="S59" s="868"/>
      <c r="T59" s="868"/>
      <c r="U59" s="868"/>
      <c r="V59" s="868"/>
      <c r="W59" s="868"/>
      <c r="X59" s="868"/>
      <c r="Y59" s="868"/>
      <c r="Z59" s="868"/>
    </row>
    <row r="60" spans="1:26" ht="18.75" hidden="1">
      <c r="A60" s="882"/>
      <c r="B60" s="883"/>
      <c r="C60" s="883"/>
      <c r="D60" s="883"/>
      <c r="E60" s="884" t="s">
        <v>18</v>
      </c>
      <c r="F60" s="883"/>
      <c r="G60" s="885"/>
      <c r="H60" s="43" t="s">
        <v>12</v>
      </c>
      <c r="I60" s="886"/>
      <c r="J60" s="886"/>
      <c r="K60" s="887"/>
      <c r="L60" s="887">
        <v>0</v>
      </c>
      <c r="M60" s="887">
        <v>0</v>
      </c>
      <c r="N60" s="887">
        <v>0</v>
      </c>
      <c r="O60" s="887">
        <f t="shared" si="32"/>
        <v>0</v>
      </c>
      <c r="P60" s="887">
        <f t="shared" si="33"/>
        <v>0</v>
      </c>
      <c r="Q60" s="875"/>
      <c r="R60" s="875"/>
      <c r="S60" s="875"/>
      <c r="T60" s="875"/>
      <c r="U60" s="875"/>
      <c r="V60" s="875"/>
      <c r="W60" s="875"/>
      <c r="X60" s="875"/>
      <c r="Y60" s="875"/>
      <c r="Z60" s="875"/>
    </row>
    <row r="61" spans="1:26" ht="18.75" hidden="1">
      <c r="A61" s="888"/>
      <c r="B61" s="889"/>
      <c r="C61" s="889"/>
      <c r="D61" s="889"/>
      <c r="E61" s="890" t="s">
        <v>19</v>
      </c>
      <c r="F61" s="889"/>
      <c r="G61" s="891"/>
      <c r="H61" s="50" t="s">
        <v>12</v>
      </c>
      <c r="I61" s="892"/>
      <c r="J61" s="892"/>
      <c r="K61" s="893"/>
      <c r="L61" s="893">
        <f ca="1">IFERROR(__xludf.DUMMYFUNCTION("IMPORTRANGE(""https://docs.google.com/spreadsheets/d/1MeEWN-I1oV_STSDYn1IFDPWt_1FKiwhDph83XaGc0o0/edit?usp=sharing"",""งบพรบ!Z79"")"),0)</f>
        <v>0</v>
      </c>
      <c r="M61" s="893">
        <f ca="1">IFERROR(__xludf.DUMMYFUNCTION("IMPORTRANGE(""https://docs.google.com/spreadsheets/d/1MeEWN-I1oV_STSDYn1IFDPWt_1FKiwhDph83XaGc0o0/edit?usp=sharing"",""งบพรบ!AC79"")"),0)</f>
        <v>0</v>
      </c>
      <c r="N61" s="893">
        <f ca="1">IFERROR(__xludf.DUMMYFUNCTION("IMPORTRANGE(""https://docs.google.com/spreadsheets/d/1MeEWN-I1oV_STSDYn1IFDPWt_1FKiwhDph83XaGc0o0/edit?usp=sharing"",""งบพรบ!AE79"")"),0)</f>
        <v>0</v>
      </c>
      <c r="O61" s="893">
        <f t="shared" ca="1" si="32"/>
        <v>0</v>
      </c>
      <c r="P61" s="893">
        <f t="shared" ca="1" si="33"/>
        <v>0</v>
      </c>
      <c r="Q61" s="875"/>
      <c r="R61" s="875"/>
      <c r="S61" s="875"/>
      <c r="T61" s="875"/>
      <c r="U61" s="875"/>
      <c r="V61" s="875"/>
      <c r="W61" s="875"/>
      <c r="X61" s="875"/>
      <c r="Y61" s="875"/>
      <c r="Z61" s="875"/>
    </row>
    <row r="62" spans="1:26" ht="19.5">
      <c r="A62" s="963" t="s">
        <v>31</v>
      </c>
      <c r="B62" s="964"/>
      <c r="C62" s="964"/>
      <c r="D62" s="964"/>
      <c r="E62" s="965"/>
      <c r="F62" s="965"/>
      <c r="G62" s="966"/>
      <c r="H62" s="967"/>
      <c r="I62" s="968"/>
      <c r="J62" s="968"/>
      <c r="K62" s="969"/>
      <c r="L62" s="969"/>
      <c r="M62" s="969"/>
      <c r="N62" s="969"/>
      <c r="O62" s="969"/>
      <c r="P62" s="969"/>
    </row>
    <row r="63" spans="1:26" ht="19.5" hidden="1">
      <c r="A63" s="970" t="s">
        <v>32</v>
      </c>
      <c r="B63" s="971"/>
      <c r="C63" s="972"/>
      <c r="D63" s="971"/>
      <c r="E63" s="971"/>
      <c r="F63" s="971"/>
      <c r="G63" s="973"/>
      <c r="H63" s="974"/>
      <c r="I63" s="975"/>
      <c r="J63" s="975"/>
      <c r="K63" s="976"/>
      <c r="L63" s="976"/>
      <c r="M63" s="976"/>
      <c r="N63" s="976"/>
      <c r="O63" s="976"/>
      <c r="P63" s="976"/>
    </row>
    <row r="64" spans="1:26" ht="19.5" hidden="1">
      <c r="A64" s="977"/>
      <c r="B64" s="978" t="s">
        <v>33</v>
      </c>
      <c r="C64" s="979"/>
      <c r="D64" s="980"/>
      <c r="E64" s="979"/>
      <c r="F64" s="979"/>
      <c r="G64" s="981"/>
      <c r="H64" s="205" t="s">
        <v>34</v>
      </c>
      <c r="I64" s="982">
        <f t="shared" ref="I64:J65" ca="1" si="37">I76</f>
        <v>0</v>
      </c>
      <c r="J64" s="982">
        <f t="shared" si="37"/>
        <v>0</v>
      </c>
      <c r="K64" s="983">
        <f t="shared" ref="K64:K65" ca="1" si="38">IF(I64&gt;0,J64*100/I64,0)</f>
        <v>0</v>
      </c>
      <c r="L64" s="984"/>
      <c r="M64" s="984"/>
      <c r="N64" s="984"/>
      <c r="O64" s="984"/>
      <c r="P64" s="984"/>
    </row>
    <row r="65" spans="1:26" ht="19.5" hidden="1">
      <c r="A65" s="977"/>
      <c r="B65" s="979"/>
      <c r="C65" s="979"/>
      <c r="D65" s="980"/>
      <c r="E65" s="979"/>
      <c r="F65" s="979"/>
      <c r="G65" s="981"/>
      <c r="H65" s="205" t="s">
        <v>35</v>
      </c>
      <c r="I65" s="982">
        <f t="shared" ca="1" si="37"/>
        <v>0</v>
      </c>
      <c r="J65" s="982">
        <f t="shared" si="37"/>
        <v>0</v>
      </c>
      <c r="K65" s="983">
        <f t="shared" ca="1" si="38"/>
        <v>0</v>
      </c>
      <c r="L65" s="984"/>
      <c r="M65" s="984"/>
      <c r="N65" s="984"/>
      <c r="O65" s="984"/>
      <c r="P65" s="984"/>
    </row>
    <row r="66" spans="1:26" ht="19.5" hidden="1">
      <c r="A66" s="985"/>
      <c r="B66" s="986"/>
      <c r="C66" s="987" t="s">
        <v>16</v>
      </c>
      <c r="D66" s="988" t="s">
        <v>17</v>
      </c>
      <c r="E66" s="986"/>
      <c r="F66" s="986"/>
      <c r="G66" s="989"/>
      <c r="H66" s="152" t="s">
        <v>12</v>
      </c>
      <c r="I66" s="990"/>
      <c r="J66" s="990"/>
      <c r="K66" s="991"/>
      <c r="L66" s="992">
        <f t="shared" ref="L66:N66" ca="1" si="39">L67+L68</f>
        <v>0</v>
      </c>
      <c r="M66" s="992">
        <f t="shared" ca="1" si="39"/>
        <v>0</v>
      </c>
      <c r="N66" s="992">
        <f t="shared" ca="1" si="39"/>
        <v>0</v>
      </c>
      <c r="O66" s="992">
        <f t="shared" ref="O66:O74" ca="1" si="40">IF(L66&gt;0,N66*100/L66,0)</f>
        <v>0</v>
      </c>
      <c r="P66" s="992">
        <f t="shared" ref="P66:P74" ca="1" si="41">IF(M66&gt;0,N66*100/M66,0)</f>
        <v>0</v>
      </c>
      <c r="Q66" s="868"/>
      <c r="R66" s="868"/>
      <c r="S66" s="868"/>
      <c r="T66" s="868"/>
      <c r="U66" s="868"/>
      <c r="V66" s="868"/>
      <c r="W66" s="868"/>
      <c r="X66" s="868"/>
      <c r="Y66" s="868"/>
      <c r="Z66" s="868"/>
    </row>
    <row r="67" spans="1:26" ht="18.75" hidden="1">
      <c r="A67" s="993"/>
      <c r="B67" s="883"/>
      <c r="C67" s="883"/>
      <c r="D67" s="883"/>
      <c r="E67" s="884" t="s">
        <v>18</v>
      </c>
      <c r="F67" s="883"/>
      <c r="G67" s="994"/>
      <c r="H67" s="158" t="s">
        <v>12</v>
      </c>
      <c r="I67" s="886"/>
      <c r="J67" s="886"/>
      <c r="K67" s="887"/>
      <c r="L67" s="887">
        <f t="shared" ref="L67:N68" si="42">L70+L73</f>
        <v>0</v>
      </c>
      <c r="M67" s="887">
        <f t="shared" si="42"/>
        <v>0</v>
      </c>
      <c r="N67" s="887">
        <f t="shared" si="42"/>
        <v>0</v>
      </c>
      <c r="O67" s="887">
        <f t="shared" si="40"/>
        <v>0</v>
      </c>
      <c r="P67" s="887">
        <f t="shared" si="41"/>
        <v>0</v>
      </c>
      <c r="Q67" s="875"/>
      <c r="R67" s="875"/>
      <c r="S67" s="875"/>
      <c r="T67" s="875"/>
      <c r="U67" s="875"/>
      <c r="V67" s="875"/>
      <c r="W67" s="875"/>
      <c r="X67" s="875"/>
      <c r="Y67" s="875"/>
      <c r="Z67" s="875"/>
    </row>
    <row r="68" spans="1:26" ht="18.75" hidden="1">
      <c r="A68" s="993"/>
      <c r="B68" s="883"/>
      <c r="C68" s="883"/>
      <c r="D68" s="883"/>
      <c r="E68" s="884" t="s">
        <v>19</v>
      </c>
      <c r="F68" s="883"/>
      <c r="G68" s="994"/>
      <c r="H68" s="158" t="s">
        <v>12</v>
      </c>
      <c r="I68" s="886"/>
      <c r="J68" s="886"/>
      <c r="K68" s="887"/>
      <c r="L68" s="887">
        <f t="shared" ca="1" si="42"/>
        <v>0</v>
      </c>
      <c r="M68" s="887">
        <f t="shared" ca="1" si="42"/>
        <v>0</v>
      </c>
      <c r="N68" s="887">
        <f t="shared" ca="1" si="42"/>
        <v>0</v>
      </c>
      <c r="O68" s="887">
        <f t="shared" ca="1" si="40"/>
        <v>0</v>
      </c>
      <c r="P68" s="887">
        <f t="shared" ca="1" si="41"/>
        <v>0</v>
      </c>
      <c r="Q68" s="875"/>
      <c r="R68" s="875"/>
      <c r="S68" s="875"/>
      <c r="T68" s="875"/>
      <c r="U68" s="875"/>
      <c r="V68" s="875"/>
      <c r="W68" s="875"/>
      <c r="X68" s="875"/>
      <c r="Y68" s="875"/>
      <c r="Z68" s="875"/>
    </row>
    <row r="69" spans="1:26" ht="18.75" hidden="1">
      <c r="A69" s="995"/>
      <c r="B69" s="877"/>
      <c r="C69" s="996"/>
      <c r="D69" s="878" t="s">
        <v>20</v>
      </c>
      <c r="E69" s="877"/>
      <c r="F69" s="877"/>
      <c r="G69" s="879"/>
      <c r="H69" s="161" t="s">
        <v>12</v>
      </c>
      <c r="I69" s="997"/>
      <c r="J69" s="997"/>
      <c r="K69" s="998"/>
      <c r="L69" s="881">
        <f t="shared" ref="L69:N69" ca="1" si="43">L70+L71</f>
        <v>0</v>
      </c>
      <c r="M69" s="881">
        <f t="shared" ca="1" si="43"/>
        <v>0</v>
      </c>
      <c r="N69" s="881">
        <f t="shared" ca="1" si="43"/>
        <v>0</v>
      </c>
      <c r="O69" s="881">
        <f t="shared" ca="1" si="40"/>
        <v>0</v>
      </c>
      <c r="P69" s="881">
        <f t="shared" ca="1" si="41"/>
        <v>0</v>
      </c>
      <c r="Q69" s="868"/>
      <c r="R69" s="868"/>
      <c r="S69" s="868"/>
      <c r="T69" s="868"/>
      <c r="U69" s="868"/>
      <c r="V69" s="868"/>
      <c r="W69" s="868"/>
      <c r="X69" s="868"/>
      <c r="Y69" s="868"/>
      <c r="Z69" s="868"/>
    </row>
    <row r="70" spans="1:26" ht="19.5" hidden="1">
      <c r="A70" s="993"/>
      <c r="B70" s="883"/>
      <c r="C70" s="999"/>
      <c r="D70" s="883"/>
      <c r="E70" s="884" t="s">
        <v>36</v>
      </c>
      <c r="F70" s="883"/>
      <c r="G70" s="994"/>
      <c r="H70" s="165" t="s">
        <v>12</v>
      </c>
      <c r="I70" s="1000"/>
      <c r="J70" s="1000"/>
      <c r="K70" s="1001"/>
      <c r="L70" s="887">
        <v>0</v>
      </c>
      <c r="M70" s="887">
        <v>0</v>
      </c>
      <c r="N70" s="887">
        <v>0</v>
      </c>
      <c r="O70" s="887">
        <f t="shared" si="40"/>
        <v>0</v>
      </c>
      <c r="P70" s="887">
        <f t="shared" si="41"/>
        <v>0</v>
      </c>
      <c r="Q70" s="875"/>
      <c r="R70" s="875"/>
      <c r="S70" s="875"/>
      <c r="T70" s="875"/>
      <c r="U70" s="875"/>
      <c r="V70" s="875"/>
      <c r="W70" s="875"/>
      <c r="X70" s="875"/>
      <c r="Y70" s="875"/>
      <c r="Z70" s="875"/>
    </row>
    <row r="71" spans="1:26" ht="19.5" hidden="1">
      <c r="A71" s="993"/>
      <c r="B71" s="883"/>
      <c r="C71" s="999"/>
      <c r="D71" s="883"/>
      <c r="E71" s="884" t="s">
        <v>37</v>
      </c>
      <c r="F71" s="883"/>
      <c r="G71" s="994"/>
      <c r="H71" s="165" t="s">
        <v>12</v>
      </c>
      <c r="I71" s="1000"/>
      <c r="J71" s="1000"/>
      <c r="K71" s="1001"/>
      <c r="L71" s="887">
        <f ca="1">IFERROR(__xludf.DUMMYFUNCTION("IMPORTRANGE(""https://docs.google.com/spreadsheets/d/1MeEWN-I1oV_STSDYn1IFDPWt_1FKiwhDph83XaGc0o0/edit?usp=sharing"",""งบพรบ!AG79"")"),0)</f>
        <v>0</v>
      </c>
      <c r="M71" s="887">
        <f ca="1">IFERROR(__xludf.DUMMYFUNCTION("IMPORTRANGE(""https://docs.google.com/spreadsheets/d/1MeEWN-I1oV_STSDYn1IFDPWt_1FKiwhDph83XaGc0o0/edit?usp=sharing"",""งบพรบ!AL79"")"),0)</f>
        <v>0</v>
      </c>
      <c r="N71" s="887">
        <f ca="1">IFERROR(__xludf.DUMMYFUNCTION("IMPORTRANGE(""https://docs.google.com/spreadsheets/d/1MeEWN-I1oV_STSDYn1IFDPWt_1FKiwhDph83XaGc0o0/edit?usp=sharing"",""งบพรบ!AN79"")"),0)</f>
        <v>0</v>
      </c>
      <c r="O71" s="887">
        <f t="shared" ca="1" si="40"/>
        <v>0</v>
      </c>
      <c r="P71" s="887">
        <f t="shared" ca="1" si="41"/>
        <v>0</v>
      </c>
      <c r="Q71" s="875"/>
      <c r="R71" s="875"/>
      <c r="S71" s="875"/>
      <c r="T71" s="875"/>
      <c r="U71" s="875"/>
      <c r="V71" s="875"/>
      <c r="W71" s="875"/>
      <c r="X71" s="875"/>
      <c r="Y71" s="875"/>
      <c r="Z71" s="875"/>
    </row>
    <row r="72" spans="1:26" ht="18.75" hidden="1">
      <c r="A72" s="995"/>
      <c r="B72" s="877"/>
      <c r="C72" s="996"/>
      <c r="D72" s="878" t="s">
        <v>21</v>
      </c>
      <c r="E72" s="877"/>
      <c r="F72" s="877"/>
      <c r="G72" s="879"/>
      <c r="H72" s="168" t="s">
        <v>12</v>
      </c>
      <c r="I72" s="997"/>
      <c r="J72" s="997"/>
      <c r="K72" s="998"/>
      <c r="L72" s="881">
        <f t="shared" ref="L72:N72" ca="1" si="44">L73+L74</f>
        <v>0</v>
      </c>
      <c r="M72" s="881">
        <f t="shared" ca="1" si="44"/>
        <v>0</v>
      </c>
      <c r="N72" s="881">
        <f t="shared" ca="1" si="44"/>
        <v>0</v>
      </c>
      <c r="O72" s="881">
        <f t="shared" ca="1" si="40"/>
        <v>0</v>
      </c>
      <c r="P72" s="881">
        <f t="shared" ca="1" si="41"/>
        <v>0</v>
      </c>
      <c r="Q72" s="868"/>
      <c r="R72" s="868"/>
      <c r="S72" s="868"/>
      <c r="T72" s="868"/>
      <c r="U72" s="868"/>
      <c r="V72" s="868"/>
      <c r="W72" s="868"/>
      <c r="X72" s="868"/>
      <c r="Y72" s="868"/>
      <c r="Z72" s="868"/>
    </row>
    <row r="73" spans="1:26" ht="19.5" hidden="1">
      <c r="A73" s="993"/>
      <c r="B73" s="883"/>
      <c r="C73" s="999"/>
      <c r="D73" s="883"/>
      <c r="E73" s="884" t="s">
        <v>18</v>
      </c>
      <c r="F73" s="883"/>
      <c r="G73" s="994"/>
      <c r="H73" s="165" t="s">
        <v>12</v>
      </c>
      <c r="I73" s="1000"/>
      <c r="J73" s="1000"/>
      <c r="K73" s="1001"/>
      <c r="L73" s="887">
        <v>0</v>
      </c>
      <c r="M73" s="887"/>
      <c r="N73" s="887"/>
      <c r="O73" s="887">
        <f t="shared" si="40"/>
        <v>0</v>
      </c>
      <c r="P73" s="887">
        <f t="shared" si="41"/>
        <v>0</v>
      </c>
      <c r="Q73" s="875"/>
      <c r="R73" s="875"/>
      <c r="S73" s="875"/>
      <c r="T73" s="875"/>
      <c r="U73" s="875"/>
      <c r="V73" s="875"/>
      <c r="W73" s="875"/>
      <c r="X73" s="875"/>
      <c r="Y73" s="875"/>
      <c r="Z73" s="875"/>
    </row>
    <row r="74" spans="1:26" ht="19.5" hidden="1">
      <c r="A74" s="993"/>
      <c r="B74" s="883"/>
      <c r="C74" s="999"/>
      <c r="D74" s="883"/>
      <c r="E74" s="884" t="s">
        <v>19</v>
      </c>
      <c r="F74" s="883"/>
      <c r="G74" s="994"/>
      <c r="H74" s="169" t="s">
        <v>12</v>
      </c>
      <c r="I74" s="1000"/>
      <c r="J74" s="1000"/>
      <c r="K74" s="1001"/>
      <c r="L74" s="887">
        <f ca="1">IFERROR(__xludf.DUMMYFUNCTION("IMPORTRANGE(""https://docs.google.com/spreadsheets/d/1MeEWN-I1oV_STSDYn1IFDPWt_1FKiwhDph83XaGc0o0/edit?usp=sharing"",""งบพรบ!AJ79"")"),0)</f>
        <v>0</v>
      </c>
      <c r="M74" s="887">
        <f ca="1">IFERROR(__xludf.DUMMYFUNCTION("IMPORTRANGE(""https://docs.google.com/spreadsheets/d/1MeEWN-I1oV_STSDYn1IFDPWt_1FKiwhDph83XaGc0o0/edit?usp=sharing"",""งบพรบ!AM79"")"),0)</f>
        <v>0</v>
      </c>
      <c r="N74" s="887">
        <f ca="1">IFERROR(__xludf.DUMMYFUNCTION("IMPORTRANGE(""https://docs.google.com/spreadsheets/d/1MeEWN-I1oV_STSDYn1IFDPWt_1FKiwhDph83XaGc0o0/edit?usp=sharing"",""งบพรบ!AO79"")"),0)</f>
        <v>0</v>
      </c>
      <c r="O74" s="887">
        <f t="shared" ca="1" si="40"/>
        <v>0</v>
      </c>
      <c r="P74" s="887">
        <f t="shared" ca="1" si="41"/>
        <v>0</v>
      </c>
      <c r="Q74" s="875"/>
      <c r="R74" s="875"/>
      <c r="S74" s="875"/>
      <c r="T74" s="875"/>
      <c r="U74" s="875"/>
      <c r="V74" s="875"/>
      <c r="W74" s="875"/>
      <c r="X74" s="875"/>
      <c r="Y74" s="875"/>
      <c r="Z74" s="875"/>
    </row>
    <row r="75" spans="1:26" ht="19.5" hidden="1">
      <c r="A75" s="1002"/>
      <c r="B75" s="1003"/>
      <c r="C75" s="999" t="s">
        <v>16</v>
      </c>
      <c r="D75" s="1004" t="s">
        <v>38</v>
      </c>
      <c r="E75" s="1005"/>
      <c r="F75" s="1005"/>
      <c r="G75" s="1006"/>
      <c r="H75" s="1007"/>
      <c r="I75" s="997"/>
      <c r="J75" s="997"/>
      <c r="K75" s="998"/>
      <c r="L75" s="998"/>
      <c r="M75" s="998"/>
      <c r="N75" s="998"/>
      <c r="O75" s="998"/>
      <c r="P75" s="998"/>
    </row>
    <row r="76" spans="1:26" ht="19.5" hidden="1">
      <c r="A76" s="1002"/>
      <c r="B76" s="1003"/>
      <c r="C76" s="1003"/>
      <c r="D76" s="1008" t="s">
        <v>39</v>
      </c>
      <c r="E76" s="1009"/>
      <c r="F76" s="1010"/>
      <c r="G76" s="1011"/>
      <c r="H76" s="180" t="s">
        <v>34</v>
      </c>
      <c r="I76" s="880">
        <f t="shared" ref="I76:J77" ca="1" si="45">I78+I80+I82</f>
        <v>0</v>
      </c>
      <c r="J76" s="880">
        <f t="shared" si="45"/>
        <v>0</v>
      </c>
      <c r="K76" s="998">
        <f t="shared" ref="K76:K84" ca="1" si="46">IF(I76&gt;0,J76*100/I76,0)</f>
        <v>0</v>
      </c>
      <c r="L76" s="998"/>
      <c r="M76" s="998"/>
      <c r="N76" s="998"/>
      <c r="O76" s="998"/>
      <c r="P76" s="998"/>
    </row>
    <row r="77" spans="1:26" ht="19.5" hidden="1">
      <c r="A77" s="1002"/>
      <c r="B77" s="1003"/>
      <c r="C77" s="1003"/>
      <c r="D77" s="1003"/>
      <c r="E77" s="1010"/>
      <c r="F77" s="1010"/>
      <c r="G77" s="1011"/>
      <c r="H77" s="180" t="s">
        <v>35</v>
      </c>
      <c r="I77" s="880">
        <f t="shared" ca="1" si="45"/>
        <v>0</v>
      </c>
      <c r="J77" s="880">
        <f t="shared" si="45"/>
        <v>0</v>
      </c>
      <c r="K77" s="998">
        <f t="shared" ca="1" si="46"/>
        <v>0</v>
      </c>
      <c r="L77" s="998"/>
      <c r="M77" s="998"/>
      <c r="N77" s="998"/>
      <c r="O77" s="998"/>
      <c r="P77" s="998"/>
    </row>
    <row r="78" spans="1:26" ht="18.75" hidden="1">
      <c r="A78" s="1002"/>
      <c r="B78" s="1003"/>
      <c r="C78" s="1003"/>
      <c r="D78" s="1003"/>
      <c r="E78" s="1009" t="s">
        <v>40</v>
      </c>
      <c r="F78" s="1009"/>
      <c r="G78" s="1011"/>
      <c r="H78" s="762" t="s">
        <v>34</v>
      </c>
      <c r="I78" s="997">
        <f ca="1">IFERROR(__xludf.DUMMYFUNCTION("IMPORTRANGE(""https://docs.google.com/spreadsheets/d/1QqKyyYR6Q21VydFLVH3TRQUabQu_ym0Zz7PgGX0-kHA/edit?usp=sharing"",""แผน!H79"")"),0)</f>
        <v>0</v>
      </c>
      <c r="J78" s="1012">
        <v>0</v>
      </c>
      <c r="K78" s="998">
        <f t="shared" ca="1" si="46"/>
        <v>0</v>
      </c>
      <c r="L78" s="998"/>
      <c r="M78" s="998"/>
      <c r="N78" s="998"/>
      <c r="O78" s="998"/>
      <c r="P78" s="998"/>
    </row>
    <row r="79" spans="1:26" ht="18.75" hidden="1">
      <c r="A79" s="1002"/>
      <c r="B79" s="1003"/>
      <c r="C79" s="1003"/>
      <c r="D79" s="1003"/>
      <c r="E79" s="1010"/>
      <c r="F79" s="1010"/>
      <c r="G79" s="1011"/>
      <c r="H79" s="762" t="s">
        <v>35</v>
      </c>
      <c r="I79" s="997">
        <f ca="1">IFERROR(__xludf.DUMMYFUNCTION("IMPORTRANGE(""https://docs.google.com/spreadsheets/d/1QqKyyYR6Q21VydFLVH3TRQUabQu_ym0Zz7PgGX0-kHA/edit?usp=sharing"",""แผน!I79"")"),0)</f>
        <v>0</v>
      </c>
      <c r="J79" s="1012">
        <v>0</v>
      </c>
      <c r="K79" s="998">
        <f t="shared" ca="1" si="46"/>
        <v>0</v>
      </c>
      <c r="L79" s="998"/>
      <c r="M79" s="998"/>
      <c r="N79" s="998"/>
      <c r="O79" s="998"/>
      <c r="P79" s="998"/>
    </row>
    <row r="80" spans="1:26" ht="18.75" hidden="1">
      <c r="A80" s="1002"/>
      <c r="B80" s="1003"/>
      <c r="C80" s="1003"/>
      <c r="D80" s="1003"/>
      <c r="E80" s="1009" t="s">
        <v>41</v>
      </c>
      <c r="F80" s="1009"/>
      <c r="G80" s="1011"/>
      <c r="H80" s="762" t="s">
        <v>34</v>
      </c>
      <c r="I80" s="997">
        <f ca="1">IFERROR(__xludf.DUMMYFUNCTION("IMPORTRANGE(""https://docs.google.com/spreadsheets/d/1QqKyyYR6Q21VydFLVH3TRQUabQu_ym0Zz7PgGX0-kHA/edit?usp=sharing"",""แผน!F79"")"),0)</f>
        <v>0</v>
      </c>
      <c r="J80" s="1012">
        <v>0</v>
      </c>
      <c r="K80" s="998">
        <f t="shared" ca="1" si="46"/>
        <v>0</v>
      </c>
      <c r="L80" s="998"/>
      <c r="M80" s="998"/>
      <c r="N80" s="998"/>
      <c r="O80" s="998"/>
      <c r="P80" s="998"/>
    </row>
    <row r="81" spans="1:26" ht="18.75" hidden="1">
      <c r="A81" s="1002"/>
      <c r="B81" s="1003"/>
      <c r="C81" s="1003"/>
      <c r="D81" s="1003"/>
      <c r="E81" s="1010"/>
      <c r="F81" s="1010"/>
      <c r="G81" s="1011"/>
      <c r="H81" s="762" t="s">
        <v>35</v>
      </c>
      <c r="I81" s="997">
        <f ca="1">IFERROR(__xludf.DUMMYFUNCTION("IMPORTRANGE(""https://docs.google.com/spreadsheets/d/1QqKyyYR6Q21VydFLVH3TRQUabQu_ym0Zz7PgGX0-kHA/edit?usp=sharing"",""แผน!G79"")"),0)</f>
        <v>0</v>
      </c>
      <c r="J81" s="1012">
        <v>0</v>
      </c>
      <c r="K81" s="998">
        <f t="shared" ca="1" si="46"/>
        <v>0</v>
      </c>
      <c r="L81" s="998"/>
      <c r="M81" s="998"/>
      <c r="N81" s="998"/>
      <c r="O81" s="998"/>
      <c r="P81" s="998"/>
    </row>
    <row r="82" spans="1:26" ht="18.75" hidden="1">
      <c r="A82" s="1002"/>
      <c r="B82" s="1003"/>
      <c r="C82" s="1003"/>
      <c r="D82" s="1003"/>
      <c r="E82" s="1009" t="s">
        <v>42</v>
      </c>
      <c r="F82" s="1009"/>
      <c r="G82" s="1011"/>
      <c r="H82" s="762" t="s">
        <v>34</v>
      </c>
      <c r="I82" s="997">
        <f ca="1">IFERROR(__xludf.DUMMYFUNCTION("IMPORTRANGE(""https://docs.google.com/spreadsheets/d/1QqKyyYR6Q21VydFLVH3TRQUabQu_ym0Zz7PgGX0-kHA/edit?usp=sharing"",""แผน!D79"")"),0)</f>
        <v>0</v>
      </c>
      <c r="J82" s="1012">
        <v>0</v>
      </c>
      <c r="K82" s="998">
        <f t="shared" ca="1" si="46"/>
        <v>0</v>
      </c>
      <c r="L82" s="998"/>
      <c r="M82" s="998"/>
      <c r="N82" s="998"/>
      <c r="O82" s="998"/>
      <c r="P82" s="998"/>
    </row>
    <row r="83" spans="1:26" ht="18.75" hidden="1">
      <c r="A83" s="1002"/>
      <c r="B83" s="1003"/>
      <c r="C83" s="1003"/>
      <c r="D83" s="1003"/>
      <c r="E83" s="1010"/>
      <c r="F83" s="1010"/>
      <c r="G83" s="1011"/>
      <c r="H83" s="762" t="s">
        <v>35</v>
      </c>
      <c r="I83" s="997">
        <f ca="1">IFERROR(__xludf.DUMMYFUNCTION("IMPORTRANGE(""https://docs.google.com/spreadsheets/d/1QqKyyYR6Q21VydFLVH3TRQUabQu_ym0Zz7PgGX0-kHA/edit?usp=sharing"",""แผน!E79"")"),0)</f>
        <v>0</v>
      </c>
      <c r="J83" s="1012">
        <v>0</v>
      </c>
      <c r="K83" s="998">
        <f t="shared" ca="1" si="46"/>
        <v>0</v>
      </c>
      <c r="L83" s="998"/>
      <c r="M83" s="998"/>
      <c r="N83" s="998"/>
      <c r="O83" s="998"/>
      <c r="P83" s="998"/>
    </row>
    <row r="84" spans="1:26" ht="18.75" hidden="1">
      <c r="A84" s="1002"/>
      <c r="B84" s="1003"/>
      <c r="C84" s="1003"/>
      <c r="D84" s="1008" t="s">
        <v>43</v>
      </c>
      <c r="E84" s="1009"/>
      <c r="F84" s="1010"/>
      <c r="G84" s="1011"/>
      <c r="H84" s="185" t="s">
        <v>34</v>
      </c>
      <c r="I84" s="997">
        <f ca="1">IFERROR(__xludf.DUMMYFUNCTION("IMPORTRANGE(""https://docs.google.com/spreadsheets/d/1QqKyyYR6Q21VydFLVH3TRQUabQu_ym0Zz7PgGX0-kHA/edit?usp=sharing"",""แผน!J79"")"),0)</f>
        <v>0</v>
      </c>
      <c r="J84" s="1012">
        <v>0</v>
      </c>
      <c r="K84" s="998">
        <f t="shared" ca="1" si="46"/>
        <v>0</v>
      </c>
      <c r="L84" s="998"/>
      <c r="M84" s="998"/>
      <c r="N84" s="998"/>
      <c r="O84" s="998"/>
      <c r="P84" s="998"/>
    </row>
    <row r="85" spans="1:26" ht="19.5">
      <c r="A85" s="970" t="s">
        <v>44</v>
      </c>
      <c r="B85" s="971"/>
      <c r="C85" s="972"/>
      <c r="D85" s="971"/>
      <c r="E85" s="971"/>
      <c r="F85" s="971"/>
      <c r="G85" s="973"/>
      <c r="H85" s="974"/>
      <c r="I85" s="975"/>
      <c r="J85" s="975"/>
      <c r="K85" s="976"/>
      <c r="L85" s="976"/>
      <c r="M85" s="976"/>
      <c r="N85" s="976"/>
      <c r="O85" s="976"/>
      <c r="P85" s="976"/>
    </row>
    <row r="86" spans="1:26" ht="19.5">
      <c r="A86" s="977"/>
      <c r="B86" s="978" t="s">
        <v>45</v>
      </c>
      <c r="C86" s="979"/>
      <c r="D86" s="980"/>
      <c r="E86" s="979"/>
      <c r="F86" s="979"/>
      <c r="G86" s="981"/>
      <c r="H86" s="205" t="s">
        <v>46</v>
      </c>
      <c r="I86" s="982">
        <f t="shared" ref="I86:J87" ca="1" si="47">I98</f>
        <v>75</v>
      </c>
      <c r="J86" s="982">
        <f t="shared" si="47"/>
        <v>75</v>
      </c>
      <c r="K86" s="983">
        <f t="shared" ref="K86:K87" ca="1" si="48">IF(I86&gt;0,J86*100/I86,0)</f>
        <v>100</v>
      </c>
      <c r="L86" s="984"/>
      <c r="M86" s="984"/>
      <c r="N86" s="984"/>
      <c r="O86" s="984"/>
      <c r="P86" s="984"/>
    </row>
    <row r="87" spans="1:26" ht="19.5">
      <c r="A87" s="977"/>
      <c r="B87" s="979"/>
      <c r="C87" s="979"/>
      <c r="D87" s="980"/>
      <c r="E87" s="979"/>
      <c r="F87" s="979"/>
      <c r="G87" s="981"/>
      <c r="H87" s="205" t="s">
        <v>35</v>
      </c>
      <c r="I87" s="982">
        <f t="shared" ca="1" si="47"/>
        <v>25</v>
      </c>
      <c r="J87" s="982">
        <f t="shared" si="47"/>
        <v>25</v>
      </c>
      <c r="K87" s="983">
        <f t="shared" ca="1" si="48"/>
        <v>100</v>
      </c>
      <c r="L87" s="984"/>
      <c r="M87" s="984"/>
      <c r="N87" s="984"/>
      <c r="O87" s="984"/>
      <c r="P87" s="984"/>
    </row>
    <row r="88" spans="1:26" ht="19.5">
      <c r="A88" s="985"/>
      <c r="B88" s="986"/>
      <c r="C88" s="987" t="s">
        <v>16</v>
      </c>
      <c r="D88" s="988" t="s">
        <v>17</v>
      </c>
      <c r="E88" s="986"/>
      <c r="F88" s="986"/>
      <c r="G88" s="989"/>
      <c r="H88" s="152" t="s">
        <v>12</v>
      </c>
      <c r="I88" s="990"/>
      <c r="J88" s="990"/>
      <c r="K88" s="991"/>
      <c r="L88" s="992">
        <f t="shared" ref="L88:N88" ca="1" si="49">L89+L90</f>
        <v>237000</v>
      </c>
      <c r="M88" s="992">
        <f t="shared" ca="1" si="49"/>
        <v>188650</v>
      </c>
      <c r="N88" s="992">
        <f t="shared" ca="1" si="49"/>
        <v>143297.32999999999</v>
      </c>
      <c r="O88" s="992">
        <f t="shared" ref="O88:O96" ca="1" si="50">IF(L88&gt;0,N88*100/L88,0)</f>
        <v>60.463008438818555</v>
      </c>
      <c r="P88" s="992">
        <f t="shared" ref="P88:P96" ca="1" si="51">IF(M88&gt;0,N88*100/M88,0)</f>
        <v>75.959358600583087</v>
      </c>
      <c r="Q88" s="868"/>
      <c r="R88" s="868"/>
      <c r="S88" s="868"/>
      <c r="T88" s="868"/>
      <c r="U88" s="868"/>
      <c r="V88" s="868"/>
      <c r="W88" s="868"/>
      <c r="X88" s="868"/>
      <c r="Y88" s="868"/>
      <c r="Z88" s="868"/>
    </row>
    <row r="89" spans="1:26" ht="18.75" hidden="1">
      <c r="A89" s="993"/>
      <c r="B89" s="883"/>
      <c r="C89" s="883"/>
      <c r="D89" s="883"/>
      <c r="E89" s="884" t="s">
        <v>18</v>
      </c>
      <c r="F89" s="883"/>
      <c r="G89" s="994"/>
      <c r="H89" s="158" t="s">
        <v>12</v>
      </c>
      <c r="I89" s="886"/>
      <c r="J89" s="886"/>
      <c r="K89" s="887"/>
      <c r="L89" s="887">
        <f t="shared" ref="L89:N90" si="52">L92+L95</f>
        <v>0</v>
      </c>
      <c r="M89" s="887">
        <f t="shared" si="52"/>
        <v>0</v>
      </c>
      <c r="N89" s="887">
        <f t="shared" si="52"/>
        <v>0</v>
      </c>
      <c r="O89" s="887">
        <f t="shared" si="50"/>
        <v>0</v>
      </c>
      <c r="P89" s="887">
        <f t="shared" si="51"/>
        <v>0</v>
      </c>
      <c r="Q89" s="875"/>
      <c r="R89" s="875"/>
      <c r="S89" s="875"/>
      <c r="T89" s="875"/>
      <c r="U89" s="875"/>
      <c r="V89" s="875"/>
      <c r="W89" s="875"/>
      <c r="X89" s="875"/>
      <c r="Y89" s="875"/>
      <c r="Z89" s="875"/>
    </row>
    <row r="90" spans="1:26" ht="18.75" hidden="1">
      <c r="A90" s="993"/>
      <c r="B90" s="883"/>
      <c r="C90" s="883"/>
      <c r="D90" s="883"/>
      <c r="E90" s="884" t="s">
        <v>19</v>
      </c>
      <c r="F90" s="883"/>
      <c r="G90" s="994"/>
      <c r="H90" s="158" t="s">
        <v>12</v>
      </c>
      <c r="I90" s="886"/>
      <c r="J90" s="886"/>
      <c r="K90" s="887"/>
      <c r="L90" s="887">
        <f t="shared" ca="1" si="52"/>
        <v>237000</v>
      </c>
      <c r="M90" s="887">
        <f t="shared" ca="1" si="52"/>
        <v>188650</v>
      </c>
      <c r="N90" s="887">
        <f t="shared" ca="1" si="52"/>
        <v>143297.32999999999</v>
      </c>
      <c r="O90" s="887">
        <f t="shared" ca="1" si="50"/>
        <v>60.463008438818555</v>
      </c>
      <c r="P90" s="887">
        <f t="shared" ca="1" si="51"/>
        <v>75.959358600583087</v>
      </c>
      <c r="Q90" s="875"/>
      <c r="R90" s="875"/>
      <c r="S90" s="875"/>
      <c r="T90" s="875"/>
      <c r="U90" s="875"/>
      <c r="V90" s="875"/>
      <c r="W90" s="875"/>
      <c r="X90" s="875"/>
      <c r="Y90" s="875"/>
      <c r="Z90" s="875"/>
    </row>
    <row r="91" spans="1:26" ht="18.75">
      <c r="A91" s="995"/>
      <c r="B91" s="877"/>
      <c r="C91" s="996"/>
      <c r="D91" s="878" t="s">
        <v>20</v>
      </c>
      <c r="E91" s="877"/>
      <c r="F91" s="877"/>
      <c r="G91" s="879"/>
      <c r="H91" s="161" t="s">
        <v>12</v>
      </c>
      <c r="I91" s="997"/>
      <c r="J91" s="997"/>
      <c r="K91" s="998"/>
      <c r="L91" s="881">
        <f t="shared" ref="L91:N91" ca="1" si="53">L92+L93</f>
        <v>237000</v>
      </c>
      <c r="M91" s="881">
        <f t="shared" ca="1" si="53"/>
        <v>188650</v>
      </c>
      <c r="N91" s="881">
        <f t="shared" ca="1" si="53"/>
        <v>143297.32999999999</v>
      </c>
      <c r="O91" s="881">
        <f t="shared" ca="1" si="50"/>
        <v>60.463008438818555</v>
      </c>
      <c r="P91" s="881">
        <f t="shared" ca="1" si="51"/>
        <v>75.959358600583087</v>
      </c>
      <c r="Q91" s="868"/>
      <c r="R91" s="868"/>
      <c r="S91" s="868"/>
      <c r="T91" s="868"/>
      <c r="U91" s="868"/>
      <c r="V91" s="868"/>
      <c r="W91" s="868"/>
      <c r="X91" s="868"/>
      <c r="Y91" s="868"/>
      <c r="Z91" s="868"/>
    </row>
    <row r="92" spans="1:26" ht="19.5" hidden="1">
      <c r="A92" s="993"/>
      <c r="B92" s="883"/>
      <c r="C92" s="999"/>
      <c r="D92" s="883"/>
      <c r="E92" s="884" t="s">
        <v>36</v>
      </c>
      <c r="F92" s="883"/>
      <c r="G92" s="994"/>
      <c r="H92" s="165" t="s">
        <v>12</v>
      </c>
      <c r="I92" s="1000"/>
      <c r="J92" s="1000"/>
      <c r="K92" s="1001"/>
      <c r="L92" s="887">
        <v>0</v>
      </c>
      <c r="M92" s="887">
        <v>0</v>
      </c>
      <c r="N92" s="887">
        <v>0</v>
      </c>
      <c r="O92" s="887">
        <f t="shared" si="50"/>
        <v>0</v>
      </c>
      <c r="P92" s="887">
        <f t="shared" si="51"/>
        <v>0</v>
      </c>
      <c r="Q92" s="875"/>
      <c r="R92" s="875"/>
      <c r="S92" s="875"/>
      <c r="T92" s="875"/>
      <c r="U92" s="875"/>
      <c r="V92" s="875"/>
      <c r="W92" s="875"/>
      <c r="X92" s="875"/>
      <c r="Y92" s="875"/>
      <c r="Z92" s="875"/>
    </row>
    <row r="93" spans="1:26" ht="19.5" hidden="1">
      <c r="A93" s="993"/>
      <c r="B93" s="883"/>
      <c r="C93" s="999"/>
      <c r="D93" s="883"/>
      <c r="E93" s="884" t="s">
        <v>37</v>
      </c>
      <c r="F93" s="883"/>
      <c r="G93" s="994"/>
      <c r="H93" s="165" t="s">
        <v>12</v>
      </c>
      <c r="I93" s="1000"/>
      <c r="J93" s="1000"/>
      <c r="K93" s="1001"/>
      <c r="L93" s="887">
        <f ca="1">IFERROR(__xludf.DUMMYFUNCTION("IMPORTRANGE(""https://docs.google.com/spreadsheets/d/1MeEWN-I1oV_STSDYn1IFDPWt_1FKiwhDph83XaGc0o0/edit?usp=sharing"",""งบพรบ!AQ79"")"),237000)</f>
        <v>237000</v>
      </c>
      <c r="M93" s="887">
        <f ca="1">IFERROR(__xludf.DUMMYFUNCTION("IMPORTRANGE(""https://docs.google.com/spreadsheets/d/1MeEWN-I1oV_STSDYn1IFDPWt_1FKiwhDph83XaGc0o0/edit?usp=sharing"",""งบพรบ!AV79"")"),188650)</f>
        <v>188650</v>
      </c>
      <c r="N93" s="887">
        <f ca="1">IFERROR(__xludf.DUMMYFUNCTION("IMPORTRANGE(""https://docs.google.com/spreadsheets/d/1MeEWN-I1oV_STSDYn1IFDPWt_1FKiwhDph83XaGc0o0/edit?usp=sharing"",""งบพรบ!AX79"")"),143297.33)</f>
        <v>143297.32999999999</v>
      </c>
      <c r="O93" s="887">
        <f t="shared" ca="1" si="50"/>
        <v>60.463008438818555</v>
      </c>
      <c r="P93" s="887">
        <f t="shared" ca="1" si="51"/>
        <v>75.959358600583087</v>
      </c>
      <c r="Q93" s="875"/>
      <c r="R93" s="875"/>
      <c r="S93" s="875"/>
      <c r="T93" s="875"/>
      <c r="U93" s="875"/>
      <c r="V93" s="875"/>
      <c r="W93" s="875"/>
      <c r="X93" s="875"/>
      <c r="Y93" s="875"/>
      <c r="Z93" s="875"/>
    </row>
    <row r="94" spans="1:26" ht="18.75">
      <c r="A94" s="995"/>
      <c r="B94" s="877"/>
      <c r="C94" s="996"/>
      <c r="D94" s="878" t="s">
        <v>21</v>
      </c>
      <c r="E94" s="877"/>
      <c r="F94" s="877"/>
      <c r="G94" s="879"/>
      <c r="H94" s="168" t="s">
        <v>12</v>
      </c>
      <c r="I94" s="997"/>
      <c r="J94" s="997"/>
      <c r="K94" s="998"/>
      <c r="L94" s="881">
        <f t="shared" ref="L94:N94" ca="1" si="54">L95+L96</f>
        <v>0</v>
      </c>
      <c r="M94" s="881">
        <f t="shared" ca="1" si="54"/>
        <v>0</v>
      </c>
      <c r="N94" s="881">
        <f t="shared" ca="1" si="54"/>
        <v>0</v>
      </c>
      <c r="O94" s="881">
        <f t="shared" ca="1" si="50"/>
        <v>0</v>
      </c>
      <c r="P94" s="881">
        <f t="shared" ca="1" si="51"/>
        <v>0</v>
      </c>
      <c r="Q94" s="868"/>
      <c r="R94" s="868"/>
      <c r="S94" s="868"/>
      <c r="T94" s="868"/>
      <c r="U94" s="868"/>
      <c r="V94" s="868"/>
      <c r="W94" s="868"/>
      <c r="X94" s="868"/>
      <c r="Y94" s="868"/>
      <c r="Z94" s="868"/>
    </row>
    <row r="95" spans="1:26" ht="19.5" hidden="1">
      <c r="A95" s="993"/>
      <c r="B95" s="883"/>
      <c r="C95" s="999"/>
      <c r="D95" s="883"/>
      <c r="E95" s="884" t="s">
        <v>18</v>
      </c>
      <c r="F95" s="883"/>
      <c r="G95" s="994"/>
      <c r="H95" s="165" t="s">
        <v>12</v>
      </c>
      <c r="I95" s="1000"/>
      <c r="J95" s="1000"/>
      <c r="K95" s="1001"/>
      <c r="L95" s="887">
        <v>0</v>
      </c>
      <c r="M95" s="887">
        <v>0</v>
      </c>
      <c r="N95" s="887">
        <v>0</v>
      </c>
      <c r="O95" s="887">
        <f t="shared" si="50"/>
        <v>0</v>
      </c>
      <c r="P95" s="887">
        <f t="shared" si="51"/>
        <v>0</v>
      </c>
      <c r="Q95" s="875"/>
      <c r="R95" s="875"/>
      <c r="S95" s="875"/>
      <c r="T95" s="875"/>
      <c r="U95" s="875"/>
      <c r="V95" s="875"/>
      <c r="W95" s="875"/>
      <c r="X95" s="875"/>
      <c r="Y95" s="875"/>
      <c r="Z95" s="875"/>
    </row>
    <row r="96" spans="1:26" ht="19.5" hidden="1">
      <c r="A96" s="993"/>
      <c r="B96" s="883"/>
      <c r="C96" s="999"/>
      <c r="D96" s="883"/>
      <c r="E96" s="884" t="s">
        <v>19</v>
      </c>
      <c r="F96" s="883"/>
      <c r="G96" s="994"/>
      <c r="H96" s="169" t="s">
        <v>12</v>
      </c>
      <c r="I96" s="1000"/>
      <c r="J96" s="1000"/>
      <c r="K96" s="1001"/>
      <c r="L96" s="887">
        <f ca="1">IFERROR(__xludf.DUMMYFUNCTION("IMPORTRANGE(""https://docs.google.com/spreadsheets/d/1MeEWN-I1oV_STSDYn1IFDPWt_1FKiwhDph83XaGc0o0/edit?usp=sharing"",""งบพรบ!AT79"")"),0)</f>
        <v>0</v>
      </c>
      <c r="M96" s="887">
        <f ca="1">IFERROR(__xludf.DUMMYFUNCTION("IMPORTRANGE(""https://docs.google.com/spreadsheets/d/1MeEWN-I1oV_STSDYn1IFDPWt_1FKiwhDph83XaGc0o0/edit?usp=sharing"",""งบพรบ!AW79"")"),0)</f>
        <v>0</v>
      </c>
      <c r="N96" s="887">
        <f ca="1">IFERROR(__xludf.DUMMYFUNCTION("IMPORTRANGE(""https://docs.google.com/spreadsheets/d/1MeEWN-I1oV_STSDYn1IFDPWt_1FKiwhDph83XaGc0o0/edit?usp=sharing"",""งบพรบ!AY79"")"),0)</f>
        <v>0</v>
      </c>
      <c r="O96" s="887">
        <f t="shared" ca="1" si="50"/>
        <v>0</v>
      </c>
      <c r="P96" s="887">
        <f t="shared" ca="1" si="51"/>
        <v>0</v>
      </c>
      <c r="Q96" s="875"/>
      <c r="R96" s="875"/>
      <c r="S96" s="875"/>
      <c r="T96" s="875"/>
      <c r="U96" s="875"/>
      <c r="V96" s="875"/>
      <c r="W96" s="875"/>
      <c r="X96" s="875"/>
      <c r="Y96" s="875"/>
      <c r="Z96" s="875"/>
    </row>
    <row r="97" spans="1:16" ht="19.5">
      <c r="A97" s="1002"/>
      <c r="B97" s="1003"/>
      <c r="C97" s="999" t="s">
        <v>16</v>
      </c>
      <c r="D97" s="1004" t="s">
        <v>38</v>
      </c>
      <c r="E97" s="1005"/>
      <c r="F97" s="1005"/>
      <c r="G97" s="1006"/>
      <c r="H97" s="1007"/>
      <c r="I97" s="997"/>
      <c r="J97" s="880"/>
      <c r="K97" s="881"/>
      <c r="L97" s="881"/>
      <c r="M97" s="881"/>
      <c r="N97" s="881"/>
      <c r="O97" s="998"/>
      <c r="P97" s="998"/>
    </row>
    <row r="98" spans="1:16" ht="18.75">
      <c r="A98" s="1002"/>
      <c r="B98" s="1003"/>
      <c r="C98" s="1003"/>
      <c r="D98" s="1009" t="s">
        <v>47</v>
      </c>
      <c r="E98" s="1009"/>
      <c r="F98" s="1010"/>
      <c r="G98" s="1011"/>
      <c r="H98" s="622" t="s">
        <v>46</v>
      </c>
      <c r="I98" s="880">
        <f ca="1">IFERROR(__xludf.DUMMYFUNCTION("IMPORTRANGE(""https://docs.google.com/spreadsheets/d/1QqKyyYR6Q21VydFLVH3TRQUabQu_ym0Zz7PgGX0-kHA/edit?usp=sharing"",""แผน!K79"")"),75)</f>
        <v>75</v>
      </c>
      <c r="J98" s="880">
        <f>J102</f>
        <v>75</v>
      </c>
      <c r="K98" s="881">
        <f t="shared" ref="K98:K100" ca="1" si="55">IF(I98&gt;0,J98*100/I98,0)</f>
        <v>100</v>
      </c>
      <c r="L98" s="881"/>
      <c r="M98" s="881"/>
      <c r="N98" s="881"/>
      <c r="O98" s="998"/>
      <c r="P98" s="998"/>
    </row>
    <row r="99" spans="1:16" ht="18.75">
      <c r="A99" s="1002"/>
      <c r="B99" s="1003"/>
      <c r="C99" s="1003"/>
      <c r="D99" s="1009" t="s">
        <v>48</v>
      </c>
      <c r="E99" s="1009"/>
      <c r="F99" s="1010"/>
      <c r="G99" s="1011"/>
      <c r="H99" s="622" t="s">
        <v>35</v>
      </c>
      <c r="I99" s="880">
        <f ca="1">IFERROR(__xludf.DUMMYFUNCTION("IMPORTRANGE(""https://docs.google.com/spreadsheets/d/1QqKyyYR6Q21VydFLVH3TRQUabQu_ym0Zz7PgGX0-kHA/edit?usp=sharing"",""แผน!L79"")"),25)</f>
        <v>25</v>
      </c>
      <c r="J99" s="880">
        <f>J104</f>
        <v>25</v>
      </c>
      <c r="K99" s="881">
        <f t="shared" ca="1" si="55"/>
        <v>100</v>
      </c>
      <c r="L99" s="881"/>
      <c r="M99" s="881"/>
      <c r="N99" s="881"/>
      <c r="O99" s="998"/>
      <c r="P99" s="998"/>
    </row>
    <row r="100" spans="1:16" ht="18.75">
      <c r="A100" s="1002"/>
      <c r="B100" s="1003"/>
      <c r="C100" s="1003"/>
      <c r="D100" s="1003"/>
      <c r="E100" s="1010"/>
      <c r="F100" s="1010"/>
      <c r="G100" s="1011"/>
      <c r="H100" s="622" t="s">
        <v>49</v>
      </c>
      <c r="I100" s="880">
        <f ca="1">IFERROR(__xludf.DUMMYFUNCTION("IMPORTRANGE(""https://docs.google.com/spreadsheets/d/1QqKyyYR6Q21VydFLVH3TRQUabQu_ym0Zz7PgGX0-kHA/edit?usp=sharing"",""แผน!M79"")"),1)</f>
        <v>1</v>
      </c>
      <c r="J100" s="880">
        <f>J107+J110</f>
        <v>1</v>
      </c>
      <c r="K100" s="881">
        <f t="shared" ca="1" si="55"/>
        <v>100</v>
      </c>
      <c r="L100" s="881"/>
      <c r="M100" s="881"/>
      <c r="N100" s="881"/>
      <c r="O100" s="998"/>
      <c r="P100" s="998"/>
    </row>
    <row r="101" spans="1:16" ht="19.5">
      <c r="A101" s="1002"/>
      <c r="B101" s="1003"/>
      <c r="C101" s="1003"/>
      <c r="D101" s="1010"/>
      <c r="E101" s="1013" t="s">
        <v>50</v>
      </c>
      <c r="F101" s="1010"/>
      <c r="G101" s="1011"/>
      <c r="H101" s="622"/>
      <c r="I101" s="880"/>
      <c r="J101" s="880"/>
      <c r="K101" s="881"/>
      <c r="L101" s="881"/>
      <c r="M101" s="881"/>
      <c r="N101" s="881"/>
      <c r="O101" s="998"/>
      <c r="P101" s="998"/>
    </row>
    <row r="102" spans="1:16" ht="18.75">
      <c r="A102" s="1002"/>
      <c r="B102" s="1003"/>
      <c r="C102" s="1003"/>
      <c r="D102" s="1010"/>
      <c r="E102" s="1014" t="s">
        <v>47</v>
      </c>
      <c r="F102" s="1010"/>
      <c r="G102" s="1011"/>
      <c r="H102" s="622" t="s">
        <v>46</v>
      </c>
      <c r="I102" s="880">
        <f ca="1">IFERROR(__xludf.DUMMYFUNCTION("IMPORTRANGE(""https://docs.google.com/spreadsheets/d/1QqKyyYR6Q21VydFLVH3TRQUabQu_ym0Zz7PgGX0-kHA/edit?usp=sharing"",""แผน!N79"")"),75)</f>
        <v>75</v>
      </c>
      <c r="J102" s="1012">
        <v>75</v>
      </c>
      <c r="K102" s="881">
        <f t="shared" ref="K102:K104" ca="1" si="56">IF(I102&gt;0,J102*100/I102,0)</f>
        <v>100</v>
      </c>
      <c r="L102" s="881"/>
      <c r="M102" s="881"/>
      <c r="N102" s="881"/>
      <c r="O102" s="998"/>
      <c r="P102" s="998"/>
    </row>
    <row r="103" spans="1:16" ht="19.5">
      <c r="A103" s="1002"/>
      <c r="B103" s="1003"/>
      <c r="C103" s="1003"/>
      <c r="D103" s="1010"/>
      <c r="E103" s="1009" t="s">
        <v>51</v>
      </c>
      <c r="F103" s="1010"/>
      <c r="G103" s="1011"/>
      <c r="H103" s="622" t="s">
        <v>35</v>
      </c>
      <c r="I103" s="880">
        <f ca="1">IFERROR(__xludf.DUMMYFUNCTION("IMPORTRANGE(""https://docs.google.com/spreadsheets/d/1QqKyyYR6Q21VydFLVH3TRQUabQu_ym0Zz7PgGX0-kHA/edit?usp=sharing"",""แผน!O79"")"),25)</f>
        <v>25</v>
      </c>
      <c r="J103" s="1012">
        <v>25</v>
      </c>
      <c r="K103" s="881">
        <f t="shared" ca="1" si="56"/>
        <v>100</v>
      </c>
      <c r="L103" s="881"/>
      <c r="M103" s="881"/>
      <c r="N103" s="881"/>
      <c r="O103" s="998"/>
      <c r="P103" s="998"/>
    </row>
    <row r="104" spans="1:16" ht="18.75">
      <c r="A104" s="1002"/>
      <c r="B104" s="1003"/>
      <c r="C104" s="1003"/>
      <c r="D104" s="1010"/>
      <c r="E104" s="1015" t="s">
        <v>52</v>
      </c>
      <c r="F104" s="1010"/>
      <c r="G104" s="1011"/>
      <c r="H104" s="622" t="s">
        <v>35</v>
      </c>
      <c r="I104" s="880">
        <f ca="1">IFERROR(__xludf.DUMMYFUNCTION("IMPORTRANGE(""https://docs.google.com/spreadsheets/d/1QqKyyYR6Q21VydFLVH3TRQUabQu_ym0Zz7PgGX0-kHA/edit?usp=sharing"",""แผน!O79"")"),25)</f>
        <v>25</v>
      </c>
      <c r="J104" s="1012">
        <v>25</v>
      </c>
      <c r="K104" s="881">
        <f t="shared" ca="1" si="56"/>
        <v>100</v>
      </c>
      <c r="L104" s="881"/>
      <c r="M104" s="881"/>
      <c r="N104" s="881"/>
      <c r="O104" s="998"/>
      <c r="P104" s="998"/>
    </row>
    <row r="105" spans="1:16" ht="19.5">
      <c r="A105" s="1002"/>
      <c r="B105" s="1003"/>
      <c r="C105" s="1003"/>
      <c r="D105" s="1010"/>
      <c r="E105" s="1013" t="s">
        <v>53</v>
      </c>
      <c r="F105" s="1010"/>
      <c r="G105" s="1011"/>
      <c r="H105" s="1016"/>
      <c r="I105" s="880"/>
      <c r="J105" s="880"/>
      <c r="K105" s="881"/>
      <c r="L105" s="881"/>
      <c r="M105" s="881"/>
      <c r="N105" s="881"/>
      <c r="O105" s="998"/>
      <c r="P105" s="998"/>
    </row>
    <row r="106" spans="1:16" ht="19.5">
      <c r="A106" s="1002"/>
      <c r="B106" s="1003"/>
      <c r="C106" s="1003"/>
      <c r="D106" s="1010"/>
      <c r="E106" s="1009" t="s">
        <v>54</v>
      </c>
      <c r="F106" s="1010"/>
      <c r="G106" s="1011"/>
      <c r="H106" s="622" t="s">
        <v>49</v>
      </c>
      <c r="I106" s="880">
        <f ca="1">IFERROR(__xludf.DUMMYFUNCTION("IMPORTRANGE(""https://docs.google.com/spreadsheets/d/1QqKyyYR6Q21VydFLVH3TRQUabQu_ym0Zz7PgGX0-kHA/edit?usp=sharing"",""แผน!P79"")"),1)</f>
        <v>1</v>
      </c>
      <c r="J106" s="1012">
        <v>1</v>
      </c>
      <c r="K106" s="881">
        <f t="shared" ref="K106:K107" ca="1" si="57">IF(I106&gt;0,J106*100/I106,0)</f>
        <v>100</v>
      </c>
      <c r="L106" s="881"/>
      <c r="M106" s="881"/>
      <c r="N106" s="881"/>
      <c r="O106" s="998"/>
      <c r="P106" s="998"/>
    </row>
    <row r="107" spans="1:16" ht="18.75">
      <c r="A107" s="1002"/>
      <c r="B107" s="1003"/>
      <c r="C107" s="1003"/>
      <c r="D107" s="1010"/>
      <c r="E107" s="1015" t="s">
        <v>55</v>
      </c>
      <c r="F107" s="1010"/>
      <c r="G107" s="1011"/>
      <c r="H107" s="622" t="s">
        <v>49</v>
      </c>
      <c r="I107" s="880">
        <f ca="1">IFERROR(__xludf.DUMMYFUNCTION("IMPORTRANGE(""https://docs.google.com/spreadsheets/d/1QqKyyYR6Q21VydFLVH3TRQUabQu_ym0Zz7PgGX0-kHA/edit?usp=sharing"",""แผน!P79"")"),1)</f>
        <v>1</v>
      </c>
      <c r="J107" s="1012">
        <v>1</v>
      </c>
      <c r="K107" s="881">
        <f t="shared" ca="1" si="57"/>
        <v>100</v>
      </c>
      <c r="L107" s="881"/>
      <c r="M107" s="881"/>
      <c r="N107" s="881"/>
      <c r="O107" s="998"/>
      <c r="P107" s="998"/>
    </row>
    <row r="108" spans="1:16" ht="19.5">
      <c r="A108" s="1002"/>
      <c r="B108" s="1003"/>
      <c r="C108" s="1003"/>
      <c r="D108" s="1010"/>
      <c r="E108" s="1013" t="s">
        <v>56</v>
      </c>
      <c r="F108" s="1010"/>
      <c r="G108" s="1011"/>
      <c r="H108" s="1016"/>
      <c r="I108" s="880"/>
      <c r="J108" s="880"/>
      <c r="K108" s="881"/>
      <c r="L108" s="881"/>
      <c r="M108" s="881"/>
      <c r="N108" s="881"/>
      <c r="O108" s="998"/>
      <c r="P108" s="998"/>
    </row>
    <row r="109" spans="1:16" ht="19.5">
      <c r="A109" s="1002"/>
      <c r="B109" s="1003"/>
      <c r="C109" s="1003"/>
      <c r="D109" s="1010"/>
      <c r="E109" s="1009" t="s">
        <v>57</v>
      </c>
      <c r="F109" s="1010"/>
      <c r="G109" s="1011"/>
      <c r="H109" s="622" t="s">
        <v>49</v>
      </c>
      <c r="I109" s="880">
        <f ca="1">IFERROR(__xludf.DUMMYFUNCTION("IMPORTRANGE(""https://docs.google.com/spreadsheets/d/1QqKyyYR6Q21VydFLVH3TRQUabQu_ym0Zz7PgGX0-kHA/edit?usp=sharing"",""แผน!Q79"")"),0)</f>
        <v>0</v>
      </c>
      <c r="J109" s="1012">
        <v>0</v>
      </c>
      <c r="K109" s="881">
        <f t="shared" ref="K109:K116" ca="1" si="58">IF(I109&gt;0,J109*100/I109,0)</f>
        <v>0</v>
      </c>
      <c r="L109" s="881"/>
      <c r="M109" s="881"/>
      <c r="N109" s="881"/>
      <c r="O109" s="998"/>
      <c r="P109" s="998"/>
    </row>
    <row r="110" spans="1:16" ht="18.75">
      <c r="A110" s="1002"/>
      <c r="B110" s="1003"/>
      <c r="C110" s="1003"/>
      <c r="D110" s="1010"/>
      <c r="E110" s="1017" t="s">
        <v>58</v>
      </c>
      <c r="F110" s="1010"/>
      <c r="G110" s="1011"/>
      <c r="H110" s="622" t="s">
        <v>49</v>
      </c>
      <c r="I110" s="880">
        <f ca="1">IFERROR(__xludf.DUMMYFUNCTION("IMPORTRANGE(""https://docs.google.com/spreadsheets/d/1QqKyyYR6Q21VydFLVH3TRQUabQu_ym0Zz7PgGX0-kHA/edit?usp=sharing"",""แผน!Q79"")"),0)</f>
        <v>0</v>
      </c>
      <c r="J110" s="1012">
        <v>0</v>
      </c>
      <c r="K110" s="881">
        <f t="shared" ca="1" si="58"/>
        <v>0</v>
      </c>
      <c r="L110" s="881"/>
      <c r="M110" s="881"/>
      <c r="N110" s="881"/>
      <c r="O110" s="998"/>
      <c r="P110" s="998"/>
    </row>
    <row r="111" spans="1:16" ht="19.5">
      <c r="A111" s="1002"/>
      <c r="B111" s="1003"/>
      <c r="C111" s="1003"/>
      <c r="D111" s="1013" t="s">
        <v>59</v>
      </c>
      <c r="E111" s="1013"/>
      <c r="F111" s="1010"/>
      <c r="G111" s="1011"/>
      <c r="H111" s="765" t="s">
        <v>35</v>
      </c>
      <c r="I111" s="1018">
        <f ca="1">IFERROR(__xludf.DUMMYFUNCTION("IMPORTRANGE(""https://docs.google.com/spreadsheets/d/1QqKyyYR6Q21VydFLVH3TRQUabQu_ym0Zz7PgGX0-kHA/edit?usp=sharing"",""แผน!R79"")"),25)</f>
        <v>25</v>
      </c>
      <c r="J111" s="1019">
        <f>J114</f>
        <v>0</v>
      </c>
      <c r="K111" s="1020">
        <f t="shared" ca="1" si="58"/>
        <v>0</v>
      </c>
      <c r="L111" s="881"/>
      <c r="M111" s="881"/>
      <c r="N111" s="881"/>
      <c r="O111" s="998"/>
      <c r="P111" s="998"/>
    </row>
    <row r="112" spans="1:16" ht="19.5">
      <c r="A112" s="1002"/>
      <c r="B112" s="1003"/>
      <c r="C112" s="1003"/>
      <c r="D112" s="1003"/>
      <c r="E112" s="1010"/>
      <c r="F112" s="1010"/>
      <c r="G112" s="1011"/>
      <c r="H112" s="196" t="s">
        <v>49</v>
      </c>
      <c r="I112" s="1018">
        <f t="shared" ref="I112:J112" ca="1" si="59">I115+I116</f>
        <v>1</v>
      </c>
      <c r="J112" s="1019">
        <f t="shared" si="59"/>
        <v>0</v>
      </c>
      <c r="K112" s="1020">
        <f t="shared" ca="1" si="58"/>
        <v>0</v>
      </c>
      <c r="L112" s="881"/>
      <c r="M112" s="881"/>
      <c r="N112" s="881"/>
      <c r="O112" s="998"/>
      <c r="P112" s="998"/>
    </row>
    <row r="113" spans="1:26" ht="19.5">
      <c r="A113" s="1002"/>
      <c r="B113" s="1003"/>
      <c r="C113" s="1003"/>
      <c r="D113" s="1003"/>
      <c r="E113" s="1021" t="s">
        <v>60</v>
      </c>
      <c r="F113" s="1010"/>
      <c r="G113" s="1011"/>
      <c r="H113" s="198" t="s">
        <v>35</v>
      </c>
      <c r="I113" s="997">
        <f ca="1">IFERROR(__xludf.DUMMYFUNCTION("IMPORTRANGE(""https://docs.google.com/spreadsheets/d/1QqKyyYR6Q21VydFLVH3TRQUabQu_ym0Zz7PgGX0-kHA/edit?usp=sharing"",""แผน!R79"")"),25)</f>
        <v>25</v>
      </c>
      <c r="J113" s="1012">
        <v>0</v>
      </c>
      <c r="K113" s="881">
        <f t="shared" ca="1" si="58"/>
        <v>0</v>
      </c>
      <c r="L113" s="881"/>
      <c r="M113" s="881"/>
      <c r="N113" s="881"/>
      <c r="O113" s="998"/>
      <c r="P113" s="998"/>
    </row>
    <row r="114" spans="1:26" ht="19.5">
      <c r="A114" s="1002"/>
      <c r="B114" s="1003"/>
      <c r="C114" s="1003"/>
      <c r="D114" s="1003"/>
      <c r="E114" s="1009" t="s">
        <v>61</v>
      </c>
      <c r="F114" s="1010"/>
      <c r="G114" s="1011"/>
      <c r="H114" s="199" t="s">
        <v>35</v>
      </c>
      <c r="I114" s="997">
        <f ca="1">IFERROR(__xludf.DUMMYFUNCTION("IMPORTRANGE(""https://docs.google.com/spreadsheets/d/1QqKyyYR6Q21VydFLVH3TRQUabQu_ym0Zz7PgGX0-kHA/edit?usp=sharing"",""แผน!R79"")"),25)</f>
        <v>25</v>
      </c>
      <c r="J114" s="1012">
        <v>0</v>
      </c>
      <c r="K114" s="881">
        <f t="shared" ca="1" si="58"/>
        <v>0</v>
      </c>
      <c r="L114" s="881"/>
      <c r="M114" s="881"/>
      <c r="N114" s="881"/>
      <c r="O114" s="998"/>
      <c r="P114" s="998"/>
    </row>
    <row r="115" spans="1:26" ht="18.75">
      <c r="A115" s="1002"/>
      <c r="B115" s="1003"/>
      <c r="C115" s="1003"/>
      <c r="D115" s="1003"/>
      <c r="E115" s="1009" t="s">
        <v>62</v>
      </c>
      <c r="F115" s="1010"/>
      <c r="G115" s="1011"/>
      <c r="H115" s="199" t="s">
        <v>49</v>
      </c>
      <c r="I115" s="997">
        <f ca="1">IFERROR(__xludf.DUMMYFUNCTION("IMPORTRANGE(""https://docs.google.com/spreadsheets/d/1QqKyyYR6Q21VydFLVH3TRQUabQu_ym0Zz7PgGX0-kHA/edit?usp=sharing"",""แผน!S79"")"),1)</f>
        <v>1</v>
      </c>
      <c r="J115" s="1012">
        <v>0</v>
      </c>
      <c r="K115" s="881">
        <f t="shared" ca="1" si="58"/>
        <v>0</v>
      </c>
      <c r="L115" s="881"/>
      <c r="M115" s="881"/>
      <c r="N115" s="881"/>
      <c r="O115" s="998"/>
      <c r="P115" s="998"/>
    </row>
    <row r="116" spans="1:26" ht="18.75">
      <c r="A116" s="1002"/>
      <c r="B116" s="1003"/>
      <c r="C116" s="1003"/>
      <c r="D116" s="1003"/>
      <c r="E116" s="1009" t="s">
        <v>63</v>
      </c>
      <c r="F116" s="1010"/>
      <c r="G116" s="1011"/>
      <c r="H116" s="199" t="s">
        <v>49</v>
      </c>
      <c r="I116" s="997">
        <f ca="1">IFERROR(__xludf.DUMMYFUNCTION("IMPORTRANGE(""https://docs.google.com/spreadsheets/d/1QqKyyYR6Q21VydFLVH3TRQUabQu_ym0Zz7PgGX0-kHA/edit?usp=sharing"",""แผน!T79"")"),0)</f>
        <v>0</v>
      </c>
      <c r="J116" s="1012">
        <v>0</v>
      </c>
      <c r="K116" s="881">
        <f t="shared" ca="1" si="58"/>
        <v>0</v>
      </c>
      <c r="L116" s="881"/>
      <c r="M116" s="881"/>
      <c r="N116" s="881"/>
      <c r="O116" s="998"/>
      <c r="P116" s="998"/>
    </row>
    <row r="117" spans="1:26" ht="19.5" hidden="1">
      <c r="A117" s="970" t="s">
        <v>64</v>
      </c>
      <c r="B117" s="971"/>
      <c r="C117" s="1022"/>
      <c r="D117" s="971"/>
      <c r="E117" s="971"/>
      <c r="F117" s="971"/>
      <c r="G117" s="971"/>
      <c r="H117" s="1023"/>
      <c r="I117" s="1024"/>
      <c r="J117" s="1024"/>
      <c r="K117" s="1025"/>
      <c r="L117" s="976"/>
      <c r="M117" s="976"/>
      <c r="N117" s="976"/>
      <c r="O117" s="976"/>
      <c r="P117" s="976"/>
    </row>
    <row r="118" spans="1:26" ht="19.5" hidden="1">
      <c r="A118" s="977"/>
      <c r="B118" s="978" t="s">
        <v>65</v>
      </c>
      <c r="C118" s="1026"/>
      <c r="D118" s="980"/>
      <c r="E118" s="979"/>
      <c r="F118" s="979"/>
      <c r="G118" s="981"/>
      <c r="H118" s="205"/>
      <c r="I118" s="1027"/>
      <c r="J118" s="1027"/>
      <c r="K118" s="984"/>
      <c r="L118" s="984"/>
      <c r="M118" s="984"/>
      <c r="N118" s="984"/>
      <c r="O118" s="984"/>
      <c r="P118" s="984"/>
    </row>
    <row r="119" spans="1:26" ht="19.5" hidden="1">
      <c r="A119" s="985"/>
      <c r="B119" s="986"/>
      <c r="C119" s="987" t="s">
        <v>16</v>
      </c>
      <c r="D119" s="988" t="s">
        <v>17</v>
      </c>
      <c r="E119" s="986"/>
      <c r="F119" s="986"/>
      <c r="G119" s="989"/>
      <c r="H119" s="152" t="s">
        <v>12</v>
      </c>
      <c r="I119" s="990"/>
      <c r="J119" s="990"/>
      <c r="K119" s="991"/>
      <c r="L119" s="992">
        <f t="shared" ref="L119:N119" ca="1" si="60">L120+L121</f>
        <v>0</v>
      </c>
      <c r="M119" s="992">
        <f t="shared" ca="1" si="60"/>
        <v>0</v>
      </c>
      <c r="N119" s="992">
        <f t="shared" ca="1" si="60"/>
        <v>0</v>
      </c>
      <c r="O119" s="992">
        <f t="shared" ref="O119:O127" ca="1" si="61">IF(L119&gt;0,N119*100/L119,0)</f>
        <v>0</v>
      </c>
      <c r="P119" s="992">
        <f t="shared" ref="P119:P127" ca="1" si="62">IF(M119&gt;0,N119*100/M119,0)</f>
        <v>0</v>
      </c>
      <c r="Q119" s="868"/>
      <c r="R119" s="868"/>
      <c r="S119" s="868"/>
      <c r="T119" s="868"/>
      <c r="U119" s="868"/>
      <c r="V119" s="868"/>
      <c r="W119" s="868"/>
      <c r="X119" s="868"/>
      <c r="Y119" s="868"/>
      <c r="Z119" s="868"/>
    </row>
    <row r="120" spans="1:26" ht="18.75" hidden="1">
      <c r="A120" s="993"/>
      <c r="B120" s="883"/>
      <c r="C120" s="883"/>
      <c r="D120" s="883"/>
      <c r="E120" s="884" t="s">
        <v>18</v>
      </c>
      <c r="F120" s="883"/>
      <c r="G120" s="994"/>
      <c r="H120" s="158" t="s">
        <v>12</v>
      </c>
      <c r="I120" s="886"/>
      <c r="J120" s="886"/>
      <c r="K120" s="887"/>
      <c r="L120" s="887">
        <f t="shared" ref="L120:N121" si="63">L123+L126</f>
        <v>0</v>
      </c>
      <c r="M120" s="887">
        <f t="shared" si="63"/>
        <v>0</v>
      </c>
      <c r="N120" s="887">
        <f t="shared" si="63"/>
        <v>0</v>
      </c>
      <c r="O120" s="887">
        <f t="shared" si="61"/>
        <v>0</v>
      </c>
      <c r="P120" s="887">
        <f t="shared" si="62"/>
        <v>0</v>
      </c>
      <c r="Q120" s="875"/>
      <c r="R120" s="875"/>
      <c r="S120" s="875"/>
      <c r="T120" s="875"/>
      <c r="U120" s="875"/>
      <c r="V120" s="875"/>
      <c r="W120" s="875"/>
      <c r="X120" s="875"/>
      <c r="Y120" s="875"/>
      <c r="Z120" s="875"/>
    </row>
    <row r="121" spans="1:26" ht="18.75" hidden="1">
      <c r="A121" s="993"/>
      <c r="B121" s="883"/>
      <c r="C121" s="883"/>
      <c r="D121" s="883"/>
      <c r="E121" s="884" t="s">
        <v>19</v>
      </c>
      <c r="F121" s="883"/>
      <c r="G121" s="994"/>
      <c r="H121" s="158" t="s">
        <v>12</v>
      </c>
      <c r="I121" s="886"/>
      <c r="J121" s="886"/>
      <c r="K121" s="887"/>
      <c r="L121" s="887">
        <f t="shared" ca="1" si="63"/>
        <v>0</v>
      </c>
      <c r="M121" s="887">
        <f t="shared" ca="1" si="63"/>
        <v>0</v>
      </c>
      <c r="N121" s="887">
        <f t="shared" ca="1" si="63"/>
        <v>0</v>
      </c>
      <c r="O121" s="887">
        <f t="shared" ca="1" si="61"/>
        <v>0</v>
      </c>
      <c r="P121" s="887">
        <f t="shared" ca="1" si="62"/>
        <v>0</v>
      </c>
      <c r="Q121" s="875"/>
      <c r="R121" s="875"/>
      <c r="S121" s="875"/>
      <c r="T121" s="875"/>
      <c r="U121" s="875"/>
      <c r="V121" s="875"/>
      <c r="W121" s="875"/>
      <c r="X121" s="875"/>
      <c r="Y121" s="875"/>
      <c r="Z121" s="875"/>
    </row>
    <row r="122" spans="1:26" ht="18.75" hidden="1">
      <c r="A122" s="995"/>
      <c r="B122" s="877"/>
      <c r="C122" s="996"/>
      <c r="D122" s="878" t="s">
        <v>20</v>
      </c>
      <c r="E122" s="877"/>
      <c r="F122" s="877"/>
      <c r="G122" s="879"/>
      <c r="H122" s="161" t="s">
        <v>12</v>
      </c>
      <c r="I122" s="997"/>
      <c r="J122" s="997"/>
      <c r="K122" s="998"/>
      <c r="L122" s="881">
        <f t="shared" ref="L122:N122" ca="1" si="64">L123+L124</f>
        <v>0</v>
      </c>
      <c r="M122" s="881">
        <f t="shared" ca="1" si="64"/>
        <v>0</v>
      </c>
      <c r="N122" s="881">
        <f t="shared" ca="1" si="64"/>
        <v>0</v>
      </c>
      <c r="O122" s="881">
        <f t="shared" ca="1" si="61"/>
        <v>0</v>
      </c>
      <c r="P122" s="881">
        <f t="shared" ca="1" si="62"/>
        <v>0</v>
      </c>
      <c r="Q122" s="868"/>
      <c r="R122" s="868"/>
      <c r="S122" s="868"/>
      <c r="T122" s="868"/>
      <c r="U122" s="868"/>
      <c r="V122" s="868"/>
      <c r="W122" s="868"/>
      <c r="X122" s="868"/>
      <c r="Y122" s="868"/>
      <c r="Z122" s="868"/>
    </row>
    <row r="123" spans="1:26" ht="18.75" hidden="1">
      <c r="A123" s="993"/>
      <c r="B123" s="883"/>
      <c r="C123" s="884"/>
      <c r="D123" s="883"/>
      <c r="E123" s="884" t="s">
        <v>36</v>
      </c>
      <c r="F123" s="883"/>
      <c r="G123" s="994"/>
      <c r="H123" s="165" t="s">
        <v>12</v>
      </c>
      <c r="I123" s="1000"/>
      <c r="J123" s="1000"/>
      <c r="K123" s="1001"/>
      <c r="L123" s="887">
        <v>0</v>
      </c>
      <c r="M123" s="887">
        <v>0</v>
      </c>
      <c r="N123" s="887">
        <v>0</v>
      </c>
      <c r="O123" s="887">
        <f t="shared" si="61"/>
        <v>0</v>
      </c>
      <c r="P123" s="887">
        <f t="shared" si="62"/>
        <v>0</v>
      </c>
      <c r="Q123" s="875"/>
      <c r="R123" s="875"/>
      <c r="S123" s="875"/>
      <c r="T123" s="875"/>
      <c r="U123" s="875"/>
      <c r="V123" s="875"/>
      <c r="W123" s="875"/>
      <c r="X123" s="875"/>
      <c r="Y123" s="875"/>
      <c r="Z123" s="875"/>
    </row>
    <row r="124" spans="1:26" ht="18.75" hidden="1">
      <c r="A124" s="993"/>
      <c r="B124" s="883"/>
      <c r="C124" s="884"/>
      <c r="D124" s="883"/>
      <c r="E124" s="884" t="s">
        <v>37</v>
      </c>
      <c r="F124" s="883"/>
      <c r="G124" s="994"/>
      <c r="H124" s="165" t="s">
        <v>12</v>
      </c>
      <c r="I124" s="1000"/>
      <c r="J124" s="1000"/>
      <c r="K124" s="1001"/>
      <c r="L124" s="887">
        <f ca="1">IFERROR(__xludf.DUMMYFUNCTION("IMPORTRANGE(""https://docs.google.com/spreadsheets/d/1MeEWN-I1oV_STSDYn1IFDPWt_1FKiwhDph83XaGc0o0/edit?usp=sharing"",""งบพรบ!BA79"")"),0)</f>
        <v>0</v>
      </c>
      <c r="M124" s="887">
        <f ca="1">IFERROR(__xludf.DUMMYFUNCTION("IMPORTRANGE(""https://docs.google.com/spreadsheets/d/1MeEWN-I1oV_STSDYn1IFDPWt_1FKiwhDph83XaGc0o0/edit?usp=sharing"",""งบพรบ!BF79"")"),0)</f>
        <v>0</v>
      </c>
      <c r="N124" s="887">
        <f ca="1">IFERROR(__xludf.DUMMYFUNCTION("IMPORTRANGE(""https://docs.google.com/spreadsheets/d/1MeEWN-I1oV_STSDYn1IFDPWt_1FKiwhDph83XaGc0o0/edit?usp=sharing"",""งบพรบ!BH79"")"),0)</f>
        <v>0</v>
      </c>
      <c r="O124" s="887">
        <f t="shared" ca="1" si="61"/>
        <v>0</v>
      </c>
      <c r="P124" s="887">
        <f t="shared" ca="1" si="62"/>
        <v>0</v>
      </c>
      <c r="Q124" s="875"/>
      <c r="R124" s="875"/>
      <c r="S124" s="875"/>
      <c r="T124" s="875"/>
      <c r="U124" s="875"/>
      <c r="V124" s="875"/>
      <c r="W124" s="875"/>
      <c r="X124" s="875"/>
      <c r="Y124" s="875"/>
      <c r="Z124" s="875"/>
    </row>
    <row r="125" spans="1:26" ht="18.75" hidden="1">
      <c r="A125" s="995"/>
      <c r="B125" s="877"/>
      <c r="C125" s="996"/>
      <c r="D125" s="878" t="s">
        <v>21</v>
      </c>
      <c r="E125" s="877"/>
      <c r="F125" s="877"/>
      <c r="G125" s="879"/>
      <c r="H125" s="168" t="s">
        <v>12</v>
      </c>
      <c r="I125" s="997"/>
      <c r="J125" s="997"/>
      <c r="K125" s="998"/>
      <c r="L125" s="881">
        <f t="shared" ref="L125:N125" ca="1" si="65">L126+L127</f>
        <v>0</v>
      </c>
      <c r="M125" s="881">
        <f t="shared" ca="1" si="65"/>
        <v>0</v>
      </c>
      <c r="N125" s="881">
        <f t="shared" ca="1" si="65"/>
        <v>0</v>
      </c>
      <c r="O125" s="881">
        <f t="shared" ca="1" si="61"/>
        <v>0</v>
      </c>
      <c r="P125" s="881">
        <f t="shared" ca="1" si="62"/>
        <v>0</v>
      </c>
      <c r="Q125" s="868"/>
      <c r="R125" s="868"/>
      <c r="S125" s="868"/>
      <c r="T125" s="868"/>
      <c r="U125" s="868"/>
      <c r="V125" s="868"/>
      <c r="W125" s="868"/>
      <c r="X125" s="868"/>
      <c r="Y125" s="868"/>
      <c r="Z125" s="868"/>
    </row>
    <row r="126" spans="1:26" ht="19.5" hidden="1">
      <c r="A126" s="993"/>
      <c r="B126" s="883"/>
      <c r="C126" s="999"/>
      <c r="D126" s="883"/>
      <c r="E126" s="884" t="s">
        <v>18</v>
      </c>
      <c r="F126" s="883"/>
      <c r="G126" s="994"/>
      <c r="H126" s="165" t="s">
        <v>12</v>
      </c>
      <c r="I126" s="1000"/>
      <c r="J126" s="1000"/>
      <c r="K126" s="1001"/>
      <c r="L126" s="887">
        <v>0</v>
      </c>
      <c r="M126" s="887">
        <v>0</v>
      </c>
      <c r="N126" s="887">
        <v>0</v>
      </c>
      <c r="O126" s="887">
        <f t="shared" si="61"/>
        <v>0</v>
      </c>
      <c r="P126" s="887">
        <f t="shared" si="62"/>
        <v>0</v>
      </c>
      <c r="Q126" s="875"/>
      <c r="R126" s="875"/>
      <c r="S126" s="875"/>
      <c r="T126" s="875"/>
      <c r="U126" s="875"/>
      <c r="V126" s="875"/>
      <c r="W126" s="875"/>
      <c r="X126" s="875"/>
      <c r="Y126" s="875"/>
      <c r="Z126" s="875"/>
    </row>
    <row r="127" spans="1:26" ht="19.5" hidden="1">
      <c r="A127" s="993"/>
      <c r="B127" s="883"/>
      <c r="C127" s="999"/>
      <c r="D127" s="883"/>
      <c r="E127" s="884" t="s">
        <v>19</v>
      </c>
      <c r="F127" s="883"/>
      <c r="G127" s="994"/>
      <c r="H127" s="169" t="s">
        <v>12</v>
      </c>
      <c r="I127" s="1000"/>
      <c r="J127" s="1000"/>
      <c r="K127" s="1001"/>
      <c r="L127" s="887">
        <f ca="1">IFERROR(__xludf.DUMMYFUNCTION("IMPORTRANGE(""https://docs.google.com/spreadsheets/d/1MeEWN-I1oV_STSDYn1IFDPWt_1FKiwhDph83XaGc0o0/edit?usp=sharing"",""งบพรบ!BD79"")"),0)</f>
        <v>0</v>
      </c>
      <c r="M127" s="887">
        <f ca="1">IFERROR(__xludf.DUMMYFUNCTION("IMPORTRANGE(""https://docs.google.com/spreadsheets/d/1MeEWN-I1oV_STSDYn1IFDPWt_1FKiwhDph83XaGc0o0/edit?usp=sharing"",""งบพรบ!BG79"")"),0)</f>
        <v>0</v>
      </c>
      <c r="N127" s="887">
        <f ca="1">IFERROR(__xludf.DUMMYFUNCTION("IMPORTRANGE(""https://docs.google.com/spreadsheets/d/1MeEWN-I1oV_STSDYn1IFDPWt_1FKiwhDph83XaGc0o0/edit?usp=sharing"",""งบพรบ!BI79"")"),0)</f>
        <v>0</v>
      </c>
      <c r="O127" s="887">
        <f t="shared" ca="1" si="61"/>
        <v>0</v>
      </c>
      <c r="P127" s="887">
        <f t="shared" ca="1" si="62"/>
        <v>0</v>
      </c>
      <c r="Q127" s="875"/>
      <c r="R127" s="875"/>
      <c r="S127" s="875"/>
      <c r="T127" s="875"/>
      <c r="U127" s="875"/>
      <c r="V127" s="875"/>
      <c r="W127" s="875"/>
      <c r="X127" s="875"/>
      <c r="Y127" s="875"/>
      <c r="Z127" s="875"/>
    </row>
    <row r="128" spans="1:26" ht="19.5" hidden="1">
      <c r="A128" s="970" t="s">
        <v>67</v>
      </c>
      <c r="B128" s="971"/>
      <c r="C128" s="1022"/>
      <c r="D128" s="971"/>
      <c r="E128" s="971"/>
      <c r="F128" s="971"/>
      <c r="G128" s="971"/>
      <c r="H128" s="1023"/>
      <c r="I128" s="1024"/>
      <c r="J128" s="1024"/>
      <c r="K128" s="1025"/>
      <c r="L128" s="976"/>
      <c r="M128" s="976"/>
      <c r="N128" s="976"/>
      <c r="O128" s="976"/>
      <c r="P128" s="976"/>
    </row>
    <row r="129" spans="1:26" ht="19.5" hidden="1">
      <c r="A129" s="977"/>
      <c r="B129" s="978" t="s">
        <v>68</v>
      </c>
      <c r="C129" s="1026"/>
      <c r="D129" s="980"/>
      <c r="E129" s="979"/>
      <c r="F129" s="979"/>
      <c r="G129" s="979"/>
      <c r="H129" s="207"/>
      <c r="I129" s="1027"/>
      <c r="J129" s="1027"/>
      <c r="K129" s="984"/>
      <c r="L129" s="984"/>
      <c r="M129" s="984"/>
      <c r="N129" s="984"/>
      <c r="O129" s="984"/>
      <c r="P129" s="984"/>
    </row>
    <row r="130" spans="1:26" ht="19.5" hidden="1">
      <c r="A130" s="977"/>
      <c r="B130" s="978"/>
      <c r="C130" s="1028" t="s">
        <v>69</v>
      </c>
      <c r="D130" s="980"/>
      <c r="E130" s="979"/>
      <c r="F130" s="979"/>
      <c r="G130" s="981"/>
      <c r="H130" s="205" t="s">
        <v>66</v>
      </c>
      <c r="I130" s="982">
        <f t="shared" ref="I130:J130" ca="1" si="66">I146</f>
        <v>0</v>
      </c>
      <c r="J130" s="982">
        <f t="shared" si="66"/>
        <v>0</v>
      </c>
      <c r="K130" s="983">
        <f t="shared" ref="K130:K131" ca="1" si="67">IF(I130&gt;0,J130*100/I130,0)</f>
        <v>0</v>
      </c>
      <c r="L130" s="984"/>
      <c r="M130" s="984"/>
      <c r="N130" s="984"/>
      <c r="O130" s="984"/>
      <c r="P130" s="984"/>
    </row>
    <row r="131" spans="1:26" ht="19.5" hidden="1">
      <c r="A131" s="977"/>
      <c r="B131" s="978"/>
      <c r="C131" s="1028" t="s">
        <v>70</v>
      </c>
      <c r="D131" s="980"/>
      <c r="E131" s="979"/>
      <c r="F131" s="979"/>
      <c r="G131" s="981"/>
      <c r="H131" s="205" t="s">
        <v>35</v>
      </c>
      <c r="I131" s="982">
        <f t="shared" ref="I131:J131" ca="1" si="68">I143</f>
        <v>0</v>
      </c>
      <c r="J131" s="982">
        <f t="shared" ca="1" si="68"/>
        <v>0</v>
      </c>
      <c r="K131" s="983">
        <f t="shared" ca="1" si="67"/>
        <v>0</v>
      </c>
      <c r="L131" s="984"/>
      <c r="M131" s="984"/>
      <c r="N131" s="984"/>
      <c r="O131" s="984"/>
      <c r="P131" s="984"/>
    </row>
    <row r="132" spans="1:26" ht="19.5" hidden="1">
      <c r="A132" s="985"/>
      <c r="B132" s="986"/>
      <c r="C132" s="987" t="s">
        <v>16</v>
      </c>
      <c r="D132" s="988" t="s">
        <v>17</v>
      </c>
      <c r="E132" s="986"/>
      <c r="F132" s="986"/>
      <c r="G132" s="989"/>
      <c r="H132" s="152" t="s">
        <v>12</v>
      </c>
      <c r="I132" s="990"/>
      <c r="J132" s="990"/>
      <c r="K132" s="991"/>
      <c r="L132" s="992">
        <f t="shared" ref="L132:N132" ca="1" si="69">L133+L134</f>
        <v>0</v>
      </c>
      <c r="M132" s="992">
        <f t="shared" ca="1" si="69"/>
        <v>0</v>
      </c>
      <c r="N132" s="992">
        <f t="shared" ca="1" si="69"/>
        <v>0</v>
      </c>
      <c r="O132" s="992">
        <f t="shared" ref="O132:O140" ca="1" si="70">IF(L132&gt;0,N132*100/L132,0)</f>
        <v>0</v>
      </c>
      <c r="P132" s="992">
        <f t="shared" ref="P132:P140" ca="1" si="71">IF(M132&gt;0,N132*100/M132,0)</f>
        <v>0</v>
      </c>
      <c r="Q132" s="868"/>
      <c r="R132" s="868"/>
      <c r="S132" s="868"/>
      <c r="T132" s="868"/>
      <c r="U132" s="868"/>
      <c r="V132" s="868"/>
      <c r="W132" s="868"/>
      <c r="X132" s="868"/>
      <c r="Y132" s="868"/>
      <c r="Z132" s="868"/>
    </row>
    <row r="133" spans="1:26" ht="18.75" hidden="1">
      <c r="A133" s="993"/>
      <c r="B133" s="883"/>
      <c r="C133" s="883"/>
      <c r="D133" s="883"/>
      <c r="E133" s="884" t="s">
        <v>18</v>
      </c>
      <c r="F133" s="883"/>
      <c r="G133" s="994"/>
      <c r="H133" s="158" t="s">
        <v>12</v>
      </c>
      <c r="I133" s="886"/>
      <c r="J133" s="886"/>
      <c r="K133" s="887"/>
      <c r="L133" s="887">
        <f t="shared" ref="L133:N134" si="72">L136+L139</f>
        <v>0</v>
      </c>
      <c r="M133" s="887">
        <f t="shared" si="72"/>
        <v>0</v>
      </c>
      <c r="N133" s="887">
        <f t="shared" si="72"/>
        <v>0</v>
      </c>
      <c r="O133" s="887">
        <f t="shared" si="70"/>
        <v>0</v>
      </c>
      <c r="P133" s="887">
        <f t="shared" si="71"/>
        <v>0</v>
      </c>
      <c r="Q133" s="875"/>
      <c r="R133" s="875"/>
      <c r="S133" s="875"/>
      <c r="T133" s="875"/>
      <c r="U133" s="875"/>
      <c r="V133" s="875"/>
      <c r="W133" s="875"/>
      <c r="X133" s="875"/>
      <c r="Y133" s="875"/>
      <c r="Z133" s="875"/>
    </row>
    <row r="134" spans="1:26" ht="18.75" hidden="1">
      <c r="A134" s="993"/>
      <c r="B134" s="883"/>
      <c r="C134" s="883"/>
      <c r="D134" s="883"/>
      <c r="E134" s="884" t="s">
        <v>19</v>
      </c>
      <c r="F134" s="883"/>
      <c r="G134" s="994"/>
      <c r="H134" s="158" t="s">
        <v>12</v>
      </c>
      <c r="I134" s="886"/>
      <c r="J134" s="886"/>
      <c r="K134" s="887"/>
      <c r="L134" s="887">
        <f t="shared" ca="1" si="72"/>
        <v>0</v>
      </c>
      <c r="M134" s="887">
        <f t="shared" ca="1" si="72"/>
        <v>0</v>
      </c>
      <c r="N134" s="887">
        <f t="shared" ca="1" si="72"/>
        <v>0</v>
      </c>
      <c r="O134" s="887">
        <f t="shared" ca="1" si="70"/>
        <v>0</v>
      </c>
      <c r="P134" s="887">
        <f t="shared" ca="1" si="71"/>
        <v>0</v>
      </c>
      <c r="Q134" s="875"/>
      <c r="R134" s="875"/>
      <c r="S134" s="875"/>
      <c r="T134" s="875"/>
      <c r="U134" s="875"/>
      <c r="V134" s="875"/>
      <c r="W134" s="875"/>
      <c r="X134" s="875"/>
      <c r="Y134" s="875"/>
      <c r="Z134" s="875"/>
    </row>
    <row r="135" spans="1:26" ht="18.75" hidden="1">
      <c r="A135" s="995"/>
      <c r="B135" s="877"/>
      <c r="C135" s="996"/>
      <c r="D135" s="878" t="s">
        <v>20</v>
      </c>
      <c r="E135" s="877"/>
      <c r="F135" s="877"/>
      <c r="G135" s="879"/>
      <c r="H135" s="161" t="s">
        <v>12</v>
      </c>
      <c r="I135" s="997"/>
      <c r="J135" s="997"/>
      <c r="K135" s="998"/>
      <c r="L135" s="881">
        <f t="shared" ref="L135:N135" ca="1" si="73">L136+L137</f>
        <v>0</v>
      </c>
      <c r="M135" s="881">
        <f t="shared" ca="1" si="73"/>
        <v>0</v>
      </c>
      <c r="N135" s="881">
        <f t="shared" ca="1" si="73"/>
        <v>0</v>
      </c>
      <c r="O135" s="881">
        <f t="shared" ca="1" si="70"/>
        <v>0</v>
      </c>
      <c r="P135" s="881">
        <f t="shared" ca="1" si="71"/>
        <v>0</v>
      </c>
      <c r="Q135" s="868"/>
      <c r="R135" s="868"/>
      <c r="S135" s="868"/>
      <c r="T135" s="868"/>
      <c r="U135" s="868"/>
      <c r="V135" s="868"/>
      <c r="W135" s="868"/>
      <c r="X135" s="868"/>
      <c r="Y135" s="868"/>
      <c r="Z135" s="868"/>
    </row>
    <row r="136" spans="1:26" ht="19.5" hidden="1">
      <c r="A136" s="993"/>
      <c r="B136" s="883"/>
      <c r="C136" s="999"/>
      <c r="D136" s="883"/>
      <c r="E136" s="884" t="s">
        <v>36</v>
      </c>
      <c r="F136" s="883"/>
      <c r="G136" s="994"/>
      <c r="H136" s="165" t="s">
        <v>12</v>
      </c>
      <c r="I136" s="1000"/>
      <c r="J136" s="1000"/>
      <c r="K136" s="1001"/>
      <c r="L136" s="887">
        <v>0</v>
      </c>
      <c r="M136" s="887">
        <v>0</v>
      </c>
      <c r="N136" s="887">
        <v>0</v>
      </c>
      <c r="O136" s="887">
        <f t="shared" si="70"/>
        <v>0</v>
      </c>
      <c r="P136" s="887">
        <f t="shared" si="71"/>
        <v>0</v>
      </c>
      <c r="Q136" s="875"/>
      <c r="R136" s="875"/>
      <c r="S136" s="875"/>
      <c r="T136" s="875"/>
      <c r="U136" s="875"/>
      <c r="V136" s="875"/>
      <c r="W136" s="875"/>
      <c r="X136" s="875"/>
      <c r="Y136" s="875"/>
      <c r="Z136" s="875"/>
    </row>
    <row r="137" spans="1:26" ht="19.5" hidden="1">
      <c r="A137" s="993"/>
      <c r="B137" s="883"/>
      <c r="C137" s="999"/>
      <c r="D137" s="883"/>
      <c r="E137" s="884" t="s">
        <v>37</v>
      </c>
      <c r="F137" s="883"/>
      <c r="G137" s="994"/>
      <c r="H137" s="165" t="s">
        <v>12</v>
      </c>
      <c r="I137" s="1000"/>
      <c r="J137" s="1000"/>
      <c r="K137" s="1001"/>
      <c r="L137" s="887">
        <f ca="1">IFERROR(__xludf.DUMMYFUNCTION("IMPORTRANGE(""https://docs.google.com/spreadsheets/d/1MeEWN-I1oV_STSDYn1IFDPWt_1FKiwhDph83XaGc0o0/edit?usp=sharing"",""งบพรบ!BK79"")"),0)</f>
        <v>0</v>
      </c>
      <c r="M137" s="887">
        <f ca="1">IFERROR(__xludf.DUMMYFUNCTION("IMPORTRANGE(""https://docs.google.com/spreadsheets/d/1MeEWN-I1oV_STSDYn1IFDPWt_1FKiwhDph83XaGc0o0/edit?usp=sharing"",""งบพรบ!BP79"")"),0)</f>
        <v>0</v>
      </c>
      <c r="N137" s="887">
        <f ca="1">IFERROR(__xludf.DUMMYFUNCTION("IMPORTRANGE(""https://docs.google.com/spreadsheets/d/1MeEWN-I1oV_STSDYn1IFDPWt_1FKiwhDph83XaGc0o0/edit?usp=sharing"",""งบพรบ!BR79"")"),0)</f>
        <v>0</v>
      </c>
      <c r="O137" s="887">
        <f t="shared" ca="1" si="70"/>
        <v>0</v>
      </c>
      <c r="P137" s="887">
        <f t="shared" ca="1" si="71"/>
        <v>0</v>
      </c>
      <c r="Q137" s="875"/>
      <c r="R137" s="875"/>
      <c r="S137" s="875"/>
      <c r="T137" s="875"/>
      <c r="U137" s="875"/>
      <c r="V137" s="875"/>
      <c r="W137" s="875"/>
      <c r="X137" s="875"/>
      <c r="Y137" s="875"/>
      <c r="Z137" s="875"/>
    </row>
    <row r="138" spans="1:26" ht="18.75" hidden="1">
      <c r="A138" s="995"/>
      <c r="B138" s="877"/>
      <c r="C138" s="996"/>
      <c r="D138" s="878" t="s">
        <v>21</v>
      </c>
      <c r="E138" s="877"/>
      <c r="F138" s="877"/>
      <c r="G138" s="879"/>
      <c r="H138" s="168" t="s">
        <v>12</v>
      </c>
      <c r="I138" s="997"/>
      <c r="J138" s="997"/>
      <c r="K138" s="998"/>
      <c r="L138" s="881">
        <f t="shared" ref="L138:N138" ca="1" si="74">L139+L140</f>
        <v>0</v>
      </c>
      <c r="M138" s="881">
        <f t="shared" ca="1" si="74"/>
        <v>0</v>
      </c>
      <c r="N138" s="881">
        <f t="shared" ca="1" si="74"/>
        <v>0</v>
      </c>
      <c r="O138" s="881">
        <f t="shared" ca="1" si="70"/>
        <v>0</v>
      </c>
      <c r="P138" s="881">
        <f t="shared" ca="1" si="71"/>
        <v>0</v>
      </c>
      <c r="Q138" s="868"/>
      <c r="R138" s="868"/>
      <c r="S138" s="868"/>
      <c r="T138" s="868"/>
      <c r="U138" s="868"/>
      <c r="V138" s="868"/>
      <c r="W138" s="868"/>
      <c r="X138" s="868"/>
      <c r="Y138" s="868"/>
      <c r="Z138" s="868"/>
    </row>
    <row r="139" spans="1:26" ht="19.5" hidden="1">
      <c r="A139" s="993"/>
      <c r="B139" s="883"/>
      <c r="C139" s="999"/>
      <c r="D139" s="883"/>
      <c r="E139" s="884" t="s">
        <v>18</v>
      </c>
      <c r="F139" s="883"/>
      <c r="G139" s="994"/>
      <c r="H139" s="165" t="s">
        <v>12</v>
      </c>
      <c r="I139" s="1000"/>
      <c r="J139" s="1000"/>
      <c r="K139" s="1001"/>
      <c r="L139" s="887">
        <v>0</v>
      </c>
      <c r="M139" s="887">
        <v>0</v>
      </c>
      <c r="N139" s="887">
        <v>0</v>
      </c>
      <c r="O139" s="887">
        <f t="shared" si="70"/>
        <v>0</v>
      </c>
      <c r="P139" s="887">
        <f t="shared" si="71"/>
        <v>0</v>
      </c>
      <c r="Q139" s="875"/>
      <c r="R139" s="875"/>
      <c r="S139" s="875"/>
      <c r="T139" s="875"/>
      <c r="U139" s="875"/>
      <c r="V139" s="875"/>
      <c r="W139" s="875"/>
      <c r="X139" s="875"/>
      <c r="Y139" s="875"/>
      <c r="Z139" s="875"/>
    </row>
    <row r="140" spans="1:26" ht="19.5" hidden="1">
      <c r="A140" s="993"/>
      <c r="B140" s="883"/>
      <c r="C140" s="999"/>
      <c r="D140" s="883"/>
      <c r="E140" s="884" t="s">
        <v>19</v>
      </c>
      <c r="F140" s="883"/>
      <c r="G140" s="994"/>
      <c r="H140" s="169" t="s">
        <v>12</v>
      </c>
      <c r="I140" s="1000"/>
      <c r="J140" s="1000"/>
      <c r="K140" s="1001"/>
      <c r="L140" s="887">
        <f ca="1">IFERROR(__xludf.DUMMYFUNCTION("IMPORTRANGE(""https://docs.google.com/spreadsheets/d/1MeEWN-I1oV_STSDYn1IFDPWt_1FKiwhDph83XaGc0o0/edit?usp=sharing"",""งบพรบ!BN79"")"),0)</f>
        <v>0</v>
      </c>
      <c r="M140" s="887">
        <f ca="1">IFERROR(__xludf.DUMMYFUNCTION("IMPORTRANGE(""https://docs.google.com/spreadsheets/d/1MeEWN-I1oV_STSDYn1IFDPWt_1FKiwhDph83XaGc0o0/edit?usp=sharing"",""งบพรบ!BQ79"")"),0)</f>
        <v>0</v>
      </c>
      <c r="N140" s="887">
        <f ca="1">IFERROR(__xludf.DUMMYFUNCTION("IMPORTRANGE(""https://docs.google.com/spreadsheets/d/1MeEWN-I1oV_STSDYn1IFDPWt_1FKiwhDph83XaGc0o0/edit?usp=sharing"",""งบพรบ!BS79"")"),0)</f>
        <v>0</v>
      </c>
      <c r="O140" s="887">
        <f t="shared" ca="1" si="70"/>
        <v>0</v>
      </c>
      <c r="P140" s="887">
        <f t="shared" ca="1" si="71"/>
        <v>0</v>
      </c>
      <c r="Q140" s="875"/>
      <c r="R140" s="875"/>
      <c r="S140" s="875"/>
      <c r="T140" s="875"/>
      <c r="U140" s="875"/>
      <c r="V140" s="875"/>
      <c r="W140" s="875"/>
      <c r="X140" s="875"/>
      <c r="Y140" s="875"/>
      <c r="Z140" s="875"/>
    </row>
    <row r="141" spans="1:26" ht="19.5" hidden="1">
      <c r="A141" s="1002"/>
      <c r="B141" s="1003"/>
      <c r="C141" s="987" t="s">
        <v>16</v>
      </c>
      <c r="D141" s="1004" t="s">
        <v>38</v>
      </c>
      <c r="E141" s="1005"/>
      <c r="F141" s="1005"/>
      <c r="G141" s="1006"/>
      <c r="H141" s="168"/>
      <c r="I141" s="880"/>
      <c r="J141" s="880"/>
      <c r="K141" s="881"/>
      <c r="L141" s="881"/>
      <c r="M141" s="881"/>
      <c r="N141" s="881"/>
      <c r="O141" s="881"/>
      <c r="P141" s="881"/>
    </row>
    <row r="142" spans="1:26" ht="19.5" hidden="1">
      <c r="A142" s="995"/>
      <c r="B142" s="877"/>
      <c r="C142" s="1029"/>
      <c r="D142" s="996" t="s">
        <v>71</v>
      </c>
      <c r="E142" s="878"/>
      <c r="F142" s="877"/>
      <c r="G142" s="1030"/>
      <c r="H142" s="168"/>
      <c r="I142" s="880"/>
      <c r="J142" s="1012">
        <v>0</v>
      </c>
      <c r="K142" s="881"/>
      <c r="L142" s="881"/>
      <c r="M142" s="881"/>
      <c r="N142" s="881"/>
      <c r="O142" s="881"/>
      <c r="P142" s="881"/>
    </row>
    <row r="143" spans="1:26" ht="19.5" hidden="1">
      <c r="A143" s="995"/>
      <c r="B143" s="877"/>
      <c r="C143" s="1029"/>
      <c r="D143" s="996" t="s">
        <v>72</v>
      </c>
      <c r="E143" s="878"/>
      <c r="F143" s="877"/>
      <c r="G143" s="1030"/>
      <c r="H143" s="168" t="s">
        <v>35</v>
      </c>
      <c r="I143" s="880">
        <f ca="1">I145</f>
        <v>0</v>
      </c>
      <c r="J143" s="880">
        <f ca="1">IF(AND(J144&gt;=I144,J145&gt;=I145),J145,0)</f>
        <v>0</v>
      </c>
      <c r="K143" s="881">
        <f t="shared" ref="K143:K146" ca="1" si="75">IF(I143&gt;0,J143*100/I143,0)</f>
        <v>0</v>
      </c>
      <c r="L143" s="881"/>
      <c r="M143" s="881"/>
      <c r="N143" s="881"/>
      <c r="O143" s="881"/>
      <c r="P143" s="881"/>
    </row>
    <row r="144" spans="1:26" ht="19.5" hidden="1">
      <c r="A144" s="995"/>
      <c r="B144" s="877"/>
      <c r="C144" s="1029"/>
      <c r="D144" s="1010"/>
      <c r="E144" s="996" t="s">
        <v>73</v>
      </c>
      <c r="F144" s="877"/>
      <c r="G144" s="1030"/>
      <c r="H144" s="168" t="s">
        <v>35</v>
      </c>
      <c r="I144" s="880">
        <f ca="1">IFERROR(__xludf.DUMMYFUNCTION("IMPORTRANGE(""https://docs.google.com/spreadsheets/d/1QqKyyYR6Q21VydFLVH3TRQUabQu_ym0Zz7PgGX0-kHA/edit?usp=sharing"",""แผน!U79"")"),0)</f>
        <v>0</v>
      </c>
      <c r="J144" s="1012">
        <v>0</v>
      </c>
      <c r="K144" s="881">
        <f t="shared" ca="1" si="75"/>
        <v>0</v>
      </c>
      <c r="L144" s="881"/>
      <c r="M144" s="881"/>
      <c r="N144" s="881"/>
      <c r="O144" s="881"/>
      <c r="P144" s="881"/>
    </row>
    <row r="145" spans="1:26" ht="19.5" hidden="1">
      <c r="A145" s="995"/>
      <c r="B145" s="877"/>
      <c r="C145" s="1029"/>
      <c r="D145" s="1010"/>
      <c r="E145" s="996" t="s">
        <v>74</v>
      </c>
      <c r="F145" s="877"/>
      <c r="G145" s="1030"/>
      <c r="H145" s="168" t="s">
        <v>35</v>
      </c>
      <c r="I145" s="880">
        <f ca="1">IFERROR(__xludf.DUMMYFUNCTION("IMPORTRANGE(""https://docs.google.com/spreadsheets/d/1QqKyyYR6Q21VydFLVH3TRQUabQu_ym0Zz7PgGX0-kHA/edit?usp=sharing"",""แผน!V79"")"),0)</f>
        <v>0</v>
      </c>
      <c r="J145" s="1012">
        <v>0</v>
      </c>
      <c r="K145" s="881">
        <f t="shared" ca="1" si="75"/>
        <v>0</v>
      </c>
      <c r="L145" s="881"/>
      <c r="M145" s="881"/>
      <c r="N145" s="881"/>
      <c r="O145" s="881"/>
      <c r="P145" s="881"/>
    </row>
    <row r="146" spans="1:26" ht="19.5" hidden="1">
      <c r="A146" s="995"/>
      <c r="B146" s="877"/>
      <c r="C146" s="1029"/>
      <c r="D146" s="996" t="s">
        <v>75</v>
      </c>
      <c r="E146" s="878"/>
      <c r="F146" s="877"/>
      <c r="G146" s="1030"/>
      <c r="H146" s="168" t="s">
        <v>66</v>
      </c>
      <c r="I146" s="880">
        <f ca="1">IFERROR(__xludf.DUMMYFUNCTION("IMPORTRANGE(""https://docs.google.com/spreadsheets/d/1QqKyyYR6Q21VydFLVH3TRQUabQu_ym0Zz7PgGX0-kHA/edit?usp=sharing"",""แผน!W79"")"),0)</f>
        <v>0</v>
      </c>
      <c r="J146" s="1012">
        <v>0</v>
      </c>
      <c r="K146" s="881">
        <f t="shared" ca="1" si="75"/>
        <v>0</v>
      </c>
      <c r="L146" s="881"/>
      <c r="M146" s="881"/>
      <c r="N146" s="881"/>
      <c r="O146" s="881"/>
      <c r="P146" s="881"/>
    </row>
    <row r="147" spans="1:26" ht="19.5" hidden="1">
      <c r="A147" s="970" t="s">
        <v>76</v>
      </c>
      <c r="B147" s="971"/>
      <c r="C147" s="1022"/>
      <c r="D147" s="971"/>
      <c r="E147" s="971"/>
      <c r="F147" s="971"/>
      <c r="G147" s="971"/>
      <c r="H147" s="1023"/>
      <c r="I147" s="1024"/>
      <c r="J147" s="1024"/>
      <c r="K147" s="1025"/>
      <c r="L147" s="976"/>
      <c r="M147" s="976"/>
      <c r="N147" s="976"/>
      <c r="O147" s="976"/>
      <c r="P147" s="976"/>
    </row>
    <row r="148" spans="1:26" ht="19.5" hidden="1">
      <c r="A148" s="1031"/>
      <c r="B148" s="978" t="s">
        <v>77</v>
      </c>
      <c r="C148" s="978"/>
      <c r="D148" s="978"/>
      <c r="E148" s="1032"/>
      <c r="F148" s="1033"/>
      <c r="G148" s="1034"/>
      <c r="H148" s="221" t="s">
        <v>35</v>
      </c>
      <c r="I148" s="982">
        <f t="shared" ref="I148:J148" ca="1" si="76">I159</f>
        <v>0</v>
      </c>
      <c r="J148" s="982">
        <f t="shared" si="76"/>
        <v>0</v>
      </c>
      <c r="K148" s="983">
        <f ca="1">IF(I148&gt;0,J148*100/I148,0)</f>
        <v>0</v>
      </c>
      <c r="L148" s="983"/>
      <c r="M148" s="983"/>
      <c r="N148" s="983"/>
      <c r="O148" s="983"/>
      <c r="P148" s="98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85"/>
      <c r="B149" s="986"/>
      <c r="C149" s="987" t="s">
        <v>16</v>
      </c>
      <c r="D149" s="988" t="s">
        <v>17</v>
      </c>
      <c r="E149" s="986"/>
      <c r="F149" s="986"/>
      <c r="G149" s="989"/>
      <c r="H149" s="152" t="s">
        <v>12</v>
      </c>
      <c r="I149" s="990"/>
      <c r="J149" s="990"/>
      <c r="K149" s="991"/>
      <c r="L149" s="992">
        <f t="shared" ref="L149:N149" ca="1" si="77">L150+L151</f>
        <v>0</v>
      </c>
      <c r="M149" s="992">
        <f t="shared" ca="1" si="77"/>
        <v>0</v>
      </c>
      <c r="N149" s="992">
        <f t="shared" ca="1" si="77"/>
        <v>0</v>
      </c>
      <c r="O149" s="992">
        <f t="shared" ref="O149:O157" ca="1" si="78">IF(L149&gt;0,N149*100/L149,0)</f>
        <v>0</v>
      </c>
      <c r="P149" s="992">
        <f t="shared" ref="P149:P157" ca="1" si="79">IF(M149&gt;0,N149*100/M149,0)</f>
        <v>0</v>
      </c>
      <c r="Q149" s="868"/>
      <c r="R149" s="868"/>
      <c r="S149" s="868"/>
      <c r="T149" s="868"/>
      <c r="U149" s="868"/>
      <c r="V149" s="868"/>
      <c r="W149" s="868"/>
      <c r="X149" s="868"/>
      <c r="Y149" s="868"/>
      <c r="Z149" s="868"/>
    </row>
    <row r="150" spans="1:26" ht="18.75" hidden="1">
      <c r="A150" s="993"/>
      <c r="B150" s="883"/>
      <c r="C150" s="883"/>
      <c r="D150" s="883"/>
      <c r="E150" s="884" t="s">
        <v>18</v>
      </c>
      <c r="F150" s="883"/>
      <c r="G150" s="994"/>
      <c r="H150" s="158" t="s">
        <v>12</v>
      </c>
      <c r="I150" s="886"/>
      <c r="J150" s="886"/>
      <c r="K150" s="887"/>
      <c r="L150" s="887">
        <f t="shared" ref="L150:N151" si="80">L153+L156</f>
        <v>0</v>
      </c>
      <c r="M150" s="887">
        <f t="shared" si="80"/>
        <v>0</v>
      </c>
      <c r="N150" s="887">
        <f t="shared" si="80"/>
        <v>0</v>
      </c>
      <c r="O150" s="887">
        <f t="shared" si="78"/>
        <v>0</v>
      </c>
      <c r="P150" s="887">
        <f t="shared" si="79"/>
        <v>0</v>
      </c>
      <c r="Q150" s="875"/>
      <c r="R150" s="875"/>
      <c r="S150" s="875"/>
      <c r="T150" s="875"/>
      <c r="U150" s="875"/>
      <c r="V150" s="875"/>
      <c r="W150" s="875"/>
      <c r="X150" s="875"/>
      <c r="Y150" s="875"/>
      <c r="Z150" s="875"/>
    </row>
    <row r="151" spans="1:26" ht="18.75" hidden="1">
      <c r="A151" s="993"/>
      <c r="B151" s="883"/>
      <c r="C151" s="883"/>
      <c r="D151" s="883"/>
      <c r="E151" s="884" t="s">
        <v>19</v>
      </c>
      <c r="F151" s="883"/>
      <c r="G151" s="994"/>
      <c r="H151" s="158" t="s">
        <v>12</v>
      </c>
      <c r="I151" s="886"/>
      <c r="J151" s="886"/>
      <c r="K151" s="887"/>
      <c r="L151" s="887">
        <f t="shared" ca="1" si="80"/>
        <v>0</v>
      </c>
      <c r="M151" s="887">
        <f t="shared" ca="1" si="80"/>
        <v>0</v>
      </c>
      <c r="N151" s="887">
        <f t="shared" ca="1" si="80"/>
        <v>0</v>
      </c>
      <c r="O151" s="887">
        <f t="shared" ca="1" si="78"/>
        <v>0</v>
      </c>
      <c r="P151" s="887">
        <f t="shared" ca="1" si="79"/>
        <v>0</v>
      </c>
      <c r="Q151" s="875"/>
      <c r="R151" s="875"/>
      <c r="S151" s="875"/>
      <c r="T151" s="875"/>
      <c r="U151" s="875"/>
      <c r="V151" s="875"/>
      <c r="W151" s="875"/>
      <c r="X151" s="875"/>
      <c r="Y151" s="875"/>
      <c r="Z151" s="875"/>
    </row>
    <row r="152" spans="1:26" ht="18.75" hidden="1">
      <c r="A152" s="995"/>
      <c r="B152" s="877"/>
      <c r="C152" s="996"/>
      <c r="D152" s="878" t="s">
        <v>20</v>
      </c>
      <c r="E152" s="877"/>
      <c r="F152" s="877"/>
      <c r="G152" s="879"/>
      <c r="H152" s="161" t="s">
        <v>12</v>
      </c>
      <c r="I152" s="997"/>
      <c r="J152" s="997"/>
      <c r="K152" s="998"/>
      <c r="L152" s="881">
        <f t="shared" ref="L152:N152" ca="1" si="81">L153+L154</f>
        <v>0</v>
      </c>
      <c r="M152" s="881">
        <f t="shared" ca="1" si="81"/>
        <v>0</v>
      </c>
      <c r="N152" s="881">
        <f t="shared" ca="1" si="81"/>
        <v>0</v>
      </c>
      <c r="O152" s="881">
        <f t="shared" ca="1" si="78"/>
        <v>0</v>
      </c>
      <c r="P152" s="881">
        <f t="shared" ca="1" si="79"/>
        <v>0</v>
      </c>
      <c r="Q152" s="868"/>
      <c r="R152" s="868"/>
      <c r="S152" s="868"/>
      <c r="T152" s="868"/>
      <c r="U152" s="868"/>
      <c r="V152" s="868"/>
      <c r="W152" s="868"/>
      <c r="X152" s="868"/>
      <c r="Y152" s="868"/>
      <c r="Z152" s="868"/>
    </row>
    <row r="153" spans="1:26" ht="19.5" hidden="1">
      <c r="A153" s="993"/>
      <c r="B153" s="883"/>
      <c r="C153" s="999"/>
      <c r="D153" s="883"/>
      <c r="E153" s="884" t="s">
        <v>36</v>
      </c>
      <c r="F153" s="883"/>
      <c r="G153" s="994"/>
      <c r="H153" s="165" t="s">
        <v>12</v>
      </c>
      <c r="I153" s="1000"/>
      <c r="J153" s="1000"/>
      <c r="K153" s="1001"/>
      <c r="L153" s="887">
        <v>0</v>
      </c>
      <c r="M153" s="887">
        <v>0</v>
      </c>
      <c r="N153" s="887">
        <v>0</v>
      </c>
      <c r="O153" s="887">
        <f t="shared" si="78"/>
        <v>0</v>
      </c>
      <c r="P153" s="887">
        <f t="shared" si="79"/>
        <v>0</v>
      </c>
      <c r="Q153" s="875"/>
      <c r="R153" s="875"/>
      <c r="S153" s="875"/>
      <c r="T153" s="875"/>
      <c r="U153" s="875"/>
      <c r="V153" s="875"/>
      <c r="W153" s="875"/>
      <c r="X153" s="875"/>
      <c r="Y153" s="875"/>
      <c r="Z153" s="875"/>
    </row>
    <row r="154" spans="1:26" ht="19.5" hidden="1">
      <c r="A154" s="993"/>
      <c r="B154" s="883"/>
      <c r="C154" s="999"/>
      <c r="D154" s="883"/>
      <c r="E154" s="884" t="s">
        <v>37</v>
      </c>
      <c r="F154" s="883"/>
      <c r="G154" s="994"/>
      <c r="H154" s="165" t="s">
        <v>12</v>
      </c>
      <c r="I154" s="1000"/>
      <c r="J154" s="1000"/>
      <c r="K154" s="1001"/>
      <c r="L154" s="887">
        <f ca="1">IFERROR(__xludf.DUMMYFUNCTION("IMPORTRANGE(""https://docs.google.com/spreadsheets/d/1MeEWN-I1oV_STSDYn1IFDPWt_1FKiwhDph83XaGc0o0/edit?usp=sharing"",""งบพรบ!BU79"")"),0)</f>
        <v>0</v>
      </c>
      <c r="M154" s="887">
        <f ca="1">IFERROR(__xludf.DUMMYFUNCTION("IMPORTRANGE(""https://docs.google.com/spreadsheets/d/1MeEWN-I1oV_STSDYn1IFDPWt_1FKiwhDph83XaGc0o0/edit?usp=sharing"",""งบพรบ!BZ79"")"),0)</f>
        <v>0</v>
      </c>
      <c r="N154" s="887">
        <f ca="1">IFERROR(__xludf.DUMMYFUNCTION("IMPORTRANGE(""https://docs.google.com/spreadsheets/d/1MeEWN-I1oV_STSDYn1IFDPWt_1FKiwhDph83XaGc0o0/edit?usp=sharing"",""งบพรบ!CB79"")"),0)</f>
        <v>0</v>
      </c>
      <c r="O154" s="887">
        <f t="shared" ca="1" si="78"/>
        <v>0</v>
      </c>
      <c r="P154" s="887">
        <f t="shared" ca="1" si="79"/>
        <v>0</v>
      </c>
      <c r="Q154" s="875"/>
      <c r="R154" s="875"/>
      <c r="S154" s="875"/>
      <c r="T154" s="875"/>
      <c r="U154" s="875"/>
      <c r="V154" s="875"/>
      <c r="W154" s="875"/>
      <c r="X154" s="875"/>
      <c r="Y154" s="875"/>
      <c r="Z154" s="875"/>
    </row>
    <row r="155" spans="1:26" ht="18.75" hidden="1">
      <c r="A155" s="995"/>
      <c r="B155" s="877"/>
      <c r="C155" s="996"/>
      <c r="D155" s="878" t="s">
        <v>21</v>
      </c>
      <c r="E155" s="877"/>
      <c r="F155" s="877"/>
      <c r="G155" s="879"/>
      <c r="H155" s="168" t="s">
        <v>12</v>
      </c>
      <c r="I155" s="997"/>
      <c r="J155" s="997"/>
      <c r="K155" s="998"/>
      <c r="L155" s="881">
        <f t="shared" ref="L155:N155" ca="1" si="82">L156+L157</f>
        <v>0</v>
      </c>
      <c r="M155" s="881">
        <f t="shared" ca="1" si="82"/>
        <v>0</v>
      </c>
      <c r="N155" s="881">
        <f t="shared" ca="1" si="82"/>
        <v>0</v>
      </c>
      <c r="O155" s="881">
        <f t="shared" ca="1" si="78"/>
        <v>0</v>
      </c>
      <c r="P155" s="881">
        <f t="shared" ca="1" si="79"/>
        <v>0</v>
      </c>
      <c r="Q155" s="868"/>
      <c r="R155" s="868"/>
      <c r="S155" s="868"/>
      <c r="T155" s="868"/>
      <c r="U155" s="868"/>
      <c r="V155" s="868"/>
      <c r="W155" s="868"/>
      <c r="X155" s="868"/>
      <c r="Y155" s="868"/>
      <c r="Z155" s="868"/>
    </row>
    <row r="156" spans="1:26" ht="19.5" hidden="1">
      <c r="A156" s="993"/>
      <c r="B156" s="883"/>
      <c r="C156" s="999"/>
      <c r="D156" s="883"/>
      <c r="E156" s="884" t="s">
        <v>18</v>
      </c>
      <c r="F156" s="883"/>
      <c r="G156" s="994"/>
      <c r="H156" s="165" t="s">
        <v>12</v>
      </c>
      <c r="I156" s="1000"/>
      <c r="J156" s="1000"/>
      <c r="K156" s="1001"/>
      <c r="L156" s="887">
        <v>0</v>
      </c>
      <c r="M156" s="887">
        <v>0</v>
      </c>
      <c r="N156" s="887">
        <v>0</v>
      </c>
      <c r="O156" s="887">
        <f t="shared" si="78"/>
        <v>0</v>
      </c>
      <c r="P156" s="887">
        <f t="shared" si="79"/>
        <v>0</v>
      </c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</row>
    <row r="157" spans="1:26" ht="19.5" hidden="1">
      <c r="A157" s="993"/>
      <c r="B157" s="883"/>
      <c r="C157" s="999"/>
      <c r="D157" s="883"/>
      <c r="E157" s="884" t="s">
        <v>19</v>
      </c>
      <c r="F157" s="883"/>
      <c r="G157" s="994"/>
      <c r="H157" s="169" t="s">
        <v>12</v>
      </c>
      <c r="I157" s="1000"/>
      <c r="J157" s="1000"/>
      <c r="K157" s="1001"/>
      <c r="L157" s="887">
        <f ca="1">IFERROR(__xludf.DUMMYFUNCTION("IMPORTRANGE(""https://docs.google.com/spreadsheets/d/1MeEWN-I1oV_STSDYn1IFDPWt_1FKiwhDph83XaGc0o0/edit?usp=sharing"",""งบพรบ!BX79"")"),0)</f>
        <v>0</v>
      </c>
      <c r="M157" s="887">
        <f ca="1">IFERROR(__xludf.DUMMYFUNCTION("IMPORTRANGE(""https://docs.google.com/spreadsheets/d/1MeEWN-I1oV_STSDYn1IFDPWt_1FKiwhDph83XaGc0o0/edit?usp=sharing"",""งบพรบ!CA79"")"),0)</f>
        <v>0</v>
      </c>
      <c r="N157" s="887">
        <f ca="1">IFERROR(__xludf.DUMMYFUNCTION("IMPORTRANGE(""https://docs.google.com/spreadsheets/d/1MeEWN-I1oV_STSDYn1IFDPWt_1FKiwhDph83XaGc0o0/edit?usp=sharing"",""งบพรบ!CC79"")"),0)</f>
        <v>0</v>
      </c>
      <c r="O157" s="887">
        <f t="shared" ca="1" si="78"/>
        <v>0</v>
      </c>
      <c r="P157" s="887">
        <f t="shared" ca="1" si="79"/>
        <v>0</v>
      </c>
      <c r="Q157" s="875"/>
      <c r="R157" s="875"/>
      <c r="S157" s="875"/>
      <c r="T157" s="875"/>
      <c r="U157" s="875"/>
      <c r="V157" s="875"/>
      <c r="W157" s="875"/>
      <c r="X157" s="875"/>
      <c r="Y157" s="875"/>
      <c r="Z157" s="875"/>
    </row>
    <row r="158" spans="1:26" ht="19.5" hidden="1">
      <c r="A158" s="1002"/>
      <c r="B158" s="1003"/>
      <c r="C158" s="999" t="s">
        <v>16</v>
      </c>
      <c r="D158" s="1004" t="s">
        <v>38</v>
      </c>
      <c r="E158" s="1005"/>
      <c r="F158" s="1005"/>
      <c r="G158" s="1006"/>
      <c r="H158" s="168"/>
      <c r="I158" s="880"/>
      <c r="J158" s="880"/>
      <c r="K158" s="881"/>
      <c r="L158" s="881"/>
      <c r="M158" s="881"/>
      <c r="N158" s="881"/>
      <c r="O158" s="881"/>
      <c r="P158" s="881"/>
    </row>
    <row r="159" spans="1:26" ht="19.5" hidden="1">
      <c r="A159" s="995"/>
      <c r="B159" s="877"/>
      <c r="C159" s="1029"/>
      <c r="D159" s="996" t="s">
        <v>78</v>
      </c>
      <c r="E159" s="878"/>
      <c r="F159" s="877"/>
      <c r="G159" s="1030"/>
      <c r="H159" s="168" t="s">
        <v>35</v>
      </c>
      <c r="I159" s="880">
        <f ca="1">IFERROR(__xludf.DUMMYFUNCTION("IMPORTRANGE(""https://docs.google.com/spreadsheets/d/1QqKyyYR6Q21VydFLVH3TRQUabQu_ym0Zz7PgGX0-kHA/edit?usp=sharing"",""แผน!X79"")"),0)</f>
        <v>0</v>
      </c>
      <c r="J159" s="1012">
        <v>0</v>
      </c>
      <c r="K159" s="881">
        <f ca="1">IF(I159&gt;0,J159*100/I159,0)</f>
        <v>0</v>
      </c>
      <c r="L159" s="881"/>
      <c r="M159" s="881"/>
      <c r="N159" s="881"/>
      <c r="O159" s="881"/>
      <c r="P159" s="881"/>
    </row>
    <row r="160" spans="1:26" ht="19.5" hidden="1">
      <c r="A160" s="993"/>
      <c r="B160" s="883"/>
      <c r="C160" s="999"/>
      <c r="D160" s="884" t="s">
        <v>79</v>
      </c>
      <c r="E160" s="1035"/>
      <c r="F160" s="883"/>
      <c r="G160" s="994"/>
      <c r="H160" s="169" t="s">
        <v>35</v>
      </c>
      <c r="I160" s="886"/>
      <c r="J160" s="886"/>
      <c r="K160" s="887"/>
      <c r="L160" s="887"/>
      <c r="M160" s="887"/>
      <c r="N160" s="887"/>
      <c r="O160" s="887"/>
      <c r="P160" s="88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232" t="s">
        <v>35</v>
      </c>
      <c r="I161" s="1042"/>
      <c r="J161" s="1042"/>
      <c r="K161" s="1043"/>
      <c r="L161" s="1043"/>
      <c r="M161" s="1043"/>
      <c r="N161" s="1043"/>
      <c r="O161" s="1043"/>
      <c r="P161" s="104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44" t="s">
        <v>81</v>
      </c>
      <c r="B162" s="1045"/>
      <c r="C162" s="1045"/>
      <c r="D162" s="1045"/>
      <c r="E162" s="1046"/>
      <c r="F162" s="1046"/>
      <c r="G162" s="1047"/>
      <c r="H162" s="1048"/>
      <c r="I162" s="1049"/>
      <c r="J162" s="1049"/>
      <c r="K162" s="1050"/>
      <c r="L162" s="1050"/>
      <c r="M162" s="1050"/>
      <c r="N162" s="1050"/>
      <c r="O162" s="1050"/>
      <c r="P162" s="1050"/>
    </row>
    <row r="163" spans="1:26" ht="19.5">
      <c r="A163" s="1051" t="s">
        <v>82</v>
      </c>
      <c r="B163" s="1052"/>
      <c r="C163" s="1052"/>
      <c r="D163" s="1053"/>
      <c r="E163" s="1053"/>
      <c r="F163" s="1053"/>
      <c r="G163" s="1054"/>
      <c r="H163" s="1055"/>
      <c r="I163" s="1056"/>
      <c r="J163" s="1056"/>
      <c r="K163" s="1057"/>
      <c r="L163" s="1057"/>
      <c r="M163" s="1057"/>
      <c r="N163" s="1057"/>
      <c r="O163" s="1057"/>
      <c r="P163" s="1057"/>
    </row>
    <row r="164" spans="1:26" ht="19.5">
      <c r="A164" s="1058"/>
      <c r="B164" s="1059" t="s">
        <v>83</v>
      </c>
      <c r="C164" s="1060"/>
      <c r="D164" s="1005"/>
      <c r="E164" s="1005"/>
      <c r="F164" s="1005"/>
      <c r="G164" s="1006"/>
      <c r="H164" s="252" t="s">
        <v>35</v>
      </c>
      <c r="I164" s="1075">
        <f t="shared" ref="I164:J164" ca="1" si="83">I174+I177</f>
        <v>10</v>
      </c>
      <c r="J164" s="1075">
        <f t="shared" si="83"/>
        <v>10</v>
      </c>
      <c r="K164" s="1076">
        <f ca="1">IF(I164&gt;0,J164*100/I164,0)</f>
        <v>100</v>
      </c>
      <c r="L164" s="1062"/>
      <c r="M164" s="1062"/>
      <c r="N164" s="1062"/>
      <c r="O164" s="1062"/>
      <c r="P164" s="1062"/>
    </row>
    <row r="165" spans="1:26" ht="19.5">
      <c r="A165" s="985"/>
      <c r="B165" s="986"/>
      <c r="C165" s="987" t="s">
        <v>16</v>
      </c>
      <c r="D165" s="988" t="s">
        <v>17</v>
      </c>
      <c r="E165" s="986"/>
      <c r="F165" s="986"/>
      <c r="G165" s="989"/>
      <c r="H165" s="152" t="s">
        <v>12</v>
      </c>
      <c r="I165" s="990"/>
      <c r="J165" s="990"/>
      <c r="K165" s="991"/>
      <c r="L165" s="992">
        <f t="shared" ref="L165:N165" ca="1" si="84">L166+L167</f>
        <v>21050</v>
      </c>
      <c r="M165" s="992">
        <f t="shared" ca="1" si="84"/>
        <v>47740</v>
      </c>
      <c r="N165" s="992">
        <f t="shared" ca="1" si="84"/>
        <v>47740</v>
      </c>
      <c r="O165" s="992">
        <f t="shared" ref="O165:O173" ca="1" si="85">IF(L165&gt;0,N165*100/L165,0)</f>
        <v>226.79334916864607</v>
      </c>
      <c r="P165" s="992">
        <f t="shared" ref="P165:P173" ca="1" si="86">IF(M165&gt;0,N165*100/M165,0)</f>
        <v>100</v>
      </c>
      <c r="Q165" s="868"/>
      <c r="R165" s="868"/>
      <c r="S165" s="868"/>
      <c r="T165" s="868"/>
      <c r="U165" s="868"/>
      <c r="V165" s="868"/>
      <c r="W165" s="868"/>
      <c r="X165" s="868"/>
      <c r="Y165" s="868"/>
      <c r="Z165" s="868"/>
    </row>
    <row r="166" spans="1:26" ht="18.75" hidden="1">
      <c r="A166" s="993"/>
      <c r="B166" s="883"/>
      <c r="C166" s="883"/>
      <c r="D166" s="883"/>
      <c r="E166" s="884" t="s">
        <v>18</v>
      </c>
      <c r="F166" s="883"/>
      <c r="G166" s="994"/>
      <c r="H166" s="158" t="s">
        <v>12</v>
      </c>
      <c r="I166" s="886"/>
      <c r="J166" s="886"/>
      <c r="K166" s="887"/>
      <c r="L166" s="887">
        <f t="shared" ref="L166:N167" si="87">L169+L172</f>
        <v>0</v>
      </c>
      <c r="M166" s="887">
        <f t="shared" si="87"/>
        <v>0</v>
      </c>
      <c r="N166" s="887">
        <f t="shared" si="87"/>
        <v>0</v>
      </c>
      <c r="O166" s="887">
        <f t="shared" si="85"/>
        <v>0</v>
      </c>
      <c r="P166" s="887">
        <f t="shared" si="86"/>
        <v>0</v>
      </c>
      <c r="Q166" s="875"/>
      <c r="R166" s="875"/>
      <c r="S166" s="875"/>
      <c r="T166" s="875"/>
      <c r="U166" s="875"/>
      <c r="V166" s="875"/>
      <c r="W166" s="875"/>
      <c r="X166" s="875"/>
      <c r="Y166" s="875"/>
      <c r="Z166" s="875"/>
    </row>
    <row r="167" spans="1:26" ht="18.75" hidden="1">
      <c r="A167" s="993"/>
      <c r="B167" s="883"/>
      <c r="C167" s="883"/>
      <c r="D167" s="883"/>
      <c r="E167" s="884" t="s">
        <v>19</v>
      </c>
      <c r="F167" s="883"/>
      <c r="G167" s="994"/>
      <c r="H167" s="158" t="s">
        <v>12</v>
      </c>
      <c r="I167" s="886"/>
      <c r="J167" s="886"/>
      <c r="K167" s="887"/>
      <c r="L167" s="887">
        <f t="shared" ca="1" si="87"/>
        <v>21050</v>
      </c>
      <c r="M167" s="887">
        <f t="shared" ca="1" si="87"/>
        <v>47740</v>
      </c>
      <c r="N167" s="887">
        <f t="shared" ca="1" si="87"/>
        <v>47740</v>
      </c>
      <c r="O167" s="887">
        <f t="shared" ca="1" si="85"/>
        <v>226.79334916864607</v>
      </c>
      <c r="P167" s="887">
        <f t="shared" ca="1" si="86"/>
        <v>100</v>
      </c>
      <c r="Q167" s="875"/>
      <c r="R167" s="875"/>
      <c r="S167" s="875"/>
      <c r="T167" s="875"/>
      <c r="U167" s="875"/>
      <c r="V167" s="875"/>
      <c r="W167" s="875"/>
      <c r="X167" s="875"/>
      <c r="Y167" s="875"/>
      <c r="Z167" s="875"/>
    </row>
    <row r="168" spans="1:26" ht="18.75">
      <c r="A168" s="995"/>
      <c r="B168" s="877"/>
      <c r="C168" s="996"/>
      <c r="D168" s="878" t="s">
        <v>20</v>
      </c>
      <c r="E168" s="877"/>
      <c r="F168" s="877"/>
      <c r="G168" s="879"/>
      <c r="H168" s="161" t="s">
        <v>12</v>
      </c>
      <c r="I168" s="997"/>
      <c r="J168" s="997"/>
      <c r="K168" s="998"/>
      <c r="L168" s="881">
        <f t="shared" ref="L168:N168" ca="1" si="88">L169+L170</f>
        <v>21050</v>
      </c>
      <c r="M168" s="881">
        <f t="shared" ca="1" si="88"/>
        <v>47740</v>
      </c>
      <c r="N168" s="881">
        <f t="shared" ca="1" si="88"/>
        <v>47740</v>
      </c>
      <c r="O168" s="881">
        <f t="shared" ca="1" si="85"/>
        <v>226.79334916864607</v>
      </c>
      <c r="P168" s="881">
        <f t="shared" ca="1" si="86"/>
        <v>100</v>
      </c>
      <c r="Q168" s="868"/>
      <c r="R168" s="868"/>
      <c r="S168" s="868"/>
      <c r="T168" s="868"/>
      <c r="U168" s="868"/>
      <c r="V168" s="868"/>
      <c r="W168" s="868"/>
      <c r="X168" s="868"/>
      <c r="Y168" s="868"/>
      <c r="Z168" s="868"/>
    </row>
    <row r="169" spans="1:26" ht="19.5" hidden="1">
      <c r="A169" s="993"/>
      <c r="B169" s="883"/>
      <c r="C169" s="999"/>
      <c r="D169" s="883"/>
      <c r="E169" s="884" t="s">
        <v>36</v>
      </c>
      <c r="F169" s="883"/>
      <c r="G169" s="994"/>
      <c r="H169" s="165" t="s">
        <v>12</v>
      </c>
      <c r="I169" s="1000"/>
      <c r="J169" s="1000"/>
      <c r="K169" s="1001"/>
      <c r="L169" s="887">
        <v>0</v>
      </c>
      <c r="M169" s="887">
        <v>0</v>
      </c>
      <c r="N169" s="887">
        <v>0</v>
      </c>
      <c r="O169" s="887">
        <f t="shared" si="85"/>
        <v>0</v>
      </c>
      <c r="P169" s="887">
        <f t="shared" si="86"/>
        <v>0</v>
      </c>
      <c r="Q169" s="875"/>
      <c r="R169" s="875"/>
      <c r="S169" s="875"/>
      <c r="T169" s="875"/>
      <c r="U169" s="875"/>
      <c r="V169" s="875"/>
      <c r="W169" s="875"/>
      <c r="X169" s="875"/>
      <c r="Y169" s="875"/>
      <c r="Z169" s="875"/>
    </row>
    <row r="170" spans="1:26" ht="19.5" hidden="1">
      <c r="A170" s="993"/>
      <c r="B170" s="883"/>
      <c r="C170" s="999"/>
      <c r="D170" s="883"/>
      <c r="E170" s="884" t="s">
        <v>37</v>
      </c>
      <c r="F170" s="883"/>
      <c r="G170" s="994"/>
      <c r="H170" s="165" t="s">
        <v>12</v>
      </c>
      <c r="I170" s="1000"/>
      <c r="J170" s="1000"/>
      <c r="K170" s="1001"/>
      <c r="L170" s="887">
        <f ca="1">IFERROR(__xludf.DUMMYFUNCTION("IMPORTRANGE(""https://docs.google.com/spreadsheets/d/1MeEWN-I1oV_STSDYn1IFDPWt_1FKiwhDph83XaGc0o0/edit?usp=sharing"",""งบพรบ!CE79"")"),21050)</f>
        <v>21050</v>
      </c>
      <c r="M170" s="887">
        <f ca="1">IFERROR(__xludf.DUMMYFUNCTION("IMPORTRANGE(""https://docs.google.com/spreadsheets/d/1MeEWN-I1oV_STSDYn1IFDPWt_1FKiwhDph83XaGc0o0/edit?usp=sharing"",""งบพรบ!CJ79"")"),47740)</f>
        <v>47740</v>
      </c>
      <c r="N170" s="887">
        <f ca="1">IFERROR(__xludf.DUMMYFUNCTION("IMPORTRANGE(""https://docs.google.com/spreadsheets/d/1MeEWN-I1oV_STSDYn1IFDPWt_1FKiwhDph83XaGc0o0/edit?usp=sharing"",""งบพรบ!CL79"")"),47740)</f>
        <v>47740</v>
      </c>
      <c r="O170" s="887">
        <f t="shared" ca="1" si="85"/>
        <v>226.79334916864607</v>
      </c>
      <c r="P170" s="887">
        <f t="shared" ca="1" si="86"/>
        <v>100</v>
      </c>
      <c r="Q170" s="875"/>
      <c r="R170" s="875"/>
      <c r="S170" s="875"/>
      <c r="T170" s="875"/>
      <c r="U170" s="875"/>
      <c r="V170" s="875"/>
      <c r="W170" s="875"/>
      <c r="X170" s="875"/>
      <c r="Y170" s="875"/>
      <c r="Z170" s="875"/>
    </row>
    <row r="171" spans="1:26" ht="18.75">
      <c r="A171" s="995"/>
      <c r="B171" s="877"/>
      <c r="C171" s="996"/>
      <c r="D171" s="878" t="s">
        <v>21</v>
      </c>
      <c r="E171" s="877"/>
      <c r="F171" s="877"/>
      <c r="G171" s="879"/>
      <c r="H171" s="168" t="s">
        <v>12</v>
      </c>
      <c r="I171" s="997"/>
      <c r="J171" s="997"/>
      <c r="K171" s="998"/>
      <c r="L171" s="881">
        <f t="shared" ref="L171:N171" ca="1" si="89">L172+L173</f>
        <v>0</v>
      </c>
      <c r="M171" s="881">
        <f t="shared" ca="1" si="89"/>
        <v>0</v>
      </c>
      <c r="N171" s="881">
        <f t="shared" ca="1" si="89"/>
        <v>0</v>
      </c>
      <c r="O171" s="881">
        <f t="shared" ca="1" si="85"/>
        <v>0</v>
      </c>
      <c r="P171" s="881">
        <f t="shared" ca="1" si="86"/>
        <v>0</v>
      </c>
      <c r="Q171" s="868"/>
      <c r="R171" s="868"/>
      <c r="S171" s="868"/>
      <c r="T171" s="868"/>
      <c r="U171" s="868"/>
      <c r="V171" s="868"/>
      <c r="W171" s="868"/>
      <c r="X171" s="868"/>
      <c r="Y171" s="868"/>
      <c r="Z171" s="868"/>
    </row>
    <row r="172" spans="1:26" ht="19.5" hidden="1">
      <c r="A172" s="993"/>
      <c r="B172" s="883"/>
      <c r="C172" s="999"/>
      <c r="D172" s="883"/>
      <c r="E172" s="884" t="s">
        <v>18</v>
      </c>
      <c r="F172" s="883"/>
      <c r="G172" s="994"/>
      <c r="H172" s="165" t="s">
        <v>12</v>
      </c>
      <c r="I172" s="1000"/>
      <c r="J172" s="1000"/>
      <c r="K172" s="1001"/>
      <c r="L172" s="887">
        <v>0</v>
      </c>
      <c r="M172" s="887">
        <v>0</v>
      </c>
      <c r="N172" s="887">
        <v>0</v>
      </c>
      <c r="O172" s="887">
        <f t="shared" si="85"/>
        <v>0</v>
      </c>
      <c r="P172" s="887">
        <f t="shared" si="86"/>
        <v>0</v>
      </c>
      <c r="Q172" s="875"/>
      <c r="R172" s="875"/>
      <c r="S172" s="875"/>
      <c r="T172" s="875"/>
      <c r="U172" s="875"/>
      <c r="V172" s="875"/>
      <c r="W172" s="875"/>
      <c r="X172" s="875"/>
      <c r="Y172" s="875"/>
      <c r="Z172" s="875"/>
    </row>
    <row r="173" spans="1:26" ht="19.5" hidden="1">
      <c r="A173" s="993"/>
      <c r="B173" s="883"/>
      <c r="C173" s="999"/>
      <c r="D173" s="883"/>
      <c r="E173" s="884" t="s">
        <v>19</v>
      </c>
      <c r="F173" s="883"/>
      <c r="G173" s="994"/>
      <c r="H173" s="169" t="s">
        <v>12</v>
      </c>
      <c r="I173" s="1000"/>
      <c r="J173" s="1000"/>
      <c r="K173" s="1001"/>
      <c r="L173" s="887">
        <f ca="1">IFERROR(__xludf.DUMMYFUNCTION("IMPORTRANGE(""https://docs.google.com/spreadsheets/d/1MeEWN-I1oV_STSDYn1IFDPWt_1FKiwhDph83XaGc0o0/edit?usp=sharing"",""งบพรบ!CH79"")"),0)</f>
        <v>0</v>
      </c>
      <c r="M173" s="887">
        <f ca="1">IFERROR(__xludf.DUMMYFUNCTION("IMPORTRANGE(""https://docs.google.com/spreadsheets/d/1MeEWN-I1oV_STSDYn1IFDPWt_1FKiwhDph83XaGc0o0/edit?usp=sharing"",""งบพรบ!CK79"")"),0)</f>
        <v>0</v>
      </c>
      <c r="N173" s="887">
        <f ca="1">IFERROR(__xludf.DUMMYFUNCTION("IMPORTRANGE(""https://docs.google.com/spreadsheets/d/1MeEWN-I1oV_STSDYn1IFDPWt_1FKiwhDph83XaGc0o0/edit?usp=sharing"",""งบพรบ!CM79"")"),0)</f>
        <v>0</v>
      </c>
      <c r="O173" s="887">
        <f t="shared" ca="1" si="85"/>
        <v>0</v>
      </c>
      <c r="P173" s="887">
        <f t="shared" ca="1" si="86"/>
        <v>0</v>
      </c>
      <c r="Q173" s="875"/>
      <c r="R173" s="875"/>
      <c r="S173" s="875"/>
      <c r="T173" s="875"/>
      <c r="U173" s="875"/>
      <c r="V173" s="875"/>
      <c r="W173" s="875"/>
      <c r="X173" s="875"/>
      <c r="Y173" s="875"/>
      <c r="Z173" s="875"/>
    </row>
    <row r="174" spans="1:26" ht="19.5">
      <c r="A174" s="1063"/>
      <c r="B174" s="1064"/>
      <c r="C174" s="1065" t="s">
        <v>84</v>
      </c>
      <c r="D174" s="1064"/>
      <c r="E174" s="1064"/>
      <c r="F174" s="1064"/>
      <c r="G174" s="1066"/>
      <c r="H174" s="260" t="s">
        <v>35</v>
      </c>
      <c r="I174" s="1067">
        <f t="shared" ref="I174:J174" ca="1" si="90">I176</f>
        <v>10</v>
      </c>
      <c r="J174" s="1067">
        <f t="shared" si="90"/>
        <v>10</v>
      </c>
      <c r="K174" s="1068">
        <f ca="1">IF(I174&gt;0,J174*100/I174,0)</f>
        <v>100</v>
      </c>
      <c r="L174" s="1068"/>
      <c r="M174" s="1068"/>
      <c r="N174" s="1068"/>
      <c r="O174" s="1068"/>
      <c r="P174" s="1068"/>
    </row>
    <row r="175" spans="1:26" ht="19.5">
      <c r="A175" s="1002"/>
      <c r="B175" s="1003"/>
      <c r="C175" s="999" t="s">
        <v>16</v>
      </c>
      <c r="D175" s="1004" t="s">
        <v>38</v>
      </c>
      <c r="E175" s="1005"/>
      <c r="F175" s="1005"/>
      <c r="G175" s="1006"/>
      <c r="H175" s="1007"/>
      <c r="I175" s="997"/>
      <c r="J175" s="997"/>
      <c r="K175" s="998"/>
      <c r="L175" s="998"/>
      <c r="M175" s="998"/>
      <c r="N175" s="998"/>
      <c r="O175" s="998"/>
      <c r="P175" s="998"/>
    </row>
    <row r="176" spans="1:26" ht="18.75">
      <c r="A176" s="1002"/>
      <c r="B176" s="1003"/>
      <c r="C176" s="1003"/>
      <c r="D176" s="1069" t="s">
        <v>85</v>
      </c>
      <c r="E176" s="1010"/>
      <c r="F176" s="1010"/>
      <c r="G176" s="1011"/>
      <c r="H176" s="622" t="s">
        <v>35</v>
      </c>
      <c r="I176" s="880">
        <f ca="1">IFERROR(__xludf.DUMMYFUNCTION("IMPORTRANGE(""https://docs.google.com/spreadsheets/d/1QqKyyYR6Q21VydFLVH3TRQUabQu_ym0Zz7PgGX0-kHA/edit?usp=sharing"",""แผน!Y79"")"),10)</f>
        <v>10</v>
      </c>
      <c r="J176" s="1012">
        <v>10</v>
      </c>
      <c r="K176" s="998">
        <f ca="1">IF(I176&gt;0,J176*100/I176,0)</f>
        <v>100</v>
      </c>
      <c r="L176" s="998"/>
      <c r="M176" s="998"/>
      <c r="N176" s="998"/>
      <c r="O176" s="998"/>
      <c r="P176" s="998"/>
    </row>
    <row r="177" spans="1:26" ht="19.5" hidden="1">
      <c r="A177" s="1063"/>
      <c r="B177" s="1070"/>
      <c r="C177" s="1071" t="s">
        <v>86</v>
      </c>
      <c r="D177" s="1070"/>
      <c r="E177" s="1064"/>
      <c r="F177" s="1064"/>
      <c r="G177" s="1066"/>
      <c r="H177" s="266" t="s">
        <v>35</v>
      </c>
      <c r="I177" s="1067"/>
      <c r="J177" s="1067">
        <f>J179</f>
        <v>0</v>
      </c>
      <c r="K177" s="1068"/>
      <c r="L177" s="1068"/>
      <c r="M177" s="1068"/>
      <c r="N177" s="1068"/>
      <c r="O177" s="1068"/>
      <c r="P177" s="1068"/>
    </row>
    <row r="178" spans="1:26" ht="19.5" hidden="1">
      <c r="A178" s="1002"/>
      <c r="B178" s="1003"/>
      <c r="C178" s="999" t="s">
        <v>16</v>
      </c>
      <c r="D178" s="1072" t="s">
        <v>38</v>
      </c>
      <c r="E178" s="1005"/>
      <c r="F178" s="1005"/>
      <c r="G178" s="1006"/>
      <c r="H178" s="1007"/>
      <c r="I178" s="997"/>
      <c r="J178" s="997"/>
      <c r="K178" s="998"/>
      <c r="L178" s="998"/>
      <c r="M178" s="998"/>
      <c r="N178" s="998"/>
      <c r="O178" s="998"/>
      <c r="P178" s="998"/>
    </row>
    <row r="179" spans="1:26" ht="18.75" hidden="1">
      <c r="A179" s="1002"/>
      <c r="B179" s="1003"/>
      <c r="C179" s="1003"/>
      <c r="D179" s="1073" t="s">
        <v>87</v>
      </c>
      <c r="E179" s="1010"/>
      <c r="F179" s="1074"/>
      <c r="G179" s="1011"/>
      <c r="H179" s="43" t="s">
        <v>35</v>
      </c>
      <c r="I179" s="880"/>
      <c r="J179" s="880"/>
      <c r="K179" s="998"/>
      <c r="L179" s="998"/>
      <c r="M179" s="998"/>
      <c r="N179" s="998"/>
      <c r="O179" s="998"/>
      <c r="P179" s="998"/>
    </row>
    <row r="180" spans="1:26" ht="19.5">
      <c r="A180" s="1058"/>
      <c r="B180" s="1059" t="s">
        <v>88</v>
      </c>
      <c r="C180" s="1060"/>
      <c r="D180" s="1005"/>
      <c r="E180" s="1005"/>
      <c r="F180" s="1005"/>
      <c r="G180" s="1006"/>
      <c r="H180" s="252" t="s">
        <v>35</v>
      </c>
      <c r="I180" s="1075" t="e">
        <f t="shared" ref="I180:J180" ca="1" si="91">I225+I226</f>
        <v>#VALUE!</v>
      </c>
      <c r="J180" s="1075">
        <f t="shared" si="91"/>
        <v>0</v>
      </c>
      <c r="K180" s="1076" t="e">
        <f ca="1">IF(I180&gt;0,J180*100/I180,0)</f>
        <v>#VALUE!</v>
      </c>
      <c r="L180" s="1062"/>
      <c r="M180" s="1062"/>
      <c r="N180" s="1062"/>
      <c r="O180" s="1062"/>
      <c r="P180" s="1062"/>
    </row>
    <row r="181" spans="1:26" ht="19.5">
      <c r="A181" s="985"/>
      <c r="B181" s="986"/>
      <c r="C181" s="987" t="s">
        <v>16</v>
      </c>
      <c r="D181" s="988" t="s">
        <v>17</v>
      </c>
      <c r="E181" s="986"/>
      <c r="F181" s="986"/>
      <c r="G181" s="989"/>
      <c r="H181" s="152" t="s">
        <v>12</v>
      </c>
      <c r="I181" s="990"/>
      <c r="J181" s="990"/>
      <c r="K181" s="991"/>
      <c r="L181" s="992">
        <f t="shared" ref="L181:N181" ca="1" si="92">L182+L183</f>
        <v>281000</v>
      </c>
      <c r="M181" s="992">
        <f t="shared" ca="1" si="92"/>
        <v>208875</v>
      </c>
      <c r="N181" s="992">
        <f t="shared" ca="1" si="92"/>
        <v>128665.79</v>
      </c>
      <c r="O181" s="992">
        <f t="shared" ref="O181:O189" ca="1" si="93">IF(L181&gt;0,N181*100/L181,0)</f>
        <v>45.788537366548042</v>
      </c>
      <c r="P181" s="992">
        <f t="shared" ref="P181:P189" ca="1" si="94">IF(M181&gt;0,N181*100/M181,0)</f>
        <v>61.599420706163976</v>
      </c>
      <c r="Q181" s="868"/>
      <c r="R181" s="868"/>
      <c r="S181" s="868"/>
      <c r="T181" s="868"/>
      <c r="U181" s="868"/>
      <c r="V181" s="868"/>
      <c r="W181" s="868"/>
      <c r="X181" s="868"/>
      <c r="Y181" s="868"/>
      <c r="Z181" s="868"/>
    </row>
    <row r="182" spans="1:26" ht="18.75" hidden="1">
      <c r="A182" s="993"/>
      <c r="B182" s="883"/>
      <c r="C182" s="883"/>
      <c r="D182" s="883"/>
      <c r="E182" s="884" t="s">
        <v>18</v>
      </c>
      <c r="F182" s="883"/>
      <c r="G182" s="994"/>
      <c r="H182" s="158" t="s">
        <v>12</v>
      </c>
      <c r="I182" s="886"/>
      <c r="J182" s="886"/>
      <c r="K182" s="887"/>
      <c r="L182" s="887">
        <f t="shared" ref="L182:N183" si="95">L185+L188</f>
        <v>0</v>
      </c>
      <c r="M182" s="887">
        <f t="shared" si="95"/>
        <v>0</v>
      </c>
      <c r="N182" s="887">
        <f t="shared" si="95"/>
        <v>0</v>
      </c>
      <c r="O182" s="887">
        <f t="shared" si="93"/>
        <v>0</v>
      </c>
      <c r="P182" s="887">
        <f t="shared" si="94"/>
        <v>0</v>
      </c>
      <c r="Q182" s="875"/>
      <c r="R182" s="875"/>
      <c r="S182" s="875"/>
      <c r="T182" s="875"/>
      <c r="U182" s="875"/>
      <c r="V182" s="875"/>
      <c r="W182" s="875"/>
      <c r="X182" s="875"/>
      <c r="Y182" s="875"/>
      <c r="Z182" s="875"/>
    </row>
    <row r="183" spans="1:26" ht="18.75" hidden="1">
      <c r="A183" s="993"/>
      <c r="B183" s="883"/>
      <c r="C183" s="883"/>
      <c r="D183" s="883"/>
      <c r="E183" s="884" t="s">
        <v>19</v>
      </c>
      <c r="F183" s="883"/>
      <c r="G183" s="994"/>
      <c r="H183" s="158" t="s">
        <v>12</v>
      </c>
      <c r="I183" s="886"/>
      <c r="J183" s="886"/>
      <c r="K183" s="887"/>
      <c r="L183" s="887">
        <f t="shared" ca="1" si="95"/>
        <v>281000</v>
      </c>
      <c r="M183" s="887">
        <f t="shared" ca="1" si="95"/>
        <v>208875</v>
      </c>
      <c r="N183" s="887">
        <f t="shared" ca="1" si="95"/>
        <v>128665.79</v>
      </c>
      <c r="O183" s="887">
        <f t="shared" ca="1" si="93"/>
        <v>45.788537366548042</v>
      </c>
      <c r="P183" s="887">
        <f t="shared" ca="1" si="94"/>
        <v>61.599420706163976</v>
      </c>
      <c r="Q183" s="875"/>
      <c r="R183" s="875"/>
      <c r="S183" s="875"/>
      <c r="T183" s="875"/>
      <c r="U183" s="875"/>
      <c r="V183" s="875"/>
      <c r="W183" s="875"/>
      <c r="X183" s="875"/>
      <c r="Y183" s="875"/>
      <c r="Z183" s="875"/>
    </row>
    <row r="184" spans="1:26" ht="18.75">
      <c r="A184" s="995"/>
      <c r="B184" s="877"/>
      <c r="C184" s="996"/>
      <c r="D184" s="878" t="s">
        <v>20</v>
      </c>
      <c r="E184" s="877"/>
      <c r="F184" s="877"/>
      <c r="G184" s="879"/>
      <c r="H184" s="161" t="s">
        <v>12</v>
      </c>
      <c r="I184" s="997"/>
      <c r="J184" s="997"/>
      <c r="K184" s="998"/>
      <c r="L184" s="881">
        <f t="shared" ref="L184:N184" ca="1" si="96">L185+L186</f>
        <v>281000</v>
      </c>
      <c r="M184" s="881">
        <f t="shared" ca="1" si="96"/>
        <v>208875</v>
      </c>
      <c r="N184" s="881">
        <f t="shared" ca="1" si="96"/>
        <v>128665.79</v>
      </c>
      <c r="O184" s="881">
        <f t="shared" ca="1" si="93"/>
        <v>45.788537366548042</v>
      </c>
      <c r="P184" s="881">
        <f t="shared" ca="1" si="94"/>
        <v>61.599420706163976</v>
      </c>
      <c r="Q184" s="868"/>
      <c r="R184" s="868"/>
      <c r="S184" s="868"/>
      <c r="T184" s="868"/>
      <c r="U184" s="868"/>
      <c r="V184" s="868"/>
      <c r="W184" s="868"/>
      <c r="X184" s="868"/>
      <c r="Y184" s="868"/>
      <c r="Z184" s="868"/>
    </row>
    <row r="185" spans="1:26" ht="19.5" hidden="1">
      <c r="A185" s="993"/>
      <c r="B185" s="883"/>
      <c r="C185" s="999"/>
      <c r="D185" s="883"/>
      <c r="E185" s="884" t="s">
        <v>36</v>
      </c>
      <c r="F185" s="883"/>
      <c r="G185" s="994"/>
      <c r="H185" s="165" t="s">
        <v>12</v>
      </c>
      <c r="I185" s="1000"/>
      <c r="J185" s="1000"/>
      <c r="K185" s="1001"/>
      <c r="L185" s="887">
        <v>0</v>
      </c>
      <c r="M185" s="887">
        <v>0</v>
      </c>
      <c r="N185" s="887">
        <v>0</v>
      </c>
      <c r="O185" s="887">
        <f t="shared" si="93"/>
        <v>0</v>
      </c>
      <c r="P185" s="887">
        <f t="shared" si="94"/>
        <v>0</v>
      </c>
      <c r="Q185" s="875"/>
      <c r="R185" s="875"/>
      <c r="S185" s="875"/>
      <c r="T185" s="875"/>
      <c r="U185" s="875"/>
      <c r="V185" s="875"/>
      <c r="W185" s="875"/>
      <c r="X185" s="875"/>
      <c r="Y185" s="875"/>
      <c r="Z185" s="875"/>
    </row>
    <row r="186" spans="1:26" ht="19.5" hidden="1">
      <c r="A186" s="993"/>
      <c r="B186" s="883"/>
      <c r="C186" s="999"/>
      <c r="D186" s="883"/>
      <c r="E186" s="884" t="s">
        <v>37</v>
      </c>
      <c r="F186" s="883"/>
      <c r="G186" s="994"/>
      <c r="H186" s="165" t="s">
        <v>12</v>
      </c>
      <c r="I186" s="1000"/>
      <c r="J186" s="1000"/>
      <c r="K186" s="1001"/>
      <c r="L186" s="887">
        <f ca="1">IFERROR(__xludf.DUMMYFUNCTION("IMPORTRANGE(""https://docs.google.com/spreadsheets/d/1MeEWN-I1oV_STSDYn1IFDPWt_1FKiwhDph83XaGc0o0/edit?usp=sharing"",""งบพรบ!CO79"")"),281000)</f>
        <v>281000</v>
      </c>
      <c r="M186" s="887">
        <f ca="1">IFERROR(__xludf.DUMMYFUNCTION("IMPORTRANGE(""https://docs.google.com/spreadsheets/d/1MeEWN-I1oV_STSDYn1IFDPWt_1FKiwhDph83XaGc0o0/edit?usp=sharing"",""งบพรบ!CT79"")"),208875)</f>
        <v>208875</v>
      </c>
      <c r="N186" s="887">
        <f ca="1">IFERROR(__xludf.DUMMYFUNCTION("IMPORTRANGE(""https://docs.google.com/spreadsheets/d/1MeEWN-I1oV_STSDYn1IFDPWt_1FKiwhDph83XaGc0o0/edit?usp=sharing"",""งบพรบ!CV79"")"),128665.79)</f>
        <v>128665.79</v>
      </c>
      <c r="O186" s="887">
        <f t="shared" ca="1" si="93"/>
        <v>45.788537366548042</v>
      </c>
      <c r="P186" s="887">
        <f t="shared" ca="1" si="94"/>
        <v>61.599420706163976</v>
      </c>
      <c r="Q186" s="875"/>
      <c r="R186" s="875"/>
      <c r="S186" s="875"/>
      <c r="T186" s="875"/>
      <c r="U186" s="875"/>
      <c r="V186" s="875"/>
      <c r="W186" s="875"/>
      <c r="X186" s="875"/>
      <c r="Y186" s="875"/>
      <c r="Z186" s="875"/>
    </row>
    <row r="187" spans="1:26" ht="18.75">
      <c r="A187" s="995"/>
      <c r="B187" s="877"/>
      <c r="C187" s="996"/>
      <c r="D187" s="878" t="s">
        <v>21</v>
      </c>
      <c r="E187" s="877"/>
      <c r="F187" s="877"/>
      <c r="G187" s="879"/>
      <c r="H187" s="168" t="s">
        <v>12</v>
      </c>
      <c r="I187" s="997"/>
      <c r="J187" s="997"/>
      <c r="K187" s="998"/>
      <c r="L187" s="881">
        <f t="shared" ref="L187:N187" ca="1" si="97">L188+L189</f>
        <v>0</v>
      </c>
      <c r="M187" s="881">
        <f t="shared" ca="1" si="97"/>
        <v>0</v>
      </c>
      <c r="N187" s="881">
        <f t="shared" ca="1" si="97"/>
        <v>0</v>
      </c>
      <c r="O187" s="881">
        <f t="shared" ca="1" si="93"/>
        <v>0</v>
      </c>
      <c r="P187" s="881">
        <f t="shared" ca="1" si="94"/>
        <v>0</v>
      </c>
      <c r="Q187" s="868"/>
      <c r="R187" s="868"/>
      <c r="S187" s="868"/>
      <c r="T187" s="868"/>
      <c r="U187" s="868"/>
      <c r="V187" s="868"/>
      <c r="W187" s="868"/>
      <c r="X187" s="868"/>
      <c r="Y187" s="868"/>
      <c r="Z187" s="868"/>
    </row>
    <row r="188" spans="1:26" ht="19.5" hidden="1">
      <c r="A188" s="993"/>
      <c r="B188" s="883"/>
      <c r="C188" s="999"/>
      <c r="D188" s="883"/>
      <c r="E188" s="884" t="s">
        <v>18</v>
      </c>
      <c r="F188" s="883"/>
      <c r="G188" s="994"/>
      <c r="H188" s="165" t="s">
        <v>12</v>
      </c>
      <c r="I188" s="1000"/>
      <c r="J188" s="1000"/>
      <c r="K188" s="1001"/>
      <c r="L188" s="887">
        <v>0</v>
      </c>
      <c r="M188" s="887">
        <v>0</v>
      </c>
      <c r="N188" s="887">
        <v>0</v>
      </c>
      <c r="O188" s="887">
        <f t="shared" si="93"/>
        <v>0</v>
      </c>
      <c r="P188" s="887">
        <f t="shared" si="94"/>
        <v>0</v>
      </c>
      <c r="Q188" s="875"/>
      <c r="R188" s="875"/>
      <c r="S188" s="875"/>
      <c r="T188" s="875"/>
      <c r="U188" s="875"/>
      <c r="V188" s="875"/>
      <c r="W188" s="875"/>
      <c r="X188" s="875"/>
      <c r="Y188" s="875"/>
      <c r="Z188" s="875"/>
    </row>
    <row r="189" spans="1:26" ht="19.5" hidden="1">
      <c r="A189" s="993"/>
      <c r="B189" s="883"/>
      <c r="C189" s="999"/>
      <c r="D189" s="883"/>
      <c r="E189" s="884" t="s">
        <v>19</v>
      </c>
      <c r="F189" s="883"/>
      <c r="G189" s="994"/>
      <c r="H189" s="169" t="s">
        <v>12</v>
      </c>
      <c r="I189" s="1000"/>
      <c r="J189" s="1000"/>
      <c r="K189" s="1001"/>
      <c r="L189" s="887">
        <f ca="1">IFERROR(__xludf.DUMMYFUNCTION("IMPORTRANGE(""https://docs.google.com/spreadsheets/d/1MeEWN-I1oV_STSDYn1IFDPWt_1FKiwhDph83XaGc0o0/edit?usp=sharing"",""งบพรบ!CR79"")"),0)</f>
        <v>0</v>
      </c>
      <c r="M189" s="887">
        <f ca="1">IFERROR(__xludf.DUMMYFUNCTION("IMPORTRANGE(""https://docs.google.com/spreadsheets/d/1MeEWN-I1oV_STSDYn1IFDPWt_1FKiwhDph83XaGc0o0/edit?usp=sharing"",""งบพรบ!CU79"")"),0)</f>
        <v>0</v>
      </c>
      <c r="N189" s="887">
        <f ca="1">IFERROR(__xludf.DUMMYFUNCTION("IMPORTRANGE(""https://docs.google.com/spreadsheets/d/1MeEWN-I1oV_STSDYn1IFDPWt_1FKiwhDph83XaGc0o0/edit?usp=sharing"",""งบพรบ!CW79"")"),0)</f>
        <v>0</v>
      </c>
      <c r="O189" s="887">
        <f t="shared" ca="1" si="93"/>
        <v>0</v>
      </c>
      <c r="P189" s="887">
        <f t="shared" ca="1" si="94"/>
        <v>0</v>
      </c>
      <c r="Q189" s="875"/>
      <c r="R189" s="875"/>
      <c r="S189" s="875"/>
      <c r="T189" s="875"/>
      <c r="U189" s="875"/>
      <c r="V189" s="875"/>
      <c r="W189" s="875"/>
      <c r="X189" s="875"/>
      <c r="Y189" s="875"/>
      <c r="Z189" s="875"/>
    </row>
    <row r="190" spans="1:26" ht="19.5">
      <c r="A190" s="1063"/>
      <c r="B190" s="1070"/>
      <c r="C190" s="1077" t="s">
        <v>89</v>
      </c>
      <c r="D190" s="1064"/>
      <c r="E190" s="1064"/>
      <c r="F190" s="1064"/>
      <c r="G190" s="1066"/>
      <c r="H190" s="260" t="s">
        <v>90</v>
      </c>
      <c r="I190" s="1078">
        <f t="shared" ref="I190:J190" ca="1" si="98">I193</f>
        <v>4</v>
      </c>
      <c r="J190" s="1078">
        <f t="shared" si="98"/>
        <v>2</v>
      </c>
      <c r="K190" s="1079">
        <f ca="1">IF(I190&gt;0,J190*100/I190,0)</f>
        <v>50</v>
      </c>
      <c r="L190" s="1068"/>
      <c r="M190" s="1068"/>
      <c r="N190" s="1068"/>
      <c r="O190" s="1068"/>
      <c r="P190" s="1068"/>
    </row>
    <row r="191" spans="1:26" ht="19.5">
      <c r="A191" s="985"/>
      <c r="B191" s="986"/>
      <c r="C191" s="987" t="s">
        <v>16</v>
      </c>
      <c r="D191" s="1080" t="s">
        <v>17</v>
      </c>
      <c r="E191" s="986"/>
      <c r="F191" s="986"/>
      <c r="G191" s="989"/>
      <c r="H191" s="275" t="s">
        <v>12</v>
      </c>
      <c r="I191" s="990"/>
      <c r="J191" s="990"/>
      <c r="K191" s="991"/>
      <c r="L191" s="992">
        <f ca="1">IFERROR(__xludf.DUMMYFUNCTION("IMPORTRANGE(""https://docs.google.com/spreadsheets/d/1QqKyyYR6Q21VydFLVH3TRQUabQu_ym0Zz7PgGX0-kHA/edit?usp=sharing"",""แผน!Z79"")"),6000)</f>
        <v>6000</v>
      </c>
      <c r="M191" s="992"/>
      <c r="N191" s="1081">
        <f>[1]ผลการเบิกจ่ายเงินงบประมาณ!G28</f>
        <v>4400</v>
      </c>
      <c r="O191" s="992">
        <f ca="1">IF(L191&gt;0,N191*100/L191,0)</f>
        <v>73.333333333333329</v>
      </c>
      <c r="P191" s="992">
        <f>IF(M191&gt;0,N191*100/M191,0)</f>
        <v>0</v>
      </c>
      <c r="Q191" s="868"/>
      <c r="R191" s="868"/>
      <c r="S191" s="868"/>
      <c r="T191" s="868"/>
      <c r="U191" s="868"/>
      <c r="V191" s="868"/>
      <c r="W191" s="868"/>
      <c r="X191" s="868"/>
      <c r="Y191" s="868"/>
      <c r="Z191" s="868"/>
    </row>
    <row r="192" spans="1:26" ht="19.5">
      <c r="A192" s="1002"/>
      <c r="B192" s="1003"/>
      <c r="C192" s="1029" t="s">
        <v>16</v>
      </c>
      <c r="D192" s="1004" t="s">
        <v>38</v>
      </c>
      <c r="E192" s="1005"/>
      <c r="F192" s="1005"/>
      <c r="G192" s="1006"/>
      <c r="H192" s="1007"/>
      <c r="I192" s="880"/>
      <c r="J192" s="880"/>
      <c r="K192" s="881"/>
      <c r="L192" s="881"/>
      <c r="M192" s="881"/>
      <c r="N192" s="881"/>
      <c r="O192" s="881"/>
      <c r="P192" s="881"/>
      <c r="Q192" s="868"/>
      <c r="R192" s="868"/>
      <c r="S192" s="868"/>
      <c r="T192" s="868"/>
      <c r="U192" s="868"/>
      <c r="V192" s="868"/>
      <c r="W192" s="868"/>
      <c r="X192" s="868"/>
      <c r="Y192" s="868"/>
      <c r="Z192" s="868"/>
    </row>
    <row r="193" spans="1:26" ht="18.75">
      <c r="A193" s="1002"/>
      <c r="B193" s="1003"/>
      <c r="C193" s="1003"/>
      <c r="D193" s="1009" t="s">
        <v>91</v>
      </c>
      <c r="E193" s="1010"/>
      <c r="F193" s="1010"/>
      <c r="G193" s="1011"/>
      <c r="H193" s="762" t="s">
        <v>90</v>
      </c>
      <c r="I193" s="880">
        <f ca="1">IFERROR(__xludf.DUMMYFUNCTION("IMPORTRANGE(""https://docs.google.com/spreadsheets/d/1QqKyyYR6Q21VydFLVH3TRQUabQu_ym0Zz7PgGX0-kHA/edit?usp=sharing"",""แผน!AC79"")"),4)</f>
        <v>4</v>
      </c>
      <c r="J193" s="1012">
        <v>2</v>
      </c>
      <c r="K193" s="881">
        <f ca="1">IF(I193&gt;0,J193*100/I193,0)</f>
        <v>50</v>
      </c>
      <c r="L193" s="881"/>
      <c r="M193" s="881"/>
      <c r="N193" s="881"/>
      <c r="O193" s="881"/>
      <c r="P193" s="881"/>
      <c r="Q193" s="868"/>
      <c r="R193" s="868"/>
      <c r="S193" s="868"/>
      <c r="T193" s="868"/>
      <c r="U193" s="868"/>
      <c r="V193" s="868"/>
      <c r="W193" s="868"/>
      <c r="X193" s="868"/>
      <c r="Y193" s="868"/>
      <c r="Z193" s="868"/>
    </row>
    <row r="194" spans="1:26" ht="18.75">
      <c r="A194" s="1002"/>
      <c r="B194" s="1003"/>
      <c r="C194" s="1003"/>
      <c r="D194" s="1009" t="s">
        <v>92</v>
      </c>
      <c r="E194" s="1010"/>
      <c r="F194" s="1010"/>
      <c r="G194" s="1011"/>
      <c r="H194" s="277" t="s">
        <v>35</v>
      </c>
      <c r="I194" s="880"/>
      <c r="J194" s="880">
        <f>J195+J196</f>
        <v>106</v>
      </c>
      <c r="K194" s="881"/>
      <c r="L194" s="881"/>
      <c r="M194" s="881"/>
      <c r="N194" s="881"/>
      <c r="O194" s="881"/>
      <c r="P194" s="881"/>
      <c r="Q194" s="868"/>
      <c r="R194" s="868"/>
      <c r="S194" s="868"/>
      <c r="T194" s="868"/>
      <c r="U194" s="868"/>
      <c r="V194" s="868"/>
      <c r="W194" s="868"/>
      <c r="X194" s="868"/>
      <c r="Y194" s="868"/>
      <c r="Z194" s="868"/>
    </row>
    <row r="195" spans="1:26" ht="18.75">
      <c r="A195" s="1002"/>
      <c r="B195" s="1003"/>
      <c r="C195" s="1003"/>
      <c r="D195" s="1003"/>
      <c r="E195" s="1009" t="s">
        <v>93</v>
      </c>
      <c r="F195" s="1010"/>
      <c r="G195" s="1011"/>
      <c r="H195" s="277" t="s">
        <v>35</v>
      </c>
      <c r="I195" s="880"/>
      <c r="J195" s="1012">
        <v>106</v>
      </c>
      <c r="K195" s="881"/>
      <c r="L195" s="881"/>
      <c r="M195" s="881"/>
      <c r="N195" s="881"/>
      <c r="O195" s="881"/>
      <c r="P195" s="881"/>
      <c r="Q195" s="868"/>
      <c r="R195" s="868"/>
      <c r="S195" s="868"/>
      <c r="T195" s="868"/>
      <c r="U195" s="868"/>
      <c r="V195" s="868"/>
      <c r="W195" s="868"/>
      <c r="X195" s="868"/>
      <c r="Y195" s="868"/>
      <c r="Z195" s="868"/>
    </row>
    <row r="196" spans="1:26" ht="18.75">
      <c r="A196" s="1002"/>
      <c r="B196" s="1003"/>
      <c r="C196" s="1003"/>
      <c r="D196" s="1003"/>
      <c r="E196" s="1009" t="s">
        <v>94</v>
      </c>
      <c r="F196" s="1010"/>
      <c r="G196" s="1011"/>
      <c r="H196" s="277" t="s">
        <v>35</v>
      </c>
      <c r="I196" s="880"/>
      <c r="J196" s="1012">
        <v>0</v>
      </c>
      <c r="K196" s="881"/>
      <c r="L196" s="881"/>
      <c r="M196" s="881"/>
      <c r="N196" s="881"/>
      <c r="O196" s="881"/>
      <c r="P196" s="881"/>
      <c r="Q196" s="868"/>
      <c r="R196" s="868"/>
      <c r="S196" s="868"/>
      <c r="T196" s="868"/>
      <c r="U196" s="868"/>
      <c r="V196" s="868"/>
      <c r="W196" s="868"/>
      <c r="X196" s="868"/>
      <c r="Y196" s="868"/>
      <c r="Z196" s="868"/>
    </row>
    <row r="197" spans="1:26" ht="19.5" hidden="1">
      <c r="A197" s="1063"/>
      <c r="B197" s="1070"/>
      <c r="C197" s="1077" t="s">
        <v>95</v>
      </c>
      <c r="D197" s="1064"/>
      <c r="E197" s="1064"/>
      <c r="F197" s="1064"/>
      <c r="G197" s="1066"/>
      <c r="H197" s="278" t="s">
        <v>96</v>
      </c>
      <c r="I197" s="1078">
        <f t="shared" ref="I197:J197" ca="1" si="99">I204</f>
        <v>0</v>
      </c>
      <c r="J197" s="1078">
        <f t="shared" si="99"/>
        <v>0</v>
      </c>
      <c r="K197" s="1079">
        <f ca="1">IF(I197&gt;0,J197*100/I197,0)</f>
        <v>0</v>
      </c>
      <c r="L197" s="1068"/>
      <c r="M197" s="1068"/>
      <c r="N197" s="1068"/>
      <c r="O197" s="1068"/>
      <c r="P197" s="1068"/>
    </row>
    <row r="198" spans="1:26" ht="19.5" hidden="1">
      <c r="A198" s="985"/>
      <c r="B198" s="986"/>
      <c r="C198" s="987" t="s">
        <v>16</v>
      </c>
      <c r="D198" s="1080" t="s">
        <v>17</v>
      </c>
      <c r="E198" s="986"/>
      <c r="F198" s="986"/>
      <c r="G198" s="989"/>
      <c r="H198" s="275" t="s">
        <v>12</v>
      </c>
      <c r="I198" s="1082"/>
      <c r="J198" s="1082"/>
      <c r="K198" s="1083"/>
      <c r="L198" s="992">
        <f ca="1">L199+L200+L201+L202</f>
        <v>0</v>
      </c>
      <c r="M198" s="992"/>
      <c r="N198" s="992">
        <f>N199+N200+N201+N202</f>
        <v>0</v>
      </c>
      <c r="O198" s="992">
        <f ca="1">IF(L198&gt;0,N198*100/L198,0)</f>
        <v>0</v>
      </c>
      <c r="P198" s="992">
        <f>IF(M198&gt;0,N198*100/M198,0)</f>
        <v>0</v>
      </c>
      <c r="Q198" s="868"/>
      <c r="R198" s="868"/>
      <c r="S198" s="868"/>
      <c r="T198" s="868"/>
      <c r="U198" s="868"/>
      <c r="V198" s="868"/>
      <c r="W198" s="868"/>
      <c r="X198" s="868"/>
      <c r="Y198" s="868"/>
      <c r="Z198" s="868"/>
    </row>
    <row r="199" spans="1:26" ht="18.75" hidden="1">
      <c r="A199" s="995"/>
      <c r="B199" s="1084"/>
      <c r="C199" s="877"/>
      <c r="D199" s="996" t="s">
        <v>97</v>
      </c>
      <c r="E199" s="877"/>
      <c r="F199" s="877"/>
      <c r="G199" s="879"/>
      <c r="H199" s="161" t="s">
        <v>12</v>
      </c>
      <c r="I199" s="997"/>
      <c r="J199" s="997"/>
      <c r="K199" s="998"/>
      <c r="L199" s="881">
        <f ca="1">IFERROR(__xludf.DUMMYFUNCTION("IMPORTRANGE(""https://docs.google.com/spreadsheets/d/1QqKyyYR6Q21VydFLVH3TRQUabQu_ym0Zz7PgGX0-kHA/edit?usp=sharing"",""แผน!AE79"")"),0)</f>
        <v>0</v>
      </c>
      <c r="M199" s="881"/>
      <c r="N199" s="1085">
        <v>0</v>
      </c>
      <c r="O199" s="881"/>
      <c r="P199" s="881"/>
      <c r="Q199" s="868"/>
      <c r="R199" s="868"/>
      <c r="S199" s="868"/>
      <c r="T199" s="868"/>
      <c r="U199" s="868"/>
      <c r="V199" s="868"/>
      <c r="W199" s="868"/>
      <c r="X199" s="868"/>
      <c r="Y199" s="868"/>
      <c r="Z199" s="868"/>
    </row>
    <row r="200" spans="1:26" ht="19.5" hidden="1">
      <c r="A200" s="1086"/>
      <c r="B200" s="1084"/>
      <c r="C200" s="1029"/>
      <c r="D200" s="996" t="s">
        <v>98</v>
      </c>
      <c r="E200" s="877"/>
      <c r="F200" s="877"/>
      <c r="G200" s="879"/>
      <c r="H200" s="622" t="s">
        <v>12</v>
      </c>
      <c r="I200" s="880"/>
      <c r="J200" s="880"/>
      <c r="K200" s="881"/>
      <c r="L200" s="881">
        <f ca="1">IFERROR(__xludf.DUMMYFUNCTION("IMPORTRANGE(""https://docs.google.com/spreadsheets/d/1QqKyyYR6Q21VydFLVH3TRQUabQu_ym0Zz7PgGX0-kHA/edit?usp=sharing"",""แผน!AF79"")"),0)</f>
        <v>0</v>
      </c>
      <c r="M200" s="881"/>
      <c r="N200" s="1085">
        <v>0</v>
      </c>
      <c r="O200" s="881"/>
      <c r="P200" s="881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</row>
    <row r="201" spans="1:26" ht="19.5" hidden="1">
      <c r="A201" s="1086"/>
      <c r="B201" s="1084"/>
      <c r="C201" s="1029"/>
      <c r="D201" s="996" t="s">
        <v>99</v>
      </c>
      <c r="E201" s="877"/>
      <c r="F201" s="877"/>
      <c r="G201" s="879"/>
      <c r="H201" s="622" t="s">
        <v>12</v>
      </c>
      <c r="I201" s="880"/>
      <c r="J201" s="880"/>
      <c r="K201" s="881"/>
      <c r="L201" s="881">
        <f ca="1">IFERROR(__xludf.DUMMYFUNCTION("IMPORTRANGE(""https://docs.google.com/spreadsheets/d/1QqKyyYR6Q21VydFLVH3TRQUabQu_ym0Zz7PgGX0-kHA/edit?usp=sharing"",""แผน!AG79"")"),0)</f>
        <v>0</v>
      </c>
      <c r="M201" s="881"/>
      <c r="N201" s="1085">
        <v>0</v>
      </c>
      <c r="O201" s="881"/>
      <c r="P201" s="881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</row>
    <row r="202" spans="1:26" ht="19.5" hidden="1">
      <c r="A202" s="1086"/>
      <c r="B202" s="1084"/>
      <c r="C202" s="1029"/>
      <c r="D202" s="996" t="s">
        <v>100</v>
      </c>
      <c r="E202" s="877"/>
      <c r="F202" s="877"/>
      <c r="G202" s="879"/>
      <c r="H202" s="622" t="s">
        <v>12</v>
      </c>
      <c r="I202" s="880"/>
      <c r="J202" s="880"/>
      <c r="K202" s="881"/>
      <c r="L202" s="881">
        <f ca="1">IFERROR(__xludf.DUMMYFUNCTION("IMPORTRANGE(""https://docs.google.com/spreadsheets/d/1QqKyyYR6Q21VydFLVH3TRQUabQu_ym0Zz7PgGX0-kHA/edit?usp=sharing"",""แผน!AH79"")"),0)</f>
        <v>0</v>
      </c>
      <c r="M202" s="881"/>
      <c r="N202" s="1085">
        <v>0</v>
      </c>
      <c r="O202" s="881"/>
      <c r="P202" s="881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</row>
    <row r="203" spans="1:26" ht="19.5" hidden="1">
      <c r="A203" s="1002"/>
      <c r="B203" s="1003"/>
      <c r="C203" s="1029" t="s">
        <v>16</v>
      </c>
      <c r="D203" s="1004" t="s">
        <v>38</v>
      </c>
      <c r="E203" s="1005"/>
      <c r="F203" s="1005"/>
      <c r="G203" s="1006"/>
      <c r="H203" s="1007"/>
      <c r="I203" s="997"/>
      <c r="J203" s="997"/>
      <c r="K203" s="998"/>
      <c r="L203" s="998"/>
      <c r="M203" s="998"/>
      <c r="N203" s="998"/>
      <c r="O203" s="998"/>
      <c r="P203" s="99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</row>
    <row r="204" spans="1:26" ht="18.75" hidden="1">
      <c r="A204" s="1002"/>
      <c r="B204" s="1003"/>
      <c r="C204" s="1003"/>
      <c r="D204" s="1008" t="s">
        <v>101</v>
      </c>
      <c r="E204" s="1010"/>
      <c r="F204" s="1010"/>
      <c r="G204" s="1011"/>
      <c r="H204" s="1007" t="s">
        <v>96</v>
      </c>
      <c r="I204" s="880">
        <f ca="1">IFERROR(__xludf.DUMMYFUNCTION("IMPORTRANGE(""https://docs.google.com/spreadsheets/d/1QqKyyYR6Q21VydFLVH3TRQUabQu_ym0Zz7PgGX0-kHA/edit?usp=sharing"",""แผน!AI79"")"),0)</f>
        <v>0</v>
      </c>
      <c r="J204" s="1012">
        <v>0</v>
      </c>
      <c r="K204" s="998">
        <f ca="1">IF(I204&gt;0,J204*100/I204,0)</f>
        <v>0</v>
      </c>
      <c r="L204" s="881"/>
      <c r="M204" s="881"/>
      <c r="N204" s="881"/>
      <c r="O204" s="881"/>
      <c r="P204" s="881"/>
      <c r="Q204" s="868"/>
      <c r="R204" s="868"/>
      <c r="S204" s="868"/>
      <c r="T204" s="868"/>
      <c r="U204" s="868"/>
      <c r="V204" s="868"/>
      <c r="W204" s="868"/>
      <c r="X204" s="868"/>
      <c r="Y204" s="868"/>
      <c r="Z204" s="868"/>
    </row>
    <row r="205" spans="1:26" ht="18.75" hidden="1">
      <c r="A205" s="1002"/>
      <c r="B205" s="1003"/>
      <c r="C205" s="1003"/>
      <c r="D205" s="1009" t="s">
        <v>59</v>
      </c>
      <c r="E205" s="1010"/>
      <c r="F205" s="1010"/>
      <c r="G205" s="1011"/>
      <c r="H205" s="1007"/>
      <c r="I205" s="880"/>
      <c r="J205" s="880"/>
      <c r="K205" s="998"/>
      <c r="L205" s="881"/>
      <c r="M205" s="881"/>
      <c r="N205" s="881"/>
      <c r="O205" s="881"/>
      <c r="P205" s="881"/>
      <c r="Q205" s="868"/>
      <c r="R205" s="868"/>
      <c r="S205" s="868"/>
      <c r="T205" s="868"/>
      <c r="U205" s="868"/>
      <c r="V205" s="868"/>
      <c r="W205" s="868"/>
      <c r="X205" s="868"/>
      <c r="Y205" s="868"/>
      <c r="Z205" s="868"/>
    </row>
    <row r="206" spans="1:26" ht="18.75" hidden="1">
      <c r="A206" s="1002"/>
      <c r="B206" s="1003"/>
      <c r="C206" s="1003"/>
      <c r="D206" s="1010"/>
      <c r="E206" s="1021" t="s">
        <v>102</v>
      </c>
      <c r="F206" s="1088"/>
      <c r="G206" s="1089"/>
      <c r="H206" s="1090" t="s">
        <v>96</v>
      </c>
      <c r="I206" s="880"/>
      <c r="J206" s="1012">
        <v>0</v>
      </c>
      <c r="K206" s="998"/>
      <c r="L206" s="881"/>
      <c r="M206" s="881"/>
      <c r="N206" s="881"/>
      <c r="O206" s="881"/>
      <c r="P206" s="881"/>
      <c r="Q206" s="868"/>
      <c r="R206" s="868"/>
      <c r="S206" s="868"/>
      <c r="T206" s="868"/>
      <c r="U206" s="868"/>
      <c r="V206" s="868"/>
      <c r="W206" s="868"/>
      <c r="X206" s="868"/>
      <c r="Y206" s="868"/>
      <c r="Z206" s="868"/>
    </row>
    <row r="207" spans="1:26" ht="18.75" hidden="1">
      <c r="A207" s="1002"/>
      <c r="B207" s="1003"/>
      <c r="C207" s="1003"/>
      <c r="D207" s="1009"/>
      <c r="E207" s="1009" t="s">
        <v>103</v>
      </c>
      <c r="F207" s="1010"/>
      <c r="G207" s="1010"/>
      <c r="H207" s="290" t="s">
        <v>104</v>
      </c>
      <c r="I207" s="880"/>
      <c r="J207" s="1012">
        <v>0</v>
      </c>
      <c r="K207" s="998"/>
      <c r="L207" s="881"/>
      <c r="M207" s="881"/>
      <c r="N207" s="881"/>
      <c r="O207" s="881"/>
      <c r="P207" s="881"/>
      <c r="Q207" s="868"/>
      <c r="R207" s="868"/>
      <c r="S207" s="868"/>
      <c r="T207" s="868"/>
      <c r="U207" s="868"/>
      <c r="V207" s="868"/>
      <c r="W207" s="868"/>
      <c r="X207" s="868"/>
      <c r="Y207" s="868"/>
      <c r="Z207" s="868"/>
    </row>
    <row r="208" spans="1:26" ht="19.5" hidden="1">
      <c r="A208" s="1063"/>
      <c r="B208" s="1070"/>
      <c r="C208" s="1077" t="s">
        <v>105</v>
      </c>
      <c r="D208" s="1064"/>
      <c r="E208" s="1064"/>
      <c r="F208" s="1091"/>
      <c r="G208" s="1066"/>
      <c r="H208" s="278" t="s">
        <v>96</v>
      </c>
      <c r="I208" s="1078">
        <f t="shared" ref="I208:J208" ca="1" si="100">I215</f>
        <v>0</v>
      </c>
      <c r="J208" s="1078">
        <f t="shared" si="100"/>
        <v>0</v>
      </c>
      <c r="K208" s="1079">
        <f ca="1">IF(I208&gt;0,J208*100/I208,0)</f>
        <v>0</v>
      </c>
      <c r="L208" s="1068"/>
      <c r="M208" s="1068"/>
      <c r="N208" s="1068"/>
      <c r="O208" s="1068"/>
      <c r="P208" s="1068"/>
    </row>
    <row r="209" spans="1:26" ht="19.5" hidden="1">
      <c r="A209" s="985"/>
      <c r="B209" s="986"/>
      <c r="C209" s="987" t="s">
        <v>16</v>
      </c>
      <c r="D209" s="1080" t="s">
        <v>17</v>
      </c>
      <c r="E209" s="986"/>
      <c r="F209" s="986"/>
      <c r="G209" s="989"/>
      <c r="H209" s="275" t="s">
        <v>12</v>
      </c>
      <c r="I209" s="1082"/>
      <c r="J209" s="1082"/>
      <c r="K209" s="1083"/>
      <c r="L209" s="992">
        <f ca="1">L210+L211+L212</f>
        <v>0</v>
      </c>
      <c r="M209" s="992"/>
      <c r="N209" s="992">
        <f>N210+N211+N212</f>
        <v>0</v>
      </c>
      <c r="O209" s="992">
        <f ca="1">IF(L209&gt;0,N209*100/L209,0)</f>
        <v>0</v>
      </c>
      <c r="P209" s="992">
        <f>IF(M209&gt;0,N209*100/M209,0)</f>
        <v>0</v>
      </c>
      <c r="Q209" s="868"/>
      <c r="R209" s="868"/>
      <c r="S209" s="868"/>
      <c r="T209" s="868"/>
      <c r="U209" s="868"/>
      <c r="V209" s="868"/>
      <c r="W209" s="868"/>
      <c r="X209" s="868"/>
      <c r="Y209" s="868"/>
      <c r="Z209" s="868"/>
    </row>
    <row r="210" spans="1:26" ht="18.75" hidden="1">
      <c r="A210" s="995"/>
      <c r="B210" s="1084"/>
      <c r="C210" s="877"/>
      <c r="D210" s="996" t="s">
        <v>97</v>
      </c>
      <c r="E210" s="877"/>
      <c r="F210" s="877"/>
      <c r="G210" s="879"/>
      <c r="H210" s="161" t="s">
        <v>12</v>
      </c>
      <c r="I210" s="997"/>
      <c r="J210" s="997"/>
      <c r="K210" s="998"/>
      <c r="L210" s="881">
        <f ca="1">IFERROR(__xludf.DUMMYFUNCTION("IMPORTRANGE(""https://docs.google.com/spreadsheets/d/1QqKyyYR6Q21VydFLVH3TRQUabQu_ym0Zz7PgGX0-kHA/edit?usp=sharing"",""แผน!AK79"")"),0)</f>
        <v>0</v>
      </c>
      <c r="M210" s="881"/>
      <c r="N210" s="1085">
        <v>0</v>
      </c>
      <c r="O210" s="881"/>
      <c r="P210" s="881"/>
      <c r="Q210" s="868"/>
      <c r="R210" s="868"/>
      <c r="S210" s="868"/>
      <c r="T210" s="868"/>
      <c r="U210" s="868"/>
      <c r="V210" s="868"/>
      <c r="W210" s="868"/>
      <c r="X210" s="868"/>
      <c r="Y210" s="868"/>
      <c r="Z210" s="868"/>
    </row>
    <row r="211" spans="1:26" ht="19.5" hidden="1">
      <c r="A211" s="1086"/>
      <c r="B211" s="1084"/>
      <c r="C211" s="1092"/>
      <c r="D211" s="996" t="s">
        <v>99</v>
      </c>
      <c r="E211" s="877"/>
      <c r="F211" s="877"/>
      <c r="G211" s="879"/>
      <c r="H211" s="161" t="s">
        <v>12</v>
      </c>
      <c r="I211" s="880"/>
      <c r="J211" s="880"/>
      <c r="K211" s="881"/>
      <c r="L211" s="881">
        <f ca="1">IFERROR(__xludf.DUMMYFUNCTION("IMPORTRANGE(""https://docs.google.com/spreadsheets/d/1QqKyyYR6Q21VydFLVH3TRQUabQu_ym0Zz7PgGX0-kHA/edit?usp=sharing"",""แผน!AL79"")"),0)</f>
        <v>0</v>
      </c>
      <c r="M211" s="881"/>
      <c r="N211" s="1085">
        <v>0</v>
      </c>
      <c r="O211" s="881"/>
      <c r="P211" s="881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</row>
    <row r="212" spans="1:26" ht="19.5" hidden="1">
      <c r="A212" s="1086"/>
      <c r="B212" s="1084"/>
      <c r="C212" s="1092"/>
      <c r="D212" s="996" t="s">
        <v>98</v>
      </c>
      <c r="E212" s="877"/>
      <c r="F212" s="877"/>
      <c r="G212" s="879"/>
      <c r="H212" s="161" t="s">
        <v>12</v>
      </c>
      <c r="I212" s="880"/>
      <c r="J212" s="880"/>
      <c r="K212" s="881"/>
      <c r="L212" s="881">
        <f ca="1">IFERROR(__xludf.DUMMYFUNCTION("IMPORTRANGE(""https://docs.google.com/spreadsheets/d/1QqKyyYR6Q21VydFLVH3TRQUabQu_ym0Zz7PgGX0-kHA/edit?usp=sharing"",""แผน!AM79"")"),0)</f>
        <v>0</v>
      </c>
      <c r="M212" s="881"/>
      <c r="N212" s="1085">
        <v>0</v>
      </c>
      <c r="O212" s="881"/>
      <c r="P212" s="881"/>
      <c r="Q212" s="1087"/>
      <c r="R212" s="1087"/>
      <c r="S212" s="1087"/>
      <c r="T212" s="1087"/>
      <c r="U212" s="1087"/>
      <c r="V212" s="1087"/>
      <c r="W212" s="1087"/>
      <c r="X212" s="1087"/>
      <c r="Y212" s="1087"/>
      <c r="Z212" s="1087"/>
    </row>
    <row r="213" spans="1:26" ht="19.5" hidden="1">
      <c r="A213" s="1002"/>
      <c r="B213" s="1003"/>
      <c r="C213" s="1092" t="s">
        <v>16</v>
      </c>
      <c r="D213" s="1004" t="s">
        <v>38</v>
      </c>
      <c r="E213" s="1005"/>
      <c r="F213" s="1005"/>
      <c r="G213" s="1006"/>
      <c r="H213" s="1007"/>
      <c r="I213" s="997"/>
      <c r="J213" s="880"/>
      <c r="K213" s="881"/>
      <c r="L213" s="881"/>
      <c r="M213" s="881"/>
      <c r="N213" s="881"/>
      <c r="O213" s="998"/>
      <c r="P213" s="998"/>
      <c r="Q213" s="868"/>
      <c r="R213" s="868"/>
      <c r="S213" s="868"/>
      <c r="T213" s="868"/>
      <c r="U213" s="868"/>
      <c r="V213" s="868"/>
      <c r="W213" s="868"/>
      <c r="X213" s="868"/>
      <c r="Y213" s="868"/>
      <c r="Z213" s="868"/>
    </row>
    <row r="214" spans="1:26" ht="18.75" hidden="1">
      <c r="A214" s="1002"/>
      <c r="B214" s="1003"/>
      <c r="C214" s="1003"/>
      <c r="D214" s="1008" t="s">
        <v>106</v>
      </c>
      <c r="E214" s="1010"/>
      <c r="F214" s="1010"/>
      <c r="G214" s="1011"/>
      <c r="H214" s="1007" t="s">
        <v>96</v>
      </c>
      <c r="I214" s="880">
        <f ca="1">IFERROR(__xludf.DUMMYFUNCTION("IMPORTRANGE(""https://docs.google.com/spreadsheets/d/1QqKyyYR6Q21VydFLVH3TRQUabQu_ym0Zz7PgGX0-kHA/edit?usp=sharing"",""แผน!AN79"")"),0)</f>
        <v>0</v>
      </c>
      <c r="J214" s="1012">
        <v>0</v>
      </c>
      <c r="K214" s="881">
        <f t="shared" ref="K214:K216" ca="1" si="101">IF(I214&gt;0,J214*100/I214,0)</f>
        <v>0</v>
      </c>
      <c r="L214" s="881"/>
      <c r="M214" s="881"/>
      <c r="N214" s="881"/>
      <c r="O214" s="881"/>
      <c r="P214" s="881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</row>
    <row r="215" spans="1:26" ht="18.75" hidden="1">
      <c r="A215" s="1002"/>
      <c r="B215" s="1003"/>
      <c r="C215" s="1003"/>
      <c r="D215" s="1008" t="s">
        <v>107</v>
      </c>
      <c r="E215" s="1010"/>
      <c r="F215" s="1010"/>
      <c r="G215" s="1011"/>
      <c r="H215" s="1007" t="s">
        <v>96</v>
      </c>
      <c r="I215" s="880">
        <f ca="1">IFERROR(__xludf.DUMMYFUNCTION("IMPORTRANGE(""https://docs.google.com/spreadsheets/d/1QqKyyYR6Q21VydFLVH3TRQUabQu_ym0Zz7PgGX0-kHA/edit?usp=sharing"",""แผน!AN79"")"),0)</f>
        <v>0</v>
      </c>
      <c r="J215" s="1012">
        <v>0</v>
      </c>
      <c r="K215" s="881">
        <f t="shared" ca="1" si="101"/>
        <v>0</v>
      </c>
      <c r="L215" s="881"/>
      <c r="M215" s="881"/>
      <c r="N215" s="881"/>
      <c r="O215" s="881"/>
      <c r="P215" s="881"/>
      <c r="Q215" s="868"/>
      <c r="R215" s="868"/>
      <c r="S215" s="868"/>
      <c r="T215" s="868"/>
      <c r="U215" s="868"/>
      <c r="V215" s="868"/>
      <c r="W215" s="868"/>
      <c r="X215" s="868"/>
      <c r="Y215" s="868"/>
      <c r="Z215" s="868"/>
    </row>
    <row r="216" spans="1:26" ht="19.5">
      <c r="A216" s="1063"/>
      <c r="B216" s="1070"/>
      <c r="C216" s="1077" t="s">
        <v>108</v>
      </c>
      <c r="D216" s="1064"/>
      <c r="E216" s="1064"/>
      <c r="F216" s="1091"/>
      <c r="G216" s="1066"/>
      <c r="H216" s="260" t="s">
        <v>109</v>
      </c>
      <c r="I216" s="1078">
        <f t="shared" ref="I216:J216" ca="1" si="102">I224</f>
        <v>10000</v>
      </c>
      <c r="J216" s="1078">
        <f t="shared" si="102"/>
        <v>0</v>
      </c>
      <c r="K216" s="1079">
        <f t="shared" ca="1" si="101"/>
        <v>0</v>
      </c>
      <c r="L216" s="1068"/>
      <c r="M216" s="1068"/>
      <c r="N216" s="1068"/>
      <c r="O216" s="1068"/>
      <c r="P216" s="1068"/>
    </row>
    <row r="217" spans="1:26" ht="19.5">
      <c r="A217" s="985"/>
      <c r="B217" s="986"/>
      <c r="C217" s="987" t="s">
        <v>16</v>
      </c>
      <c r="D217" s="1080" t="s">
        <v>17</v>
      </c>
      <c r="E217" s="986"/>
      <c r="F217" s="986"/>
      <c r="G217" s="989"/>
      <c r="H217" s="275" t="s">
        <v>12</v>
      </c>
      <c r="I217" s="1082"/>
      <c r="J217" s="1082"/>
      <c r="K217" s="1083"/>
      <c r="L217" s="992">
        <f ca="1">L218+L219+L220</f>
        <v>6500</v>
      </c>
      <c r="M217" s="992"/>
      <c r="N217" s="992">
        <f>N218+N219+N220</f>
        <v>0</v>
      </c>
      <c r="O217" s="992">
        <f ca="1">IF(L217&gt;0,N217*100/L217,0)</f>
        <v>0</v>
      </c>
      <c r="P217" s="992">
        <f>IF(M217&gt;0,N217*100/M217,0)</f>
        <v>0</v>
      </c>
      <c r="Q217" s="868"/>
      <c r="R217" s="868"/>
      <c r="S217" s="868"/>
      <c r="T217" s="868"/>
      <c r="U217" s="868"/>
      <c r="V217" s="868"/>
      <c r="W217" s="868"/>
      <c r="X217" s="868"/>
      <c r="Y217" s="868"/>
      <c r="Z217" s="868"/>
    </row>
    <row r="218" spans="1:26" ht="18.75">
      <c r="A218" s="995"/>
      <c r="B218" s="1084"/>
      <c r="C218" s="877"/>
      <c r="D218" s="996" t="s">
        <v>97</v>
      </c>
      <c r="E218" s="877"/>
      <c r="F218" s="877"/>
      <c r="G218" s="879"/>
      <c r="H218" s="161" t="s">
        <v>12</v>
      </c>
      <c r="I218" s="997"/>
      <c r="J218" s="997"/>
      <c r="K218" s="998"/>
      <c r="L218" s="881">
        <f ca="1">IFERROR(__xludf.DUMMYFUNCTION("IMPORTRANGE(""https://docs.google.com/spreadsheets/d/1QqKyyYR6Q21VydFLVH3TRQUabQu_ym0Zz7PgGX0-kHA/edit?usp=sharing"",""แผน!AP79"")"),3000)</f>
        <v>3000</v>
      </c>
      <c r="M218" s="881"/>
      <c r="N218" s="1085">
        <f>[1]ผลการเบิกจ่ายเงินงบประมาณ!G30</f>
        <v>0</v>
      </c>
      <c r="O218" s="881"/>
      <c r="P218" s="881"/>
      <c r="Q218" s="868"/>
      <c r="R218" s="868"/>
      <c r="S218" s="868"/>
      <c r="T218" s="868"/>
      <c r="U218" s="868"/>
      <c r="V218" s="868"/>
      <c r="W218" s="868"/>
      <c r="X218" s="868"/>
      <c r="Y218" s="868"/>
      <c r="Z218" s="868"/>
    </row>
    <row r="219" spans="1:26" ht="19.5">
      <c r="A219" s="1086"/>
      <c r="B219" s="1084"/>
      <c r="C219" s="1092"/>
      <c r="D219" s="996" t="s">
        <v>110</v>
      </c>
      <c r="E219" s="877"/>
      <c r="F219" s="877"/>
      <c r="G219" s="879"/>
      <c r="H219" s="161" t="s">
        <v>12</v>
      </c>
      <c r="I219" s="880"/>
      <c r="J219" s="880"/>
      <c r="K219" s="881"/>
      <c r="L219" s="881">
        <f ca="1">IFERROR(__xludf.DUMMYFUNCTION("IMPORTRANGE(""https://docs.google.com/spreadsheets/d/1QqKyyYR6Q21VydFLVH3TRQUabQu_ym0Zz7PgGX0-kHA/edit?usp=sharing"",""แผน!AQ79"")"),3500)</f>
        <v>3500</v>
      </c>
      <c r="M219" s="881"/>
      <c r="N219" s="1085">
        <v>0</v>
      </c>
      <c r="O219" s="881"/>
      <c r="P219" s="881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</row>
    <row r="220" spans="1:26" ht="19.5">
      <c r="A220" s="1086"/>
      <c r="B220" s="1084"/>
      <c r="C220" s="1092"/>
      <c r="D220" s="996" t="s">
        <v>98</v>
      </c>
      <c r="E220" s="877"/>
      <c r="F220" s="877"/>
      <c r="G220" s="879"/>
      <c r="H220" s="161" t="s">
        <v>12</v>
      </c>
      <c r="I220" s="880"/>
      <c r="J220" s="880"/>
      <c r="K220" s="881"/>
      <c r="L220" s="881">
        <f ca="1">IFERROR(__xludf.DUMMYFUNCTION("IMPORTRANGE(""https://docs.google.com/spreadsheets/d/1QqKyyYR6Q21VydFLVH3TRQUabQu_ym0Zz7PgGX0-kHA/edit?usp=sharing"",""แผน!AR79"")"),0)</f>
        <v>0</v>
      </c>
      <c r="M220" s="881"/>
      <c r="N220" s="1085">
        <v>0</v>
      </c>
      <c r="O220" s="881"/>
      <c r="P220" s="881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</row>
    <row r="221" spans="1:26" ht="19.5">
      <c r="A221" s="1002"/>
      <c r="B221" s="1003"/>
      <c r="C221" s="1092" t="s">
        <v>16</v>
      </c>
      <c r="D221" s="1004" t="s">
        <v>38</v>
      </c>
      <c r="E221" s="1005"/>
      <c r="F221" s="1005"/>
      <c r="G221" s="1006"/>
      <c r="H221" s="1007"/>
      <c r="I221" s="997"/>
      <c r="J221" s="997"/>
      <c r="K221" s="998"/>
      <c r="L221" s="998"/>
      <c r="M221" s="998"/>
      <c r="N221" s="998"/>
      <c r="O221" s="998"/>
      <c r="P221" s="99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8"/>
    </row>
    <row r="222" spans="1:26" ht="18.75">
      <c r="A222" s="1002"/>
      <c r="B222" s="1003"/>
      <c r="C222" s="1003"/>
      <c r="D222" s="996" t="s">
        <v>111</v>
      </c>
      <c r="E222" s="1010"/>
      <c r="F222" s="1010"/>
      <c r="G222" s="1011"/>
      <c r="H222" s="1007"/>
      <c r="I222" s="880"/>
      <c r="J222" s="880"/>
      <c r="K222" s="998"/>
      <c r="L222" s="998"/>
      <c r="M222" s="998"/>
      <c r="N222" s="998"/>
      <c r="O222" s="998"/>
      <c r="P222" s="998"/>
      <c r="Q222" s="868"/>
      <c r="R222" s="868"/>
      <c r="S222" s="868"/>
      <c r="T222" s="868"/>
      <c r="U222" s="868"/>
      <c r="V222" s="868"/>
      <c r="W222" s="868"/>
      <c r="X222" s="868"/>
      <c r="Y222" s="868"/>
      <c r="Z222" s="868"/>
    </row>
    <row r="223" spans="1:26" ht="18.75">
      <c r="A223" s="1002"/>
      <c r="B223" s="1003"/>
      <c r="C223" s="1003"/>
      <c r="D223" s="1003"/>
      <c r="E223" s="1008" t="s">
        <v>112</v>
      </c>
      <c r="F223" s="1010"/>
      <c r="G223" s="1011"/>
      <c r="H223" s="762" t="s">
        <v>109</v>
      </c>
      <c r="I223" s="880">
        <f ca="1">IFERROR(__xludf.DUMMYFUNCTION("IMPORTRANGE(""https://docs.google.com/spreadsheets/d/1QqKyyYR6Q21VydFLVH3TRQUabQu_ym0Zz7PgGX0-kHA/edit?usp=sharing"",""แผน!AT79"")"),10000)</f>
        <v>10000</v>
      </c>
      <c r="J223" s="1012">
        <v>0</v>
      </c>
      <c r="K223" s="998">
        <f t="shared" ref="K223:K226" ca="1" si="103">IF(I223&gt;0,J223*100/I223,0)</f>
        <v>0</v>
      </c>
      <c r="L223" s="998"/>
      <c r="M223" s="998"/>
      <c r="N223" s="998"/>
      <c r="O223" s="998"/>
      <c r="P223" s="998"/>
      <c r="Q223" s="868"/>
      <c r="R223" s="868"/>
      <c r="S223" s="868"/>
      <c r="T223" s="868"/>
      <c r="U223" s="868"/>
      <c r="V223" s="868"/>
      <c r="W223" s="868"/>
      <c r="X223" s="868"/>
      <c r="Y223" s="868"/>
      <c r="Z223" s="868"/>
    </row>
    <row r="224" spans="1:26" ht="18.75">
      <c r="A224" s="1002"/>
      <c r="B224" s="1003"/>
      <c r="C224" s="1003"/>
      <c r="D224" s="1003"/>
      <c r="E224" s="1008" t="s">
        <v>113</v>
      </c>
      <c r="F224" s="1010"/>
      <c r="G224" s="1011"/>
      <c r="H224" s="762" t="s">
        <v>109</v>
      </c>
      <c r="I224" s="880">
        <f ca="1">IFERROR(__xludf.DUMMYFUNCTION("IMPORTRANGE(""https://docs.google.com/spreadsheets/d/1QqKyyYR6Q21VydFLVH3TRQUabQu_ym0Zz7PgGX0-kHA/edit?usp=sharing"",""แผน!AT79"")"),10000)</f>
        <v>10000</v>
      </c>
      <c r="J224" s="1012">
        <v>0</v>
      </c>
      <c r="K224" s="998">
        <f t="shared" ca="1" si="103"/>
        <v>0</v>
      </c>
      <c r="L224" s="881"/>
      <c r="M224" s="881"/>
      <c r="N224" s="881"/>
      <c r="O224" s="881"/>
      <c r="P224" s="881"/>
      <c r="Q224" s="868"/>
      <c r="R224" s="868"/>
      <c r="S224" s="868"/>
      <c r="T224" s="868"/>
      <c r="U224" s="868"/>
      <c r="V224" s="868"/>
      <c r="W224" s="868"/>
      <c r="X224" s="868"/>
      <c r="Y224" s="868"/>
      <c r="Z224" s="868"/>
    </row>
    <row r="225" spans="1:26" ht="18.75">
      <c r="A225" s="1002"/>
      <c r="B225" s="1003"/>
      <c r="C225" s="1003"/>
      <c r="D225" s="996" t="s">
        <v>114</v>
      </c>
      <c r="E225" s="1010"/>
      <c r="F225" s="1010"/>
      <c r="G225" s="1011"/>
      <c r="H225" s="762" t="s">
        <v>35</v>
      </c>
      <c r="I225" s="880">
        <f ca="1">IFERROR(__xludf.DUMMYFUNCTION("IMPORTRANGE(""https://docs.google.com/spreadsheets/d/1QqKyyYR6Q21VydFLVH3TRQUabQu_ym0Zz7PgGX0-kHA/edit?usp=sharing"",""แผน!AS79"")"),0)</f>
        <v>0</v>
      </c>
      <c r="J225" s="1012">
        <v>0</v>
      </c>
      <c r="K225" s="998">
        <f t="shared" ca="1" si="103"/>
        <v>0</v>
      </c>
      <c r="L225" s="881"/>
      <c r="M225" s="881"/>
      <c r="N225" s="881"/>
      <c r="O225" s="881"/>
      <c r="P225" s="881"/>
      <c r="Q225" s="868"/>
      <c r="R225" s="868"/>
      <c r="S225" s="868"/>
      <c r="T225" s="868"/>
      <c r="U225" s="868"/>
      <c r="V225" s="868"/>
      <c r="W225" s="868"/>
      <c r="X225" s="868"/>
      <c r="Y225" s="868"/>
      <c r="Z225" s="868"/>
    </row>
    <row r="226" spans="1:26" ht="19.5" hidden="1">
      <c r="A226" s="1063"/>
      <c r="B226" s="1070"/>
      <c r="C226" s="1093" t="s">
        <v>115</v>
      </c>
      <c r="D226" s="1064"/>
      <c r="E226" s="1064"/>
      <c r="F226" s="1064"/>
      <c r="G226" s="1066"/>
      <c r="H226" s="266" t="s">
        <v>35</v>
      </c>
      <c r="I226" s="1094" t="e">
        <f t="shared" ref="I226:J226" ca="1" si="104">I237+I248</f>
        <v>#VALUE!</v>
      </c>
      <c r="J226" s="1094">
        <f t="shared" si="104"/>
        <v>0</v>
      </c>
      <c r="K226" s="1095" t="e">
        <f t="shared" ca="1" si="103"/>
        <v>#VALUE!</v>
      </c>
      <c r="L226" s="1068"/>
      <c r="M226" s="1068"/>
      <c r="N226" s="1068"/>
      <c r="O226" s="1068"/>
      <c r="P226" s="1068"/>
    </row>
    <row r="227" spans="1:26" ht="19.5" hidden="1">
      <c r="A227" s="1096"/>
      <c r="B227" s="1097"/>
      <c r="C227" s="1098" t="s">
        <v>16</v>
      </c>
      <c r="D227" s="1099" t="s">
        <v>17</v>
      </c>
      <c r="E227" s="1097"/>
      <c r="F227" s="1097"/>
      <c r="G227" s="1100"/>
      <c r="H227" s="353" t="s">
        <v>12</v>
      </c>
      <c r="I227" s="1101"/>
      <c r="J227" s="1101"/>
      <c r="K227" s="1102"/>
      <c r="L227" s="1103">
        <f t="shared" ref="L227:L231" ca="1" si="105">L238+L249</f>
        <v>0</v>
      </c>
      <c r="M227" s="1103"/>
      <c r="N227" s="1103">
        <f t="shared" ref="N227:N231" si="106">N238+N249</f>
        <v>0</v>
      </c>
      <c r="O227" s="1104"/>
      <c r="P227" s="1104"/>
      <c r="Q227" s="875"/>
      <c r="R227" s="875"/>
      <c r="S227" s="875"/>
      <c r="T227" s="875"/>
      <c r="U227" s="875"/>
      <c r="V227" s="875"/>
      <c r="W227" s="875"/>
      <c r="X227" s="875"/>
      <c r="Y227" s="875"/>
      <c r="Z227" s="875"/>
    </row>
    <row r="228" spans="1:26" ht="18.75" hidden="1">
      <c r="A228" s="993"/>
      <c r="B228" s="1105"/>
      <c r="C228" s="883"/>
      <c r="D228" s="884" t="s">
        <v>97</v>
      </c>
      <c r="E228" s="883"/>
      <c r="F228" s="883"/>
      <c r="G228" s="885"/>
      <c r="H228" s="165" t="s">
        <v>12</v>
      </c>
      <c r="I228" s="1000"/>
      <c r="J228" s="1000"/>
      <c r="K228" s="1001"/>
      <c r="L228" s="887">
        <f t="shared" ca="1" si="105"/>
        <v>0</v>
      </c>
      <c r="M228" s="887"/>
      <c r="N228" s="887">
        <f t="shared" si="106"/>
        <v>0</v>
      </c>
      <c r="O228" s="887"/>
      <c r="P228" s="887"/>
      <c r="Q228" s="875"/>
      <c r="R228" s="875"/>
      <c r="S228" s="875"/>
      <c r="T228" s="875"/>
      <c r="U228" s="875"/>
      <c r="V228" s="875"/>
      <c r="W228" s="875"/>
      <c r="X228" s="875"/>
      <c r="Y228" s="875"/>
      <c r="Z228" s="875"/>
    </row>
    <row r="229" spans="1:26" ht="19.5" hidden="1">
      <c r="A229" s="1106"/>
      <c r="B229" s="1105"/>
      <c r="C229" s="1107"/>
      <c r="D229" s="884" t="s">
        <v>98</v>
      </c>
      <c r="E229" s="883"/>
      <c r="F229" s="883"/>
      <c r="G229" s="885"/>
      <c r="H229" s="165" t="s">
        <v>12</v>
      </c>
      <c r="I229" s="886"/>
      <c r="J229" s="886"/>
      <c r="K229" s="887"/>
      <c r="L229" s="887">
        <f t="shared" ca="1" si="105"/>
        <v>0</v>
      </c>
      <c r="M229" s="887"/>
      <c r="N229" s="887">
        <f t="shared" si="106"/>
        <v>0</v>
      </c>
      <c r="O229" s="887"/>
      <c r="P229" s="887"/>
      <c r="Q229" s="1108"/>
      <c r="R229" s="1108"/>
      <c r="S229" s="1108"/>
      <c r="T229" s="1108"/>
      <c r="U229" s="1108"/>
      <c r="V229" s="1108"/>
      <c r="W229" s="1108"/>
      <c r="X229" s="1108"/>
      <c r="Y229" s="1108"/>
      <c r="Z229" s="1108"/>
    </row>
    <row r="230" spans="1:26" ht="19.5" hidden="1">
      <c r="A230" s="1106"/>
      <c r="B230" s="1105"/>
      <c r="C230" s="1107"/>
      <c r="D230" s="884" t="s">
        <v>116</v>
      </c>
      <c r="E230" s="883"/>
      <c r="F230" s="883"/>
      <c r="G230" s="885"/>
      <c r="H230" s="165" t="s">
        <v>12</v>
      </c>
      <c r="I230" s="886"/>
      <c r="J230" s="886"/>
      <c r="K230" s="887"/>
      <c r="L230" s="887">
        <f t="shared" ca="1" si="105"/>
        <v>0</v>
      </c>
      <c r="M230" s="887"/>
      <c r="N230" s="887">
        <f t="shared" si="106"/>
        <v>0</v>
      </c>
      <c r="O230" s="887"/>
      <c r="P230" s="887"/>
      <c r="Q230" s="1108"/>
      <c r="R230" s="1108"/>
      <c r="S230" s="1108"/>
      <c r="T230" s="1108"/>
      <c r="U230" s="1108"/>
      <c r="V230" s="1108"/>
      <c r="W230" s="1108"/>
      <c r="X230" s="1108"/>
      <c r="Y230" s="1108"/>
      <c r="Z230" s="1108"/>
    </row>
    <row r="231" spans="1:26" ht="19.5" hidden="1">
      <c r="A231" s="1106"/>
      <c r="B231" s="1105"/>
      <c r="C231" s="1107"/>
      <c r="D231" s="884" t="s">
        <v>100</v>
      </c>
      <c r="E231" s="883"/>
      <c r="F231" s="883"/>
      <c r="G231" s="885"/>
      <c r="H231" s="165" t="s">
        <v>12</v>
      </c>
      <c r="I231" s="886"/>
      <c r="J231" s="886"/>
      <c r="K231" s="887"/>
      <c r="L231" s="887">
        <f t="shared" ca="1" si="105"/>
        <v>0</v>
      </c>
      <c r="M231" s="887"/>
      <c r="N231" s="887">
        <f t="shared" si="106"/>
        <v>0</v>
      </c>
      <c r="O231" s="887"/>
      <c r="P231" s="887"/>
      <c r="Q231" s="1108"/>
      <c r="R231" s="1108"/>
      <c r="S231" s="1108"/>
      <c r="T231" s="1108"/>
      <c r="U231" s="1108"/>
      <c r="V231" s="1108"/>
      <c r="W231" s="1108"/>
      <c r="X231" s="1108"/>
      <c r="Y231" s="1108"/>
      <c r="Z231" s="1108"/>
    </row>
    <row r="232" spans="1:26" ht="19.5" hidden="1">
      <c r="A232" s="1109"/>
      <c r="B232" s="1110"/>
      <c r="C232" s="1107" t="s">
        <v>16</v>
      </c>
      <c r="D232" s="1072" t="s">
        <v>38</v>
      </c>
      <c r="E232" s="1111"/>
      <c r="F232" s="1111"/>
      <c r="G232" s="1112"/>
      <c r="H232" s="1113"/>
      <c r="I232" s="1000"/>
      <c r="J232" s="886"/>
      <c r="K232" s="887"/>
      <c r="L232" s="887"/>
      <c r="M232" s="887"/>
      <c r="N232" s="887"/>
      <c r="O232" s="1001"/>
      <c r="P232" s="1001"/>
      <c r="Q232" s="875"/>
      <c r="R232" s="875"/>
      <c r="S232" s="875"/>
      <c r="T232" s="875"/>
      <c r="U232" s="875"/>
      <c r="V232" s="875"/>
      <c r="W232" s="875"/>
      <c r="X232" s="875"/>
      <c r="Y232" s="875"/>
      <c r="Z232" s="875"/>
    </row>
    <row r="233" spans="1:26" ht="18.75" hidden="1">
      <c r="A233" s="1109"/>
      <c r="B233" s="1110"/>
      <c r="C233" s="1110"/>
      <c r="D233" s="1074" t="s">
        <v>117</v>
      </c>
      <c r="E233" s="1114"/>
      <c r="F233" s="1114"/>
      <c r="G233" s="1115"/>
      <c r="H233" s="370" t="s">
        <v>35</v>
      </c>
      <c r="I233" s="886" t="e">
        <f t="shared" ref="I233:J233" ca="1" si="107">I244+I255</f>
        <v>#VALUE!</v>
      </c>
      <c r="J233" s="886">
        <f t="shared" si="107"/>
        <v>0</v>
      </c>
      <c r="K233" s="887" t="e">
        <f ca="1">IF(I233&gt;0,J233*100/I233,0)</f>
        <v>#VALUE!</v>
      </c>
      <c r="L233" s="887"/>
      <c r="M233" s="887"/>
      <c r="N233" s="887"/>
      <c r="O233" s="887"/>
      <c r="P233" s="887"/>
      <c r="Q233" s="875"/>
      <c r="R233" s="875"/>
      <c r="S233" s="875"/>
      <c r="T233" s="875"/>
      <c r="U233" s="875"/>
      <c r="V233" s="875"/>
      <c r="W233" s="875"/>
      <c r="X233" s="875"/>
      <c r="Y233" s="875"/>
      <c r="Z233" s="875"/>
    </row>
    <row r="234" spans="1:26" ht="18.75" hidden="1">
      <c r="A234" s="1109"/>
      <c r="B234" s="1110"/>
      <c r="C234" s="1110"/>
      <c r="D234" s="1116" t="s">
        <v>43</v>
      </c>
      <c r="E234" s="1114"/>
      <c r="F234" s="1114"/>
      <c r="G234" s="1115"/>
      <c r="H234" s="370"/>
      <c r="I234" s="886"/>
      <c r="J234" s="886"/>
      <c r="K234" s="887"/>
      <c r="L234" s="887"/>
      <c r="M234" s="887"/>
      <c r="N234" s="887"/>
      <c r="O234" s="1001"/>
      <c r="P234" s="1001"/>
      <c r="Q234" s="875"/>
      <c r="R234" s="875"/>
      <c r="S234" s="875"/>
      <c r="T234" s="875"/>
      <c r="U234" s="875"/>
      <c r="V234" s="875"/>
      <c r="W234" s="875"/>
      <c r="X234" s="875"/>
      <c r="Y234" s="875"/>
      <c r="Z234" s="875"/>
    </row>
    <row r="235" spans="1:26" ht="18.75" hidden="1">
      <c r="A235" s="1109"/>
      <c r="B235" s="1110"/>
      <c r="C235" s="1110"/>
      <c r="D235" s="1110"/>
      <c r="E235" s="1073" t="s">
        <v>118</v>
      </c>
      <c r="F235" s="1114"/>
      <c r="G235" s="1115"/>
      <c r="H235" s="370" t="s">
        <v>35</v>
      </c>
      <c r="I235" s="886">
        <f t="shared" ref="I235:J236" si="108">I246+I257</f>
        <v>0</v>
      </c>
      <c r="J235" s="886">
        <f t="shared" si="108"/>
        <v>0</v>
      </c>
      <c r="K235" s="887">
        <f t="shared" ref="K235:K237" si="109">IF(I235&gt;0,J235*100/I235,0)</f>
        <v>0</v>
      </c>
      <c r="L235" s="887"/>
      <c r="M235" s="887"/>
      <c r="N235" s="887"/>
      <c r="O235" s="887"/>
      <c r="P235" s="887"/>
      <c r="Q235" s="875"/>
      <c r="R235" s="875"/>
      <c r="S235" s="875"/>
      <c r="T235" s="875"/>
      <c r="U235" s="875"/>
      <c r="V235" s="875"/>
      <c r="W235" s="875"/>
      <c r="X235" s="875"/>
      <c r="Y235" s="875"/>
      <c r="Z235" s="875"/>
    </row>
    <row r="236" spans="1:26" ht="18.75" hidden="1">
      <c r="A236" s="1109"/>
      <c r="B236" s="1110"/>
      <c r="C236" s="1110"/>
      <c r="D236" s="1110"/>
      <c r="E236" s="1073" t="s">
        <v>119</v>
      </c>
      <c r="F236" s="1114"/>
      <c r="G236" s="1115"/>
      <c r="H236" s="370" t="s">
        <v>66</v>
      </c>
      <c r="I236" s="886">
        <f t="shared" si="108"/>
        <v>0</v>
      </c>
      <c r="J236" s="886">
        <f t="shared" si="108"/>
        <v>0</v>
      </c>
      <c r="K236" s="887">
        <f t="shared" si="109"/>
        <v>0</v>
      </c>
      <c r="L236" s="887"/>
      <c r="M236" s="887"/>
      <c r="N236" s="887"/>
      <c r="O236" s="887"/>
      <c r="P236" s="887"/>
      <c r="Q236" s="875"/>
      <c r="R236" s="875"/>
      <c r="S236" s="875"/>
      <c r="T236" s="875"/>
      <c r="U236" s="875"/>
      <c r="V236" s="875"/>
      <c r="W236" s="875"/>
      <c r="X236" s="875"/>
      <c r="Y236" s="875"/>
      <c r="Z236" s="875"/>
    </row>
    <row r="237" spans="1:26" ht="19.5" hidden="1">
      <c r="A237" s="1495"/>
      <c r="B237" s="1496"/>
      <c r="C237" s="1497" t="s">
        <v>332</v>
      </c>
      <c r="D237" s="1498"/>
      <c r="E237" s="1498"/>
      <c r="F237" s="1498"/>
      <c r="G237" s="1499"/>
      <c r="H237" s="298" t="s">
        <v>35</v>
      </c>
      <c r="I237" s="1500">
        <f t="shared" ref="I237:J237" ca="1" si="110">I244</f>
        <v>0</v>
      </c>
      <c r="J237" s="1500">
        <f t="shared" si="110"/>
        <v>0</v>
      </c>
      <c r="K237" s="1501">
        <f t="shared" ca="1" si="109"/>
        <v>0</v>
      </c>
      <c r="L237" s="1502"/>
      <c r="M237" s="1502"/>
      <c r="N237" s="1502"/>
      <c r="O237" s="1502"/>
      <c r="P237" s="1502"/>
      <c r="Q237" s="302"/>
      <c r="R237" s="302"/>
      <c r="S237" s="302"/>
      <c r="T237" s="302"/>
      <c r="U237" s="302"/>
      <c r="V237" s="302"/>
      <c r="W237" s="302"/>
      <c r="X237" s="302"/>
      <c r="Y237" s="302"/>
      <c r="Z237" s="302"/>
    </row>
    <row r="238" spans="1:26" ht="19.5" hidden="1">
      <c r="A238" s="1503"/>
      <c r="B238" s="1504"/>
      <c r="C238" s="1505" t="s">
        <v>16</v>
      </c>
      <c r="D238" s="1506" t="s">
        <v>17</v>
      </c>
      <c r="E238" s="1504"/>
      <c r="F238" s="1504"/>
      <c r="G238" s="1507"/>
      <c r="H238" s="308" t="s">
        <v>12</v>
      </c>
      <c r="I238" s="1508"/>
      <c r="J238" s="1508"/>
      <c r="K238" s="1509"/>
      <c r="L238" s="1510">
        <f ca="1">L239+L240+L241+L242</f>
        <v>0</v>
      </c>
      <c r="M238" s="1510"/>
      <c r="N238" s="1510">
        <f>N239+N240+N241+N242</f>
        <v>0</v>
      </c>
      <c r="O238" s="1510">
        <f ca="1">IF(L238&gt;0,N238*100/L238,0)</f>
        <v>0</v>
      </c>
      <c r="P238" s="1510">
        <f>IF(M238&gt;0,N238*100/M238,0)</f>
        <v>0</v>
      </c>
      <c r="Q238" s="1126"/>
      <c r="R238" s="1126"/>
      <c r="S238" s="1126"/>
      <c r="T238" s="1126"/>
      <c r="U238" s="1126"/>
      <c r="V238" s="1126"/>
      <c r="W238" s="1126"/>
      <c r="X238" s="1126"/>
      <c r="Y238" s="1126"/>
      <c r="Z238" s="1126"/>
    </row>
    <row r="239" spans="1:26" ht="18.75" hidden="1">
      <c r="A239" s="1117"/>
      <c r="B239" s="1118"/>
      <c r="C239" s="1119"/>
      <c r="D239" s="1120" t="s">
        <v>97</v>
      </c>
      <c r="E239" s="1119"/>
      <c r="F239" s="1119"/>
      <c r="G239" s="1121"/>
      <c r="H239" s="319" t="s">
        <v>12</v>
      </c>
      <c r="I239" s="1122"/>
      <c r="J239" s="1122"/>
      <c r="K239" s="1123"/>
      <c r="L239" s="1124">
        <f ca="1">IFERROR(__xludf.DUMMYFUNCTION("IMPORTRANGE(""https://docs.google.com/spreadsheets/d/1QqKyyYR6Q21VydFLVH3TRQUabQu_ym0Zz7PgGX0-kHA/edit?usp=sharing"",""แผน!AV79"")"),0)</f>
        <v>0</v>
      </c>
      <c r="M239" s="1124"/>
      <c r="N239" s="1125">
        <v>0</v>
      </c>
      <c r="O239" s="1124"/>
      <c r="P239" s="1124"/>
      <c r="Q239" s="1126"/>
      <c r="R239" s="1126"/>
      <c r="S239" s="1126"/>
      <c r="T239" s="1126"/>
      <c r="U239" s="1126"/>
      <c r="V239" s="1126"/>
      <c r="W239" s="1126"/>
      <c r="X239" s="1126"/>
      <c r="Y239" s="1126"/>
      <c r="Z239" s="1126"/>
    </row>
    <row r="240" spans="1:26" ht="19.5" hidden="1">
      <c r="A240" s="1127"/>
      <c r="B240" s="1118"/>
      <c r="C240" s="1128"/>
      <c r="D240" s="1120" t="s">
        <v>98</v>
      </c>
      <c r="E240" s="1119"/>
      <c r="F240" s="1119"/>
      <c r="G240" s="1121"/>
      <c r="H240" s="319" t="s">
        <v>12</v>
      </c>
      <c r="I240" s="1129"/>
      <c r="J240" s="1129"/>
      <c r="K240" s="1124"/>
      <c r="L240" s="1124">
        <f ca="1">IFERROR(__xludf.DUMMYFUNCTION("IMPORTRANGE(""https://docs.google.com/spreadsheets/d/1QqKyyYR6Q21VydFLVH3TRQUabQu_ym0Zz7PgGX0-kHA/edit?usp=sharing"",""แผน!AW79"")"),0)</f>
        <v>0</v>
      </c>
      <c r="M240" s="1124"/>
      <c r="N240" s="1125">
        <v>0</v>
      </c>
      <c r="O240" s="1124"/>
      <c r="P240" s="1124"/>
      <c r="Q240" s="1130"/>
      <c r="R240" s="1130"/>
      <c r="S240" s="1130"/>
      <c r="T240" s="1130"/>
      <c r="U240" s="1130"/>
      <c r="V240" s="1130"/>
      <c r="W240" s="1130"/>
      <c r="X240" s="1130"/>
      <c r="Y240" s="1130"/>
      <c r="Z240" s="1130"/>
    </row>
    <row r="241" spans="1:26" ht="19.5" hidden="1">
      <c r="A241" s="1127"/>
      <c r="B241" s="1118"/>
      <c r="C241" s="1128"/>
      <c r="D241" s="1120" t="s">
        <v>116</v>
      </c>
      <c r="E241" s="1119"/>
      <c r="F241" s="1119"/>
      <c r="G241" s="1121"/>
      <c r="H241" s="319" t="s">
        <v>12</v>
      </c>
      <c r="I241" s="1129"/>
      <c r="J241" s="1129"/>
      <c r="K241" s="1124"/>
      <c r="L241" s="1124">
        <f ca="1">IFERROR(__xludf.DUMMYFUNCTION("IMPORTRANGE(""https://docs.google.com/spreadsheets/d/1QqKyyYR6Q21VydFLVH3TRQUabQu_ym0Zz7PgGX0-kHA/edit?usp=sharing"",""แผน!AX79"")"),0)</f>
        <v>0</v>
      </c>
      <c r="M241" s="1124"/>
      <c r="N241" s="1125">
        <v>0</v>
      </c>
      <c r="O241" s="1124"/>
      <c r="P241" s="1124"/>
      <c r="Q241" s="1130"/>
      <c r="R241" s="1130"/>
      <c r="S241" s="1130"/>
      <c r="T241" s="1130"/>
      <c r="U241" s="1130"/>
      <c r="V241" s="1130"/>
      <c r="W241" s="1130"/>
      <c r="X241" s="1130"/>
      <c r="Y241" s="1130"/>
      <c r="Z241" s="1130"/>
    </row>
    <row r="242" spans="1:26" ht="19.5" hidden="1">
      <c r="A242" s="1127"/>
      <c r="B242" s="1118"/>
      <c r="C242" s="1128"/>
      <c r="D242" s="1120" t="s">
        <v>100</v>
      </c>
      <c r="E242" s="1119"/>
      <c r="F242" s="1119"/>
      <c r="G242" s="1121"/>
      <c r="H242" s="319" t="s">
        <v>12</v>
      </c>
      <c r="I242" s="1129"/>
      <c r="J242" s="1129"/>
      <c r="K242" s="1124"/>
      <c r="L242" s="1124">
        <f ca="1">IFERROR(__xludf.DUMMYFUNCTION("IMPORTRANGE(""https://docs.google.com/spreadsheets/d/1QqKyyYR6Q21VydFLVH3TRQUabQu_ym0Zz7PgGX0-kHA/edit?usp=sharing"",""แผน!AY79"")"),0)</f>
        <v>0</v>
      </c>
      <c r="M242" s="1124"/>
      <c r="N242" s="1125">
        <v>0</v>
      </c>
      <c r="O242" s="1124"/>
      <c r="P242" s="1124"/>
      <c r="Q242" s="1130"/>
      <c r="R242" s="1130"/>
      <c r="S242" s="1130"/>
      <c r="T242" s="1130"/>
      <c r="U242" s="1130"/>
      <c r="V242" s="1130"/>
      <c r="W242" s="1130"/>
      <c r="X242" s="1130"/>
      <c r="Y242" s="1130"/>
      <c r="Z242" s="1130"/>
    </row>
    <row r="243" spans="1:26" ht="19.5" hidden="1">
      <c r="A243" s="1511"/>
      <c r="B243" s="1512"/>
      <c r="C243" s="1128" t="s">
        <v>16</v>
      </c>
      <c r="D243" s="1513" t="s">
        <v>38</v>
      </c>
      <c r="E243" s="1514"/>
      <c r="F243" s="1514"/>
      <c r="G243" s="1515"/>
      <c r="H243" s="1516"/>
      <c r="I243" s="1122"/>
      <c r="J243" s="1129"/>
      <c r="K243" s="1124"/>
      <c r="L243" s="1124"/>
      <c r="M243" s="1124"/>
      <c r="N243" s="1124"/>
      <c r="O243" s="1123"/>
      <c r="P243" s="1123"/>
      <c r="Q243" s="1126"/>
      <c r="R243" s="1126"/>
      <c r="S243" s="1126"/>
      <c r="T243" s="1126"/>
      <c r="U243" s="1126"/>
      <c r="V243" s="1126"/>
      <c r="W243" s="1126"/>
      <c r="X243" s="1126"/>
      <c r="Y243" s="1126"/>
      <c r="Z243" s="1126"/>
    </row>
    <row r="244" spans="1:26" ht="18.75" hidden="1">
      <c r="A244" s="1511"/>
      <c r="B244" s="1512"/>
      <c r="C244" s="1512"/>
      <c r="D244" s="1517" t="s">
        <v>117</v>
      </c>
      <c r="E244" s="1518"/>
      <c r="F244" s="1518"/>
      <c r="G244" s="1519"/>
      <c r="H244" s="337" t="s">
        <v>35</v>
      </c>
      <c r="I244" s="1129">
        <f ca="1">IFERROR(__xludf.DUMMYFUNCTION("IMPORTRANGE(""https://docs.google.com/spreadsheets/d/1QqKyyYR6Q21VydFLVH3TRQUabQu_ym0Zz7PgGX0-kHA/edit?usp=sharing"",""แผน!BE79"")"),0)</f>
        <v>0</v>
      </c>
      <c r="J244" s="1520">
        <v>0</v>
      </c>
      <c r="K244" s="1124">
        <f ca="1">IF(I244&gt;0,J244*100/I244,0)</f>
        <v>0</v>
      </c>
      <c r="L244" s="1124"/>
      <c r="M244" s="1124"/>
      <c r="N244" s="1124"/>
      <c r="O244" s="1124"/>
      <c r="P244" s="1124"/>
      <c r="Q244" s="1126"/>
      <c r="R244" s="1126"/>
      <c r="S244" s="1126"/>
      <c r="T244" s="1126"/>
      <c r="U244" s="1126"/>
      <c r="V244" s="1126"/>
      <c r="W244" s="1126"/>
      <c r="X244" s="1126"/>
      <c r="Y244" s="1126"/>
      <c r="Z244" s="1126"/>
    </row>
    <row r="245" spans="1:26" ht="18.75" hidden="1">
      <c r="A245" s="1511"/>
      <c r="B245" s="1512"/>
      <c r="C245" s="1512"/>
      <c r="D245" s="1521" t="s">
        <v>43</v>
      </c>
      <c r="E245" s="1518"/>
      <c r="F245" s="1518"/>
      <c r="G245" s="1519"/>
      <c r="H245" s="337"/>
      <c r="I245" s="1129"/>
      <c r="J245" s="1129"/>
      <c r="K245" s="1124"/>
      <c r="L245" s="1124"/>
      <c r="M245" s="1124"/>
      <c r="N245" s="1124"/>
      <c r="O245" s="1123"/>
      <c r="P245" s="1123"/>
      <c r="Q245" s="1126"/>
      <c r="R245" s="1126"/>
      <c r="S245" s="1126"/>
      <c r="T245" s="1126"/>
      <c r="U245" s="1126"/>
      <c r="V245" s="1126"/>
      <c r="W245" s="1126"/>
      <c r="X245" s="1126"/>
      <c r="Y245" s="1126"/>
      <c r="Z245" s="1126"/>
    </row>
    <row r="246" spans="1:26" ht="18.75" hidden="1">
      <c r="A246" s="1511"/>
      <c r="B246" s="1512"/>
      <c r="C246" s="1512"/>
      <c r="D246" s="1512"/>
      <c r="E246" s="1522" t="s">
        <v>118</v>
      </c>
      <c r="F246" s="1518"/>
      <c r="G246" s="1519"/>
      <c r="H246" s="337" t="s">
        <v>35</v>
      </c>
      <c r="I246" s="1129"/>
      <c r="J246" s="1520">
        <v>0</v>
      </c>
      <c r="K246" s="1124">
        <f t="shared" ref="K246:K248" si="111">IF(I246&gt;0,J246*100/I246,0)</f>
        <v>0</v>
      </c>
      <c r="L246" s="1124"/>
      <c r="M246" s="1124"/>
      <c r="N246" s="1124"/>
      <c r="O246" s="1124"/>
      <c r="P246" s="1124"/>
      <c r="Q246" s="1126"/>
      <c r="R246" s="1126"/>
      <c r="S246" s="1126"/>
      <c r="T246" s="1126"/>
      <c r="U246" s="1126"/>
      <c r="V246" s="1126"/>
      <c r="W246" s="1126"/>
      <c r="X246" s="1126"/>
      <c r="Y246" s="1126"/>
      <c r="Z246" s="1126"/>
    </row>
    <row r="247" spans="1:26" ht="18.75" hidden="1">
      <c r="A247" s="1511"/>
      <c r="B247" s="1512"/>
      <c r="C247" s="1512"/>
      <c r="D247" s="1512"/>
      <c r="E247" s="1522" t="s">
        <v>119</v>
      </c>
      <c r="F247" s="1518"/>
      <c r="G247" s="1519"/>
      <c r="H247" s="337" t="s">
        <v>66</v>
      </c>
      <c r="I247" s="1129"/>
      <c r="J247" s="1520">
        <v>0</v>
      </c>
      <c r="K247" s="1124">
        <f t="shared" si="111"/>
        <v>0</v>
      </c>
      <c r="L247" s="1124"/>
      <c r="M247" s="1124"/>
      <c r="N247" s="1124"/>
      <c r="O247" s="1124"/>
      <c r="P247" s="1124"/>
      <c r="Q247" s="1126"/>
      <c r="R247" s="1126"/>
      <c r="S247" s="1126"/>
      <c r="T247" s="1126"/>
      <c r="U247" s="1126"/>
      <c r="V247" s="1126"/>
      <c r="W247" s="1126"/>
      <c r="X247" s="1126"/>
      <c r="Y247" s="1126"/>
      <c r="Z247" s="1126"/>
    </row>
    <row r="248" spans="1:26" ht="19.5" hidden="1">
      <c r="A248" s="1495"/>
      <c r="B248" s="1496"/>
      <c r="C248" s="1497" t="s">
        <v>333</v>
      </c>
      <c r="D248" s="1498"/>
      <c r="E248" s="1498"/>
      <c r="F248" s="1498"/>
      <c r="G248" s="1499"/>
      <c r="H248" s="298" t="s">
        <v>35</v>
      </c>
      <c r="I248" s="1500" t="str">
        <f t="shared" ref="I248:J248" ca="1" si="112">I255</f>
        <v/>
      </c>
      <c r="J248" s="1500">
        <f t="shared" si="112"/>
        <v>0</v>
      </c>
      <c r="K248" s="1501" t="e">
        <f t="shared" ca="1" si="111"/>
        <v>#VALUE!</v>
      </c>
      <c r="L248" s="1502"/>
      <c r="M248" s="1502"/>
      <c r="N248" s="1502"/>
      <c r="O248" s="1502"/>
      <c r="P248" s="1502"/>
      <c r="Q248" s="302"/>
      <c r="R248" s="302"/>
      <c r="S248" s="302"/>
      <c r="T248" s="302"/>
      <c r="U248" s="302"/>
      <c r="V248" s="302"/>
      <c r="W248" s="302"/>
      <c r="X248" s="302"/>
      <c r="Y248" s="302"/>
      <c r="Z248" s="302"/>
    </row>
    <row r="249" spans="1:26" ht="19.5" hidden="1">
      <c r="A249" s="1503"/>
      <c r="B249" s="1504"/>
      <c r="C249" s="1505" t="s">
        <v>16</v>
      </c>
      <c r="D249" s="1523" t="s">
        <v>17</v>
      </c>
      <c r="E249" s="1504"/>
      <c r="F249" s="1504"/>
      <c r="G249" s="1507"/>
      <c r="H249" s="308" t="s">
        <v>12</v>
      </c>
      <c r="I249" s="1508"/>
      <c r="J249" s="1508"/>
      <c r="K249" s="1509"/>
      <c r="L249" s="1510">
        <f ca="1">L250+L251+L252+L253</f>
        <v>0</v>
      </c>
      <c r="M249" s="1510"/>
      <c r="N249" s="1510">
        <f>N250+N251+N252+N253</f>
        <v>0</v>
      </c>
      <c r="O249" s="1510">
        <f ca="1">IF(L249&gt;0,N249*100/L249,0)</f>
        <v>0</v>
      </c>
      <c r="P249" s="1510">
        <f>IF(M249&gt;0,N249*100/M249,0)</f>
        <v>0</v>
      </c>
      <c r="Q249" s="1126"/>
      <c r="R249" s="1126"/>
      <c r="S249" s="1126"/>
      <c r="T249" s="1126"/>
      <c r="U249" s="1126"/>
      <c r="V249" s="1126"/>
      <c r="W249" s="1126"/>
      <c r="X249" s="1126"/>
      <c r="Y249" s="1126"/>
      <c r="Z249" s="1126"/>
    </row>
    <row r="250" spans="1:26" ht="18.75" hidden="1">
      <c r="A250" s="1117"/>
      <c r="B250" s="1118"/>
      <c r="C250" s="1119"/>
      <c r="D250" s="1120" t="s">
        <v>97</v>
      </c>
      <c r="E250" s="1119"/>
      <c r="F250" s="1119"/>
      <c r="G250" s="1121"/>
      <c r="H250" s="319" t="s">
        <v>12</v>
      </c>
      <c r="I250" s="1122"/>
      <c r="J250" s="1122"/>
      <c r="K250" s="1123"/>
      <c r="L250" s="1124">
        <f ca="1">IFERROR(__xludf.DUMMYFUNCTION("IMPORTRANGE(""https://docs.google.com/spreadsheets/d/1QqKyyYR6Q21VydFLVH3TRQUabQu_ym0Zz7PgGX0-kHA/edit?usp=sharing"",""แผน!AZ79"")"),0)</f>
        <v>0</v>
      </c>
      <c r="M250" s="1124"/>
      <c r="N250" s="1125">
        <v>0</v>
      </c>
      <c r="O250" s="1124"/>
      <c r="P250" s="1124"/>
      <c r="Q250" s="1126"/>
      <c r="R250" s="1126"/>
      <c r="S250" s="1126"/>
      <c r="T250" s="1126"/>
      <c r="U250" s="1126"/>
      <c r="V250" s="1126"/>
      <c r="W250" s="1126"/>
      <c r="X250" s="1126"/>
      <c r="Y250" s="1126"/>
      <c r="Z250" s="1126"/>
    </row>
    <row r="251" spans="1:26" ht="19.5" hidden="1">
      <c r="A251" s="1127"/>
      <c r="B251" s="1118"/>
      <c r="C251" s="1128"/>
      <c r="D251" s="1120" t="s">
        <v>98</v>
      </c>
      <c r="E251" s="1119"/>
      <c r="F251" s="1119"/>
      <c r="G251" s="1121"/>
      <c r="H251" s="319" t="s">
        <v>12</v>
      </c>
      <c r="I251" s="1129"/>
      <c r="J251" s="1129"/>
      <c r="K251" s="1124"/>
      <c r="L251" s="1124">
        <f ca="1">IFERROR(__xludf.DUMMYFUNCTION("IMPORTRANGE(""https://docs.google.com/spreadsheets/d/1QqKyyYR6Q21VydFLVH3TRQUabQu_ym0Zz7PgGX0-kHA/edit?usp=sharing"",""แผน!BA79"")"),0)</f>
        <v>0</v>
      </c>
      <c r="M251" s="1124"/>
      <c r="N251" s="1125">
        <v>0</v>
      </c>
      <c r="O251" s="1124"/>
      <c r="P251" s="1124"/>
      <c r="Q251" s="1130"/>
      <c r="R251" s="1130"/>
      <c r="S251" s="1130"/>
      <c r="T251" s="1130"/>
      <c r="U251" s="1130"/>
      <c r="V251" s="1130"/>
      <c r="W251" s="1130"/>
      <c r="X251" s="1130"/>
      <c r="Y251" s="1130"/>
      <c r="Z251" s="1130"/>
    </row>
    <row r="252" spans="1:26" ht="19.5" hidden="1">
      <c r="A252" s="1127"/>
      <c r="B252" s="1118"/>
      <c r="C252" s="1128"/>
      <c r="D252" s="1120" t="s">
        <v>116</v>
      </c>
      <c r="E252" s="1119"/>
      <c r="F252" s="1119"/>
      <c r="G252" s="1121"/>
      <c r="H252" s="319" t="s">
        <v>12</v>
      </c>
      <c r="I252" s="1129"/>
      <c r="J252" s="1129"/>
      <c r="K252" s="1124"/>
      <c r="L252" s="1124">
        <f ca="1">IFERROR(__xludf.DUMMYFUNCTION("IMPORTRANGE(""https://docs.google.com/spreadsheets/d/1QqKyyYR6Q21VydFLVH3TRQUabQu_ym0Zz7PgGX0-kHA/edit?usp=sharing"",""แผน!BB79"")"),0)</f>
        <v>0</v>
      </c>
      <c r="M252" s="1124"/>
      <c r="N252" s="1125">
        <v>0</v>
      </c>
      <c r="O252" s="1124"/>
      <c r="P252" s="1124"/>
      <c r="Q252" s="1130"/>
      <c r="R252" s="1130"/>
      <c r="S252" s="1130"/>
      <c r="T252" s="1130"/>
      <c r="U252" s="1130"/>
      <c r="V252" s="1130"/>
      <c r="W252" s="1130"/>
      <c r="X252" s="1130"/>
      <c r="Y252" s="1130"/>
      <c r="Z252" s="1130"/>
    </row>
    <row r="253" spans="1:26" ht="19.5" hidden="1">
      <c r="A253" s="1127"/>
      <c r="B253" s="1118"/>
      <c r="C253" s="1128"/>
      <c r="D253" s="1120" t="s">
        <v>100</v>
      </c>
      <c r="E253" s="1119"/>
      <c r="F253" s="1119"/>
      <c r="G253" s="1121"/>
      <c r="H253" s="319" t="s">
        <v>12</v>
      </c>
      <c r="I253" s="1129"/>
      <c r="J253" s="1129"/>
      <c r="K253" s="1124"/>
      <c r="L253" s="1124">
        <f ca="1">IFERROR(__xludf.DUMMYFUNCTION("IMPORTRANGE(""https://docs.google.com/spreadsheets/d/1QqKyyYR6Q21VydFLVH3TRQUabQu_ym0Zz7PgGX0-kHA/edit?usp=sharing"",""แผน!BC79"")"),0)</f>
        <v>0</v>
      </c>
      <c r="M253" s="1124"/>
      <c r="N253" s="1125">
        <v>0</v>
      </c>
      <c r="O253" s="1124"/>
      <c r="P253" s="1124"/>
      <c r="Q253" s="1130"/>
      <c r="R253" s="1130"/>
      <c r="S253" s="1130"/>
      <c r="T253" s="1130"/>
      <c r="U253" s="1130"/>
      <c r="V253" s="1130"/>
      <c r="W253" s="1130"/>
      <c r="X253" s="1130"/>
      <c r="Y253" s="1130"/>
      <c r="Z253" s="1130"/>
    </row>
    <row r="254" spans="1:26" ht="19.5" hidden="1">
      <c r="A254" s="1511"/>
      <c r="B254" s="1512"/>
      <c r="C254" s="1128" t="s">
        <v>16</v>
      </c>
      <c r="D254" s="1513" t="s">
        <v>38</v>
      </c>
      <c r="E254" s="1514"/>
      <c r="F254" s="1514"/>
      <c r="G254" s="1515"/>
      <c r="H254" s="1516"/>
      <c r="I254" s="1122"/>
      <c r="J254" s="1129"/>
      <c r="K254" s="1124"/>
      <c r="L254" s="1124"/>
      <c r="M254" s="1124"/>
      <c r="N254" s="1124"/>
      <c r="O254" s="1123"/>
      <c r="P254" s="1123"/>
      <c r="Q254" s="1126"/>
      <c r="R254" s="1126"/>
      <c r="S254" s="1126"/>
      <c r="T254" s="1126"/>
      <c r="U254" s="1126"/>
      <c r="V254" s="1126"/>
      <c r="W254" s="1126"/>
      <c r="X254" s="1126"/>
      <c r="Y254" s="1126"/>
      <c r="Z254" s="1126"/>
    </row>
    <row r="255" spans="1:26" ht="18.75" hidden="1">
      <c r="A255" s="1511"/>
      <c r="B255" s="1512"/>
      <c r="C255" s="1512"/>
      <c r="D255" s="1517" t="s">
        <v>117</v>
      </c>
      <c r="E255" s="1518"/>
      <c r="F255" s="1518"/>
      <c r="G255" s="1519"/>
      <c r="H255" s="337" t="s">
        <v>35</v>
      </c>
      <c r="I255" s="1129" t="str">
        <f ca="1">IFERROR(__xludf.DUMMYFUNCTION("IMPORTRANGE(""https://docs.google.com/spreadsheets/d/1QqKyyYR6Q21VydFLVH3TRQUabQu_ym0Zz7PgGX0-kHA/edit?usp=sharing"",""แผน!BF79"")"),"")</f>
        <v/>
      </c>
      <c r="J255" s="1520">
        <v>0</v>
      </c>
      <c r="K255" s="1124" t="e">
        <f ca="1">IF(I255&gt;0,J255*100/I255,0)</f>
        <v>#VALUE!</v>
      </c>
      <c r="L255" s="1124"/>
      <c r="M255" s="1124"/>
      <c r="N255" s="1124"/>
      <c r="O255" s="1124"/>
      <c r="P255" s="1124"/>
      <c r="Q255" s="1126"/>
      <c r="R255" s="1126"/>
      <c r="S255" s="1126"/>
      <c r="T255" s="1126"/>
      <c r="U255" s="1126"/>
      <c r="V255" s="1126"/>
      <c r="W255" s="1126"/>
      <c r="X255" s="1126"/>
      <c r="Y255" s="1126"/>
      <c r="Z255" s="1126"/>
    </row>
    <row r="256" spans="1:26" ht="18.75" hidden="1">
      <c r="A256" s="1511"/>
      <c r="B256" s="1512"/>
      <c r="C256" s="1512"/>
      <c r="D256" s="1521" t="s">
        <v>43</v>
      </c>
      <c r="E256" s="1518"/>
      <c r="F256" s="1518"/>
      <c r="G256" s="1519"/>
      <c r="H256" s="337"/>
      <c r="I256" s="1129"/>
      <c r="J256" s="1129"/>
      <c r="K256" s="1124"/>
      <c r="L256" s="1124"/>
      <c r="M256" s="1124"/>
      <c r="N256" s="1124"/>
      <c r="O256" s="1123"/>
      <c r="P256" s="1123"/>
      <c r="Q256" s="1126"/>
      <c r="R256" s="1126"/>
      <c r="S256" s="1126"/>
      <c r="T256" s="1126"/>
      <c r="U256" s="1126"/>
      <c r="V256" s="1126"/>
      <c r="W256" s="1126"/>
      <c r="X256" s="1126"/>
      <c r="Y256" s="1126"/>
      <c r="Z256" s="1126"/>
    </row>
    <row r="257" spans="1:26" ht="18.75" hidden="1">
      <c r="A257" s="1511"/>
      <c r="B257" s="1512"/>
      <c r="C257" s="1512"/>
      <c r="D257" s="1512"/>
      <c r="E257" s="1522" t="s">
        <v>118</v>
      </c>
      <c r="F257" s="1518"/>
      <c r="G257" s="1519"/>
      <c r="H257" s="337" t="s">
        <v>35</v>
      </c>
      <c r="I257" s="1129"/>
      <c r="J257" s="1520">
        <v>0</v>
      </c>
      <c r="K257" s="1124">
        <f t="shared" ref="K257:K258" si="113">IF(I257&gt;0,J257*100/I257,0)</f>
        <v>0</v>
      </c>
      <c r="L257" s="1124"/>
      <c r="M257" s="1124"/>
      <c r="N257" s="1124"/>
      <c r="O257" s="1124"/>
      <c r="P257" s="1124"/>
      <c r="Q257" s="1126"/>
      <c r="R257" s="1126"/>
      <c r="S257" s="1126"/>
      <c r="T257" s="1126"/>
      <c r="U257" s="1126"/>
      <c r="V257" s="1126"/>
      <c r="W257" s="1126"/>
      <c r="X257" s="1126"/>
      <c r="Y257" s="1126"/>
      <c r="Z257" s="1126"/>
    </row>
    <row r="258" spans="1:26" ht="18.75" hidden="1">
      <c r="A258" s="1511"/>
      <c r="B258" s="1512"/>
      <c r="C258" s="1512"/>
      <c r="D258" s="1512"/>
      <c r="E258" s="1522" t="s">
        <v>119</v>
      </c>
      <c r="F258" s="1518"/>
      <c r="G258" s="1519"/>
      <c r="H258" s="337" t="s">
        <v>66</v>
      </c>
      <c r="I258" s="1129"/>
      <c r="J258" s="1520">
        <v>0</v>
      </c>
      <c r="K258" s="1124">
        <f t="shared" si="113"/>
        <v>0</v>
      </c>
      <c r="L258" s="1124"/>
      <c r="M258" s="1124"/>
      <c r="N258" s="1124"/>
      <c r="O258" s="1124"/>
      <c r="P258" s="1124"/>
      <c r="Q258" s="1126"/>
      <c r="R258" s="1126"/>
      <c r="S258" s="1126"/>
      <c r="T258" s="1126"/>
      <c r="U258" s="1126"/>
      <c r="V258" s="1126"/>
      <c r="W258" s="1126"/>
      <c r="X258" s="1126"/>
      <c r="Y258" s="1126"/>
      <c r="Z258" s="1126"/>
    </row>
    <row r="259" spans="1:26" ht="19.5">
      <c r="A259" s="1051" t="s">
        <v>122</v>
      </c>
      <c r="B259" s="1052"/>
      <c r="C259" s="1052"/>
      <c r="D259" s="1053"/>
      <c r="E259" s="1053"/>
      <c r="F259" s="1053"/>
      <c r="G259" s="1054"/>
      <c r="H259" s="1055"/>
      <c r="I259" s="1056"/>
      <c r="J259" s="1056"/>
      <c r="K259" s="1057"/>
      <c r="L259" s="1057"/>
      <c r="M259" s="1057"/>
      <c r="N259" s="1057"/>
      <c r="O259" s="1057"/>
      <c r="P259" s="1057"/>
    </row>
    <row r="260" spans="1:26" ht="19.5">
      <c r="A260" s="1058"/>
      <c r="B260" s="1059" t="s">
        <v>123</v>
      </c>
      <c r="C260" s="1060"/>
      <c r="D260" s="1005"/>
      <c r="E260" s="1005"/>
      <c r="F260" s="1005"/>
      <c r="G260" s="1006"/>
      <c r="H260" s="252" t="s">
        <v>35</v>
      </c>
      <c r="I260" s="1075">
        <f t="shared" ref="I260:J260" ca="1" si="114">I271</f>
        <v>16</v>
      </c>
      <c r="J260" s="1075">
        <f t="shared" si="114"/>
        <v>0</v>
      </c>
      <c r="K260" s="1076">
        <f ca="1">IF(I260&gt;0,J260*100/I260,0)</f>
        <v>0</v>
      </c>
      <c r="L260" s="1062"/>
      <c r="M260" s="1062"/>
      <c r="N260" s="1062"/>
      <c r="O260" s="1062"/>
      <c r="P260" s="1062"/>
    </row>
    <row r="261" spans="1:26" ht="19.5">
      <c r="A261" s="985"/>
      <c r="B261" s="986"/>
      <c r="C261" s="987" t="s">
        <v>16</v>
      </c>
      <c r="D261" s="988" t="s">
        <v>17</v>
      </c>
      <c r="E261" s="986"/>
      <c r="F261" s="986"/>
      <c r="G261" s="989"/>
      <c r="H261" s="152" t="s">
        <v>12</v>
      </c>
      <c r="I261" s="990"/>
      <c r="J261" s="990"/>
      <c r="K261" s="991"/>
      <c r="L261" s="992">
        <f t="shared" ref="L261:N261" ca="1" si="115">L262+L263</f>
        <v>21200</v>
      </c>
      <c r="M261" s="992">
        <f t="shared" ca="1" si="115"/>
        <v>0</v>
      </c>
      <c r="N261" s="992">
        <f t="shared" ca="1" si="115"/>
        <v>0</v>
      </c>
      <c r="O261" s="992">
        <f t="shared" ref="O261:O269" ca="1" si="116">IF(L261&gt;0,N261*100/L261,0)</f>
        <v>0</v>
      </c>
      <c r="P261" s="992">
        <f t="shared" ref="P261:P269" ca="1" si="117">IF(M261&gt;0,N261*100/M261,0)</f>
        <v>0</v>
      </c>
      <c r="Q261" s="868"/>
      <c r="R261" s="868"/>
      <c r="S261" s="868"/>
      <c r="T261" s="868"/>
      <c r="U261" s="868"/>
      <c r="V261" s="868"/>
      <c r="W261" s="868"/>
      <c r="X261" s="868"/>
      <c r="Y261" s="868"/>
      <c r="Z261" s="868"/>
    </row>
    <row r="262" spans="1:26" ht="18.75" hidden="1">
      <c r="A262" s="993"/>
      <c r="B262" s="883"/>
      <c r="C262" s="883"/>
      <c r="D262" s="883"/>
      <c r="E262" s="884" t="s">
        <v>18</v>
      </c>
      <c r="F262" s="883"/>
      <c r="G262" s="994"/>
      <c r="H262" s="158" t="s">
        <v>12</v>
      </c>
      <c r="I262" s="886"/>
      <c r="J262" s="886"/>
      <c r="K262" s="887"/>
      <c r="L262" s="887">
        <f t="shared" ref="L262:N263" si="118">L265+L268</f>
        <v>0</v>
      </c>
      <c r="M262" s="887">
        <f t="shared" si="118"/>
        <v>0</v>
      </c>
      <c r="N262" s="887">
        <f t="shared" si="118"/>
        <v>0</v>
      </c>
      <c r="O262" s="887">
        <f t="shared" si="116"/>
        <v>0</v>
      </c>
      <c r="P262" s="887">
        <f t="shared" si="117"/>
        <v>0</v>
      </c>
      <c r="Q262" s="875"/>
      <c r="R262" s="875"/>
      <c r="S262" s="875"/>
      <c r="T262" s="875"/>
      <c r="U262" s="875"/>
      <c r="V262" s="875"/>
      <c r="W262" s="875"/>
      <c r="X262" s="875"/>
      <c r="Y262" s="875"/>
      <c r="Z262" s="875"/>
    </row>
    <row r="263" spans="1:26" ht="18.75" hidden="1">
      <c r="A263" s="993"/>
      <c r="B263" s="883"/>
      <c r="C263" s="883"/>
      <c r="D263" s="883"/>
      <c r="E263" s="884" t="s">
        <v>19</v>
      </c>
      <c r="F263" s="883"/>
      <c r="G263" s="994"/>
      <c r="H263" s="158" t="s">
        <v>12</v>
      </c>
      <c r="I263" s="886"/>
      <c r="J263" s="886"/>
      <c r="K263" s="887"/>
      <c r="L263" s="887">
        <f t="shared" ca="1" si="118"/>
        <v>21200</v>
      </c>
      <c r="M263" s="887">
        <f t="shared" ca="1" si="118"/>
        <v>0</v>
      </c>
      <c r="N263" s="887">
        <f t="shared" ca="1" si="118"/>
        <v>0</v>
      </c>
      <c r="O263" s="887">
        <f t="shared" ca="1" si="116"/>
        <v>0</v>
      </c>
      <c r="P263" s="887">
        <f t="shared" ca="1" si="117"/>
        <v>0</v>
      </c>
      <c r="Q263" s="875"/>
      <c r="R263" s="875"/>
      <c r="S263" s="875"/>
      <c r="T263" s="875"/>
      <c r="U263" s="875"/>
      <c r="V263" s="875"/>
      <c r="W263" s="875"/>
      <c r="X263" s="875"/>
      <c r="Y263" s="875"/>
      <c r="Z263" s="875"/>
    </row>
    <row r="264" spans="1:26" ht="18.75">
      <c r="A264" s="995"/>
      <c r="B264" s="877"/>
      <c r="C264" s="996"/>
      <c r="D264" s="878" t="s">
        <v>20</v>
      </c>
      <c r="E264" s="877"/>
      <c r="F264" s="877"/>
      <c r="G264" s="879"/>
      <c r="H264" s="161" t="s">
        <v>12</v>
      </c>
      <c r="I264" s="997"/>
      <c r="J264" s="997"/>
      <c r="K264" s="998"/>
      <c r="L264" s="881">
        <f t="shared" ref="L264:N264" ca="1" si="119">L265+L266</f>
        <v>21200</v>
      </c>
      <c r="M264" s="881">
        <f t="shared" ca="1" si="119"/>
        <v>0</v>
      </c>
      <c r="N264" s="881">
        <f t="shared" ca="1" si="119"/>
        <v>0</v>
      </c>
      <c r="O264" s="881">
        <f t="shared" ca="1" si="116"/>
        <v>0</v>
      </c>
      <c r="P264" s="881">
        <f t="shared" ca="1" si="117"/>
        <v>0</v>
      </c>
      <c r="Q264" s="868"/>
      <c r="R264" s="868"/>
      <c r="S264" s="868"/>
      <c r="T264" s="868"/>
      <c r="U264" s="868"/>
      <c r="V264" s="868"/>
      <c r="W264" s="868"/>
      <c r="X264" s="868"/>
      <c r="Y264" s="868"/>
      <c r="Z264" s="868"/>
    </row>
    <row r="265" spans="1:26" ht="19.5" hidden="1">
      <c r="A265" s="993"/>
      <c r="B265" s="883"/>
      <c r="C265" s="999"/>
      <c r="D265" s="883"/>
      <c r="E265" s="884" t="s">
        <v>36</v>
      </c>
      <c r="F265" s="883"/>
      <c r="G265" s="994"/>
      <c r="H265" s="165" t="s">
        <v>12</v>
      </c>
      <c r="I265" s="1000"/>
      <c r="J265" s="1000"/>
      <c r="K265" s="1001"/>
      <c r="L265" s="887">
        <v>0</v>
      </c>
      <c r="M265" s="887">
        <v>0</v>
      </c>
      <c r="N265" s="887">
        <v>0</v>
      </c>
      <c r="O265" s="887">
        <f t="shared" si="116"/>
        <v>0</v>
      </c>
      <c r="P265" s="887">
        <f t="shared" si="117"/>
        <v>0</v>
      </c>
      <c r="Q265" s="875"/>
      <c r="R265" s="875"/>
      <c r="S265" s="875"/>
      <c r="T265" s="875"/>
      <c r="U265" s="875"/>
      <c r="V265" s="875"/>
      <c r="W265" s="875"/>
      <c r="X265" s="875"/>
      <c r="Y265" s="875"/>
      <c r="Z265" s="875"/>
    </row>
    <row r="266" spans="1:26" ht="19.5" hidden="1">
      <c r="A266" s="993"/>
      <c r="B266" s="883"/>
      <c r="C266" s="999"/>
      <c r="D266" s="883"/>
      <c r="E266" s="884" t="s">
        <v>37</v>
      </c>
      <c r="F266" s="883"/>
      <c r="G266" s="994"/>
      <c r="H266" s="165" t="s">
        <v>12</v>
      </c>
      <c r="I266" s="1000"/>
      <c r="J266" s="1000"/>
      <c r="K266" s="1001"/>
      <c r="L266" s="887">
        <f ca="1">IFERROR(__xludf.DUMMYFUNCTION("IMPORTRANGE(""https://docs.google.com/spreadsheets/d/1MeEWN-I1oV_STSDYn1IFDPWt_1FKiwhDph83XaGc0o0/edit?usp=sharing"",""งบพรบ!CY79"")"),21200)</f>
        <v>21200</v>
      </c>
      <c r="M266" s="887">
        <f ca="1">IFERROR(__xludf.DUMMYFUNCTION("IMPORTRANGE(""https://docs.google.com/spreadsheets/d/1MeEWN-I1oV_STSDYn1IFDPWt_1FKiwhDph83XaGc0o0/edit?usp=sharing"",""งบพรบ!DD79"")"),0)</f>
        <v>0</v>
      </c>
      <c r="N266" s="887">
        <f ca="1">IFERROR(__xludf.DUMMYFUNCTION("IMPORTRANGE(""https://docs.google.com/spreadsheets/d/1MeEWN-I1oV_STSDYn1IFDPWt_1FKiwhDph83XaGc0o0/edit?usp=sharing"",""งบพรบ!DF79"")"),0)</f>
        <v>0</v>
      </c>
      <c r="O266" s="887">
        <f t="shared" ca="1" si="116"/>
        <v>0</v>
      </c>
      <c r="P266" s="887">
        <f t="shared" ca="1" si="117"/>
        <v>0</v>
      </c>
      <c r="Q266" s="875"/>
      <c r="R266" s="875"/>
      <c r="S266" s="875"/>
      <c r="T266" s="875"/>
      <c r="U266" s="875"/>
      <c r="V266" s="875"/>
      <c r="W266" s="875"/>
      <c r="X266" s="875"/>
      <c r="Y266" s="875"/>
      <c r="Z266" s="875"/>
    </row>
    <row r="267" spans="1:26" ht="18.75">
      <c r="A267" s="995"/>
      <c r="B267" s="877"/>
      <c r="C267" s="996"/>
      <c r="D267" s="878" t="s">
        <v>21</v>
      </c>
      <c r="E267" s="877"/>
      <c r="F267" s="877"/>
      <c r="G267" s="879"/>
      <c r="H267" s="168" t="s">
        <v>12</v>
      </c>
      <c r="I267" s="997"/>
      <c r="J267" s="997"/>
      <c r="K267" s="998"/>
      <c r="L267" s="881">
        <f t="shared" ref="L267:N267" ca="1" si="120">L268+L269</f>
        <v>0</v>
      </c>
      <c r="M267" s="881">
        <f t="shared" ca="1" si="120"/>
        <v>0</v>
      </c>
      <c r="N267" s="881">
        <f t="shared" ca="1" si="120"/>
        <v>0</v>
      </c>
      <c r="O267" s="881">
        <f t="shared" ca="1" si="116"/>
        <v>0</v>
      </c>
      <c r="P267" s="881">
        <f t="shared" ca="1" si="117"/>
        <v>0</v>
      </c>
      <c r="Q267" s="868"/>
      <c r="R267" s="868"/>
      <c r="S267" s="868"/>
      <c r="T267" s="868"/>
      <c r="U267" s="868"/>
      <c r="V267" s="868"/>
      <c r="W267" s="868"/>
      <c r="X267" s="868"/>
      <c r="Y267" s="868"/>
      <c r="Z267" s="868"/>
    </row>
    <row r="268" spans="1:26" ht="19.5" hidden="1">
      <c r="A268" s="993"/>
      <c r="B268" s="883"/>
      <c r="C268" s="999"/>
      <c r="D268" s="883"/>
      <c r="E268" s="884" t="s">
        <v>18</v>
      </c>
      <c r="F268" s="883"/>
      <c r="G268" s="994"/>
      <c r="H268" s="165" t="s">
        <v>12</v>
      </c>
      <c r="I268" s="1000"/>
      <c r="J268" s="1000"/>
      <c r="K268" s="1001"/>
      <c r="L268" s="887">
        <v>0</v>
      </c>
      <c r="M268" s="887">
        <v>0</v>
      </c>
      <c r="N268" s="887">
        <v>0</v>
      </c>
      <c r="O268" s="887">
        <f t="shared" si="116"/>
        <v>0</v>
      </c>
      <c r="P268" s="887">
        <f t="shared" si="117"/>
        <v>0</v>
      </c>
      <c r="Q268" s="875"/>
      <c r="R268" s="875"/>
      <c r="S268" s="875"/>
      <c r="T268" s="875"/>
      <c r="U268" s="875"/>
      <c r="V268" s="875"/>
      <c r="W268" s="875"/>
      <c r="X268" s="875"/>
      <c r="Y268" s="875"/>
      <c r="Z268" s="875"/>
    </row>
    <row r="269" spans="1:26" ht="19.5" hidden="1">
      <c r="A269" s="993"/>
      <c r="B269" s="883"/>
      <c r="C269" s="999"/>
      <c r="D269" s="883"/>
      <c r="E269" s="884" t="s">
        <v>19</v>
      </c>
      <c r="F269" s="883"/>
      <c r="G269" s="994"/>
      <c r="H269" s="169" t="s">
        <v>12</v>
      </c>
      <c r="I269" s="1000"/>
      <c r="J269" s="1000"/>
      <c r="K269" s="1001"/>
      <c r="L269" s="887">
        <f ca="1">IFERROR(__xludf.DUMMYFUNCTION("IMPORTRANGE(""https://docs.google.com/spreadsheets/d/1MeEWN-I1oV_STSDYn1IFDPWt_1FKiwhDph83XaGc0o0/edit?usp=sharing"",""งบพรบ!DB79"")"),0)</f>
        <v>0</v>
      </c>
      <c r="M269" s="887">
        <f ca="1">IFERROR(__xludf.DUMMYFUNCTION("IMPORTRANGE(""https://docs.google.com/spreadsheets/d/1MeEWN-I1oV_STSDYn1IFDPWt_1FKiwhDph83XaGc0o0/edit?usp=sharing"",""งบพรบ!DE79"")"),0)</f>
        <v>0</v>
      </c>
      <c r="N269" s="887">
        <f ca="1">IFERROR(__xludf.DUMMYFUNCTION("IMPORTRANGE(""https://docs.google.com/spreadsheets/d/1MeEWN-I1oV_STSDYn1IFDPWt_1FKiwhDph83XaGc0o0/edit?usp=sharing"",""งบพรบ!DG79"")"),0)</f>
        <v>0</v>
      </c>
      <c r="O269" s="887">
        <f t="shared" ca="1" si="116"/>
        <v>0</v>
      </c>
      <c r="P269" s="887">
        <f t="shared" ca="1" si="117"/>
        <v>0</v>
      </c>
      <c r="Q269" s="875"/>
      <c r="R269" s="875"/>
      <c r="S269" s="875"/>
      <c r="T269" s="875"/>
      <c r="U269" s="875"/>
      <c r="V269" s="875"/>
      <c r="W269" s="875"/>
      <c r="X269" s="875"/>
      <c r="Y269" s="875"/>
      <c r="Z269" s="875"/>
    </row>
    <row r="270" spans="1:26" ht="19.5">
      <c r="A270" s="1002"/>
      <c r="B270" s="1003"/>
      <c r="C270" s="996" t="s">
        <v>16</v>
      </c>
      <c r="D270" s="1004" t="s">
        <v>38</v>
      </c>
      <c r="E270" s="1005"/>
      <c r="F270" s="1005"/>
      <c r="G270" s="1006"/>
      <c r="H270" s="1007"/>
      <c r="I270" s="997"/>
      <c r="J270" s="997"/>
      <c r="K270" s="998"/>
      <c r="L270" s="998"/>
      <c r="M270" s="998"/>
      <c r="N270" s="998"/>
      <c r="O270" s="998"/>
      <c r="P270" s="998"/>
    </row>
    <row r="271" spans="1:26" ht="18.75">
      <c r="A271" s="1002"/>
      <c r="B271" s="1003"/>
      <c r="C271" s="1003"/>
      <c r="D271" s="1132" t="s">
        <v>124</v>
      </c>
      <c r="E271" s="1010"/>
      <c r="F271" s="1074"/>
      <c r="G271" s="1011"/>
      <c r="H271" s="377" t="s">
        <v>35</v>
      </c>
      <c r="I271" s="880">
        <f ca="1">IFERROR(__xludf.DUMMYFUNCTION("IMPORTRANGE(""https://docs.google.com/spreadsheets/d/1QqKyyYR6Q21VydFLVH3TRQUabQu_ym0Zz7PgGX0-kHA/edit?usp=sharing"",""แผน!EA79"")"),16)</f>
        <v>16</v>
      </c>
      <c r="J271" s="1012">
        <v>0</v>
      </c>
      <c r="K271" s="998">
        <f ca="1">IF(I271&gt;0,J271*100/I271,0)</f>
        <v>0</v>
      </c>
      <c r="L271" s="998"/>
      <c r="M271" s="998"/>
      <c r="N271" s="998"/>
      <c r="O271" s="998"/>
      <c r="P271" s="998"/>
    </row>
    <row r="272" spans="1:26" ht="18.75" hidden="1">
      <c r="A272" s="1133"/>
      <c r="B272" s="1134"/>
      <c r="C272" s="1134"/>
      <c r="D272" s="1135" t="s">
        <v>125</v>
      </c>
      <c r="E272" s="1136"/>
      <c r="F272" s="1136"/>
      <c r="G272" s="1137"/>
      <c r="H272" s="50" t="s">
        <v>35</v>
      </c>
      <c r="I272" s="1138">
        <v>0</v>
      </c>
      <c r="J272" s="1138">
        <v>0</v>
      </c>
      <c r="K272" s="1139">
        <v>0</v>
      </c>
      <c r="L272" s="1139"/>
      <c r="M272" s="1139"/>
      <c r="N272" s="1139"/>
      <c r="O272" s="1139"/>
      <c r="P272" s="1139"/>
    </row>
    <row r="273" spans="1:26" ht="19.5" hidden="1">
      <c r="A273" s="1140" t="s">
        <v>126</v>
      </c>
      <c r="B273" s="1141"/>
      <c r="C273" s="1141"/>
      <c r="D273" s="1141"/>
      <c r="E273" s="1142"/>
      <c r="F273" s="1142"/>
      <c r="G273" s="1143"/>
      <c r="H273" s="1144"/>
      <c r="I273" s="1145"/>
      <c r="J273" s="1145"/>
      <c r="K273" s="1146"/>
      <c r="L273" s="1146"/>
      <c r="M273" s="1146"/>
      <c r="N273" s="1146"/>
      <c r="O273" s="1146"/>
      <c r="P273" s="1146"/>
    </row>
    <row r="274" spans="1:26" ht="19.5" hidden="1">
      <c r="A274" s="1147" t="s">
        <v>127</v>
      </c>
      <c r="B274" s="1148"/>
      <c r="C274" s="1149"/>
      <c r="D274" s="1148"/>
      <c r="E274" s="1148"/>
      <c r="F274" s="1148"/>
      <c r="G274" s="1148"/>
      <c r="H274" s="1150"/>
      <c r="I274" s="1151"/>
      <c r="J274" s="1152"/>
      <c r="K274" s="1153"/>
      <c r="L274" s="1153"/>
      <c r="M274" s="1153"/>
      <c r="N274" s="1153"/>
      <c r="O274" s="1153"/>
      <c r="P274" s="1153"/>
    </row>
    <row r="275" spans="1:26" ht="19.5" hidden="1">
      <c r="A275" s="1154"/>
      <c r="B275" s="1155" t="s">
        <v>128</v>
      </c>
      <c r="C275" s="1156"/>
      <c r="D275" s="1157"/>
      <c r="E275" s="1156"/>
      <c r="F275" s="1156"/>
      <c r="G275" s="1158"/>
      <c r="H275" s="405" t="s">
        <v>35</v>
      </c>
      <c r="I275" s="1159">
        <f t="shared" ref="I275:J275" ca="1" si="121">I288</f>
        <v>0</v>
      </c>
      <c r="J275" s="1159">
        <f t="shared" ca="1" si="121"/>
        <v>0</v>
      </c>
      <c r="K275" s="1160">
        <f t="shared" ref="K275:K276" ca="1" si="122">IF(I275&gt;0,J275*100/I275,0)</f>
        <v>0</v>
      </c>
      <c r="L275" s="1161"/>
      <c r="M275" s="1161"/>
      <c r="N275" s="1161"/>
      <c r="O275" s="1161"/>
      <c r="P275" s="1161"/>
    </row>
    <row r="276" spans="1:26" ht="19.5" hidden="1">
      <c r="A276" s="1154"/>
      <c r="B276" s="1155"/>
      <c r="C276" s="1156"/>
      <c r="D276" s="1157"/>
      <c r="E276" s="1156"/>
      <c r="F276" s="1156"/>
      <c r="G276" s="1158"/>
      <c r="H276" s="405" t="s">
        <v>46</v>
      </c>
      <c r="I276" s="1493">
        <f t="shared" ref="I276:J276" ca="1" si="123">I287</f>
        <v>0</v>
      </c>
      <c r="J276" s="1493">
        <f t="shared" si="123"/>
        <v>0</v>
      </c>
      <c r="K276" s="1161">
        <f t="shared" ca="1" si="122"/>
        <v>0</v>
      </c>
      <c r="L276" s="1161"/>
      <c r="M276" s="1161"/>
      <c r="N276" s="1161"/>
      <c r="O276" s="1161"/>
      <c r="P276" s="1161"/>
    </row>
    <row r="277" spans="1:26" ht="19.5" hidden="1">
      <c r="A277" s="985"/>
      <c r="B277" s="986"/>
      <c r="C277" s="987" t="s">
        <v>16</v>
      </c>
      <c r="D277" s="988" t="s">
        <v>17</v>
      </c>
      <c r="E277" s="986"/>
      <c r="F277" s="986"/>
      <c r="G277" s="989"/>
      <c r="H277" s="152" t="s">
        <v>12</v>
      </c>
      <c r="I277" s="990"/>
      <c r="J277" s="990"/>
      <c r="K277" s="991"/>
      <c r="L277" s="992">
        <f t="shared" ref="L277:N277" ca="1" si="124">L278+L279</f>
        <v>0</v>
      </c>
      <c r="M277" s="992">
        <f t="shared" ca="1" si="124"/>
        <v>0</v>
      </c>
      <c r="N277" s="992">
        <f t="shared" ca="1" si="124"/>
        <v>0</v>
      </c>
      <c r="O277" s="992">
        <f t="shared" ref="O277:O285" ca="1" si="125">IF(L277&gt;0,N277*100/L277,0)</f>
        <v>0</v>
      </c>
      <c r="P277" s="992">
        <f t="shared" ref="P277:P285" ca="1" si="126">IF(M277&gt;0,N277*100/M277,0)</f>
        <v>0</v>
      </c>
      <c r="Q277" s="868"/>
      <c r="R277" s="868"/>
      <c r="S277" s="868"/>
      <c r="T277" s="868"/>
      <c r="U277" s="868"/>
      <c r="V277" s="868"/>
      <c r="W277" s="868"/>
      <c r="X277" s="868"/>
      <c r="Y277" s="868"/>
      <c r="Z277" s="868"/>
    </row>
    <row r="278" spans="1:26" ht="18.75" hidden="1">
      <c r="A278" s="993"/>
      <c r="B278" s="883"/>
      <c r="C278" s="883"/>
      <c r="D278" s="883"/>
      <c r="E278" s="884" t="s">
        <v>18</v>
      </c>
      <c r="F278" s="883"/>
      <c r="G278" s="994"/>
      <c r="H278" s="158" t="s">
        <v>12</v>
      </c>
      <c r="I278" s="886"/>
      <c r="J278" s="886"/>
      <c r="K278" s="887"/>
      <c r="L278" s="887">
        <f t="shared" ref="L278:N279" si="127">L281+L284</f>
        <v>0</v>
      </c>
      <c r="M278" s="887">
        <f t="shared" si="127"/>
        <v>0</v>
      </c>
      <c r="N278" s="887">
        <f t="shared" si="127"/>
        <v>0</v>
      </c>
      <c r="O278" s="887">
        <f t="shared" si="125"/>
        <v>0</v>
      </c>
      <c r="P278" s="887">
        <f t="shared" si="126"/>
        <v>0</v>
      </c>
      <c r="Q278" s="875"/>
      <c r="R278" s="875"/>
      <c r="S278" s="875"/>
      <c r="T278" s="875"/>
      <c r="U278" s="875"/>
      <c r="V278" s="875"/>
      <c r="W278" s="875"/>
      <c r="X278" s="875"/>
      <c r="Y278" s="875"/>
      <c r="Z278" s="875"/>
    </row>
    <row r="279" spans="1:26" ht="18.75" hidden="1">
      <c r="A279" s="993"/>
      <c r="B279" s="883"/>
      <c r="C279" s="883"/>
      <c r="D279" s="883"/>
      <c r="E279" s="884" t="s">
        <v>19</v>
      </c>
      <c r="F279" s="883"/>
      <c r="G279" s="994"/>
      <c r="H279" s="158" t="s">
        <v>12</v>
      </c>
      <c r="I279" s="886"/>
      <c r="J279" s="886"/>
      <c r="K279" s="887"/>
      <c r="L279" s="887">
        <f t="shared" ca="1" si="127"/>
        <v>0</v>
      </c>
      <c r="M279" s="887">
        <f t="shared" ca="1" si="127"/>
        <v>0</v>
      </c>
      <c r="N279" s="887">
        <f t="shared" ca="1" si="127"/>
        <v>0</v>
      </c>
      <c r="O279" s="887">
        <f t="shared" ca="1" si="125"/>
        <v>0</v>
      </c>
      <c r="P279" s="887">
        <f t="shared" ca="1" si="126"/>
        <v>0</v>
      </c>
      <c r="Q279" s="875"/>
      <c r="R279" s="875"/>
      <c r="S279" s="875"/>
      <c r="T279" s="875"/>
      <c r="U279" s="875"/>
      <c r="V279" s="875"/>
      <c r="W279" s="875"/>
      <c r="X279" s="875"/>
      <c r="Y279" s="875"/>
      <c r="Z279" s="875"/>
    </row>
    <row r="280" spans="1:26" ht="18.75" hidden="1">
      <c r="A280" s="995"/>
      <c r="B280" s="877"/>
      <c r="C280" s="996"/>
      <c r="D280" s="878" t="s">
        <v>20</v>
      </c>
      <c r="E280" s="877"/>
      <c r="F280" s="877"/>
      <c r="G280" s="879"/>
      <c r="H280" s="161" t="s">
        <v>12</v>
      </c>
      <c r="I280" s="997"/>
      <c r="J280" s="997"/>
      <c r="K280" s="998"/>
      <c r="L280" s="881">
        <f t="shared" ref="L280:N280" ca="1" si="128">L281+L282</f>
        <v>0</v>
      </c>
      <c r="M280" s="881">
        <f t="shared" ca="1" si="128"/>
        <v>0</v>
      </c>
      <c r="N280" s="881">
        <f t="shared" ca="1" si="128"/>
        <v>0</v>
      </c>
      <c r="O280" s="881">
        <f t="shared" ca="1" si="125"/>
        <v>0</v>
      </c>
      <c r="P280" s="881">
        <f t="shared" ca="1" si="126"/>
        <v>0</v>
      </c>
      <c r="Q280" s="868"/>
      <c r="R280" s="868"/>
      <c r="S280" s="868"/>
      <c r="T280" s="868"/>
      <c r="U280" s="868"/>
      <c r="V280" s="868"/>
      <c r="W280" s="868"/>
      <c r="X280" s="868"/>
      <c r="Y280" s="868"/>
      <c r="Z280" s="868"/>
    </row>
    <row r="281" spans="1:26" ht="19.5" hidden="1">
      <c r="A281" s="993"/>
      <c r="B281" s="883"/>
      <c r="C281" s="999"/>
      <c r="D281" s="883"/>
      <c r="E281" s="884" t="s">
        <v>36</v>
      </c>
      <c r="F281" s="883"/>
      <c r="G281" s="994"/>
      <c r="H281" s="165" t="s">
        <v>12</v>
      </c>
      <c r="I281" s="1000"/>
      <c r="J281" s="1000"/>
      <c r="K281" s="1001"/>
      <c r="L281" s="887">
        <v>0</v>
      </c>
      <c r="M281" s="887">
        <v>0</v>
      </c>
      <c r="N281" s="887">
        <v>0</v>
      </c>
      <c r="O281" s="887">
        <f t="shared" si="125"/>
        <v>0</v>
      </c>
      <c r="P281" s="887">
        <f t="shared" si="126"/>
        <v>0</v>
      </c>
      <c r="Q281" s="875"/>
      <c r="R281" s="875"/>
      <c r="S281" s="875"/>
      <c r="T281" s="875"/>
      <c r="U281" s="875"/>
      <c r="V281" s="875"/>
      <c r="W281" s="875"/>
      <c r="X281" s="875"/>
      <c r="Y281" s="875"/>
      <c r="Z281" s="875"/>
    </row>
    <row r="282" spans="1:26" ht="19.5" hidden="1">
      <c r="A282" s="993"/>
      <c r="B282" s="883"/>
      <c r="C282" s="999"/>
      <c r="D282" s="883"/>
      <c r="E282" s="884" t="s">
        <v>37</v>
      </c>
      <c r="F282" s="883"/>
      <c r="G282" s="994"/>
      <c r="H282" s="165" t="s">
        <v>12</v>
      </c>
      <c r="I282" s="1000"/>
      <c r="J282" s="1000"/>
      <c r="K282" s="1001"/>
      <c r="L282" s="887">
        <f ca="1">IFERROR(__xludf.DUMMYFUNCTION("IMPORTRANGE(""https://docs.google.com/spreadsheets/d/1MeEWN-I1oV_STSDYn1IFDPWt_1FKiwhDph83XaGc0o0/edit?usp=sharing"",""งบพรบ!DI79"")"),0)</f>
        <v>0</v>
      </c>
      <c r="M282" s="887">
        <f ca="1">IFERROR(__xludf.DUMMYFUNCTION("IMPORTRANGE(""https://docs.google.com/spreadsheets/d/1MeEWN-I1oV_STSDYn1IFDPWt_1FKiwhDph83XaGc0o0/edit?usp=sharing"",""งบพรบ!DN79"")"),0)</f>
        <v>0</v>
      </c>
      <c r="N282" s="887">
        <f ca="1">IFERROR(__xludf.DUMMYFUNCTION("IMPORTRANGE(""https://docs.google.com/spreadsheets/d/1MeEWN-I1oV_STSDYn1IFDPWt_1FKiwhDph83XaGc0o0/edit?usp=sharing"",""งบพรบ!DP79"")"),0)</f>
        <v>0</v>
      </c>
      <c r="O282" s="887">
        <f t="shared" ca="1" si="125"/>
        <v>0</v>
      </c>
      <c r="P282" s="887">
        <f t="shared" ca="1" si="126"/>
        <v>0</v>
      </c>
      <c r="Q282" s="875"/>
      <c r="R282" s="875"/>
      <c r="S282" s="875"/>
      <c r="T282" s="875"/>
      <c r="U282" s="875"/>
      <c r="V282" s="875"/>
      <c r="W282" s="875"/>
      <c r="X282" s="875"/>
      <c r="Y282" s="875"/>
      <c r="Z282" s="875"/>
    </row>
    <row r="283" spans="1:26" ht="18.75" hidden="1">
      <c r="A283" s="995"/>
      <c r="B283" s="877"/>
      <c r="C283" s="996"/>
      <c r="D283" s="878" t="s">
        <v>21</v>
      </c>
      <c r="E283" s="877"/>
      <c r="F283" s="877"/>
      <c r="G283" s="879"/>
      <c r="H283" s="168" t="s">
        <v>12</v>
      </c>
      <c r="I283" s="997"/>
      <c r="J283" s="997"/>
      <c r="K283" s="998"/>
      <c r="L283" s="881">
        <f t="shared" ref="L283:N283" ca="1" si="129">L284+L285</f>
        <v>0</v>
      </c>
      <c r="M283" s="881">
        <f t="shared" ca="1" si="129"/>
        <v>0</v>
      </c>
      <c r="N283" s="881">
        <f t="shared" ca="1" si="129"/>
        <v>0</v>
      </c>
      <c r="O283" s="881">
        <f t="shared" ca="1" si="125"/>
        <v>0</v>
      </c>
      <c r="P283" s="881">
        <f t="shared" ca="1" si="126"/>
        <v>0</v>
      </c>
      <c r="Q283" s="868"/>
      <c r="R283" s="868"/>
      <c r="S283" s="868"/>
      <c r="T283" s="868"/>
      <c r="U283" s="868"/>
      <c r="V283" s="868"/>
      <c r="W283" s="868"/>
      <c r="X283" s="868"/>
      <c r="Y283" s="868"/>
      <c r="Z283" s="868"/>
    </row>
    <row r="284" spans="1:26" ht="19.5" hidden="1">
      <c r="A284" s="993"/>
      <c r="B284" s="883"/>
      <c r="C284" s="999"/>
      <c r="D284" s="883"/>
      <c r="E284" s="884" t="s">
        <v>18</v>
      </c>
      <c r="F284" s="883"/>
      <c r="G284" s="994"/>
      <c r="H284" s="165" t="s">
        <v>12</v>
      </c>
      <c r="I284" s="1000"/>
      <c r="J284" s="1000"/>
      <c r="K284" s="1001"/>
      <c r="L284" s="887">
        <v>0</v>
      </c>
      <c r="M284" s="887">
        <v>0</v>
      </c>
      <c r="N284" s="887">
        <v>0</v>
      </c>
      <c r="O284" s="887">
        <f t="shared" si="125"/>
        <v>0</v>
      </c>
      <c r="P284" s="887">
        <f t="shared" si="126"/>
        <v>0</v>
      </c>
      <c r="Q284" s="875"/>
      <c r="R284" s="875"/>
      <c r="S284" s="875"/>
      <c r="T284" s="875"/>
      <c r="U284" s="875"/>
      <c r="V284" s="875"/>
      <c r="W284" s="875"/>
      <c r="X284" s="875"/>
      <c r="Y284" s="875"/>
      <c r="Z284" s="875"/>
    </row>
    <row r="285" spans="1:26" ht="19.5" hidden="1">
      <c r="A285" s="993"/>
      <c r="B285" s="883"/>
      <c r="C285" s="999"/>
      <c r="D285" s="883"/>
      <c r="E285" s="884" t="s">
        <v>19</v>
      </c>
      <c r="F285" s="883"/>
      <c r="G285" s="994"/>
      <c r="H285" s="169" t="s">
        <v>12</v>
      </c>
      <c r="I285" s="1000"/>
      <c r="J285" s="1000"/>
      <c r="K285" s="1001"/>
      <c r="L285" s="887">
        <f ca="1">IFERROR(__xludf.DUMMYFUNCTION("IMPORTRANGE(""https://docs.google.com/spreadsheets/d/1MeEWN-I1oV_STSDYn1IFDPWt_1FKiwhDph83XaGc0o0/edit?usp=sharing"",""งบพรบ!DL79"")"),0)</f>
        <v>0</v>
      </c>
      <c r="M285" s="887">
        <f ca="1">IFERROR(__xludf.DUMMYFUNCTION("IMPORTRANGE(""https://docs.google.com/spreadsheets/d/1MeEWN-I1oV_STSDYn1IFDPWt_1FKiwhDph83XaGc0o0/edit?usp=sharing"",""งบพรบ!DO79"")"),0)</f>
        <v>0</v>
      </c>
      <c r="N285" s="887">
        <f ca="1">IFERROR(__xludf.DUMMYFUNCTION("IMPORTRANGE(""https://docs.google.com/spreadsheets/d/1MeEWN-I1oV_STSDYn1IFDPWt_1FKiwhDph83XaGc0o0/edit?usp=sharing"",""งบพรบ!DQ79"")"),0)</f>
        <v>0</v>
      </c>
      <c r="O285" s="887">
        <f t="shared" ca="1" si="125"/>
        <v>0</v>
      </c>
      <c r="P285" s="887">
        <f t="shared" ca="1" si="126"/>
        <v>0</v>
      </c>
      <c r="Q285" s="875"/>
      <c r="R285" s="875"/>
      <c r="S285" s="875"/>
      <c r="T285" s="875"/>
      <c r="U285" s="875"/>
      <c r="V285" s="875"/>
      <c r="W285" s="875"/>
      <c r="X285" s="875"/>
      <c r="Y285" s="875"/>
      <c r="Z285" s="875"/>
    </row>
    <row r="286" spans="1:26" ht="19.5" hidden="1">
      <c r="A286" s="1002"/>
      <c r="B286" s="1003"/>
      <c r="C286" s="999" t="s">
        <v>16</v>
      </c>
      <c r="D286" s="1004" t="s">
        <v>38</v>
      </c>
      <c r="E286" s="1005"/>
      <c r="F286" s="1005"/>
      <c r="G286" s="1006"/>
      <c r="H286" s="1007"/>
      <c r="I286" s="997"/>
      <c r="J286" s="997"/>
      <c r="K286" s="998"/>
      <c r="L286" s="998"/>
      <c r="M286" s="998"/>
      <c r="N286" s="998"/>
      <c r="O286" s="998"/>
      <c r="P286" s="998"/>
    </row>
    <row r="287" spans="1:26" ht="18.75" hidden="1">
      <c r="A287" s="1002"/>
      <c r="B287" s="1003"/>
      <c r="C287" s="1003"/>
      <c r="D287" s="1014" t="s">
        <v>129</v>
      </c>
      <c r="E287" s="1003"/>
      <c r="F287" s="1010"/>
      <c r="G287" s="1011"/>
      <c r="H287" s="185" t="s">
        <v>46</v>
      </c>
      <c r="I287" s="880">
        <f ca="1">IFERROR(__xludf.DUMMYFUNCTION("IMPORTRANGE(""https://docs.google.com/spreadsheets/d/1QqKyyYR6Q21VydFLVH3TRQUabQu_ym0Zz7PgGX0-kHA/edit?usp=sharing"",""แผน!EC79"")"),0)</f>
        <v>0</v>
      </c>
      <c r="J287" s="880">
        <v>0</v>
      </c>
      <c r="K287" s="998">
        <f t="shared" ref="K287:K288" ca="1" si="130">IF(I287&gt;0,J287*100/I287,0)</f>
        <v>0</v>
      </c>
      <c r="L287" s="998"/>
      <c r="M287" s="998"/>
      <c r="N287" s="998"/>
      <c r="O287" s="998"/>
      <c r="P287" s="998"/>
    </row>
    <row r="288" spans="1:26" ht="19.5" hidden="1">
      <c r="A288" s="1002"/>
      <c r="B288" s="1003"/>
      <c r="C288" s="1003"/>
      <c r="D288" s="1014" t="s">
        <v>130</v>
      </c>
      <c r="E288" s="1003"/>
      <c r="F288" s="1010"/>
      <c r="G288" s="1011"/>
      <c r="H288" s="180" t="s">
        <v>35</v>
      </c>
      <c r="I288" s="1019">
        <f ca="1">IFERROR(__xludf.DUMMYFUNCTION("IMPORTRANGE(""https://docs.google.com/spreadsheets/d/1QqKyyYR6Q21VydFLVH3TRQUabQu_ym0Zz7PgGX0-kHA/edit?usp=sharing"",""แผน!EB79"")"),0)</f>
        <v>0</v>
      </c>
      <c r="J288" s="1019">
        <f ca="1">IF(AND(J291&gt;=I288,J294&gt;=I288),J294,0)</f>
        <v>0</v>
      </c>
      <c r="K288" s="1162">
        <f t="shared" ca="1" si="130"/>
        <v>0</v>
      </c>
      <c r="L288" s="998"/>
      <c r="M288" s="998"/>
      <c r="N288" s="998"/>
      <c r="O288" s="998"/>
      <c r="P288" s="998"/>
    </row>
    <row r="289" spans="1:26" ht="19.5" hidden="1">
      <c r="A289" s="1002"/>
      <c r="B289" s="1003"/>
      <c r="C289" s="1003"/>
      <c r="D289" s="1163"/>
      <c r="E289" s="1164" t="s">
        <v>131</v>
      </c>
      <c r="F289" s="1010"/>
      <c r="G289" s="1011"/>
      <c r="H289" s="762"/>
      <c r="I289" s="997"/>
      <c r="J289" s="880"/>
      <c r="K289" s="998"/>
      <c r="L289" s="998"/>
      <c r="M289" s="998"/>
      <c r="N289" s="998"/>
      <c r="O289" s="998"/>
      <c r="P289" s="998"/>
    </row>
    <row r="290" spans="1:26" ht="19.5" hidden="1">
      <c r="A290" s="1002"/>
      <c r="B290" s="1003"/>
      <c r="C290" s="1003"/>
      <c r="D290" s="1163"/>
      <c r="E290" s="1014" t="s">
        <v>132</v>
      </c>
      <c r="F290" s="1010"/>
      <c r="G290" s="1011"/>
      <c r="H290" s="762" t="s">
        <v>35</v>
      </c>
      <c r="I290" s="997">
        <f ca="1">IFERROR(__xludf.DUMMYFUNCTION("IMPORTRANGE(""https://docs.google.com/spreadsheets/d/1QqKyyYR6Q21VydFLVH3TRQUabQu_ym0Zz7PgGX0-kHA/edit?usp=sharing"",""แผน!EB79"")"),0)</f>
        <v>0</v>
      </c>
      <c r="J290" s="1012">
        <v>0</v>
      </c>
      <c r="K290" s="998">
        <f t="shared" ref="K290:K291" ca="1" si="131">IF(I290&gt;0,J290*100/I290,0)</f>
        <v>0</v>
      </c>
      <c r="L290" s="998"/>
      <c r="M290" s="998"/>
      <c r="N290" s="998"/>
      <c r="O290" s="998"/>
      <c r="P290" s="998"/>
    </row>
    <row r="291" spans="1:26" ht="19.5" hidden="1">
      <c r="A291" s="1002"/>
      <c r="B291" s="1003"/>
      <c r="C291" s="1003"/>
      <c r="D291" s="1010"/>
      <c r="E291" s="1014" t="s">
        <v>338</v>
      </c>
      <c r="F291" s="1010"/>
      <c r="G291" s="1011"/>
      <c r="H291" s="762" t="s">
        <v>35</v>
      </c>
      <c r="I291" s="997">
        <f ca="1">IFERROR(__xludf.DUMMYFUNCTION("IMPORTRANGE(""https://docs.google.com/spreadsheets/d/1QqKyyYR6Q21VydFLVH3TRQUabQu_ym0Zz7PgGX0-kHA/edit?usp=sharing"",""แผน!EB79"")"),0)</f>
        <v>0</v>
      </c>
      <c r="J291" s="1012">
        <v>0</v>
      </c>
      <c r="K291" s="998">
        <f t="shared" ca="1" si="131"/>
        <v>0</v>
      </c>
      <c r="L291" s="998"/>
      <c r="M291" s="998"/>
      <c r="N291" s="998"/>
      <c r="O291" s="998"/>
      <c r="P291" s="998"/>
    </row>
    <row r="292" spans="1:26" ht="19.5" hidden="1">
      <c r="A292" s="1165"/>
      <c r="B292" s="1166"/>
      <c r="C292" s="1166"/>
      <c r="D292" s="1167"/>
      <c r="E292" s="1168" t="s">
        <v>134</v>
      </c>
      <c r="F292" s="1088"/>
      <c r="G292" s="1089"/>
      <c r="H292" s="419"/>
      <c r="I292" s="1082"/>
      <c r="J292" s="990"/>
      <c r="K292" s="1083"/>
      <c r="L292" s="1083"/>
      <c r="M292" s="1083"/>
      <c r="N292" s="1083"/>
      <c r="O292" s="1083"/>
      <c r="P292" s="1083"/>
    </row>
    <row r="293" spans="1:26" ht="19.5" hidden="1">
      <c r="A293" s="1002"/>
      <c r="B293" s="1003"/>
      <c r="C293" s="1003"/>
      <c r="D293" s="1163"/>
      <c r="E293" s="1014" t="s">
        <v>132</v>
      </c>
      <c r="F293" s="1010"/>
      <c r="G293" s="1011"/>
      <c r="H293" s="762" t="s">
        <v>35</v>
      </c>
      <c r="I293" s="997">
        <f ca="1">IFERROR(__xludf.DUMMYFUNCTION("IMPORTRANGE(""https://docs.google.com/spreadsheets/d/1QqKyyYR6Q21VydFLVH3TRQUabQu_ym0Zz7PgGX0-kHA/edit?usp=sharing"",""แผน!EB79"")"),0)</f>
        <v>0</v>
      </c>
      <c r="J293" s="1012">
        <v>0</v>
      </c>
      <c r="K293" s="998">
        <f t="shared" ref="K293:K294" ca="1" si="132">IF(I293&gt;0,J293*100/I293,0)</f>
        <v>0</v>
      </c>
      <c r="L293" s="998"/>
      <c r="M293" s="998"/>
      <c r="N293" s="998"/>
      <c r="O293" s="998"/>
      <c r="P293" s="998"/>
    </row>
    <row r="294" spans="1:26" ht="19.5" hidden="1">
      <c r="A294" s="1133"/>
      <c r="B294" s="1134"/>
      <c r="C294" s="1134"/>
      <c r="D294" s="1136"/>
      <c r="E294" s="1169" t="s">
        <v>338</v>
      </c>
      <c r="F294" s="1136"/>
      <c r="G294" s="1137"/>
      <c r="H294" s="423" t="s">
        <v>35</v>
      </c>
      <c r="I294" s="1170">
        <f ca="1">IFERROR(__xludf.DUMMYFUNCTION("IMPORTRANGE(""https://docs.google.com/spreadsheets/d/1QqKyyYR6Q21VydFLVH3TRQUabQu_ym0Zz7PgGX0-kHA/edit?usp=sharing"",""แผน!EB79"")"),0)</f>
        <v>0</v>
      </c>
      <c r="J294" s="1171">
        <v>0</v>
      </c>
      <c r="K294" s="1139">
        <f t="shared" ca="1" si="132"/>
        <v>0</v>
      </c>
      <c r="L294" s="1139"/>
      <c r="M294" s="1139"/>
      <c r="N294" s="1139"/>
      <c r="O294" s="1139"/>
      <c r="P294" s="1139"/>
    </row>
    <row r="295" spans="1:26" ht="19.5">
      <c r="A295" s="1172" t="s">
        <v>137</v>
      </c>
      <c r="B295" s="1173"/>
      <c r="C295" s="1173"/>
      <c r="D295" s="1173"/>
      <c r="E295" s="1174"/>
      <c r="F295" s="1174"/>
      <c r="G295" s="1175"/>
      <c r="H295" s="1176"/>
      <c r="I295" s="1177"/>
      <c r="J295" s="1177"/>
      <c r="K295" s="1178"/>
      <c r="L295" s="1178"/>
      <c r="M295" s="1178"/>
      <c r="N295" s="1178"/>
      <c r="O295" s="1178"/>
      <c r="P295" s="1178"/>
    </row>
    <row r="296" spans="1:26" ht="19.5" hidden="1">
      <c r="A296" s="1179" t="s">
        <v>138</v>
      </c>
      <c r="B296" s="1180"/>
      <c r="C296" s="1180"/>
      <c r="D296" s="1181"/>
      <c r="E296" s="1181"/>
      <c r="F296" s="1181"/>
      <c r="G296" s="1182"/>
      <c r="H296" s="1183"/>
      <c r="I296" s="1184"/>
      <c r="J296" s="1184"/>
      <c r="K296" s="1185"/>
      <c r="L296" s="1185"/>
      <c r="M296" s="1185"/>
      <c r="N296" s="1185"/>
      <c r="O296" s="1185"/>
      <c r="P296" s="1185"/>
    </row>
    <row r="297" spans="1:26" ht="19.5" hidden="1">
      <c r="A297" s="1186"/>
      <c r="B297" s="1187" t="s">
        <v>139</v>
      </c>
      <c r="C297" s="1188"/>
      <c r="D297" s="1188"/>
      <c r="E297" s="1188"/>
      <c r="F297" s="1188"/>
      <c r="G297" s="1189"/>
      <c r="H297" s="444" t="s">
        <v>35</v>
      </c>
      <c r="I297" s="1190">
        <f t="shared" ref="I297:J297" ca="1" si="133">I309</f>
        <v>0</v>
      </c>
      <c r="J297" s="1190">
        <f t="shared" si="133"/>
        <v>0</v>
      </c>
      <c r="K297" s="1191">
        <f ca="1">IF(I297&gt;0,J297*100/I297,0)</f>
        <v>0</v>
      </c>
      <c r="L297" s="1192"/>
      <c r="M297" s="1192"/>
      <c r="N297" s="1192"/>
      <c r="O297" s="1192"/>
      <c r="P297" s="1192"/>
    </row>
    <row r="298" spans="1:26" ht="19.5" hidden="1">
      <c r="A298" s="985"/>
      <c r="B298" s="986"/>
      <c r="C298" s="987" t="s">
        <v>16</v>
      </c>
      <c r="D298" s="988" t="s">
        <v>17</v>
      </c>
      <c r="E298" s="986"/>
      <c r="F298" s="986"/>
      <c r="G298" s="989"/>
      <c r="H298" s="152" t="s">
        <v>12</v>
      </c>
      <c r="I298" s="990"/>
      <c r="J298" s="990"/>
      <c r="K298" s="991"/>
      <c r="L298" s="992">
        <f t="shared" ref="L298:N298" ca="1" si="134">L299+L300</f>
        <v>0</v>
      </c>
      <c r="M298" s="992">
        <f t="shared" ca="1" si="134"/>
        <v>0</v>
      </c>
      <c r="N298" s="992">
        <f t="shared" ca="1" si="134"/>
        <v>0</v>
      </c>
      <c r="O298" s="992">
        <f t="shared" ref="O298:O306" ca="1" si="135">IF(L298&gt;0,N298*100/L298,0)</f>
        <v>0</v>
      </c>
      <c r="P298" s="992">
        <f t="shared" ref="P298:P306" ca="1" si="136">IF(M298&gt;0,N298*100/M298,0)</f>
        <v>0</v>
      </c>
      <c r="Q298" s="868"/>
      <c r="R298" s="868"/>
      <c r="S298" s="868"/>
      <c r="T298" s="868"/>
      <c r="U298" s="868"/>
      <c r="V298" s="868"/>
      <c r="W298" s="868"/>
      <c r="X298" s="868"/>
      <c r="Y298" s="868"/>
      <c r="Z298" s="868"/>
    </row>
    <row r="299" spans="1:26" ht="18.75" hidden="1">
      <c r="A299" s="993"/>
      <c r="B299" s="883"/>
      <c r="C299" s="883"/>
      <c r="D299" s="883"/>
      <c r="E299" s="884" t="s">
        <v>18</v>
      </c>
      <c r="F299" s="883"/>
      <c r="G299" s="994"/>
      <c r="H299" s="158" t="s">
        <v>12</v>
      </c>
      <c r="I299" s="886"/>
      <c r="J299" s="886"/>
      <c r="K299" s="887"/>
      <c r="L299" s="887">
        <f t="shared" ref="L299:N300" si="137">L302+L305</f>
        <v>0</v>
      </c>
      <c r="M299" s="887">
        <f t="shared" si="137"/>
        <v>0</v>
      </c>
      <c r="N299" s="887">
        <f t="shared" si="137"/>
        <v>0</v>
      </c>
      <c r="O299" s="887">
        <f t="shared" si="135"/>
        <v>0</v>
      </c>
      <c r="P299" s="887">
        <f t="shared" si="136"/>
        <v>0</v>
      </c>
      <c r="Q299" s="875"/>
      <c r="R299" s="875"/>
      <c r="S299" s="875"/>
      <c r="T299" s="875"/>
      <c r="U299" s="875"/>
      <c r="V299" s="875"/>
      <c r="W299" s="875"/>
      <c r="X299" s="875"/>
      <c r="Y299" s="875"/>
      <c r="Z299" s="875"/>
    </row>
    <row r="300" spans="1:26" ht="18.75" hidden="1">
      <c r="A300" s="993"/>
      <c r="B300" s="883"/>
      <c r="C300" s="883"/>
      <c r="D300" s="883"/>
      <c r="E300" s="884" t="s">
        <v>19</v>
      </c>
      <c r="F300" s="883"/>
      <c r="G300" s="994"/>
      <c r="H300" s="158" t="s">
        <v>12</v>
      </c>
      <c r="I300" s="886"/>
      <c r="J300" s="886"/>
      <c r="K300" s="887"/>
      <c r="L300" s="887">
        <f t="shared" ca="1" si="137"/>
        <v>0</v>
      </c>
      <c r="M300" s="887">
        <f t="shared" ca="1" si="137"/>
        <v>0</v>
      </c>
      <c r="N300" s="887">
        <f t="shared" ca="1" si="137"/>
        <v>0</v>
      </c>
      <c r="O300" s="887">
        <f t="shared" ca="1" si="135"/>
        <v>0</v>
      </c>
      <c r="P300" s="887">
        <f t="shared" ca="1" si="136"/>
        <v>0</v>
      </c>
      <c r="Q300" s="875"/>
      <c r="R300" s="875"/>
      <c r="S300" s="875"/>
      <c r="T300" s="875"/>
      <c r="U300" s="875"/>
      <c r="V300" s="875"/>
      <c r="W300" s="875"/>
      <c r="X300" s="875"/>
      <c r="Y300" s="875"/>
      <c r="Z300" s="875"/>
    </row>
    <row r="301" spans="1:26" ht="18.75" hidden="1">
      <c r="A301" s="995"/>
      <c r="B301" s="877"/>
      <c r="C301" s="996"/>
      <c r="D301" s="878" t="s">
        <v>20</v>
      </c>
      <c r="E301" s="877"/>
      <c r="F301" s="877"/>
      <c r="G301" s="879"/>
      <c r="H301" s="161" t="s">
        <v>12</v>
      </c>
      <c r="I301" s="997"/>
      <c r="J301" s="997"/>
      <c r="K301" s="998"/>
      <c r="L301" s="881">
        <f t="shared" ref="L301:N301" ca="1" si="138">L302+L303</f>
        <v>0</v>
      </c>
      <c r="M301" s="881">
        <f t="shared" ca="1" si="138"/>
        <v>0</v>
      </c>
      <c r="N301" s="881">
        <f t="shared" ca="1" si="138"/>
        <v>0</v>
      </c>
      <c r="O301" s="881">
        <f t="shared" ca="1" si="135"/>
        <v>0</v>
      </c>
      <c r="P301" s="881">
        <f t="shared" ca="1" si="136"/>
        <v>0</v>
      </c>
      <c r="Q301" s="868"/>
      <c r="R301" s="868"/>
      <c r="S301" s="868"/>
      <c r="T301" s="868"/>
      <c r="U301" s="868"/>
      <c r="V301" s="868"/>
      <c r="W301" s="868"/>
      <c r="X301" s="868"/>
      <c r="Y301" s="868"/>
      <c r="Z301" s="868"/>
    </row>
    <row r="302" spans="1:26" ht="19.5" hidden="1">
      <c r="A302" s="993"/>
      <c r="B302" s="883"/>
      <c r="C302" s="999"/>
      <c r="D302" s="883"/>
      <c r="E302" s="884" t="s">
        <v>36</v>
      </c>
      <c r="F302" s="883"/>
      <c r="G302" s="994"/>
      <c r="H302" s="165" t="s">
        <v>12</v>
      </c>
      <c r="I302" s="1000"/>
      <c r="J302" s="1000"/>
      <c r="K302" s="1001"/>
      <c r="L302" s="887">
        <v>0</v>
      </c>
      <c r="M302" s="887">
        <v>0</v>
      </c>
      <c r="N302" s="887">
        <v>0</v>
      </c>
      <c r="O302" s="887">
        <f t="shared" si="135"/>
        <v>0</v>
      </c>
      <c r="P302" s="887">
        <f t="shared" si="136"/>
        <v>0</v>
      </c>
      <c r="Q302" s="875"/>
      <c r="R302" s="875"/>
      <c r="S302" s="875"/>
      <c r="T302" s="875"/>
      <c r="U302" s="875"/>
      <c r="V302" s="875"/>
      <c r="W302" s="875"/>
      <c r="X302" s="875"/>
      <c r="Y302" s="875"/>
      <c r="Z302" s="875"/>
    </row>
    <row r="303" spans="1:26" ht="19.5" hidden="1">
      <c r="A303" s="993"/>
      <c r="B303" s="883"/>
      <c r="C303" s="999"/>
      <c r="D303" s="883"/>
      <c r="E303" s="884" t="s">
        <v>37</v>
      </c>
      <c r="F303" s="883"/>
      <c r="G303" s="994"/>
      <c r="H303" s="165" t="s">
        <v>12</v>
      </c>
      <c r="I303" s="1000"/>
      <c r="J303" s="1000"/>
      <c r="K303" s="1001"/>
      <c r="L303" s="887">
        <f ca="1">IFERROR(__xludf.DUMMYFUNCTION("IMPORTRANGE(""https://docs.google.com/spreadsheets/d/1MeEWN-I1oV_STSDYn1IFDPWt_1FKiwhDph83XaGc0o0/edit?usp=sharing"",""งบพรบ!DS79"")"),0)</f>
        <v>0</v>
      </c>
      <c r="M303" s="887">
        <f ca="1">IFERROR(__xludf.DUMMYFUNCTION("IMPORTRANGE(""https://docs.google.com/spreadsheets/d/1MeEWN-I1oV_STSDYn1IFDPWt_1FKiwhDph83XaGc0o0/edit?usp=sharing"",""งบพรบ!DX79"")"),0)</f>
        <v>0</v>
      </c>
      <c r="N303" s="887">
        <f ca="1">IFERROR(__xludf.DUMMYFUNCTION("IMPORTRANGE(""https://docs.google.com/spreadsheets/d/1MeEWN-I1oV_STSDYn1IFDPWt_1FKiwhDph83XaGc0o0/edit?usp=sharing"",""งบพรบ!DZ79"")"),0)</f>
        <v>0</v>
      </c>
      <c r="O303" s="887">
        <f t="shared" ca="1" si="135"/>
        <v>0</v>
      </c>
      <c r="P303" s="887">
        <f t="shared" ca="1" si="136"/>
        <v>0</v>
      </c>
      <c r="Q303" s="875"/>
      <c r="R303" s="875"/>
      <c r="S303" s="875"/>
      <c r="T303" s="875"/>
      <c r="U303" s="875"/>
      <c r="V303" s="875"/>
      <c r="W303" s="875"/>
      <c r="X303" s="875"/>
      <c r="Y303" s="875"/>
      <c r="Z303" s="875"/>
    </row>
    <row r="304" spans="1:26" ht="18.75" hidden="1">
      <c r="A304" s="995"/>
      <c r="B304" s="877"/>
      <c r="C304" s="996"/>
      <c r="D304" s="878" t="s">
        <v>21</v>
      </c>
      <c r="E304" s="877"/>
      <c r="F304" s="877"/>
      <c r="G304" s="879"/>
      <c r="H304" s="168" t="s">
        <v>12</v>
      </c>
      <c r="I304" s="997"/>
      <c r="J304" s="997"/>
      <c r="K304" s="998"/>
      <c r="L304" s="881">
        <f t="shared" ref="L304:N304" ca="1" si="139">L305+L306</f>
        <v>0</v>
      </c>
      <c r="M304" s="881">
        <f t="shared" ca="1" si="139"/>
        <v>0</v>
      </c>
      <c r="N304" s="881">
        <f t="shared" ca="1" si="139"/>
        <v>0</v>
      </c>
      <c r="O304" s="881">
        <f t="shared" ca="1" si="135"/>
        <v>0</v>
      </c>
      <c r="P304" s="881">
        <f t="shared" ca="1" si="136"/>
        <v>0</v>
      </c>
      <c r="Q304" s="868"/>
      <c r="R304" s="868"/>
      <c r="S304" s="868"/>
      <c r="T304" s="868"/>
      <c r="U304" s="868"/>
      <c r="V304" s="868"/>
      <c r="W304" s="868"/>
      <c r="X304" s="868"/>
      <c r="Y304" s="868"/>
      <c r="Z304" s="868"/>
    </row>
    <row r="305" spans="1:26" ht="19.5" hidden="1">
      <c r="A305" s="993"/>
      <c r="B305" s="883"/>
      <c r="C305" s="999"/>
      <c r="D305" s="883"/>
      <c r="E305" s="884" t="s">
        <v>18</v>
      </c>
      <c r="F305" s="883"/>
      <c r="G305" s="994"/>
      <c r="H305" s="165" t="s">
        <v>12</v>
      </c>
      <c r="I305" s="1000"/>
      <c r="J305" s="1000"/>
      <c r="K305" s="1001"/>
      <c r="L305" s="887">
        <v>0</v>
      </c>
      <c r="M305" s="887">
        <v>0</v>
      </c>
      <c r="N305" s="887">
        <v>0</v>
      </c>
      <c r="O305" s="887">
        <f t="shared" si="135"/>
        <v>0</v>
      </c>
      <c r="P305" s="887">
        <f t="shared" si="136"/>
        <v>0</v>
      </c>
      <c r="Q305" s="875"/>
      <c r="R305" s="875"/>
      <c r="S305" s="875"/>
      <c r="T305" s="875"/>
      <c r="U305" s="875"/>
      <c r="V305" s="875"/>
      <c r="W305" s="875"/>
      <c r="X305" s="875"/>
      <c r="Y305" s="875"/>
      <c r="Z305" s="875"/>
    </row>
    <row r="306" spans="1:26" ht="19.5" hidden="1">
      <c r="A306" s="993"/>
      <c r="B306" s="883"/>
      <c r="C306" s="999"/>
      <c r="D306" s="883"/>
      <c r="E306" s="884" t="s">
        <v>19</v>
      </c>
      <c r="F306" s="883"/>
      <c r="G306" s="994"/>
      <c r="H306" s="169" t="s">
        <v>12</v>
      </c>
      <c r="I306" s="1000"/>
      <c r="J306" s="1000"/>
      <c r="K306" s="1001"/>
      <c r="L306" s="887">
        <f ca="1">IFERROR(__xludf.DUMMYFUNCTION("IMPORTRANGE(""https://docs.google.com/spreadsheets/d/1MeEWN-I1oV_STSDYn1IFDPWt_1FKiwhDph83XaGc0o0/edit?usp=sharing"",""งบพรบ!DV79"")"),0)</f>
        <v>0</v>
      </c>
      <c r="M306" s="887">
        <f ca="1">IFERROR(__xludf.DUMMYFUNCTION("IMPORTRANGE(""https://docs.google.com/spreadsheets/d/1MeEWN-I1oV_STSDYn1IFDPWt_1FKiwhDph83XaGc0o0/edit?usp=sharing"",""งบพรบ!DY79"")"),0)</f>
        <v>0</v>
      </c>
      <c r="N306" s="887">
        <f ca="1">IFERROR(__xludf.DUMMYFUNCTION("IMPORTRANGE(""https://docs.google.com/spreadsheets/d/1MeEWN-I1oV_STSDYn1IFDPWt_1FKiwhDph83XaGc0o0/edit?usp=sharing"",""งบพรบ!EA79"")"),0)</f>
        <v>0</v>
      </c>
      <c r="O306" s="887">
        <f t="shared" ca="1" si="135"/>
        <v>0</v>
      </c>
      <c r="P306" s="887">
        <f t="shared" ca="1" si="136"/>
        <v>0</v>
      </c>
      <c r="Q306" s="875"/>
      <c r="R306" s="875"/>
      <c r="S306" s="875"/>
      <c r="T306" s="875"/>
      <c r="U306" s="875"/>
      <c r="V306" s="875"/>
      <c r="W306" s="875"/>
      <c r="X306" s="875"/>
      <c r="Y306" s="875"/>
      <c r="Z306" s="875"/>
    </row>
    <row r="307" spans="1:26" ht="19.5" hidden="1">
      <c r="A307" s="1002"/>
      <c r="B307" s="1003"/>
      <c r="C307" s="999" t="s">
        <v>16</v>
      </c>
      <c r="D307" s="1004" t="s">
        <v>38</v>
      </c>
      <c r="E307" s="1005"/>
      <c r="F307" s="1005"/>
      <c r="G307" s="1006"/>
      <c r="H307" s="1007"/>
      <c r="I307" s="880"/>
      <c r="J307" s="880"/>
      <c r="K307" s="881"/>
      <c r="L307" s="881"/>
      <c r="M307" s="881"/>
      <c r="N307" s="881"/>
      <c r="O307" s="881"/>
      <c r="P307" s="881"/>
    </row>
    <row r="308" spans="1:26" ht="18.75" hidden="1">
      <c r="A308" s="1002"/>
      <c r="B308" s="1003"/>
      <c r="C308" s="1003"/>
      <c r="D308" s="1009" t="s">
        <v>140</v>
      </c>
      <c r="E308" s="1009"/>
      <c r="F308" s="1009"/>
      <c r="G308" s="1011"/>
      <c r="H308" s="762"/>
      <c r="I308" s="880"/>
      <c r="J308" s="1012">
        <v>0</v>
      </c>
      <c r="K308" s="881"/>
      <c r="L308" s="881"/>
      <c r="M308" s="881"/>
      <c r="N308" s="881"/>
      <c r="O308" s="881"/>
      <c r="P308" s="881"/>
    </row>
    <row r="309" spans="1:26" ht="18.75" hidden="1">
      <c r="A309" s="1002"/>
      <c r="B309" s="1003"/>
      <c r="C309" s="1003"/>
      <c r="D309" s="1009" t="s">
        <v>141</v>
      </c>
      <c r="E309" s="1009"/>
      <c r="F309" s="1009"/>
      <c r="G309" s="1011"/>
      <c r="H309" s="762" t="s">
        <v>35</v>
      </c>
      <c r="I309" s="880">
        <f ca="1">IFERROR(__xludf.DUMMYFUNCTION("IMPORTRANGE(""https://docs.google.com/spreadsheets/d/1QqKyyYR6Q21VydFLVH3TRQUabQu_ym0Zz7PgGX0-kHA/edit?usp=sharing"",""แผน!ED79"")"),0)</f>
        <v>0</v>
      </c>
      <c r="J309" s="1012">
        <v>0</v>
      </c>
      <c r="K309" s="881">
        <f t="shared" ref="K309:K312" ca="1" si="140">IF(I309&gt;0,J309*100/I309,0)</f>
        <v>0</v>
      </c>
      <c r="L309" s="881"/>
      <c r="M309" s="881"/>
      <c r="N309" s="881"/>
      <c r="O309" s="881"/>
      <c r="P309" s="881"/>
    </row>
    <row r="310" spans="1:26" ht="18.75" hidden="1">
      <c r="A310" s="1002"/>
      <c r="B310" s="1003"/>
      <c r="C310" s="1003"/>
      <c r="D310" s="1009" t="s">
        <v>142</v>
      </c>
      <c r="E310" s="1009"/>
      <c r="F310" s="1009"/>
      <c r="G310" s="1011"/>
      <c r="H310" s="762" t="s">
        <v>35</v>
      </c>
      <c r="I310" s="880">
        <f ca="1">IFERROR(__xludf.DUMMYFUNCTION("IMPORTRANGE(""https://docs.google.com/spreadsheets/d/1QqKyyYR6Q21VydFLVH3TRQUabQu_ym0Zz7PgGX0-kHA/edit?usp=sharing"",""แผน!ED79"")"),0)</f>
        <v>0</v>
      </c>
      <c r="J310" s="1012">
        <v>0</v>
      </c>
      <c r="K310" s="881">
        <f t="shared" ca="1" si="140"/>
        <v>0</v>
      </c>
      <c r="L310" s="881"/>
      <c r="M310" s="881"/>
      <c r="N310" s="881"/>
      <c r="O310" s="881"/>
      <c r="P310" s="881"/>
    </row>
    <row r="311" spans="1:26" ht="18.75" hidden="1">
      <c r="A311" s="1002"/>
      <c r="B311" s="1003"/>
      <c r="C311" s="1003"/>
      <c r="D311" s="1009" t="s">
        <v>59</v>
      </c>
      <c r="E311" s="1009"/>
      <c r="F311" s="1009"/>
      <c r="G311" s="1011"/>
      <c r="H311" s="762" t="s">
        <v>35</v>
      </c>
      <c r="I311" s="880">
        <f ca="1">IFERROR(__xludf.DUMMYFUNCTION("IMPORTRANGE(""https://docs.google.com/spreadsheets/d/1QqKyyYR6Q21VydFLVH3TRQUabQu_ym0Zz7PgGX0-kHA/edit?usp=sharing"",""แผน!ED79"")"),0)</f>
        <v>0</v>
      </c>
      <c r="J311" s="1012">
        <v>0</v>
      </c>
      <c r="K311" s="881">
        <f t="shared" ca="1" si="140"/>
        <v>0</v>
      </c>
      <c r="L311" s="881"/>
      <c r="M311" s="881"/>
      <c r="N311" s="881"/>
      <c r="O311" s="881"/>
      <c r="P311" s="881"/>
    </row>
    <row r="312" spans="1:26" ht="18.75" hidden="1">
      <c r="A312" s="1002"/>
      <c r="B312" s="1003"/>
      <c r="C312" s="1003"/>
      <c r="D312" s="1009" t="s">
        <v>143</v>
      </c>
      <c r="E312" s="1009"/>
      <c r="F312" s="1009"/>
      <c r="G312" s="1011"/>
      <c r="H312" s="762" t="s">
        <v>35</v>
      </c>
      <c r="I312" s="880">
        <f ca="1">IFERROR(__xludf.DUMMYFUNCTION("IMPORTRANGE(""https://docs.google.com/spreadsheets/d/1QqKyyYR6Q21VydFLVH3TRQUabQu_ym0Zz7PgGX0-kHA/edit?usp=sharing"",""แผน!EE79"")"),0)</f>
        <v>0</v>
      </c>
      <c r="J312" s="1012">
        <v>0</v>
      </c>
      <c r="K312" s="881">
        <f t="shared" ca="1" si="140"/>
        <v>0</v>
      </c>
      <c r="L312" s="881"/>
      <c r="M312" s="881"/>
      <c r="N312" s="881"/>
      <c r="O312" s="881"/>
      <c r="P312" s="881"/>
    </row>
    <row r="313" spans="1:26" ht="19.5" hidden="1">
      <c r="A313" s="1179" t="s">
        <v>144</v>
      </c>
      <c r="B313" s="1180"/>
      <c r="C313" s="1180"/>
      <c r="D313" s="1181"/>
      <c r="E313" s="1180"/>
      <c r="F313" s="1180"/>
      <c r="G313" s="1180"/>
      <c r="H313" s="1193"/>
      <c r="I313" s="1184"/>
      <c r="J313" s="1184"/>
      <c r="K313" s="1185"/>
      <c r="L313" s="1185"/>
      <c r="M313" s="1185"/>
      <c r="N313" s="1185"/>
      <c r="O313" s="1185"/>
      <c r="P313" s="1185"/>
    </row>
    <row r="314" spans="1:26" ht="19.5" hidden="1">
      <c r="A314" s="1194"/>
      <c r="B314" s="1187" t="s">
        <v>145</v>
      </c>
      <c r="C314" s="1195"/>
      <c r="D314" s="1196"/>
      <c r="E314" s="1188"/>
      <c r="F314" s="1188"/>
      <c r="G314" s="1189"/>
      <c r="H314" s="444" t="s">
        <v>146</v>
      </c>
      <c r="I314" s="1190">
        <f t="shared" ref="I314:J314" ca="1" si="141">I325</f>
        <v>0</v>
      </c>
      <c r="J314" s="1190">
        <f t="shared" si="141"/>
        <v>0</v>
      </c>
      <c r="K314" s="1191">
        <f ca="1">IF(I314&gt;0,J314*100/I314,0)</f>
        <v>0</v>
      </c>
      <c r="L314" s="1192"/>
      <c r="M314" s="1192"/>
      <c r="N314" s="1192"/>
      <c r="O314" s="1192"/>
      <c r="P314" s="1192"/>
    </row>
    <row r="315" spans="1:26" ht="19.5" hidden="1">
      <c r="A315" s="985"/>
      <c r="B315" s="986"/>
      <c r="C315" s="987" t="s">
        <v>16</v>
      </c>
      <c r="D315" s="988" t="s">
        <v>17</v>
      </c>
      <c r="E315" s="986"/>
      <c r="F315" s="986"/>
      <c r="G315" s="989"/>
      <c r="H315" s="152" t="s">
        <v>12</v>
      </c>
      <c r="I315" s="990"/>
      <c r="J315" s="990"/>
      <c r="K315" s="991"/>
      <c r="L315" s="992">
        <f t="shared" ref="L315:N315" ca="1" si="142">L316+L317</f>
        <v>0</v>
      </c>
      <c r="M315" s="992">
        <f t="shared" ca="1" si="142"/>
        <v>0</v>
      </c>
      <c r="N315" s="992">
        <f t="shared" ca="1" si="142"/>
        <v>0</v>
      </c>
      <c r="O315" s="992">
        <f t="shared" ref="O315:O323" ca="1" si="143">IF(L315&gt;0,N315*100/L315,0)</f>
        <v>0</v>
      </c>
      <c r="P315" s="992">
        <f t="shared" ref="P315:P323" ca="1" si="144">IF(M315&gt;0,N315*100/M315,0)</f>
        <v>0</v>
      </c>
      <c r="Q315" s="868"/>
      <c r="R315" s="868"/>
      <c r="S315" s="868"/>
      <c r="T315" s="868"/>
      <c r="U315" s="868"/>
      <c r="V315" s="868"/>
      <c r="W315" s="868"/>
      <c r="X315" s="868"/>
      <c r="Y315" s="868"/>
      <c r="Z315" s="868"/>
    </row>
    <row r="316" spans="1:26" ht="18.75" hidden="1">
      <c r="A316" s="993"/>
      <c r="B316" s="883"/>
      <c r="C316" s="883"/>
      <c r="D316" s="883"/>
      <c r="E316" s="884" t="s">
        <v>18</v>
      </c>
      <c r="F316" s="883"/>
      <c r="G316" s="994"/>
      <c r="H316" s="158" t="s">
        <v>12</v>
      </c>
      <c r="I316" s="886"/>
      <c r="J316" s="886"/>
      <c r="K316" s="887"/>
      <c r="L316" s="887">
        <f t="shared" ref="L316:N317" si="145">L319+L322</f>
        <v>0</v>
      </c>
      <c r="M316" s="887">
        <f t="shared" si="145"/>
        <v>0</v>
      </c>
      <c r="N316" s="887">
        <f t="shared" si="145"/>
        <v>0</v>
      </c>
      <c r="O316" s="887">
        <f t="shared" si="143"/>
        <v>0</v>
      </c>
      <c r="P316" s="887">
        <f t="shared" si="144"/>
        <v>0</v>
      </c>
      <c r="Q316" s="875"/>
      <c r="R316" s="875"/>
      <c r="S316" s="875"/>
      <c r="T316" s="875"/>
      <c r="U316" s="875"/>
      <c r="V316" s="875"/>
      <c r="W316" s="875"/>
      <c r="X316" s="875"/>
      <c r="Y316" s="875"/>
      <c r="Z316" s="875"/>
    </row>
    <row r="317" spans="1:26" ht="18.75" hidden="1">
      <c r="A317" s="993"/>
      <c r="B317" s="883"/>
      <c r="C317" s="883"/>
      <c r="D317" s="883"/>
      <c r="E317" s="884" t="s">
        <v>19</v>
      </c>
      <c r="F317" s="883"/>
      <c r="G317" s="994"/>
      <c r="H317" s="158" t="s">
        <v>12</v>
      </c>
      <c r="I317" s="886"/>
      <c r="J317" s="886"/>
      <c r="K317" s="887"/>
      <c r="L317" s="887">
        <f t="shared" ca="1" si="145"/>
        <v>0</v>
      </c>
      <c r="M317" s="887">
        <f t="shared" ca="1" si="145"/>
        <v>0</v>
      </c>
      <c r="N317" s="887">
        <f t="shared" ca="1" si="145"/>
        <v>0</v>
      </c>
      <c r="O317" s="887">
        <f t="shared" ca="1" si="143"/>
        <v>0</v>
      </c>
      <c r="P317" s="887">
        <f t="shared" ca="1" si="144"/>
        <v>0</v>
      </c>
      <c r="Q317" s="875"/>
      <c r="R317" s="875"/>
      <c r="S317" s="875"/>
      <c r="T317" s="875"/>
      <c r="U317" s="875"/>
      <c r="V317" s="875"/>
      <c r="W317" s="875"/>
      <c r="X317" s="875"/>
      <c r="Y317" s="875"/>
      <c r="Z317" s="875"/>
    </row>
    <row r="318" spans="1:26" ht="18.75" hidden="1">
      <c r="A318" s="995"/>
      <c r="B318" s="877"/>
      <c r="C318" s="996"/>
      <c r="D318" s="878" t="s">
        <v>20</v>
      </c>
      <c r="E318" s="877"/>
      <c r="F318" s="877"/>
      <c r="G318" s="879"/>
      <c r="H318" s="161" t="s">
        <v>12</v>
      </c>
      <c r="I318" s="997"/>
      <c r="J318" s="997"/>
      <c r="K318" s="998"/>
      <c r="L318" s="881">
        <f t="shared" ref="L318:N318" ca="1" si="146">L319+L320</f>
        <v>0</v>
      </c>
      <c r="M318" s="881">
        <f t="shared" ca="1" si="146"/>
        <v>0</v>
      </c>
      <c r="N318" s="881">
        <f t="shared" ca="1" si="146"/>
        <v>0</v>
      </c>
      <c r="O318" s="881">
        <f t="shared" ca="1" si="143"/>
        <v>0</v>
      </c>
      <c r="P318" s="881">
        <f t="shared" ca="1" si="144"/>
        <v>0</v>
      </c>
      <c r="Q318" s="868"/>
      <c r="R318" s="868"/>
      <c r="S318" s="868"/>
      <c r="T318" s="868"/>
      <c r="U318" s="868"/>
      <c r="V318" s="868"/>
      <c r="W318" s="868"/>
      <c r="X318" s="868"/>
      <c r="Y318" s="868"/>
      <c r="Z318" s="868"/>
    </row>
    <row r="319" spans="1:26" ht="19.5" hidden="1">
      <c r="A319" s="993"/>
      <c r="B319" s="883"/>
      <c r="C319" s="999"/>
      <c r="D319" s="883"/>
      <c r="E319" s="884" t="s">
        <v>36</v>
      </c>
      <c r="F319" s="883"/>
      <c r="G319" s="994"/>
      <c r="H319" s="165" t="s">
        <v>12</v>
      </c>
      <c r="I319" s="1000"/>
      <c r="J319" s="1000"/>
      <c r="K319" s="1001"/>
      <c r="L319" s="887">
        <v>0</v>
      </c>
      <c r="M319" s="887">
        <v>0</v>
      </c>
      <c r="N319" s="887">
        <v>0</v>
      </c>
      <c r="O319" s="887">
        <f t="shared" si="143"/>
        <v>0</v>
      </c>
      <c r="P319" s="887">
        <f t="shared" si="144"/>
        <v>0</v>
      </c>
      <c r="Q319" s="875"/>
      <c r="R319" s="875"/>
      <c r="S319" s="875"/>
      <c r="T319" s="875"/>
      <c r="U319" s="875"/>
      <c r="V319" s="875"/>
      <c r="W319" s="875"/>
      <c r="X319" s="875"/>
      <c r="Y319" s="875"/>
      <c r="Z319" s="875"/>
    </row>
    <row r="320" spans="1:26" ht="19.5" hidden="1">
      <c r="A320" s="993"/>
      <c r="B320" s="883"/>
      <c r="C320" s="999"/>
      <c r="D320" s="883"/>
      <c r="E320" s="884" t="s">
        <v>37</v>
      </c>
      <c r="F320" s="883"/>
      <c r="G320" s="994"/>
      <c r="H320" s="165" t="s">
        <v>12</v>
      </c>
      <c r="I320" s="1000"/>
      <c r="J320" s="1000"/>
      <c r="K320" s="1001"/>
      <c r="L320" s="887">
        <f ca="1">IFERROR(__xludf.DUMMYFUNCTION("IMPORTRANGE(""https://docs.google.com/spreadsheets/d/1MeEWN-I1oV_STSDYn1IFDPWt_1FKiwhDph83XaGc0o0/edit?usp=sharing"",""งบพรบ!EC79"")"),0)</f>
        <v>0</v>
      </c>
      <c r="M320" s="887">
        <f ca="1">IFERROR(__xludf.DUMMYFUNCTION("IMPORTRANGE(""https://docs.google.com/spreadsheets/d/1MeEWN-I1oV_STSDYn1IFDPWt_1FKiwhDph83XaGc0o0/edit?usp=sharing"",""งบพรบ!EH79"")"),0)</f>
        <v>0</v>
      </c>
      <c r="N320" s="887">
        <f ca="1">IFERROR(__xludf.DUMMYFUNCTION("IMPORTRANGE(""https://docs.google.com/spreadsheets/d/1MeEWN-I1oV_STSDYn1IFDPWt_1FKiwhDph83XaGc0o0/edit?usp=sharing"",""งบพรบ!EJ79"")"),0)</f>
        <v>0</v>
      </c>
      <c r="O320" s="887">
        <f t="shared" ca="1" si="143"/>
        <v>0</v>
      </c>
      <c r="P320" s="887">
        <f t="shared" ca="1" si="144"/>
        <v>0</v>
      </c>
      <c r="Q320" s="875"/>
      <c r="R320" s="875"/>
      <c r="S320" s="875"/>
      <c r="T320" s="875"/>
      <c r="U320" s="875"/>
      <c r="V320" s="875"/>
      <c r="W320" s="875"/>
      <c r="X320" s="875"/>
      <c r="Y320" s="875"/>
      <c r="Z320" s="875"/>
    </row>
    <row r="321" spans="1:26" ht="18.75" hidden="1">
      <c r="A321" s="995"/>
      <c r="B321" s="877"/>
      <c r="C321" s="996"/>
      <c r="D321" s="878" t="s">
        <v>21</v>
      </c>
      <c r="E321" s="877"/>
      <c r="F321" s="877"/>
      <c r="G321" s="879"/>
      <c r="H321" s="168" t="s">
        <v>12</v>
      </c>
      <c r="I321" s="997"/>
      <c r="J321" s="997"/>
      <c r="K321" s="998"/>
      <c r="L321" s="881">
        <f t="shared" ref="L321:N321" ca="1" si="147">L322+L323</f>
        <v>0</v>
      </c>
      <c r="M321" s="881">
        <f t="shared" ca="1" si="147"/>
        <v>0</v>
      </c>
      <c r="N321" s="881">
        <f t="shared" ca="1" si="147"/>
        <v>0</v>
      </c>
      <c r="O321" s="881">
        <f t="shared" ca="1" si="143"/>
        <v>0</v>
      </c>
      <c r="P321" s="881">
        <f t="shared" ca="1" si="144"/>
        <v>0</v>
      </c>
      <c r="Q321" s="868"/>
      <c r="R321" s="868"/>
      <c r="S321" s="868"/>
      <c r="T321" s="868"/>
      <c r="U321" s="868"/>
      <c r="V321" s="868"/>
      <c r="W321" s="868"/>
      <c r="X321" s="868"/>
      <c r="Y321" s="868"/>
      <c r="Z321" s="868"/>
    </row>
    <row r="322" spans="1:26" ht="19.5" hidden="1">
      <c r="A322" s="993"/>
      <c r="B322" s="883"/>
      <c r="C322" s="999"/>
      <c r="D322" s="883"/>
      <c r="E322" s="884" t="s">
        <v>18</v>
      </c>
      <c r="F322" s="883"/>
      <c r="G322" s="994"/>
      <c r="H322" s="165" t="s">
        <v>12</v>
      </c>
      <c r="I322" s="1000"/>
      <c r="J322" s="1000"/>
      <c r="K322" s="1001"/>
      <c r="L322" s="887">
        <v>0</v>
      </c>
      <c r="M322" s="887">
        <v>0</v>
      </c>
      <c r="N322" s="887">
        <v>0</v>
      </c>
      <c r="O322" s="887">
        <f t="shared" si="143"/>
        <v>0</v>
      </c>
      <c r="P322" s="887">
        <f t="shared" si="144"/>
        <v>0</v>
      </c>
      <c r="Q322" s="875"/>
      <c r="R322" s="875"/>
      <c r="S322" s="875"/>
      <c r="T322" s="875"/>
      <c r="U322" s="875"/>
      <c r="V322" s="875"/>
      <c r="W322" s="875"/>
      <c r="X322" s="875"/>
      <c r="Y322" s="875"/>
      <c r="Z322" s="875"/>
    </row>
    <row r="323" spans="1:26" ht="19.5" hidden="1">
      <c r="A323" s="993"/>
      <c r="B323" s="883"/>
      <c r="C323" s="999"/>
      <c r="D323" s="883"/>
      <c r="E323" s="884" t="s">
        <v>19</v>
      </c>
      <c r="F323" s="883"/>
      <c r="G323" s="994"/>
      <c r="H323" s="169" t="s">
        <v>12</v>
      </c>
      <c r="I323" s="1000"/>
      <c r="J323" s="1000"/>
      <c r="K323" s="1001"/>
      <c r="L323" s="887">
        <f ca="1">IFERROR(__xludf.DUMMYFUNCTION("IMPORTRANGE(""https://docs.google.com/spreadsheets/d/1MeEWN-I1oV_STSDYn1IFDPWt_1FKiwhDph83XaGc0o0/edit?usp=sharing"",""งบพรบ!EF79"")"),0)</f>
        <v>0</v>
      </c>
      <c r="M323" s="887">
        <f ca="1">IFERROR(__xludf.DUMMYFUNCTION("IMPORTRANGE(""https://docs.google.com/spreadsheets/d/1MeEWN-I1oV_STSDYn1IFDPWt_1FKiwhDph83XaGc0o0/edit?usp=sharing"",""งบพรบ!EI79"")"),0)</f>
        <v>0</v>
      </c>
      <c r="N323" s="887">
        <f ca="1">IFERROR(__xludf.DUMMYFUNCTION("IMPORTRANGE(""https://docs.google.com/spreadsheets/d/1MeEWN-I1oV_STSDYn1IFDPWt_1FKiwhDph83XaGc0o0/edit?usp=sharing"",""งบพรบ!EK79"")"),0)</f>
        <v>0</v>
      </c>
      <c r="O323" s="887">
        <f t="shared" ca="1" si="143"/>
        <v>0</v>
      </c>
      <c r="P323" s="887">
        <f t="shared" ca="1" si="144"/>
        <v>0</v>
      </c>
      <c r="Q323" s="875"/>
      <c r="R323" s="875"/>
      <c r="S323" s="875"/>
      <c r="T323" s="875"/>
      <c r="U323" s="875"/>
      <c r="V323" s="875"/>
      <c r="W323" s="875"/>
      <c r="X323" s="875"/>
      <c r="Y323" s="875"/>
      <c r="Z323" s="875"/>
    </row>
    <row r="324" spans="1:26" ht="19.5" hidden="1">
      <c r="A324" s="1002"/>
      <c r="B324" s="1003"/>
      <c r="C324" s="999" t="s">
        <v>16</v>
      </c>
      <c r="D324" s="1004" t="s">
        <v>38</v>
      </c>
      <c r="E324" s="1005"/>
      <c r="F324" s="1005"/>
      <c r="G324" s="1006"/>
      <c r="H324" s="1007"/>
      <c r="I324" s="997"/>
      <c r="J324" s="880"/>
      <c r="K324" s="881"/>
      <c r="L324" s="881"/>
      <c r="M324" s="881"/>
      <c r="N324" s="881"/>
      <c r="O324" s="998"/>
      <c r="P324" s="998"/>
    </row>
    <row r="325" spans="1:26" ht="18.75" hidden="1">
      <c r="A325" s="1002"/>
      <c r="B325" s="1003"/>
      <c r="C325" s="1003"/>
      <c r="D325" s="1008" t="s">
        <v>147</v>
      </c>
      <c r="E325" s="1010"/>
      <c r="F325" s="1009"/>
      <c r="G325" s="1011"/>
      <c r="H325" s="622" t="s">
        <v>146</v>
      </c>
      <c r="I325" s="880">
        <f ca="1">IFERROR(__xludf.DUMMYFUNCTION("IMPORTRANGE(""https://docs.google.com/spreadsheets/d/1QqKyyYR6Q21VydFLVH3TRQUabQu_ym0Zz7PgGX0-kHA/edit?usp=sharing"",""แผน!EF79"")"),0)</f>
        <v>0</v>
      </c>
      <c r="J325" s="1012">
        <v>0</v>
      </c>
      <c r="K325" s="881">
        <f ca="1">IF(I325&gt;0,J325*100/I325,0)</f>
        <v>0</v>
      </c>
      <c r="L325" s="881"/>
      <c r="M325" s="881"/>
      <c r="N325" s="881"/>
      <c r="O325" s="998"/>
      <c r="P325" s="998"/>
    </row>
    <row r="326" spans="1:26" ht="19.5">
      <c r="A326" s="1179" t="s">
        <v>148</v>
      </c>
      <c r="B326" s="1180"/>
      <c r="C326" s="1180"/>
      <c r="D326" s="1181"/>
      <c r="E326" s="1180"/>
      <c r="F326" s="1180"/>
      <c r="G326" s="1180"/>
      <c r="H326" s="1193"/>
      <c r="I326" s="1184"/>
      <c r="J326" s="1184"/>
      <c r="K326" s="1185"/>
      <c r="L326" s="1185"/>
      <c r="M326" s="1185"/>
      <c r="N326" s="1185"/>
      <c r="O326" s="1185"/>
      <c r="P326" s="1185"/>
    </row>
    <row r="327" spans="1:26" ht="19.5">
      <c r="A327" s="1186"/>
      <c r="B327" s="1187" t="s">
        <v>149</v>
      </c>
      <c r="C327" s="1196"/>
      <c r="D327" s="1188"/>
      <c r="E327" s="1188"/>
      <c r="F327" s="1188"/>
      <c r="G327" s="1189"/>
      <c r="H327" s="444" t="s">
        <v>35</v>
      </c>
      <c r="I327" s="1190">
        <f ca="1">IFERROR(__xludf.DUMMYFUNCTION("IMPORTRANGE(""https://docs.google.com/spreadsheets/d/1QqKyyYR6Q21VydFLVH3TRQUabQu_ym0Zz7PgGX0-kHA/edit?usp=sharing"",""แผน!EG79"")"),300)</f>
        <v>300</v>
      </c>
      <c r="J327" s="1190">
        <f ca="1">J338+J341+J342+J343</f>
        <v>447</v>
      </c>
      <c r="K327" s="1191">
        <f ca="1">IF(I327&gt;0,J327*100/I327,0)</f>
        <v>149</v>
      </c>
      <c r="L327" s="1192"/>
      <c r="M327" s="1192"/>
      <c r="N327" s="1192"/>
      <c r="O327" s="1192"/>
      <c r="P327" s="1192"/>
    </row>
    <row r="328" spans="1:26" ht="19.5">
      <c r="A328" s="985"/>
      <c r="B328" s="986"/>
      <c r="C328" s="987" t="s">
        <v>16</v>
      </c>
      <c r="D328" s="988" t="s">
        <v>17</v>
      </c>
      <c r="E328" s="986"/>
      <c r="F328" s="986"/>
      <c r="G328" s="989"/>
      <c r="H328" s="152" t="s">
        <v>12</v>
      </c>
      <c r="I328" s="990"/>
      <c r="J328" s="990"/>
      <c r="K328" s="991"/>
      <c r="L328" s="992">
        <f t="shared" ref="L328:N328" ca="1" si="148">L329+L330</f>
        <v>157000</v>
      </c>
      <c r="M328" s="992">
        <f t="shared" ca="1" si="148"/>
        <v>120250</v>
      </c>
      <c r="N328" s="992">
        <f t="shared" ca="1" si="148"/>
        <v>72578</v>
      </c>
      <c r="O328" s="992">
        <f t="shared" ref="O328:O336" ca="1" si="149">IF(L328&gt;0,N328*100/L328,0)</f>
        <v>46.228025477707007</v>
      </c>
      <c r="P328" s="992">
        <f t="shared" ref="P328:P336" ca="1" si="150">IF(M328&gt;0,N328*100/M328,0)</f>
        <v>60.355925155925156</v>
      </c>
      <c r="Q328" s="868"/>
      <c r="R328" s="868"/>
      <c r="S328" s="868"/>
      <c r="T328" s="868"/>
      <c r="U328" s="868"/>
      <c r="V328" s="868"/>
      <c r="W328" s="868"/>
      <c r="X328" s="868"/>
      <c r="Y328" s="868"/>
      <c r="Z328" s="868"/>
    </row>
    <row r="329" spans="1:26" ht="18.75" hidden="1">
      <c r="A329" s="993"/>
      <c r="B329" s="883"/>
      <c r="C329" s="883"/>
      <c r="D329" s="883"/>
      <c r="E329" s="884" t="s">
        <v>18</v>
      </c>
      <c r="F329" s="883"/>
      <c r="G329" s="994"/>
      <c r="H329" s="158" t="s">
        <v>12</v>
      </c>
      <c r="I329" s="886"/>
      <c r="J329" s="886"/>
      <c r="K329" s="887"/>
      <c r="L329" s="887">
        <f t="shared" ref="L329:N330" si="151">L332+L335</f>
        <v>0</v>
      </c>
      <c r="M329" s="887">
        <f t="shared" si="151"/>
        <v>0</v>
      </c>
      <c r="N329" s="887">
        <f t="shared" si="151"/>
        <v>0</v>
      </c>
      <c r="O329" s="887">
        <f t="shared" si="149"/>
        <v>0</v>
      </c>
      <c r="P329" s="887">
        <f t="shared" si="150"/>
        <v>0</v>
      </c>
      <c r="Q329" s="875"/>
      <c r="R329" s="875"/>
      <c r="S329" s="875"/>
      <c r="T329" s="875"/>
      <c r="U329" s="875"/>
      <c r="V329" s="875"/>
      <c r="W329" s="875"/>
      <c r="X329" s="875"/>
      <c r="Y329" s="875"/>
      <c r="Z329" s="875"/>
    </row>
    <row r="330" spans="1:26" ht="18.75" hidden="1">
      <c r="A330" s="993"/>
      <c r="B330" s="883"/>
      <c r="C330" s="883"/>
      <c r="D330" s="883"/>
      <c r="E330" s="884" t="s">
        <v>19</v>
      </c>
      <c r="F330" s="883"/>
      <c r="G330" s="994"/>
      <c r="H330" s="158" t="s">
        <v>12</v>
      </c>
      <c r="I330" s="886"/>
      <c r="J330" s="886"/>
      <c r="K330" s="887"/>
      <c r="L330" s="887">
        <f t="shared" ca="1" si="151"/>
        <v>157000</v>
      </c>
      <c r="M330" s="887">
        <f t="shared" ca="1" si="151"/>
        <v>120250</v>
      </c>
      <c r="N330" s="887">
        <f t="shared" ca="1" si="151"/>
        <v>72578</v>
      </c>
      <c r="O330" s="887">
        <f t="shared" ca="1" si="149"/>
        <v>46.228025477707007</v>
      </c>
      <c r="P330" s="887">
        <f t="shared" ca="1" si="150"/>
        <v>60.355925155925156</v>
      </c>
      <c r="Q330" s="875"/>
      <c r="R330" s="875"/>
      <c r="S330" s="875"/>
      <c r="T330" s="875"/>
      <c r="U330" s="875"/>
      <c r="V330" s="875"/>
      <c r="W330" s="875"/>
      <c r="X330" s="875"/>
      <c r="Y330" s="875"/>
      <c r="Z330" s="875"/>
    </row>
    <row r="331" spans="1:26" ht="18.75">
      <c r="A331" s="995"/>
      <c r="B331" s="877"/>
      <c r="C331" s="996"/>
      <c r="D331" s="878" t="s">
        <v>20</v>
      </c>
      <c r="E331" s="877"/>
      <c r="F331" s="877"/>
      <c r="G331" s="879"/>
      <c r="H331" s="161" t="s">
        <v>12</v>
      </c>
      <c r="I331" s="997"/>
      <c r="J331" s="997"/>
      <c r="K331" s="998"/>
      <c r="L331" s="881">
        <f t="shared" ref="L331:N331" ca="1" si="152">L332+L333</f>
        <v>157000</v>
      </c>
      <c r="M331" s="881">
        <f t="shared" ca="1" si="152"/>
        <v>120250</v>
      </c>
      <c r="N331" s="881">
        <f t="shared" ca="1" si="152"/>
        <v>72578</v>
      </c>
      <c r="O331" s="881">
        <f t="shared" ca="1" si="149"/>
        <v>46.228025477707007</v>
      </c>
      <c r="P331" s="881">
        <f t="shared" ca="1" si="150"/>
        <v>60.355925155925156</v>
      </c>
      <c r="Q331" s="868"/>
      <c r="R331" s="868"/>
      <c r="S331" s="868"/>
      <c r="T331" s="868"/>
      <c r="U331" s="868"/>
      <c r="V331" s="868"/>
      <c r="W331" s="868"/>
      <c r="X331" s="868"/>
      <c r="Y331" s="868"/>
      <c r="Z331" s="868"/>
    </row>
    <row r="332" spans="1:26" ht="19.5" hidden="1">
      <c r="A332" s="993"/>
      <c r="B332" s="883"/>
      <c r="C332" s="999"/>
      <c r="D332" s="883"/>
      <c r="E332" s="884" t="s">
        <v>36</v>
      </c>
      <c r="F332" s="883"/>
      <c r="G332" s="994"/>
      <c r="H332" s="165" t="s">
        <v>12</v>
      </c>
      <c r="I332" s="1000"/>
      <c r="J332" s="1000"/>
      <c r="K332" s="1001"/>
      <c r="L332" s="887">
        <v>0</v>
      </c>
      <c r="M332" s="887">
        <v>0</v>
      </c>
      <c r="N332" s="887">
        <v>0</v>
      </c>
      <c r="O332" s="887">
        <f t="shared" si="149"/>
        <v>0</v>
      </c>
      <c r="P332" s="887">
        <f t="shared" si="150"/>
        <v>0</v>
      </c>
      <c r="Q332" s="875"/>
      <c r="R332" s="875"/>
      <c r="S332" s="875"/>
      <c r="T332" s="875"/>
      <c r="U332" s="875"/>
      <c r="V332" s="875"/>
      <c r="W332" s="875"/>
      <c r="X332" s="875"/>
      <c r="Y332" s="875"/>
      <c r="Z332" s="875"/>
    </row>
    <row r="333" spans="1:26" ht="19.5" hidden="1">
      <c r="A333" s="993"/>
      <c r="B333" s="883"/>
      <c r="C333" s="999"/>
      <c r="D333" s="883"/>
      <c r="E333" s="884" t="s">
        <v>37</v>
      </c>
      <c r="F333" s="883"/>
      <c r="G333" s="994"/>
      <c r="H333" s="165" t="s">
        <v>12</v>
      </c>
      <c r="I333" s="1000"/>
      <c r="J333" s="1000"/>
      <c r="K333" s="1001"/>
      <c r="L333" s="887">
        <f ca="1">IFERROR(__xludf.DUMMYFUNCTION("IMPORTRANGE(""https://docs.google.com/spreadsheets/d/1MeEWN-I1oV_STSDYn1IFDPWt_1FKiwhDph83XaGc0o0/edit?usp=sharing"",""งบพรบ!EM79"")"),157000)</f>
        <v>157000</v>
      </c>
      <c r="M333" s="887">
        <f ca="1">IFERROR(__xludf.DUMMYFUNCTION("IMPORTRANGE(""https://docs.google.com/spreadsheets/d/1MeEWN-I1oV_STSDYn1IFDPWt_1FKiwhDph83XaGc0o0/edit?usp=sharing"",""งบพรบ!ER79"")"),120250)</f>
        <v>120250</v>
      </c>
      <c r="N333" s="887">
        <f ca="1">IFERROR(__xludf.DUMMYFUNCTION("IMPORTRANGE(""https://docs.google.com/spreadsheets/d/1MeEWN-I1oV_STSDYn1IFDPWt_1FKiwhDph83XaGc0o0/edit?usp=sharing"",""งบพรบ!ET79"")"),72578)</f>
        <v>72578</v>
      </c>
      <c r="O333" s="887">
        <f t="shared" ca="1" si="149"/>
        <v>46.228025477707007</v>
      </c>
      <c r="P333" s="887">
        <f t="shared" ca="1" si="150"/>
        <v>60.355925155925156</v>
      </c>
      <c r="Q333" s="875"/>
      <c r="R333" s="875"/>
      <c r="S333" s="875"/>
      <c r="T333" s="875"/>
      <c r="U333" s="875"/>
      <c r="V333" s="875"/>
      <c r="W333" s="875"/>
      <c r="X333" s="875"/>
      <c r="Y333" s="875"/>
      <c r="Z333" s="875"/>
    </row>
    <row r="334" spans="1:26" ht="18.75">
      <c r="A334" s="995"/>
      <c r="B334" s="877"/>
      <c r="C334" s="996"/>
      <c r="D334" s="878" t="s">
        <v>21</v>
      </c>
      <c r="E334" s="877"/>
      <c r="F334" s="877"/>
      <c r="G334" s="879"/>
      <c r="H334" s="168" t="s">
        <v>12</v>
      </c>
      <c r="I334" s="997"/>
      <c r="J334" s="997"/>
      <c r="K334" s="998"/>
      <c r="L334" s="881">
        <f t="shared" ref="L334:N334" ca="1" si="153">L335+L336</f>
        <v>0</v>
      </c>
      <c r="M334" s="881">
        <f t="shared" ca="1" si="153"/>
        <v>0</v>
      </c>
      <c r="N334" s="881">
        <f t="shared" ca="1" si="153"/>
        <v>0</v>
      </c>
      <c r="O334" s="881">
        <f t="shared" ca="1" si="149"/>
        <v>0</v>
      </c>
      <c r="P334" s="881">
        <f t="shared" ca="1" si="150"/>
        <v>0</v>
      </c>
      <c r="Q334" s="868"/>
      <c r="R334" s="868"/>
      <c r="S334" s="868"/>
      <c r="T334" s="868"/>
      <c r="U334" s="868"/>
      <c r="V334" s="868"/>
      <c r="W334" s="868"/>
      <c r="X334" s="868"/>
      <c r="Y334" s="868"/>
      <c r="Z334" s="868"/>
    </row>
    <row r="335" spans="1:26" ht="19.5" hidden="1">
      <c r="A335" s="993"/>
      <c r="B335" s="883"/>
      <c r="C335" s="999"/>
      <c r="D335" s="883"/>
      <c r="E335" s="884" t="s">
        <v>18</v>
      </c>
      <c r="F335" s="883"/>
      <c r="G335" s="994"/>
      <c r="H335" s="165" t="s">
        <v>12</v>
      </c>
      <c r="I335" s="1000"/>
      <c r="J335" s="1000"/>
      <c r="K335" s="1001"/>
      <c r="L335" s="887">
        <v>0</v>
      </c>
      <c r="M335" s="887">
        <v>0</v>
      </c>
      <c r="N335" s="887">
        <v>0</v>
      </c>
      <c r="O335" s="887">
        <f t="shared" si="149"/>
        <v>0</v>
      </c>
      <c r="P335" s="887">
        <f t="shared" si="150"/>
        <v>0</v>
      </c>
      <c r="Q335" s="875"/>
      <c r="R335" s="875"/>
      <c r="S335" s="875"/>
      <c r="T335" s="875"/>
      <c r="U335" s="875"/>
      <c r="V335" s="875"/>
      <c r="W335" s="875"/>
      <c r="X335" s="875"/>
      <c r="Y335" s="875"/>
      <c r="Z335" s="875"/>
    </row>
    <row r="336" spans="1:26" ht="19.5" hidden="1">
      <c r="A336" s="993"/>
      <c r="B336" s="883"/>
      <c r="C336" s="999"/>
      <c r="D336" s="883"/>
      <c r="E336" s="884" t="s">
        <v>19</v>
      </c>
      <c r="F336" s="883"/>
      <c r="G336" s="994"/>
      <c r="H336" s="169" t="s">
        <v>12</v>
      </c>
      <c r="I336" s="1000"/>
      <c r="J336" s="1000"/>
      <c r="K336" s="1001"/>
      <c r="L336" s="887">
        <f ca="1">IFERROR(__xludf.DUMMYFUNCTION("IMPORTRANGE(""https://docs.google.com/spreadsheets/d/1MeEWN-I1oV_STSDYn1IFDPWt_1FKiwhDph83XaGc0o0/edit?usp=sharing"",""งบพรบ!EP79"")"),0)</f>
        <v>0</v>
      </c>
      <c r="M336" s="887">
        <f ca="1">IFERROR(__xludf.DUMMYFUNCTION("IMPORTRANGE(""https://docs.google.com/spreadsheets/d/1MeEWN-I1oV_STSDYn1IFDPWt_1FKiwhDph83XaGc0o0/edit?usp=sharing"",""งบพรบ!ES79"")"),0)</f>
        <v>0</v>
      </c>
      <c r="N336" s="887">
        <f ca="1">IFERROR(__xludf.DUMMYFUNCTION("IMPORTRANGE(""https://docs.google.com/spreadsheets/d/1MeEWN-I1oV_STSDYn1IFDPWt_1FKiwhDph83XaGc0o0/edit?usp=sharing"",""งบพรบ!EU79"")"),0)</f>
        <v>0</v>
      </c>
      <c r="O336" s="887">
        <f t="shared" ca="1" si="149"/>
        <v>0</v>
      </c>
      <c r="P336" s="887">
        <f t="shared" ca="1" si="150"/>
        <v>0</v>
      </c>
      <c r="Q336" s="875"/>
      <c r="R336" s="875"/>
      <c r="S336" s="875"/>
      <c r="T336" s="875"/>
      <c r="U336" s="875"/>
      <c r="V336" s="875"/>
      <c r="W336" s="875"/>
      <c r="X336" s="875"/>
      <c r="Y336" s="875"/>
      <c r="Z336" s="875"/>
    </row>
    <row r="337" spans="1:26" ht="19.5">
      <c r="A337" s="1002"/>
      <c r="B337" s="1003"/>
      <c r="C337" s="999" t="s">
        <v>16</v>
      </c>
      <c r="D337" s="1004" t="s">
        <v>38</v>
      </c>
      <c r="E337" s="1005"/>
      <c r="F337" s="1005"/>
      <c r="G337" s="1006"/>
      <c r="H337" s="1007"/>
      <c r="I337" s="997"/>
      <c r="J337" s="880"/>
      <c r="K337" s="881"/>
      <c r="L337" s="881"/>
      <c r="M337" s="881"/>
      <c r="N337" s="881"/>
      <c r="O337" s="998"/>
      <c r="P337" s="998"/>
    </row>
    <row r="338" spans="1:26" ht="18.75">
      <c r="A338" s="1086"/>
      <c r="B338" s="877"/>
      <c r="C338" s="1084"/>
      <c r="D338" s="1009" t="s">
        <v>150</v>
      </c>
      <c r="E338" s="1003"/>
      <c r="F338" s="877"/>
      <c r="G338" s="879"/>
      <c r="H338" s="277" t="s">
        <v>35</v>
      </c>
      <c r="I338" s="880">
        <f ca="1">IFERROR(__xludf.DUMMYFUNCTION("IMPORTRANGE(""https://docs.google.com/spreadsheets/d/1QqKyyYR6Q21VydFLVH3TRQUabQu_ym0Zz7PgGX0-kHA/edit?usp=sharing"",""แผน!EG79"")"),300)</f>
        <v>300</v>
      </c>
      <c r="J338" s="880">
        <f ca="1">IFERROR(__xludf.DUMMYFUNCTION("IMPORTRANGE(""https://docs.google.com/spreadsheets/d/1kVcqe37tkHyjCSG3S0O1AXqVkqjo8mSIZil3BcpIysc/edit?usp=sharing"",""ศูนย์!D79"")"),212)</f>
        <v>212</v>
      </c>
      <c r="K338" s="881">
        <f ca="1">IF(I338&gt;0,J338*100/I338,0)</f>
        <v>70.666666666666671</v>
      </c>
      <c r="L338" s="881"/>
      <c r="M338" s="881"/>
      <c r="N338" s="881"/>
      <c r="O338" s="881"/>
      <c r="P338" s="881"/>
    </row>
    <row r="339" spans="1:26" ht="18.75">
      <c r="A339" s="1086"/>
      <c r="B339" s="877"/>
      <c r="C339" s="1084"/>
      <c r="D339" s="1009" t="s">
        <v>151</v>
      </c>
      <c r="E339" s="1003"/>
      <c r="F339" s="877"/>
      <c r="G339" s="879"/>
      <c r="H339" s="277"/>
      <c r="I339" s="880"/>
      <c r="J339" s="880"/>
      <c r="K339" s="881"/>
      <c r="L339" s="881"/>
      <c r="M339" s="881"/>
      <c r="N339" s="881"/>
      <c r="O339" s="881"/>
      <c r="P339" s="881"/>
    </row>
    <row r="340" spans="1:26" ht="18.75">
      <c r="A340" s="1086"/>
      <c r="B340" s="877"/>
      <c r="C340" s="1084"/>
      <c r="D340" s="1010"/>
      <c r="E340" s="1009" t="s">
        <v>152</v>
      </c>
      <c r="F340" s="877"/>
      <c r="G340" s="879"/>
      <c r="H340" s="277" t="s">
        <v>153</v>
      </c>
      <c r="I340" s="880">
        <f ca="1">IFERROR(__xludf.DUMMYFUNCTION("IMPORTRANGE(""https://docs.google.com/spreadsheets/d/1QqKyyYR6Q21VydFLVH3TRQUabQu_ym0Zz7PgGX0-kHA/edit?usp=sharing"",""แผน!EH73"")"),2)</f>
        <v>2</v>
      </c>
      <c r="J340" s="880">
        <f ca="1">IFERROR(__xludf.DUMMYFUNCTION("IMPORTRANGE(""https://docs.google.com/spreadsheets/d/1kVcqe37tkHyjCSG3S0O1AXqVkqjo8mSIZil3BcpIysc/edit?usp=sharing"",""ศูนย์!E79"")"),2)</f>
        <v>2</v>
      </c>
      <c r="K340" s="881">
        <f ca="1">IF(I340&gt;0,J340*100/I340,0)</f>
        <v>100</v>
      </c>
      <c r="L340" s="881"/>
      <c r="M340" s="881"/>
      <c r="N340" s="881"/>
      <c r="O340" s="881"/>
      <c r="P340" s="881"/>
    </row>
    <row r="341" spans="1:26" ht="18.75">
      <c r="A341" s="1086"/>
      <c r="B341" s="877"/>
      <c r="C341" s="1084"/>
      <c r="D341" s="1010"/>
      <c r="E341" s="1009" t="s">
        <v>154</v>
      </c>
      <c r="F341" s="877"/>
      <c r="G341" s="879"/>
      <c r="H341" s="277" t="s">
        <v>35</v>
      </c>
      <c r="I341" s="880"/>
      <c r="J341" s="880">
        <f ca="1">IFERROR(__xludf.DUMMYFUNCTION("IMPORTRANGE(""https://docs.google.com/spreadsheets/d/1kVcqe37tkHyjCSG3S0O1AXqVkqjo8mSIZil3BcpIysc/edit?usp=sharing"",""ศูนย์!F79"")"),235)</f>
        <v>235</v>
      </c>
      <c r="K341" s="881"/>
      <c r="L341" s="881"/>
      <c r="M341" s="881"/>
      <c r="N341" s="881"/>
      <c r="O341" s="881"/>
      <c r="P341" s="881"/>
    </row>
    <row r="342" spans="1:26" ht="18.75">
      <c r="A342" s="1086"/>
      <c r="B342" s="877"/>
      <c r="C342" s="1084"/>
      <c r="D342" s="1009" t="s">
        <v>155</v>
      </c>
      <c r="E342" s="1010"/>
      <c r="F342" s="1010"/>
      <c r="G342" s="879"/>
      <c r="H342" s="277" t="s">
        <v>35</v>
      </c>
      <c r="I342" s="880"/>
      <c r="J342" s="880">
        <f ca="1">IFERROR(__xludf.DUMMYFUNCTION("IMPORTRANGE(""https://docs.google.com/spreadsheets/d/1kVcqe37tkHyjCSG3S0O1AXqVkqjo8mSIZil3BcpIysc/edit?usp=sharing"",""ศูนย์!G79"")"),0)</f>
        <v>0</v>
      </c>
      <c r="K342" s="881"/>
      <c r="L342" s="881"/>
      <c r="M342" s="881"/>
      <c r="N342" s="881"/>
      <c r="O342" s="881"/>
      <c r="P342" s="881"/>
    </row>
    <row r="343" spans="1:26" ht="18.75">
      <c r="A343" s="1086"/>
      <c r="B343" s="877"/>
      <c r="C343" s="1084"/>
      <c r="D343" s="1009" t="s">
        <v>156</v>
      </c>
      <c r="E343" s="1010"/>
      <c r="F343" s="1010"/>
      <c r="G343" s="879"/>
      <c r="H343" s="277" t="s">
        <v>35</v>
      </c>
      <c r="I343" s="880"/>
      <c r="J343" s="880">
        <f ca="1">IFERROR(__xludf.DUMMYFUNCTION("IMPORTRANGE(""https://docs.google.com/spreadsheets/d/1kVcqe37tkHyjCSG3S0O1AXqVkqjo8mSIZil3BcpIysc/edit?usp=sharing"",""ศูนย์!H79"")"),0)</f>
        <v>0</v>
      </c>
      <c r="K343" s="881"/>
      <c r="L343" s="881"/>
      <c r="M343" s="881"/>
      <c r="N343" s="881"/>
      <c r="O343" s="881"/>
      <c r="P343" s="881"/>
    </row>
    <row r="344" spans="1:26" ht="19.5">
      <c r="A344" s="1186"/>
      <c r="B344" s="1187" t="s">
        <v>157</v>
      </c>
      <c r="C344" s="1196"/>
      <c r="D344" s="1188"/>
      <c r="E344" s="1188"/>
      <c r="F344" s="1188"/>
      <c r="G344" s="1189"/>
      <c r="H344" s="444"/>
      <c r="I344" s="1197"/>
      <c r="J344" s="1197"/>
      <c r="K344" s="1192"/>
      <c r="L344" s="1192"/>
      <c r="M344" s="1192"/>
      <c r="N344" s="1192"/>
      <c r="O344" s="1192"/>
      <c r="P344" s="1192"/>
    </row>
    <row r="345" spans="1:26" ht="19.5">
      <c r="A345" s="985"/>
      <c r="B345" s="986"/>
      <c r="C345" s="987" t="s">
        <v>16</v>
      </c>
      <c r="D345" s="988" t="s">
        <v>17</v>
      </c>
      <c r="E345" s="986"/>
      <c r="F345" s="986"/>
      <c r="G345" s="989"/>
      <c r="H345" s="152" t="s">
        <v>12</v>
      </c>
      <c r="I345" s="990"/>
      <c r="J345" s="990"/>
      <c r="K345" s="991"/>
      <c r="L345" s="992">
        <f t="shared" ref="L345:N345" ca="1" si="154">L346+L347</f>
        <v>396570</v>
      </c>
      <c r="M345" s="992">
        <f t="shared" ca="1" si="154"/>
        <v>321980</v>
      </c>
      <c r="N345" s="992">
        <f t="shared" ca="1" si="154"/>
        <v>221653.8</v>
      </c>
      <c r="O345" s="992">
        <f t="shared" ref="O345:O353" ca="1" si="155">IF(L345&gt;0,N345*100/L345,0)</f>
        <v>55.892730161131702</v>
      </c>
      <c r="P345" s="992">
        <f t="shared" ref="P345:P353" ca="1" si="156">IF(M345&gt;0,N345*100/M345,0)</f>
        <v>68.840859680725515</v>
      </c>
      <c r="Q345" s="868"/>
      <c r="R345" s="868"/>
      <c r="S345" s="868"/>
      <c r="T345" s="868"/>
      <c r="U345" s="868"/>
      <c r="V345" s="868"/>
      <c r="W345" s="868"/>
      <c r="X345" s="868"/>
      <c r="Y345" s="868"/>
      <c r="Z345" s="868"/>
    </row>
    <row r="346" spans="1:26" ht="18.75" hidden="1">
      <c r="A346" s="993"/>
      <c r="B346" s="883"/>
      <c r="C346" s="883"/>
      <c r="D346" s="883"/>
      <c r="E346" s="884" t="s">
        <v>18</v>
      </c>
      <c r="F346" s="883"/>
      <c r="G346" s="994"/>
      <c r="H346" s="158" t="s">
        <v>12</v>
      </c>
      <c r="I346" s="886"/>
      <c r="J346" s="886"/>
      <c r="K346" s="887"/>
      <c r="L346" s="887">
        <f t="shared" ref="L346:N347" si="157">L349+L352</f>
        <v>0</v>
      </c>
      <c r="M346" s="887">
        <f t="shared" si="157"/>
        <v>0</v>
      </c>
      <c r="N346" s="887">
        <f t="shared" si="157"/>
        <v>0</v>
      </c>
      <c r="O346" s="887">
        <f t="shared" si="155"/>
        <v>0</v>
      </c>
      <c r="P346" s="887">
        <f t="shared" si="156"/>
        <v>0</v>
      </c>
      <c r="Q346" s="875"/>
      <c r="R346" s="875"/>
      <c r="S346" s="875"/>
      <c r="T346" s="875"/>
      <c r="U346" s="875"/>
      <c r="V346" s="875"/>
      <c r="W346" s="875"/>
      <c r="X346" s="875"/>
      <c r="Y346" s="875"/>
      <c r="Z346" s="875"/>
    </row>
    <row r="347" spans="1:26" ht="18.75" hidden="1">
      <c r="A347" s="993"/>
      <c r="B347" s="883"/>
      <c r="C347" s="883"/>
      <c r="D347" s="883"/>
      <c r="E347" s="884" t="s">
        <v>19</v>
      </c>
      <c r="F347" s="883"/>
      <c r="G347" s="994"/>
      <c r="H347" s="158" t="s">
        <v>12</v>
      </c>
      <c r="I347" s="886"/>
      <c r="J347" s="886"/>
      <c r="K347" s="887"/>
      <c r="L347" s="887">
        <f t="shared" ca="1" si="157"/>
        <v>396570</v>
      </c>
      <c r="M347" s="887">
        <f t="shared" ca="1" si="157"/>
        <v>321980</v>
      </c>
      <c r="N347" s="887">
        <f t="shared" ca="1" si="157"/>
        <v>221653.8</v>
      </c>
      <c r="O347" s="887">
        <f t="shared" ca="1" si="155"/>
        <v>55.892730161131702</v>
      </c>
      <c r="P347" s="887">
        <f t="shared" ca="1" si="156"/>
        <v>68.840859680725515</v>
      </c>
      <c r="Q347" s="875"/>
      <c r="R347" s="875"/>
      <c r="S347" s="875"/>
      <c r="T347" s="875"/>
      <c r="U347" s="875"/>
      <c r="V347" s="875"/>
      <c r="W347" s="875"/>
      <c r="X347" s="875"/>
      <c r="Y347" s="875"/>
      <c r="Z347" s="875"/>
    </row>
    <row r="348" spans="1:26" ht="18.75">
      <c r="A348" s="995"/>
      <c r="B348" s="877"/>
      <c r="C348" s="996"/>
      <c r="D348" s="878" t="s">
        <v>20</v>
      </c>
      <c r="E348" s="877"/>
      <c r="F348" s="877"/>
      <c r="G348" s="879"/>
      <c r="H348" s="161" t="s">
        <v>12</v>
      </c>
      <c r="I348" s="997"/>
      <c r="J348" s="997"/>
      <c r="K348" s="998"/>
      <c r="L348" s="881">
        <f t="shared" ref="L348:N348" ca="1" si="158">L349+L350</f>
        <v>305770</v>
      </c>
      <c r="M348" s="881">
        <f t="shared" ca="1" si="158"/>
        <v>231180</v>
      </c>
      <c r="N348" s="881">
        <f t="shared" ca="1" si="158"/>
        <v>130853.8</v>
      </c>
      <c r="O348" s="881">
        <f t="shared" ca="1" si="155"/>
        <v>42.794845799130066</v>
      </c>
      <c r="P348" s="881">
        <f t="shared" ca="1" si="156"/>
        <v>56.602560775153563</v>
      </c>
      <c r="Q348" s="868"/>
      <c r="R348" s="868"/>
      <c r="S348" s="868"/>
      <c r="T348" s="868"/>
      <c r="U348" s="868"/>
      <c r="V348" s="868"/>
      <c r="W348" s="868"/>
      <c r="X348" s="868"/>
      <c r="Y348" s="868"/>
      <c r="Z348" s="868"/>
    </row>
    <row r="349" spans="1:26" ht="19.5" hidden="1">
      <c r="A349" s="993"/>
      <c r="B349" s="883"/>
      <c r="C349" s="999"/>
      <c r="D349" s="883"/>
      <c r="E349" s="884" t="s">
        <v>36</v>
      </c>
      <c r="F349" s="883"/>
      <c r="G349" s="994"/>
      <c r="H349" s="165" t="s">
        <v>12</v>
      </c>
      <c r="I349" s="1000"/>
      <c r="J349" s="1000"/>
      <c r="K349" s="1001"/>
      <c r="L349" s="887">
        <v>0</v>
      </c>
      <c r="M349" s="887">
        <v>0</v>
      </c>
      <c r="N349" s="887">
        <v>0</v>
      </c>
      <c r="O349" s="887">
        <f t="shared" si="155"/>
        <v>0</v>
      </c>
      <c r="P349" s="887">
        <f t="shared" si="156"/>
        <v>0</v>
      </c>
      <c r="Q349" s="875"/>
      <c r="R349" s="875"/>
      <c r="S349" s="875"/>
      <c r="T349" s="875"/>
      <c r="U349" s="875"/>
      <c r="V349" s="875"/>
      <c r="W349" s="875"/>
      <c r="X349" s="875"/>
      <c r="Y349" s="875"/>
      <c r="Z349" s="875"/>
    </row>
    <row r="350" spans="1:26" ht="19.5" hidden="1">
      <c r="A350" s="993"/>
      <c r="B350" s="883"/>
      <c r="C350" s="999"/>
      <c r="D350" s="883"/>
      <c r="E350" s="884" t="s">
        <v>37</v>
      </c>
      <c r="F350" s="883"/>
      <c r="G350" s="994"/>
      <c r="H350" s="165" t="s">
        <v>12</v>
      </c>
      <c r="I350" s="1000"/>
      <c r="J350" s="1000"/>
      <c r="K350" s="1001"/>
      <c r="L350" s="887">
        <f ca="1">IFERROR(__xludf.DUMMYFUNCTION("IMPORTRANGE(""https://docs.google.com/spreadsheets/d/1MeEWN-I1oV_STSDYn1IFDPWt_1FKiwhDph83XaGc0o0/edit?usp=sharing"",""งบพรบ!EW79"")"),305770)</f>
        <v>305770</v>
      </c>
      <c r="M350" s="887">
        <f ca="1">IFERROR(__xludf.DUMMYFUNCTION("IMPORTRANGE(""https://docs.google.com/spreadsheets/d/1MeEWN-I1oV_STSDYn1IFDPWt_1FKiwhDph83XaGc0o0/edit?usp=sharing"",""งบพรบ!FB79"")"),231180)</f>
        <v>231180</v>
      </c>
      <c r="N350" s="887">
        <f ca="1">IFERROR(__xludf.DUMMYFUNCTION("IMPORTRANGE(""https://docs.google.com/spreadsheets/d/1MeEWN-I1oV_STSDYn1IFDPWt_1FKiwhDph83XaGc0o0/edit?usp=sharing"",""งบพรบ!FD79"")"),130853.8)</f>
        <v>130853.8</v>
      </c>
      <c r="O350" s="887">
        <f t="shared" ca="1" si="155"/>
        <v>42.794845799130066</v>
      </c>
      <c r="P350" s="887">
        <f t="shared" ca="1" si="156"/>
        <v>56.602560775153563</v>
      </c>
      <c r="Q350" s="875"/>
      <c r="R350" s="875"/>
      <c r="S350" s="875"/>
      <c r="T350" s="875"/>
      <c r="U350" s="875"/>
      <c r="V350" s="875"/>
      <c r="W350" s="875"/>
      <c r="X350" s="875"/>
      <c r="Y350" s="875"/>
      <c r="Z350" s="875"/>
    </row>
    <row r="351" spans="1:26" ht="18.75">
      <c r="A351" s="995"/>
      <c r="B351" s="877"/>
      <c r="C351" s="996"/>
      <c r="D351" s="878" t="s">
        <v>21</v>
      </c>
      <c r="E351" s="877"/>
      <c r="F351" s="877"/>
      <c r="G351" s="879"/>
      <c r="H351" s="168" t="s">
        <v>12</v>
      </c>
      <c r="I351" s="997"/>
      <c r="J351" s="997"/>
      <c r="K351" s="998"/>
      <c r="L351" s="881">
        <f t="shared" ref="L351:N351" ca="1" si="159">L352+L353</f>
        <v>90800</v>
      </c>
      <c r="M351" s="881">
        <f t="shared" ca="1" si="159"/>
        <v>90800</v>
      </c>
      <c r="N351" s="881">
        <f t="shared" ca="1" si="159"/>
        <v>90800</v>
      </c>
      <c r="O351" s="881">
        <f t="shared" ca="1" si="155"/>
        <v>100</v>
      </c>
      <c r="P351" s="881">
        <f t="shared" ca="1" si="156"/>
        <v>100</v>
      </c>
      <c r="Q351" s="868"/>
      <c r="R351" s="868"/>
      <c r="S351" s="868"/>
      <c r="T351" s="868"/>
      <c r="U351" s="868"/>
      <c r="V351" s="868"/>
      <c r="W351" s="868"/>
      <c r="X351" s="868"/>
      <c r="Y351" s="868"/>
      <c r="Z351" s="868"/>
    </row>
    <row r="352" spans="1:26" ht="19.5" hidden="1">
      <c r="A352" s="993"/>
      <c r="B352" s="883"/>
      <c r="C352" s="999"/>
      <c r="D352" s="883"/>
      <c r="E352" s="884" t="s">
        <v>18</v>
      </c>
      <c r="F352" s="883"/>
      <c r="G352" s="994"/>
      <c r="H352" s="165" t="s">
        <v>12</v>
      </c>
      <c r="I352" s="1000"/>
      <c r="J352" s="1000"/>
      <c r="K352" s="1001"/>
      <c r="L352" s="887">
        <v>0</v>
      </c>
      <c r="M352" s="887">
        <v>0</v>
      </c>
      <c r="N352" s="887">
        <v>0</v>
      </c>
      <c r="O352" s="887">
        <f t="shared" si="155"/>
        <v>0</v>
      </c>
      <c r="P352" s="887">
        <f t="shared" si="156"/>
        <v>0</v>
      </c>
      <c r="Q352" s="875"/>
      <c r="R352" s="875"/>
      <c r="S352" s="875"/>
      <c r="T352" s="875"/>
      <c r="U352" s="875"/>
      <c r="V352" s="875"/>
      <c r="W352" s="875"/>
      <c r="X352" s="875"/>
      <c r="Y352" s="875"/>
      <c r="Z352" s="875"/>
    </row>
    <row r="353" spans="1:26" ht="19.5" hidden="1">
      <c r="A353" s="993"/>
      <c r="B353" s="883"/>
      <c r="C353" s="999"/>
      <c r="D353" s="883"/>
      <c r="E353" s="884" t="s">
        <v>19</v>
      </c>
      <c r="F353" s="883"/>
      <c r="G353" s="994"/>
      <c r="H353" s="169" t="s">
        <v>12</v>
      </c>
      <c r="I353" s="1000"/>
      <c r="J353" s="1000"/>
      <c r="K353" s="1001"/>
      <c r="L353" s="887">
        <f ca="1">IFERROR(__xludf.DUMMYFUNCTION("IMPORTRANGE(""https://docs.google.com/spreadsheets/d/1MeEWN-I1oV_STSDYn1IFDPWt_1FKiwhDph83XaGc0o0/edit?usp=sharing"",""งบพรบ!EZ79"")"),90800)</f>
        <v>90800</v>
      </c>
      <c r="M353" s="887">
        <f ca="1">IFERROR(__xludf.DUMMYFUNCTION("IMPORTRANGE(""https://docs.google.com/spreadsheets/d/1MeEWN-I1oV_STSDYn1IFDPWt_1FKiwhDph83XaGc0o0/edit?usp=sharing"",""งบพรบ!FC79"")"),90800)</f>
        <v>90800</v>
      </c>
      <c r="N353" s="887">
        <f ca="1">IFERROR(__xludf.DUMMYFUNCTION("IMPORTRANGE(""https://docs.google.com/spreadsheets/d/1MeEWN-I1oV_STSDYn1IFDPWt_1FKiwhDph83XaGc0o0/edit?usp=sharing"",""งบพรบ!FE79"")"),90800)</f>
        <v>90800</v>
      </c>
      <c r="O353" s="887">
        <f t="shared" ca="1" si="155"/>
        <v>100</v>
      </c>
      <c r="P353" s="887">
        <f t="shared" ca="1" si="156"/>
        <v>100</v>
      </c>
      <c r="Q353" s="875"/>
      <c r="R353" s="875"/>
      <c r="S353" s="875"/>
      <c r="T353" s="875"/>
      <c r="U353" s="875"/>
      <c r="V353" s="875"/>
      <c r="W353" s="875"/>
      <c r="X353" s="875"/>
      <c r="Y353" s="875"/>
      <c r="Z353" s="875"/>
    </row>
    <row r="354" spans="1:26" ht="19.5">
      <c r="A354" s="1063"/>
      <c r="B354" s="1070"/>
      <c r="C354" s="1064"/>
      <c r="D354" s="1198" t="s">
        <v>158</v>
      </c>
      <c r="E354" s="1064"/>
      <c r="F354" s="1064"/>
      <c r="G354" s="1066"/>
      <c r="H354" s="1199"/>
      <c r="I354" s="1067"/>
      <c r="J354" s="1067"/>
      <c r="K354" s="1068"/>
      <c r="L354" s="1068"/>
      <c r="M354" s="1068"/>
      <c r="N354" s="1068"/>
      <c r="O354" s="1068"/>
      <c r="P354" s="1068"/>
    </row>
    <row r="355" spans="1:26" ht="19.5">
      <c r="A355" s="1200"/>
      <c r="B355" s="1201"/>
      <c r="C355" s="1202"/>
      <c r="D355" s="1203" t="s">
        <v>159</v>
      </c>
      <c r="E355" s="1204"/>
      <c r="F355" s="1204"/>
      <c r="G355" s="1205"/>
      <c r="H355" s="463" t="s">
        <v>35</v>
      </c>
      <c r="I355" s="1206">
        <f ca="1">IFERROR(__xludf.DUMMYFUNCTION("IMPORTRANGE(""https://docs.google.com/spreadsheets/d/1QqKyyYR6Q21VydFLVH3TRQUabQu_ym0Zz7PgGX0-kHA/edit?usp=sharing"",""แผน!EP79"")"),27)</f>
        <v>27</v>
      </c>
      <c r="J355" s="1206">
        <f ca="1">J362</f>
        <v>17</v>
      </c>
      <c r="K355" s="1207">
        <f ca="1">IF(I355&gt;0,J355*100/I355,0)</f>
        <v>62.962962962962962</v>
      </c>
      <c r="L355" s="1208"/>
      <c r="M355" s="1208"/>
      <c r="N355" s="1208"/>
      <c r="O355" s="1208"/>
      <c r="P355" s="1208"/>
    </row>
    <row r="356" spans="1:26" ht="19.5">
      <c r="A356" s="1200"/>
      <c r="B356" s="1201"/>
      <c r="C356" s="1202"/>
      <c r="D356" s="1209" t="s">
        <v>160</v>
      </c>
      <c r="E356" s="1204"/>
      <c r="F356" s="1204"/>
      <c r="G356" s="1205"/>
      <c r="H356" s="1210"/>
      <c r="I356" s="1211"/>
      <c r="J356" s="1211"/>
      <c r="K356" s="1208"/>
      <c r="L356" s="1208"/>
      <c r="M356" s="1208"/>
      <c r="N356" s="1208"/>
      <c r="O356" s="1208"/>
      <c r="P356" s="1208"/>
    </row>
    <row r="357" spans="1:26" ht="19.5">
      <c r="A357" s="1002"/>
      <c r="B357" s="1003"/>
      <c r="C357" s="999" t="s">
        <v>16</v>
      </c>
      <c r="D357" s="1004" t="s">
        <v>38</v>
      </c>
      <c r="E357" s="1005"/>
      <c r="F357" s="1005"/>
      <c r="G357" s="1006"/>
      <c r="H357" s="1007"/>
      <c r="I357" s="880"/>
      <c r="J357" s="880"/>
      <c r="K357" s="881"/>
      <c r="L357" s="998"/>
      <c r="M357" s="998"/>
      <c r="N357" s="998"/>
      <c r="O357" s="998"/>
      <c r="P357" s="998"/>
    </row>
    <row r="358" spans="1:26" ht="18.75">
      <c r="A358" s="1002"/>
      <c r="B358" s="1010"/>
      <c r="C358" s="1003"/>
      <c r="D358" s="1010"/>
      <c r="E358" s="1008" t="s">
        <v>161</v>
      </c>
      <c r="F358" s="1010"/>
      <c r="G358" s="1011"/>
      <c r="H358" s="185" t="s">
        <v>35</v>
      </c>
      <c r="I358" s="880">
        <v>0</v>
      </c>
      <c r="J358" s="880">
        <f ca="1">IFERROR(__xludf.DUMMYFUNCTION("IMPORTRANGE(""https://docs.google.com/spreadsheets/d/1XWAQStnk-4SwqDmLtmXYiTMKHgktTP8We1SCoS47DrQ/edit?usp=sharing"",""จัดที่ดิน!W79"")"),25)</f>
        <v>25</v>
      </c>
      <c r="K358" s="881">
        <f t="shared" ref="K358:K365" si="160">IF(I358&gt;0,J358*100/I358,0)</f>
        <v>0</v>
      </c>
      <c r="L358" s="998"/>
      <c r="M358" s="998"/>
      <c r="N358" s="998"/>
      <c r="O358" s="998"/>
      <c r="P358" s="998"/>
    </row>
    <row r="359" spans="1:26" ht="18.75">
      <c r="A359" s="1002"/>
      <c r="B359" s="1010"/>
      <c r="C359" s="1003"/>
      <c r="D359" s="1010"/>
      <c r="E359" s="1010"/>
      <c r="F359" s="1010"/>
      <c r="G359" s="1011"/>
      <c r="H359" s="185" t="s">
        <v>46</v>
      </c>
      <c r="I359" s="880">
        <f ca="1">IFERROR(__xludf.DUMMYFUNCTION("IMPORTRANGE(""https://docs.google.com/spreadsheets/d/1QqKyyYR6Q21VydFLVH3TRQUabQu_ym0Zz7PgGX0-kHA/edit?usp=sharing"",""แผน!EO79"")"),90)</f>
        <v>90</v>
      </c>
      <c r="J359" s="880">
        <f ca="1">IFERROR(__xludf.DUMMYFUNCTION("IMPORTRANGE(""https://docs.google.com/spreadsheets/d/1XWAQStnk-4SwqDmLtmXYiTMKHgktTP8We1SCoS47DrQ/edit?usp=sharing"",""จัดที่ดิน!X79"")"),64.33)</f>
        <v>64.33</v>
      </c>
      <c r="K359" s="881">
        <f t="shared" ca="1" si="160"/>
        <v>71.477777777777774</v>
      </c>
      <c r="L359" s="998"/>
      <c r="M359" s="998"/>
      <c r="N359" s="998"/>
      <c r="O359" s="998"/>
      <c r="P359" s="998"/>
    </row>
    <row r="360" spans="1:26" ht="18.75">
      <c r="A360" s="1002"/>
      <c r="B360" s="1010"/>
      <c r="C360" s="1003"/>
      <c r="D360" s="1010"/>
      <c r="E360" s="1008" t="s">
        <v>162</v>
      </c>
      <c r="F360" s="1010"/>
      <c r="G360" s="1011"/>
      <c r="H360" s="762" t="s">
        <v>35</v>
      </c>
      <c r="I360" s="880">
        <f ca="1">IFERROR(__xludf.DUMMYFUNCTION("IMPORTRANGE(""https://docs.google.com/spreadsheets/d/1QqKyyYR6Q21VydFLVH3TRQUabQu_ym0Zz7PgGX0-kHA/edit?usp=sharing"",""แผน!EP79"")"),27)</f>
        <v>27</v>
      </c>
      <c r="J360" s="880">
        <f ca="1">IFERROR(__xludf.DUMMYFUNCTION("IMPORTRANGE(""https://docs.google.com/spreadsheets/d/1XWAQStnk-4SwqDmLtmXYiTMKHgktTP8We1SCoS47DrQ/edit?usp=sharing"",""จัดที่ดิน!Y79"")"),27)</f>
        <v>27</v>
      </c>
      <c r="K360" s="881">
        <f t="shared" ca="1" si="160"/>
        <v>100</v>
      </c>
      <c r="L360" s="998"/>
      <c r="M360" s="998"/>
      <c r="N360" s="998"/>
      <c r="O360" s="998"/>
      <c r="P360" s="998"/>
    </row>
    <row r="361" spans="1:26" ht="18.75">
      <c r="A361" s="1002"/>
      <c r="B361" s="1010"/>
      <c r="C361" s="1003"/>
      <c r="D361" s="1010"/>
      <c r="E361" s="1010"/>
      <c r="F361" s="1010"/>
      <c r="G361" s="1011"/>
      <c r="H361" s="762" t="s">
        <v>46</v>
      </c>
      <c r="I361" s="880">
        <v>0</v>
      </c>
      <c r="J361" s="880">
        <f ca="1">IFERROR(__xludf.DUMMYFUNCTION("IMPORTRANGE(""https://docs.google.com/spreadsheets/d/1XWAQStnk-4SwqDmLtmXYiTMKHgktTP8We1SCoS47DrQ/edit?usp=sharing"",""จัดที่ดิน!Z79"")"),66.46)</f>
        <v>66.459999999999994</v>
      </c>
      <c r="K361" s="881">
        <f t="shared" si="160"/>
        <v>0</v>
      </c>
      <c r="L361" s="998"/>
      <c r="M361" s="998"/>
      <c r="N361" s="998"/>
      <c r="O361" s="998"/>
      <c r="P361" s="998"/>
    </row>
    <row r="362" spans="1:26" ht="18.75">
      <c r="A362" s="1002"/>
      <c r="B362" s="1010"/>
      <c r="C362" s="1003"/>
      <c r="D362" s="1010"/>
      <c r="E362" s="1008" t="s">
        <v>163</v>
      </c>
      <c r="F362" s="1010"/>
      <c r="G362" s="1011"/>
      <c r="H362" s="762" t="s">
        <v>35</v>
      </c>
      <c r="I362" s="880">
        <f ca="1">IFERROR(__xludf.DUMMYFUNCTION("IMPORTRANGE(""https://docs.google.com/spreadsheets/d/1QqKyyYR6Q21VydFLVH3TRQUabQu_ym0Zz7PgGX0-kHA/edit?usp=sharing"",""แผน!EP79"")"),27)</f>
        <v>27</v>
      </c>
      <c r="J362" s="880">
        <f ca="1">IFERROR(__xludf.DUMMYFUNCTION("IMPORTRANGE(""https://docs.google.com/spreadsheets/d/1XWAQStnk-4SwqDmLtmXYiTMKHgktTP8We1SCoS47DrQ/edit?usp=sharing"",""จัดที่ดิน!AA79"")"),17)</f>
        <v>17</v>
      </c>
      <c r="K362" s="881">
        <f t="shared" ca="1" si="160"/>
        <v>62.962962962962962</v>
      </c>
      <c r="L362" s="998"/>
      <c r="M362" s="998"/>
      <c r="N362" s="998"/>
      <c r="O362" s="998"/>
      <c r="P362" s="998"/>
    </row>
    <row r="363" spans="1:26" ht="18.75">
      <c r="A363" s="1212" t="s">
        <v>164</v>
      </c>
      <c r="B363" s="1010"/>
      <c r="C363" s="1003"/>
      <c r="D363" s="1010"/>
      <c r="E363" s="1009"/>
      <c r="F363" s="1010"/>
      <c r="G363" s="1011"/>
      <c r="H363" s="762" t="s">
        <v>46</v>
      </c>
      <c r="I363" s="880">
        <v>0</v>
      </c>
      <c r="J363" s="880">
        <f ca="1">IFERROR(__xludf.DUMMYFUNCTION("IMPORTRANGE(""https://docs.google.com/spreadsheets/d/1XWAQStnk-4SwqDmLtmXYiTMKHgktTP8We1SCoS47DrQ/edit?usp=sharing"",""จัดที่ดิน!AB79"")"),33.17)</f>
        <v>33.17</v>
      </c>
      <c r="K363" s="881">
        <f t="shared" si="160"/>
        <v>0</v>
      </c>
      <c r="L363" s="998"/>
      <c r="M363" s="998"/>
      <c r="N363" s="998"/>
      <c r="O363" s="998"/>
      <c r="P363" s="998"/>
    </row>
    <row r="364" spans="1:26" ht="19.5">
      <c r="A364" s="1213"/>
      <c r="B364" s="1214"/>
      <c r="C364" s="1215"/>
      <c r="D364" s="1216" t="s">
        <v>165</v>
      </c>
      <c r="E364" s="1217"/>
      <c r="F364" s="1217"/>
      <c r="G364" s="1218"/>
      <c r="H364" s="478" t="s">
        <v>35</v>
      </c>
      <c r="I364" s="1219">
        <f t="shared" ref="I364:J364" ca="1" si="161">I365+I374</f>
        <v>42</v>
      </c>
      <c r="J364" s="1219">
        <f t="shared" ca="1" si="161"/>
        <v>28</v>
      </c>
      <c r="K364" s="1220">
        <f t="shared" ca="1" si="160"/>
        <v>66.666666666666671</v>
      </c>
      <c r="L364" s="1221"/>
      <c r="M364" s="1221"/>
      <c r="N364" s="1221"/>
      <c r="O364" s="1221"/>
      <c r="P364" s="122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222"/>
      <c r="B365" s="1223"/>
      <c r="C365" s="1224"/>
      <c r="D365" s="1224" t="s">
        <v>166</v>
      </c>
      <c r="E365" s="1225"/>
      <c r="F365" s="1225"/>
      <c r="G365" s="1226"/>
      <c r="H365" s="489" t="s">
        <v>35</v>
      </c>
      <c r="I365" s="1227">
        <f ca="1">IFERROR(__xludf.DUMMYFUNCTION("IMPORTRANGE(""https://docs.google.com/spreadsheets/d/1QqKyyYR6Q21VydFLVH3TRQUabQu_ym0Zz7PgGX0-kHA/edit?usp=sharing"",""แผน!EJ79"")"),17)</f>
        <v>17</v>
      </c>
      <c r="J365" s="1227">
        <f ca="1">J372</f>
        <v>14</v>
      </c>
      <c r="K365" s="1228">
        <f t="shared" ca="1" si="160"/>
        <v>82.352941176470594</v>
      </c>
      <c r="L365" s="1229"/>
      <c r="M365" s="1229"/>
      <c r="N365" s="1229"/>
      <c r="O365" s="1229"/>
      <c r="P365" s="1229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222"/>
      <c r="B366" s="1223"/>
      <c r="C366" s="1224"/>
      <c r="D366" s="1230" t="s">
        <v>167</v>
      </c>
      <c r="E366" s="1225"/>
      <c r="F366" s="1225"/>
      <c r="G366" s="1226"/>
      <c r="H366" s="1231"/>
      <c r="I366" s="1232"/>
      <c r="J366" s="1232"/>
      <c r="K366" s="1229"/>
      <c r="L366" s="1229"/>
      <c r="M366" s="1229"/>
      <c r="N366" s="1229"/>
      <c r="O366" s="1229"/>
      <c r="P366" s="1229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002"/>
      <c r="B367" s="1003"/>
      <c r="C367" s="999" t="s">
        <v>16</v>
      </c>
      <c r="D367" s="1004" t="s">
        <v>38</v>
      </c>
      <c r="E367" s="1005"/>
      <c r="F367" s="1005"/>
      <c r="G367" s="1006"/>
      <c r="H367" s="1007"/>
      <c r="I367" s="880"/>
      <c r="J367" s="880"/>
      <c r="K367" s="881"/>
      <c r="L367" s="998"/>
      <c r="M367" s="998"/>
      <c r="N367" s="998"/>
      <c r="O367" s="998"/>
      <c r="P367" s="998"/>
    </row>
    <row r="368" spans="1:26" ht="18.75">
      <c r="A368" s="1002"/>
      <c r="B368" s="1010"/>
      <c r="C368" s="1003"/>
      <c r="D368" s="1010"/>
      <c r="E368" s="1008" t="s">
        <v>161</v>
      </c>
      <c r="F368" s="1010"/>
      <c r="G368" s="1011"/>
      <c r="H368" s="185" t="s">
        <v>35</v>
      </c>
      <c r="I368" s="880">
        <v>0</v>
      </c>
      <c r="J368" s="880">
        <f ca="1">IFERROR(__xludf.DUMMYFUNCTION("IMPORTRANGE(""https://docs.google.com/spreadsheets/d/1XWAQStnk-4SwqDmLtmXYiTMKHgktTP8We1SCoS47DrQ/edit?usp=sharing"",""จัดที่ดิน!E79"")"),16)</f>
        <v>16</v>
      </c>
      <c r="K368" s="881">
        <f t="shared" ref="K368:K374" si="162">IF(I368&gt;0,J368*100/I368,0)</f>
        <v>0</v>
      </c>
      <c r="L368" s="998"/>
      <c r="M368" s="998"/>
      <c r="N368" s="998"/>
      <c r="O368" s="998"/>
      <c r="P368" s="998"/>
    </row>
    <row r="369" spans="1:26" ht="18.75">
      <c r="A369" s="1002"/>
      <c r="B369" s="1010"/>
      <c r="C369" s="1003"/>
      <c r="D369" s="1010"/>
      <c r="E369" s="1010"/>
      <c r="F369" s="1010"/>
      <c r="G369" s="1011"/>
      <c r="H369" s="185" t="s">
        <v>46</v>
      </c>
      <c r="I369" s="880">
        <f ca="1">IFERROR(__xludf.DUMMYFUNCTION("IMPORTRANGE(""https://docs.google.com/spreadsheets/d/1QqKyyYR6Q21VydFLVH3TRQUabQu_ym0Zz7PgGX0-kHA/edit?usp=sharing"",""แผน!EI79"")"),50)</f>
        <v>50</v>
      </c>
      <c r="J369" s="880">
        <f ca="1">IFERROR(__xludf.DUMMYFUNCTION("IMPORTRANGE(""https://docs.google.com/spreadsheets/d/1XWAQStnk-4SwqDmLtmXYiTMKHgktTP8We1SCoS47DrQ/edit?usp=sharing"",""จัดที่ดิน!F79"")"),42.92)</f>
        <v>42.92</v>
      </c>
      <c r="K369" s="881">
        <f t="shared" ca="1" si="162"/>
        <v>85.84</v>
      </c>
      <c r="L369" s="998"/>
      <c r="M369" s="998"/>
      <c r="N369" s="998"/>
      <c r="O369" s="998"/>
      <c r="P369" s="998"/>
    </row>
    <row r="370" spans="1:26" ht="18.75">
      <c r="A370" s="1002"/>
      <c r="B370" s="1010"/>
      <c r="C370" s="1003"/>
      <c r="D370" s="1010"/>
      <c r="E370" s="1008" t="s">
        <v>162</v>
      </c>
      <c r="F370" s="1010"/>
      <c r="G370" s="1011"/>
      <c r="H370" s="762" t="s">
        <v>35</v>
      </c>
      <c r="I370" s="880">
        <f ca="1">IFERROR(__xludf.DUMMYFUNCTION("IMPORTRANGE(""https://docs.google.com/spreadsheets/d/1QqKyyYR6Q21VydFLVH3TRQUabQu_ym0Zz7PgGX0-kHA/edit?usp=sharing"",""แผน!EJ79"")"),17)</f>
        <v>17</v>
      </c>
      <c r="J370" s="880">
        <f ca="1">IFERROR(__xludf.DUMMYFUNCTION("IMPORTRANGE(""https://docs.google.com/spreadsheets/d/1XWAQStnk-4SwqDmLtmXYiTMKHgktTP8We1SCoS47DrQ/edit?usp=sharing"",""จัดที่ดิน!G79"")"),17)</f>
        <v>17</v>
      </c>
      <c r="K370" s="881">
        <f t="shared" ca="1" si="162"/>
        <v>100</v>
      </c>
      <c r="L370" s="998"/>
      <c r="M370" s="998"/>
      <c r="N370" s="998"/>
      <c r="O370" s="998"/>
      <c r="P370" s="998"/>
    </row>
    <row r="371" spans="1:26" ht="18.75">
      <c r="A371" s="1002"/>
      <c r="B371" s="1010"/>
      <c r="C371" s="1003"/>
      <c r="D371" s="1010"/>
      <c r="E371" s="1010"/>
      <c r="F371" s="1010"/>
      <c r="G371" s="1011"/>
      <c r="H371" s="762" t="s">
        <v>46</v>
      </c>
      <c r="I371" s="880">
        <v>0</v>
      </c>
      <c r="J371" s="880">
        <f ca="1">IFERROR(__xludf.DUMMYFUNCTION("IMPORTRANGE(""https://docs.google.com/spreadsheets/d/1XWAQStnk-4SwqDmLtmXYiTMKHgktTP8We1SCoS47DrQ/edit?usp=sharing"",""จัดที่ดิน!H79"")"),43.81)</f>
        <v>43.81</v>
      </c>
      <c r="K371" s="881">
        <f t="shared" si="162"/>
        <v>0</v>
      </c>
      <c r="L371" s="998"/>
      <c r="M371" s="998"/>
      <c r="N371" s="998"/>
      <c r="O371" s="998"/>
      <c r="P371" s="998"/>
    </row>
    <row r="372" spans="1:26" ht="18.75">
      <c r="A372" s="1002"/>
      <c r="B372" s="1010"/>
      <c r="C372" s="1003"/>
      <c r="D372" s="1010"/>
      <c r="E372" s="1008" t="s">
        <v>163</v>
      </c>
      <c r="F372" s="1010"/>
      <c r="G372" s="1011"/>
      <c r="H372" s="762" t="s">
        <v>35</v>
      </c>
      <c r="I372" s="880">
        <f ca="1">IFERROR(__xludf.DUMMYFUNCTION("IMPORTRANGE(""https://docs.google.com/spreadsheets/d/1QqKyyYR6Q21VydFLVH3TRQUabQu_ym0Zz7PgGX0-kHA/edit?usp=sharing"",""แผน!EJ79"")"),17)</f>
        <v>17</v>
      </c>
      <c r="J372" s="880">
        <f ca="1">IFERROR(__xludf.DUMMYFUNCTION("IMPORTRANGE(""https://docs.google.com/spreadsheets/d/1XWAQStnk-4SwqDmLtmXYiTMKHgktTP8We1SCoS47DrQ/edit?usp=sharing"",""จัดที่ดิน!I79"")"),14)</f>
        <v>14</v>
      </c>
      <c r="K372" s="881">
        <f t="shared" ca="1" si="162"/>
        <v>82.352941176470594</v>
      </c>
      <c r="L372" s="998"/>
      <c r="M372" s="998"/>
      <c r="N372" s="998"/>
      <c r="O372" s="998"/>
      <c r="P372" s="998"/>
    </row>
    <row r="373" spans="1:26" ht="18.75">
      <c r="A373" s="1212" t="s">
        <v>164</v>
      </c>
      <c r="B373" s="1010"/>
      <c r="C373" s="1003"/>
      <c r="D373" s="1010"/>
      <c r="E373" s="1009"/>
      <c r="F373" s="1010"/>
      <c r="G373" s="1011"/>
      <c r="H373" s="762" t="s">
        <v>46</v>
      </c>
      <c r="I373" s="880">
        <v>0</v>
      </c>
      <c r="J373" s="880">
        <f ca="1">IFERROR(__xludf.DUMMYFUNCTION("IMPORTRANGE(""https://docs.google.com/spreadsheets/d/1XWAQStnk-4SwqDmLtmXYiTMKHgktTP8We1SCoS47DrQ/edit?usp=sharing"",""จัดที่ดิน!J79"")"),29.59)</f>
        <v>29.59</v>
      </c>
      <c r="K373" s="881">
        <f t="shared" si="162"/>
        <v>0</v>
      </c>
      <c r="L373" s="998"/>
      <c r="M373" s="998"/>
      <c r="N373" s="998"/>
      <c r="O373" s="998"/>
      <c r="P373" s="998"/>
    </row>
    <row r="374" spans="1:26" ht="19.5">
      <c r="A374" s="1222"/>
      <c r="B374" s="1223"/>
      <c r="C374" s="1224"/>
      <c r="D374" s="1224" t="s">
        <v>168</v>
      </c>
      <c r="E374" s="1225"/>
      <c r="F374" s="1225"/>
      <c r="G374" s="1226"/>
      <c r="H374" s="489" t="s">
        <v>35</v>
      </c>
      <c r="I374" s="1233">
        <f ca="1">IFERROR(__xludf.DUMMYFUNCTION("IMPORTRANGE(""https://docs.google.com/spreadsheets/d/1QqKyyYR6Q21VydFLVH3TRQUabQu_ym0Zz7PgGX0-kHA/edit?usp=sharing"",""แผน!EU79"")"),25)</f>
        <v>25</v>
      </c>
      <c r="J374" s="1227">
        <f ca="1">J381</f>
        <v>14</v>
      </c>
      <c r="K374" s="1228">
        <f t="shared" ca="1" si="162"/>
        <v>56</v>
      </c>
      <c r="L374" s="1229"/>
      <c r="M374" s="1229"/>
      <c r="N374" s="1229"/>
      <c r="O374" s="1229"/>
      <c r="P374" s="1229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222"/>
      <c r="B375" s="1223"/>
      <c r="C375" s="1224"/>
      <c r="D375" s="1230" t="s">
        <v>169</v>
      </c>
      <c r="E375" s="1225"/>
      <c r="F375" s="1225"/>
      <c r="G375" s="1226"/>
      <c r="H375" s="1231"/>
      <c r="I375" s="1232"/>
      <c r="J375" s="1232"/>
      <c r="K375" s="1229"/>
      <c r="L375" s="1229"/>
      <c r="M375" s="1229"/>
      <c r="N375" s="1229"/>
      <c r="O375" s="1229"/>
      <c r="P375" s="1229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002"/>
      <c r="B376" s="1003"/>
      <c r="C376" s="999" t="s">
        <v>16</v>
      </c>
      <c r="D376" s="1004" t="s">
        <v>38</v>
      </c>
      <c r="E376" s="1005"/>
      <c r="F376" s="1005"/>
      <c r="G376" s="1006"/>
      <c r="H376" s="1007"/>
      <c r="I376" s="880"/>
      <c r="J376" s="880"/>
      <c r="K376" s="881"/>
      <c r="L376" s="998"/>
      <c r="M376" s="998"/>
      <c r="N376" s="998"/>
      <c r="O376" s="998"/>
      <c r="P376" s="998"/>
    </row>
    <row r="377" spans="1:26" ht="18.75">
      <c r="A377" s="1002"/>
      <c r="B377" s="1010"/>
      <c r="C377" s="1003"/>
      <c r="D377" s="1010"/>
      <c r="E377" s="1008" t="s">
        <v>161</v>
      </c>
      <c r="F377" s="1010"/>
      <c r="G377" s="1011"/>
      <c r="H377" s="185" t="s">
        <v>35</v>
      </c>
      <c r="I377" s="880">
        <v>0</v>
      </c>
      <c r="J377" s="880">
        <f ca="1">IFERROR(__xludf.DUMMYFUNCTION("IMPORTRANGE(""https://docs.google.com/spreadsheets/d/1XWAQStnk-4SwqDmLtmXYiTMKHgktTP8We1SCoS47DrQ/edit?usp=sharing"",""จัดที่ดิน!AH79"")"),9)</f>
        <v>9</v>
      </c>
      <c r="K377" s="881">
        <f t="shared" ref="K377:K382" si="163">IF(I377&gt;0,J377*100/I377,0)</f>
        <v>0</v>
      </c>
      <c r="L377" s="998"/>
      <c r="M377" s="998"/>
      <c r="N377" s="998"/>
      <c r="O377" s="998"/>
      <c r="P377" s="998"/>
    </row>
    <row r="378" spans="1:26" ht="18.75">
      <c r="A378" s="1002"/>
      <c r="B378" s="1010"/>
      <c r="C378" s="1003"/>
      <c r="D378" s="1010"/>
      <c r="E378" s="1010"/>
      <c r="F378" s="1010"/>
      <c r="G378" s="1011"/>
      <c r="H378" s="185" t="s">
        <v>46</v>
      </c>
      <c r="I378" s="880">
        <f ca="1">IFERROR(__xludf.DUMMYFUNCTION("IMPORTRANGE(""https://docs.google.com/spreadsheets/d/1QqKyyYR6Q21VydFLVH3TRQUabQu_ym0Zz7PgGX0-kHA/edit?usp=sharing"",""แผน!ET79"")"),40)</f>
        <v>40</v>
      </c>
      <c r="J378" s="880">
        <f ca="1">IFERROR(__xludf.DUMMYFUNCTION("IMPORTRANGE(""https://docs.google.com/spreadsheets/d/1XWAQStnk-4SwqDmLtmXYiTMKHgktTP8We1SCoS47DrQ/edit?usp=sharing"",""จัดที่ดิน!AI79"")"),21.41)</f>
        <v>21.41</v>
      </c>
      <c r="K378" s="881">
        <f t="shared" ca="1" si="163"/>
        <v>53.524999999999999</v>
      </c>
      <c r="L378" s="998"/>
      <c r="M378" s="998"/>
      <c r="N378" s="998"/>
      <c r="O378" s="998"/>
      <c r="P378" s="998"/>
    </row>
    <row r="379" spans="1:26" ht="18.75">
      <c r="A379" s="1002"/>
      <c r="B379" s="1010"/>
      <c r="C379" s="1003"/>
      <c r="D379" s="1010"/>
      <c r="E379" s="1008" t="s">
        <v>162</v>
      </c>
      <c r="F379" s="1010"/>
      <c r="G379" s="1011"/>
      <c r="H379" s="762" t="s">
        <v>35</v>
      </c>
      <c r="I379" s="880">
        <f ca="1">IFERROR(__xludf.DUMMYFUNCTION("IMPORTRANGE(""https://docs.google.com/spreadsheets/d/1QqKyyYR6Q21VydFLVH3TRQUabQu_ym0Zz7PgGX0-kHA/edit?usp=sharing"",""แผน!EU79"")"),25)</f>
        <v>25</v>
      </c>
      <c r="J379" s="880">
        <f ca="1">IFERROR(__xludf.DUMMYFUNCTION("IMPORTRANGE(""https://docs.google.com/spreadsheets/d/1XWAQStnk-4SwqDmLtmXYiTMKHgktTP8We1SCoS47DrQ/edit?usp=sharing"",""จัดที่ดิน!AJ79"")"),21)</f>
        <v>21</v>
      </c>
      <c r="K379" s="881">
        <f t="shared" ca="1" si="163"/>
        <v>84</v>
      </c>
      <c r="L379" s="998"/>
      <c r="M379" s="998"/>
      <c r="N379" s="998"/>
      <c r="O379" s="998"/>
      <c r="P379" s="998"/>
    </row>
    <row r="380" spans="1:26" ht="18.75">
      <c r="A380" s="1002"/>
      <c r="B380" s="1010"/>
      <c r="C380" s="1003"/>
      <c r="D380" s="1010"/>
      <c r="E380" s="1010"/>
      <c r="F380" s="1010"/>
      <c r="G380" s="1011"/>
      <c r="H380" s="762" t="s">
        <v>46</v>
      </c>
      <c r="I380" s="880">
        <v>0</v>
      </c>
      <c r="J380" s="880">
        <f ca="1">IFERROR(__xludf.DUMMYFUNCTION("IMPORTRANGE(""https://docs.google.com/spreadsheets/d/1XWAQStnk-4SwqDmLtmXYiTMKHgktTP8We1SCoS47DrQ/edit?usp=sharing"",""จัดที่ดิน!AK79"")"),78.18)</f>
        <v>78.180000000000007</v>
      </c>
      <c r="K380" s="881">
        <f t="shared" si="163"/>
        <v>0</v>
      </c>
      <c r="L380" s="998"/>
      <c r="M380" s="998"/>
      <c r="N380" s="998"/>
      <c r="O380" s="998"/>
      <c r="P380" s="998"/>
    </row>
    <row r="381" spans="1:26" ht="18.75">
      <c r="A381" s="1002"/>
      <c r="B381" s="1010"/>
      <c r="C381" s="1003"/>
      <c r="D381" s="1010"/>
      <c r="E381" s="1008" t="s">
        <v>163</v>
      </c>
      <c r="F381" s="1010"/>
      <c r="G381" s="1011"/>
      <c r="H381" s="762" t="s">
        <v>35</v>
      </c>
      <c r="I381" s="880">
        <f ca="1">IFERROR(__xludf.DUMMYFUNCTION("IMPORTRANGE(""https://docs.google.com/spreadsheets/d/1QqKyyYR6Q21VydFLVH3TRQUabQu_ym0Zz7PgGX0-kHA/edit?usp=sharing"",""แผน!EU79"")"),25)</f>
        <v>25</v>
      </c>
      <c r="J381" s="880">
        <f ca="1">IFERROR(__xludf.DUMMYFUNCTION("IMPORTRANGE(""https://docs.google.com/spreadsheets/d/1XWAQStnk-4SwqDmLtmXYiTMKHgktTP8We1SCoS47DrQ/edit?usp=sharing"",""จัดที่ดิน!AL79"")"),14)</f>
        <v>14</v>
      </c>
      <c r="K381" s="881">
        <f t="shared" ca="1" si="163"/>
        <v>56</v>
      </c>
      <c r="L381" s="998"/>
      <c r="M381" s="998"/>
      <c r="N381" s="998"/>
      <c r="O381" s="998"/>
      <c r="P381" s="998"/>
    </row>
    <row r="382" spans="1:26" ht="18.75">
      <c r="A382" s="1212" t="s">
        <v>164</v>
      </c>
      <c r="B382" s="1010"/>
      <c r="C382" s="1003"/>
      <c r="D382" s="1010"/>
      <c r="E382" s="1009"/>
      <c r="F382" s="1010"/>
      <c r="G382" s="1011"/>
      <c r="H382" s="762" t="s">
        <v>46</v>
      </c>
      <c r="I382" s="880">
        <v>0</v>
      </c>
      <c r="J382" s="880">
        <f ca="1">IFERROR(__xludf.DUMMYFUNCTION("IMPORTRANGE(""https://docs.google.com/spreadsheets/d/1XWAQStnk-4SwqDmLtmXYiTMKHgktTP8We1SCoS47DrQ/edit?usp=sharing"",""จัดที่ดิน!AM79"")"),59.11)</f>
        <v>59.11</v>
      </c>
      <c r="K382" s="881">
        <f t="shared" si="163"/>
        <v>0</v>
      </c>
      <c r="L382" s="998"/>
      <c r="M382" s="998"/>
      <c r="N382" s="998"/>
      <c r="O382" s="998"/>
      <c r="P382" s="998"/>
    </row>
    <row r="383" spans="1:26" ht="19.5">
      <c r="A383" s="1234"/>
      <c r="B383" s="1235"/>
      <c r="C383" s="1091"/>
      <c r="D383" s="1236" t="s">
        <v>170</v>
      </c>
      <c r="E383" s="1091"/>
      <c r="F383" s="1091"/>
      <c r="G383" s="1237"/>
      <c r="H383" s="1199"/>
      <c r="I383" s="1067"/>
      <c r="J383" s="1067"/>
      <c r="K383" s="1068"/>
      <c r="L383" s="1068"/>
      <c r="M383" s="1068"/>
      <c r="N383" s="1068"/>
      <c r="O383" s="1068"/>
      <c r="P383" s="1068"/>
    </row>
    <row r="384" spans="1:26" ht="19.5">
      <c r="A384" s="1002"/>
      <c r="B384" s="1003"/>
      <c r="C384" s="877" t="s">
        <v>16</v>
      </c>
      <c r="D384" s="1004" t="s">
        <v>38</v>
      </c>
      <c r="E384" s="1005"/>
      <c r="F384" s="1005"/>
      <c r="G384" s="1006"/>
      <c r="H384" s="1007"/>
      <c r="I384" s="880"/>
      <c r="J384" s="880"/>
      <c r="K384" s="881"/>
      <c r="L384" s="998"/>
      <c r="M384" s="998"/>
      <c r="N384" s="998"/>
      <c r="O384" s="998"/>
      <c r="P384" s="998"/>
    </row>
    <row r="385" spans="1:26" ht="18.75">
      <c r="A385" s="1133"/>
      <c r="B385" s="1136"/>
      <c r="C385" s="1134"/>
      <c r="D385" s="1136"/>
      <c r="E385" s="1238" t="s">
        <v>171</v>
      </c>
      <c r="F385" s="1136"/>
      <c r="G385" s="1137"/>
      <c r="H385" s="504" t="s">
        <v>35</v>
      </c>
      <c r="I385" s="1138">
        <f ca="1">IFERROR(__xludf.DUMMYFUNCTION("IMPORTRANGE(""https://docs.google.com/spreadsheets/d/1QqKyyYR6Q21VydFLVH3TRQUabQu_ym0Zz7PgGX0-kHA/edit?usp=sharing"",""แผน!EW79"")"),0)</f>
        <v>0</v>
      </c>
      <c r="J385" s="1138">
        <f ca="1">IFERROR(__xludf.DUMMYFUNCTION("IMPORTRANGE(""https://docs.google.com/spreadsheets/d/1XWAQStnk-4SwqDmLtmXYiTMKHgktTP8We1SCoS47DrQ/edit?usp=sharing"",""จัดที่ดิน!AP79"")"),0)</f>
        <v>0</v>
      </c>
      <c r="K385" s="1239">
        <f ca="1">IF(I385&gt;0,J385*100/I385,0)</f>
        <v>0</v>
      </c>
      <c r="L385" s="1139"/>
      <c r="M385" s="1139"/>
      <c r="N385" s="1139"/>
      <c r="O385" s="1139"/>
      <c r="P385" s="1139"/>
    </row>
    <row r="386" spans="1:26" ht="19.5" hidden="1">
      <c r="A386" s="1240" t="s">
        <v>172</v>
      </c>
      <c r="B386" s="1241"/>
      <c r="C386" s="1241"/>
      <c r="D386" s="1241"/>
      <c r="E386" s="1242"/>
      <c r="F386" s="1242"/>
      <c r="G386" s="1243"/>
      <c r="H386" s="1244"/>
      <c r="I386" s="1245"/>
      <c r="J386" s="1245"/>
      <c r="K386" s="1246"/>
      <c r="L386" s="1246"/>
      <c r="M386" s="1246"/>
      <c r="N386" s="1246"/>
      <c r="O386" s="1246"/>
      <c r="P386" s="1246"/>
    </row>
    <row r="387" spans="1:26" ht="19.5" hidden="1">
      <c r="A387" s="1247" t="s">
        <v>173</v>
      </c>
      <c r="B387" s="1248"/>
      <c r="C387" s="1248"/>
      <c r="D387" s="1249"/>
      <c r="E387" s="1248"/>
      <c r="F387" s="1248"/>
      <c r="G387" s="1248"/>
      <c r="H387" s="1250"/>
      <c r="I387" s="1251"/>
      <c r="J387" s="1251"/>
      <c r="K387" s="1252"/>
      <c r="L387" s="1252"/>
      <c r="M387" s="1252"/>
      <c r="N387" s="1252"/>
      <c r="O387" s="1252"/>
      <c r="P387" s="1252"/>
    </row>
    <row r="388" spans="1:26" ht="19.5" hidden="1">
      <c r="A388" s="1253"/>
      <c r="B388" s="1254" t="s">
        <v>174</v>
      </c>
      <c r="C388" s="1255"/>
      <c r="D388" s="1256"/>
      <c r="E388" s="1256"/>
      <c r="F388" s="1256"/>
      <c r="G388" s="1257"/>
      <c r="H388" s="525" t="s">
        <v>66</v>
      </c>
      <c r="I388" s="1258">
        <f t="shared" ref="I388:J388" si="164">I400</f>
        <v>0</v>
      </c>
      <c r="J388" s="1258">
        <f t="shared" si="164"/>
        <v>0</v>
      </c>
      <c r="K388" s="1259">
        <f>IF(I388&gt;0,J388*100/I388,0)</f>
        <v>0</v>
      </c>
      <c r="L388" s="1260"/>
      <c r="M388" s="1260"/>
      <c r="N388" s="1260"/>
      <c r="O388" s="1260"/>
      <c r="P388" s="1260"/>
    </row>
    <row r="389" spans="1:26" ht="19.5" hidden="1">
      <c r="A389" s="985"/>
      <c r="B389" s="986"/>
      <c r="C389" s="987" t="s">
        <v>16</v>
      </c>
      <c r="D389" s="988" t="s">
        <v>17</v>
      </c>
      <c r="E389" s="986"/>
      <c r="F389" s="986"/>
      <c r="G389" s="989"/>
      <c r="H389" s="152" t="s">
        <v>12</v>
      </c>
      <c r="I389" s="990"/>
      <c r="J389" s="990"/>
      <c r="K389" s="991"/>
      <c r="L389" s="992">
        <f t="shared" ref="L389:N389" ca="1" si="165">L390+L391</f>
        <v>0</v>
      </c>
      <c r="M389" s="992">
        <f t="shared" ca="1" si="165"/>
        <v>0</v>
      </c>
      <c r="N389" s="992">
        <f t="shared" ca="1" si="165"/>
        <v>0</v>
      </c>
      <c r="O389" s="992">
        <f t="shared" ref="O389:O397" ca="1" si="166">IF(L389&gt;0,N389*100/L389,0)</f>
        <v>0</v>
      </c>
      <c r="P389" s="992">
        <f t="shared" ref="P389:P397" ca="1" si="167">IF(M389&gt;0,N389*100/M389,0)</f>
        <v>0</v>
      </c>
      <c r="Q389" s="868"/>
      <c r="R389" s="868"/>
      <c r="S389" s="868"/>
      <c r="T389" s="868"/>
      <c r="U389" s="868"/>
      <c r="V389" s="868"/>
      <c r="W389" s="868"/>
      <c r="X389" s="868"/>
      <c r="Y389" s="868"/>
      <c r="Z389" s="868"/>
    </row>
    <row r="390" spans="1:26" ht="18.75" hidden="1">
      <c r="A390" s="993"/>
      <c r="B390" s="883"/>
      <c r="C390" s="883"/>
      <c r="D390" s="883"/>
      <c r="E390" s="884" t="s">
        <v>18</v>
      </c>
      <c r="F390" s="883"/>
      <c r="G390" s="994"/>
      <c r="H390" s="158" t="s">
        <v>12</v>
      </c>
      <c r="I390" s="886"/>
      <c r="J390" s="886"/>
      <c r="K390" s="887"/>
      <c r="L390" s="887">
        <f t="shared" ref="L390:N391" si="168">L393+L396</f>
        <v>0</v>
      </c>
      <c r="M390" s="887">
        <f t="shared" si="168"/>
        <v>0</v>
      </c>
      <c r="N390" s="887">
        <f t="shared" si="168"/>
        <v>0</v>
      </c>
      <c r="O390" s="887">
        <f t="shared" si="166"/>
        <v>0</v>
      </c>
      <c r="P390" s="887">
        <f t="shared" si="167"/>
        <v>0</v>
      </c>
      <c r="Q390" s="875"/>
      <c r="R390" s="875"/>
      <c r="S390" s="875"/>
      <c r="T390" s="875"/>
      <c r="U390" s="875"/>
      <c r="V390" s="875"/>
      <c r="W390" s="875"/>
      <c r="X390" s="875"/>
      <c r="Y390" s="875"/>
      <c r="Z390" s="875"/>
    </row>
    <row r="391" spans="1:26" ht="18.75" hidden="1">
      <c r="A391" s="993"/>
      <c r="B391" s="883"/>
      <c r="C391" s="883"/>
      <c r="D391" s="883"/>
      <c r="E391" s="884" t="s">
        <v>19</v>
      </c>
      <c r="F391" s="883"/>
      <c r="G391" s="994"/>
      <c r="H391" s="158" t="s">
        <v>12</v>
      </c>
      <c r="I391" s="886"/>
      <c r="J391" s="886"/>
      <c r="K391" s="887"/>
      <c r="L391" s="887">
        <f t="shared" ca="1" si="168"/>
        <v>0</v>
      </c>
      <c r="M391" s="887">
        <f t="shared" ca="1" si="168"/>
        <v>0</v>
      </c>
      <c r="N391" s="887">
        <f t="shared" ca="1" si="168"/>
        <v>0</v>
      </c>
      <c r="O391" s="887">
        <f t="shared" ca="1" si="166"/>
        <v>0</v>
      </c>
      <c r="P391" s="887">
        <f t="shared" ca="1" si="167"/>
        <v>0</v>
      </c>
      <c r="Q391" s="875"/>
      <c r="R391" s="875"/>
      <c r="S391" s="875"/>
      <c r="T391" s="875"/>
      <c r="U391" s="875"/>
      <c r="V391" s="875"/>
      <c r="W391" s="875"/>
      <c r="X391" s="875"/>
      <c r="Y391" s="875"/>
      <c r="Z391" s="875"/>
    </row>
    <row r="392" spans="1:26" ht="18.75" hidden="1">
      <c r="A392" s="995"/>
      <c r="B392" s="877"/>
      <c r="C392" s="996"/>
      <c r="D392" s="878" t="s">
        <v>20</v>
      </c>
      <c r="E392" s="877"/>
      <c r="F392" s="877"/>
      <c r="G392" s="879"/>
      <c r="H392" s="161" t="s">
        <v>12</v>
      </c>
      <c r="I392" s="997"/>
      <c r="J392" s="997"/>
      <c r="K392" s="998"/>
      <c r="L392" s="881">
        <f t="shared" ref="L392:N392" ca="1" si="169">L393+L394</f>
        <v>0</v>
      </c>
      <c r="M392" s="881">
        <f t="shared" ca="1" si="169"/>
        <v>0</v>
      </c>
      <c r="N392" s="881">
        <f t="shared" ca="1" si="169"/>
        <v>0</v>
      </c>
      <c r="O392" s="881">
        <f t="shared" ca="1" si="166"/>
        <v>0</v>
      </c>
      <c r="P392" s="881">
        <f t="shared" ca="1" si="167"/>
        <v>0</v>
      </c>
      <c r="Q392" s="868"/>
      <c r="R392" s="868"/>
      <c r="S392" s="868"/>
      <c r="T392" s="868"/>
      <c r="U392" s="868"/>
      <c r="V392" s="868"/>
      <c r="W392" s="868"/>
      <c r="X392" s="868"/>
      <c r="Y392" s="868"/>
      <c r="Z392" s="868"/>
    </row>
    <row r="393" spans="1:26" ht="19.5" hidden="1">
      <c r="A393" s="993"/>
      <c r="B393" s="883"/>
      <c r="C393" s="999"/>
      <c r="D393" s="883"/>
      <c r="E393" s="884" t="s">
        <v>36</v>
      </c>
      <c r="F393" s="883"/>
      <c r="G393" s="994"/>
      <c r="H393" s="165" t="s">
        <v>12</v>
      </c>
      <c r="I393" s="1000"/>
      <c r="J393" s="1000"/>
      <c r="K393" s="1001"/>
      <c r="L393" s="887">
        <v>0</v>
      </c>
      <c r="M393" s="887">
        <v>0</v>
      </c>
      <c r="N393" s="887">
        <v>0</v>
      </c>
      <c r="O393" s="887">
        <f t="shared" si="166"/>
        <v>0</v>
      </c>
      <c r="P393" s="887">
        <f t="shared" si="167"/>
        <v>0</v>
      </c>
      <c r="Q393" s="875"/>
      <c r="R393" s="875"/>
      <c r="S393" s="875"/>
      <c r="T393" s="875"/>
      <c r="U393" s="875"/>
      <c r="V393" s="875"/>
      <c r="W393" s="875"/>
      <c r="X393" s="875"/>
      <c r="Y393" s="875"/>
      <c r="Z393" s="875"/>
    </row>
    <row r="394" spans="1:26" ht="19.5" hidden="1">
      <c r="A394" s="993"/>
      <c r="B394" s="883"/>
      <c r="C394" s="999"/>
      <c r="D394" s="883"/>
      <c r="E394" s="884" t="s">
        <v>37</v>
      </c>
      <c r="F394" s="883"/>
      <c r="G394" s="994"/>
      <c r="H394" s="165" t="s">
        <v>12</v>
      </c>
      <c r="I394" s="1000"/>
      <c r="J394" s="1000"/>
      <c r="K394" s="1001"/>
      <c r="L394" s="887">
        <f ca="1">IFERROR(__xludf.DUMMYFUNCTION("IMPORTRANGE(""https://docs.google.com/spreadsheets/d/1MeEWN-I1oV_STSDYn1IFDPWt_1FKiwhDph83XaGc0o0/edit?usp=sharing"",""งบพรบ!FG79"")"),0)</f>
        <v>0</v>
      </c>
      <c r="M394" s="887">
        <f ca="1">IFERROR(__xludf.DUMMYFUNCTION("IMPORTRANGE(""https://docs.google.com/spreadsheets/d/1MeEWN-I1oV_STSDYn1IFDPWt_1FKiwhDph83XaGc0o0/edit?usp=sharing"",""งบพรบ!FL79"")"),0)</f>
        <v>0</v>
      </c>
      <c r="N394" s="887">
        <f ca="1">IFERROR(__xludf.DUMMYFUNCTION("IMPORTRANGE(""https://docs.google.com/spreadsheets/d/1MeEWN-I1oV_STSDYn1IFDPWt_1FKiwhDph83XaGc0o0/edit?usp=sharing"",""งบพรบ!FN79"")"),0)</f>
        <v>0</v>
      </c>
      <c r="O394" s="887">
        <f t="shared" ca="1" si="166"/>
        <v>0</v>
      </c>
      <c r="P394" s="887">
        <f t="shared" ca="1" si="167"/>
        <v>0</v>
      </c>
      <c r="Q394" s="875"/>
      <c r="R394" s="875"/>
      <c r="S394" s="875"/>
      <c r="T394" s="875"/>
      <c r="U394" s="875"/>
      <c r="V394" s="875"/>
      <c r="W394" s="875"/>
      <c r="X394" s="875"/>
      <c r="Y394" s="875"/>
      <c r="Z394" s="875"/>
    </row>
    <row r="395" spans="1:26" ht="18.75" hidden="1">
      <c r="A395" s="995"/>
      <c r="B395" s="877"/>
      <c r="C395" s="996"/>
      <c r="D395" s="878" t="s">
        <v>21</v>
      </c>
      <c r="E395" s="877"/>
      <c r="F395" s="877"/>
      <c r="G395" s="879"/>
      <c r="H395" s="168" t="s">
        <v>12</v>
      </c>
      <c r="I395" s="997"/>
      <c r="J395" s="997"/>
      <c r="K395" s="998"/>
      <c r="L395" s="881">
        <f t="shared" ref="L395:N395" ca="1" si="170">L396+L397</f>
        <v>0</v>
      </c>
      <c r="M395" s="881">
        <f t="shared" ca="1" si="170"/>
        <v>0</v>
      </c>
      <c r="N395" s="881">
        <f t="shared" ca="1" si="170"/>
        <v>0</v>
      </c>
      <c r="O395" s="881">
        <f t="shared" ca="1" si="166"/>
        <v>0</v>
      </c>
      <c r="P395" s="881">
        <f t="shared" ca="1" si="167"/>
        <v>0</v>
      </c>
      <c r="Q395" s="868"/>
      <c r="R395" s="868"/>
      <c r="S395" s="868"/>
      <c r="T395" s="868"/>
      <c r="U395" s="868"/>
      <c r="V395" s="868"/>
      <c r="W395" s="868"/>
      <c r="X395" s="868"/>
      <c r="Y395" s="868"/>
      <c r="Z395" s="868"/>
    </row>
    <row r="396" spans="1:26" ht="19.5" hidden="1">
      <c r="A396" s="993"/>
      <c r="B396" s="883"/>
      <c r="C396" s="999"/>
      <c r="D396" s="883"/>
      <c r="E396" s="884" t="s">
        <v>18</v>
      </c>
      <c r="F396" s="883"/>
      <c r="G396" s="994"/>
      <c r="H396" s="165" t="s">
        <v>12</v>
      </c>
      <c r="I396" s="1000"/>
      <c r="J396" s="1000"/>
      <c r="K396" s="1001"/>
      <c r="L396" s="887">
        <v>0</v>
      </c>
      <c r="M396" s="887">
        <v>0</v>
      </c>
      <c r="N396" s="887">
        <v>0</v>
      </c>
      <c r="O396" s="887">
        <f t="shared" si="166"/>
        <v>0</v>
      </c>
      <c r="P396" s="887">
        <f t="shared" si="167"/>
        <v>0</v>
      </c>
      <c r="Q396" s="875"/>
      <c r="R396" s="875"/>
      <c r="S396" s="875"/>
      <c r="T396" s="875"/>
      <c r="U396" s="875"/>
      <c r="V396" s="875"/>
      <c r="W396" s="875"/>
      <c r="X396" s="875"/>
      <c r="Y396" s="875"/>
      <c r="Z396" s="875"/>
    </row>
    <row r="397" spans="1:26" ht="19.5" hidden="1">
      <c r="A397" s="993"/>
      <c r="B397" s="883"/>
      <c r="C397" s="999"/>
      <c r="D397" s="883"/>
      <c r="E397" s="884" t="s">
        <v>19</v>
      </c>
      <c r="F397" s="883"/>
      <c r="G397" s="994"/>
      <c r="H397" s="169" t="s">
        <v>12</v>
      </c>
      <c r="I397" s="1000"/>
      <c r="J397" s="1000"/>
      <c r="K397" s="1001"/>
      <c r="L397" s="887">
        <f ca="1">IFERROR(__xludf.DUMMYFUNCTION("IMPORTRANGE(""https://docs.google.com/spreadsheets/d/1MeEWN-I1oV_STSDYn1IFDPWt_1FKiwhDph83XaGc0o0/edit?usp=sharing"",""งบพรบ!FJ79"")"),0)</f>
        <v>0</v>
      </c>
      <c r="M397" s="887">
        <f ca="1">IFERROR(__xludf.DUMMYFUNCTION("IMPORTRANGE(""https://docs.google.com/spreadsheets/d/1MeEWN-I1oV_STSDYn1IFDPWt_1FKiwhDph83XaGc0o0/edit?usp=sharing"",""งบพรบ!FM79"")"),0)</f>
        <v>0</v>
      </c>
      <c r="N397" s="887">
        <f ca="1">IFERROR(__xludf.DUMMYFUNCTION("IMPORTRANGE(""https://docs.google.com/spreadsheets/d/1MeEWN-I1oV_STSDYn1IFDPWt_1FKiwhDph83XaGc0o0/edit?usp=sharing"",""งบพรบ!FO79"")"),0)</f>
        <v>0</v>
      </c>
      <c r="O397" s="887">
        <f t="shared" ca="1" si="166"/>
        <v>0</v>
      </c>
      <c r="P397" s="887">
        <f t="shared" ca="1" si="167"/>
        <v>0</v>
      </c>
      <c r="Q397" s="875"/>
      <c r="R397" s="875"/>
      <c r="S397" s="875"/>
      <c r="T397" s="875"/>
      <c r="U397" s="875"/>
      <c r="V397" s="875"/>
      <c r="W397" s="875"/>
      <c r="X397" s="875"/>
      <c r="Y397" s="875"/>
      <c r="Z397" s="875"/>
    </row>
    <row r="398" spans="1:26" ht="19.5" hidden="1">
      <c r="A398" s="1002"/>
      <c r="B398" s="1003"/>
      <c r="C398" s="999" t="s">
        <v>16</v>
      </c>
      <c r="D398" s="1004" t="s">
        <v>38</v>
      </c>
      <c r="E398" s="1005"/>
      <c r="F398" s="1005"/>
      <c r="G398" s="1006"/>
      <c r="H398" s="1007"/>
      <c r="I398" s="997"/>
      <c r="J398" s="880"/>
      <c r="K398" s="881"/>
      <c r="L398" s="881"/>
      <c r="M398" s="881"/>
      <c r="N398" s="881"/>
      <c r="O398" s="998"/>
      <c r="P398" s="998"/>
    </row>
    <row r="399" spans="1:26" ht="18.75" hidden="1">
      <c r="A399" s="1261"/>
      <c r="B399" s="986"/>
      <c r="C399" s="1262"/>
      <c r="D399" s="1021" t="s">
        <v>175</v>
      </c>
      <c r="E399" s="1166"/>
      <c r="F399" s="986"/>
      <c r="G399" s="989"/>
      <c r="H399" s="532" t="s">
        <v>9</v>
      </c>
      <c r="I399" s="880">
        <v>0</v>
      </c>
      <c r="J399" s="1012">
        <v>0</v>
      </c>
      <c r="K399" s="881">
        <f t="shared" ref="K399:K401" si="171">IF(I399&gt;0,J399*100/I399,0)</f>
        <v>0</v>
      </c>
      <c r="L399" s="1263"/>
      <c r="M399" s="1263"/>
      <c r="N399" s="1263"/>
      <c r="O399" s="1263"/>
      <c r="P399" s="1263"/>
      <c r="Q399" s="868"/>
      <c r="R399" s="868"/>
      <c r="S399" s="868"/>
      <c r="T399" s="868"/>
      <c r="U399" s="868"/>
      <c r="V399" s="868"/>
      <c r="W399" s="868"/>
      <c r="X399" s="868"/>
      <c r="Y399" s="868"/>
      <c r="Z399" s="868"/>
    </row>
    <row r="400" spans="1:26" ht="18.75" hidden="1">
      <c r="A400" s="1086"/>
      <c r="B400" s="877"/>
      <c r="C400" s="1084"/>
      <c r="D400" s="1009" t="s">
        <v>176</v>
      </c>
      <c r="E400" s="1003"/>
      <c r="F400" s="877"/>
      <c r="G400" s="879"/>
      <c r="H400" s="277" t="s">
        <v>66</v>
      </c>
      <c r="I400" s="880">
        <v>0</v>
      </c>
      <c r="J400" s="1012">
        <v>0</v>
      </c>
      <c r="K400" s="881">
        <f t="shared" si="171"/>
        <v>0</v>
      </c>
      <c r="L400" s="881"/>
      <c r="M400" s="881"/>
      <c r="N400" s="881"/>
      <c r="O400" s="881"/>
      <c r="P400" s="881"/>
    </row>
    <row r="401" spans="1:26" ht="19.5" hidden="1">
      <c r="A401" s="1253"/>
      <c r="B401" s="1254" t="s">
        <v>177</v>
      </c>
      <c r="C401" s="1255"/>
      <c r="D401" s="1256"/>
      <c r="E401" s="1256"/>
      <c r="F401" s="1256"/>
      <c r="G401" s="1257"/>
      <c r="H401" s="525" t="s">
        <v>66</v>
      </c>
      <c r="I401" s="1258">
        <f t="shared" ref="I401:J401" si="172">I412</f>
        <v>0</v>
      </c>
      <c r="J401" s="1258">
        <f t="shared" si="172"/>
        <v>0</v>
      </c>
      <c r="K401" s="1259">
        <f t="shared" si="171"/>
        <v>0</v>
      </c>
      <c r="L401" s="1260"/>
      <c r="M401" s="1260"/>
      <c r="N401" s="1260"/>
      <c r="O401" s="1260"/>
      <c r="P401" s="1260"/>
    </row>
    <row r="402" spans="1:26" ht="19.5" hidden="1">
      <c r="A402" s="985"/>
      <c r="B402" s="986"/>
      <c r="C402" s="987" t="s">
        <v>16</v>
      </c>
      <c r="D402" s="988" t="s">
        <v>17</v>
      </c>
      <c r="E402" s="986"/>
      <c r="F402" s="986"/>
      <c r="G402" s="989"/>
      <c r="H402" s="152" t="s">
        <v>12</v>
      </c>
      <c r="I402" s="990"/>
      <c r="J402" s="990"/>
      <c r="K402" s="991"/>
      <c r="L402" s="992">
        <f t="shared" ref="L402:N402" ca="1" si="173">L403+L404</f>
        <v>0</v>
      </c>
      <c r="M402" s="992">
        <f t="shared" ca="1" si="173"/>
        <v>0</v>
      </c>
      <c r="N402" s="992">
        <f t="shared" ca="1" si="173"/>
        <v>0</v>
      </c>
      <c r="O402" s="992">
        <f t="shared" ref="O402:O410" ca="1" si="174">IF(L402&gt;0,N402*100/L402,0)</f>
        <v>0</v>
      </c>
      <c r="P402" s="992">
        <f t="shared" ref="P402:P410" ca="1" si="175">IF(M402&gt;0,N402*100/M402,0)</f>
        <v>0</v>
      </c>
      <c r="Q402" s="868"/>
      <c r="R402" s="868"/>
      <c r="S402" s="868"/>
      <c r="T402" s="868"/>
      <c r="U402" s="868"/>
      <c r="V402" s="868"/>
      <c r="W402" s="868"/>
      <c r="X402" s="868"/>
      <c r="Y402" s="868"/>
      <c r="Z402" s="868"/>
    </row>
    <row r="403" spans="1:26" ht="18.75" hidden="1">
      <c r="A403" s="993"/>
      <c r="B403" s="883"/>
      <c r="C403" s="883"/>
      <c r="D403" s="883"/>
      <c r="E403" s="884" t="s">
        <v>18</v>
      </c>
      <c r="F403" s="883"/>
      <c r="G403" s="994"/>
      <c r="H403" s="158" t="s">
        <v>12</v>
      </c>
      <c r="I403" s="886"/>
      <c r="J403" s="886"/>
      <c r="K403" s="887"/>
      <c r="L403" s="887">
        <f t="shared" ref="L403:N404" si="176">L406+L409</f>
        <v>0</v>
      </c>
      <c r="M403" s="887">
        <f t="shared" si="176"/>
        <v>0</v>
      </c>
      <c r="N403" s="887">
        <f t="shared" si="176"/>
        <v>0</v>
      </c>
      <c r="O403" s="887">
        <f t="shared" si="174"/>
        <v>0</v>
      </c>
      <c r="P403" s="887">
        <f t="shared" si="175"/>
        <v>0</v>
      </c>
      <c r="Q403" s="875"/>
      <c r="R403" s="875"/>
      <c r="S403" s="875"/>
      <c r="T403" s="875"/>
      <c r="U403" s="875"/>
      <c r="V403" s="875"/>
      <c r="W403" s="875"/>
      <c r="X403" s="875"/>
      <c r="Y403" s="875"/>
      <c r="Z403" s="875"/>
    </row>
    <row r="404" spans="1:26" ht="18.75" hidden="1">
      <c r="A404" s="993"/>
      <c r="B404" s="883"/>
      <c r="C404" s="883"/>
      <c r="D404" s="883"/>
      <c r="E404" s="884" t="s">
        <v>19</v>
      </c>
      <c r="F404" s="883"/>
      <c r="G404" s="994"/>
      <c r="H404" s="158" t="s">
        <v>12</v>
      </c>
      <c r="I404" s="886"/>
      <c r="J404" s="886"/>
      <c r="K404" s="887"/>
      <c r="L404" s="887">
        <f t="shared" ca="1" si="176"/>
        <v>0</v>
      </c>
      <c r="M404" s="887">
        <f t="shared" ca="1" si="176"/>
        <v>0</v>
      </c>
      <c r="N404" s="887">
        <f t="shared" ca="1" si="176"/>
        <v>0</v>
      </c>
      <c r="O404" s="887">
        <f t="shared" ca="1" si="174"/>
        <v>0</v>
      </c>
      <c r="P404" s="887">
        <f t="shared" ca="1" si="175"/>
        <v>0</v>
      </c>
      <c r="Q404" s="875"/>
      <c r="R404" s="875"/>
      <c r="S404" s="875"/>
      <c r="T404" s="875"/>
      <c r="U404" s="875"/>
      <c r="V404" s="875"/>
      <c r="W404" s="875"/>
      <c r="X404" s="875"/>
      <c r="Y404" s="875"/>
      <c r="Z404" s="875"/>
    </row>
    <row r="405" spans="1:26" ht="18.75" hidden="1">
      <c r="A405" s="995"/>
      <c r="B405" s="877"/>
      <c r="C405" s="996"/>
      <c r="D405" s="878" t="s">
        <v>20</v>
      </c>
      <c r="E405" s="877"/>
      <c r="F405" s="877"/>
      <c r="G405" s="879"/>
      <c r="H405" s="161" t="s">
        <v>12</v>
      </c>
      <c r="I405" s="997"/>
      <c r="J405" s="997"/>
      <c r="K405" s="998"/>
      <c r="L405" s="881">
        <f t="shared" ref="L405:N405" ca="1" si="177">L406+L407</f>
        <v>0</v>
      </c>
      <c r="M405" s="881">
        <f t="shared" ca="1" si="177"/>
        <v>0</v>
      </c>
      <c r="N405" s="881">
        <f t="shared" ca="1" si="177"/>
        <v>0</v>
      </c>
      <c r="O405" s="881">
        <f t="shared" ca="1" si="174"/>
        <v>0</v>
      </c>
      <c r="P405" s="881">
        <f t="shared" ca="1" si="175"/>
        <v>0</v>
      </c>
      <c r="Q405" s="868"/>
      <c r="R405" s="868"/>
      <c r="S405" s="868"/>
      <c r="T405" s="868"/>
      <c r="U405" s="868"/>
      <c r="V405" s="868"/>
      <c r="W405" s="868"/>
      <c r="X405" s="868"/>
      <c r="Y405" s="868"/>
      <c r="Z405" s="868"/>
    </row>
    <row r="406" spans="1:26" ht="19.5" hidden="1">
      <c r="A406" s="993"/>
      <c r="B406" s="883"/>
      <c r="C406" s="999"/>
      <c r="D406" s="883"/>
      <c r="E406" s="884" t="s">
        <v>36</v>
      </c>
      <c r="F406" s="883"/>
      <c r="G406" s="994"/>
      <c r="H406" s="165" t="s">
        <v>12</v>
      </c>
      <c r="I406" s="1000"/>
      <c r="J406" s="1000"/>
      <c r="K406" s="1001"/>
      <c r="L406" s="887">
        <v>0</v>
      </c>
      <c r="M406" s="887">
        <v>0</v>
      </c>
      <c r="N406" s="887">
        <v>0</v>
      </c>
      <c r="O406" s="887">
        <f t="shared" si="174"/>
        <v>0</v>
      </c>
      <c r="P406" s="887">
        <f t="shared" si="175"/>
        <v>0</v>
      </c>
      <c r="Q406" s="875"/>
      <c r="R406" s="875"/>
      <c r="S406" s="875"/>
      <c r="T406" s="875"/>
      <c r="U406" s="875"/>
      <c r="V406" s="875"/>
      <c r="W406" s="875"/>
      <c r="X406" s="875"/>
      <c r="Y406" s="875"/>
      <c r="Z406" s="875"/>
    </row>
    <row r="407" spans="1:26" ht="19.5" hidden="1">
      <c r="A407" s="993"/>
      <c r="B407" s="883"/>
      <c r="C407" s="999"/>
      <c r="D407" s="883"/>
      <c r="E407" s="884" t="s">
        <v>37</v>
      </c>
      <c r="F407" s="883"/>
      <c r="G407" s="994"/>
      <c r="H407" s="165" t="s">
        <v>12</v>
      </c>
      <c r="I407" s="1000"/>
      <c r="J407" s="1000"/>
      <c r="K407" s="1001"/>
      <c r="L407" s="887">
        <f ca="1">IFERROR(__xludf.DUMMYFUNCTION("IMPORTRANGE(""https://docs.google.com/spreadsheets/d/1MeEWN-I1oV_STSDYn1IFDPWt_1FKiwhDph83XaGc0o0/edit?usp=sharing"",""งบพรบ!FQ79"")"),0)</f>
        <v>0</v>
      </c>
      <c r="M407" s="887">
        <f ca="1">IFERROR(__xludf.DUMMYFUNCTION("IMPORTRANGE(""https://docs.google.com/spreadsheets/d/1MeEWN-I1oV_STSDYn1IFDPWt_1FKiwhDph83XaGc0o0/edit?usp=sharing"",""งบพรบ!FV79"")"),0)</f>
        <v>0</v>
      </c>
      <c r="N407" s="887">
        <f ca="1">IFERROR(__xludf.DUMMYFUNCTION("IMPORTRANGE(""https://docs.google.com/spreadsheets/d/1MeEWN-I1oV_STSDYn1IFDPWt_1FKiwhDph83XaGc0o0/edit?usp=sharing"",""งบพรบ!FX79"")"),0)</f>
        <v>0</v>
      </c>
      <c r="O407" s="887">
        <f t="shared" ca="1" si="174"/>
        <v>0</v>
      </c>
      <c r="P407" s="887">
        <f t="shared" ca="1" si="175"/>
        <v>0</v>
      </c>
      <c r="Q407" s="875"/>
      <c r="R407" s="875"/>
      <c r="S407" s="875"/>
      <c r="T407" s="875"/>
      <c r="U407" s="875"/>
      <c r="V407" s="875"/>
      <c r="W407" s="875"/>
      <c r="X407" s="875"/>
      <c r="Y407" s="875"/>
      <c r="Z407" s="875"/>
    </row>
    <row r="408" spans="1:26" ht="18.75" hidden="1">
      <c r="A408" s="995"/>
      <c r="B408" s="877"/>
      <c r="C408" s="996"/>
      <c r="D408" s="878" t="s">
        <v>21</v>
      </c>
      <c r="E408" s="877"/>
      <c r="F408" s="877"/>
      <c r="G408" s="879"/>
      <c r="H408" s="168" t="s">
        <v>12</v>
      </c>
      <c r="I408" s="997"/>
      <c r="J408" s="997"/>
      <c r="K408" s="998"/>
      <c r="L408" s="881">
        <f t="shared" ref="L408:N408" ca="1" si="178">L409+L410</f>
        <v>0</v>
      </c>
      <c r="M408" s="881">
        <f t="shared" ca="1" si="178"/>
        <v>0</v>
      </c>
      <c r="N408" s="881">
        <f t="shared" ca="1" si="178"/>
        <v>0</v>
      </c>
      <c r="O408" s="881">
        <f t="shared" ca="1" si="174"/>
        <v>0</v>
      </c>
      <c r="P408" s="881">
        <f t="shared" ca="1" si="175"/>
        <v>0</v>
      </c>
      <c r="Q408" s="868"/>
      <c r="R408" s="868"/>
      <c r="S408" s="868"/>
      <c r="T408" s="868"/>
      <c r="U408" s="868"/>
      <c r="V408" s="868"/>
      <c r="W408" s="868"/>
      <c r="X408" s="868"/>
      <c r="Y408" s="868"/>
      <c r="Z408" s="868"/>
    </row>
    <row r="409" spans="1:26" ht="19.5" hidden="1">
      <c r="A409" s="993"/>
      <c r="B409" s="883"/>
      <c r="C409" s="999"/>
      <c r="D409" s="883"/>
      <c r="E409" s="884" t="s">
        <v>18</v>
      </c>
      <c r="F409" s="883"/>
      <c r="G409" s="994"/>
      <c r="H409" s="165" t="s">
        <v>12</v>
      </c>
      <c r="I409" s="1000"/>
      <c r="J409" s="1000"/>
      <c r="K409" s="1001"/>
      <c r="L409" s="887">
        <v>0</v>
      </c>
      <c r="M409" s="887">
        <v>0</v>
      </c>
      <c r="N409" s="887">
        <v>0</v>
      </c>
      <c r="O409" s="887">
        <f t="shared" si="174"/>
        <v>0</v>
      </c>
      <c r="P409" s="887">
        <f t="shared" si="175"/>
        <v>0</v>
      </c>
      <c r="Q409" s="875"/>
      <c r="R409" s="875"/>
      <c r="S409" s="875"/>
      <c r="T409" s="875"/>
      <c r="U409" s="875"/>
      <c r="V409" s="875"/>
      <c r="W409" s="875"/>
      <c r="X409" s="875"/>
      <c r="Y409" s="875"/>
      <c r="Z409" s="875"/>
    </row>
    <row r="410" spans="1:26" ht="19.5" hidden="1">
      <c r="A410" s="993"/>
      <c r="B410" s="883"/>
      <c r="C410" s="999"/>
      <c r="D410" s="883"/>
      <c r="E410" s="884" t="s">
        <v>19</v>
      </c>
      <c r="F410" s="883"/>
      <c r="G410" s="994"/>
      <c r="H410" s="169" t="s">
        <v>12</v>
      </c>
      <c r="I410" s="1000"/>
      <c r="J410" s="1000"/>
      <c r="K410" s="1001"/>
      <c r="L410" s="887">
        <f ca="1">IFERROR(__xludf.DUMMYFUNCTION("IMPORTRANGE(""https://docs.google.com/spreadsheets/d/1MeEWN-I1oV_STSDYn1IFDPWt_1FKiwhDph83XaGc0o0/edit?usp=sharing"",""งบพรบ!FT79"")"),0)</f>
        <v>0</v>
      </c>
      <c r="M410" s="887">
        <f ca="1">IFERROR(__xludf.DUMMYFUNCTION("IMPORTRANGE(""https://docs.google.com/spreadsheets/d/1MeEWN-I1oV_STSDYn1IFDPWt_1FKiwhDph83XaGc0o0/edit?usp=sharing"",""งบพรบ!FW79"")"),0)</f>
        <v>0</v>
      </c>
      <c r="N410" s="887">
        <f ca="1">IFERROR(__xludf.DUMMYFUNCTION("IMPORTRANGE(""https://docs.google.com/spreadsheets/d/1MeEWN-I1oV_STSDYn1IFDPWt_1FKiwhDph83XaGc0o0/edit?usp=sharing"",""งบพรบ!FY79"")"),0)</f>
        <v>0</v>
      </c>
      <c r="O410" s="887">
        <f t="shared" ca="1" si="174"/>
        <v>0</v>
      </c>
      <c r="P410" s="887">
        <f t="shared" ca="1" si="175"/>
        <v>0</v>
      </c>
      <c r="Q410" s="875"/>
      <c r="R410" s="875"/>
      <c r="S410" s="875"/>
      <c r="T410" s="875"/>
      <c r="U410" s="875"/>
      <c r="V410" s="875"/>
      <c r="W410" s="875"/>
      <c r="X410" s="875"/>
      <c r="Y410" s="875"/>
      <c r="Z410" s="875"/>
    </row>
    <row r="411" spans="1:26" ht="19.5" hidden="1">
      <c r="A411" s="1002"/>
      <c r="B411" s="1003"/>
      <c r="C411" s="999" t="s">
        <v>16</v>
      </c>
      <c r="D411" s="1264" t="s">
        <v>38</v>
      </c>
      <c r="E411" s="1265"/>
      <c r="F411" s="1265"/>
      <c r="G411" s="1266"/>
      <c r="H411" s="1007"/>
      <c r="I411" s="880"/>
      <c r="J411" s="880"/>
      <c r="K411" s="881"/>
      <c r="L411" s="998"/>
      <c r="M411" s="998"/>
      <c r="N411" s="998"/>
      <c r="O411" s="998"/>
      <c r="P411" s="998"/>
    </row>
    <row r="412" spans="1:26" ht="18.75" hidden="1">
      <c r="A412" s="1002"/>
      <c r="B412" s="1010"/>
      <c r="C412" s="1010"/>
      <c r="D412" s="1009" t="s">
        <v>178</v>
      </c>
      <c r="E412" s="1010"/>
      <c r="F412" s="1010"/>
      <c r="G412" s="1011"/>
      <c r="H412" s="537" t="s">
        <v>66</v>
      </c>
      <c r="I412" s="880">
        <v>0</v>
      </c>
      <c r="J412" s="1012">
        <v>0</v>
      </c>
      <c r="K412" s="881">
        <f t="shared" ref="K412:K413" si="179">IF(I412&gt;0,J412*100/I412,0)</f>
        <v>0</v>
      </c>
      <c r="L412" s="998"/>
      <c r="M412" s="998"/>
      <c r="N412" s="998"/>
      <c r="O412" s="998"/>
      <c r="P412" s="998"/>
    </row>
    <row r="413" spans="1:26" ht="19.5" hidden="1" thickBot="1">
      <c r="A413" s="1267"/>
      <c r="B413" s="1268"/>
      <c r="C413" s="1268"/>
      <c r="D413" s="1269" t="s">
        <v>179</v>
      </c>
      <c r="E413" s="1268"/>
      <c r="F413" s="1268"/>
      <c r="G413" s="1270"/>
      <c r="H413" s="542" t="s">
        <v>180</v>
      </c>
      <c r="I413" s="1271">
        <v>0</v>
      </c>
      <c r="J413" s="1272">
        <v>0</v>
      </c>
      <c r="K413" s="1273">
        <f t="shared" si="179"/>
        <v>0</v>
      </c>
      <c r="L413" s="1274"/>
      <c r="M413" s="1274"/>
      <c r="N413" s="1274"/>
      <c r="O413" s="1274"/>
      <c r="P413" s="1274"/>
    </row>
    <row r="414" spans="1:26" ht="19.5">
      <c r="A414" s="1275" t="s">
        <v>181</v>
      </c>
      <c r="B414" s="1276"/>
      <c r="C414" s="1276"/>
      <c r="D414" s="1276"/>
      <c r="E414" s="1276"/>
      <c r="F414" s="1276"/>
      <c r="G414" s="1277"/>
      <c r="H414" s="1278"/>
      <c r="I414" s="1279"/>
      <c r="J414" s="1279"/>
      <c r="K414" s="1280"/>
      <c r="L414" s="1281">
        <f t="shared" ref="L414:N414" ca="1" si="180">L419+L444+L467+L502+L523+L544+L629+L655+L685+L737+L754+L770+L786+L805</f>
        <v>737624</v>
      </c>
      <c r="M414" s="1281">
        <f t="shared" ca="1" si="180"/>
        <v>732014</v>
      </c>
      <c r="N414" s="1281">
        <f t="shared" si="180"/>
        <v>335398</v>
      </c>
      <c r="O414" s="1281">
        <f ca="1">IF(L414&gt;0,N414*100/L414,0)</f>
        <v>45.470049781460474</v>
      </c>
      <c r="P414" s="1281">
        <f ca="1">IF(M414&gt;0,N414*100/M414,0)</f>
        <v>45.81852259656236</v>
      </c>
    </row>
    <row r="415" spans="1:26" ht="19.5">
      <c r="A415" s="1282" t="s">
        <v>182</v>
      </c>
      <c r="B415" s="1283"/>
      <c r="C415" s="1283"/>
      <c r="D415" s="1283"/>
      <c r="E415" s="1283"/>
      <c r="F415" s="1283"/>
      <c r="G415" s="1283"/>
      <c r="H415" s="1284"/>
      <c r="I415" s="1285"/>
      <c r="J415" s="1285"/>
      <c r="K415" s="1286"/>
      <c r="L415" s="1287"/>
      <c r="M415" s="1287"/>
      <c r="N415" s="1287"/>
      <c r="O415" s="1287"/>
      <c r="P415" s="1287"/>
    </row>
    <row r="416" spans="1:26" ht="19.5">
      <c r="A416" s="1282" t="s">
        <v>183</v>
      </c>
      <c r="B416" s="1283"/>
      <c r="C416" s="1283"/>
      <c r="D416" s="1283"/>
      <c r="E416" s="1283"/>
      <c r="F416" s="1283"/>
      <c r="G416" s="1288"/>
      <c r="H416" s="1289"/>
      <c r="I416" s="1290"/>
      <c r="J416" s="1290"/>
      <c r="K416" s="1287"/>
      <c r="L416" s="1287"/>
      <c r="M416" s="1287"/>
      <c r="N416" s="1287"/>
      <c r="O416" s="1287"/>
      <c r="P416" s="1287"/>
    </row>
    <row r="417" spans="1:26" ht="39">
      <c r="A417" s="563">
        <v>1</v>
      </c>
      <c r="B417" s="1291" t="s">
        <v>184</v>
      </c>
      <c r="C417" s="1291"/>
      <c r="D417" s="1292"/>
      <c r="E417" s="1292"/>
      <c r="F417" s="1292"/>
      <c r="G417" s="1293"/>
      <c r="H417" s="568" t="s">
        <v>35</v>
      </c>
      <c r="I417" s="1294">
        <f t="shared" ref="I417:J418" ca="1" si="181">I433</f>
        <v>15</v>
      </c>
      <c r="J417" s="1294">
        <f t="shared" ca="1" si="181"/>
        <v>15</v>
      </c>
      <c r="K417" s="1295">
        <f t="shared" ref="K417:K418" ca="1" si="182">IF(I417&gt;0,J417*100/I417,0)</f>
        <v>100</v>
      </c>
      <c r="L417" s="1296"/>
      <c r="M417" s="1296"/>
      <c r="N417" s="1296"/>
      <c r="O417" s="1296"/>
      <c r="P417" s="1296"/>
    </row>
    <row r="418" spans="1:26" ht="19.5">
      <c r="A418" s="1297"/>
      <c r="B418" s="563"/>
      <c r="C418" s="1291"/>
      <c r="D418" s="1292"/>
      <c r="E418" s="1292"/>
      <c r="F418" s="1292"/>
      <c r="G418" s="1293"/>
      <c r="H418" s="568" t="s">
        <v>49</v>
      </c>
      <c r="I418" s="1294">
        <f t="shared" ca="1" si="181"/>
        <v>1</v>
      </c>
      <c r="J418" s="1294">
        <f t="shared" si="181"/>
        <v>1</v>
      </c>
      <c r="K418" s="1295">
        <f t="shared" ca="1" si="182"/>
        <v>100</v>
      </c>
      <c r="L418" s="1296"/>
      <c r="M418" s="1296"/>
      <c r="N418" s="1296"/>
      <c r="O418" s="1296"/>
      <c r="P418" s="1296"/>
    </row>
    <row r="419" spans="1:26" ht="19.5">
      <c r="A419" s="985"/>
      <c r="B419" s="986"/>
      <c r="C419" s="986" t="s">
        <v>16</v>
      </c>
      <c r="D419" s="1298" t="s">
        <v>17</v>
      </c>
      <c r="E419" s="846"/>
      <c r="F419" s="846"/>
      <c r="G419" s="989"/>
      <c r="H419" s="275" t="s">
        <v>12</v>
      </c>
      <c r="I419" s="990"/>
      <c r="J419" s="990"/>
      <c r="K419" s="991"/>
      <c r="L419" s="992">
        <f t="shared" ref="L419:N419" ca="1" si="183">L420+L421</f>
        <v>98660</v>
      </c>
      <c r="M419" s="992">
        <f t="shared" ca="1" si="183"/>
        <v>93050</v>
      </c>
      <c r="N419" s="992">
        <f t="shared" si="183"/>
        <v>64600</v>
      </c>
      <c r="O419" s="992">
        <f t="shared" ref="O419:O424" ca="1" si="184">IF(L419&gt;0,N419*100/L419,0)</f>
        <v>65.477397121427117</v>
      </c>
      <c r="P419" s="992">
        <f t="shared" ref="P419:P424" ca="1" si="185">IF(M419&gt;0,N419*100/M419,0)</f>
        <v>69.425040300913494</v>
      </c>
      <c r="Q419" s="868"/>
      <c r="R419" s="868"/>
      <c r="S419" s="868"/>
      <c r="T419" s="868"/>
      <c r="U419" s="868"/>
      <c r="V419" s="868"/>
      <c r="W419" s="868"/>
      <c r="X419" s="868"/>
      <c r="Y419" s="868"/>
      <c r="Z419" s="868"/>
    </row>
    <row r="420" spans="1:26" ht="18.75" hidden="1">
      <c r="A420" s="993"/>
      <c r="B420" s="883"/>
      <c r="C420" s="883"/>
      <c r="D420" s="1114"/>
      <c r="E420" s="884" t="s">
        <v>185</v>
      </c>
      <c r="F420" s="883"/>
      <c r="G420" s="994"/>
      <c r="H420" s="165" t="s">
        <v>12</v>
      </c>
      <c r="I420" s="886"/>
      <c r="J420" s="886"/>
      <c r="K420" s="887"/>
      <c r="L420" s="887">
        <f t="shared" ref="L420:N421" si="186">L423+L430</f>
        <v>0</v>
      </c>
      <c r="M420" s="887">
        <f t="shared" si="186"/>
        <v>0</v>
      </c>
      <c r="N420" s="887">
        <f t="shared" si="186"/>
        <v>0</v>
      </c>
      <c r="O420" s="887">
        <f t="shared" si="184"/>
        <v>0</v>
      </c>
      <c r="P420" s="887">
        <f t="shared" si="185"/>
        <v>0</v>
      </c>
      <c r="Q420" s="875"/>
      <c r="R420" s="875"/>
      <c r="S420" s="875"/>
      <c r="T420" s="875"/>
      <c r="U420" s="875"/>
      <c r="V420" s="875"/>
      <c r="W420" s="875"/>
      <c r="X420" s="875"/>
      <c r="Y420" s="875"/>
      <c r="Z420" s="875"/>
    </row>
    <row r="421" spans="1:26" ht="18.75" hidden="1">
      <c r="A421" s="993"/>
      <c r="B421" s="883"/>
      <c r="C421" s="883"/>
      <c r="D421" s="1114"/>
      <c r="E421" s="884" t="s">
        <v>186</v>
      </c>
      <c r="F421" s="883"/>
      <c r="G421" s="994"/>
      <c r="H421" s="165" t="s">
        <v>12</v>
      </c>
      <c r="I421" s="886"/>
      <c r="J421" s="886"/>
      <c r="K421" s="887"/>
      <c r="L421" s="887">
        <f t="shared" ca="1" si="186"/>
        <v>98660</v>
      </c>
      <c r="M421" s="887">
        <f t="shared" ca="1" si="186"/>
        <v>93050</v>
      </c>
      <c r="N421" s="887">
        <f t="shared" si="186"/>
        <v>64600</v>
      </c>
      <c r="O421" s="887">
        <f t="shared" ca="1" si="184"/>
        <v>65.477397121427117</v>
      </c>
      <c r="P421" s="887">
        <f t="shared" ca="1" si="185"/>
        <v>69.425040300913494</v>
      </c>
      <c r="Q421" s="875"/>
      <c r="R421" s="875"/>
      <c r="S421" s="875"/>
      <c r="T421" s="875"/>
      <c r="U421" s="875"/>
      <c r="V421" s="875"/>
      <c r="W421" s="875"/>
      <c r="X421" s="875"/>
      <c r="Y421" s="875"/>
      <c r="Z421" s="875"/>
    </row>
    <row r="422" spans="1:26" ht="18.75">
      <c r="A422" s="995"/>
      <c r="B422" s="1084"/>
      <c r="C422" s="877"/>
      <c r="D422" s="878" t="s">
        <v>20</v>
      </c>
      <c r="E422" s="877"/>
      <c r="F422" s="877"/>
      <c r="G422" s="879"/>
      <c r="H422" s="161" t="s">
        <v>12</v>
      </c>
      <c r="I422" s="997"/>
      <c r="J422" s="997"/>
      <c r="K422" s="998"/>
      <c r="L422" s="881">
        <f t="shared" ref="L422:N422" ca="1" si="187">L423+L424</f>
        <v>98660</v>
      </c>
      <c r="M422" s="881">
        <f t="shared" ca="1" si="187"/>
        <v>93050</v>
      </c>
      <c r="N422" s="881">
        <f t="shared" si="187"/>
        <v>64600</v>
      </c>
      <c r="O422" s="881">
        <f t="shared" ca="1" si="184"/>
        <v>65.477397121427117</v>
      </c>
      <c r="P422" s="881">
        <f t="shared" ca="1" si="185"/>
        <v>69.425040300913494</v>
      </c>
      <c r="Q422" s="868"/>
      <c r="R422" s="868"/>
      <c r="S422" s="868"/>
      <c r="T422" s="868"/>
      <c r="U422" s="868"/>
      <c r="V422" s="868"/>
      <c r="W422" s="868"/>
      <c r="X422" s="868"/>
      <c r="Y422" s="868"/>
      <c r="Z422" s="868"/>
    </row>
    <row r="423" spans="1:26" ht="18.75" hidden="1">
      <c r="A423" s="993"/>
      <c r="B423" s="883"/>
      <c r="C423" s="883"/>
      <c r="D423" s="1114"/>
      <c r="E423" s="884" t="s">
        <v>185</v>
      </c>
      <c r="F423" s="883"/>
      <c r="G423" s="994"/>
      <c r="H423" s="165" t="s">
        <v>12</v>
      </c>
      <c r="I423" s="886"/>
      <c r="J423" s="886"/>
      <c r="K423" s="887"/>
      <c r="L423" s="887">
        <v>0</v>
      </c>
      <c r="M423" s="887">
        <v>0</v>
      </c>
      <c r="N423" s="887">
        <v>0</v>
      </c>
      <c r="O423" s="887">
        <f t="shared" si="184"/>
        <v>0</v>
      </c>
      <c r="P423" s="887">
        <f t="shared" si="185"/>
        <v>0</v>
      </c>
      <c r="Q423" s="875"/>
      <c r="R423" s="875"/>
      <c r="S423" s="875"/>
      <c r="T423" s="875"/>
      <c r="U423" s="875"/>
      <c r="V423" s="875"/>
      <c r="W423" s="875"/>
      <c r="X423" s="875"/>
      <c r="Y423" s="875"/>
      <c r="Z423" s="875"/>
    </row>
    <row r="424" spans="1:26" ht="18.75" hidden="1">
      <c r="A424" s="993"/>
      <c r="B424" s="883"/>
      <c r="C424" s="883"/>
      <c r="D424" s="1114"/>
      <c r="E424" s="884" t="s">
        <v>186</v>
      </c>
      <c r="F424" s="883"/>
      <c r="G424" s="994"/>
      <c r="H424" s="165" t="s">
        <v>12</v>
      </c>
      <c r="I424" s="886"/>
      <c r="J424" s="886"/>
      <c r="K424" s="887"/>
      <c r="L424" s="887">
        <f ca="1">IFERROR(__xludf.DUMMYFUNCTION("IMPORTRANGE(""https://docs.google.com/spreadsheets/d/1QqKyyYR6Q21VydFLVH3TRQUabQu_ym0Zz7PgGX0-kHA/edit?usp=sharing"",""แผน!EY79"")"),98660)</f>
        <v>98660</v>
      </c>
      <c r="M424" s="887">
        <f ca="1">L424-5610</f>
        <v>93050</v>
      </c>
      <c r="N424" s="887">
        <f>N425+N426+N427+N428</f>
        <v>64600</v>
      </c>
      <c r="O424" s="887">
        <f t="shared" ca="1" si="184"/>
        <v>65.477397121427117</v>
      </c>
      <c r="P424" s="887">
        <f t="shared" ca="1" si="185"/>
        <v>69.425040300913494</v>
      </c>
      <c r="Q424" s="875"/>
      <c r="R424" s="875"/>
      <c r="S424" s="875"/>
      <c r="T424" s="875"/>
      <c r="U424" s="875"/>
      <c r="V424" s="875"/>
      <c r="W424" s="875"/>
      <c r="X424" s="875"/>
      <c r="Y424" s="875"/>
      <c r="Z424" s="875"/>
    </row>
    <row r="425" spans="1:26" ht="18.75">
      <c r="A425" s="1299"/>
      <c r="B425" s="1300"/>
      <c r="C425" s="1301"/>
      <c r="D425" s="1301"/>
      <c r="E425" s="1301"/>
      <c r="F425" s="1301" t="s">
        <v>187</v>
      </c>
      <c r="G425" s="1016"/>
      <c r="H425" s="161" t="s">
        <v>12</v>
      </c>
      <c r="I425" s="880"/>
      <c r="J425" s="880"/>
      <c r="K425" s="881"/>
      <c r="L425" s="881"/>
      <c r="M425" s="881"/>
      <c r="N425" s="1085">
        <f>[1]ผลการเบิกจ่ายเงินกองทุน!F47</f>
        <v>25680</v>
      </c>
      <c r="O425" s="881"/>
      <c r="P425" s="881"/>
      <c r="Q425" s="1302"/>
      <c r="R425" s="1302"/>
      <c r="S425" s="1302"/>
      <c r="T425" s="1302"/>
      <c r="U425" s="1302"/>
      <c r="V425" s="1302"/>
      <c r="W425" s="1302"/>
      <c r="X425" s="1302"/>
      <c r="Y425" s="1302"/>
      <c r="Z425" s="1302"/>
    </row>
    <row r="426" spans="1:26" ht="18.75">
      <c r="A426" s="1299"/>
      <c r="B426" s="1300"/>
      <c r="C426" s="1301"/>
      <c r="D426" s="1301"/>
      <c r="E426" s="1301"/>
      <c r="F426" s="1301" t="s">
        <v>188</v>
      </c>
      <c r="G426" s="1016"/>
      <c r="H426" s="161" t="s">
        <v>12</v>
      </c>
      <c r="I426" s="880"/>
      <c r="J426" s="880"/>
      <c r="K426" s="881"/>
      <c r="L426" s="881"/>
      <c r="M426" s="881"/>
      <c r="N426" s="1085">
        <v>0</v>
      </c>
      <c r="O426" s="881"/>
      <c r="P426" s="881"/>
      <c r="Q426" s="1302"/>
      <c r="R426" s="1302"/>
      <c r="S426" s="1302"/>
      <c r="T426" s="1302"/>
      <c r="U426" s="1302"/>
      <c r="V426" s="1302"/>
      <c r="W426" s="1302"/>
      <c r="X426" s="1302"/>
      <c r="Y426" s="1302"/>
      <c r="Z426" s="1302"/>
    </row>
    <row r="427" spans="1:26" ht="18.75">
      <c r="A427" s="1299"/>
      <c r="B427" s="1300"/>
      <c r="C427" s="1301"/>
      <c r="D427" s="1301"/>
      <c r="E427" s="1301"/>
      <c r="F427" s="1301" t="s">
        <v>189</v>
      </c>
      <c r="G427" s="1016"/>
      <c r="H427" s="161" t="s">
        <v>12</v>
      </c>
      <c r="I427" s="880"/>
      <c r="J427" s="880"/>
      <c r="K427" s="881"/>
      <c r="L427" s="881"/>
      <c r="M427" s="881"/>
      <c r="N427" s="1085">
        <v>0</v>
      </c>
      <c r="O427" s="881"/>
      <c r="P427" s="881"/>
      <c r="Q427" s="1302"/>
      <c r="R427" s="1302"/>
      <c r="S427" s="1302"/>
      <c r="T427" s="1302"/>
      <c r="U427" s="1302"/>
      <c r="V427" s="1302"/>
      <c r="W427" s="1302"/>
      <c r="X427" s="1302"/>
      <c r="Y427" s="1302"/>
      <c r="Z427" s="1302"/>
    </row>
    <row r="428" spans="1:26" ht="18.75">
      <c r="A428" s="1086"/>
      <c r="B428" s="1084"/>
      <c r="C428" s="877"/>
      <c r="D428" s="877"/>
      <c r="E428" s="877"/>
      <c r="F428" s="996" t="s">
        <v>190</v>
      </c>
      <c r="G428" s="1030"/>
      <c r="H428" s="161" t="s">
        <v>12</v>
      </c>
      <c r="I428" s="880"/>
      <c r="J428" s="880"/>
      <c r="K428" s="881"/>
      <c r="L428" s="881"/>
      <c r="M428" s="881"/>
      <c r="N428" s="1085">
        <v>38920</v>
      </c>
      <c r="O428" s="881"/>
      <c r="P428" s="881"/>
      <c r="Q428" s="868"/>
      <c r="R428" s="868"/>
      <c r="S428" s="868"/>
      <c r="T428" s="868"/>
      <c r="U428" s="868"/>
      <c r="V428" s="868"/>
      <c r="W428" s="868"/>
      <c r="X428" s="868"/>
      <c r="Y428" s="868"/>
      <c r="Z428" s="868"/>
    </row>
    <row r="429" spans="1:26" ht="18.75">
      <c r="A429" s="995"/>
      <c r="B429" s="1084"/>
      <c r="C429" s="877"/>
      <c r="D429" s="878" t="s">
        <v>21</v>
      </c>
      <c r="E429" s="877"/>
      <c r="F429" s="877"/>
      <c r="G429" s="879"/>
      <c r="H429" s="168" t="s">
        <v>12</v>
      </c>
      <c r="I429" s="997"/>
      <c r="J429" s="997"/>
      <c r="K429" s="998"/>
      <c r="L429" s="881">
        <f t="shared" ref="L429:N429" ca="1" si="188">L430+L431</f>
        <v>0</v>
      </c>
      <c r="M429" s="881">
        <f t="shared" si="188"/>
        <v>0</v>
      </c>
      <c r="N429" s="881">
        <f t="shared" si="188"/>
        <v>0</v>
      </c>
      <c r="O429" s="881">
        <f t="shared" ref="O429:O431" ca="1" si="189">IF(L429&gt;0,N429*100/L429,0)</f>
        <v>0</v>
      </c>
      <c r="P429" s="881">
        <f t="shared" ref="P429:P431" si="190">IF(M429&gt;0,N429*100/M429,0)</f>
        <v>0</v>
      </c>
      <c r="Q429" s="868"/>
      <c r="R429" s="868"/>
      <c r="S429" s="868"/>
      <c r="T429" s="868"/>
      <c r="U429" s="868"/>
      <c r="V429" s="868"/>
      <c r="W429" s="868"/>
      <c r="X429" s="868"/>
      <c r="Y429" s="868"/>
      <c r="Z429" s="868"/>
    </row>
    <row r="430" spans="1:26" ht="18.75" hidden="1">
      <c r="A430" s="993"/>
      <c r="B430" s="1105"/>
      <c r="C430" s="883"/>
      <c r="D430" s="883"/>
      <c r="E430" s="884" t="s">
        <v>18</v>
      </c>
      <c r="F430" s="883"/>
      <c r="G430" s="885"/>
      <c r="H430" s="165" t="s">
        <v>12</v>
      </c>
      <c r="I430" s="1000"/>
      <c r="J430" s="1000"/>
      <c r="K430" s="1001"/>
      <c r="L430" s="887">
        <v>0</v>
      </c>
      <c r="M430" s="887">
        <v>0</v>
      </c>
      <c r="N430" s="887">
        <v>0</v>
      </c>
      <c r="O430" s="887">
        <f t="shared" si="189"/>
        <v>0</v>
      </c>
      <c r="P430" s="887">
        <f t="shared" si="190"/>
        <v>0</v>
      </c>
      <c r="Q430" s="875"/>
      <c r="R430" s="875"/>
      <c r="S430" s="875"/>
      <c r="T430" s="875"/>
      <c r="U430" s="875"/>
      <c r="V430" s="875"/>
      <c r="W430" s="875"/>
      <c r="X430" s="875"/>
      <c r="Y430" s="875"/>
      <c r="Z430" s="875"/>
    </row>
    <row r="431" spans="1:26" ht="18.75" hidden="1">
      <c r="A431" s="993"/>
      <c r="B431" s="1105"/>
      <c r="C431" s="883"/>
      <c r="D431" s="883"/>
      <c r="E431" s="884" t="s">
        <v>19</v>
      </c>
      <c r="F431" s="883"/>
      <c r="G431" s="885"/>
      <c r="H431" s="169" t="s">
        <v>12</v>
      </c>
      <c r="I431" s="1000"/>
      <c r="J431" s="1000"/>
      <c r="K431" s="1001"/>
      <c r="L431" s="887">
        <f ca="1">IFERROR(__xludf.DUMMYFUNCTION("IMPORTRANGE(""https://docs.google.com/spreadsheets/d/1QqKyyYR6Q21VydFLVH3TRQUabQu_ym0Zz7PgGX0-kHA/edit?usp=sharing"",""แผน!FB79"")"),0)</f>
        <v>0</v>
      </c>
      <c r="M431" s="887">
        <v>0</v>
      </c>
      <c r="N431" s="887">
        <v>0</v>
      </c>
      <c r="O431" s="887">
        <f t="shared" ca="1" si="189"/>
        <v>0</v>
      </c>
      <c r="P431" s="887">
        <f t="shared" si="190"/>
        <v>0</v>
      </c>
      <c r="Q431" s="875"/>
      <c r="R431" s="875"/>
      <c r="S431" s="875"/>
      <c r="T431" s="875"/>
      <c r="U431" s="875"/>
      <c r="V431" s="875"/>
      <c r="W431" s="875"/>
      <c r="X431" s="875"/>
      <c r="Y431" s="875"/>
      <c r="Z431" s="875"/>
    </row>
    <row r="432" spans="1:26" ht="19.5">
      <c r="A432" s="1165"/>
      <c r="B432" s="1166"/>
      <c r="C432" s="986" t="s">
        <v>16</v>
      </c>
      <c r="D432" s="1303" t="s">
        <v>38</v>
      </c>
      <c r="E432" s="1304"/>
      <c r="F432" s="1304"/>
      <c r="G432" s="1305"/>
      <c r="H432" s="1306"/>
      <c r="I432" s="990"/>
      <c r="J432" s="990"/>
      <c r="K432" s="991"/>
      <c r="L432" s="991"/>
      <c r="M432" s="991"/>
      <c r="N432" s="991"/>
      <c r="O432" s="991"/>
      <c r="P432" s="991"/>
      <c r="Q432" s="868"/>
      <c r="R432" s="868"/>
      <c r="S432" s="868"/>
      <c r="T432" s="868"/>
      <c r="U432" s="868"/>
      <c r="V432" s="868"/>
      <c r="W432" s="868"/>
      <c r="X432" s="868"/>
      <c r="Y432" s="868"/>
      <c r="Z432" s="868"/>
    </row>
    <row r="433" spans="1:26" ht="19.5">
      <c r="A433" s="1002"/>
      <c r="B433" s="1003"/>
      <c r="C433" s="1003"/>
      <c r="D433" s="1013" t="s">
        <v>191</v>
      </c>
      <c r="E433" s="1010"/>
      <c r="F433" s="1010"/>
      <c r="G433" s="1011"/>
      <c r="H433" s="196" t="s">
        <v>35</v>
      </c>
      <c r="I433" s="1019">
        <f ca="1">I435</f>
        <v>15</v>
      </c>
      <c r="J433" s="1019">
        <f ca="1">IF(AND(J435=I435,J437=I437,J439=I439),I437+I439,IF(AND(J435=I437,J437=I437),I437,IF(AND(J435=I439,J439=I439),I439,0)))</f>
        <v>15</v>
      </c>
      <c r="K433" s="1020">
        <f t="shared" ref="K433:K435" ca="1" si="191">IF(I433&gt;0,J433*100/I433,0)</f>
        <v>100</v>
      </c>
      <c r="L433" s="881"/>
      <c r="M433" s="881"/>
      <c r="N433" s="881"/>
      <c r="O433" s="881"/>
      <c r="P433" s="881"/>
      <c r="Q433" s="868"/>
      <c r="R433" s="868"/>
      <c r="S433" s="868"/>
      <c r="T433" s="868"/>
      <c r="U433" s="868"/>
      <c r="V433" s="868"/>
      <c r="W433" s="868"/>
      <c r="X433" s="868"/>
      <c r="Y433" s="868"/>
      <c r="Z433" s="868"/>
    </row>
    <row r="434" spans="1:26" ht="19.5">
      <c r="A434" s="1002"/>
      <c r="B434" s="1003"/>
      <c r="C434" s="1003"/>
      <c r="D434" s="1013" t="s">
        <v>192</v>
      </c>
      <c r="E434" s="1010"/>
      <c r="F434" s="1010"/>
      <c r="G434" s="1011"/>
      <c r="H434" s="196" t="s">
        <v>49</v>
      </c>
      <c r="I434" s="1019">
        <f t="shared" ref="I434:J434" ca="1" si="192">I438+I440</f>
        <v>1</v>
      </c>
      <c r="J434" s="1019">
        <f t="shared" si="192"/>
        <v>1</v>
      </c>
      <c r="K434" s="1020">
        <f t="shared" ca="1" si="191"/>
        <v>100</v>
      </c>
      <c r="L434" s="881"/>
      <c r="M434" s="881"/>
      <c r="N434" s="881"/>
      <c r="O434" s="881"/>
      <c r="P434" s="881"/>
      <c r="Q434" s="868"/>
      <c r="R434" s="868"/>
      <c r="S434" s="868"/>
      <c r="T434" s="868"/>
      <c r="U434" s="868"/>
      <c r="V434" s="868"/>
      <c r="W434" s="868"/>
      <c r="X434" s="868"/>
      <c r="Y434" s="868"/>
      <c r="Z434" s="868"/>
    </row>
    <row r="435" spans="1:26" ht="18.75">
      <c r="A435" s="1002"/>
      <c r="B435" s="1003"/>
      <c r="C435" s="1003"/>
      <c r="D435" s="1009" t="s">
        <v>193</v>
      </c>
      <c r="E435" s="1010"/>
      <c r="F435" s="1010"/>
      <c r="G435" s="1011"/>
      <c r="H435" s="622" t="s">
        <v>35</v>
      </c>
      <c r="I435" s="582">
        <f ca="1">IFERROR(__xludf.DUMMYFUNCTION("IMPORTRANGE(""https://docs.google.com/spreadsheets/d/1QqKyyYR6Q21VydFLVH3TRQUabQu_ym0Zz7PgGX0-kHA/edit?usp=sharing"",""แผน!FC79"")"),15)</f>
        <v>15</v>
      </c>
      <c r="J435" s="583">
        <v>15</v>
      </c>
      <c r="K435" s="881">
        <f t="shared" ca="1" si="191"/>
        <v>100</v>
      </c>
      <c r="L435" s="881"/>
      <c r="M435" s="881"/>
      <c r="N435" s="881"/>
      <c r="O435" s="881"/>
      <c r="P435" s="881"/>
      <c r="Q435" s="868"/>
      <c r="R435" s="868"/>
      <c r="S435" s="868"/>
      <c r="T435" s="868"/>
      <c r="U435" s="868"/>
      <c r="V435" s="868"/>
      <c r="W435" s="868"/>
      <c r="X435" s="868"/>
      <c r="Y435" s="868"/>
      <c r="Z435" s="868"/>
    </row>
    <row r="436" spans="1:26" ht="18.75">
      <c r="A436" s="1002"/>
      <c r="B436" s="1003"/>
      <c r="C436" s="1003"/>
      <c r="D436" s="1009" t="s">
        <v>194</v>
      </c>
      <c r="E436" s="1010"/>
      <c r="F436" s="1010"/>
      <c r="G436" s="1011"/>
      <c r="H436" s="622"/>
      <c r="I436" s="880"/>
      <c r="J436" s="880"/>
      <c r="K436" s="881"/>
      <c r="L436" s="881"/>
      <c r="M436" s="881"/>
      <c r="N436" s="881"/>
      <c r="O436" s="881"/>
      <c r="P436" s="881"/>
      <c r="Q436" s="868"/>
      <c r="R436" s="868"/>
      <c r="S436" s="868"/>
      <c r="T436" s="868"/>
      <c r="U436" s="868"/>
      <c r="V436" s="868"/>
      <c r="W436" s="868"/>
      <c r="X436" s="868"/>
      <c r="Y436" s="868"/>
      <c r="Z436" s="868"/>
    </row>
    <row r="437" spans="1:26" ht="18.75">
      <c r="A437" s="1002"/>
      <c r="B437" s="1003"/>
      <c r="C437" s="1003"/>
      <c r="D437" s="1009" t="s">
        <v>195</v>
      </c>
      <c r="E437" s="1010"/>
      <c r="F437" s="1010"/>
      <c r="G437" s="1011"/>
      <c r="H437" s="622" t="s">
        <v>35</v>
      </c>
      <c r="I437" s="582">
        <f ca="1">IFERROR(__xludf.DUMMYFUNCTION("IMPORTRANGE(""https://docs.google.com/spreadsheets/d/1QqKyyYR6Q21VydFLVH3TRQUabQu_ym0Zz7PgGX0-kHA/edit?usp=sharing"",""แผน!FD79"")"),0)</f>
        <v>0</v>
      </c>
      <c r="J437" s="583">
        <v>0</v>
      </c>
      <c r="K437" s="881">
        <f t="shared" ref="K437:K443" ca="1" si="193">IF(I437&gt;0,J437*100/I437,0)</f>
        <v>0</v>
      </c>
      <c r="L437" s="881"/>
      <c r="M437" s="881"/>
      <c r="N437" s="881"/>
      <c r="O437" s="881"/>
      <c r="P437" s="881"/>
      <c r="Q437" s="868"/>
      <c r="R437" s="868"/>
      <c r="S437" s="868"/>
      <c r="T437" s="868"/>
      <c r="U437" s="868"/>
      <c r="V437" s="868"/>
      <c r="W437" s="868"/>
      <c r="X437" s="868"/>
      <c r="Y437" s="868"/>
      <c r="Z437" s="868"/>
    </row>
    <row r="438" spans="1:26" ht="18.75">
      <c r="A438" s="1002"/>
      <c r="B438" s="1003"/>
      <c r="C438" s="1003"/>
      <c r="D438" s="1009" t="s">
        <v>196</v>
      </c>
      <c r="E438" s="1010"/>
      <c r="F438" s="1010"/>
      <c r="G438" s="1011"/>
      <c r="H438" s="622" t="s">
        <v>49</v>
      </c>
      <c r="I438" s="880">
        <f ca="1">IFERROR(__xludf.DUMMYFUNCTION("IMPORTRANGE(""https://docs.google.com/spreadsheets/d/1QqKyyYR6Q21VydFLVH3TRQUabQu_ym0Zz7PgGX0-kHA/edit?usp=sharing"",""แผน!FE79"")"),0)</f>
        <v>0</v>
      </c>
      <c r="J438" s="1012">
        <v>0</v>
      </c>
      <c r="K438" s="881">
        <f t="shared" ca="1" si="193"/>
        <v>0</v>
      </c>
      <c r="L438" s="881"/>
      <c r="M438" s="881"/>
      <c r="N438" s="881"/>
      <c r="O438" s="881"/>
      <c r="P438" s="881"/>
      <c r="Q438" s="868"/>
      <c r="R438" s="868"/>
      <c r="S438" s="868"/>
      <c r="T438" s="868"/>
      <c r="U438" s="868"/>
      <c r="V438" s="868"/>
      <c r="W438" s="868"/>
      <c r="X438" s="868"/>
      <c r="Y438" s="868"/>
      <c r="Z438" s="868"/>
    </row>
    <row r="439" spans="1:26" ht="18.75">
      <c r="A439" s="1002"/>
      <c r="B439" s="1003"/>
      <c r="C439" s="1003"/>
      <c r="D439" s="1009" t="s">
        <v>197</v>
      </c>
      <c r="E439" s="1010"/>
      <c r="F439" s="1010"/>
      <c r="G439" s="1011"/>
      <c r="H439" s="622" t="s">
        <v>35</v>
      </c>
      <c r="I439" s="582">
        <f ca="1">IFERROR(__xludf.DUMMYFUNCTION("IMPORTRANGE(""https://docs.google.com/spreadsheets/d/1QqKyyYR6Q21VydFLVH3TRQUabQu_ym0Zz7PgGX0-kHA/edit?usp=sharing"",""แผน!FF79"")"),15)</f>
        <v>15</v>
      </c>
      <c r="J439" s="583">
        <v>15</v>
      </c>
      <c r="K439" s="881">
        <f t="shared" ca="1" si="193"/>
        <v>100</v>
      </c>
      <c r="L439" s="881"/>
      <c r="M439" s="881"/>
      <c r="N439" s="881"/>
      <c r="O439" s="881"/>
      <c r="P439" s="881"/>
      <c r="Q439" s="868"/>
      <c r="R439" s="868"/>
      <c r="S439" s="868"/>
      <c r="T439" s="868"/>
      <c r="U439" s="868"/>
      <c r="V439" s="868"/>
      <c r="W439" s="868"/>
      <c r="X439" s="868"/>
      <c r="Y439" s="868"/>
      <c r="Z439" s="868"/>
    </row>
    <row r="440" spans="1:26" ht="18.75">
      <c r="A440" s="1002"/>
      <c r="B440" s="1003"/>
      <c r="C440" s="1003"/>
      <c r="D440" s="1009" t="s">
        <v>198</v>
      </c>
      <c r="E440" s="1010"/>
      <c r="F440" s="1010"/>
      <c r="G440" s="1011"/>
      <c r="H440" s="622" t="s">
        <v>49</v>
      </c>
      <c r="I440" s="880">
        <f ca="1">IFERROR(__xludf.DUMMYFUNCTION("IMPORTRANGE(""https://docs.google.com/spreadsheets/d/1QqKyyYR6Q21VydFLVH3TRQUabQu_ym0Zz7PgGX0-kHA/edit?usp=sharing"",""แผน!FG79"")"),1)</f>
        <v>1</v>
      </c>
      <c r="J440" s="1012">
        <v>1</v>
      </c>
      <c r="K440" s="881">
        <f t="shared" ca="1" si="193"/>
        <v>100</v>
      </c>
      <c r="L440" s="881"/>
      <c r="M440" s="881"/>
      <c r="N440" s="881"/>
      <c r="O440" s="881"/>
      <c r="P440" s="881"/>
      <c r="Q440" s="868"/>
      <c r="R440" s="868"/>
      <c r="S440" s="868"/>
      <c r="T440" s="868"/>
      <c r="U440" s="868"/>
      <c r="V440" s="868"/>
      <c r="W440" s="868"/>
      <c r="X440" s="868"/>
      <c r="Y440" s="868"/>
      <c r="Z440" s="868"/>
    </row>
    <row r="441" spans="1:26" ht="18.75">
      <c r="A441" s="1002"/>
      <c r="B441" s="1003"/>
      <c r="C441" s="1003"/>
      <c r="D441" s="1009" t="s">
        <v>199</v>
      </c>
      <c r="E441" s="1010"/>
      <c r="F441" s="1010"/>
      <c r="G441" s="1011"/>
      <c r="H441" s="622" t="s">
        <v>35</v>
      </c>
      <c r="I441" s="880">
        <f ca="1">IFERROR(__xludf.DUMMYFUNCTION("IMPORTRANGE(""https://docs.google.com/spreadsheets/d/1QqKyyYR6Q21VydFLVH3TRQUabQu_ym0Zz7PgGX0-kHA/edit?usp=sharing"",""แผน!FH79"")"),0)</f>
        <v>0</v>
      </c>
      <c r="J441" s="880">
        <v>0</v>
      </c>
      <c r="K441" s="881">
        <f t="shared" ca="1" si="193"/>
        <v>0</v>
      </c>
      <c r="L441" s="881"/>
      <c r="M441" s="881"/>
      <c r="N441" s="881"/>
      <c r="O441" s="881"/>
      <c r="P441" s="881"/>
      <c r="Q441" s="868"/>
      <c r="R441" s="868"/>
      <c r="S441" s="868"/>
      <c r="T441" s="868"/>
      <c r="U441" s="868"/>
      <c r="V441" s="868"/>
      <c r="W441" s="868"/>
      <c r="X441" s="868"/>
      <c r="Y441" s="868"/>
      <c r="Z441" s="868"/>
    </row>
    <row r="442" spans="1:26" ht="19.5" hidden="1">
      <c r="A442" s="584">
        <v>2</v>
      </c>
      <c r="B442" s="1307" t="s">
        <v>200</v>
      </c>
      <c r="C442" s="1308"/>
      <c r="D442" s="1308"/>
      <c r="E442" s="1308"/>
      <c r="F442" s="1308"/>
      <c r="G442" s="1309"/>
      <c r="H442" s="588" t="s">
        <v>35</v>
      </c>
      <c r="I442" s="1310">
        <f t="shared" ref="I442:J442" ca="1" si="194">I460</f>
        <v>0</v>
      </c>
      <c r="J442" s="1310">
        <f t="shared" si="194"/>
        <v>0</v>
      </c>
      <c r="K442" s="1311">
        <f t="shared" ca="1" si="193"/>
        <v>0</v>
      </c>
      <c r="L442" s="1312"/>
      <c r="M442" s="1312"/>
      <c r="N442" s="1312"/>
      <c r="O442" s="1312"/>
      <c r="P442" s="1312"/>
      <c r="Q442" s="1302"/>
      <c r="R442" s="1302"/>
      <c r="S442" s="1302"/>
      <c r="T442" s="1302"/>
      <c r="U442" s="1302"/>
      <c r="V442" s="1302"/>
      <c r="W442" s="1302"/>
      <c r="X442" s="1302"/>
      <c r="Y442" s="1302"/>
      <c r="Z442" s="1302"/>
    </row>
    <row r="443" spans="1:26" ht="19.5" hidden="1">
      <c r="A443" s="1313"/>
      <c r="B443" s="1314"/>
      <c r="C443" s="1315"/>
      <c r="D443" s="1315"/>
      <c r="E443" s="1315"/>
      <c r="F443" s="1315"/>
      <c r="G443" s="1316"/>
      <c r="H443" s="568" t="s">
        <v>46</v>
      </c>
      <c r="I443" s="1294">
        <f t="shared" ref="I443:J443" ca="1" si="195">I462</f>
        <v>0</v>
      </c>
      <c r="J443" s="1294">
        <f t="shared" si="195"/>
        <v>0</v>
      </c>
      <c r="K443" s="1295">
        <f t="shared" ca="1" si="193"/>
        <v>0</v>
      </c>
      <c r="L443" s="1296"/>
      <c r="M443" s="1296"/>
      <c r="N443" s="1296"/>
      <c r="O443" s="1296"/>
      <c r="P443" s="1296"/>
      <c r="Q443" s="1302"/>
      <c r="R443" s="1302"/>
      <c r="S443" s="1302"/>
      <c r="T443" s="1302"/>
      <c r="U443" s="1302"/>
      <c r="V443" s="1302"/>
      <c r="W443" s="1302"/>
      <c r="X443" s="1302"/>
      <c r="Y443" s="1302"/>
      <c r="Z443" s="1302"/>
    </row>
    <row r="444" spans="1:26" ht="19.5" hidden="1">
      <c r="A444" s="1317"/>
      <c r="B444" s="1301"/>
      <c r="C444" s="1301" t="s">
        <v>16</v>
      </c>
      <c r="D444" s="1318" t="s">
        <v>17</v>
      </c>
      <c r="E444" s="841"/>
      <c r="F444" s="841"/>
      <c r="G444" s="1016"/>
      <c r="H444" s="597" t="s">
        <v>12</v>
      </c>
      <c r="I444" s="880"/>
      <c r="J444" s="880"/>
      <c r="K444" s="881"/>
      <c r="L444" s="1020">
        <f t="shared" ref="L444:N444" ca="1" si="196">L445+L446</f>
        <v>0</v>
      </c>
      <c r="M444" s="1020">
        <f t="shared" si="196"/>
        <v>0</v>
      </c>
      <c r="N444" s="1020">
        <f t="shared" si="196"/>
        <v>0</v>
      </c>
      <c r="O444" s="1020">
        <f t="shared" ref="O444:O449" ca="1" si="197">IF(L444&gt;0,N444*100/L444,0)</f>
        <v>0</v>
      </c>
      <c r="P444" s="1020">
        <f t="shared" ref="P444:P449" si="198">IF(M444&gt;0,N444*100/M444,0)</f>
        <v>0</v>
      </c>
      <c r="Q444" s="1302"/>
      <c r="R444" s="1302"/>
      <c r="S444" s="1302"/>
      <c r="T444" s="1302"/>
      <c r="U444" s="1302"/>
      <c r="V444" s="1302"/>
      <c r="W444" s="1302"/>
      <c r="X444" s="1302"/>
      <c r="Y444" s="1302"/>
      <c r="Z444" s="1302"/>
    </row>
    <row r="445" spans="1:26" ht="18.75" hidden="1">
      <c r="A445" s="1319"/>
      <c r="B445" s="1320"/>
      <c r="C445" s="1320"/>
      <c r="D445" s="1321"/>
      <c r="E445" s="1320" t="s">
        <v>185</v>
      </c>
      <c r="F445" s="1320"/>
      <c r="G445" s="1322"/>
      <c r="H445" s="165" t="s">
        <v>12</v>
      </c>
      <c r="I445" s="886"/>
      <c r="J445" s="886"/>
      <c r="K445" s="887"/>
      <c r="L445" s="887">
        <f t="shared" ref="L445:N446" si="199">L448+L455</f>
        <v>0</v>
      </c>
      <c r="M445" s="887">
        <f t="shared" si="199"/>
        <v>0</v>
      </c>
      <c r="N445" s="887">
        <f t="shared" si="199"/>
        <v>0</v>
      </c>
      <c r="O445" s="887">
        <f t="shared" si="197"/>
        <v>0</v>
      </c>
      <c r="P445" s="887">
        <f t="shared" si="198"/>
        <v>0</v>
      </c>
      <c r="Q445" s="1323"/>
      <c r="R445" s="1323"/>
      <c r="S445" s="1323"/>
      <c r="T445" s="1323"/>
      <c r="U445" s="1323"/>
      <c r="V445" s="1323"/>
      <c r="W445" s="1323"/>
      <c r="X445" s="1323"/>
      <c r="Y445" s="1323"/>
      <c r="Z445" s="1323"/>
    </row>
    <row r="446" spans="1:26" ht="18.75" hidden="1">
      <c r="A446" s="1319"/>
      <c r="B446" s="1324"/>
      <c r="C446" s="1320"/>
      <c r="D446" s="1321"/>
      <c r="E446" s="1320" t="s">
        <v>186</v>
      </c>
      <c r="F446" s="1320"/>
      <c r="G446" s="1322"/>
      <c r="H446" s="165" t="s">
        <v>12</v>
      </c>
      <c r="I446" s="886"/>
      <c r="J446" s="886"/>
      <c r="K446" s="887"/>
      <c r="L446" s="887">
        <f t="shared" ca="1" si="199"/>
        <v>0</v>
      </c>
      <c r="M446" s="887">
        <f t="shared" si="199"/>
        <v>0</v>
      </c>
      <c r="N446" s="887">
        <f t="shared" si="199"/>
        <v>0</v>
      </c>
      <c r="O446" s="887">
        <f t="shared" ca="1" si="197"/>
        <v>0</v>
      </c>
      <c r="P446" s="887">
        <f t="shared" si="198"/>
        <v>0</v>
      </c>
      <c r="Q446" s="1323"/>
      <c r="R446" s="1323"/>
      <c r="S446" s="1323"/>
      <c r="T446" s="1323"/>
      <c r="U446" s="1323"/>
      <c r="V446" s="1323"/>
      <c r="W446" s="1323"/>
      <c r="X446" s="1323"/>
      <c r="Y446" s="1323"/>
      <c r="Z446" s="1323"/>
    </row>
    <row r="447" spans="1:26" ht="18.75" hidden="1">
      <c r="A447" s="1317"/>
      <c r="B447" s="1300"/>
      <c r="C447" s="1301"/>
      <c r="D447" s="1325" t="s">
        <v>20</v>
      </c>
      <c r="E447" s="1301"/>
      <c r="F447" s="1301"/>
      <c r="G447" s="1016"/>
      <c r="H447" s="161" t="s">
        <v>12</v>
      </c>
      <c r="I447" s="997"/>
      <c r="J447" s="997"/>
      <c r="K447" s="998"/>
      <c r="L447" s="881">
        <f t="shared" ref="L447:N447" ca="1" si="200">L448+L449</f>
        <v>0</v>
      </c>
      <c r="M447" s="881">
        <f t="shared" si="200"/>
        <v>0</v>
      </c>
      <c r="N447" s="881">
        <f t="shared" si="200"/>
        <v>0</v>
      </c>
      <c r="O447" s="881">
        <f t="shared" ca="1" si="197"/>
        <v>0</v>
      </c>
      <c r="P447" s="881">
        <f t="shared" si="198"/>
        <v>0</v>
      </c>
      <c r="Q447" s="1302"/>
      <c r="R447" s="1302"/>
      <c r="S447" s="1302"/>
      <c r="T447" s="1302"/>
      <c r="U447" s="1302"/>
      <c r="V447" s="1302"/>
      <c r="W447" s="1302"/>
      <c r="X447" s="1302"/>
      <c r="Y447" s="1302"/>
      <c r="Z447" s="1302"/>
    </row>
    <row r="448" spans="1:26" ht="18.75" hidden="1">
      <c r="A448" s="1319"/>
      <c r="B448" s="1324"/>
      <c r="C448" s="1320"/>
      <c r="D448" s="1321"/>
      <c r="E448" s="1320" t="s">
        <v>185</v>
      </c>
      <c r="F448" s="1320"/>
      <c r="G448" s="1322"/>
      <c r="H448" s="165" t="s">
        <v>12</v>
      </c>
      <c r="I448" s="886"/>
      <c r="J448" s="886"/>
      <c r="K448" s="887"/>
      <c r="L448" s="887">
        <v>0</v>
      </c>
      <c r="M448" s="887">
        <v>0</v>
      </c>
      <c r="N448" s="887">
        <v>0</v>
      </c>
      <c r="O448" s="887">
        <f t="shared" si="197"/>
        <v>0</v>
      </c>
      <c r="P448" s="887">
        <f t="shared" si="198"/>
        <v>0</v>
      </c>
      <c r="Q448" s="1323"/>
      <c r="R448" s="1323"/>
      <c r="S448" s="1323"/>
      <c r="T448" s="1323"/>
      <c r="U448" s="1323"/>
      <c r="V448" s="1323"/>
      <c r="W448" s="1323"/>
      <c r="X448" s="1323"/>
      <c r="Y448" s="1323"/>
      <c r="Z448" s="1323"/>
    </row>
    <row r="449" spans="1:26" ht="18.75" hidden="1">
      <c r="A449" s="1319"/>
      <c r="B449" s="1324"/>
      <c r="C449" s="1320"/>
      <c r="D449" s="1321"/>
      <c r="E449" s="1320" t="s">
        <v>186</v>
      </c>
      <c r="F449" s="1320"/>
      <c r="G449" s="1322"/>
      <c r="H449" s="165" t="s">
        <v>12</v>
      </c>
      <c r="I449" s="886"/>
      <c r="J449" s="886"/>
      <c r="K449" s="887"/>
      <c r="L449" s="887">
        <f ca="1">IFERROR(__xludf.DUMMYFUNCTION("IMPORTRANGE(""https://docs.google.com/spreadsheets/d/1QqKyyYR6Q21VydFLVH3TRQUabQu_ym0Zz7PgGX0-kHA/edit?usp=sharing"",""แผน!FJ79"")"),0)</f>
        <v>0</v>
      </c>
      <c r="M449" s="887">
        <v>0</v>
      </c>
      <c r="N449" s="887">
        <f>N450+N451+N452+N453</f>
        <v>0</v>
      </c>
      <c r="O449" s="887">
        <f t="shared" ca="1" si="197"/>
        <v>0</v>
      </c>
      <c r="P449" s="887">
        <f t="shared" si="198"/>
        <v>0</v>
      </c>
      <c r="Q449" s="1323"/>
      <c r="R449" s="1323"/>
      <c r="S449" s="1323"/>
      <c r="T449" s="1323"/>
      <c r="U449" s="1323"/>
      <c r="V449" s="1323"/>
      <c r="W449" s="1323"/>
      <c r="X449" s="1323"/>
      <c r="Y449" s="1323"/>
      <c r="Z449" s="1323"/>
    </row>
    <row r="450" spans="1:26" ht="18.75" hidden="1">
      <c r="A450" s="1299"/>
      <c r="B450" s="1300"/>
      <c r="C450" s="1301"/>
      <c r="D450" s="1301"/>
      <c r="E450" s="1301"/>
      <c r="F450" s="1301" t="s">
        <v>187</v>
      </c>
      <c r="G450" s="1016"/>
      <c r="H450" s="161" t="s">
        <v>12</v>
      </c>
      <c r="I450" s="880"/>
      <c r="J450" s="880"/>
      <c r="K450" s="881"/>
      <c r="L450" s="881"/>
      <c r="M450" s="881"/>
      <c r="N450" s="1085">
        <v>0</v>
      </c>
      <c r="O450" s="881"/>
      <c r="P450" s="881"/>
      <c r="Q450" s="1302"/>
      <c r="R450" s="1302"/>
      <c r="S450" s="1302"/>
      <c r="T450" s="1302"/>
      <c r="U450" s="1302"/>
      <c r="V450" s="1302"/>
      <c r="W450" s="1302"/>
      <c r="X450" s="1302"/>
      <c r="Y450" s="1302"/>
      <c r="Z450" s="1302"/>
    </row>
    <row r="451" spans="1:26" ht="18.75" hidden="1">
      <c r="A451" s="1299"/>
      <c r="B451" s="1300"/>
      <c r="C451" s="1301"/>
      <c r="D451" s="1301"/>
      <c r="E451" s="1301"/>
      <c r="F451" s="1301" t="s">
        <v>188</v>
      </c>
      <c r="G451" s="1016"/>
      <c r="H451" s="161" t="s">
        <v>12</v>
      </c>
      <c r="I451" s="880"/>
      <c r="J451" s="880"/>
      <c r="K451" s="881"/>
      <c r="L451" s="881"/>
      <c r="M451" s="881"/>
      <c r="N451" s="1085">
        <v>0</v>
      </c>
      <c r="O451" s="881"/>
      <c r="P451" s="881"/>
      <c r="Q451" s="1302"/>
      <c r="R451" s="1302"/>
      <c r="S451" s="1302"/>
      <c r="T451" s="1302"/>
      <c r="U451" s="1302"/>
      <c r="V451" s="1302"/>
      <c r="W451" s="1302"/>
      <c r="X451" s="1302"/>
      <c r="Y451" s="1302"/>
      <c r="Z451" s="1302"/>
    </row>
    <row r="452" spans="1:26" ht="18.75" hidden="1">
      <c r="A452" s="1299"/>
      <c r="B452" s="1300"/>
      <c r="C452" s="1300"/>
      <c r="D452" s="1300"/>
      <c r="E452" s="1300"/>
      <c r="F452" s="1301" t="s">
        <v>189</v>
      </c>
      <c r="G452" s="1016"/>
      <c r="H452" s="161" t="s">
        <v>12</v>
      </c>
      <c r="I452" s="880"/>
      <c r="J452" s="880"/>
      <c r="K452" s="881"/>
      <c r="L452" s="881"/>
      <c r="M452" s="881"/>
      <c r="N452" s="1085">
        <v>0</v>
      </c>
      <c r="O452" s="881"/>
      <c r="P452" s="881"/>
      <c r="Q452" s="1302"/>
      <c r="R452" s="1302"/>
      <c r="S452" s="1302"/>
      <c r="T452" s="1302"/>
      <c r="U452" s="1302"/>
      <c r="V452" s="1302"/>
      <c r="W452" s="1302"/>
      <c r="X452" s="1302"/>
      <c r="Y452" s="1302"/>
      <c r="Z452" s="1302"/>
    </row>
    <row r="453" spans="1:26" ht="18.75" hidden="1">
      <c r="A453" s="1299"/>
      <c r="B453" s="1300"/>
      <c r="C453" s="1300"/>
      <c r="D453" s="1300"/>
      <c r="E453" s="1300"/>
      <c r="F453" s="1301" t="s">
        <v>190</v>
      </c>
      <c r="G453" s="1016"/>
      <c r="H453" s="161" t="s">
        <v>12</v>
      </c>
      <c r="I453" s="880"/>
      <c r="J453" s="880"/>
      <c r="K453" s="881"/>
      <c r="L453" s="881"/>
      <c r="M453" s="881"/>
      <c r="N453" s="1085">
        <v>0</v>
      </c>
      <c r="O453" s="881"/>
      <c r="P453" s="881"/>
      <c r="Q453" s="1302"/>
      <c r="R453" s="1302"/>
      <c r="S453" s="1302"/>
      <c r="T453" s="1302"/>
      <c r="U453" s="1302"/>
      <c r="V453" s="1302"/>
      <c r="W453" s="1302"/>
      <c r="X453" s="1302"/>
      <c r="Y453" s="1302"/>
      <c r="Z453" s="1302"/>
    </row>
    <row r="454" spans="1:26" ht="18.75" hidden="1">
      <c r="A454" s="1317"/>
      <c r="B454" s="1300"/>
      <c r="C454" s="1300"/>
      <c r="D454" s="1325" t="s">
        <v>21</v>
      </c>
      <c r="E454" s="1300"/>
      <c r="F454" s="1301"/>
      <c r="G454" s="1016"/>
      <c r="H454" s="168" t="s">
        <v>12</v>
      </c>
      <c r="I454" s="997"/>
      <c r="J454" s="997"/>
      <c r="K454" s="998"/>
      <c r="L454" s="881">
        <f t="shared" ref="L454:N454" ca="1" si="201">L455+L456</f>
        <v>0</v>
      </c>
      <c r="M454" s="881">
        <f t="shared" si="201"/>
        <v>0</v>
      </c>
      <c r="N454" s="881">
        <f t="shared" si="201"/>
        <v>0</v>
      </c>
      <c r="O454" s="881">
        <f t="shared" ref="O454:O456" ca="1" si="202">IF(L454&gt;0,N454*100/L454,0)</f>
        <v>0</v>
      </c>
      <c r="P454" s="881">
        <f t="shared" ref="P454:P456" si="203">IF(M454&gt;0,N454*100/M454,0)</f>
        <v>0</v>
      </c>
      <c r="Q454" s="1302"/>
      <c r="R454" s="1302"/>
      <c r="S454" s="1302"/>
      <c r="T454" s="1302"/>
      <c r="U454" s="1302"/>
      <c r="V454" s="1302"/>
      <c r="W454" s="1302"/>
      <c r="X454" s="1302"/>
      <c r="Y454" s="1302"/>
      <c r="Z454" s="1302"/>
    </row>
    <row r="455" spans="1:26" ht="18.75" hidden="1">
      <c r="A455" s="1319"/>
      <c r="B455" s="1324"/>
      <c r="C455" s="1324"/>
      <c r="D455" s="1324"/>
      <c r="E455" s="1324" t="s">
        <v>18</v>
      </c>
      <c r="F455" s="1320"/>
      <c r="G455" s="1322"/>
      <c r="H455" s="165" t="s">
        <v>12</v>
      </c>
      <c r="I455" s="1000"/>
      <c r="J455" s="1000"/>
      <c r="K455" s="1001"/>
      <c r="L455" s="887">
        <v>0</v>
      </c>
      <c r="M455" s="887">
        <v>0</v>
      </c>
      <c r="N455" s="887">
        <v>0</v>
      </c>
      <c r="O455" s="887">
        <f t="shared" si="202"/>
        <v>0</v>
      </c>
      <c r="P455" s="887">
        <f t="shared" si="203"/>
        <v>0</v>
      </c>
      <c r="Q455" s="1323"/>
      <c r="R455" s="1323"/>
      <c r="S455" s="1323"/>
      <c r="T455" s="1323"/>
      <c r="U455" s="1323"/>
      <c r="V455" s="1323"/>
      <c r="W455" s="1323"/>
      <c r="X455" s="1323"/>
      <c r="Y455" s="1323"/>
      <c r="Z455" s="1323"/>
    </row>
    <row r="456" spans="1:26" ht="18.75" hidden="1">
      <c r="A456" s="1319"/>
      <c r="B456" s="1324"/>
      <c r="C456" s="1324"/>
      <c r="D456" s="1324"/>
      <c r="E456" s="1324" t="s">
        <v>19</v>
      </c>
      <c r="F456" s="1320"/>
      <c r="G456" s="1322"/>
      <c r="H456" s="169" t="s">
        <v>12</v>
      </c>
      <c r="I456" s="1000"/>
      <c r="J456" s="1000"/>
      <c r="K456" s="1001"/>
      <c r="L456" s="887">
        <f ca="1">IFERROR(__xludf.DUMMYFUNCTION("IMPORTRANGE(""https://docs.google.com/spreadsheets/d/1QqKyyYR6Q21VydFLVH3TRQUabQu_ym0Zz7PgGX0-kHA/edit?usp=sharing"",""แผน!FM79"")"),0)</f>
        <v>0</v>
      </c>
      <c r="M456" s="887">
        <v>0</v>
      </c>
      <c r="N456" s="887">
        <v>0</v>
      </c>
      <c r="O456" s="887">
        <f t="shared" ca="1" si="202"/>
        <v>0</v>
      </c>
      <c r="P456" s="887">
        <f t="shared" si="203"/>
        <v>0</v>
      </c>
      <c r="Q456" s="1323"/>
      <c r="R456" s="1323"/>
      <c r="S456" s="1323"/>
      <c r="T456" s="1323"/>
      <c r="U456" s="1323"/>
      <c r="V456" s="1323"/>
      <c r="W456" s="1323"/>
      <c r="X456" s="1323"/>
      <c r="Y456" s="1323"/>
      <c r="Z456" s="1323"/>
    </row>
    <row r="457" spans="1:26" ht="19.5" hidden="1">
      <c r="A457" s="1326"/>
      <c r="B457" s="1327"/>
      <c r="C457" s="1300" t="s">
        <v>16</v>
      </c>
      <c r="D457" s="1328" t="s">
        <v>38</v>
      </c>
      <c r="E457" s="1329"/>
      <c r="F457" s="1330"/>
      <c r="G457" s="1331"/>
      <c r="H457" s="1007"/>
      <c r="I457" s="880"/>
      <c r="J457" s="880"/>
      <c r="K457" s="881"/>
      <c r="L457" s="881"/>
      <c r="M457" s="881"/>
      <c r="N457" s="881"/>
      <c r="O457" s="881"/>
      <c r="P457" s="881"/>
      <c r="Q457" s="1302"/>
      <c r="R457" s="1302"/>
      <c r="S457" s="1302"/>
      <c r="T457" s="1302"/>
      <c r="U457" s="1302"/>
      <c r="V457" s="1302"/>
      <c r="W457" s="1302"/>
      <c r="X457" s="1302"/>
      <c r="Y457" s="1302"/>
      <c r="Z457" s="1302"/>
    </row>
    <row r="458" spans="1:26" ht="18.75" hidden="1">
      <c r="A458" s="1332"/>
      <c r="B458" s="1333"/>
      <c r="C458" s="1333"/>
      <c r="D458" s="1333" t="s">
        <v>201</v>
      </c>
      <c r="E458" s="1333"/>
      <c r="F458" s="1321"/>
      <c r="G458" s="1113"/>
      <c r="H458" s="370" t="s">
        <v>35</v>
      </c>
      <c r="I458" s="886">
        <v>0</v>
      </c>
      <c r="J458" s="886">
        <v>0</v>
      </c>
      <c r="K458" s="887">
        <f>IF(I458&gt;0,J458*100/I458,0)</f>
        <v>0</v>
      </c>
      <c r="L458" s="887"/>
      <c r="M458" s="887"/>
      <c r="N458" s="887"/>
      <c r="O458" s="887"/>
      <c r="P458" s="887"/>
      <c r="Q458" s="1323"/>
      <c r="R458" s="1323"/>
      <c r="S458" s="1323"/>
      <c r="T458" s="1323"/>
      <c r="U458" s="1323"/>
      <c r="V458" s="1323"/>
      <c r="W458" s="1323"/>
      <c r="X458" s="1323"/>
      <c r="Y458" s="1323"/>
      <c r="Z458" s="1323"/>
    </row>
    <row r="459" spans="1:26" ht="18.75" hidden="1">
      <c r="A459" s="1332"/>
      <c r="B459" s="1333"/>
      <c r="C459" s="1333"/>
      <c r="D459" s="1333" t="s">
        <v>202</v>
      </c>
      <c r="E459" s="1333"/>
      <c r="F459" s="1321"/>
      <c r="G459" s="1113"/>
      <c r="H459" s="370"/>
      <c r="I459" s="886"/>
      <c r="J459" s="886"/>
      <c r="K459" s="887"/>
      <c r="L459" s="887"/>
      <c r="M459" s="887"/>
      <c r="N459" s="887"/>
      <c r="O459" s="887"/>
      <c r="P459" s="887"/>
      <c r="Q459" s="1323"/>
      <c r="R459" s="1323"/>
      <c r="S459" s="1323"/>
      <c r="T459" s="1323"/>
      <c r="U459" s="1323"/>
      <c r="V459" s="1323"/>
      <c r="W459" s="1323"/>
      <c r="X459" s="1323"/>
      <c r="Y459" s="1323"/>
      <c r="Z459" s="1323"/>
    </row>
    <row r="460" spans="1:26" ht="18.75" hidden="1">
      <c r="A460" s="1326"/>
      <c r="B460" s="1327"/>
      <c r="C460" s="1327"/>
      <c r="D460" s="1327" t="s">
        <v>203</v>
      </c>
      <c r="E460" s="1327"/>
      <c r="F460" s="1014"/>
      <c r="G460" s="1007"/>
      <c r="H460" s="762" t="s">
        <v>35</v>
      </c>
      <c r="I460" s="880">
        <f ca="1">IFERROR(__xludf.DUMMYFUNCTION("IMPORTRANGE(""https://docs.google.com/spreadsheets/d/1QqKyyYR6Q21VydFLVH3TRQUabQu_ym0Zz7PgGX0-kHA/edit?usp=sharing"",""แผน!FN79"")"),0)</f>
        <v>0</v>
      </c>
      <c r="J460" s="1012">
        <v>0</v>
      </c>
      <c r="K460" s="881">
        <f ca="1">IF(I460&gt;0,J460*100/I460,0)</f>
        <v>0</v>
      </c>
      <c r="L460" s="881"/>
      <c r="M460" s="881"/>
      <c r="N460" s="881"/>
      <c r="O460" s="881"/>
      <c r="P460" s="881"/>
      <c r="Q460" s="1302"/>
      <c r="R460" s="1302"/>
      <c r="S460" s="1302"/>
      <c r="T460" s="1302"/>
      <c r="U460" s="1302"/>
      <c r="V460" s="1302"/>
      <c r="W460" s="1302"/>
      <c r="X460" s="1302"/>
      <c r="Y460" s="1302"/>
      <c r="Z460" s="1302"/>
    </row>
    <row r="461" spans="1:26" ht="18.75" hidden="1">
      <c r="A461" s="1326"/>
      <c r="B461" s="1327"/>
      <c r="C461" s="1327"/>
      <c r="D461" s="1327" t="s">
        <v>204</v>
      </c>
      <c r="E461" s="1014"/>
      <c r="F461" s="1014"/>
      <c r="G461" s="1007"/>
      <c r="H461" s="762"/>
      <c r="I461" s="880"/>
      <c r="J461" s="880"/>
      <c r="K461" s="881"/>
      <c r="L461" s="881"/>
      <c r="M461" s="881"/>
      <c r="N461" s="881"/>
      <c r="O461" s="881"/>
      <c r="P461" s="881"/>
      <c r="Q461" s="1302"/>
      <c r="R461" s="1302"/>
      <c r="S461" s="1302"/>
      <c r="T461" s="1302"/>
      <c r="U461" s="1302"/>
      <c r="V461" s="1302"/>
      <c r="W461" s="1302"/>
      <c r="X461" s="1302"/>
      <c r="Y461" s="1302"/>
      <c r="Z461" s="1302"/>
    </row>
    <row r="462" spans="1:26" ht="18.75" hidden="1">
      <c r="A462" s="1326"/>
      <c r="B462" s="1327"/>
      <c r="C462" s="1327"/>
      <c r="D462" s="1327" t="s">
        <v>205</v>
      </c>
      <c r="E462" s="1014"/>
      <c r="F462" s="1014"/>
      <c r="G462" s="1007"/>
      <c r="H462" s="762" t="s">
        <v>46</v>
      </c>
      <c r="I462" s="880">
        <f ca="1">IFERROR(__xludf.DUMMYFUNCTION("IMPORTRANGE(""https://docs.google.com/spreadsheets/d/1QqKyyYR6Q21VydFLVH3TRQUabQu_ym0Zz7PgGX0-kHA/edit?usp=sharing"",""แผน!FO79"")"),0)</f>
        <v>0</v>
      </c>
      <c r="J462" s="1012">
        <v>0</v>
      </c>
      <c r="K462" s="881">
        <f ca="1">IF(I462&gt;0,J462*100/I462,0)</f>
        <v>0</v>
      </c>
      <c r="L462" s="881"/>
      <c r="M462" s="881"/>
      <c r="N462" s="881"/>
      <c r="O462" s="881"/>
      <c r="P462" s="881"/>
      <c r="Q462" s="1302"/>
      <c r="R462" s="1302"/>
      <c r="S462" s="1302"/>
      <c r="T462" s="1302"/>
      <c r="U462" s="1302"/>
      <c r="V462" s="1302"/>
      <c r="W462" s="1302"/>
      <c r="X462" s="1302"/>
      <c r="Y462" s="1302"/>
      <c r="Z462" s="1302"/>
    </row>
    <row r="463" spans="1:26" ht="18.75" hidden="1">
      <c r="A463" s="1326"/>
      <c r="B463" s="1327"/>
      <c r="C463" s="1327"/>
      <c r="D463" s="1327" t="s">
        <v>59</v>
      </c>
      <c r="E463" s="1014"/>
      <c r="F463" s="1301"/>
      <c r="G463" s="1016"/>
      <c r="H463" s="762" t="s">
        <v>46</v>
      </c>
      <c r="I463" s="880">
        <f ca="1">IFERROR(__xludf.DUMMYFUNCTION("IMPORTRANGE(""https://docs.google.com/spreadsheets/d/1QqKyyYR6Q21VydFLVH3TRQUabQu_ym0Zz7PgGX0-kHA/edit?usp=sharing"",""แผน!FO79"")"),0)</f>
        <v>0</v>
      </c>
      <c r="J463" s="1012">
        <v>0</v>
      </c>
      <c r="K463" s="881"/>
      <c r="L463" s="881"/>
      <c r="M463" s="881"/>
      <c r="N463" s="881"/>
      <c r="O463" s="881"/>
      <c r="P463" s="881"/>
      <c r="Q463" s="1302"/>
      <c r="R463" s="1302"/>
      <c r="S463" s="1302"/>
      <c r="T463" s="1302"/>
      <c r="U463" s="1302"/>
      <c r="V463" s="1302"/>
      <c r="W463" s="1302"/>
      <c r="X463" s="1302"/>
      <c r="Y463" s="1302"/>
      <c r="Z463" s="1302"/>
    </row>
    <row r="464" spans="1:26" ht="19.5" hidden="1">
      <c r="A464" s="1326"/>
      <c r="B464" s="1327"/>
      <c r="C464" s="1327"/>
      <c r="D464" s="1327"/>
      <c r="E464" s="1014"/>
      <c r="F464" s="1014"/>
      <c r="G464" s="1334"/>
      <c r="H464" s="762" t="s">
        <v>35</v>
      </c>
      <c r="I464" s="880">
        <f ca="1">IFERROR(__xludf.DUMMYFUNCTION("IMPORTRANGE(""https://docs.google.com/spreadsheets/d/1QqKyyYR6Q21VydFLVH3TRQUabQu_ym0Zz7PgGX0-kHA/edit?usp=sharing"",""แผน!FN79"")"),0)</f>
        <v>0</v>
      </c>
      <c r="J464" s="1012">
        <v>0</v>
      </c>
      <c r="K464" s="881"/>
      <c r="L464" s="881"/>
      <c r="M464" s="881"/>
      <c r="N464" s="881"/>
      <c r="O464" s="881"/>
      <c r="P464" s="881"/>
      <c r="Q464" s="1302"/>
      <c r="R464" s="1302"/>
      <c r="S464" s="1302"/>
      <c r="T464" s="1302"/>
      <c r="U464" s="1302"/>
      <c r="V464" s="1302"/>
      <c r="W464" s="1302"/>
      <c r="X464" s="1302"/>
      <c r="Y464" s="1302"/>
      <c r="Z464" s="1302"/>
    </row>
    <row r="465" spans="1:26" ht="19.5">
      <c r="A465" s="584">
        <v>3</v>
      </c>
      <c r="B465" s="1307" t="s">
        <v>206</v>
      </c>
      <c r="C465" s="1308"/>
      <c r="D465" s="1308"/>
      <c r="E465" s="1308"/>
      <c r="F465" s="1308"/>
      <c r="G465" s="1309"/>
      <c r="H465" s="588" t="s">
        <v>35</v>
      </c>
      <c r="I465" s="1310">
        <f ca="1">IFERROR(__xludf.DUMMYFUNCTION("IMPORTRANGE(""https://docs.google.com/spreadsheets/d/1QqKyyYR6Q21VydFLVH3TRQUabQu_ym0Zz7PgGX0-kHA/edit?usp=sharing"",""แผน!FX79"")"),11)</f>
        <v>11</v>
      </c>
      <c r="J465" s="1310">
        <f>J485+J489+J492</f>
        <v>11</v>
      </c>
      <c r="K465" s="1311">
        <f t="shared" ref="K465:K466" ca="1" si="204">IF(I465&gt;0,J465*100/I465,0)</f>
        <v>100</v>
      </c>
      <c r="L465" s="1312"/>
      <c r="M465" s="1312"/>
      <c r="N465" s="1312"/>
      <c r="O465" s="1312"/>
      <c r="P465" s="1312"/>
      <c r="Q465" s="1302"/>
      <c r="R465" s="1302"/>
      <c r="S465" s="1302"/>
      <c r="T465" s="1302"/>
      <c r="U465" s="1302"/>
      <c r="V465" s="1302"/>
      <c r="W465" s="1302"/>
      <c r="X465" s="1302"/>
      <c r="Y465" s="1302"/>
      <c r="Z465" s="1302"/>
    </row>
    <row r="466" spans="1:26" ht="19.5">
      <c r="A466" s="1313"/>
      <c r="B466" s="1314"/>
      <c r="C466" s="1315"/>
      <c r="D466" s="1315"/>
      <c r="E466" s="1315"/>
      <c r="F466" s="1315"/>
      <c r="G466" s="1316"/>
      <c r="H466" s="568" t="s">
        <v>46</v>
      </c>
      <c r="I466" s="1294">
        <f ca="1">IFERROR(__xludf.DUMMYFUNCTION("IMPORTRANGE(""https://docs.google.com/spreadsheets/d/1QqKyyYR6Q21VydFLVH3TRQUabQu_ym0Zz7PgGX0-kHA/edit?usp=sharing"",""แผน!FW79"")"),100)</f>
        <v>100</v>
      </c>
      <c r="J466" s="1294">
        <f>J495+J498</f>
        <v>0</v>
      </c>
      <c r="K466" s="1295">
        <f t="shared" ca="1" si="204"/>
        <v>0</v>
      </c>
      <c r="L466" s="1296"/>
      <c r="M466" s="1296"/>
      <c r="N466" s="1296"/>
      <c r="O466" s="1296"/>
      <c r="P466" s="1296"/>
      <c r="Q466" s="1302"/>
      <c r="R466" s="1302"/>
      <c r="S466" s="1302"/>
      <c r="T466" s="1302"/>
      <c r="U466" s="1302"/>
      <c r="V466" s="1302"/>
      <c r="W466" s="1302"/>
      <c r="X466" s="1302"/>
      <c r="Y466" s="1302"/>
      <c r="Z466" s="1302"/>
    </row>
    <row r="467" spans="1:26" ht="19.5">
      <c r="A467" s="1317"/>
      <c r="B467" s="1301"/>
      <c r="C467" s="1301" t="s">
        <v>16</v>
      </c>
      <c r="D467" s="1318" t="s">
        <v>17</v>
      </c>
      <c r="E467" s="841"/>
      <c r="F467" s="841"/>
      <c r="G467" s="1016"/>
      <c r="H467" s="597" t="s">
        <v>12</v>
      </c>
      <c r="I467" s="880"/>
      <c r="J467" s="880"/>
      <c r="K467" s="881"/>
      <c r="L467" s="1020">
        <f t="shared" ref="L467:N467" ca="1" si="205">L468+L469</f>
        <v>115023</v>
      </c>
      <c r="M467" s="1020">
        <f t="shared" ca="1" si="205"/>
        <v>115023</v>
      </c>
      <c r="N467" s="1020">
        <f t="shared" si="205"/>
        <v>43473</v>
      </c>
      <c r="O467" s="1020">
        <f t="shared" ref="O467:O472" ca="1" si="206">IF(L467&gt;0,N467*100/L467,0)</f>
        <v>37.795049685715028</v>
      </c>
      <c r="P467" s="1020">
        <f t="shared" ref="P467:P472" ca="1" si="207">IF(M467&gt;0,N467*100/M467,0)</f>
        <v>37.795049685715028</v>
      </c>
      <c r="Q467" s="1302"/>
      <c r="R467" s="1302"/>
      <c r="S467" s="1302"/>
      <c r="T467" s="1302"/>
      <c r="U467" s="1302"/>
      <c r="V467" s="1302"/>
      <c r="W467" s="1302"/>
      <c r="X467" s="1302"/>
      <c r="Y467" s="1302"/>
      <c r="Z467" s="1302"/>
    </row>
    <row r="468" spans="1:26" ht="18.75" hidden="1">
      <c r="A468" s="1319"/>
      <c r="B468" s="1320"/>
      <c r="C468" s="1320"/>
      <c r="D468" s="1321"/>
      <c r="E468" s="1320" t="s">
        <v>185</v>
      </c>
      <c r="F468" s="1320"/>
      <c r="G468" s="1322"/>
      <c r="H468" s="165" t="s">
        <v>12</v>
      </c>
      <c r="I468" s="886"/>
      <c r="J468" s="886"/>
      <c r="K468" s="887"/>
      <c r="L468" s="887">
        <f t="shared" ref="L468:N469" si="208">L471+L478</f>
        <v>0</v>
      </c>
      <c r="M468" s="887">
        <f t="shared" si="208"/>
        <v>0</v>
      </c>
      <c r="N468" s="887">
        <f t="shared" si="208"/>
        <v>0</v>
      </c>
      <c r="O468" s="887">
        <f t="shared" si="206"/>
        <v>0</v>
      </c>
      <c r="P468" s="887">
        <f t="shared" si="207"/>
        <v>0</v>
      </c>
      <c r="Q468" s="1323"/>
      <c r="R468" s="1323"/>
      <c r="S468" s="1323"/>
      <c r="T468" s="1323"/>
      <c r="U468" s="1323"/>
      <c r="V468" s="1323"/>
      <c r="W468" s="1323"/>
      <c r="X468" s="1323"/>
      <c r="Y468" s="1323"/>
      <c r="Z468" s="1323"/>
    </row>
    <row r="469" spans="1:26" ht="18.75" hidden="1">
      <c r="A469" s="1319"/>
      <c r="B469" s="1324"/>
      <c r="C469" s="1320"/>
      <c r="D469" s="1321"/>
      <c r="E469" s="1320" t="s">
        <v>186</v>
      </c>
      <c r="F469" s="1320"/>
      <c r="G469" s="1322"/>
      <c r="H469" s="165" t="s">
        <v>12</v>
      </c>
      <c r="I469" s="886"/>
      <c r="J469" s="886"/>
      <c r="K469" s="887"/>
      <c r="L469" s="887">
        <f t="shared" ca="1" si="208"/>
        <v>115023</v>
      </c>
      <c r="M469" s="887">
        <f t="shared" ca="1" si="208"/>
        <v>115023</v>
      </c>
      <c r="N469" s="887">
        <f t="shared" si="208"/>
        <v>43473</v>
      </c>
      <c r="O469" s="887">
        <f t="shared" ca="1" si="206"/>
        <v>37.795049685715028</v>
      </c>
      <c r="P469" s="887">
        <f t="shared" ca="1" si="207"/>
        <v>37.795049685715028</v>
      </c>
      <c r="Q469" s="1323"/>
      <c r="R469" s="1323"/>
      <c r="S469" s="1323"/>
      <c r="T469" s="1323"/>
      <c r="U469" s="1323"/>
      <c r="V469" s="1323"/>
      <c r="W469" s="1323"/>
      <c r="X469" s="1323"/>
      <c r="Y469" s="1323"/>
      <c r="Z469" s="1323"/>
    </row>
    <row r="470" spans="1:26" ht="18.75">
      <c r="A470" s="1317"/>
      <c r="B470" s="1300"/>
      <c r="C470" s="1301"/>
      <c r="D470" s="1325" t="s">
        <v>20</v>
      </c>
      <c r="E470" s="1301"/>
      <c r="F470" s="1301"/>
      <c r="G470" s="1016"/>
      <c r="H470" s="161" t="s">
        <v>12</v>
      </c>
      <c r="I470" s="997"/>
      <c r="J470" s="997"/>
      <c r="K470" s="998"/>
      <c r="L470" s="881">
        <f t="shared" ref="L470:N470" ca="1" si="209">L471+L472</f>
        <v>115023</v>
      </c>
      <c r="M470" s="881">
        <f t="shared" ca="1" si="209"/>
        <v>115023</v>
      </c>
      <c r="N470" s="881">
        <f t="shared" si="209"/>
        <v>43473</v>
      </c>
      <c r="O470" s="881">
        <f t="shared" ca="1" si="206"/>
        <v>37.795049685715028</v>
      </c>
      <c r="P470" s="881">
        <f t="shared" ca="1" si="207"/>
        <v>37.795049685715028</v>
      </c>
      <c r="Q470" s="1302"/>
      <c r="R470" s="1302"/>
      <c r="S470" s="1302"/>
      <c r="T470" s="1302"/>
      <c r="U470" s="1302"/>
      <c r="V470" s="1302"/>
      <c r="W470" s="1302"/>
      <c r="X470" s="1302"/>
      <c r="Y470" s="1302"/>
      <c r="Z470" s="1302"/>
    </row>
    <row r="471" spans="1:26" ht="18.75" hidden="1">
      <c r="A471" s="1319"/>
      <c r="B471" s="1324"/>
      <c r="C471" s="1320"/>
      <c r="D471" s="1321"/>
      <c r="E471" s="1320" t="s">
        <v>185</v>
      </c>
      <c r="F471" s="1320"/>
      <c r="G471" s="1322"/>
      <c r="H471" s="165" t="s">
        <v>12</v>
      </c>
      <c r="I471" s="886"/>
      <c r="J471" s="886"/>
      <c r="K471" s="887"/>
      <c r="L471" s="887">
        <v>0</v>
      </c>
      <c r="M471" s="887">
        <v>0</v>
      </c>
      <c r="N471" s="887">
        <v>0</v>
      </c>
      <c r="O471" s="887">
        <f t="shared" si="206"/>
        <v>0</v>
      </c>
      <c r="P471" s="887">
        <f t="shared" si="207"/>
        <v>0</v>
      </c>
      <c r="Q471" s="1323"/>
      <c r="R471" s="1323"/>
      <c r="S471" s="1323"/>
      <c r="T471" s="1323"/>
      <c r="U471" s="1323"/>
      <c r="V471" s="1323"/>
      <c r="W471" s="1323"/>
      <c r="X471" s="1323"/>
      <c r="Y471" s="1323"/>
      <c r="Z471" s="1323"/>
    </row>
    <row r="472" spans="1:26" ht="18.75" hidden="1">
      <c r="A472" s="1319"/>
      <c r="B472" s="1324"/>
      <c r="C472" s="1320"/>
      <c r="D472" s="1321"/>
      <c r="E472" s="1320" t="s">
        <v>186</v>
      </c>
      <c r="F472" s="1320"/>
      <c r="G472" s="1322"/>
      <c r="H472" s="165" t="s">
        <v>12</v>
      </c>
      <c r="I472" s="886"/>
      <c r="J472" s="886"/>
      <c r="K472" s="887"/>
      <c r="L472" s="887">
        <f ca="1">IFERROR(__xludf.DUMMYFUNCTION("IMPORTRANGE(""https://docs.google.com/spreadsheets/d/1QqKyyYR6Q21VydFLVH3TRQUabQu_ym0Zz7PgGX0-kHA/edit?usp=sharing"",""แผน!FS79"")"),115023)</f>
        <v>115023</v>
      </c>
      <c r="M472" s="887">
        <f ca="1">L472</f>
        <v>115023</v>
      </c>
      <c r="N472" s="887">
        <f>N473+N474+N475+N476</f>
        <v>43473</v>
      </c>
      <c r="O472" s="887">
        <f t="shared" ca="1" si="206"/>
        <v>37.795049685715028</v>
      </c>
      <c r="P472" s="887">
        <f t="shared" ca="1" si="207"/>
        <v>37.795049685715028</v>
      </c>
      <c r="Q472" s="1323"/>
      <c r="R472" s="1323"/>
      <c r="S472" s="1323"/>
      <c r="T472" s="1323"/>
      <c r="U472" s="1323"/>
      <c r="V472" s="1323"/>
      <c r="W472" s="1323"/>
      <c r="X472" s="1323"/>
      <c r="Y472" s="1323"/>
      <c r="Z472" s="1323"/>
    </row>
    <row r="473" spans="1:26" ht="18.75">
      <c r="A473" s="1299"/>
      <c r="B473" s="1300"/>
      <c r="C473" s="1301"/>
      <c r="D473" s="1301"/>
      <c r="E473" s="1301"/>
      <c r="F473" s="1301" t="s">
        <v>187</v>
      </c>
      <c r="G473" s="1016"/>
      <c r="H473" s="161" t="s">
        <v>12</v>
      </c>
      <c r="I473" s="880"/>
      <c r="J473" s="880"/>
      <c r="K473" s="881"/>
      <c r="L473" s="881"/>
      <c r="M473" s="881"/>
      <c r="N473" s="1085">
        <f>[1]ผลการเบิกจ่ายเงินกองทุน!F56+[1]ผลการเบิกจ่ายเงินกองทุน!F61</f>
        <v>29793</v>
      </c>
      <c r="O473" s="881"/>
      <c r="P473" s="881"/>
      <c r="Q473" s="1302"/>
      <c r="R473" s="1302"/>
      <c r="S473" s="1302"/>
      <c r="T473" s="1302"/>
      <c r="U473" s="1302"/>
      <c r="V473" s="1302"/>
      <c r="W473" s="1302"/>
      <c r="X473" s="1302"/>
      <c r="Y473" s="1302"/>
      <c r="Z473" s="1302"/>
    </row>
    <row r="474" spans="1:26" ht="18.75">
      <c r="A474" s="1299"/>
      <c r="B474" s="1300"/>
      <c r="C474" s="1301"/>
      <c r="D474" s="1301"/>
      <c r="E474" s="1301"/>
      <c r="F474" s="1301" t="s">
        <v>188</v>
      </c>
      <c r="G474" s="1016"/>
      <c r="H474" s="161" t="s">
        <v>12</v>
      </c>
      <c r="I474" s="880"/>
      <c r="J474" s="880"/>
      <c r="K474" s="881"/>
      <c r="L474" s="881"/>
      <c r="M474" s="881"/>
      <c r="N474" s="1085">
        <v>0</v>
      </c>
      <c r="O474" s="881"/>
      <c r="P474" s="881"/>
      <c r="Q474" s="1302"/>
      <c r="R474" s="1302"/>
      <c r="S474" s="1302"/>
      <c r="T474" s="1302"/>
      <c r="U474" s="1302"/>
      <c r="V474" s="1302"/>
      <c r="W474" s="1302"/>
      <c r="X474" s="1302"/>
      <c r="Y474" s="1302"/>
      <c r="Z474" s="1302"/>
    </row>
    <row r="475" spans="1:26" ht="18.75">
      <c r="A475" s="1299"/>
      <c r="B475" s="1300"/>
      <c r="C475" s="1300"/>
      <c r="D475" s="1300"/>
      <c r="E475" s="1300"/>
      <c r="F475" s="1301" t="s">
        <v>189</v>
      </c>
      <c r="G475" s="1016"/>
      <c r="H475" s="161" t="s">
        <v>12</v>
      </c>
      <c r="I475" s="880"/>
      <c r="J475" s="880"/>
      <c r="K475" s="881"/>
      <c r="L475" s="881"/>
      <c r="M475" s="881"/>
      <c r="N475" s="1085">
        <v>0</v>
      </c>
      <c r="O475" s="881"/>
      <c r="P475" s="881"/>
      <c r="Q475" s="1302"/>
      <c r="R475" s="1302"/>
      <c r="S475" s="1302"/>
      <c r="T475" s="1302"/>
      <c r="U475" s="1302"/>
      <c r="V475" s="1302"/>
      <c r="W475" s="1302"/>
      <c r="X475" s="1302"/>
      <c r="Y475" s="1302"/>
      <c r="Z475" s="1302"/>
    </row>
    <row r="476" spans="1:26" ht="18.75">
      <c r="A476" s="1299"/>
      <c r="B476" s="1300"/>
      <c r="C476" s="1300"/>
      <c r="D476" s="1300"/>
      <c r="E476" s="1300"/>
      <c r="F476" s="1301" t="s">
        <v>190</v>
      </c>
      <c r="G476" s="1016"/>
      <c r="H476" s="161" t="s">
        <v>12</v>
      </c>
      <c r="I476" s="880"/>
      <c r="J476" s="880"/>
      <c r="K476" s="881"/>
      <c r="L476" s="881"/>
      <c r="M476" s="881"/>
      <c r="N476" s="1085">
        <f>[1]ผลการเบิกจ่ายเงินกองทุน!F54+[1]ผลการเบิกจ่ายเงินกองทุน!F55+[1]ผลการเบิกจ่ายเงินกองทุน!F57+[1]ผลการเบิกจ่ายเงินกองทุน!F58+[1]ผลการเบิกจ่ายเงินกองทุน!F60</f>
        <v>13680</v>
      </c>
      <c r="O476" s="881"/>
      <c r="P476" s="881"/>
      <c r="Q476" s="1302"/>
      <c r="R476" s="1302"/>
      <c r="S476" s="1302"/>
      <c r="T476" s="1302"/>
      <c r="U476" s="1302"/>
      <c r="V476" s="1302"/>
      <c r="W476" s="1302"/>
      <c r="X476" s="1302"/>
      <c r="Y476" s="1302"/>
      <c r="Z476" s="1302"/>
    </row>
    <row r="477" spans="1:26" ht="18.75">
      <c r="A477" s="1317"/>
      <c r="B477" s="1300"/>
      <c r="C477" s="1300"/>
      <c r="D477" s="1325" t="s">
        <v>21</v>
      </c>
      <c r="E477" s="1300"/>
      <c r="F477" s="1300"/>
      <c r="G477" s="1016"/>
      <c r="H477" s="168" t="s">
        <v>12</v>
      </c>
      <c r="I477" s="997"/>
      <c r="J477" s="997"/>
      <c r="K477" s="998"/>
      <c r="L477" s="881">
        <f t="shared" ref="L477:N477" ca="1" si="210">L478+L479</f>
        <v>0</v>
      </c>
      <c r="M477" s="881">
        <f t="shared" si="210"/>
        <v>0</v>
      </c>
      <c r="N477" s="881">
        <f t="shared" si="210"/>
        <v>0</v>
      </c>
      <c r="O477" s="881">
        <f t="shared" ref="O477:O479" ca="1" si="211">IF(L477&gt;0,N477*100/L477,0)</f>
        <v>0</v>
      </c>
      <c r="P477" s="881">
        <f t="shared" ref="P477:P479" si="212">IF(M477&gt;0,N477*100/M477,0)</f>
        <v>0</v>
      </c>
      <c r="Q477" s="1302"/>
      <c r="R477" s="1302"/>
      <c r="S477" s="1302"/>
      <c r="T477" s="1302"/>
      <c r="U477" s="1302"/>
      <c r="V477" s="1302"/>
      <c r="W477" s="1302"/>
      <c r="X477" s="1302"/>
      <c r="Y477" s="1302"/>
      <c r="Z477" s="1302"/>
    </row>
    <row r="478" spans="1:26" ht="18.75" hidden="1">
      <c r="A478" s="1319"/>
      <c r="B478" s="1324"/>
      <c r="C478" s="1324"/>
      <c r="D478" s="1324"/>
      <c r="E478" s="1324" t="s">
        <v>18</v>
      </c>
      <c r="F478" s="1324"/>
      <c r="G478" s="1322"/>
      <c r="H478" s="165" t="s">
        <v>12</v>
      </c>
      <c r="I478" s="1000"/>
      <c r="J478" s="1000"/>
      <c r="K478" s="1001"/>
      <c r="L478" s="887">
        <v>0</v>
      </c>
      <c r="M478" s="887">
        <v>0</v>
      </c>
      <c r="N478" s="887">
        <v>0</v>
      </c>
      <c r="O478" s="887">
        <f t="shared" si="211"/>
        <v>0</v>
      </c>
      <c r="P478" s="887">
        <f t="shared" si="212"/>
        <v>0</v>
      </c>
      <c r="Q478" s="1323"/>
      <c r="R478" s="1323"/>
      <c r="S478" s="1323"/>
      <c r="T478" s="1323"/>
      <c r="U478" s="1323"/>
      <c r="V478" s="1323"/>
      <c r="W478" s="1323"/>
      <c r="X478" s="1323"/>
      <c r="Y478" s="1323"/>
      <c r="Z478" s="1323"/>
    </row>
    <row r="479" spans="1:26" ht="18.75" hidden="1">
      <c r="A479" s="1319"/>
      <c r="B479" s="1324"/>
      <c r="C479" s="1324"/>
      <c r="D479" s="1324"/>
      <c r="E479" s="1324" t="s">
        <v>19</v>
      </c>
      <c r="F479" s="1324"/>
      <c r="G479" s="1322"/>
      <c r="H479" s="169" t="s">
        <v>12</v>
      </c>
      <c r="I479" s="1000"/>
      <c r="J479" s="1000"/>
      <c r="K479" s="1001"/>
      <c r="L479" s="887">
        <f ca="1">IFERROR(__xludf.DUMMYFUNCTION("IMPORTRANGE(""https://docs.google.com/spreadsheets/d/1QqKyyYR6Q21VydFLVH3TRQUabQu_ym0Zz7PgGX0-kHA/edit?usp=sharing"",""แผน!FV79"")"),0)</f>
        <v>0</v>
      </c>
      <c r="M479" s="887">
        <v>0</v>
      </c>
      <c r="N479" s="887">
        <v>0</v>
      </c>
      <c r="O479" s="887">
        <f t="shared" ca="1" si="211"/>
        <v>0</v>
      </c>
      <c r="P479" s="887">
        <f t="shared" si="212"/>
        <v>0</v>
      </c>
      <c r="Q479" s="1323"/>
      <c r="R479" s="1323"/>
      <c r="S479" s="1323"/>
      <c r="T479" s="1323"/>
      <c r="U479" s="1323"/>
      <c r="V479" s="1323"/>
      <c r="W479" s="1323"/>
      <c r="X479" s="1323"/>
      <c r="Y479" s="1323"/>
      <c r="Z479" s="1323"/>
    </row>
    <row r="480" spans="1:26" ht="19.5">
      <c r="A480" s="1326"/>
      <c r="B480" s="1327"/>
      <c r="C480" s="1300" t="s">
        <v>16</v>
      </c>
      <c r="D480" s="1335" t="s">
        <v>38</v>
      </c>
      <c r="E480" s="1329"/>
      <c r="F480" s="1330"/>
      <c r="G480" s="1331"/>
      <c r="H480" s="1007"/>
      <c r="I480" s="880"/>
      <c r="J480" s="880"/>
      <c r="K480" s="881"/>
      <c r="L480" s="881"/>
      <c r="M480" s="881"/>
      <c r="N480" s="881"/>
      <c r="O480" s="881"/>
      <c r="P480" s="881"/>
      <c r="Q480" s="1302"/>
      <c r="R480" s="1302"/>
      <c r="S480" s="1302"/>
      <c r="T480" s="1302"/>
      <c r="U480" s="1302"/>
      <c r="V480" s="1302"/>
      <c r="W480" s="1302"/>
      <c r="X480" s="1302"/>
      <c r="Y480" s="1302"/>
      <c r="Z480" s="1302"/>
    </row>
    <row r="481" spans="1:26" ht="19.5">
      <c r="A481" s="1326"/>
      <c r="B481" s="1327"/>
      <c r="C481" s="1327"/>
      <c r="D481" s="1336" t="s">
        <v>207</v>
      </c>
      <c r="E481" s="1327"/>
      <c r="F481" s="1327"/>
      <c r="G481" s="1007"/>
      <c r="H481" s="1016"/>
      <c r="I481" s="880"/>
      <c r="J481" s="880"/>
      <c r="K481" s="881"/>
      <c r="L481" s="881"/>
      <c r="M481" s="881"/>
      <c r="N481" s="881"/>
      <c r="O481" s="881"/>
      <c r="P481" s="881"/>
      <c r="Q481" s="1302"/>
      <c r="R481" s="1302"/>
      <c r="S481" s="1302"/>
      <c r="T481" s="1302"/>
      <c r="U481" s="1302"/>
      <c r="V481" s="1302"/>
      <c r="W481" s="1302"/>
      <c r="X481" s="1302"/>
      <c r="Y481" s="1302"/>
      <c r="Z481" s="1302"/>
    </row>
    <row r="482" spans="1:26" ht="18.75">
      <c r="A482" s="1326"/>
      <c r="B482" s="1327"/>
      <c r="C482" s="1327"/>
      <c r="D482" s="1327"/>
      <c r="E482" s="1327" t="s">
        <v>208</v>
      </c>
      <c r="F482" s="1327"/>
      <c r="G482" s="1007"/>
      <c r="H482" s="1016"/>
      <c r="I482" s="880"/>
      <c r="J482" s="880"/>
      <c r="K482" s="881"/>
      <c r="L482" s="881"/>
      <c r="M482" s="881"/>
      <c r="N482" s="881"/>
      <c r="O482" s="881"/>
      <c r="P482" s="881"/>
      <c r="Q482" s="1302"/>
      <c r="R482" s="1302"/>
      <c r="S482" s="1302"/>
      <c r="T482" s="1302"/>
      <c r="U482" s="1302"/>
      <c r="V482" s="1302"/>
      <c r="W482" s="1302"/>
      <c r="X482" s="1302"/>
      <c r="Y482" s="1302"/>
      <c r="Z482" s="1302"/>
    </row>
    <row r="483" spans="1:26" ht="18.75">
      <c r="A483" s="1326"/>
      <c r="B483" s="1327"/>
      <c r="C483" s="1327"/>
      <c r="D483" s="1327"/>
      <c r="E483" s="1327"/>
      <c r="F483" s="1327" t="s">
        <v>209</v>
      </c>
      <c r="G483" s="1007"/>
      <c r="H483" s="622" t="s">
        <v>46</v>
      </c>
      <c r="I483" s="880">
        <f ca="1">IFERROR(__xludf.DUMMYFUNCTION("IMPORTRANGE(""https://docs.google.com/spreadsheets/d/1QqKyyYR6Q21VydFLVH3TRQUabQu_ym0Zz7PgGX0-kHA/edit?usp=sharing"",""แผน!FY79"")"),90)</f>
        <v>90</v>
      </c>
      <c r="J483" s="1012">
        <v>90</v>
      </c>
      <c r="K483" s="881">
        <f ca="1">IF(I483&gt;0,J483*100/I483,0)</f>
        <v>100</v>
      </c>
      <c r="L483" s="881"/>
      <c r="M483" s="881"/>
      <c r="N483" s="881"/>
      <c r="O483" s="881"/>
      <c r="P483" s="881"/>
      <c r="Q483" s="1302"/>
      <c r="R483" s="1302"/>
      <c r="S483" s="1302"/>
      <c r="T483" s="1302"/>
      <c r="U483" s="1302"/>
      <c r="V483" s="1302"/>
      <c r="W483" s="1302"/>
      <c r="X483" s="1302"/>
      <c r="Y483" s="1302"/>
      <c r="Z483" s="1302"/>
    </row>
    <row r="484" spans="1:26" ht="18.75">
      <c r="A484" s="1326"/>
      <c r="B484" s="1327"/>
      <c r="C484" s="1327"/>
      <c r="D484" s="1327"/>
      <c r="E484" s="1327"/>
      <c r="F484" s="1327" t="s">
        <v>210</v>
      </c>
      <c r="G484" s="1007"/>
      <c r="H484" s="622" t="s">
        <v>35</v>
      </c>
      <c r="I484" s="880"/>
      <c r="J484" s="1012">
        <v>13</v>
      </c>
      <c r="K484" s="881"/>
      <c r="L484" s="881"/>
      <c r="M484" s="881"/>
      <c r="N484" s="881"/>
      <c r="O484" s="881"/>
      <c r="P484" s="881"/>
      <c r="Q484" s="1302"/>
      <c r="R484" s="1302"/>
      <c r="S484" s="1302"/>
      <c r="T484" s="1302"/>
      <c r="U484" s="1302"/>
      <c r="V484" s="1302"/>
      <c r="W484" s="1302"/>
      <c r="X484" s="1302"/>
      <c r="Y484" s="1302"/>
      <c r="Z484" s="1302"/>
    </row>
    <row r="485" spans="1:26" ht="18.75">
      <c r="A485" s="1326"/>
      <c r="B485" s="1327"/>
      <c r="C485" s="1327"/>
      <c r="D485" s="1327"/>
      <c r="E485" s="1327"/>
      <c r="F485" s="1327" t="s">
        <v>211</v>
      </c>
      <c r="G485" s="1007"/>
      <c r="H485" s="622" t="s">
        <v>35</v>
      </c>
      <c r="I485" s="880">
        <f ca="1">IFERROR(__xludf.DUMMYFUNCTION("IMPORTRANGE(""https://docs.google.com/spreadsheets/d/1QqKyyYR6Q21VydFLVH3TRQUabQu_ym0Zz7PgGX0-kHA/edit?usp=sharing"",""แผน!FZ79"")"),9)</f>
        <v>9</v>
      </c>
      <c r="J485" s="1012">
        <v>9</v>
      </c>
      <c r="K485" s="881">
        <f ca="1">IF(I485&gt;0,J485*100/I485,0)</f>
        <v>100</v>
      </c>
      <c r="L485" s="881"/>
      <c r="M485" s="881"/>
      <c r="N485" s="881"/>
      <c r="O485" s="881"/>
      <c r="P485" s="881"/>
      <c r="Q485" s="1302"/>
      <c r="R485" s="1302"/>
      <c r="S485" s="1302"/>
      <c r="T485" s="1302"/>
      <c r="U485" s="1302"/>
      <c r="V485" s="1302"/>
      <c r="W485" s="1302"/>
      <c r="X485" s="1302"/>
      <c r="Y485" s="1302"/>
      <c r="Z485" s="1302"/>
    </row>
    <row r="486" spans="1:26" ht="18.75">
      <c r="A486" s="1326"/>
      <c r="B486" s="1327"/>
      <c r="C486" s="1327"/>
      <c r="D486" s="1327"/>
      <c r="E486" s="1327" t="s">
        <v>62</v>
      </c>
      <c r="F486" s="1327"/>
      <c r="G486" s="1007"/>
      <c r="H486" s="622"/>
      <c r="I486" s="880"/>
      <c r="J486" s="880"/>
      <c r="K486" s="881"/>
      <c r="L486" s="881"/>
      <c r="M486" s="881"/>
      <c r="N486" s="881"/>
      <c r="O486" s="881"/>
      <c r="P486" s="881"/>
      <c r="Q486" s="1302"/>
      <c r="R486" s="1302"/>
      <c r="S486" s="1302"/>
      <c r="T486" s="1302"/>
      <c r="U486" s="1302"/>
      <c r="V486" s="1302"/>
      <c r="W486" s="1302"/>
      <c r="X486" s="1302"/>
      <c r="Y486" s="1302"/>
      <c r="Z486" s="1302"/>
    </row>
    <row r="487" spans="1:26" ht="18.75">
      <c r="A487" s="1326"/>
      <c r="B487" s="1327"/>
      <c r="C487" s="1327"/>
      <c r="D487" s="1327"/>
      <c r="E487" s="1327"/>
      <c r="F487" s="1327" t="s">
        <v>209</v>
      </c>
      <c r="G487" s="1007"/>
      <c r="H487" s="622" t="s">
        <v>46</v>
      </c>
      <c r="I487" s="880">
        <f ca="1">IFERROR(__xludf.DUMMYFUNCTION("IMPORTRANGE(""https://docs.google.com/spreadsheets/d/1QqKyyYR6Q21VydFLVH3TRQUabQu_ym0Zz7PgGX0-kHA/edit?usp=sharing"",""แผน!GA79"")"),10)</f>
        <v>10</v>
      </c>
      <c r="J487" s="1012">
        <v>10</v>
      </c>
      <c r="K487" s="881">
        <f ca="1">IF(I487&gt;0,J487*100/I487,0)</f>
        <v>100</v>
      </c>
      <c r="L487" s="881"/>
      <c r="M487" s="881"/>
      <c r="N487" s="881"/>
      <c r="O487" s="881"/>
      <c r="P487" s="881"/>
      <c r="Q487" s="1302"/>
      <c r="R487" s="1302"/>
      <c r="S487" s="1302"/>
      <c r="T487" s="1302"/>
      <c r="U487" s="1302"/>
      <c r="V487" s="1302"/>
      <c r="W487" s="1302"/>
      <c r="X487" s="1302"/>
      <c r="Y487" s="1302"/>
      <c r="Z487" s="1302"/>
    </row>
    <row r="488" spans="1:26" ht="18.75">
      <c r="A488" s="1326"/>
      <c r="B488" s="1327"/>
      <c r="C488" s="1327"/>
      <c r="D488" s="1327"/>
      <c r="E488" s="1327"/>
      <c r="F488" s="1327" t="s">
        <v>212</v>
      </c>
      <c r="G488" s="1007"/>
      <c r="H488" s="622" t="s">
        <v>35</v>
      </c>
      <c r="I488" s="880"/>
      <c r="J488" s="1012">
        <v>1</v>
      </c>
      <c r="K488" s="881"/>
      <c r="L488" s="881"/>
      <c r="M488" s="881"/>
      <c r="N488" s="881"/>
      <c r="O488" s="881"/>
      <c r="P488" s="881"/>
      <c r="Q488" s="1302"/>
      <c r="R488" s="1302"/>
      <c r="S488" s="1302"/>
      <c r="T488" s="1302"/>
      <c r="U488" s="1302"/>
      <c r="V488" s="1302"/>
      <c r="W488" s="1302"/>
      <c r="X488" s="1302"/>
      <c r="Y488" s="1302"/>
      <c r="Z488" s="1302"/>
    </row>
    <row r="489" spans="1:26" ht="18.75">
      <c r="A489" s="1326"/>
      <c r="B489" s="1327"/>
      <c r="C489" s="1327"/>
      <c r="D489" s="1327"/>
      <c r="E489" s="1327"/>
      <c r="F489" s="1327" t="s">
        <v>213</v>
      </c>
      <c r="G489" s="1007"/>
      <c r="H489" s="622" t="s">
        <v>35</v>
      </c>
      <c r="I489" s="880">
        <f ca="1">IFERROR(__xludf.DUMMYFUNCTION("IMPORTRANGE(""https://docs.google.com/spreadsheets/d/1QqKyyYR6Q21VydFLVH3TRQUabQu_ym0Zz7PgGX0-kHA/edit?usp=sharing"",""แผน!GB79"")"),1)</f>
        <v>1</v>
      </c>
      <c r="J489" s="1012">
        <v>1</v>
      </c>
      <c r="K489" s="881">
        <f ca="1">IF(I489&gt;0,J489*100/I489,0)</f>
        <v>100</v>
      </c>
      <c r="L489" s="881"/>
      <c r="M489" s="881"/>
      <c r="N489" s="881"/>
      <c r="O489" s="881"/>
      <c r="P489" s="881"/>
      <c r="Q489" s="1302"/>
      <c r="R489" s="1302"/>
      <c r="S489" s="1302"/>
      <c r="T489" s="1302"/>
      <c r="U489" s="1302"/>
      <c r="V489" s="1302"/>
      <c r="W489" s="1302"/>
      <c r="X489" s="1302"/>
      <c r="Y489" s="1302"/>
      <c r="Z489" s="1302"/>
    </row>
    <row r="490" spans="1:26" ht="18.75">
      <c r="A490" s="1326"/>
      <c r="B490" s="1327"/>
      <c r="C490" s="1327"/>
      <c r="D490" s="1327"/>
      <c r="E490" s="1327" t="s">
        <v>63</v>
      </c>
      <c r="F490" s="1014"/>
      <c r="G490" s="1007"/>
      <c r="H490" s="622"/>
      <c r="I490" s="880"/>
      <c r="J490" s="880"/>
      <c r="K490" s="881"/>
      <c r="L490" s="881"/>
      <c r="M490" s="881"/>
      <c r="N490" s="881"/>
      <c r="O490" s="881"/>
      <c r="P490" s="881"/>
      <c r="Q490" s="1302"/>
      <c r="R490" s="1302"/>
      <c r="S490" s="1302"/>
      <c r="T490" s="1302"/>
      <c r="U490" s="1302"/>
      <c r="V490" s="1302"/>
      <c r="W490" s="1302"/>
      <c r="X490" s="1302"/>
      <c r="Y490" s="1302"/>
      <c r="Z490" s="1302"/>
    </row>
    <row r="491" spans="1:26" ht="18.75">
      <c r="A491" s="1326"/>
      <c r="B491" s="1327"/>
      <c r="C491" s="1327"/>
      <c r="D491" s="1327"/>
      <c r="E491" s="1327"/>
      <c r="F491" s="1327" t="s">
        <v>214</v>
      </c>
      <c r="G491" s="1007"/>
      <c r="H491" s="622" t="s">
        <v>35</v>
      </c>
      <c r="I491" s="880"/>
      <c r="J491" s="1012">
        <v>1</v>
      </c>
      <c r="K491" s="881"/>
      <c r="L491" s="881"/>
      <c r="M491" s="881"/>
      <c r="N491" s="881"/>
      <c r="O491" s="881"/>
      <c r="P491" s="881"/>
      <c r="Q491" s="1302"/>
      <c r="R491" s="1302"/>
      <c r="S491" s="1302"/>
      <c r="T491" s="1302"/>
      <c r="U491" s="1302"/>
      <c r="V491" s="1302"/>
      <c r="W491" s="1302"/>
      <c r="X491" s="1302"/>
      <c r="Y491" s="1302"/>
      <c r="Z491" s="1302"/>
    </row>
    <row r="492" spans="1:26" ht="18.75">
      <c r="A492" s="1326"/>
      <c r="B492" s="1327"/>
      <c r="C492" s="1327"/>
      <c r="D492" s="1327"/>
      <c r="E492" s="1327"/>
      <c r="F492" s="1327" t="s">
        <v>215</v>
      </c>
      <c r="G492" s="1007"/>
      <c r="H492" s="622" t="s">
        <v>35</v>
      </c>
      <c r="I492" s="880">
        <f ca="1">IFERROR(__xludf.DUMMYFUNCTION("IMPORTRANGE(""https://docs.google.com/spreadsheets/d/1QqKyyYR6Q21VydFLVH3TRQUabQu_ym0Zz7PgGX0-kHA/edit?usp=sharing"",""แผน!GC79"")"),1)</f>
        <v>1</v>
      </c>
      <c r="J492" s="1012">
        <v>1</v>
      </c>
      <c r="K492" s="881">
        <f ca="1">IF(I492&gt;0,J492*100/I492,0)</f>
        <v>100</v>
      </c>
      <c r="L492" s="881"/>
      <c r="M492" s="881"/>
      <c r="N492" s="881"/>
      <c r="O492" s="881"/>
      <c r="P492" s="881"/>
      <c r="Q492" s="1302"/>
      <c r="R492" s="1302"/>
      <c r="S492" s="1302"/>
      <c r="T492" s="1302"/>
      <c r="U492" s="1302"/>
      <c r="V492" s="1302"/>
      <c r="W492" s="1302"/>
      <c r="X492" s="1302"/>
      <c r="Y492" s="1302"/>
      <c r="Z492" s="1302"/>
    </row>
    <row r="493" spans="1:26" ht="19.5">
      <c r="A493" s="1326"/>
      <c r="B493" s="1327"/>
      <c r="C493" s="1327"/>
      <c r="D493" s="1336" t="s">
        <v>59</v>
      </c>
      <c r="E493" s="1327"/>
      <c r="F493" s="1014"/>
      <c r="G493" s="1007"/>
      <c r="H493" s="1016"/>
      <c r="I493" s="880"/>
      <c r="J493" s="880"/>
      <c r="K493" s="881"/>
      <c r="L493" s="881"/>
      <c r="M493" s="881"/>
      <c r="N493" s="881"/>
      <c r="O493" s="881"/>
      <c r="P493" s="881"/>
      <c r="Q493" s="1302"/>
      <c r="R493" s="1302"/>
      <c r="S493" s="1302"/>
      <c r="T493" s="1302"/>
      <c r="U493" s="1302"/>
      <c r="V493" s="1302"/>
      <c r="W493" s="1302"/>
      <c r="X493" s="1302"/>
      <c r="Y493" s="1302"/>
      <c r="Z493" s="1302"/>
    </row>
    <row r="494" spans="1:26" ht="18.75">
      <c r="A494" s="1326"/>
      <c r="B494" s="1327"/>
      <c r="C494" s="1327"/>
      <c r="D494" s="1327"/>
      <c r="E494" s="1327" t="s">
        <v>208</v>
      </c>
      <c r="F494" s="1014"/>
      <c r="G494" s="1007"/>
      <c r="H494" s="1016"/>
      <c r="I494" s="880"/>
      <c r="J494" s="880"/>
      <c r="K494" s="881"/>
      <c r="L494" s="881"/>
      <c r="M494" s="881"/>
      <c r="N494" s="881"/>
      <c r="O494" s="881"/>
      <c r="P494" s="881"/>
      <c r="Q494" s="1302"/>
      <c r="R494" s="1302"/>
      <c r="S494" s="1302"/>
      <c r="T494" s="1302"/>
      <c r="U494" s="1302"/>
      <c r="V494" s="1302"/>
      <c r="W494" s="1302"/>
      <c r="X494" s="1302"/>
      <c r="Y494" s="1302"/>
      <c r="Z494" s="1302"/>
    </row>
    <row r="495" spans="1:26" ht="18.75">
      <c r="A495" s="1326"/>
      <c r="B495" s="1327"/>
      <c r="C495" s="1327"/>
      <c r="D495" s="1327"/>
      <c r="E495" s="1327"/>
      <c r="F495" s="1014" t="s">
        <v>216</v>
      </c>
      <c r="G495" s="1007"/>
      <c r="H495" s="622" t="s">
        <v>46</v>
      </c>
      <c r="I495" s="880">
        <f ca="1">IFERROR(__xludf.DUMMYFUNCTION("IMPORTRANGE(""https://docs.google.com/spreadsheets/d/1QqKyyYR6Q21VydFLVH3TRQUabQu_ym0Zz7PgGX0-kHA/edit?usp=sharing"",""แผน!FY79"")"),90)</f>
        <v>90</v>
      </c>
      <c r="J495" s="1012">
        <v>0</v>
      </c>
      <c r="K495" s="881">
        <f ca="1">IF(I495&gt;0,J495*100/I495,0)</f>
        <v>0</v>
      </c>
      <c r="L495" s="881"/>
      <c r="M495" s="881"/>
      <c r="N495" s="881"/>
      <c r="O495" s="881"/>
      <c r="P495" s="881"/>
      <c r="Q495" s="1302"/>
      <c r="R495" s="1302"/>
      <c r="S495" s="1302"/>
      <c r="T495" s="1302"/>
      <c r="U495" s="1302"/>
      <c r="V495" s="1302"/>
      <c r="W495" s="1302"/>
      <c r="X495" s="1302"/>
      <c r="Y495" s="1302"/>
      <c r="Z495" s="1302"/>
    </row>
    <row r="496" spans="1:26" ht="18.75">
      <c r="A496" s="1326"/>
      <c r="B496" s="1327"/>
      <c r="C496" s="1327"/>
      <c r="D496" s="1327"/>
      <c r="E496" s="1327"/>
      <c r="F496" s="1014" t="s">
        <v>217</v>
      </c>
      <c r="G496" s="1007"/>
      <c r="H496" s="622" t="s">
        <v>46</v>
      </c>
      <c r="I496" s="880"/>
      <c r="J496" s="1012">
        <v>0</v>
      </c>
      <c r="K496" s="881"/>
      <c r="L496" s="881"/>
      <c r="M496" s="881"/>
      <c r="N496" s="881"/>
      <c r="O496" s="881"/>
      <c r="P496" s="881"/>
      <c r="Q496" s="1302"/>
      <c r="R496" s="1302"/>
      <c r="S496" s="1302"/>
      <c r="T496" s="1302"/>
      <c r="U496" s="1302"/>
      <c r="V496" s="1302"/>
      <c r="W496" s="1302"/>
      <c r="X496" s="1302"/>
      <c r="Y496" s="1302"/>
      <c r="Z496" s="1302"/>
    </row>
    <row r="497" spans="1:26" ht="18.75">
      <c r="A497" s="1326"/>
      <c r="B497" s="1327"/>
      <c r="C497" s="1327"/>
      <c r="D497" s="1327"/>
      <c r="E497" s="1327" t="s">
        <v>62</v>
      </c>
      <c r="F497" s="1014"/>
      <c r="G497" s="1007"/>
      <c r="H497" s="1016"/>
      <c r="I497" s="880"/>
      <c r="J497" s="880"/>
      <c r="K497" s="881"/>
      <c r="L497" s="881"/>
      <c r="M497" s="881"/>
      <c r="N497" s="881"/>
      <c r="O497" s="881"/>
      <c r="P497" s="881"/>
      <c r="Q497" s="1302"/>
      <c r="R497" s="1302"/>
      <c r="S497" s="1302"/>
      <c r="T497" s="1302"/>
      <c r="U497" s="1302"/>
      <c r="V497" s="1302"/>
      <c r="W497" s="1302"/>
      <c r="X497" s="1302"/>
      <c r="Y497" s="1302"/>
      <c r="Z497" s="1302"/>
    </row>
    <row r="498" spans="1:26" ht="18.75">
      <c r="A498" s="1326"/>
      <c r="B498" s="1327"/>
      <c r="C498" s="1327"/>
      <c r="D498" s="1327"/>
      <c r="E498" s="1014"/>
      <c r="F498" s="1014" t="s">
        <v>218</v>
      </c>
      <c r="G498" s="1007"/>
      <c r="H498" s="622" t="s">
        <v>46</v>
      </c>
      <c r="I498" s="880">
        <f ca="1">IFERROR(__xludf.DUMMYFUNCTION("IMPORTRANGE(""https://docs.google.com/spreadsheets/d/1QqKyyYR6Q21VydFLVH3TRQUabQu_ym0Zz7PgGX0-kHA/edit?usp=sharing"",""แผน!GA79"")"),10)</f>
        <v>10</v>
      </c>
      <c r="J498" s="1012">
        <v>0</v>
      </c>
      <c r="K498" s="881">
        <f ca="1">IF(I498&gt;0,J498*100/I498,0)</f>
        <v>0</v>
      </c>
      <c r="L498" s="881"/>
      <c r="M498" s="881"/>
      <c r="N498" s="881"/>
      <c r="O498" s="881"/>
      <c r="P498" s="881"/>
      <c r="Q498" s="1302"/>
      <c r="R498" s="1302"/>
      <c r="S498" s="1302"/>
      <c r="T498" s="1302"/>
      <c r="U498" s="1302"/>
      <c r="V498" s="1302"/>
      <c r="W498" s="1302"/>
      <c r="X498" s="1302"/>
      <c r="Y498" s="1302"/>
      <c r="Z498" s="1302"/>
    </row>
    <row r="499" spans="1:26" ht="18.75">
      <c r="A499" s="1326"/>
      <c r="B499" s="1327"/>
      <c r="C499" s="1327"/>
      <c r="D499" s="1327"/>
      <c r="E499" s="1014"/>
      <c r="F499" s="1014" t="s">
        <v>219</v>
      </c>
      <c r="G499" s="1007"/>
      <c r="H499" s="622" t="s">
        <v>46</v>
      </c>
      <c r="I499" s="880"/>
      <c r="J499" s="1012">
        <v>0</v>
      </c>
      <c r="K499" s="881"/>
      <c r="L499" s="881"/>
      <c r="M499" s="881"/>
      <c r="N499" s="881"/>
      <c r="O499" s="881"/>
      <c r="P499" s="881"/>
      <c r="Q499" s="1302"/>
      <c r="R499" s="1302"/>
      <c r="S499" s="1302"/>
      <c r="T499" s="1302"/>
      <c r="U499" s="1302"/>
      <c r="V499" s="1302"/>
      <c r="W499" s="1302"/>
      <c r="X499" s="1302"/>
      <c r="Y499" s="1302"/>
      <c r="Z499" s="1302"/>
    </row>
    <row r="500" spans="1:26" ht="19.5" hidden="1">
      <c r="A500" s="626">
        <v>4</v>
      </c>
      <c r="B500" s="1337" t="s">
        <v>220</v>
      </c>
      <c r="C500" s="1338"/>
      <c r="D500" s="1339"/>
      <c r="E500" s="1339"/>
      <c r="F500" s="1339"/>
      <c r="G500" s="1340"/>
      <c r="H500" s="631" t="s">
        <v>109</v>
      </c>
      <c r="I500" s="1341"/>
      <c r="J500" s="1341">
        <f t="shared" ref="J500:J501" si="213">J516</f>
        <v>0</v>
      </c>
      <c r="K500" s="1342">
        <f t="shared" ref="K500:K501" si="214">IF(I500&gt;0,J500*100/I500,0)</f>
        <v>0</v>
      </c>
      <c r="L500" s="1343"/>
      <c r="M500" s="1343"/>
      <c r="N500" s="1343"/>
      <c r="O500" s="1343"/>
      <c r="P500" s="1343"/>
      <c r="Q500" s="1323"/>
      <c r="R500" s="1323"/>
      <c r="S500" s="1323"/>
      <c r="T500" s="1323"/>
      <c r="U500" s="1323"/>
      <c r="V500" s="1323"/>
      <c r="W500" s="1323"/>
      <c r="X500" s="1323"/>
      <c r="Y500" s="1323"/>
      <c r="Z500" s="1323"/>
    </row>
    <row r="501" spans="1:26" ht="19.5" hidden="1">
      <c r="A501" s="1344"/>
      <c r="B501" s="1345" t="s">
        <v>221</v>
      </c>
      <c r="C501" s="1345"/>
      <c r="D501" s="1346"/>
      <c r="E501" s="1346"/>
      <c r="F501" s="1346"/>
      <c r="G501" s="1347"/>
      <c r="H501" s="640" t="s">
        <v>35</v>
      </c>
      <c r="I501" s="1348"/>
      <c r="J501" s="1348">
        <f t="shared" si="213"/>
        <v>0</v>
      </c>
      <c r="K501" s="1349">
        <f t="shared" si="214"/>
        <v>0</v>
      </c>
      <c r="L501" s="1350"/>
      <c r="M501" s="1350"/>
      <c r="N501" s="1350"/>
      <c r="O501" s="1350"/>
      <c r="P501" s="1350"/>
      <c r="Q501" s="1323"/>
      <c r="R501" s="1323"/>
      <c r="S501" s="1323"/>
      <c r="T501" s="1323"/>
      <c r="U501" s="1323"/>
      <c r="V501" s="1323"/>
      <c r="W501" s="1323"/>
      <c r="X501" s="1323"/>
      <c r="Y501" s="1323"/>
      <c r="Z501" s="1323"/>
    </row>
    <row r="502" spans="1:26" ht="19.5" hidden="1">
      <c r="A502" s="1319"/>
      <c r="B502" s="1320"/>
      <c r="C502" s="1320" t="s">
        <v>16</v>
      </c>
      <c r="D502" s="1351" t="s">
        <v>17</v>
      </c>
      <c r="E502" s="841"/>
      <c r="F502" s="841"/>
      <c r="G502" s="1322"/>
      <c r="H502" s="644" t="s">
        <v>12</v>
      </c>
      <c r="I502" s="886"/>
      <c r="J502" s="886"/>
      <c r="K502" s="887"/>
      <c r="L502" s="1352">
        <f t="shared" ref="L502:N502" si="215">L503+L504</f>
        <v>0</v>
      </c>
      <c r="M502" s="1352">
        <f t="shared" si="215"/>
        <v>0</v>
      </c>
      <c r="N502" s="1352">
        <f t="shared" si="215"/>
        <v>0</v>
      </c>
      <c r="O502" s="1352">
        <f t="shared" ref="O502:O507" si="216">IF(L502&gt;0,N502*100/L502,0)</f>
        <v>0</v>
      </c>
      <c r="P502" s="1352">
        <f t="shared" ref="P502:P507" si="217">IF(M502&gt;0,N502*100/M502,0)</f>
        <v>0</v>
      </c>
      <c r="Q502" s="1323"/>
      <c r="R502" s="1323"/>
      <c r="S502" s="1323"/>
      <c r="T502" s="1323"/>
      <c r="U502" s="1323"/>
      <c r="V502" s="1323"/>
      <c r="W502" s="1323"/>
      <c r="X502" s="1323"/>
      <c r="Y502" s="1323"/>
      <c r="Z502" s="1323"/>
    </row>
    <row r="503" spans="1:26" ht="18.75" hidden="1">
      <c r="A503" s="1319"/>
      <c r="B503" s="1320"/>
      <c r="C503" s="1320"/>
      <c r="D503" s="1321"/>
      <c r="E503" s="1320" t="s">
        <v>185</v>
      </c>
      <c r="F503" s="1320"/>
      <c r="G503" s="1322"/>
      <c r="H503" s="165" t="s">
        <v>12</v>
      </c>
      <c r="I503" s="886"/>
      <c r="J503" s="886"/>
      <c r="K503" s="887"/>
      <c r="L503" s="887">
        <f t="shared" ref="L503:N504" si="218">L506+L513</f>
        <v>0</v>
      </c>
      <c r="M503" s="887">
        <f t="shared" si="218"/>
        <v>0</v>
      </c>
      <c r="N503" s="887">
        <f t="shared" si="218"/>
        <v>0</v>
      </c>
      <c r="O503" s="887">
        <f t="shared" si="216"/>
        <v>0</v>
      </c>
      <c r="P503" s="887">
        <f t="shared" si="217"/>
        <v>0</v>
      </c>
      <c r="Q503" s="1323"/>
      <c r="R503" s="1323"/>
      <c r="S503" s="1323"/>
      <c r="T503" s="1323"/>
      <c r="U503" s="1323"/>
      <c r="V503" s="1323"/>
      <c r="W503" s="1323"/>
      <c r="X503" s="1323"/>
      <c r="Y503" s="1323"/>
      <c r="Z503" s="1323"/>
    </row>
    <row r="504" spans="1:26" ht="18.75" hidden="1">
      <c r="A504" s="1319"/>
      <c r="B504" s="1324"/>
      <c r="C504" s="1320"/>
      <c r="D504" s="1321"/>
      <c r="E504" s="1320" t="s">
        <v>186</v>
      </c>
      <c r="F504" s="1320"/>
      <c r="G504" s="1322"/>
      <c r="H504" s="165" t="s">
        <v>12</v>
      </c>
      <c r="I504" s="886"/>
      <c r="J504" s="886"/>
      <c r="K504" s="887"/>
      <c r="L504" s="887">
        <f t="shared" si="218"/>
        <v>0</v>
      </c>
      <c r="M504" s="887">
        <f t="shared" si="218"/>
        <v>0</v>
      </c>
      <c r="N504" s="887">
        <f t="shared" si="218"/>
        <v>0</v>
      </c>
      <c r="O504" s="887">
        <f t="shared" si="216"/>
        <v>0</v>
      </c>
      <c r="P504" s="887">
        <f t="shared" si="217"/>
        <v>0</v>
      </c>
      <c r="Q504" s="1323"/>
      <c r="R504" s="1323"/>
      <c r="S504" s="1323"/>
      <c r="T504" s="1323"/>
      <c r="U504" s="1323"/>
      <c r="V504" s="1323"/>
      <c r="W504" s="1323"/>
      <c r="X504" s="1323"/>
      <c r="Y504" s="1323"/>
      <c r="Z504" s="1323"/>
    </row>
    <row r="505" spans="1:26" ht="18.75" hidden="1">
      <c r="A505" s="1319"/>
      <c r="B505" s="1324"/>
      <c r="C505" s="1320"/>
      <c r="D505" s="1353" t="s">
        <v>20</v>
      </c>
      <c r="E505" s="1320"/>
      <c r="F505" s="1320"/>
      <c r="G505" s="1322"/>
      <c r="H505" s="165" t="s">
        <v>12</v>
      </c>
      <c r="I505" s="1000"/>
      <c r="J505" s="1000"/>
      <c r="K505" s="1001"/>
      <c r="L505" s="887">
        <f t="shared" ref="L505:N505" si="219">L506+L507</f>
        <v>0</v>
      </c>
      <c r="M505" s="887">
        <f t="shared" si="219"/>
        <v>0</v>
      </c>
      <c r="N505" s="887">
        <f t="shared" si="219"/>
        <v>0</v>
      </c>
      <c r="O505" s="887">
        <f t="shared" si="216"/>
        <v>0</v>
      </c>
      <c r="P505" s="887">
        <f t="shared" si="217"/>
        <v>0</v>
      </c>
      <c r="Q505" s="1323"/>
      <c r="R505" s="1323"/>
      <c r="S505" s="1323"/>
      <c r="T505" s="1323"/>
      <c r="U505" s="1323"/>
      <c r="V505" s="1323"/>
      <c r="W505" s="1323"/>
      <c r="X505" s="1323"/>
      <c r="Y505" s="1323"/>
      <c r="Z505" s="1323"/>
    </row>
    <row r="506" spans="1:26" ht="18.75" hidden="1">
      <c r="A506" s="1319"/>
      <c r="B506" s="1324"/>
      <c r="C506" s="1320"/>
      <c r="D506" s="1321"/>
      <c r="E506" s="1320" t="s">
        <v>185</v>
      </c>
      <c r="F506" s="1320"/>
      <c r="G506" s="1322"/>
      <c r="H506" s="165" t="s">
        <v>12</v>
      </c>
      <c r="I506" s="886"/>
      <c r="J506" s="886"/>
      <c r="K506" s="887"/>
      <c r="L506" s="887">
        <v>0</v>
      </c>
      <c r="M506" s="887">
        <v>0</v>
      </c>
      <c r="N506" s="887">
        <v>0</v>
      </c>
      <c r="O506" s="887">
        <f t="shared" si="216"/>
        <v>0</v>
      </c>
      <c r="P506" s="887">
        <f t="shared" si="217"/>
        <v>0</v>
      </c>
      <c r="Q506" s="1323"/>
      <c r="R506" s="1323"/>
      <c r="S506" s="1323"/>
      <c r="T506" s="1323"/>
      <c r="U506" s="1323"/>
      <c r="V506" s="1323"/>
      <c r="W506" s="1323"/>
      <c r="X506" s="1323"/>
      <c r="Y506" s="1323"/>
      <c r="Z506" s="1323"/>
    </row>
    <row r="507" spans="1:26" ht="18.75" hidden="1">
      <c r="A507" s="1319"/>
      <c r="B507" s="1324"/>
      <c r="C507" s="1320"/>
      <c r="D507" s="1321"/>
      <c r="E507" s="1320" t="s">
        <v>186</v>
      </c>
      <c r="F507" s="1320"/>
      <c r="G507" s="1322"/>
      <c r="H507" s="165" t="s">
        <v>12</v>
      </c>
      <c r="I507" s="886"/>
      <c r="J507" s="886"/>
      <c r="K507" s="887"/>
      <c r="L507" s="887">
        <v>0</v>
      </c>
      <c r="M507" s="887">
        <v>0</v>
      </c>
      <c r="N507" s="887">
        <f>N508+N509+N510+N511</f>
        <v>0</v>
      </c>
      <c r="O507" s="887">
        <f t="shared" si="216"/>
        <v>0</v>
      </c>
      <c r="P507" s="887">
        <f t="shared" si="217"/>
        <v>0</v>
      </c>
      <c r="Q507" s="1323"/>
      <c r="R507" s="1323"/>
      <c r="S507" s="1323"/>
      <c r="T507" s="1323"/>
      <c r="U507" s="1323"/>
      <c r="V507" s="1323"/>
      <c r="W507" s="1323"/>
      <c r="X507" s="1323"/>
      <c r="Y507" s="1323"/>
      <c r="Z507" s="1323"/>
    </row>
    <row r="508" spans="1:26" ht="18.75" hidden="1">
      <c r="A508" s="1354"/>
      <c r="B508" s="1324"/>
      <c r="C508" s="1320"/>
      <c r="D508" s="1320"/>
      <c r="E508" s="1320"/>
      <c r="F508" s="1320" t="s">
        <v>187</v>
      </c>
      <c r="G508" s="1322"/>
      <c r="H508" s="165" t="s">
        <v>12</v>
      </c>
      <c r="I508" s="886"/>
      <c r="J508" s="886"/>
      <c r="K508" s="887"/>
      <c r="L508" s="887"/>
      <c r="M508" s="887"/>
      <c r="N508" s="887">
        <v>0</v>
      </c>
      <c r="O508" s="887"/>
      <c r="P508" s="887"/>
      <c r="Q508" s="1323"/>
      <c r="R508" s="1323"/>
      <c r="S508" s="1323"/>
      <c r="T508" s="1323"/>
      <c r="U508" s="1323"/>
      <c r="V508" s="1323"/>
      <c r="W508" s="1323"/>
      <c r="X508" s="1323"/>
      <c r="Y508" s="1323"/>
      <c r="Z508" s="1323"/>
    </row>
    <row r="509" spans="1:26" ht="18.75" hidden="1">
      <c r="A509" s="1354"/>
      <c r="B509" s="1324"/>
      <c r="C509" s="1320"/>
      <c r="D509" s="1320"/>
      <c r="E509" s="1320"/>
      <c r="F509" s="1320" t="s">
        <v>188</v>
      </c>
      <c r="G509" s="1322"/>
      <c r="H509" s="165" t="s">
        <v>12</v>
      </c>
      <c r="I509" s="886"/>
      <c r="J509" s="886"/>
      <c r="K509" s="887"/>
      <c r="L509" s="887"/>
      <c r="M509" s="887"/>
      <c r="N509" s="887">
        <v>0</v>
      </c>
      <c r="O509" s="887"/>
      <c r="P509" s="887"/>
      <c r="Q509" s="1323"/>
      <c r="R509" s="1323"/>
      <c r="S509" s="1323"/>
      <c r="T509" s="1323"/>
      <c r="U509" s="1323"/>
      <c r="V509" s="1323"/>
      <c r="W509" s="1323"/>
      <c r="X509" s="1323"/>
      <c r="Y509" s="1323"/>
      <c r="Z509" s="1323"/>
    </row>
    <row r="510" spans="1:26" ht="18.75" hidden="1">
      <c r="A510" s="1354"/>
      <c r="B510" s="1324"/>
      <c r="C510" s="1324"/>
      <c r="D510" s="1324"/>
      <c r="E510" s="1320"/>
      <c r="F510" s="1320" t="s">
        <v>189</v>
      </c>
      <c r="G510" s="1322"/>
      <c r="H510" s="165" t="s">
        <v>12</v>
      </c>
      <c r="I510" s="886"/>
      <c r="J510" s="886"/>
      <c r="K510" s="887"/>
      <c r="L510" s="887"/>
      <c r="M510" s="887"/>
      <c r="N510" s="887">
        <v>0</v>
      </c>
      <c r="O510" s="887"/>
      <c r="P510" s="887"/>
      <c r="Q510" s="1323"/>
      <c r="R510" s="1323"/>
      <c r="S510" s="1323"/>
      <c r="T510" s="1323"/>
      <c r="U510" s="1323"/>
      <c r="V510" s="1323"/>
      <c r="W510" s="1323"/>
      <c r="X510" s="1323"/>
      <c r="Y510" s="1323"/>
      <c r="Z510" s="1323"/>
    </row>
    <row r="511" spans="1:26" ht="18.75" hidden="1">
      <c r="A511" s="1354"/>
      <c r="B511" s="1324"/>
      <c r="C511" s="1324"/>
      <c r="D511" s="1324"/>
      <c r="E511" s="1320"/>
      <c r="F511" s="1320" t="s">
        <v>190</v>
      </c>
      <c r="G511" s="1322"/>
      <c r="H511" s="165" t="s">
        <v>12</v>
      </c>
      <c r="I511" s="886"/>
      <c r="J511" s="886"/>
      <c r="K511" s="887"/>
      <c r="L511" s="887"/>
      <c r="M511" s="887"/>
      <c r="N511" s="887">
        <v>0</v>
      </c>
      <c r="O511" s="887"/>
      <c r="P511" s="887"/>
      <c r="Q511" s="1323"/>
      <c r="R511" s="1323"/>
      <c r="S511" s="1323"/>
      <c r="T511" s="1323"/>
      <c r="U511" s="1323"/>
      <c r="V511" s="1323"/>
      <c r="W511" s="1323"/>
      <c r="X511" s="1323"/>
      <c r="Y511" s="1323"/>
      <c r="Z511" s="1323"/>
    </row>
    <row r="512" spans="1:26" ht="18.75" hidden="1">
      <c r="A512" s="1319"/>
      <c r="B512" s="1324"/>
      <c r="C512" s="1324"/>
      <c r="D512" s="1353" t="s">
        <v>21</v>
      </c>
      <c r="E512" s="1324"/>
      <c r="F512" s="1320"/>
      <c r="G512" s="1322"/>
      <c r="H512" s="169" t="s">
        <v>12</v>
      </c>
      <c r="I512" s="1000"/>
      <c r="J512" s="1000"/>
      <c r="K512" s="1001"/>
      <c r="L512" s="887">
        <f t="shared" ref="L512:N512" si="220">L513+L514</f>
        <v>0</v>
      </c>
      <c r="M512" s="887">
        <f t="shared" si="220"/>
        <v>0</v>
      </c>
      <c r="N512" s="887">
        <f t="shared" si="220"/>
        <v>0</v>
      </c>
      <c r="O512" s="887">
        <f t="shared" ref="O512:O514" si="221">IF(L512&gt;0,N512*100/L512,0)</f>
        <v>0</v>
      </c>
      <c r="P512" s="887">
        <f t="shared" ref="P512:P514" si="222">IF(M512&gt;0,N512*100/M512,0)</f>
        <v>0</v>
      </c>
      <c r="Q512" s="1323"/>
      <c r="R512" s="1323"/>
      <c r="S512" s="1323"/>
      <c r="T512" s="1323"/>
      <c r="U512" s="1323"/>
      <c r="V512" s="1323"/>
      <c r="W512" s="1323"/>
      <c r="X512" s="1323"/>
      <c r="Y512" s="1323"/>
      <c r="Z512" s="1323"/>
    </row>
    <row r="513" spans="1:26" ht="18.75" hidden="1">
      <c r="A513" s="1319"/>
      <c r="B513" s="1324"/>
      <c r="C513" s="1324"/>
      <c r="D513" s="1324"/>
      <c r="E513" s="1324" t="s">
        <v>18</v>
      </c>
      <c r="F513" s="1320"/>
      <c r="G513" s="1322"/>
      <c r="H513" s="165" t="s">
        <v>12</v>
      </c>
      <c r="I513" s="1000"/>
      <c r="J513" s="1000"/>
      <c r="K513" s="1001"/>
      <c r="L513" s="887">
        <v>0</v>
      </c>
      <c r="M513" s="887">
        <v>0</v>
      </c>
      <c r="N513" s="887">
        <v>0</v>
      </c>
      <c r="O513" s="887">
        <f t="shared" si="221"/>
        <v>0</v>
      </c>
      <c r="P513" s="887">
        <f t="shared" si="222"/>
        <v>0</v>
      </c>
      <c r="Q513" s="1323"/>
      <c r="R513" s="1323"/>
      <c r="S513" s="1323"/>
      <c r="T513" s="1323"/>
      <c r="U513" s="1323"/>
      <c r="V513" s="1323"/>
      <c r="W513" s="1323"/>
      <c r="X513" s="1323"/>
      <c r="Y513" s="1323"/>
      <c r="Z513" s="1323"/>
    </row>
    <row r="514" spans="1:26" ht="18.75" hidden="1">
      <c r="A514" s="1319"/>
      <c r="B514" s="1324"/>
      <c r="C514" s="1324"/>
      <c r="D514" s="1320"/>
      <c r="E514" s="1324" t="s">
        <v>19</v>
      </c>
      <c r="F514" s="1320"/>
      <c r="G514" s="1322"/>
      <c r="H514" s="169" t="s">
        <v>12</v>
      </c>
      <c r="I514" s="1000"/>
      <c r="J514" s="1000"/>
      <c r="K514" s="1001"/>
      <c r="L514" s="887">
        <v>0</v>
      </c>
      <c r="M514" s="887">
        <v>0</v>
      </c>
      <c r="N514" s="887">
        <v>0</v>
      </c>
      <c r="O514" s="887">
        <f t="shared" si="221"/>
        <v>0</v>
      </c>
      <c r="P514" s="887">
        <f t="shared" si="222"/>
        <v>0</v>
      </c>
      <c r="Q514" s="1323"/>
      <c r="R514" s="1323"/>
      <c r="S514" s="1323"/>
      <c r="T514" s="1323"/>
      <c r="U514" s="1323"/>
      <c r="V514" s="1323"/>
      <c r="W514" s="1323"/>
      <c r="X514" s="1323"/>
      <c r="Y514" s="1323"/>
      <c r="Z514" s="1323"/>
    </row>
    <row r="515" spans="1:26" ht="19.5" hidden="1">
      <c r="A515" s="1332"/>
      <c r="B515" s="1333"/>
      <c r="C515" s="1324" t="s">
        <v>16</v>
      </c>
      <c r="D515" s="1355" t="s">
        <v>38</v>
      </c>
      <c r="E515" s="1356"/>
      <c r="F515" s="1356"/>
      <c r="G515" s="1357"/>
      <c r="H515" s="1113"/>
      <c r="I515" s="1000"/>
      <c r="J515" s="1000"/>
      <c r="K515" s="1001"/>
      <c r="L515" s="1001"/>
      <c r="M515" s="1001"/>
      <c r="N515" s="1001"/>
      <c r="O515" s="1001"/>
      <c r="P515" s="1001"/>
      <c r="Q515" s="1323"/>
      <c r="R515" s="1323"/>
      <c r="S515" s="1323"/>
      <c r="T515" s="1323"/>
      <c r="U515" s="1323"/>
      <c r="V515" s="1323"/>
      <c r="W515" s="1323"/>
      <c r="X515" s="1323"/>
      <c r="Y515" s="1323"/>
      <c r="Z515" s="1323"/>
    </row>
    <row r="516" spans="1:26" ht="18.75" hidden="1">
      <c r="A516" s="1332"/>
      <c r="B516" s="1333"/>
      <c r="C516" s="1333"/>
      <c r="D516" s="1333" t="s">
        <v>222</v>
      </c>
      <c r="E516" s="1321"/>
      <c r="F516" s="1321"/>
      <c r="G516" s="1113"/>
      <c r="H516" s="651" t="s">
        <v>109</v>
      </c>
      <c r="I516" s="886"/>
      <c r="J516" s="886">
        <v>0</v>
      </c>
      <c r="K516" s="1001">
        <f t="shared" ref="K516:K517" si="223">IF(I516&gt;0,J516*100/I516,0)</f>
        <v>0</v>
      </c>
      <c r="L516" s="1001"/>
      <c r="M516" s="1001"/>
      <c r="N516" s="1001"/>
      <c r="O516" s="1001"/>
      <c r="P516" s="1001"/>
      <c r="Q516" s="1323"/>
      <c r="R516" s="1323"/>
      <c r="S516" s="1323"/>
      <c r="T516" s="1323"/>
      <c r="U516" s="1323"/>
      <c r="V516" s="1323"/>
      <c r="W516" s="1323"/>
      <c r="X516" s="1323"/>
      <c r="Y516" s="1323"/>
      <c r="Z516" s="1323"/>
    </row>
    <row r="517" spans="1:26" ht="19.5" hidden="1">
      <c r="A517" s="1332"/>
      <c r="B517" s="1333"/>
      <c r="C517" s="1333"/>
      <c r="D517" s="1333" t="s">
        <v>223</v>
      </c>
      <c r="E517" s="1321"/>
      <c r="F517" s="1321"/>
      <c r="G517" s="1113"/>
      <c r="H517" s="652" t="s">
        <v>35</v>
      </c>
      <c r="I517" s="1358"/>
      <c r="J517" s="1358">
        <f>J518+J519</f>
        <v>0</v>
      </c>
      <c r="K517" s="1359">
        <f t="shared" si="223"/>
        <v>0</v>
      </c>
      <c r="L517" s="1001"/>
      <c r="M517" s="1001"/>
      <c r="N517" s="1001"/>
      <c r="O517" s="1001"/>
      <c r="P517" s="1001"/>
      <c r="Q517" s="1323"/>
      <c r="R517" s="1323"/>
      <c r="S517" s="1323"/>
      <c r="T517" s="1323"/>
      <c r="U517" s="1323"/>
      <c r="V517" s="1323"/>
      <c r="W517" s="1323"/>
      <c r="X517" s="1323"/>
      <c r="Y517" s="1323"/>
      <c r="Z517" s="1323"/>
    </row>
    <row r="518" spans="1:26" ht="18.75" hidden="1">
      <c r="A518" s="1332"/>
      <c r="B518" s="1333"/>
      <c r="C518" s="1333"/>
      <c r="D518" s="1333"/>
      <c r="E518" s="1333" t="s">
        <v>224</v>
      </c>
      <c r="F518" s="1321"/>
      <c r="G518" s="1113"/>
      <c r="H518" s="370" t="s">
        <v>35</v>
      </c>
      <c r="I518" s="886"/>
      <c r="J518" s="886"/>
      <c r="K518" s="1001"/>
      <c r="L518" s="1001"/>
      <c r="M518" s="1001"/>
      <c r="N518" s="1001"/>
      <c r="O518" s="1001"/>
      <c r="P518" s="1001"/>
      <c r="Q518" s="1323"/>
      <c r="R518" s="1323"/>
      <c r="S518" s="1323"/>
      <c r="T518" s="1323"/>
      <c r="U518" s="1323"/>
      <c r="V518" s="1323"/>
      <c r="W518" s="1323"/>
      <c r="X518" s="1323"/>
      <c r="Y518" s="1323"/>
      <c r="Z518" s="1323"/>
    </row>
    <row r="519" spans="1:26" ht="18.75" hidden="1">
      <c r="A519" s="1332"/>
      <c r="B519" s="1333"/>
      <c r="C519" s="1333"/>
      <c r="D519" s="1333"/>
      <c r="E519" s="1333" t="s">
        <v>225</v>
      </c>
      <c r="F519" s="1321"/>
      <c r="G519" s="1113"/>
      <c r="H519" s="651" t="s">
        <v>35</v>
      </c>
      <c r="I519" s="886"/>
      <c r="J519" s="886"/>
      <c r="K519" s="1001"/>
      <c r="L519" s="1001"/>
      <c r="M519" s="1001"/>
      <c r="N519" s="1001"/>
      <c r="O519" s="1001"/>
      <c r="P519" s="1001"/>
      <c r="Q519" s="1323"/>
      <c r="R519" s="1323"/>
      <c r="S519" s="1323"/>
      <c r="T519" s="1323"/>
      <c r="U519" s="1323"/>
      <c r="V519" s="1323"/>
      <c r="W519" s="1323"/>
      <c r="X519" s="1323"/>
      <c r="Y519" s="1323"/>
      <c r="Z519" s="1323"/>
    </row>
    <row r="520" spans="1:26" ht="19.5">
      <c r="A520" s="1360" t="s">
        <v>137</v>
      </c>
      <c r="B520" s="1361"/>
      <c r="C520" s="1361"/>
      <c r="D520" s="1362"/>
      <c r="E520" s="1362"/>
      <c r="F520" s="1362"/>
      <c r="G520" s="1363"/>
      <c r="H520" s="1364"/>
      <c r="I520" s="1365"/>
      <c r="J520" s="1365"/>
      <c r="K520" s="1366"/>
      <c r="L520" s="1366"/>
      <c r="M520" s="1366"/>
      <c r="N520" s="1366"/>
      <c r="O520" s="1366"/>
      <c r="P520" s="1366"/>
    </row>
    <row r="521" spans="1:26" ht="19.5" hidden="1">
      <c r="A521" s="662">
        <v>5</v>
      </c>
      <c r="B521" s="1367" t="s">
        <v>226</v>
      </c>
      <c r="C521" s="1368"/>
      <c r="D521" s="1369"/>
      <c r="E521" s="1369"/>
      <c r="F521" s="1369"/>
      <c r="G521" s="1369"/>
      <c r="H521" s="1370"/>
      <c r="I521" s="1371"/>
      <c r="J521" s="1371"/>
      <c r="K521" s="1372"/>
      <c r="L521" s="1372"/>
      <c r="M521" s="1372"/>
      <c r="N521" s="1372"/>
      <c r="O521" s="1372"/>
      <c r="P521" s="1372"/>
      <c r="Q521" s="1302"/>
      <c r="R521" s="1302"/>
      <c r="S521" s="1302"/>
      <c r="T521" s="1302"/>
      <c r="U521" s="1302"/>
      <c r="V521" s="1302"/>
      <c r="W521" s="1302"/>
      <c r="X521" s="1302"/>
      <c r="Y521" s="1302"/>
      <c r="Z521" s="1302"/>
    </row>
    <row r="522" spans="1:26" ht="19.5" hidden="1">
      <c r="A522" s="1373"/>
      <c r="B522" s="1374" t="s">
        <v>227</v>
      </c>
      <c r="C522" s="1375"/>
      <c r="D522" s="1375"/>
      <c r="E522" s="1375"/>
      <c r="F522" s="1375"/>
      <c r="G522" s="1376"/>
      <c r="H522" s="673" t="s">
        <v>35</v>
      </c>
      <c r="I522" s="1377">
        <f t="shared" ref="I522:J522" ca="1" si="224">I537</f>
        <v>0</v>
      </c>
      <c r="J522" s="1377">
        <f t="shared" ca="1" si="224"/>
        <v>0</v>
      </c>
      <c r="K522" s="1378">
        <f ca="1">IF(I522&gt;0,J522*100/I522,0)</f>
        <v>0</v>
      </c>
      <c r="L522" s="1379"/>
      <c r="M522" s="1379"/>
      <c r="N522" s="1379"/>
      <c r="O522" s="1379"/>
      <c r="P522" s="1379"/>
      <c r="Q522" s="1302"/>
      <c r="R522" s="1302"/>
      <c r="S522" s="1302"/>
      <c r="T522" s="1302"/>
      <c r="U522" s="1302"/>
      <c r="V522" s="1302"/>
      <c r="W522" s="1302"/>
      <c r="X522" s="1302"/>
      <c r="Y522" s="1302"/>
      <c r="Z522" s="1302"/>
    </row>
    <row r="523" spans="1:26" ht="19.5" hidden="1">
      <c r="A523" s="1317"/>
      <c r="B523" s="1301"/>
      <c r="C523" s="1301" t="s">
        <v>16</v>
      </c>
      <c r="D523" s="1318" t="s">
        <v>17</v>
      </c>
      <c r="E523" s="841"/>
      <c r="F523" s="841"/>
      <c r="G523" s="1016"/>
      <c r="H523" s="597" t="s">
        <v>12</v>
      </c>
      <c r="I523" s="880"/>
      <c r="J523" s="880"/>
      <c r="K523" s="881"/>
      <c r="L523" s="1020">
        <f t="shared" ref="L523:N523" ca="1" si="225">L524+L525</f>
        <v>0</v>
      </c>
      <c r="M523" s="1020">
        <f t="shared" si="225"/>
        <v>0</v>
      </c>
      <c r="N523" s="1020">
        <f t="shared" si="225"/>
        <v>0</v>
      </c>
      <c r="O523" s="1020">
        <f t="shared" ref="O523:O528" ca="1" si="226">IF(L523&gt;0,N523*100/L523,0)</f>
        <v>0</v>
      </c>
      <c r="P523" s="1020">
        <f t="shared" ref="P523:P528" si="227">IF(M523&gt;0,N523*100/M523,0)</f>
        <v>0</v>
      </c>
      <c r="Q523" s="1302"/>
      <c r="R523" s="1302"/>
      <c r="S523" s="1302"/>
      <c r="T523" s="1302"/>
      <c r="U523" s="1302"/>
      <c r="V523" s="1302"/>
      <c r="W523" s="1302"/>
      <c r="X523" s="1302"/>
      <c r="Y523" s="1302"/>
      <c r="Z523" s="1302"/>
    </row>
    <row r="524" spans="1:26" ht="18.75" hidden="1">
      <c r="A524" s="1319"/>
      <c r="B524" s="1320"/>
      <c r="C524" s="1320"/>
      <c r="D524" s="1321"/>
      <c r="E524" s="1320" t="s">
        <v>185</v>
      </c>
      <c r="F524" s="1320"/>
      <c r="G524" s="1322"/>
      <c r="H524" s="165" t="s">
        <v>12</v>
      </c>
      <c r="I524" s="886"/>
      <c r="J524" s="886"/>
      <c r="K524" s="887"/>
      <c r="L524" s="887">
        <f t="shared" ref="L524:N525" si="228">L527+L534</f>
        <v>0</v>
      </c>
      <c r="M524" s="887">
        <f t="shared" si="228"/>
        <v>0</v>
      </c>
      <c r="N524" s="887">
        <f t="shared" si="228"/>
        <v>0</v>
      </c>
      <c r="O524" s="887">
        <f t="shared" si="226"/>
        <v>0</v>
      </c>
      <c r="P524" s="887">
        <f t="shared" si="227"/>
        <v>0</v>
      </c>
      <c r="Q524" s="1323"/>
      <c r="R524" s="1323"/>
      <c r="S524" s="1323"/>
      <c r="T524" s="1323"/>
      <c r="U524" s="1323"/>
      <c r="V524" s="1323"/>
      <c r="W524" s="1323"/>
      <c r="X524" s="1323"/>
      <c r="Y524" s="1323"/>
      <c r="Z524" s="1323"/>
    </row>
    <row r="525" spans="1:26" ht="18.75" hidden="1">
      <c r="A525" s="1319"/>
      <c r="B525" s="1324"/>
      <c r="C525" s="1320"/>
      <c r="D525" s="1321"/>
      <c r="E525" s="1320" t="s">
        <v>186</v>
      </c>
      <c r="F525" s="1320"/>
      <c r="G525" s="1322"/>
      <c r="H525" s="165" t="s">
        <v>12</v>
      </c>
      <c r="I525" s="886"/>
      <c r="J525" s="886"/>
      <c r="K525" s="887"/>
      <c r="L525" s="887">
        <f t="shared" ca="1" si="228"/>
        <v>0</v>
      </c>
      <c r="M525" s="887">
        <f t="shared" si="228"/>
        <v>0</v>
      </c>
      <c r="N525" s="887">
        <f t="shared" si="228"/>
        <v>0</v>
      </c>
      <c r="O525" s="887">
        <f t="shared" ca="1" si="226"/>
        <v>0</v>
      </c>
      <c r="P525" s="887">
        <f t="shared" si="227"/>
        <v>0</v>
      </c>
      <c r="Q525" s="1323"/>
      <c r="R525" s="1323"/>
      <c r="S525" s="1323"/>
      <c r="T525" s="1323"/>
      <c r="U525" s="1323"/>
      <c r="V525" s="1323"/>
      <c r="W525" s="1323"/>
      <c r="X525" s="1323"/>
      <c r="Y525" s="1323"/>
      <c r="Z525" s="1323"/>
    </row>
    <row r="526" spans="1:26" ht="18.75" hidden="1">
      <c r="A526" s="1317"/>
      <c r="B526" s="1300"/>
      <c r="C526" s="1301"/>
      <c r="D526" s="1325" t="s">
        <v>20</v>
      </c>
      <c r="E526" s="1301"/>
      <c r="F526" s="1301"/>
      <c r="G526" s="1016"/>
      <c r="H526" s="161" t="s">
        <v>12</v>
      </c>
      <c r="I526" s="997"/>
      <c r="J526" s="997"/>
      <c r="K526" s="998"/>
      <c r="L526" s="881">
        <f t="shared" ref="L526:N526" ca="1" si="229">L527+L528</f>
        <v>0</v>
      </c>
      <c r="M526" s="881">
        <f t="shared" si="229"/>
        <v>0</v>
      </c>
      <c r="N526" s="881">
        <f t="shared" si="229"/>
        <v>0</v>
      </c>
      <c r="O526" s="881">
        <f t="shared" ca="1" si="226"/>
        <v>0</v>
      </c>
      <c r="P526" s="881">
        <f t="shared" si="227"/>
        <v>0</v>
      </c>
      <c r="Q526" s="1302"/>
      <c r="R526" s="1302"/>
      <c r="S526" s="1302"/>
      <c r="T526" s="1302"/>
      <c r="U526" s="1302"/>
      <c r="V526" s="1302"/>
      <c r="W526" s="1302"/>
      <c r="X526" s="1302"/>
      <c r="Y526" s="1302"/>
      <c r="Z526" s="1302"/>
    </row>
    <row r="527" spans="1:26" ht="18.75" hidden="1">
      <c r="A527" s="1319"/>
      <c r="B527" s="1324"/>
      <c r="C527" s="1320"/>
      <c r="D527" s="1321"/>
      <c r="E527" s="1320" t="s">
        <v>185</v>
      </c>
      <c r="F527" s="1320"/>
      <c r="G527" s="1322"/>
      <c r="H527" s="165" t="s">
        <v>12</v>
      </c>
      <c r="I527" s="886"/>
      <c r="J527" s="886"/>
      <c r="K527" s="887"/>
      <c r="L527" s="887">
        <v>0</v>
      </c>
      <c r="M527" s="887">
        <v>0</v>
      </c>
      <c r="N527" s="887">
        <v>0</v>
      </c>
      <c r="O527" s="887">
        <f t="shared" si="226"/>
        <v>0</v>
      </c>
      <c r="P527" s="887">
        <f t="shared" si="227"/>
        <v>0</v>
      </c>
      <c r="Q527" s="1323"/>
      <c r="R527" s="1323"/>
      <c r="S527" s="1323"/>
      <c r="T527" s="1323"/>
      <c r="U527" s="1323"/>
      <c r="V527" s="1323"/>
      <c r="W527" s="1323"/>
      <c r="X527" s="1323"/>
      <c r="Y527" s="1323"/>
      <c r="Z527" s="1323"/>
    </row>
    <row r="528" spans="1:26" ht="18.75" hidden="1">
      <c r="A528" s="1319"/>
      <c r="B528" s="1324"/>
      <c r="C528" s="1320"/>
      <c r="D528" s="1321"/>
      <c r="E528" s="1320" t="s">
        <v>186</v>
      </c>
      <c r="F528" s="1320"/>
      <c r="G528" s="1322"/>
      <c r="H528" s="165" t="s">
        <v>12</v>
      </c>
      <c r="I528" s="886"/>
      <c r="J528" s="886"/>
      <c r="K528" s="887"/>
      <c r="L528" s="887">
        <f ca="1">IFERROR(__xludf.DUMMYFUNCTION("IMPORTRANGE(""https://docs.google.com/spreadsheets/d/1QqKyyYR6Q21VydFLVH3TRQUabQu_ym0Zz7PgGX0-kHA/edit?usp=sharing"",""แผน!GQ79"")"),0)</f>
        <v>0</v>
      </c>
      <c r="M528" s="887">
        <v>0</v>
      </c>
      <c r="N528" s="887">
        <f>N529+N530+N531+N532</f>
        <v>0</v>
      </c>
      <c r="O528" s="887">
        <f t="shared" ca="1" si="226"/>
        <v>0</v>
      </c>
      <c r="P528" s="887">
        <f t="shared" si="227"/>
        <v>0</v>
      </c>
      <c r="Q528" s="1323"/>
      <c r="R528" s="1323"/>
      <c r="S528" s="1323"/>
      <c r="T528" s="1323"/>
      <c r="U528" s="1323"/>
      <c r="V528" s="1323"/>
      <c r="W528" s="1323"/>
      <c r="X528" s="1323"/>
      <c r="Y528" s="1323"/>
      <c r="Z528" s="1323"/>
    </row>
    <row r="529" spans="1:26" ht="18.75" hidden="1">
      <c r="A529" s="1299"/>
      <c r="B529" s="1300"/>
      <c r="C529" s="1301"/>
      <c r="D529" s="1301"/>
      <c r="E529" s="1301"/>
      <c r="F529" s="1301" t="s">
        <v>187</v>
      </c>
      <c r="G529" s="1016"/>
      <c r="H529" s="161" t="s">
        <v>12</v>
      </c>
      <c r="I529" s="880"/>
      <c r="J529" s="880"/>
      <c r="K529" s="881"/>
      <c r="L529" s="881"/>
      <c r="M529" s="881"/>
      <c r="N529" s="1085">
        <v>0</v>
      </c>
      <c r="O529" s="881"/>
      <c r="P529" s="881"/>
      <c r="Q529" s="1302"/>
      <c r="R529" s="1302"/>
      <c r="S529" s="1302"/>
      <c r="T529" s="1302"/>
      <c r="U529" s="1302"/>
      <c r="V529" s="1302"/>
      <c r="W529" s="1302"/>
      <c r="X529" s="1302"/>
      <c r="Y529" s="1302"/>
      <c r="Z529" s="1302"/>
    </row>
    <row r="530" spans="1:26" ht="18.75" hidden="1">
      <c r="A530" s="1299"/>
      <c r="B530" s="1300"/>
      <c r="C530" s="1301"/>
      <c r="D530" s="1301"/>
      <c r="E530" s="1301"/>
      <c r="F530" s="1301" t="s">
        <v>188</v>
      </c>
      <c r="G530" s="1016"/>
      <c r="H530" s="161" t="s">
        <v>12</v>
      </c>
      <c r="I530" s="880"/>
      <c r="J530" s="880"/>
      <c r="K530" s="881"/>
      <c r="L530" s="881"/>
      <c r="M530" s="881"/>
      <c r="N530" s="1085">
        <v>0</v>
      </c>
      <c r="O530" s="881"/>
      <c r="P530" s="881"/>
      <c r="Q530" s="1302"/>
      <c r="R530" s="1302"/>
      <c r="S530" s="1302"/>
      <c r="T530" s="1302"/>
      <c r="U530" s="1302"/>
      <c r="V530" s="1302"/>
      <c r="W530" s="1302"/>
      <c r="X530" s="1302"/>
      <c r="Y530" s="1302"/>
      <c r="Z530" s="1302"/>
    </row>
    <row r="531" spans="1:26" ht="18.75" hidden="1">
      <c r="A531" s="1299"/>
      <c r="B531" s="1300"/>
      <c r="C531" s="1301"/>
      <c r="D531" s="1301"/>
      <c r="E531" s="1301"/>
      <c r="F531" s="1301" t="s">
        <v>189</v>
      </c>
      <c r="G531" s="1016"/>
      <c r="H531" s="161" t="s">
        <v>12</v>
      </c>
      <c r="I531" s="880"/>
      <c r="J531" s="880"/>
      <c r="K531" s="881"/>
      <c r="L531" s="881"/>
      <c r="M531" s="881"/>
      <c r="N531" s="1085">
        <v>0</v>
      </c>
      <c r="O531" s="881"/>
      <c r="P531" s="881"/>
      <c r="Q531" s="1302"/>
      <c r="R531" s="1302"/>
      <c r="S531" s="1302"/>
      <c r="T531" s="1302"/>
      <c r="U531" s="1302"/>
      <c r="V531" s="1302"/>
      <c r="W531" s="1302"/>
      <c r="X531" s="1302"/>
      <c r="Y531" s="1302"/>
      <c r="Z531" s="1302"/>
    </row>
    <row r="532" spans="1:26" ht="18.75" hidden="1">
      <c r="A532" s="1299"/>
      <c r="B532" s="1300"/>
      <c r="C532" s="1301"/>
      <c r="D532" s="1301"/>
      <c r="E532" s="1301"/>
      <c r="F532" s="1301" t="s">
        <v>190</v>
      </c>
      <c r="G532" s="1016"/>
      <c r="H532" s="161" t="s">
        <v>12</v>
      </c>
      <c r="I532" s="880"/>
      <c r="J532" s="880"/>
      <c r="K532" s="881"/>
      <c r="L532" s="881"/>
      <c r="M532" s="881"/>
      <c r="N532" s="1085">
        <v>0</v>
      </c>
      <c r="O532" s="881"/>
      <c r="P532" s="881"/>
      <c r="Q532" s="1302"/>
      <c r="R532" s="1302"/>
      <c r="S532" s="1302"/>
      <c r="T532" s="1302"/>
      <c r="U532" s="1302"/>
      <c r="V532" s="1302"/>
      <c r="W532" s="1302"/>
      <c r="X532" s="1302"/>
      <c r="Y532" s="1302"/>
      <c r="Z532" s="1302"/>
    </row>
    <row r="533" spans="1:26" ht="18.75" hidden="1">
      <c r="A533" s="1317"/>
      <c r="B533" s="1300"/>
      <c r="C533" s="1301"/>
      <c r="D533" s="1325" t="s">
        <v>21</v>
      </c>
      <c r="E533" s="1301"/>
      <c r="F533" s="1301"/>
      <c r="G533" s="1016"/>
      <c r="H533" s="168" t="s">
        <v>12</v>
      </c>
      <c r="I533" s="997"/>
      <c r="J533" s="997"/>
      <c r="K533" s="998"/>
      <c r="L533" s="881">
        <f t="shared" ref="L533:N533" ca="1" si="230">L534+L535</f>
        <v>0</v>
      </c>
      <c r="M533" s="881">
        <f t="shared" si="230"/>
        <v>0</v>
      </c>
      <c r="N533" s="881">
        <f t="shared" si="230"/>
        <v>0</v>
      </c>
      <c r="O533" s="881">
        <f t="shared" ref="O533:O535" ca="1" si="231">IF(L533&gt;0,N533*100/L533,0)</f>
        <v>0</v>
      </c>
      <c r="P533" s="881">
        <f t="shared" ref="P533:P535" si="232">IF(M533&gt;0,N533*100/M533,0)</f>
        <v>0</v>
      </c>
      <c r="Q533" s="1302"/>
      <c r="R533" s="1302"/>
      <c r="S533" s="1302"/>
      <c r="T533" s="1302"/>
      <c r="U533" s="1302"/>
      <c r="V533" s="1302"/>
      <c r="W533" s="1302"/>
      <c r="X533" s="1302"/>
      <c r="Y533" s="1302"/>
      <c r="Z533" s="1302"/>
    </row>
    <row r="534" spans="1:26" ht="18.75" hidden="1">
      <c r="A534" s="1319"/>
      <c r="B534" s="1324"/>
      <c r="C534" s="1320"/>
      <c r="D534" s="1320"/>
      <c r="E534" s="1320" t="s">
        <v>18</v>
      </c>
      <c r="F534" s="1320"/>
      <c r="G534" s="1322"/>
      <c r="H534" s="165" t="s">
        <v>12</v>
      </c>
      <c r="I534" s="1000"/>
      <c r="J534" s="1000"/>
      <c r="K534" s="1001"/>
      <c r="L534" s="887">
        <v>0</v>
      </c>
      <c r="M534" s="887">
        <v>0</v>
      </c>
      <c r="N534" s="887">
        <v>0</v>
      </c>
      <c r="O534" s="887">
        <f t="shared" si="231"/>
        <v>0</v>
      </c>
      <c r="P534" s="887">
        <f t="shared" si="232"/>
        <v>0</v>
      </c>
      <c r="Q534" s="1323"/>
      <c r="R534" s="1323"/>
      <c r="S534" s="1323"/>
      <c r="T534" s="1323"/>
      <c r="U534" s="1323"/>
      <c r="V534" s="1323"/>
      <c r="W534" s="1323"/>
      <c r="X534" s="1323"/>
      <c r="Y534" s="1323"/>
      <c r="Z534" s="1323"/>
    </row>
    <row r="535" spans="1:26" ht="18.75" hidden="1">
      <c r="A535" s="1319"/>
      <c r="B535" s="1324"/>
      <c r="C535" s="1320"/>
      <c r="D535" s="1320"/>
      <c r="E535" s="1320" t="s">
        <v>19</v>
      </c>
      <c r="F535" s="1320"/>
      <c r="G535" s="1322"/>
      <c r="H535" s="169" t="s">
        <v>12</v>
      </c>
      <c r="I535" s="1000"/>
      <c r="J535" s="1000"/>
      <c r="K535" s="1001"/>
      <c r="L535" s="887">
        <f ca="1">IFERROR(__xludf.DUMMYFUNCTION("IMPORTRANGE(""https://docs.google.com/spreadsheets/d/1QqKyyYR6Q21VydFLVH3TRQUabQu_ym0Zz7PgGX0-kHA/edit?usp=sharing"",""แผน!GT79"")"),0)</f>
        <v>0</v>
      </c>
      <c r="M535" s="887">
        <v>0</v>
      </c>
      <c r="N535" s="887">
        <v>0</v>
      </c>
      <c r="O535" s="887">
        <f t="shared" ca="1" si="231"/>
        <v>0</v>
      </c>
      <c r="P535" s="887">
        <f t="shared" si="232"/>
        <v>0</v>
      </c>
      <c r="Q535" s="1323"/>
      <c r="R535" s="1323"/>
      <c r="S535" s="1323"/>
      <c r="T535" s="1323"/>
      <c r="U535" s="1323"/>
      <c r="V535" s="1323"/>
      <c r="W535" s="1323"/>
      <c r="X535" s="1323"/>
      <c r="Y535" s="1323"/>
      <c r="Z535" s="1323"/>
    </row>
    <row r="536" spans="1:26" ht="19.5" hidden="1">
      <c r="A536" s="1326"/>
      <c r="B536" s="1327"/>
      <c r="C536" s="1301" t="s">
        <v>16</v>
      </c>
      <c r="D536" s="1380" t="s">
        <v>38</v>
      </c>
      <c r="E536" s="1330"/>
      <c r="F536" s="1330"/>
      <c r="G536" s="1331"/>
      <c r="H536" s="1007"/>
      <c r="I536" s="997"/>
      <c r="J536" s="997"/>
      <c r="K536" s="998"/>
      <c r="L536" s="998"/>
      <c r="M536" s="998"/>
      <c r="N536" s="998"/>
      <c r="O536" s="998"/>
      <c r="P536" s="998"/>
      <c r="Q536" s="1302"/>
      <c r="R536" s="1302"/>
      <c r="S536" s="1302"/>
      <c r="T536" s="1302"/>
      <c r="U536" s="1302"/>
      <c r="V536" s="1302"/>
      <c r="W536" s="1302"/>
      <c r="X536" s="1302"/>
      <c r="Y536" s="1302"/>
      <c r="Z536" s="1302"/>
    </row>
    <row r="537" spans="1:26" ht="19.5" hidden="1">
      <c r="A537" s="1299"/>
      <c r="B537" s="1300"/>
      <c r="C537" s="1301"/>
      <c r="D537" s="1301" t="s">
        <v>228</v>
      </c>
      <c r="E537" s="1301"/>
      <c r="F537" s="1301"/>
      <c r="G537" s="1016"/>
      <c r="H537" s="622" t="s">
        <v>35</v>
      </c>
      <c r="I537" s="1019">
        <f ca="1">IFERROR(__xludf.DUMMYFUNCTION("IMPORTRANGE(""https://docs.google.com/spreadsheets/d/1QqKyyYR6Q21VydFLVH3TRQUabQu_ym0Zz7PgGX0-kHA/edit?usp=sharing"",""แผน!GU79"")"),0)</f>
        <v>0</v>
      </c>
      <c r="J537" s="1019">
        <f ca="1">IF(AND(J538=I538,J539=I539,J540=I540,J541=I541),I537,0)</f>
        <v>0</v>
      </c>
      <c r="K537" s="881">
        <f t="shared" ref="K537:K543" ca="1" si="233">IF(I537&gt;0,J537*100/I537,0)</f>
        <v>0</v>
      </c>
      <c r="L537" s="881"/>
      <c r="M537" s="881"/>
      <c r="N537" s="881"/>
      <c r="O537" s="881"/>
      <c r="P537" s="881"/>
      <c r="Q537" s="1381"/>
      <c r="R537" s="1381"/>
      <c r="S537" s="1381"/>
      <c r="T537" s="1381"/>
      <c r="U537" s="1381"/>
      <c r="V537" s="1381"/>
      <c r="W537" s="1381"/>
      <c r="X537" s="1381"/>
      <c r="Y537" s="1381"/>
      <c r="Z537" s="1381"/>
    </row>
    <row r="538" spans="1:26" ht="18.75" hidden="1">
      <c r="A538" s="1299"/>
      <c r="B538" s="1300"/>
      <c r="C538" s="1301"/>
      <c r="D538" s="1301"/>
      <c r="E538" s="1301" t="s">
        <v>229</v>
      </c>
      <c r="F538" s="1301"/>
      <c r="G538" s="1016"/>
      <c r="H538" s="622" t="s">
        <v>35</v>
      </c>
      <c r="I538" s="880">
        <f ca="1">IFERROR(__xludf.DUMMYFUNCTION("IMPORTRANGE(""https://docs.google.com/spreadsheets/d/1QqKyyYR6Q21VydFLVH3TRQUabQu_ym0Zz7PgGX0-kHA/edit?usp=sharing"",""แผน!GV79"")"),0)</f>
        <v>0</v>
      </c>
      <c r="J538" s="1012">
        <v>0</v>
      </c>
      <c r="K538" s="881">
        <f t="shared" ca="1" si="233"/>
        <v>0</v>
      </c>
      <c r="L538" s="881"/>
      <c r="M538" s="881"/>
      <c r="N538" s="881"/>
      <c r="O538" s="881"/>
      <c r="P538" s="881"/>
      <c r="Q538" s="1381"/>
      <c r="R538" s="1381"/>
      <c r="S538" s="1381"/>
      <c r="T538" s="1381"/>
      <c r="U538" s="1381"/>
      <c r="V538" s="1381"/>
      <c r="W538" s="1381"/>
      <c r="X538" s="1381"/>
      <c r="Y538" s="1381"/>
      <c r="Z538" s="1381"/>
    </row>
    <row r="539" spans="1:26" ht="18.75" hidden="1">
      <c r="A539" s="1299"/>
      <c r="B539" s="1300"/>
      <c r="C539" s="1301"/>
      <c r="D539" s="1301"/>
      <c r="E539" s="1301" t="s">
        <v>230</v>
      </c>
      <c r="F539" s="1301"/>
      <c r="G539" s="1016"/>
      <c r="H539" s="622" t="s">
        <v>35</v>
      </c>
      <c r="I539" s="880">
        <f ca="1">IFERROR(__xludf.DUMMYFUNCTION("IMPORTRANGE(""https://docs.google.com/spreadsheets/d/1QqKyyYR6Q21VydFLVH3TRQUabQu_ym0Zz7PgGX0-kHA/edit?usp=sharing"",""แผน!GW79"")"),0)</f>
        <v>0</v>
      </c>
      <c r="J539" s="1012">
        <v>0</v>
      </c>
      <c r="K539" s="881">
        <f t="shared" ca="1" si="233"/>
        <v>0</v>
      </c>
      <c r="L539" s="881"/>
      <c r="M539" s="881"/>
      <c r="N539" s="881"/>
      <c r="O539" s="881"/>
      <c r="P539" s="881"/>
      <c r="Q539" s="1381"/>
      <c r="R539" s="1381"/>
      <c r="S539" s="1381"/>
      <c r="T539" s="1381"/>
      <c r="U539" s="1381"/>
      <c r="V539" s="1381"/>
      <c r="W539" s="1381"/>
      <c r="X539" s="1381"/>
      <c r="Y539" s="1381"/>
      <c r="Z539" s="1381"/>
    </row>
    <row r="540" spans="1:26" ht="18.75" hidden="1">
      <c r="A540" s="1299"/>
      <c r="B540" s="1300"/>
      <c r="C540" s="1301"/>
      <c r="D540" s="1301"/>
      <c r="E540" s="1301" t="s">
        <v>231</v>
      </c>
      <c r="F540" s="1301"/>
      <c r="G540" s="1016"/>
      <c r="H540" s="622" t="s">
        <v>35</v>
      </c>
      <c r="I540" s="880">
        <f ca="1">IFERROR(__xludf.DUMMYFUNCTION("IMPORTRANGE(""https://docs.google.com/spreadsheets/d/1QqKyyYR6Q21VydFLVH3TRQUabQu_ym0Zz7PgGX0-kHA/edit?usp=sharing"",""แผน!GX79"")"),0)</f>
        <v>0</v>
      </c>
      <c r="J540" s="1012">
        <v>0</v>
      </c>
      <c r="K540" s="881">
        <f t="shared" ca="1" si="233"/>
        <v>0</v>
      </c>
      <c r="L540" s="881"/>
      <c r="M540" s="881"/>
      <c r="N540" s="881"/>
      <c r="O540" s="881"/>
      <c r="P540" s="881"/>
      <c r="Q540" s="1381"/>
      <c r="R540" s="1381"/>
      <c r="S540" s="1381"/>
      <c r="T540" s="1381"/>
      <c r="U540" s="1381"/>
      <c r="V540" s="1381"/>
      <c r="W540" s="1381"/>
      <c r="X540" s="1381"/>
      <c r="Y540" s="1381"/>
      <c r="Z540" s="1381"/>
    </row>
    <row r="541" spans="1:26" ht="18.75" hidden="1">
      <c r="A541" s="1299"/>
      <c r="B541" s="1300"/>
      <c r="C541" s="1301"/>
      <c r="D541" s="1301"/>
      <c r="E541" s="1382" t="s">
        <v>232</v>
      </c>
      <c r="F541" s="1301"/>
      <c r="G541" s="1016"/>
      <c r="H541" s="622" t="s">
        <v>35</v>
      </c>
      <c r="I541" s="880">
        <f ca="1">IFERROR(__xludf.DUMMYFUNCTION("IMPORTRANGE(""https://docs.google.com/spreadsheets/d/1QqKyyYR6Q21VydFLVH3TRQUabQu_ym0Zz7PgGX0-kHA/edit?usp=sharing"",""แผน!GY79"")"),0)</f>
        <v>0</v>
      </c>
      <c r="J541" s="1012">
        <v>0</v>
      </c>
      <c r="K541" s="881">
        <f t="shared" ca="1" si="233"/>
        <v>0</v>
      </c>
      <c r="L541" s="881"/>
      <c r="M541" s="881"/>
      <c r="N541" s="881"/>
      <c r="O541" s="881"/>
      <c r="P541" s="881"/>
      <c r="Q541" s="1381"/>
      <c r="R541" s="1381"/>
      <c r="S541" s="1381"/>
      <c r="T541" s="1381"/>
      <c r="U541" s="1381"/>
      <c r="V541" s="1381"/>
      <c r="W541" s="1381"/>
      <c r="X541" s="1381"/>
      <c r="Y541" s="1381"/>
      <c r="Z541" s="1381"/>
    </row>
    <row r="542" spans="1:26" ht="18.75" hidden="1">
      <c r="A542" s="1299"/>
      <c r="B542" s="1300"/>
      <c r="C542" s="1301"/>
      <c r="D542" s="1301" t="s">
        <v>59</v>
      </c>
      <c r="E542" s="1301"/>
      <c r="F542" s="1301"/>
      <c r="G542" s="1016"/>
      <c r="H542" s="622" t="s">
        <v>35</v>
      </c>
      <c r="I542" s="880">
        <f ca="1">IFERROR(__xludf.DUMMYFUNCTION("IMPORTRANGE(""https://docs.google.com/spreadsheets/d/1QqKyyYR6Q21VydFLVH3TRQUabQu_ym0Zz7PgGX0-kHA/edit?usp=sharing"",""แผน!GZ79"")"),0)</f>
        <v>0</v>
      </c>
      <c r="J542" s="1012">
        <v>0</v>
      </c>
      <c r="K542" s="881">
        <f t="shared" ca="1" si="233"/>
        <v>0</v>
      </c>
      <c r="L542" s="881"/>
      <c r="M542" s="881"/>
      <c r="N542" s="881"/>
      <c r="O542" s="881"/>
      <c r="P542" s="881"/>
      <c r="Q542" s="1381"/>
      <c r="R542" s="1381"/>
      <c r="S542" s="1381"/>
      <c r="T542" s="1381"/>
      <c r="U542" s="1381"/>
      <c r="V542" s="1381"/>
      <c r="W542" s="1381"/>
      <c r="X542" s="1381"/>
      <c r="Y542" s="1381"/>
      <c r="Z542" s="1381"/>
    </row>
    <row r="543" spans="1:26" ht="19.5">
      <c r="A543" s="662">
        <v>6</v>
      </c>
      <c r="B543" s="1383" t="s">
        <v>233</v>
      </c>
      <c r="C543" s="1369"/>
      <c r="D543" s="1369"/>
      <c r="E543" s="1369"/>
      <c r="F543" s="1369"/>
      <c r="G543" s="1370"/>
      <c r="H543" s="684" t="s">
        <v>46</v>
      </c>
      <c r="I543" s="1384">
        <f t="shared" ref="I543:J543" ca="1" si="234">I559</f>
        <v>5970</v>
      </c>
      <c r="J543" s="1384">
        <f t="shared" si="234"/>
        <v>5971</v>
      </c>
      <c r="K543" s="1385">
        <f t="shared" ca="1" si="233"/>
        <v>100.01675041876047</v>
      </c>
      <c r="L543" s="1372"/>
      <c r="M543" s="1372"/>
      <c r="N543" s="1372"/>
      <c r="O543" s="1372"/>
      <c r="P543" s="1372"/>
      <c r="Q543" s="1302"/>
      <c r="R543" s="1302"/>
      <c r="S543" s="1302"/>
      <c r="T543" s="1302"/>
      <c r="U543" s="1302"/>
      <c r="V543" s="1302"/>
      <c r="W543" s="1302"/>
      <c r="X543" s="1302"/>
      <c r="Y543" s="1302"/>
      <c r="Z543" s="1302"/>
    </row>
    <row r="544" spans="1:26" ht="19.5">
      <c r="A544" s="1386"/>
      <c r="B544" s="1387"/>
      <c r="C544" s="1387" t="s">
        <v>16</v>
      </c>
      <c r="D544" s="1388" t="s">
        <v>17</v>
      </c>
      <c r="E544" s="846"/>
      <c r="F544" s="846"/>
      <c r="G544" s="1389"/>
      <c r="H544" s="275" t="s">
        <v>12</v>
      </c>
      <c r="I544" s="990"/>
      <c r="J544" s="990"/>
      <c r="K544" s="991"/>
      <c r="L544" s="992">
        <f t="shared" ref="L544:N544" ca="1" si="235">L545+L546</f>
        <v>308096</v>
      </c>
      <c r="M544" s="992">
        <f t="shared" ca="1" si="235"/>
        <v>308096</v>
      </c>
      <c r="N544" s="992">
        <f t="shared" si="235"/>
        <v>148095</v>
      </c>
      <c r="O544" s="992">
        <f t="shared" ref="O544:O549" ca="1" si="236">IF(L544&gt;0,N544*100/L544,0)</f>
        <v>48.067810033236391</v>
      </c>
      <c r="P544" s="992">
        <f t="shared" ref="P544:P549" ca="1" si="237">IF(M544&gt;0,N544*100/M544,0)</f>
        <v>48.067810033236391</v>
      </c>
      <c r="Q544" s="1302"/>
      <c r="R544" s="1302"/>
      <c r="S544" s="1302"/>
      <c r="T544" s="1302"/>
      <c r="U544" s="1302"/>
      <c r="V544" s="1302"/>
      <c r="W544" s="1302"/>
      <c r="X544" s="1302"/>
      <c r="Y544" s="1302"/>
      <c r="Z544" s="1302"/>
    </row>
    <row r="545" spans="1:26" ht="18.75" hidden="1">
      <c r="A545" s="1319"/>
      <c r="B545" s="1320"/>
      <c r="C545" s="1320"/>
      <c r="D545" s="1320"/>
      <c r="E545" s="1320" t="s">
        <v>185</v>
      </c>
      <c r="F545" s="1320"/>
      <c r="G545" s="1322"/>
      <c r="H545" s="165" t="s">
        <v>12</v>
      </c>
      <c r="I545" s="886"/>
      <c r="J545" s="886"/>
      <c r="K545" s="887"/>
      <c r="L545" s="887">
        <f t="shared" ref="L545:L546" si="238">L548+L556</f>
        <v>0</v>
      </c>
      <c r="M545" s="887">
        <f t="shared" ref="M545:N546" si="239">M548+M555</f>
        <v>0</v>
      </c>
      <c r="N545" s="887">
        <f t="shared" si="239"/>
        <v>0</v>
      </c>
      <c r="O545" s="887">
        <f t="shared" si="236"/>
        <v>0</v>
      </c>
      <c r="P545" s="887">
        <f t="shared" si="237"/>
        <v>0</v>
      </c>
      <c r="Q545" s="1323"/>
      <c r="R545" s="1323"/>
      <c r="S545" s="1323"/>
      <c r="T545" s="1323"/>
      <c r="U545" s="1323"/>
      <c r="V545" s="1323"/>
      <c r="W545" s="1323"/>
      <c r="X545" s="1323"/>
      <c r="Y545" s="1323"/>
      <c r="Z545" s="1323"/>
    </row>
    <row r="546" spans="1:26" ht="18.75" hidden="1">
      <c r="A546" s="1319"/>
      <c r="B546" s="1324"/>
      <c r="C546" s="1320"/>
      <c r="D546" s="1320"/>
      <c r="E546" s="1320" t="s">
        <v>186</v>
      </c>
      <c r="F546" s="1320"/>
      <c r="G546" s="1322"/>
      <c r="H546" s="165" t="s">
        <v>12</v>
      </c>
      <c r="I546" s="886"/>
      <c r="J546" s="886"/>
      <c r="K546" s="887"/>
      <c r="L546" s="887">
        <f t="shared" ca="1" si="238"/>
        <v>308096</v>
      </c>
      <c r="M546" s="887">
        <f t="shared" ca="1" si="239"/>
        <v>308096</v>
      </c>
      <c r="N546" s="887">
        <f t="shared" si="239"/>
        <v>148095</v>
      </c>
      <c r="O546" s="887">
        <f t="shared" ca="1" si="236"/>
        <v>48.067810033236391</v>
      </c>
      <c r="P546" s="887">
        <f t="shared" ca="1" si="237"/>
        <v>48.067810033236391</v>
      </c>
      <c r="Q546" s="1323"/>
      <c r="R546" s="1323"/>
      <c r="S546" s="1323"/>
      <c r="T546" s="1323"/>
      <c r="U546" s="1323"/>
      <c r="V546" s="1323"/>
      <c r="W546" s="1323"/>
      <c r="X546" s="1323"/>
      <c r="Y546" s="1323"/>
      <c r="Z546" s="1323"/>
    </row>
    <row r="547" spans="1:26" ht="18.75">
      <c r="A547" s="1317"/>
      <c r="B547" s="1300"/>
      <c r="C547" s="1301"/>
      <c r="D547" s="1325" t="s">
        <v>20</v>
      </c>
      <c r="E547" s="1301"/>
      <c r="F547" s="1301"/>
      <c r="G547" s="1016"/>
      <c r="H547" s="161" t="s">
        <v>12</v>
      </c>
      <c r="I547" s="997"/>
      <c r="J547" s="997"/>
      <c r="K547" s="998"/>
      <c r="L547" s="881">
        <f t="shared" ref="L547:N547" ca="1" si="240">L548+L549</f>
        <v>308096</v>
      </c>
      <c r="M547" s="881">
        <f t="shared" ca="1" si="240"/>
        <v>308096</v>
      </c>
      <c r="N547" s="881">
        <f t="shared" si="240"/>
        <v>148095</v>
      </c>
      <c r="O547" s="881">
        <f t="shared" ca="1" si="236"/>
        <v>48.067810033236391</v>
      </c>
      <c r="P547" s="881">
        <f t="shared" ca="1" si="237"/>
        <v>48.067810033236391</v>
      </c>
      <c r="Q547" s="1302"/>
      <c r="R547" s="1302"/>
      <c r="S547" s="1302"/>
      <c r="T547" s="1302"/>
      <c r="U547" s="1302"/>
      <c r="V547" s="1302"/>
      <c r="W547" s="1302"/>
      <c r="X547" s="1302"/>
      <c r="Y547" s="1302"/>
      <c r="Z547" s="1302"/>
    </row>
    <row r="548" spans="1:26" ht="18.75" hidden="1">
      <c r="A548" s="1319"/>
      <c r="B548" s="1324"/>
      <c r="C548" s="1320"/>
      <c r="D548" s="1321"/>
      <c r="E548" s="1320" t="s">
        <v>185</v>
      </c>
      <c r="F548" s="1320"/>
      <c r="G548" s="1322"/>
      <c r="H548" s="165" t="s">
        <v>12</v>
      </c>
      <c r="I548" s="886"/>
      <c r="J548" s="886"/>
      <c r="K548" s="887"/>
      <c r="L548" s="887">
        <v>0</v>
      </c>
      <c r="M548" s="887">
        <v>0</v>
      </c>
      <c r="N548" s="887">
        <v>0</v>
      </c>
      <c r="O548" s="887">
        <f t="shared" si="236"/>
        <v>0</v>
      </c>
      <c r="P548" s="887">
        <f t="shared" si="237"/>
        <v>0</v>
      </c>
      <c r="Q548" s="1323"/>
      <c r="R548" s="1323"/>
      <c r="S548" s="1323"/>
      <c r="T548" s="1323"/>
      <c r="U548" s="1323"/>
      <c r="V548" s="1323"/>
      <c r="W548" s="1323"/>
      <c r="X548" s="1323"/>
      <c r="Y548" s="1323"/>
      <c r="Z548" s="1323"/>
    </row>
    <row r="549" spans="1:26" ht="18.75" hidden="1">
      <c r="A549" s="1319"/>
      <c r="B549" s="1324"/>
      <c r="C549" s="1320"/>
      <c r="D549" s="1321"/>
      <c r="E549" s="1320" t="s">
        <v>186</v>
      </c>
      <c r="F549" s="1320"/>
      <c r="G549" s="1322"/>
      <c r="H549" s="165" t="s">
        <v>12</v>
      </c>
      <c r="I549" s="886"/>
      <c r="J549" s="886"/>
      <c r="K549" s="887"/>
      <c r="L549" s="887">
        <f ca="1">IFERROR(__xludf.DUMMYFUNCTION("IMPORTRANGE(""https://docs.google.com/spreadsheets/d/1QqKyyYR6Q21VydFLVH3TRQUabQu_ym0Zz7PgGX0-kHA/edit?usp=sharing"",""แผน!HB79"")"),308096)</f>
        <v>308096</v>
      </c>
      <c r="M549" s="887">
        <f ca="1">L549</f>
        <v>308096</v>
      </c>
      <c r="N549" s="887">
        <f>N550+N551+N552+N553+N554</f>
        <v>148095</v>
      </c>
      <c r="O549" s="887">
        <f t="shared" ca="1" si="236"/>
        <v>48.067810033236391</v>
      </c>
      <c r="P549" s="887">
        <f t="shared" ca="1" si="237"/>
        <v>48.067810033236391</v>
      </c>
      <c r="Q549" s="1323"/>
      <c r="R549" s="1323"/>
      <c r="S549" s="1323"/>
      <c r="T549" s="1323"/>
      <c r="U549" s="1323"/>
      <c r="V549" s="1323"/>
      <c r="W549" s="1323"/>
      <c r="X549" s="1323"/>
      <c r="Y549" s="1323"/>
      <c r="Z549" s="1323"/>
    </row>
    <row r="550" spans="1:26" ht="18.75">
      <c r="A550" s="1299"/>
      <c r="B550" s="1300"/>
      <c r="C550" s="1301"/>
      <c r="D550" s="1301"/>
      <c r="E550" s="1301"/>
      <c r="F550" s="1301" t="s">
        <v>187</v>
      </c>
      <c r="G550" s="1016"/>
      <c r="H550" s="161" t="s">
        <v>12</v>
      </c>
      <c r="I550" s="880"/>
      <c r="J550" s="880"/>
      <c r="K550" s="881"/>
      <c r="L550" s="881"/>
      <c r="M550" s="881"/>
      <c r="N550" s="1085">
        <v>0</v>
      </c>
      <c r="O550" s="881"/>
      <c r="P550" s="881"/>
      <c r="Q550" s="1302"/>
      <c r="R550" s="1302"/>
      <c r="S550" s="1302"/>
      <c r="T550" s="1302"/>
      <c r="U550" s="1302"/>
      <c r="V550" s="1302"/>
      <c r="W550" s="1302"/>
      <c r="X550" s="1302"/>
      <c r="Y550" s="1302"/>
      <c r="Z550" s="1302"/>
    </row>
    <row r="551" spans="1:26" ht="18.75">
      <c r="A551" s="1299"/>
      <c r="B551" s="1300"/>
      <c r="C551" s="1300"/>
      <c r="D551" s="1300"/>
      <c r="E551" s="1301"/>
      <c r="F551" s="1301" t="s">
        <v>188</v>
      </c>
      <c r="G551" s="1016"/>
      <c r="H551" s="161" t="s">
        <v>12</v>
      </c>
      <c r="I551" s="880"/>
      <c r="J551" s="880"/>
      <c r="K551" s="881"/>
      <c r="L551" s="881"/>
      <c r="M551" s="881"/>
      <c r="N551" s="1085">
        <v>0</v>
      </c>
      <c r="O551" s="881"/>
      <c r="P551" s="881"/>
      <c r="Q551" s="1302"/>
      <c r="R551" s="1302"/>
      <c r="S551" s="1302"/>
      <c r="T551" s="1302"/>
      <c r="U551" s="1302"/>
      <c r="V551" s="1302"/>
      <c r="W551" s="1302"/>
      <c r="X551" s="1302"/>
      <c r="Y551" s="1302"/>
      <c r="Z551" s="1302"/>
    </row>
    <row r="552" spans="1:26" ht="18.75">
      <c r="A552" s="1299"/>
      <c r="B552" s="1300"/>
      <c r="C552" s="1301"/>
      <c r="D552" s="1301"/>
      <c r="E552" s="1301"/>
      <c r="F552" s="1301" t="s">
        <v>189</v>
      </c>
      <c r="G552" s="1016"/>
      <c r="H552" s="161" t="s">
        <v>12</v>
      </c>
      <c r="I552" s="880"/>
      <c r="J552" s="880"/>
      <c r="K552" s="881"/>
      <c r="L552" s="881"/>
      <c r="M552" s="881"/>
      <c r="N552" s="1085">
        <f>[1]ผลการเบิกจ่ายเงินกองทุน!F21</f>
        <v>51134</v>
      </c>
      <c r="O552" s="881"/>
      <c r="P552" s="881"/>
      <c r="Q552" s="1302"/>
      <c r="R552" s="1302"/>
      <c r="S552" s="1302"/>
      <c r="T552" s="1302"/>
      <c r="U552" s="1302"/>
      <c r="V552" s="1302"/>
      <c r="W552" s="1302"/>
      <c r="X552" s="1302"/>
      <c r="Y552" s="1302"/>
      <c r="Z552" s="1302"/>
    </row>
    <row r="553" spans="1:26" ht="18.75">
      <c r="A553" s="1299"/>
      <c r="B553" s="1300"/>
      <c r="C553" s="1300"/>
      <c r="D553" s="1300"/>
      <c r="E553" s="1301"/>
      <c r="F553" s="1301" t="s">
        <v>190</v>
      </c>
      <c r="G553" s="1016"/>
      <c r="H553" s="161" t="s">
        <v>12</v>
      </c>
      <c r="I553" s="880"/>
      <c r="J553" s="880"/>
      <c r="K553" s="881"/>
      <c r="L553" s="881"/>
      <c r="M553" s="881"/>
      <c r="N553" s="1085">
        <f>[1]ผลการเบิกจ่ายเงินกองทุน!F20+[1]ผลการเบิกจ่ายเงินกองทุน!F22+[1]ผลการเบิกจ่ายเงินกองทุน!F24+[1]ผลการเบิกจ่ายเงินกองทุน!F25+[1]ผลการเบิกจ่ายเงินกองทุน!F26+[1]ผลการเบิกจ่ายเงินกองทุน!F27+[1]ผลการเบิกจ่ายเงินกองทุน!F28+[1]ผลการเบิกจ่ายเงินกองทุน!F29+[1]ผลการเบิกจ่ายเงินกองทุน!F30+[1]ผลการเบิกจ่ายเงินกองทุน!F31</f>
        <v>96961</v>
      </c>
      <c r="O553" s="881"/>
      <c r="P553" s="881"/>
      <c r="Q553" s="1302"/>
      <c r="R553" s="1302"/>
      <c r="S553" s="1302"/>
      <c r="T553" s="1302"/>
      <c r="U553" s="1302"/>
      <c r="V553" s="1302"/>
      <c r="W553" s="1302"/>
      <c r="X553" s="1302"/>
      <c r="Y553" s="1302"/>
      <c r="Z553" s="1302"/>
    </row>
    <row r="554" spans="1:26" ht="18.75">
      <c r="A554" s="1299"/>
      <c r="B554" s="1300"/>
      <c r="C554" s="1300"/>
      <c r="D554" s="1300"/>
      <c r="E554" s="1301"/>
      <c r="F554" s="1301" t="s">
        <v>234</v>
      </c>
      <c r="G554" s="1016"/>
      <c r="H554" s="161" t="s">
        <v>12</v>
      </c>
      <c r="I554" s="880"/>
      <c r="J554" s="880"/>
      <c r="K554" s="881"/>
      <c r="L554" s="881"/>
      <c r="M554" s="881"/>
      <c r="N554" s="1085">
        <v>0</v>
      </c>
      <c r="O554" s="881"/>
      <c r="P554" s="881"/>
      <c r="Q554" s="1302"/>
      <c r="R554" s="1302"/>
      <c r="S554" s="1302"/>
      <c r="T554" s="1302"/>
      <c r="U554" s="1302"/>
      <c r="V554" s="1302"/>
      <c r="W554" s="1302"/>
      <c r="X554" s="1302"/>
      <c r="Y554" s="1302"/>
      <c r="Z554" s="1302"/>
    </row>
    <row r="555" spans="1:26" ht="18.75">
      <c r="A555" s="1317"/>
      <c r="B555" s="1300"/>
      <c r="C555" s="1300"/>
      <c r="D555" s="1325" t="s">
        <v>21</v>
      </c>
      <c r="E555" s="1301"/>
      <c r="F555" s="1301"/>
      <c r="G555" s="1016"/>
      <c r="H555" s="168" t="s">
        <v>12</v>
      </c>
      <c r="I555" s="997"/>
      <c r="J555" s="997"/>
      <c r="K555" s="998"/>
      <c r="L555" s="881">
        <f t="shared" ref="L555:N555" ca="1" si="241">L556+L557</f>
        <v>0</v>
      </c>
      <c r="M555" s="881">
        <f t="shared" si="241"/>
        <v>0</v>
      </c>
      <c r="N555" s="881">
        <f t="shared" si="241"/>
        <v>0</v>
      </c>
      <c r="O555" s="881">
        <f t="shared" ref="O555:O557" ca="1" si="242">IF(L555&gt;0,N555*100/L555,0)</f>
        <v>0</v>
      </c>
      <c r="P555" s="881">
        <f t="shared" ref="P555:P557" si="243">IF(M555&gt;0,N555*100/M555,0)</f>
        <v>0</v>
      </c>
      <c r="Q555" s="1302"/>
      <c r="R555" s="1302"/>
      <c r="S555" s="1302"/>
      <c r="T555" s="1302"/>
      <c r="U555" s="1302"/>
      <c r="V555" s="1302"/>
      <c r="W555" s="1302"/>
      <c r="X555" s="1302"/>
      <c r="Y555" s="1302"/>
      <c r="Z555" s="1302"/>
    </row>
    <row r="556" spans="1:26" ht="18.75" hidden="1">
      <c r="A556" s="1319"/>
      <c r="B556" s="1324"/>
      <c r="C556" s="1324"/>
      <c r="D556" s="1320"/>
      <c r="E556" s="1320" t="s">
        <v>18</v>
      </c>
      <c r="F556" s="1320"/>
      <c r="G556" s="1322"/>
      <c r="H556" s="165" t="s">
        <v>12</v>
      </c>
      <c r="I556" s="1000"/>
      <c r="J556" s="1000"/>
      <c r="K556" s="1001"/>
      <c r="L556" s="887">
        <v>0</v>
      </c>
      <c r="M556" s="887">
        <v>0</v>
      </c>
      <c r="N556" s="887">
        <v>0</v>
      </c>
      <c r="O556" s="887">
        <f t="shared" si="242"/>
        <v>0</v>
      </c>
      <c r="P556" s="887">
        <f t="shared" si="243"/>
        <v>0</v>
      </c>
      <c r="Q556" s="1323"/>
      <c r="R556" s="1323"/>
      <c r="S556" s="1323"/>
      <c r="T556" s="1323"/>
      <c r="U556" s="1323"/>
      <c r="V556" s="1323"/>
      <c r="W556" s="1323"/>
      <c r="X556" s="1323"/>
      <c r="Y556" s="1323"/>
      <c r="Z556" s="1323"/>
    </row>
    <row r="557" spans="1:26" ht="18.75" hidden="1">
      <c r="A557" s="1319"/>
      <c r="B557" s="1324"/>
      <c r="C557" s="1324"/>
      <c r="D557" s="1320"/>
      <c r="E557" s="1320" t="s">
        <v>19</v>
      </c>
      <c r="F557" s="1320"/>
      <c r="G557" s="1322"/>
      <c r="H557" s="169" t="s">
        <v>12</v>
      </c>
      <c r="I557" s="1000"/>
      <c r="J557" s="1000"/>
      <c r="K557" s="1001"/>
      <c r="L557" s="887">
        <f ca="1">IFERROR(__xludf.DUMMYFUNCTION("IMPORTRANGE(""https://docs.google.com/spreadsheets/d/1QqKyyYR6Q21VydFLVH3TRQUabQu_ym0Zz7PgGX0-kHA/edit?usp=sharing"",""แผน!HF79"")"),0)</f>
        <v>0</v>
      </c>
      <c r="M557" s="887">
        <v>0</v>
      </c>
      <c r="N557" s="887">
        <v>0</v>
      </c>
      <c r="O557" s="887">
        <f t="shared" ca="1" si="242"/>
        <v>0</v>
      </c>
      <c r="P557" s="887">
        <f t="shared" si="243"/>
        <v>0</v>
      </c>
      <c r="Q557" s="1323"/>
      <c r="R557" s="1323"/>
      <c r="S557" s="1323"/>
      <c r="T557" s="1323"/>
      <c r="U557" s="1323"/>
      <c r="V557" s="1323"/>
      <c r="W557" s="1323"/>
      <c r="X557" s="1323"/>
      <c r="Y557" s="1323"/>
      <c r="Z557" s="1323"/>
    </row>
    <row r="558" spans="1:26" ht="19.5">
      <c r="A558" s="1326"/>
      <c r="B558" s="1327"/>
      <c r="C558" s="1300" t="s">
        <v>16</v>
      </c>
      <c r="D558" s="1380" t="s">
        <v>38</v>
      </c>
      <c r="E558" s="1330"/>
      <c r="F558" s="1330"/>
      <c r="G558" s="1331"/>
      <c r="H558" s="1007"/>
      <c r="I558" s="997"/>
      <c r="J558" s="997"/>
      <c r="K558" s="998"/>
      <c r="L558" s="998"/>
      <c r="M558" s="998"/>
      <c r="N558" s="998"/>
      <c r="O558" s="998"/>
      <c r="P558" s="998"/>
      <c r="Q558" s="1302"/>
      <c r="R558" s="1302"/>
      <c r="S558" s="1302"/>
      <c r="T558" s="1302"/>
      <c r="U558" s="1302"/>
      <c r="V558" s="1302"/>
      <c r="W558" s="1302"/>
      <c r="X558" s="1302"/>
      <c r="Y558" s="1302"/>
      <c r="Z558" s="1302"/>
    </row>
    <row r="559" spans="1:26" ht="19.5">
      <c r="A559" s="1390"/>
      <c r="B559" s="1391" t="s">
        <v>235</v>
      </c>
      <c r="C559" s="1392"/>
      <c r="D559" s="1392"/>
      <c r="E559" s="1375"/>
      <c r="F559" s="1375"/>
      <c r="G559" s="1376"/>
      <c r="H559" s="693" t="s">
        <v>46</v>
      </c>
      <c r="I559" s="1377">
        <f t="shared" ref="I559:J559" ca="1" si="244">I576</f>
        <v>5970</v>
      </c>
      <c r="J559" s="1377">
        <f t="shared" si="244"/>
        <v>5971</v>
      </c>
      <c r="K559" s="1378">
        <f t="shared" ref="K559:K561" ca="1" si="245">IF(I559&gt;0,J559*100/I559,0)</f>
        <v>100.01675041876047</v>
      </c>
      <c r="L559" s="1379"/>
      <c r="M559" s="1379"/>
      <c r="N559" s="1379"/>
      <c r="O559" s="1379"/>
      <c r="P559" s="1379"/>
      <c r="Q559" s="1302"/>
      <c r="R559" s="1302"/>
      <c r="S559" s="1302"/>
      <c r="T559" s="1302"/>
      <c r="U559" s="1302"/>
      <c r="V559" s="1302"/>
      <c r="W559" s="1302"/>
      <c r="X559" s="1302"/>
      <c r="Y559" s="1302"/>
      <c r="Z559" s="1302"/>
    </row>
    <row r="560" spans="1:26" ht="19.5">
      <c r="A560" s="1326"/>
      <c r="B560" s="1327"/>
      <c r="C560" s="1336" t="s">
        <v>236</v>
      </c>
      <c r="D560" s="1327"/>
      <c r="E560" s="1014"/>
      <c r="F560" s="1014"/>
      <c r="G560" s="1007"/>
      <c r="H560" s="765" t="s">
        <v>46</v>
      </c>
      <c r="I560" s="1018">
        <f ca="1">IFERROR(__xludf.DUMMYFUNCTION("IMPORTRANGE(""https://docs.google.com/spreadsheets/d/1QqKyyYR6Q21VydFLVH3TRQUabQu_ym0Zz7PgGX0-kHA/edit?usp=sharing"",""แผน!HH79"")"),5970)</f>
        <v>5970</v>
      </c>
      <c r="J560" s="1018">
        <f t="shared" ref="J560:J561" si="246">J562+J564+J566</f>
        <v>5971</v>
      </c>
      <c r="K560" s="1162">
        <f t="shared" ca="1" si="245"/>
        <v>100.01675041876047</v>
      </c>
      <c r="L560" s="998"/>
      <c r="M560" s="998"/>
      <c r="N560" s="998"/>
      <c r="O560" s="998"/>
      <c r="P560" s="998"/>
      <c r="Q560" s="1302"/>
      <c r="R560" s="1302"/>
      <c r="S560" s="1302"/>
      <c r="T560" s="1302"/>
      <c r="U560" s="1302"/>
      <c r="V560" s="1302"/>
      <c r="W560" s="1302"/>
      <c r="X560" s="1302"/>
      <c r="Y560" s="1302"/>
      <c r="Z560" s="1302"/>
    </row>
    <row r="561" spans="1:26" ht="19.5">
      <c r="A561" s="1326"/>
      <c r="B561" s="1327"/>
      <c r="C561" s="1327"/>
      <c r="D561" s="1014"/>
      <c r="E561" s="1014"/>
      <c r="F561" s="1014"/>
      <c r="G561" s="1007"/>
      <c r="H561" s="765" t="s">
        <v>34</v>
      </c>
      <c r="I561" s="1018">
        <f ca="1">IFERROR(__xludf.DUMMYFUNCTION("IMPORTRANGE(""https://docs.google.com/spreadsheets/d/1QqKyyYR6Q21VydFLVH3TRQUabQu_ym0Zz7PgGX0-kHA/edit?usp=sharing"",""แผน!HG79"")"),965)</f>
        <v>965</v>
      </c>
      <c r="J561" s="1018">
        <f t="shared" si="246"/>
        <v>965</v>
      </c>
      <c r="K561" s="1162">
        <f t="shared" ca="1" si="245"/>
        <v>100</v>
      </c>
      <c r="L561" s="998"/>
      <c r="M561" s="998"/>
      <c r="N561" s="998"/>
      <c r="O561" s="998"/>
      <c r="P561" s="998"/>
      <c r="Q561" s="1302"/>
      <c r="R561" s="1302"/>
      <c r="S561" s="1302"/>
      <c r="T561" s="1302"/>
      <c r="U561" s="1302"/>
      <c r="V561" s="1302"/>
      <c r="W561" s="1302"/>
      <c r="X561" s="1302"/>
      <c r="Y561" s="1302"/>
      <c r="Z561" s="1302"/>
    </row>
    <row r="562" spans="1:26" ht="18.75">
      <c r="A562" s="1326"/>
      <c r="B562" s="1327"/>
      <c r="C562" s="1327"/>
      <c r="D562" s="1014" t="s">
        <v>237</v>
      </c>
      <c r="E562" s="1014"/>
      <c r="F562" s="1014"/>
      <c r="G562" s="1007"/>
      <c r="H562" s="762" t="s">
        <v>46</v>
      </c>
      <c r="I562" s="997"/>
      <c r="J562" s="1012">
        <v>5503</v>
      </c>
      <c r="K562" s="998"/>
      <c r="L562" s="998"/>
      <c r="M562" s="998"/>
      <c r="N562" s="998"/>
      <c r="O562" s="998"/>
      <c r="P562" s="998"/>
      <c r="Q562" s="1302"/>
      <c r="R562" s="1302"/>
      <c r="S562" s="1302"/>
      <c r="T562" s="1302"/>
      <c r="U562" s="1302"/>
      <c r="V562" s="1302"/>
      <c r="W562" s="1302"/>
      <c r="X562" s="1302"/>
      <c r="Y562" s="1302"/>
      <c r="Z562" s="1302"/>
    </row>
    <row r="563" spans="1:26" ht="18.75">
      <c r="A563" s="1326"/>
      <c r="B563" s="1327"/>
      <c r="C563" s="1327"/>
      <c r="D563" s="1327"/>
      <c r="E563" s="1014"/>
      <c r="F563" s="1014"/>
      <c r="G563" s="1007"/>
      <c r="H563" s="762" t="s">
        <v>34</v>
      </c>
      <c r="I563" s="997"/>
      <c r="J563" s="1012">
        <v>889</v>
      </c>
      <c r="K563" s="998"/>
      <c r="L563" s="998"/>
      <c r="M563" s="998"/>
      <c r="N563" s="998"/>
      <c r="O563" s="998"/>
      <c r="P563" s="998"/>
      <c r="Q563" s="1302"/>
      <c r="R563" s="1302"/>
      <c r="S563" s="1302"/>
      <c r="T563" s="1302"/>
      <c r="U563" s="1302"/>
      <c r="V563" s="1302"/>
      <c r="W563" s="1302"/>
      <c r="X563" s="1302"/>
      <c r="Y563" s="1302"/>
      <c r="Z563" s="1302"/>
    </row>
    <row r="564" spans="1:26" ht="18.75">
      <c r="A564" s="1326"/>
      <c r="B564" s="1327"/>
      <c r="C564" s="1327"/>
      <c r="D564" s="1014" t="s">
        <v>238</v>
      </c>
      <c r="E564" s="1014"/>
      <c r="F564" s="1014"/>
      <c r="G564" s="1007"/>
      <c r="H564" s="762" t="s">
        <v>46</v>
      </c>
      <c r="I564" s="997"/>
      <c r="J564" s="1012">
        <v>0</v>
      </c>
      <c r="K564" s="998"/>
      <c r="L564" s="998"/>
      <c r="M564" s="998"/>
      <c r="N564" s="998"/>
      <c r="O564" s="998"/>
      <c r="P564" s="998"/>
      <c r="Q564" s="1302"/>
      <c r="R564" s="1302"/>
      <c r="S564" s="1302"/>
      <c r="T564" s="1302"/>
      <c r="U564" s="1302"/>
      <c r="V564" s="1302"/>
      <c r="W564" s="1302"/>
      <c r="X564" s="1302"/>
      <c r="Y564" s="1302"/>
      <c r="Z564" s="1302"/>
    </row>
    <row r="565" spans="1:26" ht="18.75">
      <c r="A565" s="1326"/>
      <c r="B565" s="1327"/>
      <c r="C565" s="1327"/>
      <c r="D565" s="1014"/>
      <c r="E565" s="1014"/>
      <c r="F565" s="1014"/>
      <c r="G565" s="1007"/>
      <c r="H565" s="762" t="s">
        <v>34</v>
      </c>
      <c r="I565" s="997"/>
      <c r="J565" s="1012">
        <v>0</v>
      </c>
      <c r="K565" s="998"/>
      <c r="L565" s="998"/>
      <c r="M565" s="998"/>
      <c r="N565" s="998"/>
      <c r="O565" s="998"/>
      <c r="P565" s="998"/>
      <c r="Q565" s="1302"/>
      <c r="R565" s="1302"/>
      <c r="S565" s="1302"/>
      <c r="T565" s="1302"/>
      <c r="U565" s="1302"/>
      <c r="V565" s="1302"/>
      <c r="W565" s="1302"/>
      <c r="X565" s="1302"/>
      <c r="Y565" s="1302"/>
      <c r="Z565" s="1302"/>
    </row>
    <row r="566" spans="1:26" ht="18.75">
      <c r="A566" s="1326"/>
      <c r="B566" s="1327"/>
      <c r="C566" s="1327"/>
      <c r="D566" s="1014" t="s">
        <v>239</v>
      </c>
      <c r="E566" s="1014"/>
      <c r="F566" s="1014"/>
      <c r="G566" s="1007"/>
      <c r="H566" s="762" t="s">
        <v>46</v>
      </c>
      <c r="I566" s="997"/>
      <c r="J566" s="1012">
        <v>468</v>
      </c>
      <c r="K566" s="998"/>
      <c r="L566" s="998"/>
      <c r="M566" s="998"/>
      <c r="N566" s="998"/>
      <c r="O566" s="998"/>
      <c r="P566" s="998"/>
      <c r="Q566" s="1302"/>
      <c r="R566" s="1302"/>
      <c r="S566" s="1302"/>
      <c r="T566" s="1302"/>
      <c r="U566" s="1302"/>
      <c r="V566" s="1302"/>
      <c r="W566" s="1302"/>
      <c r="X566" s="1302"/>
      <c r="Y566" s="1302"/>
      <c r="Z566" s="1302"/>
    </row>
    <row r="567" spans="1:26" ht="18.75">
      <c r="A567" s="1326"/>
      <c r="B567" s="1327"/>
      <c r="C567" s="1327"/>
      <c r="D567" s="1014"/>
      <c r="E567" s="1014"/>
      <c r="F567" s="1014"/>
      <c r="G567" s="1007"/>
      <c r="H567" s="762" t="s">
        <v>34</v>
      </c>
      <c r="I567" s="997"/>
      <c r="J567" s="1012">
        <v>76</v>
      </c>
      <c r="K567" s="998"/>
      <c r="L567" s="998"/>
      <c r="M567" s="998"/>
      <c r="N567" s="998"/>
      <c r="O567" s="998"/>
      <c r="P567" s="998"/>
      <c r="Q567" s="1302"/>
      <c r="R567" s="1302"/>
      <c r="S567" s="1302"/>
      <c r="T567" s="1302"/>
      <c r="U567" s="1302"/>
      <c r="V567" s="1302"/>
      <c r="W567" s="1302"/>
      <c r="X567" s="1302"/>
      <c r="Y567" s="1302"/>
      <c r="Z567" s="1302"/>
    </row>
    <row r="568" spans="1:26" ht="19.5">
      <c r="A568" s="1326"/>
      <c r="B568" s="1327"/>
      <c r="C568" s="1336" t="s">
        <v>240</v>
      </c>
      <c r="D568" s="1014"/>
      <c r="E568" s="1014"/>
      <c r="F568" s="1014"/>
      <c r="G568" s="1007"/>
      <c r="H568" s="765" t="s">
        <v>46</v>
      </c>
      <c r="I568" s="1018">
        <f ca="1">IFERROR(__xludf.DUMMYFUNCTION("IMPORTRANGE(""https://docs.google.com/spreadsheets/d/1QqKyyYR6Q21VydFLVH3TRQUabQu_ym0Zz7PgGX0-kHA/edit?usp=sharing"",""แผน!HH79"")"),5970)</f>
        <v>5970</v>
      </c>
      <c r="J568" s="1019">
        <f t="shared" ref="J568:J569" si="247">J570+J572+J574</f>
        <v>5971</v>
      </c>
      <c r="K568" s="1162">
        <f t="shared" ref="K568:K569" ca="1" si="248">IF(I568&gt;0,J568*100/I568,0)</f>
        <v>100.01675041876047</v>
      </c>
      <c r="L568" s="998"/>
      <c r="M568" s="998"/>
      <c r="N568" s="998"/>
      <c r="O568" s="998"/>
      <c r="P568" s="998"/>
      <c r="Q568" s="1302"/>
      <c r="R568" s="1302"/>
      <c r="S568" s="1302"/>
      <c r="T568" s="1302"/>
      <c r="U568" s="1302"/>
      <c r="V568" s="1302"/>
      <c r="W568" s="1302"/>
      <c r="X568" s="1302"/>
      <c r="Y568" s="1302"/>
      <c r="Z568" s="1302"/>
    </row>
    <row r="569" spans="1:26" ht="19.5">
      <c r="A569" s="1326"/>
      <c r="B569" s="1327"/>
      <c r="C569" s="1327"/>
      <c r="D569" s="1327"/>
      <c r="E569" s="1014"/>
      <c r="F569" s="1014"/>
      <c r="G569" s="1007"/>
      <c r="H569" s="765" t="s">
        <v>34</v>
      </c>
      <c r="I569" s="1018">
        <f ca="1">IFERROR(__xludf.DUMMYFUNCTION("IMPORTRANGE(""https://docs.google.com/spreadsheets/d/1QqKyyYR6Q21VydFLVH3TRQUabQu_ym0Zz7PgGX0-kHA/edit?usp=sharing"",""แผน!HG79"")"),965)</f>
        <v>965</v>
      </c>
      <c r="J569" s="1019">
        <f t="shared" si="247"/>
        <v>965</v>
      </c>
      <c r="K569" s="1162">
        <f t="shared" ca="1" si="248"/>
        <v>100</v>
      </c>
      <c r="L569" s="998"/>
      <c r="M569" s="998"/>
      <c r="N569" s="998"/>
      <c r="O569" s="998"/>
      <c r="P569" s="998"/>
      <c r="Q569" s="1302"/>
      <c r="R569" s="1302"/>
      <c r="S569" s="1302"/>
      <c r="T569" s="1302"/>
      <c r="U569" s="1302"/>
      <c r="V569" s="1302"/>
      <c r="W569" s="1302"/>
      <c r="X569" s="1302"/>
      <c r="Y569" s="1302"/>
      <c r="Z569" s="1302"/>
    </row>
    <row r="570" spans="1:26" ht="18.75">
      <c r="A570" s="1326"/>
      <c r="B570" s="1327"/>
      <c r="C570" s="1327"/>
      <c r="D570" s="1014" t="s">
        <v>241</v>
      </c>
      <c r="E570" s="1327"/>
      <c r="F570" s="1014"/>
      <c r="G570" s="1007"/>
      <c r="H570" s="762" t="s">
        <v>46</v>
      </c>
      <c r="I570" s="997"/>
      <c r="J570" s="1012">
        <v>5503</v>
      </c>
      <c r="K570" s="998"/>
      <c r="L570" s="998"/>
      <c r="M570" s="998"/>
      <c r="N570" s="998"/>
      <c r="O570" s="998"/>
      <c r="P570" s="998"/>
      <c r="Q570" s="1302"/>
      <c r="R570" s="1302"/>
      <c r="S570" s="1302"/>
      <c r="T570" s="1302"/>
      <c r="U570" s="1302"/>
      <c r="V570" s="1302"/>
      <c r="W570" s="1302"/>
      <c r="X570" s="1302"/>
      <c r="Y570" s="1302"/>
      <c r="Z570" s="1302"/>
    </row>
    <row r="571" spans="1:26" ht="18.75">
      <c r="A571" s="1326"/>
      <c r="B571" s="1327"/>
      <c r="C571" s="1327"/>
      <c r="D571" s="1327"/>
      <c r="E571" s="1014"/>
      <c r="F571" s="1014"/>
      <c r="G571" s="1007"/>
      <c r="H571" s="762" t="s">
        <v>34</v>
      </c>
      <c r="I571" s="997"/>
      <c r="J571" s="1012">
        <v>889</v>
      </c>
      <c r="K571" s="998"/>
      <c r="L571" s="998"/>
      <c r="M571" s="998"/>
      <c r="N571" s="998"/>
      <c r="O571" s="998"/>
      <c r="P571" s="998"/>
      <c r="Q571" s="1302"/>
      <c r="R571" s="1302"/>
      <c r="S571" s="1302"/>
      <c r="T571" s="1302"/>
      <c r="U571" s="1302"/>
      <c r="V571" s="1302"/>
      <c r="W571" s="1302"/>
      <c r="X571" s="1302"/>
      <c r="Y571" s="1302"/>
      <c r="Z571" s="1302"/>
    </row>
    <row r="572" spans="1:26" ht="18.75">
      <c r="A572" s="1326"/>
      <c r="B572" s="1327"/>
      <c r="C572" s="1327"/>
      <c r="D572" s="1014" t="s">
        <v>242</v>
      </c>
      <c r="E572" s="1014"/>
      <c r="F572" s="1014"/>
      <c r="G572" s="1007"/>
      <c r="H572" s="762" t="s">
        <v>46</v>
      </c>
      <c r="I572" s="997"/>
      <c r="J572" s="1012">
        <v>0</v>
      </c>
      <c r="K572" s="998"/>
      <c r="L572" s="998"/>
      <c r="M572" s="998"/>
      <c r="N572" s="998"/>
      <c r="O572" s="998"/>
      <c r="P572" s="998"/>
      <c r="Q572" s="1302"/>
      <c r="R572" s="1302"/>
      <c r="S572" s="1302"/>
      <c r="T572" s="1302"/>
      <c r="U572" s="1302"/>
      <c r="V572" s="1302"/>
      <c r="W572" s="1302"/>
      <c r="X572" s="1302"/>
      <c r="Y572" s="1302"/>
      <c r="Z572" s="1302"/>
    </row>
    <row r="573" spans="1:26" ht="18.75">
      <c r="A573" s="1326"/>
      <c r="B573" s="1327"/>
      <c r="C573" s="1327"/>
      <c r="D573" s="1014"/>
      <c r="E573" s="1014"/>
      <c r="F573" s="1014"/>
      <c r="G573" s="1007"/>
      <c r="H573" s="762" t="s">
        <v>34</v>
      </c>
      <c r="I573" s="997"/>
      <c r="J573" s="1012">
        <v>0</v>
      </c>
      <c r="K573" s="998"/>
      <c r="L573" s="998"/>
      <c r="M573" s="998"/>
      <c r="N573" s="998"/>
      <c r="O573" s="998"/>
      <c r="P573" s="998"/>
      <c r="Q573" s="1302"/>
      <c r="R573" s="1302"/>
      <c r="S573" s="1302"/>
      <c r="T573" s="1302"/>
      <c r="U573" s="1302"/>
      <c r="V573" s="1302"/>
      <c r="W573" s="1302"/>
      <c r="X573" s="1302"/>
      <c r="Y573" s="1302"/>
      <c r="Z573" s="1302"/>
    </row>
    <row r="574" spans="1:26" ht="18.75">
      <c r="A574" s="1326"/>
      <c r="B574" s="1327"/>
      <c r="C574" s="1327"/>
      <c r="D574" s="1014" t="s">
        <v>243</v>
      </c>
      <c r="E574" s="1014"/>
      <c r="F574" s="1014"/>
      <c r="G574" s="1007"/>
      <c r="H574" s="762" t="s">
        <v>46</v>
      </c>
      <c r="I574" s="997"/>
      <c r="J574" s="1012">
        <v>468</v>
      </c>
      <c r="K574" s="998"/>
      <c r="L574" s="998"/>
      <c r="M574" s="998"/>
      <c r="N574" s="998"/>
      <c r="O574" s="998"/>
      <c r="P574" s="998"/>
      <c r="Q574" s="1302"/>
      <c r="R574" s="1302"/>
      <c r="S574" s="1302"/>
      <c r="T574" s="1302"/>
      <c r="U574" s="1302"/>
      <c r="V574" s="1302"/>
      <c r="W574" s="1302"/>
      <c r="X574" s="1302"/>
      <c r="Y574" s="1302"/>
      <c r="Z574" s="1302"/>
    </row>
    <row r="575" spans="1:26" ht="18.75">
      <c r="A575" s="1326"/>
      <c r="B575" s="1327"/>
      <c r="C575" s="1327"/>
      <c r="D575" s="1327"/>
      <c r="E575" s="1014"/>
      <c r="F575" s="1014"/>
      <c r="G575" s="1007"/>
      <c r="H575" s="762" t="s">
        <v>34</v>
      </c>
      <c r="I575" s="997"/>
      <c r="J575" s="1012">
        <v>76</v>
      </c>
      <c r="K575" s="998"/>
      <c r="L575" s="998"/>
      <c r="M575" s="998"/>
      <c r="N575" s="998"/>
      <c r="O575" s="998"/>
      <c r="P575" s="998"/>
      <c r="Q575" s="1302"/>
      <c r="R575" s="1302"/>
      <c r="S575" s="1302"/>
      <c r="T575" s="1302"/>
      <c r="U575" s="1302"/>
      <c r="V575" s="1302"/>
      <c r="W575" s="1302"/>
      <c r="X575" s="1302"/>
      <c r="Y575" s="1302"/>
      <c r="Z575" s="1302"/>
    </row>
    <row r="576" spans="1:26" ht="19.5">
      <c r="A576" s="1326"/>
      <c r="B576" s="1327"/>
      <c r="C576" s="1336" t="s">
        <v>244</v>
      </c>
      <c r="D576" s="1327"/>
      <c r="E576" s="1327"/>
      <c r="F576" s="1014"/>
      <c r="G576" s="1007"/>
      <c r="H576" s="765" t="s">
        <v>46</v>
      </c>
      <c r="I576" s="1018">
        <f ca="1">IFERROR(__xludf.DUMMYFUNCTION("IMPORTRANGE(""https://docs.google.com/spreadsheets/d/1QqKyyYR6Q21VydFLVH3TRQUabQu_ym0Zz7PgGX0-kHA/edit?usp=sharing"",""แผน!HH79"")"),5970)</f>
        <v>5970</v>
      </c>
      <c r="J576" s="1019">
        <f t="shared" ref="J576:J577" si="249">J578+J580+J582+J588+J590</f>
        <v>5971</v>
      </c>
      <c r="K576" s="1162">
        <f t="shared" ref="K576:K577" ca="1" si="250">IF(I576&gt;0,J576*100/I576,0)</f>
        <v>100.01675041876047</v>
      </c>
      <c r="L576" s="998"/>
      <c r="M576" s="998"/>
      <c r="N576" s="998"/>
      <c r="O576" s="998"/>
      <c r="P576" s="998"/>
      <c r="Q576" s="1302"/>
      <c r="R576" s="1302"/>
      <c r="S576" s="1302"/>
      <c r="T576" s="1302"/>
      <c r="U576" s="1302"/>
      <c r="V576" s="1302"/>
      <c r="W576" s="1302"/>
      <c r="X576" s="1302"/>
      <c r="Y576" s="1302"/>
      <c r="Z576" s="1302"/>
    </row>
    <row r="577" spans="1:26" ht="19.5">
      <c r="A577" s="1326"/>
      <c r="B577" s="1327"/>
      <c r="C577" s="1327"/>
      <c r="D577" s="1327"/>
      <c r="E577" s="1014"/>
      <c r="F577" s="1014"/>
      <c r="G577" s="1007"/>
      <c r="H577" s="765" t="s">
        <v>34</v>
      </c>
      <c r="I577" s="1018">
        <f ca="1">IFERROR(__xludf.DUMMYFUNCTION("IMPORTRANGE(""https://docs.google.com/spreadsheets/d/1QqKyyYR6Q21VydFLVH3TRQUabQu_ym0Zz7PgGX0-kHA/edit?usp=sharing"",""แผน!HG79"")"),965)</f>
        <v>965</v>
      </c>
      <c r="J577" s="1019">
        <f t="shared" si="249"/>
        <v>965</v>
      </c>
      <c r="K577" s="1162">
        <f t="shared" ca="1" si="250"/>
        <v>100</v>
      </c>
      <c r="L577" s="998"/>
      <c r="M577" s="998"/>
      <c r="N577" s="998"/>
      <c r="O577" s="998"/>
      <c r="P577" s="998"/>
      <c r="Q577" s="1302"/>
      <c r="R577" s="1302"/>
      <c r="S577" s="1302"/>
      <c r="T577" s="1302"/>
      <c r="U577" s="1302"/>
      <c r="V577" s="1302"/>
      <c r="W577" s="1302"/>
      <c r="X577" s="1302"/>
      <c r="Y577" s="1302"/>
      <c r="Z577" s="1302"/>
    </row>
    <row r="578" spans="1:26" ht="18.75">
      <c r="A578" s="1326"/>
      <c r="B578" s="1327"/>
      <c r="C578" s="1327"/>
      <c r="D578" s="1014" t="s">
        <v>245</v>
      </c>
      <c r="E578" s="1014"/>
      <c r="F578" s="1014"/>
      <c r="G578" s="1007"/>
      <c r="H578" s="762" t="s">
        <v>46</v>
      </c>
      <c r="I578" s="997"/>
      <c r="J578" s="1012">
        <v>5503</v>
      </c>
      <c r="K578" s="998"/>
      <c r="L578" s="998"/>
      <c r="M578" s="998"/>
      <c r="N578" s="998"/>
      <c r="O578" s="998"/>
      <c r="P578" s="998"/>
      <c r="Q578" s="1302"/>
      <c r="R578" s="1302"/>
      <c r="S578" s="1302"/>
      <c r="T578" s="1302"/>
      <c r="U578" s="1302"/>
      <c r="V578" s="1302"/>
      <c r="W578" s="1302"/>
      <c r="X578" s="1302"/>
      <c r="Y578" s="1302"/>
      <c r="Z578" s="1302"/>
    </row>
    <row r="579" spans="1:26" ht="18.75">
      <c r="A579" s="1326"/>
      <c r="B579" s="1327"/>
      <c r="C579" s="1327"/>
      <c r="D579" s="1327"/>
      <c r="E579" s="1014"/>
      <c r="F579" s="1014"/>
      <c r="G579" s="1007"/>
      <c r="H579" s="762" t="s">
        <v>34</v>
      </c>
      <c r="I579" s="997"/>
      <c r="J579" s="1012">
        <v>889</v>
      </c>
      <c r="K579" s="998"/>
      <c r="L579" s="998"/>
      <c r="M579" s="998"/>
      <c r="N579" s="998"/>
      <c r="O579" s="998"/>
      <c r="P579" s="998"/>
      <c r="Q579" s="1302"/>
      <c r="R579" s="1302"/>
      <c r="S579" s="1302"/>
      <c r="T579" s="1302"/>
      <c r="U579" s="1302"/>
      <c r="V579" s="1302"/>
      <c r="W579" s="1302"/>
      <c r="X579" s="1302"/>
      <c r="Y579" s="1302"/>
      <c r="Z579" s="1302"/>
    </row>
    <row r="580" spans="1:26" ht="18.75">
      <c r="A580" s="1326"/>
      <c r="B580" s="1327"/>
      <c r="C580" s="1327"/>
      <c r="D580" s="1014" t="s">
        <v>246</v>
      </c>
      <c r="E580" s="1014"/>
      <c r="F580" s="1014"/>
      <c r="G580" s="1007"/>
      <c r="H580" s="762" t="s">
        <v>46</v>
      </c>
      <c r="I580" s="997"/>
      <c r="J580" s="1012">
        <v>0</v>
      </c>
      <c r="K580" s="998"/>
      <c r="L580" s="998"/>
      <c r="M580" s="998"/>
      <c r="N580" s="998"/>
      <c r="O580" s="998"/>
      <c r="P580" s="998"/>
      <c r="Q580" s="1302"/>
      <c r="R580" s="1302"/>
      <c r="S580" s="1302"/>
      <c r="T580" s="1302"/>
      <c r="U580" s="1302"/>
      <c r="V580" s="1302"/>
      <c r="W580" s="1302"/>
      <c r="X580" s="1302"/>
      <c r="Y580" s="1302"/>
      <c r="Z580" s="1302"/>
    </row>
    <row r="581" spans="1:26" ht="18.75">
      <c r="A581" s="1326"/>
      <c r="B581" s="1327"/>
      <c r="C581" s="1327"/>
      <c r="D581" s="1327"/>
      <c r="E581" s="1014"/>
      <c r="F581" s="1014"/>
      <c r="G581" s="1007"/>
      <c r="H581" s="762" t="s">
        <v>34</v>
      </c>
      <c r="I581" s="997"/>
      <c r="J581" s="1012">
        <v>0</v>
      </c>
      <c r="K581" s="998"/>
      <c r="L581" s="998"/>
      <c r="M581" s="998"/>
      <c r="N581" s="998"/>
      <c r="O581" s="998"/>
      <c r="P581" s="998"/>
      <c r="Q581" s="1302"/>
      <c r="R581" s="1302"/>
      <c r="S581" s="1302"/>
      <c r="T581" s="1302"/>
      <c r="U581" s="1302"/>
      <c r="V581" s="1302"/>
      <c r="W581" s="1302"/>
      <c r="X581" s="1302"/>
      <c r="Y581" s="1302"/>
      <c r="Z581" s="1302"/>
    </row>
    <row r="582" spans="1:26" ht="19.5">
      <c r="A582" s="1326"/>
      <c r="B582" s="1327"/>
      <c r="C582" s="1327"/>
      <c r="D582" s="1014" t="s">
        <v>247</v>
      </c>
      <c r="E582" s="1014"/>
      <c r="F582" s="1014"/>
      <c r="G582" s="1007"/>
      <c r="H582" s="762" t="s">
        <v>46</v>
      </c>
      <c r="I582" s="997"/>
      <c r="J582" s="1019">
        <f t="shared" ref="J582:J583" si="251">J584+J586</f>
        <v>468</v>
      </c>
      <c r="K582" s="1162"/>
      <c r="L582" s="998"/>
      <c r="M582" s="998"/>
      <c r="N582" s="998"/>
      <c r="O582" s="998"/>
      <c r="P582" s="998"/>
      <c r="Q582" s="1302"/>
      <c r="R582" s="1302"/>
      <c r="S582" s="1302"/>
      <c r="T582" s="1302"/>
      <c r="U582" s="1302"/>
      <c r="V582" s="1302"/>
      <c r="W582" s="1302"/>
      <c r="X582" s="1302"/>
      <c r="Y582" s="1302"/>
      <c r="Z582" s="1302"/>
    </row>
    <row r="583" spans="1:26" ht="19.5">
      <c r="A583" s="1326"/>
      <c r="B583" s="1327"/>
      <c r="C583" s="1327"/>
      <c r="D583" s="1327"/>
      <c r="E583" s="1014"/>
      <c r="F583" s="1014"/>
      <c r="G583" s="1007"/>
      <c r="H583" s="762" t="s">
        <v>34</v>
      </c>
      <c r="I583" s="997"/>
      <c r="J583" s="1019">
        <f t="shared" si="251"/>
        <v>76</v>
      </c>
      <c r="K583" s="1162"/>
      <c r="L583" s="998"/>
      <c r="M583" s="998"/>
      <c r="N583" s="998"/>
      <c r="O583" s="998"/>
      <c r="P583" s="998"/>
      <c r="Q583" s="1302"/>
      <c r="R583" s="1302"/>
      <c r="S583" s="1302"/>
      <c r="T583" s="1302"/>
      <c r="U583" s="1302"/>
      <c r="V583" s="1302"/>
      <c r="W583" s="1302"/>
      <c r="X583" s="1302"/>
      <c r="Y583" s="1302"/>
      <c r="Z583" s="1302"/>
    </row>
    <row r="584" spans="1:26" ht="18.75">
      <c r="A584" s="1326"/>
      <c r="B584" s="1327"/>
      <c r="C584" s="1327"/>
      <c r="D584" s="1327"/>
      <c r="E584" s="1014" t="s">
        <v>248</v>
      </c>
      <c r="F584" s="1014"/>
      <c r="G584" s="1007"/>
      <c r="H584" s="762" t="s">
        <v>46</v>
      </c>
      <c r="I584" s="997"/>
      <c r="J584" s="1012">
        <v>468</v>
      </c>
      <c r="K584" s="998"/>
      <c r="L584" s="998"/>
      <c r="M584" s="998"/>
      <c r="N584" s="998"/>
      <c r="O584" s="998"/>
      <c r="P584" s="998"/>
      <c r="Q584" s="1302"/>
      <c r="R584" s="1302"/>
      <c r="S584" s="1302"/>
      <c r="T584" s="1302"/>
      <c r="U584" s="1302"/>
      <c r="V584" s="1302"/>
      <c r="W584" s="1302"/>
      <c r="X584" s="1302"/>
      <c r="Y584" s="1302"/>
      <c r="Z584" s="1302"/>
    </row>
    <row r="585" spans="1:26" ht="18.75">
      <c r="A585" s="1326"/>
      <c r="B585" s="1327"/>
      <c r="C585" s="1327"/>
      <c r="D585" s="1327"/>
      <c r="E585" s="1014"/>
      <c r="F585" s="1014"/>
      <c r="G585" s="1007"/>
      <c r="H585" s="762" t="s">
        <v>34</v>
      </c>
      <c r="I585" s="997"/>
      <c r="J585" s="1012">
        <v>76</v>
      </c>
      <c r="K585" s="998"/>
      <c r="L585" s="998"/>
      <c r="M585" s="998"/>
      <c r="N585" s="998"/>
      <c r="O585" s="998"/>
      <c r="P585" s="998"/>
      <c r="Q585" s="1302"/>
      <c r="R585" s="1302"/>
      <c r="S585" s="1302"/>
      <c r="T585" s="1302"/>
      <c r="U585" s="1302"/>
      <c r="V585" s="1302"/>
      <c r="W585" s="1302"/>
      <c r="X585" s="1302"/>
      <c r="Y585" s="1302"/>
      <c r="Z585" s="1302"/>
    </row>
    <row r="586" spans="1:26" ht="18.75">
      <c r="A586" s="1326"/>
      <c r="B586" s="1327"/>
      <c r="C586" s="1327"/>
      <c r="D586" s="1327"/>
      <c r="E586" s="1014" t="s">
        <v>249</v>
      </c>
      <c r="F586" s="1014"/>
      <c r="G586" s="1007"/>
      <c r="H586" s="762" t="s">
        <v>46</v>
      </c>
      <c r="I586" s="997"/>
      <c r="J586" s="1012">
        <v>0</v>
      </c>
      <c r="K586" s="998"/>
      <c r="L586" s="998"/>
      <c r="M586" s="998"/>
      <c r="N586" s="998"/>
      <c r="O586" s="998"/>
      <c r="P586" s="998"/>
      <c r="Q586" s="1302"/>
      <c r="R586" s="1302"/>
      <c r="S586" s="1302"/>
      <c r="T586" s="1302"/>
      <c r="U586" s="1302"/>
      <c r="V586" s="1302"/>
      <c r="W586" s="1302"/>
      <c r="X586" s="1302"/>
      <c r="Y586" s="1302"/>
      <c r="Z586" s="1302"/>
    </row>
    <row r="587" spans="1:26" ht="18.75">
      <c r="A587" s="1326"/>
      <c r="B587" s="1327"/>
      <c r="C587" s="1327"/>
      <c r="D587" s="1327"/>
      <c r="E587" s="1327"/>
      <c r="F587" s="1014"/>
      <c r="G587" s="1007"/>
      <c r="H587" s="762" t="s">
        <v>34</v>
      </c>
      <c r="I587" s="997"/>
      <c r="J587" s="1012">
        <v>0</v>
      </c>
      <c r="K587" s="998"/>
      <c r="L587" s="998"/>
      <c r="M587" s="998"/>
      <c r="N587" s="998"/>
      <c r="O587" s="998"/>
      <c r="P587" s="998"/>
      <c r="Q587" s="1302"/>
      <c r="R587" s="1302"/>
      <c r="S587" s="1302"/>
      <c r="T587" s="1302"/>
      <c r="U587" s="1302"/>
      <c r="V587" s="1302"/>
      <c r="W587" s="1302"/>
      <c r="X587" s="1302"/>
      <c r="Y587" s="1302"/>
      <c r="Z587" s="1302"/>
    </row>
    <row r="588" spans="1:26" ht="18.75">
      <c r="A588" s="1326"/>
      <c r="B588" s="1327"/>
      <c r="C588" s="1327"/>
      <c r="D588" s="1014" t="s">
        <v>250</v>
      </c>
      <c r="E588" s="1014"/>
      <c r="F588" s="1014"/>
      <c r="G588" s="1007"/>
      <c r="H588" s="762" t="s">
        <v>46</v>
      </c>
      <c r="I588" s="997"/>
      <c r="J588" s="1012">
        <v>0</v>
      </c>
      <c r="K588" s="998"/>
      <c r="L588" s="998"/>
      <c r="M588" s="998"/>
      <c r="N588" s="998"/>
      <c r="O588" s="998"/>
      <c r="P588" s="998"/>
      <c r="Q588" s="1302"/>
      <c r="R588" s="1302"/>
      <c r="S588" s="1302"/>
      <c r="T588" s="1302"/>
      <c r="U588" s="1302"/>
      <c r="V588" s="1302"/>
      <c r="W588" s="1302"/>
      <c r="X588" s="1302"/>
      <c r="Y588" s="1302"/>
      <c r="Z588" s="1302"/>
    </row>
    <row r="589" spans="1:26" ht="18.75">
      <c r="A589" s="1326"/>
      <c r="B589" s="1327"/>
      <c r="C589" s="1327"/>
      <c r="D589" s="1327"/>
      <c r="E589" s="1327"/>
      <c r="F589" s="1014"/>
      <c r="G589" s="1007"/>
      <c r="H589" s="762" t="s">
        <v>34</v>
      </c>
      <c r="I589" s="997"/>
      <c r="J589" s="1012">
        <v>0</v>
      </c>
      <c r="K589" s="998"/>
      <c r="L589" s="998"/>
      <c r="M589" s="998"/>
      <c r="N589" s="998"/>
      <c r="O589" s="998"/>
      <c r="P589" s="998"/>
      <c r="Q589" s="1302"/>
      <c r="R589" s="1302"/>
      <c r="S589" s="1302"/>
      <c r="T589" s="1302"/>
      <c r="U589" s="1302"/>
      <c r="V589" s="1302"/>
      <c r="W589" s="1302"/>
      <c r="X589" s="1302"/>
      <c r="Y589" s="1302"/>
      <c r="Z589" s="1302"/>
    </row>
    <row r="590" spans="1:26" ht="18.75">
      <c r="A590" s="1326"/>
      <c r="B590" s="1327"/>
      <c r="C590" s="1327"/>
      <c r="D590" s="1014" t="s">
        <v>251</v>
      </c>
      <c r="E590" s="1014"/>
      <c r="F590" s="1014"/>
      <c r="G590" s="1007"/>
      <c r="H590" s="762" t="s">
        <v>46</v>
      </c>
      <c r="I590" s="997"/>
      <c r="J590" s="1012">
        <v>0</v>
      </c>
      <c r="K590" s="998"/>
      <c r="L590" s="998"/>
      <c r="M590" s="998"/>
      <c r="N590" s="998"/>
      <c r="O590" s="998"/>
      <c r="P590" s="998"/>
      <c r="Q590" s="1302"/>
      <c r="R590" s="1302"/>
      <c r="S590" s="1302"/>
      <c r="T590" s="1302"/>
      <c r="U590" s="1302"/>
      <c r="V590" s="1302"/>
      <c r="W590" s="1302"/>
      <c r="X590" s="1302"/>
      <c r="Y590" s="1302"/>
      <c r="Z590" s="1302"/>
    </row>
    <row r="591" spans="1:26" ht="18.75">
      <c r="A591" s="1393"/>
      <c r="B591" s="1394"/>
      <c r="C591" s="1394"/>
      <c r="D591" s="1394"/>
      <c r="E591" s="1302"/>
      <c r="F591" s="1302"/>
      <c r="G591" s="1395"/>
      <c r="H591" s="697" t="s">
        <v>34</v>
      </c>
      <c r="I591" s="1396"/>
      <c r="J591" s="1397">
        <v>0</v>
      </c>
      <c r="K591" s="1398"/>
      <c r="L591" s="1398"/>
      <c r="M591" s="1398"/>
      <c r="N591" s="1398"/>
      <c r="O591" s="1398"/>
      <c r="P591" s="1398"/>
      <c r="Q591" s="1302"/>
      <c r="R591" s="1302"/>
      <c r="S591" s="1302"/>
      <c r="T591" s="1302"/>
      <c r="U591" s="1302"/>
      <c r="V591" s="1302"/>
      <c r="W591" s="1302"/>
      <c r="X591" s="1302"/>
      <c r="Y591" s="1302"/>
      <c r="Z591" s="1302"/>
    </row>
    <row r="592" spans="1:26" ht="19.5">
      <c r="A592" s="1390"/>
      <c r="B592" s="1391" t="s">
        <v>252</v>
      </c>
      <c r="C592" s="1392"/>
      <c r="D592" s="1392"/>
      <c r="E592" s="1375"/>
      <c r="F592" s="1375"/>
      <c r="G592" s="1376"/>
      <c r="H592" s="693" t="s">
        <v>46</v>
      </c>
      <c r="I592" s="1399">
        <f t="shared" ref="I592:J592" ca="1" si="252">I593</f>
        <v>1078.8</v>
      </c>
      <c r="J592" s="1377">
        <f t="shared" si="252"/>
        <v>0</v>
      </c>
      <c r="K592" s="1378">
        <f t="shared" ref="K592:K594" ca="1" si="253">IF(I592&gt;0,J592*100/I592,0)</f>
        <v>0</v>
      </c>
      <c r="L592" s="1379"/>
      <c r="M592" s="1379"/>
      <c r="N592" s="1379"/>
      <c r="O592" s="1379"/>
      <c r="P592" s="1379"/>
      <c r="Q592" s="1302"/>
      <c r="R592" s="1302"/>
      <c r="S592" s="1302"/>
      <c r="T592" s="1302"/>
      <c r="U592" s="1302"/>
      <c r="V592" s="1302"/>
      <c r="W592" s="1302"/>
      <c r="X592" s="1302"/>
      <c r="Y592" s="1302"/>
      <c r="Z592" s="1302"/>
    </row>
    <row r="593" spans="1:26" ht="19.5">
      <c r="A593" s="1326"/>
      <c r="B593" s="1327"/>
      <c r="C593" s="1336" t="s">
        <v>253</v>
      </c>
      <c r="D593" s="1327"/>
      <c r="E593" s="1327"/>
      <c r="F593" s="1014"/>
      <c r="G593" s="1007"/>
      <c r="H593" s="765" t="s">
        <v>46</v>
      </c>
      <c r="I593" s="1400">
        <f ca="1">IFERROR(__xludf.DUMMYFUNCTION("IMPORTRANGE(""https://docs.google.com/spreadsheets/d/1QqKyyYR6Q21VydFLVH3TRQUabQu_ym0Zz7PgGX0-kHA/edit?usp=sharing"",""แผน!HJ79"")"),1078.8)</f>
        <v>1078.8</v>
      </c>
      <c r="J593" s="1018">
        <f t="shared" ref="J593:J594" si="254">J595+J603+J609</f>
        <v>0</v>
      </c>
      <c r="K593" s="1162">
        <f t="shared" ca="1" si="253"/>
        <v>0</v>
      </c>
      <c r="L593" s="998"/>
      <c r="M593" s="998"/>
      <c r="N593" s="998"/>
      <c r="O593" s="998"/>
      <c r="P593" s="998"/>
      <c r="Q593" s="1302"/>
      <c r="R593" s="1302"/>
      <c r="S593" s="1302"/>
      <c r="T593" s="1302"/>
      <c r="U593" s="1302"/>
      <c r="V593" s="1302"/>
      <c r="W593" s="1302"/>
      <c r="X593" s="1302"/>
      <c r="Y593" s="1302"/>
      <c r="Z593" s="1302"/>
    </row>
    <row r="594" spans="1:26" ht="19.5">
      <c r="A594" s="1326"/>
      <c r="B594" s="1327"/>
      <c r="C594" s="1327"/>
      <c r="D594" s="1327"/>
      <c r="E594" s="1014"/>
      <c r="F594" s="1014"/>
      <c r="G594" s="1007"/>
      <c r="H594" s="765" t="s">
        <v>34</v>
      </c>
      <c r="I594" s="1018">
        <f ca="1">IFERROR(__xludf.DUMMYFUNCTION("IMPORTRANGE(""https://docs.google.com/spreadsheets/d/1QqKyyYR6Q21VydFLVH3TRQUabQu_ym0Zz7PgGX0-kHA/edit?usp=sharing"",""แผน!HI79"")"),225)</f>
        <v>225</v>
      </c>
      <c r="J594" s="1018">
        <f t="shared" si="254"/>
        <v>0</v>
      </c>
      <c r="K594" s="1162">
        <f t="shared" ca="1" si="253"/>
        <v>0</v>
      </c>
      <c r="L594" s="998"/>
      <c r="M594" s="998"/>
      <c r="N594" s="998"/>
      <c r="O594" s="998"/>
      <c r="P594" s="998"/>
      <c r="Q594" s="1302"/>
      <c r="R594" s="1302"/>
      <c r="S594" s="1302"/>
      <c r="T594" s="1302"/>
      <c r="U594" s="1302"/>
      <c r="V594" s="1302"/>
      <c r="W594" s="1302"/>
      <c r="X594" s="1302"/>
      <c r="Y594" s="1302"/>
      <c r="Z594" s="1302"/>
    </row>
    <row r="595" spans="1:26" ht="18.75">
      <c r="A595" s="1326"/>
      <c r="B595" s="1327"/>
      <c r="C595" s="1327" t="s">
        <v>254</v>
      </c>
      <c r="D595" s="1327"/>
      <c r="E595" s="1327"/>
      <c r="F595" s="1014"/>
      <c r="G595" s="1007"/>
      <c r="H595" s="762" t="s">
        <v>46</v>
      </c>
      <c r="I595" s="997"/>
      <c r="J595" s="997">
        <f t="shared" ref="J595:J596" si="255">J597+J599</f>
        <v>0</v>
      </c>
      <c r="K595" s="998"/>
      <c r="L595" s="998"/>
      <c r="M595" s="998"/>
      <c r="N595" s="998"/>
      <c r="O595" s="998"/>
      <c r="P595" s="998"/>
      <c r="Q595" s="1302"/>
      <c r="R595" s="1302"/>
      <c r="S595" s="1302"/>
      <c r="T595" s="1302"/>
      <c r="U595" s="1302"/>
      <c r="V595" s="1302"/>
      <c r="W595" s="1302"/>
      <c r="X595" s="1302"/>
      <c r="Y595" s="1302"/>
      <c r="Z595" s="1302"/>
    </row>
    <row r="596" spans="1:26" ht="18.75">
      <c r="A596" s="1326"/>
      <c r="B596" s="1327"/>
      <c r="C596" s="1327"/>
      <c r="D596" s="1327"/>
      <c r="E596" s="1014"/>
      <c r="F596" s="1014"/>
      <c r="G596" s="1007"/>
      <c r="H596" s="762" t="s">
        <v>34</v>
      </c>
      <c r="I596" s="997"/>
      <c r="J596" s="997">
        <f t="shared" si="255"/>
        <v>0</v>
      </c>
      <c r="K596" s="998"/>
      <c r="L596" s="998"/>
      <c r="M596" s="998"/>
      <c r="N596" s="998"/>
      <c r="O596" s="998"/>
      <c r="P596" s="998"/>
      <c r="Q596" s="1302"/>
      <c r="R596" s="1302"/>
      <c r="S596" s="1302"/>
      <c r="T596" s="1302"/>
      <c r="U596" s="1302"/>
      <c r="V596" s="1302"/>
      <c r="W596" s="1302"/>
      <c r="X596" s="1302"/>
      <c r="Y596" s="1302"/>
      <c r="Z596" s="1302"/>
    </row>
    <row r="597" spans="1:26" ht="18.75">
      <c r="A597" s="1326"/>
      <c r="B597" s="1327"/>
      <c r="C597" s="1327"/>
      <c r="D597" s="1069" t="s">
        <v>255</v>
      </c>
      <c r="E597" s="1014"/>
      <c r="F597" s="1014"/>
      <c r="G597" s="1007"/>
      <c r="H597" s="762" t="s">
        <v>46</v>
      </c>
      <c r="I597" s="997"/>
      <c r="J597" s="1012">
        <v>0</v>
      </c>
      <c r="K597" s="998"/>
      <c r="L597" s="998"/>
      <c r="M597" s="998"/>
      <c r="N597" s="998"/>
      <c r="O597" s="998"/>
      <c r="P597" s="998"/>
      <c r="Q597" s="1302"/>
      <c r="R597" s="1302"/>
      <c r="S597" s="1302"/>
      <c r="T597" s="1302"/>
      <c r="U597" s="1302"/>
      <c r="V597" s="1302"/>
      <c r="W597" s="1302"/>
      <c r="X597" s="1302"/>
      <c r="Y597" s="1302"/>
      <c r="Z597" s="1302"/>
    </row>
    <row r="598" spans="1:26" ht="18.75">
      <c r="A598" s="1326"/>
      <c r="B598" s="1327"/>
      <c r="C598" s="1327"/>
      <c r="D598" s="1327"/>
      <c r="E598" s="1014"/>
      <c r="F598" s="1014"/>
      <c r="G598" s="1007"/>
      <c r="H598" s="762" t="s">
        <v>34</v>
      </c>
      <c r="I598" s="880"/>
      <c r="J598" s="1012">
        <v>0</v>
      </c>
      <c r="K598" s="998"/>
      <c r="L598" s="998"/>
      <c r="M598" s="998"/>
      <c r="N598" s="998"/>
      <c r="O598" s="998"/>
      <c r="P598" s="998"/>
      <c r="Q598" s="1302"/>
      <c r="R598" s="1302"/>
      <c r="S598" s="1302"/>
      <c r="T598" s="1302"/>
      <c r="U598" s="1302"/>
      <c r="V598" s="1302"/>
      <c r="W598" s="1302"/>
      <c r="X598" s="1302"/>
      <c r="Y598" s="1302"/>
      <c r="Z598" s="1302"/>
    </row>
    <row r="599" spans="1:26" ht="18.75">
      <c r="A599" s="1326"/>
      <c r="B599" s="1327"/>
      <c r="C599" s="1327"/>
      <c r="D599" s="1069" t="s">
        <v>256</v>
      </c>
      <c r="E599" s="1014"/>
      <c r="F599" s="1014"/>
      <c r="G599" s="1007"/>
      <c r="H599" s="762" t="s">
        <v>46</v>
      </c>
      <c r="I599" s="880"/>
      <c r="J599" s="1012">
        <v>0</v>
      </c>
      <c r="K599" s="998"/>
      <c r="L599" s="998"/>
      <c r="M599" s="998"/>
      <c r="N599" s="998"/>
      <c r="O599" s="998"/>
      <c r="P599" s="998"/>
      <c r="Q599" s="1302"/>
      <c r="R599" s="1302"/>
      <c r="S599" s="1302"/>
      <c r="T599" s="1302"/>
      <c r="U599" s="1302"/>
      <c r="V599" s="1302"/>
      <c r="W599" s="1302"/>
      <c r="X599" s="1302"/>
      <c r="Y599" s="1302"/>
      <c r="Z599" s="1302"/>
    </row>
    <row r="600" spans="1:26" ht="18.75">
      <c r="A600" s="1326"/>
      <c r="B600" s="1327"/>
      <c r="C600" s="1327"/>
      <c r="D600" s="1327"/>
      <c r="E600" s="1014"/>
      <c r="F600" s="1014"/>
      <c r="G600" s="1007"/>
      <c r="H600" s="762" t="s">
        <v>34</v>
      </c>
      <c r="I600" s="880"/>
      <c r="J600" s="1012">
        <v>0</v>
      </c>
      <c r="K600" s="998"/>
      <c r="L600" s="998"/>
      <c r="M600" s="998"/>
      <c r="N600" s="998"/>
      <c r="O600" s="998"/>
      <c r="P600" s="998"/>
      <c r="Q600" s="1302"/>
      <c r="R600" s="1302"/>
      <c r="S600" s="1302"/>
      <c r="T600" s="1302"/>
      <c r="U600" s="1302"/>
      <c r="V600" s="1302"/>
      <c r="W600" s="1302"/>
      <c r="X600" s="1302"/>
      <c r="Y600" s="1302"/>
      <c r="Z600" s="1302"/>
    </row>
    <row r="601" spans="1:26" ht="18.75">
      <c r="A601" s="1326"/>
      <c r="B601" s="1327"/>
      <c r="C601" s="1327"/>
      <c r="D601" s="1069" t="s">
        <v>257</v>
      </c>
      <c r="E601" s="1014"/>
      <c r="F601" s="1014"/>
      <c r="G601" s="1007"/>
      <c r="H601" s="762" t="s">
        <v>46</v>
      </c>
      <c r="I601" s="880"/>
      <c r="J601" s="1012">
        <v>0</v>
      </c>
      <c r="K601" s="998"/>
      <c r="L601" s="998"/>
      <c r="M601" s="998"/>
      <c r="N601" s="998"/>
      <c r="O601" s="998"/>
      <c r="P601" s="998"/>
      <c r="Q601" s="1302"/>
      <c r="R601" s="1302"/>
      <c r="S601" s="1302"/>
      <c r="T601" s="1302"/>
      <c r="U601" s="1302"/>
      <c r="V601" s="1302"/>
      <c r="W601" s="1302"/>
      <c r="X601" s="1302"/>
      <c r="Y601" s="1302"/>
      <c r="Z601" s="1302"/>
    </row>
    <row r="602" spans="1:26" ht="18.75">
      <c r="A602" s="1326"/>
      <c r="B602" s="1327"/>
      <c r="C602" s="1327"/>
      <c r="D602" s="1327"/>
      <c r="E602" s="1014"/>
      <c r="F602" s="1014"/>
      <c r="G602" s="1007"/>
      <c r="H602" s="762" t="s">
        <v>34</v>
      </c>
      <c r="I602" s="880"/>
      <c r="J602" s="1012">
        <v>0</v>
      </c>
      <c r="K602" s="998"/>
      <c r="L602" s="998"/>
      <c r="M602" s="998"/>
      <c r="N602" s="998"/>
      <c r="O602" s="998"/>
      <c r="P602" s="998"/>
      <c r="Q602" s="1302"/>
      <c r="R602" s="1302"/>
      <c r="S602" s="1302"/>
      <c r="T602" s="1302"/>
      <c r="U602" s="1302"/>
      <c r="V602" s="1302"/>
      <c r="W602" s="1302"/>
      <c r="X602" s="1302"/>
      <c r="Y602" s="1302"/>
      <c r="Z602" s="1302"/>
    </row>
    <row r="603" spans="1:26" ht="18.75">
      <c r="A603" s="1326"/>
      <c r="B603" s="1327"/>
      <c r="C603" s="1401" t="s">
        <v>258</v>
      </c>
      <c r="D603" s="1327"/>
      <c r="E603" s="1327"/>
      <c r="F603" s="1014"/>
      <c r="G603" s="1007"/>
      <c r="H603" s="762" t="s">
        <v>46</v>
      </c>
      <c r="I603" s="880"/>
      <c r="J603" s="880">
        <f t="shared" ref="J603:J604" si="256">J605+J607</f>
        <v>0</v>
      </c>
      <c r="K603" s="998"/>
      <c r="L603" s="998"/>
      <c r="M603" s="998"/>
      <c r="N603" s="998"/>
      <c r="O603" s="998"/>
      <c r="P603" s="998"/>
      <c r="Q603" s="1302"/>
      <c r="R603" s="1302"/>
      <c r="S603" s="1302"/>
      <c r="T603" s="1302"/>
      <c r="U603" s="1302"/>
      <c r="V603" s="1302"/>
      <c r="W603" s="1302"/>
      <c r="X603" s="1302"/>
      <c r="Y603" s="1302"/>
      <c r="Z603" s="1302"/>
    </row>
    <row r="604" spans="1:26" ht="18.75">
      <c r="A604" s="1326"/>
      <c r="B604" s="1327"/>
      <c r="C604" s="1327"/>
      <c r="D604" s="1327"/>
      <c r="E604" s="1014"/>
      <c r="F604" s="1014"/>
      <c r="G604" s="1007"/>
      <c r="H604" s="762" t="s">
        <v>34</v>
      </c>
      <c r="I604" s="880"/>
      <c r="J604" s="880">
        <f t="shared" si="256"/>
        <v>0</v>
      </c>
      <c r="K604" s="998"/>
      <c r="L604" s="998"/>
      <c r="M604" s="998"/>
      <c r="N604" s="998"/>
      <c r="O604" s="998"/>
      <c r="P604" s="998"/>
      <c r="Q604" s="1302"/>
      <c r="R604" s="1302"/>
      <c r="S604" s="1302"/>
      <c r="T604" s="1302"/>
      <c r="U604" s="1302"/>
      <c r="V604" s="1302"/>
      <c r="W604" s="1302"/>
      <c r="X604" s="1302"/>
      <c r="Y604" s="1302"/>
      <c r="Z604" s="1302"/>
    </row>
    <row r="605" spans="1:26" ht="18.75">
      <c r="A605" s="1326"/>
      <c r="B605" s="1327"/>
      <c r="C605" s="1327"/>
      <c r="D605" s="1401" t="s">
        <v>259</v>
      </c>
      <c r="E605" s="1014"/>
      <c r="F605" s="1014"/>
      <c r="G605" s="1007"/>
      <c r="H605" s="762" t="s">
        <v>46</v>
      </c>
      <c r="I605" s="880"/>
      <c r="J605" s="1012">
        <v>0</v>
      </c>
      <c r="K605" s="998"/>
      <c r="L605" s="998"/>
      <c r="M605" s="998"/>
      <c r="N605" s="998"/>
      <c r="O605" s="998"/>
      <c r="P605" s="998"/>
      <c r="Q605" s="1302"/>
      <c r="R605" s="1302"/>
      <c r="S605" s="1302"/>
      <c r="T605" s="1302"/>
      <c r="U605" s="1302"/>
      <c r="V605" s="1302"/>
      <c r="W605" s="1302"/>
      <c r="X605" s="1302"/>
      <c r="Y605" s="1302"/>
      <c r="Z605" s="1302"/>
    </row>
    <row r="606" spans="1:26" ht="18.75">
      <c r="A606" s="1326"/>
      <c r="B606" s="1327"/>
      <c r="C606" s="1327"/>
      <c r="D606" s="1327"/>
      <c r="E606" s="1327"/>
      <c r="F606" s="1014"/>
      <c r="G606" s="1007"/>
      <c r="H606" s="762" t="s">
        <v>34</v>
      </c>
      <c r="I606" s="880"/>
      <c r="J606" s="1012">
        <v>0</v>
      </c>
      <c r="K606" s="998"/>
      <c r="L606" s="998"/>
      <c r="M606" s="998"/>
      <c r="N606" s="998"/>
      <c r="O606" s="998"/>
      <c r="P606" s="998"/>
      <c r="Q606" s="1302"/>
      <c r="R606" s="1302"/>
      <c r="S606" s="1302"/>
      <c r="T606" s="1302"/>
      <c r="U606" s="1302"/>
      <c r="V606" s="1302"/>
      <c r="W606" s="1302"/>
      <c r="X606" s="1302"/>
      <c r="Y606" s="1302"/>
      <c r="Z606" s="1302"/>
    </row>
    <row r="607" spans="1:26" ht="18.75">
      <c r="A607" s="1326"/>
      <c r="B607" s="1327"/>
      <c r="C607" s="1327"/>
      <c r="D607" s="1401" t="s">
        <v>260</v>
      </c>
      <c r="E607" s="1327"/>
      <c r="F607" s="1014"/>
      <c r="G607" s="1007"/>
      <c r="H607" s="762" t="s">
        <v>46</v>
      </c>
      <c r="I607" s="880"/>
      <c r="J607" s="1012">
        <v>0</v>
      </c>
      <c r="K607" s="998"/>
      <c r="L607" s="998"/>
      <c r="M607" s="998"/>
      <c r="N607" s="998"/>
      <c r="O607" s="998"/>
      <c r="P607" s="998"/>
      <c r="Q607" s="1302"/>
      <c r="R607" s="1302"/>
      <c r="S607" s="1302"/>
      <c r="T607" s="1302"/>
      <c r="U607" s="1302"/>
      <c r="V607" s="1302"/>
      <c r="W607" s="1302"/>
      <c r="X607" s="1302"/>
      <c r="Y607" s="1302"/>
      <c r="Z607" s="1302"/>
    </row>
    <row r="608" spans="1:26" ht="18.75">
      <c r="A608" s="1326"/>
      <c r="B608" s="1327"/>
      <c r="C608" s="1327"/>
      <c r="D608" s="1327"/>
      <c r="E608" s="1014"/>
      <c r="F608" s="1014"/>
      <c r="G608" s="1007"/>
      <c r="H608" s="762" t="s">
        <v>34</v>
      </c>
      <c r="I608" s="880"/>
      <c r="J608" s="1012">
        <v>0</v>
      </c>
      <c r="K608" s="998"/>
      <c r="L608" s="998"/>
      <c r="M608" s="998"/>
      <c r="N608" s="998"/>
      <c r="O608" s="998"/>
      <c r="P608" s="998"/>
      <c r="Q608" s="1302"/>
      <c r="R608" s="1302"/>
      <c r="S608" s="1302"/>
      <c r="T608" s="1302"/>
      <c r="U608" s="1302"/>
      <c r="V608" s="1302"/>
      <c r="W608" s="1302"/>
      <c r="X608" s="1302"/>
      <c r="Y608" s="1302"/>
      <c r="Z608" s="1302"/>
    </row>
    <row r="609" spans="1:26" ht="18.75">
      <c r="A609" s="1326"/>
      <c r="B609" s="1327"/>
      <c r="C609" s="1327" t="s">
        <v>261</v>
      </c>
      <c r="D609" s="1327"/>
      <c r="E609" s="1327"/>
      <c r="F609" s="1014"/>
      <c r="G609" s="1007"/>
      <c r="H609" s="762" t="s">
        <v>46</v>
      </c>
      <c r="I609" s="880"/>
      <c r="J609" s="1012">
        <v>0</v>
      </c>
      <c r="K609" s="998"/>
      <c r="L609" s="998"/>
      <c r="M609" s="998"/>
      <c r="N609" s="998"/>
      <c r="O609" s="998"/>
      <c r="P609" s="998"/>
      <c r="Q609" s="1302"/>
      <c r="R609" s="1302"/>
      <c r="S609" s="1302"/>
      <c r="T609" s="1302"/>
      <c r="U609" s="1302"/>
      <c r="V609" s="1302"/>
      <c r="W609" s="1302"/>
      <c r="X609" s="1302"/>
      <c r="Y609" s="1302"/>
      <c r="Z609" s="1302"/>
    </row>
    <row r="610" spans="1:26" ht="18.75">
      <c r="A610" s="1326"/>
      <c r="B610" s="1327"/>
      <c r="C610" s="1327"/>
      <c r="D610" s="1327"/>
      <c r="E610" s="1014"/>
      <c r="F610" s="1014"/>
      <c r="G610" s="1007"/>
      <c r="H610" s="762" t="s">
        <v>34</v>
      </c>
      <c r="I610" s="880"/>
      <c r="J610" s="1012">
        <v>0</v>
      </c>
      <c r="K610" s="998"/>
      <c r="L610" s="998"/>
      <c r="M610" s="998"/>
      <c r="N610" s="998"/>
      <c r="O610" s="998"/>
      <c r="P610" s="998"/>
      <c r="Q610" s="1302"/>
      <c r="R610" s="1302"/>
      <c r="S610" s="1302"/>
      <c r="T610" s="1302"/>
      <c r="U610" s="1302"/>
      <c r="V610" s="1302"/>
      <c r="W610" s="1302"/>
      <c r="X610" s="1302"/>
      <c r="Y610" s="1302"/>
      <c r="Z610" s="1302"/>
    </row>
    <row r="611" spans="1:26" ht="19.5" hidden="1">
      <c r="A611" s="1390"/>
      <c r="B611" s="1402" t="s">
        <v>262</v>
      </c>
      <c r="C611" s="1392"/>
      <c r="D611" s="1392"/>
      <c r="E611" s="1375"/>
      <c r="F611" s="1375"/>
      <c r="G611" s="1376"/>
      <c r="H611" s="705" t="s">
        <v>46</v>
      </c>
      <c r="I611" s="1377">
        <v>0</v>
      </c>
      <c r="J611" s="1377">
        <f>J614+J616</f>
        <v>0</v>
      </c>
      <c r="K611" s="1378">
        <f t="shared" ref="K611:K613" si="257">IF(I611&gt;0,J611*100/I611,0)</f>
        <v>0</v>
      </c>
      <c r="L611" s="1379"/>
      <c r="M611" s="1379"/>
      <c r="N611" s="1379"/>
      <c r="O611" s="1379"/>
      <c r="P611" s="1379"/>
      <c r="Q611" s="1302"/>
      <c r="R611" s="1302"/>
      <c r="S611" s="1302"/>
      <c r="T611" s="1302"/>
      <c r="U611" s="1302"/>
      <c r="V611" s="1302"/>
      <c r="W611" s="1302"/>
      <c r="X611" s="1302"/>
      <c r="Y611" s="1302"/>
      <c r="Z611" s="1302"/>
    </row>
    <row r="612" spans="1:26" ht="19.5" hidden="1">
      <c r="A612" s="1403"/>
      <c r="B612" s="1404"/>
      <c r="C612" s="1405" t="s">
        <v>263</v>
      </c>
      <c r="D612" s="1404"/>
      <c r="E612" s="1404"/>
      <c r="F612" s="1406"/>
      <c r="G612" s="1407"/>
      <c r="H612" s="712" t="s">
        <v>46</v>
      </c>
      <c r="I612" s="1408">
        <v>0</v>
      </c>
      <c r="J612" s="1408">
        <f t="shared" ref="J612:J613" si="258">J614+J616</f>
        <v>0</v>
      </c>
      <c r="K612" s="1409">
        <f t="shared" si="257"/>
        <v>0</v>
      </c>
      <c r="L612" s="1410"/>
      <c r="M612" s="1410"/>
      <c r="N612" s="1410"/>
      <c r="O612" s="1410"/>
      <c r="P612" s="1410"/>
      <c r="Q612" s="1323"/>
      <c r="R612" s="1323"/>
      <c r="S612" s="1323"/>
      <c r="T612" s="1323"/>
      <c r="U612" s="1323"/>
      <c r="V612" s="1323"/>
      <c r="W612" s="1323"/>
      <c r="X612" s="1323"/>
      <c r="Y612" s="1323"/>
      <c r="Z612" s="1323"/>
    </row>
    <row r="613" spans="1:26" ht="19.5" hidden="1">
      <c r="A613" s="1403"/>
      <c r="B613" s="1404"/>
      <c r="C613" s="1404" t="s">
        <v>264</v>
      </c>
      <c r="D613" s="1404"/>
      <c r="E613" s="1404"/>
      <c r="F613" s="1406"/>
      <c r="G613" s="1407"/>
      <c r="H613" s="712" t="s">
        <v>34</v>
      </c>
      <c r="I613" s="1408">
        <v>0</v>
      </c>
      <c r="J613" s="1408">
        <f t="shared" si="258"/>
        <v>0</v>
      </c>
      <c r="K613" s="1409">
        <f t="shared" si="257"/>
        <v>0</v>
      </c>
      <c r="L613" s="1410"/>
      <c r="M613" s="1410"/>
      <c r="N613" s="1410"/>
      <c r="O613" s="1410"/>
      <c r="P613" s="1410"/>
      <c r="Q613" s="1323"/>
      <c r="R613" s="1323"/>
      <c r="S613" s="1323"/>
      <c r="T613" s="1323"/>
      <c r="U613" s="1323"/>
      <c r="V613" s="1323"/>
      <c r="W613" s="1323"/>
      <c r="X613" s="1323"/>
      <c r="Y613" s="1323"/>
      <c r="Z613" s="1323"/>
    </row>
    <row r="614" spans="1:26" ht="18.75" hidden="1">
      <c r="A614" s="1332"/>
      <c r="B614" s="1333"/>
      <c r="C614" s="1333"/>
      <c r="D614" s="1321" t="s">
        <v>265</v>
      </c>
      <c r="E614" s="1333"/>
      <c r="F614" s="1321"/>
      <c r="G614" s="1113"/>
      <c r="H614" s="370" t="s">
        <v>46</v>
      </c>
      <c r="I614" s="886"/>
      <c r="J614" s="886">
        <v>0</v>
      </c>
      <c r="K614" s="1001"/>
      <c r="L614" s="1001"/>
      <c r="M614" s="1001"/>
      <c r="N614" s="1001"/>
      <c r="O614" s="1001"/>
      <c r="P614" s="1001"/>
      <c r="Q614" s="1323"/>
      <c r="R614" s="1323"/>
      <c r="S614" s="1323"/>
      <c r="T614" s="1323"/>
      <c r="U614" s="1323"/>
      <c r="V614" s="1323"/>
      <c r="W614" s="1323"/>
      <c r="X614" s="1323"/>
      <c r="Y614" s="1323"/>
      <c r="Z614" s="1323"/>
    </row>
    <row r="615" spans="1:26" ht="18.75" hidden="1">
      <c r="A615" s="1332"/>
      <c r="B615" s="1333"/>
      <c r="C615" s="1333"/>
      <c r="D615" s="1333"/>
      <c r="E615" s="1333"/>
      <c r="F615" s="1321"/>
      <c r="G615" s="1113"/>
      <c r="H615" s="370" t="s">
        <v>34</v>
      </c>
      <c r="I615" s="886"/>
      <c r="J615" s="886">
        <v>0</v>
      </c>
      <c r="K615" s="1001"/>
      <c r="L615" s="1001"/>
      <c r="M615" s="1001"/>
      <c r="N615" s="1001"/>
      <c r="O615" s="1001"/>
      <c r="P615" s="1001"/>
      <c r="Q615" s="1323"/>
      <c r="R615" s="1323"/>
      <c r="S615" s="1323"/>
      <c r="T615" s="1323"/>
      <c r="U615" s="1323"/>
      <c r="V615" s="1323"/>
      <c r="W615" s="1323"/>
      <c r="X615" s="1323"/>
      <c r="Y615" s="1323"/>
      <c r="Z615" s="1323"/>
    </row>
    <row r="616" spans="1:26" ht="18.75" hidden="1">
      <c r="A616" s="1332"/>
      <c r="B616" s="1333"/>
      <c r="C616" s="1333"/>
      <c r="D616" s="1411" t="s">
        <v>265</v>
      </c>
      <c r="E616" s="1321"/>
      <c r="F616" s="1321"/>
      <c r="G616" s="1113"/>
      <c r="H616" s="370" t="s">
        <v>46</v>
      </c>
      <c r="I616" s="886"/>
      <c r="J616" s="886">
        <v>0</v>
      </c>
      <c r="K616" s="1001"/>
      <c r="L616" s="1001"/>
      <c r="M616" s="1001"/>
      <c r="N616" s="1001"/>
      <c r="O616" s="1001"/>
      <c r="P616" s="1001"/>
      <c r="Q616" s="1323"/>
      <c r="R616" s="1323"/>
      <c r="S616" s="1323"/>
      <c r="T616" s="1323"/>
      <c r="U616" s="1323"/>
      <c r="V616" s="1323"/>
      <c r="W616" s="1323"/>
      <c r="X616" s="1323"/>
      <c r="Y616" s="1323"/>
      <c r="Z616" s="1323"/>
    </row>
    <row r="617" spans="1:26" ht="18.75" hidden="1">
      <c r="A617" s="1332"/>
      <c r="B617" s="1333"/>
      <c r="C617" s="1333"/>
      <c r="D617" s="1333"/>
      <c r="E617" s="1321"/>
      <c r="F617" s="1321"/>
      <c r="G617" s="1113"/>
      <c r="H617" s="370" t="s">
        <v>34</v>
      </c>
      <c r="I617" s="886"/>
      <c r="J617" s="886">
        <v>0</v>
      </c>
      <c r="K617" s="1001"/>
      <c r="L617" s="1001"/>
      <c r="M617" s="1001"/>
      <c r="N617" s="1001"/>
      <c r="O617" s="1001"/>
      <c r="P617" s="1001"/>
      <c r="Q617" s="1323"/>
      <c r="R617" s="1323"/>
      <c r="S617" s="1323"/>
      <c r="T617" s="1323"/>
      <c r="U617" s="1323"/>
      <c r="V617" s="1323"/>
      <c r="W617" s="1323"/>
      <c r="X617" s="1323"/>
      <c r="Y617" s="1323"/>
      <c r="Z617" s="1323"/>
    </row>
    <row r="618" spans="1:26" ht="18.75" hidden="1">
      <c r="A618" s="1332"/>
      <c r="B618" s="1333"/>
      <c r="C618" s="1333"/>
      <c r="D618" s="1411" t="s">
        <v>266</v>
      </c>
      <c r="E618" s="1321"/>
      <c r="F618" s="1321"/>
      <c r="G618" s="1113"/>
      <c r="H618" s="370" t="s">
        <v>46</v>
      </c>
      <c r="I618" s="886"/>
      <c r="J618" s="886">
        <v>0</v>
      </c>
      <c r="K618" s="1001"/>
      <c r="L618" s="1001"/>
      <c r="M618" s="1001"/>
      <c r="N618" s="1001"/>
      <c r="O618" s="1001"/>
      <c r="P618" s="1001"/>
      <c r="Q618" s="1323"/>
      <c r="R618" s="1323"/>
      <c r="S618" s="1323"/>
      <c r="T618" s="1323"/>
      <c r="U618" s="1323"/>
      <c r="V618" s="1323"/>
      <c r="W618" s="1323"/>
      <c r="X618" s="1323"/>
      <c r="Y618" s="1323"/>
      <c r="Z618" s="1323"/>
    </row>
    <row r="619" spans="1:26" ht="18.75" hidden="1">
      <c r="A619" s="1332"/>
      <c r="B619" s="1333"/>
      <c r="C619" s="1333"/>
      <c r="D619" s="1333"/>
      <c r="E619" s="1321"/>
      <c r="F619" s="1321"/>
      <c r="G619" s="1113"/>
      <c r="H619" s="370" t="s">
        <v>34</v>
      </c>
      <c r="I619" s="886"/>
      <c r="J619" s="886">
        <v>0</v>
      </c>
      <c r="K619" s="1001"/>
      <c r="L619" s="1001"/>
      <c r="M619" s="1001"/>
      <c r="N619" s="1001"/>
      <c r="O619" s="1001"/>
      <c r="P619" s="1001"/>
      <c r="Q619" s="1323"/>
      <c r="R619" s="1323"/>
      <c r="S619" s="1323"/>
      <c r="T619" s="1323"/>
      <c r="U619" s="1323"/>
      <c r="V619" s="1323"/>
      <c r="W619" s="1323"/>
      <c r="X619" s="1323"/>
      <c r="Y619" s="1323"/>
      <c r="Z619" s="1323"/>
    </row>
    <row r="620" spans="1:26" ht="19.5" hidden="1">
      <c r="A620" s="1412"/>
      <c r="B620" s="1413"/>
      <c r="C620" s="1414" t="s">
        <v>267</v>
      </c>
      <c r="D620" s="1413"/>
      <c r="E620" s="1413"/>
      <c r="F620" s="1415"/>
      <c r="G620" s="1416"/>
      <c r="H620" s="725" t="s">
        <v>46</v>
      </c>
      <c r="I620" s="1417">
        <f ca="1">IFERROR(__xludf.DUMMYFUNCTION("IMPORTRANGE(""https://docs.google.com/spreadsheets/d/1QqKyyYR6Q21VydFLVH3TRQUabQu_ym0Zz7PgGX0-kHA/edit?usp=sharing"",""แผน!HL79"")"),0)</f>
        <v>0</v>
      </c>
      <c r="J620" s="1417">
        <f t="shared" ref="J620:J621" si="259">J622+J624+J626</f>
        <v>0</v>
      </c>
      <c r="K620" s="1418">
        <f t="shared" ref="K620:K621" ca="1" si="260">IF(I620&gt;0,J620*100/I620,0)</f>
        <v>0</v>
      </c>
      <c r="L620" s="1419"/>
      <c r="M620" s="1419"/>
      <c r="N620" s="1419"/>
      <c r="O620" s="1419"/>
      <c r="P620" s="1419"/>
      <c r="Q620" s="1302"/>
      <c r="R620" s="1302"/>
      <c r="S620" s="1302"/>
      <c r="T620" s="1302"/>
      <c r="U620" s="1302"/>
      <c r="V620" s="1302"/>
      <c r="W620" s="1302"/>
      <c r="X620" s="1302"/>
      <c r="Y620" s="1302"/>
      <c r="Z620" s="1302"/>
    </row>
    <row r="621" spans="1:26" ht="19.5" hidden="1">
      <c r="A621" s="1412"/>
      <c r="B621" s="1413"/>
      <c r="C621" s="1413" t="s">
        <v>268</v>
      </c>
      <c r="D621" s="1413"/>
      <c r="E621" s="1413"/>
      <c r="F621" s="1415"/>
      <c r="G621" s="1416"/>
      <c r="H621" s="725" t="s">
        <v>34</v>
      </c>
      <c r="I621" s="1417">
        <f ca="1">IFERROR(__xludf.DUMMYFUNCTION("IMPORTRANGE(""https://docs.google.com/spreadsheets/d/1QqKyyYR6Q21VydFLVH3TRQUabQu_ym0Zz7PgGX0-kHA/edit?usp=sharing"",""แผน!HK79"")"),0)</f>
        <v>0</v>
      </c>
      <c r="J621" s="1417">
        <f t="shared" si="259"/>
        <v>0</v>
      </c>
      <c r="K621" s="1418">
        <f t="shared" ca="1" si="260"/>
        <v>0</v>
      </c>
      <c r="L621" s="1419"/>
      <c r="M621" s="1419"/>
      <c r="N621" s="1419"/>
      <c r="O621" s="1419"/>
      <c r="P621" s="1419"/>
      <c r="Q621" s="1302"/>
      <c r="R621" s="1302"/>
      <c r="S621" s="1302"/>
      <c r="T621" s="1302"/>
      <c r="U621" s="1302"/>
      <c r="V621" s="1302"/>
      <c r="W621" s="1302"/>
      <c r="X621" s="1302"/>
      <c r="Y621" s="1302"/>
      <c r="Z621" s="1302"/>
    </row>
    <row r="622" spans="1:26" ht="18.75" hidden="1">
      <c r="A622" s="1326"/>
      <c r="B622" s="1327"/>
      <c r="C622" s="1327"/>
      <c r="D622" s="1069" t="s">
        <v>269</v>
      </c>
      <c r="E622" s="1014"/>
      <c r="F622" s="1014"/>
      <c r="G622" s="1007"/>
      <c r="H622" s="762" t="s">
        <v>46</v>
      </c>
      <c r="I622" s="880"/>
      <c r="J622" s="1012">
        <v>0</v>
      </c>
      <c r="K622" s="998"/>
      <c r="L622" s="998"/>
      <c r="M622" s="998"/>
      <c r="N622" s="998"/>
      <c r="O622" s="998"/>
      <c r="P622" s="998"/>
      <c r="Q622" s="1302"/>
      <c r="R622" s="1302"/>
      <c r="S622" s="1302"/>
      <c r="T622" s="1302"/>
      <c r="U622" s="1302"/>
      <c r="V622" s="1302"/>
      <c r="W622" s="1302"/>
      <c r="X622" s="1302"/>
      <c r="Y622" s="1302"/>
      <c r="Z622" s="1302"/>
    </row>
    <row r="623" spans="1:26" ht="18.75" hidden="1">
      <c r="A623" s="1326"/>
      <c r="B623" s="1327"/>
      <c r="C623" s="1327"/>
      <c r="D623" s="1327"/>
      <c r="E623" s="1014"/>
      <c r="F623" s="1014"/>
      <c r="G623" s="1007"/>
      <c r="H623" s="762" t="s">
        <v>34</v>
      </c>
      <c r="I623" s="880"/>
      <c r="J623" s="1012">
        <v>0</v>
      </c>
      <c r="K623" s="998"/>
      <c r="L623" s="998"/>
      <c r="M623" s="998"/>
      <c r="N623" s="998"/>
      <c r="O623" s="998"/>
      <c r="P623" s="998"/>
      <c r="Q623" s="1302"/>
      <c r="R623" s="1302"/>
      <c r="S623" s="1302"/>
      <c r="T623" s="1302"/>
      <c r="U623" s="1302"/>
      <c r="V623" s="1302"/>
      <c r="W623" s="1302"/>
      <c r="X623" s="1302"/>
      <c r="Y623" s="1302"/>
      <c r="Z623" s="1302"/>
    </row>
    <row r="624" spans="1:26" ht="18.75" hidden="1">
      <c r="A624" s="1326"/>
      <c r="B624" s="1327"/>
      <c r="C624" s="1327"/>
      <c r="D624" s="1069" t="s">
        <v>265</v>
      </c>
      <c r="E624" s="1014"/>
      <c r="F624" s="1014"/>
      <c r="G624" s="1007"/>
      <c r="H624" s="762" t="s">
        <v>46</v>
      </c>
      <c r="I624" s="880"/>
      <c r="J624" s="1012">
        <v>0</v>
      </c>
      <c r="K624" s="998"/>
      <c r="L624" s="998"/>
      <c r="M624" s="998"/>
      <c r="N624" s="998"/>
      <c r="O624" s="998"/>
      <c r="P624" s="998"/>
      <c r="Q624" s="1302"/>
      <c r="R624" s="1302"/>
      <c r="S624" s="1302"/>
      <c r="T624" s="1302"/>
      <c r="U624" s="1302"/>
      <c r="V624" s="1302"/>
      <c r="W624" s="1302"/>
      <c r="X624" s="1302"/>
      <c r="Y624" s="1302"/>
      <c r="Z624" s="1302"/>
    </row>
    <row r="625" spans="1:26" ht="18.75" hidden="1">
      <c r="A625" s="1326"/>
      <c r="B625" s="1327"/>
      <c r="C625" s="1327"/>
      <c r="D625" s="1327"/>
      <c r="E625" s="1014"/>
      <c r="F625" s="1014"/>
      <c r="G625" s="1007"/>
      <c r="H625" s="762" t="s">
        <v>34</v>
      </c>
      <c r="I625" s="880"/>
      <c r="J625" s="1012">
        <v>0</v>
      </c>
      <c r="K625" s="998"/>
      <c r="L625" s="998"/>
      <c r="M625" s="998"/>
      <c r="N625" s="998"/>
      <c r="O625" s="998"/>
      <c r="P625" s="998"/>
      <c r="Q625" s="1302"/>
      <c r="R625" s="1302"/>
      <c r="S625" s="1302"/>
      <c r="T625" s="1302"/>
      <c r="U625" s="1302"/>
      <c r="V625" s="1302"/>
      <c r="W625" s="1302"/>
      <c r="X625" s="1302"/>
      <c r="Y625" s="1302"/>
      <c r="Z625" s="1302"/>
    </row>
    <row r="626" spans="1:26" ht="18.75" hidden="1">
      <c r="A626" s="1326"/>
      <c r="B626" s="1327"/>
      <c r="C626" s="1327"/>
      <c r="D626" s="1069" t="s">
        <v>270</v>
      </c>
      <c r="E626" s="1014"/>
      <c r="F626" s="1014"/>
      <c r="G626" s="1007"/>
      <c r="H626" s="762" t="s">
        <v>46</v>
      </c>
      <c r="I626" s="880"/>
      <c r="J626" s="1012">
        <v>0</v>
      </c>
      <c r="K626" s="998"/>
      <c r="L626" s="998"/>
      <c r="M626" s="998"/>
      <c r="N626" s="998"/>
      <c r="O626" s="998"/>
      <c r="P626" s="998"/>
      <c r="Q626" s="1302"/>
      <c r="R626" s="1302"/>
      <c r="S626" s="1302"/>
      <c r="T626" s="1302"/>
      <c r="U626" s="1302"/>
      <c r="V626" s="1302"/>
      <c r="W626" s="1302"/>
      <c r="X626" s="1302"/>
      <c r="Y626" s="1302"/>
      <c r="Z626" s="1302"/>
    </row>
    <row r="627" spans="1:26" ht="18.75" hidden="1">
      <c r="A627" s="1420"/>
      <c r="B627" s="1421"/>
      <c r="C627" s="1421"/>
      <c r="D627" s="1421"/>
      <c r="E627" s="1169"/>
      <c r="F627" s="1169"/>
      <c r="G627" s="1422"/>
      <c r="H627" s="423" t="s">
        <v>34</v>
      </c>
      <c r="I627" s="1138"/>
      <c r="J627" s="1171">
        <v>0</v>
      </c>
      <c r="K627" s="1139"/>
      <c r="L627" s="1139"/>
      <c r="M627" s="1139"/>
      <c r="N627" s="1139"/>
      <c r="O627" s="1139"/>
      <c r="P627" s="1139"/>
      <c r="Q627" s="1302"/>
      <c r="R627" s="1302"/>
      <c r="S627" s="1302"/>
      <c r="T627" s="1302"/>
      <c r="U627" s="1302"/>
      <c r="V627" s="1302"/>
      <c r="W627" s="1302"/>
      <c r="X627" s="1302"/>
      <c r="Y627" s="1302"/>
      <c r="Z627" s="1302"/>
    </row>
    <row r="628" spans="1:26" ht="19.5">
      <c r="A628" s="734">
        <v>7</v>
      </c>
      <c r="B628" s="1423" t="s">
        <v>271</v>
      </c>
      <c r="C628" s="1424"/>
      <c r="D628" s="1424"/>
      <c r="E628" s="1424"/>
      <c r="F628" s="1424"/>
      <c r="G628" s="1425"/>
      <c r="H628" s="738" t="s">
        <v>35</v>
      </c>
      <c r="I628" s="1426">
        <f t="shared" ref="I628:J628" ca="1" si="261">I651</f>
        <v>7</v>
      </c>
      <c r="J628" s="1426">
        <f t="shared" ca="1" si="261"/>
        <v>22</v>
      </c>
      <c r="K628" s="1427">
        <f ca="1">IF(I628&gt;0,J628*100/I628,0)</f>
        <v>314.28571428571428</v>
      </c>
      <c r="L628" s="1428"/>
      <c r="M628" s="1428"/>
      <c r="N628" s="1428"/>
      <c r="O628" s="1428"/>
      <c r="P628" s="1428"/>
      <c r="Q628" s="1302"/>
      <c r="R628" s="1302"/>
      <c r="S628" s="1302"/>
      <c r="T628" s="1302"/>
      <c r="U628" s="1302"/>
      <c r="V628" s="1302"/>
      <c r="W628" s="1302"/>
      <c r="X628" s="1302"/>
      <c r="Y628" s="1302"/>
      <c r="Z628" s="1302"/>
    </row>
    <row r="629" spans="1:26" ht="19.5">
      <c r="A629" s="1317"/>
      <c r="B629" s="1301"/>
      <c r="C629" s="1301" t="s">
        <v>16</v>
      </c>
      <c r="D629" s="1318" t="s">
        <v>17</v>
      </c>
      <c r="E629" s="841"/>
      <c r="F629" s="841"/>
      <c r="G629" s="1016"/>
      <c r="H629" s="597" t="s">
        <v>12</v>
      </c>
      <c r="I629" s="880"/>
      <c r="J629" s="880"/>
      <c r="K629" s="881"/>
      <c r="L629" s="1020">
        <f t="shared" ref="L629:N629" ca="1" si="262">L630+L631</f>
        <v>167365</v>
      </c>
      <c r="M629" s="1020">
        <f t="shared" ca="1" si="262"/>
        <v>167365</v>
      </c>
      <c r="N629" s="1020">
        <f t="shared" si="262"/>
        <v>67230</v>
      </c>
      <c r="O629" s="1020">
        <f t="shared" ref="O629:O634" ca="1" si="263">IF(L629&gt;0,N629*100/L629,0)</f>
        <v>40.16968900307711</v>
      </c>
      <c r="P629" s="1020">
        <f t="shared" ref="P629:P634" ca="1" si="264">IF(M629&gt;0,N629*100/M629,0)</f>
        <v>40.16968900307711</v>
      </c>
      <c r="Q629" s="1302"/>
      <c r="R629" s="1302"/>
      <c r="S629" s="1302"/>
      <c r="T629" s="1302"/>
      <c r="U629" s="1302"/>
      <c r="V629" s="1302"/>
      <c r="W629" s="1302"/>
      <c r="X629" s="1302"/>
      <c r="Y629" s="1302"/>
      <c r="Z629" s="1302"/>
    </row>
    <row r="630" spans="1:26" ht="18.75" hidden="1">
      <c r="A630" s="1319"/>
      <c r="B630" s="1320"/>
      <c r="C630" s="1320"/>
      <c r="D630" s="1321"/>
      <c r="E630" s="1320" t="s">
        <v>185</v>
      </c>
      <c r="F630" s="1320"/>
      <c r="G630" s="1322"/>
      <c r="H630" s="165" t="s">
        <v>12</v>
      </c>
      <c r="I630" s="886"/>
      <c r="J630" s="886"/>
      <c r="K630" s="887"/>
      <c r="L630" s="887">
        <f t="shared" ref="L630:N631" si="265">L633+L640</f>
        <v>0</v>
      </c>
      <c r="M630" s="887">
        <f t="shared" si="265"/>
        <v>0</v>
      </c>
      <c r="N630" s="887">
        <f t="shared" si="265"/>
        <v>0</v>
      </c>
      <c r="O630" s="887">
        <f t="shared" si="263"/>
        <v>0</v>
      </c>
      <c r="P630" s="887">
        <f t="shared" si="264"/>
        <v>0</v>
      </c>
      <c r="Q630" s="1323"/>
      <c r="R630" s="1323"/>
      <c r="S630" s="1323"/>
      <c r="T630" s="1323"/>
      <c r="U630" s="1323"/>
      <c r="V630" s="1323"/>
      <c r="W630" s="1323"/>
      <c r="X630" s="1323"/>
      <c r="Y630" s="1323"/>
      <c r="Z630" s="1323"/>
    </row>
    <row r="631" spans="1:26" ht="18.75" hidden="1">
      <c r="A631" s="1319"/>
      <c r="B631" s="1324"/>
      <c r="C631" s="1320"/>
      <c r="D631" s="1321"/>
      <c r="E631" s="1320" t="s">
        <v>186</v>
      </c>
      <c r="F631" s="1320"/>
      <c r="G631" s="1322"/>
      <c r="H631" s="165" t="s">
        <v>12</v>
      </c>
      <c r="I631" s="886"/>
      <c r="J631" s="886"/>
      <c r="K631" s="887"/>
      <c r="L631" s="887">
        <f t="shared" ca="1" si="265"/>
        <v>167365</v>
      </c>
      <c r="M631" s="887">
        <f t="shared" ca="1" si="265"/>
        <v>167365</v>
      </c>
      <c r="N631" s="887">
        <f t="shared" si="265"/>
        <v>67230</v>
      </c>
      <c r="O631" s="887">
        <f t="shared" ca="1" si="263"/>
        <v>40.16968900307711</v>
      </c>
      <c r="P631" s="887">
        <f t="shared" ca="1" si="264"/>
        <v>40.16968900307711</v>
      </c>
      <c r="Q631" s="1323"/>
      <c r="R631" s="1323"/>
      <c r="S631" s="1323"/>
      <c r="T631" s="1323"/>
      <c r="U631" s="1323"/>
      <c r="V631" s="1323"/>
      <c r="W631" s="1323"/>
      <c r="X631" s="1323"/>
      <c r="Y631" s="1323"/>
      <c r="Z631" s="1323"/>
    </row>
    <row r="632" spans="1:26" ht="18.75">
      <c r="A632" s="1317"/>
      <c r="B632" s="1300"/>
      <c r="C632" s="1301"/>
      <c r="D632" s="1325" t="s">
        <v>20</v>
      </c>
      <c r="E632" s="1301"/>
      <c r="F632" s="1301"/>
      <c r="G632" s="1016"/>
      <c r="H632" s="161" t="s">
        <v>12</v>
      </c>
      <c r="I632" s="997"/>
      <c r="J632" s="997"/>
      <c r="K632" s="998"/>
      <c r="L632" s="881">
        <f t="shared" ref="L632:N632" ca="1" si="266">L633+L634</f>
        <v>167365</v>
      </c>
      <c r="M632" s="881">
        <f t="shared" ca="1" si="266"/>
        <v>167365</v>
      </c>
      <c r="N632" s="881">
        <f t="shared" si="266"/>
        <v>67230</v>
      </c>
      <c r="O632" s="881">
        <f t="shared" ca="1" si="263"/>
        <v>40.16968900307711</v>
      </c>
      <c r="P632" s="881">
        <f t="shared" ca="1" si="264"/>
        <v>40.16968900307711</v>
      </c>
      <c r="Q632" s="1302"/>
      <c r="R632" s="1302"/>
      <c r="S632" s="1302"/>
      <c r="T632" s="1302"/>
      <c r="U632" s="1302"/>
      <c r="V632" s="1302"/>
      <c r="W632" s="1302"/>
      <c r="X632" s="1302"/>
      <c r="Y632" s="1302"/>
      <c r="Z632" s="1302"/>
    </row>
    <row r="633" spans="1:26" ht="18.75" hidden="1">
      <c r="A633" s="1319"/>
      <c r="B633" s="1324"/>
      <c r="C633" s="1320"/>
      <c r="D633" s="1321"/>
      <c r="E633" s="1320" t="s">
        <v>185</v>
      </c>
      <c r="F633" s="1320"/>
      <c r="G633" s="1322"/>
      <c r="H633" s="165" t="s">
        <v>12</v>
      </c>
      <c r="I633" s="886"/>
      <c r="J633" s="886"/>
      <c r="K633" s="887"/>
      <c r="L633" s="887">
        <v>0</v>
      </c>
      <c r="M633" s="887">
        <v>0</v>
      </c>
      <c r="N633" s="887">
        <v>0</v>
      </c>
      <c r="O633" s="887">
        <f t="shared" si="263"/>
        <v>0</v>
      </c>
      <c r="P633" s="887">
        <f t="shared" si="264"/>
        <v>0</v>
      </c>
      <c r="Q633" s="1323"/>
      <c r="R633" s="1323"/>
      <c r="S633" s="1323"/>
      <c r="T633" s="1323"/>
      <c r="U633" s="1323"/>
      <c r="V633" s="1323"/>
      <c r="W633" s="1323"/>
      <c r="X633" s="1323"/>
      <c r="Y633" s="1323"/>
      <c r="Z633" s="1323"/>
    </row>
    <row r="634" spans="1:26" ht="18.75" hidden="1">
      <c r="A634" s="1319"/>
      <c r="B634" s="1324"/>
      <c r="C634" s="1320"/>
      <c r="D634" s="1321"/>
      <c r="E634" s="1320" t="s">
        <v>186</v>
      </c>
      <c r="F634" s="1320"/>
      <c r="G634" s="1322"/>
      <c r="H634" s="165" t="s">
        <v>12</v>
      </c>
      <c r="I634" s="886"/>
      <c r="J634" s="886"/>
      <c r="K634" s="887"/>
      <c r="L634" s="887">
        <f ca="1">IFERROR(__xludf.DUMMYFUNCTION("IMPORTRANGE(""https://docs.google.com/spreadsheets/d/1QqKyyYR6Q21VydFLVH3TRQUabQu_ym0Zz7PgGX0-kHA/edit?usp=sharing"",""แผน!HN79"")"),167365)</f>
        <v>167365</v>
      </c>
      <c r="M634" s="887">
        <f ca="1">L634</f>
        <v>167365</v>
      </c>
      <c r="N634" s="887">
        <f>N635+N636+N637+N638</f>
        <v>67230</v>
      </c>
      <c r="O634" s="887">
        <f t="shared" ca="1" si="263"/>
        <v>40.16968900307711</v>
      </c>
      <c r="P634" s="887">
        <f t="shared" ca="1" si="264"/>
        <v>40.16968900307711</v>
      </c>
      <c r="Q634" s="1323"/>
      <c r="R634" s="1323"/>
      <c r="S634" s="1323"/>
      <c r="T634" s="1323"/>
      <c r="U634" s="1323"/>
      <c r="V634" s="1323"/>
      <c r="W634" s="1323"/>
      <c r="X634" s="1323"/>
      <c r="Y634" s="1323"/>
      <c r="Z634" s="1323"/>
    </row>
    <row r="635" spans="1:26" ht="18.75">
      <c r="A635" s="1299"/>
      <c r="B635" s="1300"/>
      <c r="C635" s="1301"/>
      <c r="D635" s="1301"/>
      <c r="E635" s="1301"/>
      <c r="F635" s="1301" t="s">
        <v>187</v>
      </c>
      <c r="G635" s="1016"/>
      <c r="H635" s="161" t="s">
        <v>12</v>
      </c>
      <c r="I635" s="880"/>
      <c r="J635" s="880"/>
      <c r="K635" s="881"/>
      <c r="L635" s="881"/>
      <c r="M635" s="881"/>
      <c r="N635" s="1085">
        <v>0</v>
      </c>
      <c r="O635" s="881"/>
      <c r="P635" s="881"/>
      <c r="Q635" s="1302"/>
      <c r="R635" s="1302"/>
      <c r="S635" s="1302"/>
      <c r="T635" s="1302"/>
      <c r="U635" s="1302"/>
      <c r="V635" s="1302"/>
      <c r="W635" s="1302"/>
      <c r="X635" s="1302"/>
      <c r="Y635" s="1302"/>
      <c r="Z635" s="1302"/>
    </row>
    <row r="636" spans="1:26" ht="18.75">
      <c r="A636" s="1299"/>
      <c r="B636" s="1300"/>
      <c r="C636" s="1301"/>
      <c r="D636" s="1301"/>
      <c r="E636" s="1301"/>
      <c r="F636" s="1301" t="s">
        <v>188</v>
      </c>
      <c r="G636" s="1016"/>
      <c r="H636" s="161" t="s">
        <v>12</v>
      </c>
      <c r="I636" s="880"/>
      <c r="J636" s="880"/>
      <c r="K636" s="881"/>
      <c r="L636" s="881"/>
      <c r="M636" s="881"/>
      <c r="N636" s="1085">
        <v>0</v>
      </c>
      <c r="O636" s="881"/>
      <c r="P636" s="881"/>
      <c r="Q636" s="1302"/>
      <c r="R636" s="1302"/>
      <c r="S636" s="1302"/>
      <c r="T636" s="1302"/>
      <c r="U636" s="1302"/>
      <c r="V636" s="1302"/>
      <c r="W636" s="1302"/>
      <c r="X636" s="1302"/>
      <c r="Y636" s="1302"/>
      <c r="Z636" s="1302"/>
    </row>
    <row r="637" spans="1:26" ht="18.75">
      <c r="A637" s="1299"/>
      <c r="B637" s="1300"/>
      <c r="C637" s="1301"/>
      <c r="D637" s="1301"/>
      <c r="E637" s="1301"/>
      <c r="F637" s="1301" t="s">
        <v>189</v>
      </c>
      <c r="G637" s="1016"/>
      <c r="H637" s="161" t="s">
        <v>12</v>
      </c>
      <c r="I637" s="880"/>
      <c r="J637" s="880"/>
      <c r="K637" s="881"/>
      <c r="L637" s="881"/>
      <c r="M637" s="881"/>
      <c r="N637" s="1085">
        <v>0</v>
      </c>
      <c r="O637" s="881"/>
      <c r="P637" s="881"/>
      <c r="Q637" s="1302"/>
      <c r="R637" s="1302"/>
      <c r="S637" s="1302"/>
      <c r="T637" s="1302"/>
      <c r="U637" s="1302"/>
      <c r="V637" s="1302"/>
      <c r="W637" s="1302"/>
      <c r="X637" s="1302"/>
      <c r="Y637" s="1302"/>
      <c r="Z637" s="1302"/>
    </row>
    <row r="638" spans="1:26" ht="18.75">
      <c r="A638" s="1299"/>
      <c r="B638" s="1300"/>
      <c r="C638" s="1301"/>
      <c r="D638" s="1301"/>
      <c r="E638" s="1301"/>
      <c r="F638" s="1301" t="s">
        <v>190</v>
      </c>
      <c r="G638" s="1016"/>
      <c r="H638" s="161" t="s">
        <v>12</v>
      </c>
      <c r="I638" s="880"/>
      <c r="J638" s="880"/>
      <c r="K638" s="881"/>
      <c r="L638" s="881"/>
      <c r="M638" s="881"/>
      <c r="N638" s="1085">
        <f>[1]ผลการเบิกจ่ายเงินกองทุน!F36</f>
        <v>67230</v>
      </c>
      <c r="O638" s="881"/>
      <c r="P638" s="881"/>
      <c r="Q638" s="1302"/>
      <c r="R638" s="1302"/>
      <c r="S638" s="1302"/>
      <c r="T638" s="1302"/>
      <c r="U638" s="1302"/>
      <c r="V638" s="1302"/>
      <c r="W638" s="1302"/>
      <c r="X638" s="1302"/>
      <c r="Y638" s="1302"/>
      <c r="Z638" s="1302"/>
    </row>
    <row r="639" spans="1:26" ht="18.75">
      <c r="A639" s="1317"/>
      <c r="B639" s="1300"/>
      <c r="C639" s="1301"/>
      <c r="D639" s="1325" t="s">
        <v>21</v>
      </c>
      <c r="E639" s="1301"/>
      <c r="F639" s="1301"/>
      <c r="G639" s="1016"/>
      <c r="H639" s="168" t="s">
        <v>12</v>
      </c>
      <c r="I639" s="997"/>
      <c r="J639" s="997"/>
      <c r="K639" s="998"/>
      <c r="L639" s="881">
        <f t="shared" ref="L639:N639" ca="1" si="267">L640+L641</f>
        <v>0</v>
      </c>
      <c r="M639" s="881">
        <f t="shared" si="267"/>
        <v>0</v>
      </c>
      <c r="N639" s="881">
        <f t="shared" si="267"/>
        <v>0</v>
      </c>
      <c r="O639" s="881">
        <f t="shared" ref="O639:O641" ca="1" si="268">IF(L639&gt;0,N639*100/L639,0)</f>
        <v>0</v>
      </c>
      <c r="P639" s="881">
        <f t="shared" ref="P639:P641" si="269">IF(M639&gt;0,N639*100/M639,0)</f>
        <v>0</v>
      </c>
      <c r="Q639" s="1302"/>
      <c r="R639" s="1302"/>
      <c r="S639" s="1302"/>
      <c r="T639" s="1302"/>
      <c r="U639" s="1302"/>
      <c r="V639" s="1302"/>
      <c r="W639" s="1302"/>
      <c r="X639" s="1302"/>
      <c r="Y639" s="1302"/>
      <c r="Z639" s="1302"/>
    </row>
    <row r="640" spans="1:26" ht="18.75" hidden="1">
      <c r="A640" s="1319"/>
      <c r="B640" s="1324"/>
      <c r="C640" s="1320"/>
      <c r="D640" s="1320"/>
      <c r="E640" s="1320" t="s">
        <v>18</v>
      </c>
      <c r="F640" s="1320"/>
      <c r="G640" s="1322"/>
      <c r="H640" s="165" t="s">
        <v>12</v>
      </c>
      <c r="I640" s="1000"/>
      <c r="J640" s="1000"/>
      <c r="K640" s="1001"/>
      <c r="L640" s="887">
        <v>0</v>
      </c>
      <c r="M640" s="887">
        <v>0</v>
      </c>
      <c r="N640" s="887">
        <v>0</v>
      </c>
      <c r="O640" s="887">
        <f t="shared" si="268"/>
        <v>0</v>
      </c>
      <c r="P640" s="887">
        <f t="shared" si="269"/>
        <v>0</v>
      </c>
      <c r="Q640" s="1323"/>
      <c r="R640" s="1323"/>
      <c r="S640" s="1323"/>
      <c r="T640" s="1323"/>
      <c r="U640" s="1323"/>
      <c r="V640" s="1323"/>
      <c r="W640" s="1323"/>
      <c r="X640" s="1323"/>
      <c r="Y640" s="1323"/>
      <c r="Z640" s="1323"/>
    </row>
    <row r="641" spans="1:26" ht="18.75" hidden="1">
      <c r="A641" s="1319"/>
      <c r="B641" s="1324"/>
      <c r="C641" s="1320"/>
      <c r="D641" s="1320"/>
      <c r="E641" s="1320" t="s">
        <v>19</v>
      </c>
      <c r="F641" s="1320"/>
      <c r="G641" s="1322"/>
      <c r="H641" s="169" t="s">
        <v>12</v>
      </c>
      <c r="I641" s="1000"/>
      <c r="J641" s="1000"/>
      <c r="K641" s="1001"/>
      <c r="L641" s="887">
        <f ca="1">IFERROR(__xludf.DUMMYFUNCTION("IMPORTRANGE(""https://docs.google.com/spreadsheets/d/1QqKyyYR6Q21VydFLVH3TRQUabQu_ym0Zz7PgGX0-kHA/edit?usp=sharing"",""แผน!HQ79"")"),0)</f>
        <v>0</v>
      </c>
      <c r="M641" s="887">
        <v>0</v>
      </c>
      <c r="N641" s="887">
        <v>0</v>
      </c>
      <c r="O641" s="887">
        <f t="shared" ca="1" si="268"/>
        <v>0</v>
      </c>
      <c r="P641" s="887">
        <f t="shared" si="269"/>
        <v>0</v>
      </c>
      <c r="Q641" s="1323"/>
      <c r="R641" s="1323"/>
      <c r="S641" s="1323"/>
      <c r="T641" s="1323"/>
      <c r="U641" s="1323"/>
      <c r="V641" s="1323"/>
      <c r="W641" s="1323"/>
      <c r="X641" s="1323"/>
      <c r="Y641" s="1323"/>
      <c r="Z641" s="1323"/>
    </row>
    <row r="642" spans="1:26" ht="19.5">
      <c r="A642" s="1326"/>
      <c r="B642" s="1327"/>
      <c r="C642" s="1301" t="s">
        <v>16</v>
      </c>
      <c r="D642" s="1380" t="s">
        <v>38</v>
      </c>
      <c r="E642" s="1330"/>
      <c r="F642" s="1330"/>
      <c r="G642" s="1331"/>
      <c r="H642" s="1007"/>
      <c r="I642" s="997"/>
      <c r="J642" s="997"/>
      <c r="K642" s="998"/>
      <c r="L642" s="998"/>
      <c r="M642" s="998"/>
      <c r="N642" s="998"/>
      <c r="O642" s="998"/>
      <c r="P642" s="998"/>
      <c r="Q642" s="1302"/>
      <c r="R642" s="1302"/>
      <c r="S642" s="1302"/>
      <c r="T642" s="1302"/>
      <c r="U642" s="1302"/>
      <c r="V642" s="1302"/>
      <c r="W642" s="1302"/>
      <c r="X642" s="1302"/>
      <c r="Y642" s="1302"/>
      <c r="Z642" s="1302"/>
    </row>
    <row r="643" spans="1:26" ht="18.75">
      <c r="A643" s="1429"/>
      <c r="B643" s="1300"/>
      <c r="C643" s="1301"/>
      <c r="D643" s="1014"/>
      <c r="E643" s="1069" t="s">
        <v>272</v>
      </c>
      <c r="F643" s="1014"/>
      <c r="G643" s="1007"/>
      <c r="H643" s="762" t="s">
        <v>273</v>
      </c>
      <c r="I643" s="880">
        <f ca="1">IFERROR(__xludf.DUMMYFUNCTION("IMPORTRANGE(""https://docs.google.com/spreadsheets/d/1QqKyyYR6Q21VydFLVH3TRQUabQu_ym0Zz7PgGX0-kHA/edit?usp=sharing"",""แผน!HR79"")"),0)</f>
        <v>0</v>
      </c>
      <c r="J643" s="1012">
        <v>0</v>
      </c>
      <c r="K643" s="998">
        <f t="shared" ref="K643:K652" ca="1" si="270">IF(I643&gt;0,J643*100/I643,0)</f>
        <v>0</v>
      </c>
      <c r="L643" s="998"/>
      <c r="M643" s="998"/>
      <c r="N643" s="881"/>
      <c r="O643" s="998"/>
      <c r="P643" s="998"/>
      <c r="Q643" s="1302"/>
      <c r="R643" s="1302"/>
      <c r="S643" s="1302"/>
      <c r="T643" s="1302"/>
      <c r="U643" s="1302"/>
      <c r="V643" s="1302"/>
      <c r="W643" s="1302"/>
      <c r="X643" s="1302"/>
      <c r="Y643" s="1302"/>
      <c r="Z643" s="1302"/>
    </row>
    <row r="644" spans="1:26" ht="18.75">
      <c r="A644" s="1429"/>
      <c r="B644" s="1300"/>
      <c r="C644" s="1301"/>
      <c r="D644" s="1014"/>
      <c r="E644" s="1069" t="s">
        <v>274</v>
      </c>
      <c r="F644" s="1014"/>
      <c r="G644" s="1007"/>
      <c r="H644" s="762" t="s">
        <v>275</v>
      </c>
      <c r="I644" s="880">
        <f ca="1">IFERROR(__xludf.DUMMYFUNCTION("IMPORTRANGE(""https://docs.google.com/spreadsheets/d/1QqKyyYR6Q21VydFLVH3TRQUabQu_ym0Zz7PgGX0-kHA/edit?usp=sharing"",""แผน!HR79"")"),0)</f>
        <v>0</v>
      </c>
      <c r="J644" s="1012">
        <v>0</v>
      </c>
      <c r="K644" s="998">
        <f t="shared" ca="1" si="270"/>
        <v>0</v>
      </c>
      <c r="L644" s="998"/>
      <c r="M644" s="998"/>
      <c r="N644" s="881"/>
      <c r="O644" s="998"/>
      <c r="P644" s="998"/>
      <c r="Q644" s="1302"/>
      <c r="R644" s="1302"/>
      <c r="S644" s="1302"/>
      <c r="T644" s="1302"/>
      <c r="U644" s="1302"/>
      <c r="V644" s="1302"/>
      <c r="W644" s="1302"/>
      <c r="X644" s="1302"/>
      <c r="Y644" s="1302"/>
      <c r="Z644" s="1302"/>
    </row>
    <row r="645" spans="1:26" ht="18.75">
      <c r="A645" s="1429"/>
      <c r="B645" s="1300"/>
      <c r="C645" s="1301"/>
      <c r="D645" s="1014"/>
      <c r="E645" s="1069" t="s">
        <v>276</v>
      </c>
      <c r="F645" s="1014"/>
      <c r="G645" s="1007"/>
      <c r="H645" s="762" t="s">
        <v>34</v>
      </c>
      <c r="I645" s="880">
        <v>0</v>
      </c>
      <c r="J645" s="880">
        <f ca="1">IFERROR(__xludf.DUMMYFUNCTION("IMPORTRANGE(""https://docs.google.com/spreadsheets/d/1XWAQStnk-4SwqDmLtmXYiTMKHgktTP8We1SCoS47DrQ/edit?usp=sharing"",""จัดที่ดิน!AS79"")"),23)</f>
        <v>23</v>
      </c>
      <c r="K645" s="998">
        <f t="shared" si="270"/>
        <v>0</v>
      </c>
      <c r="L645" s="998"/>
      <c r="M645" s="998"/>
      <c r="N645" s="881"/>
      <c r="O645" s="998"/>
      <c r="P645" s="998"/>
      <c r="Q645" s="1302"/>
      <c r="R645" s="1302"/>
      <c r="S645" s="1302"/>
      <c r="T645" s="1302"/>
      <c r="U645" s="1302"/>
      <c r="V645" s="1302"/>
      <c r="W645" s="1302"/>
      <c r="X645" s="1302"/>
      <c r="Y645" s="1302"/>
      <c r="Z645" s="1302"/>
    </row>
    <row r="646" spans="1:26" ht="18.75">
      <c r="A646" s="1429"/>
      <c r="B646" s="1300"/>
      <c r="C646" s="1301"/>
      <c r="D646" s="1014"/>
      <c r="E646" s="1014"/>
      <c r="F646" s="1014"/>
      <c r="G646" s="1007"/>
      <c r="H646" s="762" t="s">
        <v>46</v>
      </c>
      <c r="I646" s="880">
        <v>0</v>
      </c>
      <c r="J646" s="880">
        <f ca="1">IFERROR(__xludf.DUMMYFUNCTION("IMPORTRANGE(""https://docs.google.com/spreadsheets/d/1XWAQStnk-4SwqDmLtmXYiTMKHgktTP8We1SCoS47DrQ/edit?usp=sharing"",""จัดที่ดิน!AT79"")"),5.61)</f>
        <v>5.61</v>
      </c>
      <c r="K646" s="881">
        <f t="shared" si="270"/>
        <v>0</v>
      </c>
      <c r="L646" s="998"/>
      <c r="M646" s="998"/>
      <c r="N646" s="881"/>
      <c r="O646" s="998"/>
      <c r="P646" s="998"/>
      <c r="Q646" s="1302"/>
      <c r="R646" s="1302"/>
      <c r="S646" s="1302"/>
      <c r="T646" s="1302"/>
      <c r="U646" s="1302"/>
      <c r="V646" s="1302"/>
      <c r="W646" s="1302"/>
      <c r="X646" s="1302"/>
      <c r="Y646" s="1302"/>
      <c r="Z646" s="1302"/>
    </row>
    <row r="647" spans="1:26" ht="18.75">
      <c r="A647" s="1429"/>
      <c r="B647" s="1300"/>
      <c r="C647" s="1301"/>
      <c r="D647" s="1014"/>
      <c r="E647" s="1069" t="s">
        <v>162</v>
      </c>
      <c r="F647" s="1014"/>
      <c r="G647" s="1007"/>
      <c r="H647" s="762" t="s">
        <v>35</v>
      </c>
      <c r="I647" s="880">
        <f ca="1">IFERROR(__xludf.DUMMYFUNCTION("IMPORTRANGE(""https://docs.google.com/spreadsheets/d/1QqKyyYR6Q21VydFLVH3TRQUabQu_ym0Zz7PgGX0-kHA/edit?usp=sharing"",""แผน!HS79"")"),7)</f>
        <v>7</v>
      </c>
      <c r="J647" s="880">
        <f ca="1">IFERROR(__xludf.DUMMYFUNCTION("IMPORTRANGE(""https://docs.google.com/spreadsheets/d/1XWAQStnk-4SwqDmLtmXYiTMKHgktTP8We1SCoS47DrQ/edit?usp=sharing"",""จัดที่ดิน!AU79"")"),22)</f>
        <v>22</v>
      </c>
      <c r="K647" s="998">
        <f t="shared" ca="1" si="270"/>
        <v>314.28571428571428</v>
      </c>
      <c r="L647" s="998"/>
      <c r="M647" s="998"/>
      <c r="N647" s="998"/>
      <c r="O647" s="998"/>
      <c r="P647" s="998"/>
      <c r="Q647" s="1302"/>
      <c r="R647" s="1302"/>
      <c r="S647" s="1302"/>
      <c r="T647" s="1302"/>
      <c r="U647" s="1302"/>
      <c r="V647" s="1302"/>
      <c r="W647" s="1302"/>
      <c r="X647" s="1302"/>
      <c r="Y647" s="1302"/>
      <c r="Z647" s="1302"/>
    </row>
    <row r="648" spans="1:26" ht="18.75">
      <c r="A648" s="1429"/>
      <c r="B648" s="1300"/>
      <c r="C648" s="1301"/>
      <c r="D648" s="1014"/>
      <c r="E648" s="1014"/>
      <c r="F648" s="1014"/>
      <c r="G648" s="1007"/>
      <c r="H648" s="762" t="s">
        <v>46</v>
      </c>
      <c r="I648" s="880">
        <v>0</v>
      </c>
      <c r="J648" s="880">
        <f ca="1">IFERROR(__xludf.DUMMYFUNCTION("IMPORTRANGE(""https://docs.google.com/spreadsheets/d/1XWAQStnk-4SwqDmLtmXYiTMKHgktTP8We1SCoS47DrQ/edit?usp=sharing"",""จัดที่ดิน!AV79"")"),5.38)</f>
        <v>5.38</v>
      </c>
      <c r="K648" s="881">
        <f t="shared" si="270"/>
        <v>0</v>
      </c>
      <c r="L648" s="998"/>
      <c r="M648" s="998"/>
      <c r="N648" s="998"/>
      <c r="O648" s="998"/>
      <c r="P648" s="998"/>
      <c r="Q648" s="1302"/>
      <c r="R648" s="1302"/>
      <c r="S648" s="1302"/>
      <c r="T648" s="1302"/>
      <c r="U648" s="1302"/>
      <c r="V648" s="1302"/>
      <c r="W648" s="1302"/>
      <c r="X648" s="1302"/>
      <c r="Y648" s="1302"/>
      <c r="Z648" s="1302"/>
    </row>
    <row r="649" spans="1:26" ht="18.75">
      <c r="A649" s="1429"/>
      <c r="B649" s="1300"/>
      <c r="C649" s="1301"/>
      <c r="D649" s="1014"/>
      <c r="E649" s="1069" t="s">
        <v>277</v>
      </c>
      <c r="F649" s="1014"/>
      <c r="G649" s="1007"/>
      <c r="H649" s="762" t="s">
        <v>35</v>
      </c>
      <c r="I649" s="880">
        <f ca="1">IFERROR(__xludf.DUMMYFUNCTION("IMPORTRANGE(""https://docs.google.com/spreadsheets/d/1QqKyyYR6Q21VydFLVH3TRQUabQu_ym0Zz7PgGX0-kHA/edit?usp=sharing"",""แผน!HS79"")"),7)</f>
        <v>7</v>
      </c>
      <c r="J649" s="880">
        <f ca="1">IFERROR(__xludf.DUMMYFUNCTION("IMPORTRANGE(""https://docs.google.com/spreadsheets/d/1XWAQStnk-4SwqDmLtmXYiTMKHgktTP8We1SCoS47DrQ/edit?usp=sharing"",""จัดที่ดิน!AW79"")"),22)</f>
        <v>22</v>
      </c>
      <c r="K649" s="998">
        <f t="shared" ca="1" si="270"/>
        <v>314.28571428571428</v>
      </c>
      <c r="L649" s="998"/>
      <c r="M649" s="998"/>
      <c r="N649" s="998"/>
      <c r="O649" s="998"/>
      <c r="P649" s="998"/>
      <c r="Q649" s="1302"/>
      <c r="R649" s="1302"/>
      <c r="S649" s="1302"/>
      <c r="T649" s="1302"/>
      <c r="U649" s="1302"/>
      <c r="V649" s="1302"/>
      <c r="W649" s="1302"/>
      <c r="X649" s="1302"/>
      <c r="Y649" s="1302"/>
      <c r="Z649" s="1302"/>
    </row>
    <row r="650" spans="1:26" ht="18.75">
      <c r="A650" s="1429"/>
      <c r="B650" s="1300"/>
      <c r="C650" s="1301"/>
      <c r="D650" s="1014"/>
      <c r="E650" s="1014"/>
      <c r="F650" s="1014"/>
      <c r="G650" s="1007"/>
      <c r="H650" s="762" t="s">
        <v>46</v>
      </c>
      <c r="I650" s="880">
        <v>0</v>
      </c>
      <c r="J650" s="880">
        <f ca="1">IFERROR(__xludf.DUMMYFUNCTION("IMPORTRANGE(""https://docs.google.com/spreadsheets/d/1XWAQStnk-4SwqDmLtmXYiTMKHgktTP8We1SCoS47DrQ/edit?usp=sharing"",""จัดที่ดิน!AX79"")"),5.38)</f>
        <v>5.38</v>
      </c>
      <c r="K650" s="881">
        <f t="shared" si="270"/>
        <v>0</v>
      </c>
      <c r="L650" s="998"/>
      <c r="M650" s="998"/>
      <c r="N650" s="998"/>
      <c r="O650" s="998"/>
      <c r="P650" s="998"/>
      <c r="Q650" s="1302"/>
      <c r="R650" s="1302"/>
      <c r="S650" s="1302"/>
      <c r="T650" s="1302"/>
      <c r="U650" s="1302"/>
      <c r="V650" s="1302"/>
      <c r="W650" s="1302"/>
      <c r="X650" s="1302"/>
      <c r="Y650" s="1302"/>
      <c r="Z650" s="1302"/>
    </row>
    <row r="651" spans="1:26" ht="18.75">
      <c r="A651" s="1429"/>
      <c r="B651" s="1300"/>
      <c r="C651" s="1301"/>
      <c r="D651" s="1014"/>
      <c r="E651" s="1069" t="s">
        <v>278</v>
      </c>
      <c r="F651" s="1014"/>
      <c r="G651" s="1007"/>
      <c r="H651" s="762" t="s">
        <v>35</v>
      </c>
      <c r="I651" s="880">
        <f ca="1">IFERROR(__xludf.DUMMYFUNCTION("IMPORTRANGE(""https://docs.google.com/spreadsheets/d/1QqKyyYR6Q21VydFLVH3TRQUabQu_ym0Zz7PgGX0-kHA/edit?usp=sharing"",""แผน!HS79"")"),7)</f>
        <v>7</v>
      </c>
      <c r="J651" s="880">
        <f ca="1">IFERROR(__xludf.DUMMYFUNCTION("IMPORTRANGE(""https://docs.google.com/spreadsheets/d/1XWAQStnk-4SwqDmLtmXYiTMKHgktTP8We1SCoS47DrQ/edit?usp=sharing"",""จัดที่ดิน!AY79"")"),22)</f>
        <v>22</v>
      </c>
      <c r="K651" s="998">
        <f t="shared" ca="1" si="270"/>
        <v>314.28571428571428</v>
      </c>
      <c r="L651" s="998"/>
      <c r="M651" s="998"/>
      <c r="N651" s="998"/>
      <c r="O651" s="998"/>
      <c r="P651" s="998"/>
      <c r="Q651" s="1302"/>
      <c r="R651" s="1302"/>
      <c r="S651" s="1302"/>
      <c r="T651" s="1302"/>
      <c r="U651" s="1302"/>
      <c r="V651" s="1302"/>
      <c r="W651" s="1302"/>
      <c r="X651" s="1302"/>
      <c r="Y651" s="1302"/>
      <c r="Z651" s="1302"/>
    </row>
    <row r="652" spans="1:26" ht="18.75">
      <c r="A652" s="1430"/>
      <c r="B652" s="1431"/>
      <c r="C652" s="1432"/>
      <c r="D652" s="1169"/>
      <c r="E652" s="1169"/>
      <c r="F652" s="1169"/>
      <c r="G652" s="1422"/>
      <c r="H652" s="504" t="s">
        <v>46</v>
      </c>
      <c r="I652" s="1138">
        <v>0</v>
      </c>
      <c r="J652" s="1138">
        <f ca="1">IFERROR(__xludf.DUMMYFUNCTION("IMPORTRANGE(""https://docs.google.com/spreadsheets/d/1XWAQStnk-4SwqDmLtmXYiTMKHgktTP8We1SCoS47DrQ/edit?usp=sharing"",""จัดที่ดิน!AZ79"")"),5.3825)</f>
        <v>5.3825000000000003</v>
      </c>
      <c r="K652" s="1239">
        <f t="shared" si="270"/>
        <v>0</v>
      </c>
      <c r="L652" s="1139"/>
      <c r="M652" s="1139"/>
      <c r="N652" s="1139"/>
      <c r="O652" s="1139"/>
      <c r="P652" s="1139"/>
      <c r="Q652" s="1302"/>
      <c r="R652" s="1302"/>
      <c r="S652" s="1302"/>
      <c r="T652" s="1302"/>
      <c r="U652" s="1302"/>
      <c r="V652" s="1302"/>
      <c r="W652" s="1302"/>
      <c r="X652" s="1302"/>
      <c r="Y652" s="1302"/>
      <c r="Z652" s="1302"/>
    </row>
    <row r="653" spans="1:26" ht="19.5">
      <c r="A653" s="748">
        <v>8</v>
      </c>
      <c r="B653" s="1423" t="s">
        <v>279</v>
      </c>
      <c r="C653" s="1424"/>
      <c r="D653" s="1424"/>
      <c r="E653" s="1424"/>
      <c r="F653" s="1424"/>
      <c r="G653" s="1425"/>
      <c r="H653" s="1425"/>
      <c r="I653" s="1433"/>
      <c r="J653" s="1433"/>
      <c r="K653" s="1428"/>
      <c r="L653" s="1428"/>
      <c r="M653" s="1428"/>
      <c r="N653" s="1428"/>
      <c r="O653" s="1428"/>
      <c r="P653" s="1428"/>
      <c r="Q653" s="1302"/>
      <c r="R653" s="1302"/>
      <c r="S653" s="1302"/>
      <c r="T653" s="1302"/>
      <c r="U653" s="1302"/>
      <c r="V653" s="1302"/>
      <c r="W653" s="1302"/>
      <c r="X653" s="1302"/>
      <c r="Y653" s="1302"/>
      <c r="Z653" s="1302"/>
    </row>
    <row r="654" spans="1:26" ht="19.5">
      <c r="A654" s="1375"/>
      <c r="B654" s="1374" t="s">
        <v>280</v>
      </c>
      <c r="C654" s="1375"/>
      <c r="D654" s="1375"/>
      <c r="E654" s="1375"/>
      <c r="F654" s="1375"/>
      <c r="G654" s="1376"/>
      <c r="H654" s="705" t="s">
        <v>46</v>
      </c>
      <c r="I654" s="1377">
        <f t="shared" ref="I654:J654" ca="1" si="271">I669</f>
        <v>50</v>
      </c>
      <c r="J654" s="1377">
        <f t="shared" si="271"/>
        <v>0</v>
      </c>
      <c r="K654" s="1378">
        <f ca="1">IF(I654&gt;0,J654*100/I654,0)</f>
        <v>0</v>
      </c>
      <c r="L654" s="1379"/>
      <c r="M654" s="1379"/>
      <c r="N654" s="1379"/>
      <c r="O654" s="1379"/>
      <c r="P654" s="1379"/>
      <c r="Q654" s="1302"/>
      <c r="R654" s="1302"/>
      <c r="S654" s="1302"/>
      <c r="T654" s="1302"/>
      <c r="U654" s="1302"/>
      <c r="V654" s="1302"/>
      <c r="W654" s="1302"/>
      <c r="X654" s="1302"/>
      <c r="Y654" s="1302"/>
      <c r="Z654" s="1302"/>
    </row>
    <row r="655" spans="1:26" ht="19.5">
      <c r="A655" s="1317"/>
      <c r="B655" s="1301"/>
      <c r="C655" s="1301" t="s">
        <v>16</v>
      </c>
      <c r="D655" s="1318" t="s">
        <v>17</v>
      </c>
      <c r="E655" s="841"/>
      <c r="F655" s="841"/>
      <c r="G655" s="1016"/>
      <c r="H655" s="597" t="s">
        <v>12</v>
      </c>
      <c r="I655" s="880"/>
      <c r="J655" s="880"/>
      <c r="K655" s="881"/>
      <c r="L655" s="1020">
        <f t="shared" ref="L655:N655" ca="1" si="272">L656+L657</f>
        <v>11000</v>
      </c>
      <c r="M655" s="1020">
        <f t="shared" ca="1" si="272"/>
        <v>11000</v>
      </c>
      <c r="N655" s="1020">
        <f t="shared" si="272"/>
        <v>11000</v>
      </c>
      <c r="O655" s="1020">
        <f t="shared" ref="O655:O660" ca="1" si="273">IF(L655&gt;0,N655*100/L655,0)</f>
        <v>100</v>
      </c>
      <c r="P655" s="1020">
        <f t="shared" ref="P655:P660" ca="1" si="274">IF(M655&gt;0,N655*100/M655,0)</f>
        <v>100</v>
      </c>
      <c r="Q655" s="1302"/>
      <c r="R655" s="1302"/>
      <c r="S655" s="1302"/>
      <c r="T655" s="1302"/>
      <c r="U655" s="1302"/>
      <c r="V655" s="1302"/>
      <c r="W655" s="1302"/>
      <c r="X655" s="1302"/>
      <c r="Y655" s="1302"/>
      <c r="Z655" s="1302"/>
    </row>
    <row r="656" spans="1:26" ht="18.75" hidden="1">
      <c r="A656" s="1319"/>
      <c r="B656" s="1320"/>
      <c r="C656" s="1320"/>
      <c r="D656" s="1321"/>
      <c r="E656" s="1320" t="s">
        <v>185</v>
      </c>
      <c r="F656" s="1320"/>
      <c r="G656" s="1322"/>
      <c r="H656" s="165" t="s">
        <v>12</v>
      </c>
      <c r="I656" s="886"/>
      <c r="J656" s="886"/>
      <c r="K656" s="887"/>
      <c r="L656" s="887">
        <f t="shared" ref="L656:N657" si="275">L659+L666</f>
        <v>0</v>
      </c>
      <c r="M656" s="887">
        <f t="shared" si="275"/>
        <v>0</v>
      </c>
      <c r="N656" s="887">
        <f t="shared" si="275"/>
        <v>0</v>
      </c>
      <c r="O656" s="887">
        <f t="shared" si="273"/>
        <v>0</v>
      </c>
      <c r="P656" s="887">
        <f t="shared" si="274"/>
        <v>0</v>
      </c>
      <c r="Q656" s="1323"/>
      <c r="R656" s="1323"/>
      <c r="S656" s="1323"/>
      <c r="T656" s="1323"/>
      <c r="U656" s="1323"/>
      <c r="V656" s="1323"/>
      <c r="W656" s="1323"/>
      <c r="X656" s="1323"/>
      <c r="Y656" s="1323"/>
      <c r="Z656" s="1323"/>
    </row>
    <row r="657" spans="1:26" ht="18.75" hidden="1">
      <c r="A657" s="1319"/>
      <c r="B657" s="1324"/>
      <c r="C657" s="1320"/>
      <c r="D657" s="1321"/>
      <c r="E657" s="1320" t="s">
        <v>186</v>
      </c>
      <c r="F657" s="1320"/>
      <c r="G657" s="1322"/>
      <c r="H657" s="165" t="s">
        <v>12</v>
      </c>
      <c r="I657" s="886"/>
      <c r="J657" s="886"/>
      <c r="K657" s="887"/>
      <c r="L657" s="887">
        <f t="shared" ca="1" si="275"/>
        <v>11000</v>
      </c>
      <c r="M657" s="887">
        <f t="shared" ca="1" si="275"/>
        <v>11000</v>
      </c>
      <c r="N657" s="887">
        <f t="shared" si="275"/>
        <v>11000</v>
      </c>
      <c r="O657" s="887">
        <f t="shared" ca="1" si="273"/>
        <v>100</v>
      </c>
      <c r="P657" s="887">
        <f t="shared" ca="1" si="274"/>
        <v>100</v>
      </c>
      <c r="Q657" s="1323"/>
      <c r="R657" s="1323"/>
      <c r="S657" s="1323"/>
      <c r="T657" s="1323"/>
      <c r="U657" s="1323"/>
      <c r="V657" s="1323"/>
      <c r="W657" s="1323"/>
      <c r="X657" s="1323"/>
      <c r="Y657" s="1323"/>
      <c r="Z657" s="1323"/>
    </row>
    <row r="658" spans="1:26" ht="18.75">
      <c r="A658" s="1317"/>
      <c r="B658" s="1300"/>
      <c r="C658" s="1301"/>
      <c r="D658" s="1325" t="s">
        <v>20</v>
      </c>
      <c r="E658" s="1301"/>
      <c r="F658" s="1301"/>
      <c r="G658" s="1016"/>
      <c r="H658" s="161" t="s">
        <v>12</v>
      </c>
      <c r="I658" s="997"/>
      <c r="J658" s="997"/>
      <c r="K658" s="998"/>
      <c r="L658" s="881">
        <f t="shared" ref="L658:N658" ca="1" si="276">L659+L660</f>
        <v>11000</v>
      </c>
      <c r="M658" s="881">
        <f t="shared" ca="1" si="276"/>
        <v>11000</v>
      </c>
      <c r="N658" s="881">
        <f t="shared" si="276"/>
        <v>11000</v>
      </c>
      <c r="O658" s="881">
        <f t="shared" ca="1" si="273"/>
        <v>100</v>
      </c>
      <c r="P658" s="881">
        <f t="shared" ca="1" si="274"/>
        <v>100</v>
      </c>
      <c r="Q658" s="1302"/>
      <c r="R658" s="1302"/>
      <c r="S658" s="1302"/>
      <c r="T658" s="1302"/>
      <c r="U658" s="1302"/>
      <c r="V658" s="1302"/>
      <c r="W658" s="1302"/>
      <c r="X658" s="1302"/>
      <c r="Y658" s="1302"/>
      <c r="Z658" s="1302"/>
    </row>
    <row r="659" spans="1:26" ht="18.75" hidden="1">
      <c r="A659" s="1319"/>
      <c r="B659" s="1324"/>
      <c r="C659" s="1320"/>
      <c r="D659" s="1321"/>
      <c r="E659" s="1320" t="s">
        <v>185</v>
      </c>
      <c r="F659" s="1320"/>
      <c r="G659" s="1322"/>
      <c r="H659" s="165" t="s">
        <v>12</v>
      </c>
      <c r="I659" s="886"/>
      <c r="J659" s="886"/>
      <c r="K659" s="887"/>
      <c r="L659" s="887">
        <v>0</v>
      </c>
      <c r="M659" s="887">
        <v>0</v>
      </c>
      <c r="N659" s="887">
        <v>0</v>
      </c>
      <c r="O659" s="887">
        <f t="shared" si="273"/>
        <v>0</v>
      </c>
      <c r="P659" s="887">
        <f t="shared" si="274"/>
        <v>0</v>
      </c>
      <c r="Q659" s="1323"/>
      <c r="R659" s="1323"/>
      <c r="S659" s="1323"/>
      <c r="T659" s="1323"/>
      <c r="U659" s="1323"/>
      <c r="V659" s="1323"/>
      <c r="W659" s="1323"/>
      <c r="X659" s="1323"/>
      <c r="Y659" s="1323"/>
      <c r="Z659" s="1323"/>
    </row>
    <row r="660" spans="1:26" ht="18.75" hidden="1">
      <c r="A660" s="1319"/>
      <c r="B660" s="1324"/>
      <c r="C660" s="1320"/>
      <c r="D660" s="1321"/>
      <c r="E660" s="1320" t="s">
        <v>186</v>
      </c>
      <c r="F660" s="1320"/>
      <c r="G660" s="1322"/>
      <c r="H660" s="165" t="s">
        <v>12</v>
      </c>
      <c r="I660" s="886"/>
      <c r="J660" s="886"/>
      <c r="K660" s="887"/>
      <c r="L660" s="887">
        <f ca="1">IFERROR(__xludf.DUMMYFUNCTION("IMPORTRANGE(""https://docs.google.com/spreadsheets/d/1QqKyyYR6Q21VydFLVH3TRQUabQu_ym0Zz7PgGX0-kHA/edit?usp=sharing"",""แผน!HV79"")"),11000)</f>
        <v>11000</v>
      </c>
      <c r="M660" s="887">
        <f ca="1">L660</f>
        <v>11000</v>
      </c>
      <c r="N660" s="887">
        <f>N661+N662+N663+N664</f>
        <v>11000</v>
      </c>
      <c r="O660" s="887">
        <f t="shared" ca="1" si="273"/>
        <v>100</v>
      </c>
      <c r="P660" s="887">
        <f t="shared" ca="1" si="274"/>
        <v>100</v>
      </c>
      <c r="Q660" s="1323"/>
      <c r="R660" s="1323"/>
      <c r="S660" s="1323"/>
      <c r="T660" s="1323"/>
      <c r="U660" s="1323"/>
      <c r="V660" s="1323"/>
      <c r="W660" s="1323"/>
      <c r="X660" s="1323"/>
      <c r="Y660" s="1323"/>
      <c r="Z660" s="1323"/>
    </row>
    <row r="661" spans="1:26" ht="18.75">
      <c r="A661" s="1299"/>
      <c r="B661" s="1300"/>
      <c r="C661" s="1301"/>
      <c r="D661" s="1301"/>
      <c r="E661" s="1301"/>
      <c r="F661" s="1301" t="s">
        <v>187</v>
      </c>
      <c r="G661" s="1016"/>
      <c r="H661" s="161" t="s">
        <v>12</v>
      </c>
      <c r="I661" s="880"/>
      <c r="J661" s="880"/>
      <c r="K661" s="881"/>
      <c r="L661" s="881"/>
      <c r="M661" s="881"/>
      <c r="N661" s="1085">
        <v>0</v>
      </c>
      <c r="O661" s="881"/>
      <c r="P661" s="881"/>
      <c r="Q661" s="1302"/>
      <c r="R661" s="1302"/>
      <c r="S661" s="1302"/>
      <c r="T661" s="1302"/>
      <c r="U661" s="1302"/>
      <c r="V661" s="1302"/>
      <c r="W661" s="1302"/>
      <c r="X661" s="1302"/>
      <c r="Y661" s="1302"/>
      <c r="Z661" s="1302"/>
    </row>
    <row r="662" spans="1:26" ht="18.75">
      <c r="A662" s="1299"/>
      <c r="B662" s="1300"/>
      <c r="C662" s="1301"/>
      <c r="D662" s="1301"/>
      <c r="E662" s="1301"/>
      <c r="F662" s="1301" t="s">
        <v>188</v>
      </c>
      <c r="G662" s="1016"/>
      <c r="H662" s="161" t="s">
        <v>12</v>
      </c>
      <c r="I662" s="880"/>
      <c r="J662" s="880"/>
      <c r="K662" s="881"/>
      <c r="L662" s="881"/>
      <c r="M662" s="881"/>
      <c r="N662" s="1085">
        <v>0</v>
      </c>
      <c r="O662" s="881"/>
      <c r="P662" s="881"/>
      <c r="Q662" s="1302"/>
      <c r="R662" s="1302"/>
      <c r="S662" s="1302"/>
      <c r="T662" s="1302"/>
      <c r="U662" s="1302"/>
      <c r="V662" s="1302"/>
      <c r="W662" s="1302"/>
      <c r="X662" s="1302"/>
      <c r="Y662" s="1302"/>
      <c r="Z662" s="1302"/>
    </row>
    <row r="663" spans="1:26" ht="18.75">
      <c r="A663" s="1299"/>
      <c r="B663" s="1300"/>
      <c r="C663" s="1300"/>
      <c r="D663" s="1301"/>
      <c r="E663" s="1301"/>
      <c r="F663" s="1301" t="s">
        <v>189</v>
      </c>
      <c r="G663" s="1016"/>
      <c r="H663" s="161" t="s">
        <v>12</v>
      </c>
      <c r="I663" s="880"/>
      <c r="J663" s="880"/>
      <c r="K663" s="881"/>
      <c r="L663" s="881"/>
      <c r="M663" s="881"/>
      <c r="N663" s="1085">
        <v>0</v>
      </c>
      <c r="O663" s="881"/>
      <c r="P663" s="881"/>
      <c r="Q663" s="1302"/>
      <c r="R663" s="1302"/>
      <c r="S663" s="1302"/>
      <c r="T663" s="1302"/>
      <c r="U663" s="1302"/>
      <c r="V663" s="1302"/>
      <c r="W663" s="1302"/>
      <c r="X663" s="1302"/>
      <c r="Y663" s="1302"/>
      <c r="Z663" s="1302"/>
    </row>
    <row r="664" spans="1:26" ht="18.75">
      <c r="A664" s="1299"/>
      <c r="B664" s="1300"/>
      <c r="C664" s="1300"/>
      <c r="D664" s="1300"/>
      <c r="E664" s="1301"/>
      <c r="F664" s="1301" t="s">
        <v>190</v>
      </c>
      <c r="G664" s="1016"/>
      <c r="H664" s="161" t="s">
        <v>12</v>
      </c>
      <c r="I664" s="880"/>
      <c r="J664" s="880"/>
      <c r="K664" s="881"/>
      <c r="L664" s="881"/>
      <c r="M664" s="881"/>
      <c r="N664" s="1085">
        <f>[1]ผลการเบิกจ่ายเงินกองทุน!F11</f>
        <v>11000</v>
      </c>
      <c r="O664" s="881"/>
      <c r="P664" s="881"/>
      <c r="Q664" s="1302"/>
      <c r="R664" s="1302"/>
      <c r="S664" s="1302"/>
      <c r="T664" s="1302"/>
      <c r="U664" s="1302"/>
      <c r="V664" s="1302"/>
      <c r="W664" s="1302"/>
      <c r="X664" s="1302"/>
      <c r="Y664" s="1302"/>
      <c r="Z664" s="1302"/>
    </row>
    <row r="665" spans="1:26" ht="18.75">
      <c r="A665" s="1317"/>
      <c r="B665" s="1300"/>
      <c r="C665" s="1300"/>
      <c r="D665" s="1325" t="s">
        <v>21</v>
      </c>
      <c r="E665" s="1301"/>
      <c r="F665" s="1301"/>
      <c r="G665" s="1016"/>
      <c r="H665" s="168" t="s">
        <v>12</v>
      </c>
      <c r="I665" s="997"/>
      <c r="J665" s="997"/>
      <c r="K665" s="998"/>
      <c r="L665" s="881">
        <f t="shared" ref="L665:N665" si="277">L666+L667</f>
        <v>0</v>
      </c>
      <c r="M665" s="881">
        <f t="shared" si="277"/>
        <v>0</v>
      </c>
      <c r="N665" s="881">
        <f t="shared" si="277"/>
        <v>0</v>
      </c>
      <c r="O665" s="881">
        <f t="shared" ref="O665:O667" si="278">IF(L665&gt;0,N665*100/L665,0)</f>
        <v>0</v>
      </c>
      <c r="P665" s="881">
        <f t="shared" ref="P665:P667" si="279">IF(M665&gt;0,N665*100/M665,0)</f>
        <v>0</v>
      </c>
      <c r="Q665" s="1302"/>
      <c r="R665" s="1302"/>
      <c r="S665" s="1302"/>
      <c r="T665" s="1302"/>
      <c r="U665" s="1302"/>
      <c r="V665" s="1302"/>
      <c r="W665" s="1302"/>
      <c r="X665" s="1302"/>
      <c r="Y665" s="1302"/>
      <c r="Z665" s="1302"/>
    </row>
    <row r="666" spans="1:26" ht="18.75" hidden="1">
      <c r="A666" s="1319"/>
      <c r="B666" s="1324"/>
      <c r="C666" s="1324"/>
      <c r="D666" s="1324"/>
      <c r="E666" s="1320" t="s">
        <v>18</v>
      </c>
      <c r="F666" s="1320"/>
      <c r="G666" s="1322"/>
      <c r="H666" s="165" t="s">
        <v>12</v>
      </c>
      <c r="I666" s="1000"/>
      <c r="J666" s="1000"/>
      <c r="K666" s="1001"/>
      <c r="L666" s="887">
        <v>0</v>
      </c>
      <c r="M666" s="887">
        <v>0</v>
      </c>
      <c r="N666" s="887">
        <v>0</v>
      </c>
      <c r="O666" s="887">
        <f t="shared" si="278"/>
        <v>0</v>
      </c>
      <c r="P666" s="887">
        <f t="shared" si="279"/>
        <v>0</v>
      </c>
      <c r="Q666" s="1323"/>
      <c r="R666" s="1323"/>
      <c r="S666" s="1323"/>
      <c r="T666" s="1323"/>
      <c r="U666" s="1323"/>
      <c r="V666" s="1323"/>
      <c r="W666" s="1323"/>
      <c r="X666" s="1323"/>
      <c r="Y666" s="1323"/>
      <c r="Z666" s="1323"/>
    </row>
    <row r="667" spans="1:26" ht="18.75" hidden="1">
      <c r="A667" s="1319"/>
      <c r="B667" s="1324"/>
      <c r="C667" s="1324"/>
      <c r="D667" s="1324"/>
      <c r="E667" s="1320" t="s">
        <v>19</v>
      </c>
      <c r="F667" s="1320"/>
      <c r="G667" s="1322"/>
      <c r="H667" s="169" t="s">
        <v>12</v>
      </c>
      <c r="I667" s="1000"/>
      <c r="J667" s="1000"/>
      <c r="K667" s="1001"/>
      <c r="L667" s="887">
        <v>0</v>
      </c>
      <c r="M667" s="887">
        <v>0</v>
      </c>
      <c r="N667" s="887">
        <v>0</v>
      </c>
      <c r="O667" s="887">
        <f t="shared" si="278"/>
        <v>0</v>
      </c>
      <c r="P667" s="887">
        <f t="shared" si="279"/>
        <v>0</v>
      </c>
      <c r="Q667" s="1323"/>
      <c r="R667" s="1323"/>
      <c r="S667" s="1323"/>
      <c r="T667" s="1323"/>
      <c r="U667" s="1323"/>
      <c r="V667" s="1323"/>
      <c r="W667" s="1323"/>
      <c r="X667" s="1323"/>
      <c r="Y667" s="1323"/>
      <c r="Z667" s="1323"/>
    </row>
    <row r="668" spans="1:26" ht="19.5">
      <c r="A668" s="1326"/>
      <c r="B668" s="1327"/>
      <c r="C668" s="1300" t="s">
        <v>16</v>
      </c>
      <c r="D668" s="1328" t="s">
        <v>38</v>
      </c>
      <c r="E668" s="1330"/>
      <c r="F668" s="1330"/>
      <c r="G668" s="1331"/>
      <c r="H668" s="1007"/>
      <c r="I668" s="997"/>
      <c r="J668" s="997"/>
      <c r="K668" s="998"/>
      <c r="L668" s="998"/>
      <c r="M668" s="998"/>
      <c r="N668" s="998"/>
      <c r="O668" s="998"/>
      <c r="P668" s="998"/>
      <c r="Q668" s="1302"/>
      <c r="R668" s="1302"/>
      <c r="S668" s="1302"/>
      <c r="T668" s="1302"/>
      <c r="U668" s="1302"/>
      <c r="V668" s="1302"/>
      <c r="W668" s="1302"/>
      <c r="X668" s="1302"/>
      <c r="Y668" s="1302"/>
      <c r="Z668" s="1302"/>
    </row>
    <row r="669" spans="1:26" ht="19.5">
      <c r="A669" s="1326"/>
      <c r="B669" s="1327"/>
      <c r="C669" s="1327"/>
      <c r="D669" s="1327" t="s">
        <v>281</v>
      </c>
      <c r="E669" s="1014"/>
      <c r="F669" s="1014"/>
      <c r="G669" s="1007"/>
      <c r="H669" s="765" t="s">
        <v>46</v>
      </c>
      <c r="I669" s="1019">
        <f ca="1">IFERROR(__xludf.DUMMYFUNCTION("IMPORTRANGE(""https://docs.google.com/spreadsheets/d/1QqKyyYR6Q21VydFLVH3TRQUabQu_ym0Zz7PgGX0-kHA/edit?usp=sharing"",""แผน!IA79"")"),50)</f>
        <v>50</v>
      </c>
      <c r="J669" s="1019">
        <f>J675</f>
        <v>0</v>
      </c>
      <c r="K669" s="1020">
        <f ca="1">IF(I669&gt;0,J669*100/I669,0)</f>
        <v>0</v>
      </c>
      <c r="L669" s="998"/>
      <c r="M669" s="998"/>
      <c r="N669" s="998"/>
      <c r="O669" s="998"/>
      <c r="P669" s="998"/>
      <c r="Q669" s="1302"/>
      <c r="R669" s="1302"/>
      <c r="S669" s="1302"/>
      <c r="T669" s="1302"/>
      <c r="U669" s="1302"/>
      <c r="V669" s="1302"/>
      <c r="W669" s="1302"/>
      <c r="X669" s="1302"/>
      <c r="Y669" s="1302"/>
      <c r="Z669" s="1302"/>
    </row>
    <row r="670" spans="1:26" ht="18.75">
      <c r="A670" s="1326"/>
      <c r="B670" s="1327"/>
      <c r="C670" s="1327"/>
      <c r="D670" s="1327"/>
      <c r="E670" s="1014" t="s">
        <v>282</v>
      </c>
      <c r="F670" s="1014"/>
      <c r="G670" s="1007"/>
      <c r="H670" s="762" t="s">
        <v>66</v>
      </c>
      <c r="I670" s="880">
        <f ca="1">IFERROR(__xludf.DUMMYFUNCTION("IMPORTRANGE(""https://docs.google.com/spreadsheets/d/1QqKyyYR6Q21VydFLVH3TRQUabQu_ym0Zz7PgGX0-kHA/edit?usp=sharing"",""แผน!HZ79"")"),5)</f>
        <v>5</v>
      </c>
      <c r="J670" s="1012">
        <v>5</v>
      </c>
      <c r="K670" s="881">
        <f ca="1">IF(I670&gt;0,(J670*100)/I670,0)</f>
        <v>100</v>
      </c>
      <c r="L670" s="998"/>
      <c r="M670" s="998"/>
      <c r="N670" s="998"/>
      <c r="O670" s="998"/>
      <c r="P670" s="998"/>
      <c r="Q670" s="1302"/>
      <c r="R670" s="1302"/>
      <c r="S670" s="1302"/>
      <c r="T670" s="1302"/>
      <c r="U670" s="1302"/>
      <c r="V670" s="1302"/>
      <c r="W670" s="1302"/>
      <c r="X670" s="1302"/>
      <c r="Y670" s="1302"/>
      <c r="Z670" s="1302"/>
    </row>
    <row r="671" spans="1:26" ht="18.75">
      <c r="A671" s="1326"/>
      <c r="B671" s="1327"/>
      <c r="C671" s="1327"/>
      <c r="D671" s="1327"/>
      <c r="E671" s="1014" t="s">
        <v>283</v>
      </c>
      <c r="F671" s="1014"/>
      <c r="G671" s="1007"/>
      <c r="H671" s="762" t="s">
        <v>66</v>
      </c>
      <c r="I671" s="880">
        <f ca="1">IFERROR(__xludf.DUMMYFUNCTION("IMPORTRANGE(""https://docs.google.com/spreadsheets/d/1QqKyyYR6Q21VydFLVH3TRQUabQu_ym0Zz7PgGX0-kHA/edit?usp=sharing"",""แผน!HZ79"")"),5)</f>
        <v>5</v>
      </c>
      <c r="J671" s="1012">
        <v>5</v>
      </c>
      <c r="K671" s="881">
        <f ca="1">IF(I$671&gt;0,J671*100/I$671,0)</f>
        <v>100</v>
      </c>
      <c r="L671" s="998"/>
      <c r="M671" s="998"/>
      <c r="N671" s="998"/>
      <c r="O671" s="998"/>
      <c r="P671" s="998"/>
      <c r="Q671" s="1302"/>
      <c r="R671" s="1302"/>
      <c r="S671" s="1302"/>
      <c r="T671" s="1302"/>
      <c r="U671" s="1302"/>
      <c r="V671" s="1302"/>
      <c r="W671" s="1302"/>
      <c r="X671" s="1302"/>
      <c r="Y671" s="1302"/>
      <c r="Z671" s="1302"/>
    </row>
    <row r="672" spans="1:26" ht="18.75">
      <c r="A672" s="1326"/>
      <c r="B672" s="1327"/>
      <c r="C672" s="1327"/>
      <c r="D672" s="1327"/>
      <c r="E672" s="1014" t="s">
        <v>284</v>
      </c>
      <c r="F672" s="1014"/>
      <c r="G672" s="1007"/>
      <c r="H672" s="762" t="s">
        <v>46</v>
      </c>
      <c r="I672" s="880"/>
      <c r="J672" s="1012">
        <v>57</v>
      </c>
      <c r="K672" s="881">
        <f t="shared" ref="K672:K675" ca="1" si="280">IF(I$669&gt;0,J672*100/I$669,0)</f>
        <v>114</v>
      </c>
      <c r="L672" s="998"/>
      <c r="M672" s="998"/>
      <c r="N672" s="998"/>
      <c r="O672" s="998"/>
      <c r="P672" s="998"/>
      <c r="Q672" s="1302"/>
      <c r="R672" s="1302"/>
      <c r="S672" s="1302"/>
      <c r="T672" s="1302"/>
      <c r="U672" s="1302"/>
      <c r="V672" s="1302"/>
      <c r="W672" s="1302"/>
      <c r="X672" s="1302"/>
      <c r="Y672" s="1302"/>
      <c r="Z672" s="1302"/>
    </row>
    <row r="673" spans="1:26" ht="18.75">
      <c r="A673" s="1326"/>
      <c r="B673" s="1327"/>
      <c r="C673" s="1327"/>
      <c r="D673" s="1327"/>
      <c r="E673" s="1014" t="s">
        <v>285</v>
      </c>
      <c r="F673" s="1014"/>
      <c r="G673" s="1007"/>
      <c r="H673" s="762" t="s">
        <v>46</v>
      </c>
      <c r="I673" s="880"/>
      <c r="J673" s="1012">
        <v>57</v>
      </c>
      <c r="K673" s="881">
        <f t="shared" ca="1" si="280"/>
        <v>114</v>
      </c>
      <c r="L673" s="998"/>
      <c r="M673" s="998"/>
      <c r="N673" s="998"/>
      <c r="O673" s="998"/>
      <c r="P673" s="998"/>
      <c r="Q673" s="1302"/>
      <c r="R673" s="1302"/>
      <c r="S673" s="1302"/>
      <c r="T673" s="1302"/>
      <c r="U673" s="1302"/>
      <c r="V673" s="1302"/>
      <c r="W673" s="1302"/>
      <c r="X673" s="1302"/>
      <c r="Y673" s="1302"/>
      <c r="Z673" s="1302"/>
    </row>
    <row r="674" spans="1:26" ht="18.75">
      <c r="A674" s="1326"/>
      <c r="B674" s="1327"/>
      <c r="C674" s="1327"/>
      <c r="D674" s="1327"/>
      <c r="E674" s="1014" t="s">
        <v>286</v>
      </c>
      <c r="F674" s="1014"/>
      <c r="G674" s="1007"/>
      <c r="H674" s="762" t="s">
        <v>46</v>
      </c>
      <c r="I674" s="880"/>
      <c r="J674" s="1012">
        <v>0</v>
      </c>
      <c r="K674" s="881">
        <f t="shared" ca="1" si="280"/>
        <v>0</v>
      </c>
      <c r="L674" s="998"/>
      <c r="M674" s="998"/>
      <c r="N674" s="998"/>
      <c r="O674" s="998"/>
      <c r="P674" s="998"/>
      <c r="Q674" s="1302"/>
      <c r="R674" s="1302"/>
      <c r="S674" s="1302"/>
      <c r="T674" s="1302"/>
      <c r="U674" s="1302"/>
      <c r="V674" s="1302"/>
      <c r="W674" s="1302"/>
      <c r="X674" s="1302"/>
      <c r="Y674" s="1302"/>
      <c r="Z674" s="1302"/>
    </row>
    <row r="675" spans="1:26" ht="19.5">
      <c r="A675" s="1326"/>
      <c r="B675" s="1327"/>
      <c r="C675" s="1327"/>
      <c r="D675" s="1327"/>
      <c r="E675" s="1014" t="s">
        <v>287</v>
      </c>
      <c r="F675" s="1014"/>
      <c r="G675" s="1007"/>
      <c r="H675" s="762" t="s">
        <v>46</v>
      </c>
      <c r="I675" s="880"/>
      <c r="J675" s="1019">
        <f>J676+J677</f>
        <v>0</v>
      </c>
      <c r="K675" s="1020">
        <f t="shared" ca="1" si="280"/>
        <v>0</v>
      </c>
      <c r="L675" s="998"/>
      <c r="M675" s="998"/>
      <c r="N675" s="998"/>
      <c r="O675" s="998"/>
      <c r="P675" s="998"/>
      <c r="Q675" s="1302"/>
      <c r="R675" s="1302"/>
      <c r="S675" s="1302"/>
      <c r="T675" s="1302"/>
      <c r="U675" s="1302"/>
      <c r="V675" s="1302"/>
      <c r="W675" s="1302"/>
      <c r="X675" s="1302"/>
      <c r="Y675" s="1302"/>
      <c r="Z675" s="1302"/>
    </row>
    <row r="676" spans="1:26" ht="18.75">
      <c r="A676" s="1326"/>
      <c r="B676" s="1327"/>
      <c r="C676" s="1327"/>
      <c r="D676" s="1327"/>
      <c r="E676" s="1014"/>
      <c r="F676" s="1014" t="s">
        <v>288</v>
      </c>
      <c r="G676" s="1007"/>
      <c r="H676" s="762" t="s">
        <v>46</v>
      </c>
      <c r="I676" s="880"/>
      <c r="J676" s="1012">
        <v>0</v>
      </c>
      <c r="K676" s="881"/>
      <c r="L676" s="998"/>
      <c r="M676" s="998"/>
      <c r="N676" s="998"/>
      <c r="O676" s="998"/>
      <c r="P676" s="998"/>
      <c r="Q676" s="1302"/>
      <c r="R676" s="1302"/>
      <c r="S676" s="1302"/>
      <c r="T676" s="1302"/>
      <c r="U676" s="1302"/>
      <c r="V676" s="1302"/>
      <c r="W676" s="1302"/>
      <c r="X676" s="1302"/>
      <c r="Y676" s="1302"/>
      <c r="Z676" s="1302"/>
    </row>
    <row r="677" spans="1:26" ht="18.75">
      <c r="A677" s="1326"/>
      <c r="B677" s="1327"/>
      <c r="C677" s="1327"/>
      <c r="D677" s="1327"/>
      <c r="E677" s="1014"/>
      <c r="F677" s="1014" t="s">
        <v>289</v>
      </c>
      <c r="G677" s="1007"/>
      <c r="H677" s="762" t="s">
        <v>46</v>
      </c>
      <c r="I677" s="880"/>
      <c r="J677" s="1012">
        <v>0</v>
      </c>
      <c r="K677" s="881"/>
      <c r="L677" s="998"/>
      <c r="M677" s="998"/>
      <c r="N677" s="998"/>
      <c r="O677" s="998"/>
      <c r="P677" s="998"/>
      <c r="Q677" s="1302"/>
      <c r="R677" s="1302"/>
      <c r="S677" s="1302"/>
      <c r="T677" s="1302"/>
      <c r="U677" s="1302"/>
      <c r="V677" s="1302"/>
      <c r="W677" s="1302"/>
      <c r="X677" s="1302"/>
      <c r="Y677" s="1302"/>
      <c r="Z677" s="1302"/>
    </row>
    <row r="678" spans="1:26" ht="19.5">
      <c r="A678" s="1326"/>
      <c r="B678" s="1327"/>
      <c r="C678" s="1327"/>
      <c r="D678" s="1327" t="s">
        <v>290</v>
      </c>
      <c r="E678" s="1014"/>
      <c r="F678" s="1014"/>
      <c r="G678" s="1007"/>
      <c r="H678" s="762" t="s">
        <v>46</v>
      </c>
      <c r="I678" s="1019">
        <f ca="1">IFERROR(__xludf.DUMMYFUNCTION("IMPORTRANGE(""https://docs.google.com/spreadsheets/d/1QqKyyYR6Q21VydFLVH3TRQUabQu_ym0Zz7PgGX0-kHA/edit?usp=sharing"",""แผน!IB79"")"),0)</f>
        <v>0</v>
      </c>
      <c r="J678" s="1019">
        <f>J679</f>
        <v>0</v>
      </c>
      <c r="K678" s="1020">
        <f ca="1">IF(I678&gt;0,J678*100/I678,0)</f>
        <v>0</v>
      </c>
      <c r="L678" s="998"/>
      <c r="M678" s="998"/>
      <c r="N678" s="998"/>
      <c r="O678" s="998"/>
      <c r="P678" s="998"/>
      <c r="Q678" s="1302"/>
      <c r="R678" s="1302"/>
      <c r="S678" s="1302"/>
      <c r="T678" s="1302"/>
      <c r="U678" s="1302"/>
      <c r="V678" s="1302"/>
      <c r="W678" s="1302"/>
      <c r="X678" s="1302"/>
      <c r="Y678" s="1302"/>
      <c r="Z678" s="1302"/>
    </row>
    <row r="679" spans="1:26" ht="18.75">
      <c r="A679" s="1326"/>
      <c r="B679" s="1327"/>
      <c r="C679" s="1327"/>
      <c r="D679" s="1327"/>
      <c r="E679" s="1014" t="s">
        <v>291</v>
      </c>
      <c r="F679" s="1014"/>
      <c r="G679" s="1007"/>
      <c r="H679" s="762" t="s">
        <v>46</v>
      </c>
      <c r="I679" s="880"/>
      <c r="J679" s="880">
        <f>J680+J681</f>
        <v>0</v>
      </c>
      <c r="K679" s="881"/>
      <c r="L679" s="998"/>
      <c r="M679" s="998"/>
      <c r="N679" s="998"/>
      <c r="O679" s="998"/>
      <c r="P679" s="998"/>
      <c r="Q679" s="1302"/>
      <c r="R679" s="1302"/>
      <c r="S679" s="1302"/>
      <c r="T679" s="1302"/>
      <c r="U679" s="1302"/>
      <c r="V679" s="1302"/>
      <c r="W679" s="1302"/>
      <c r="X679" s="1302"/>
      <c r="Y679" s="1302"/>
      <c r="Z679" s="1302"/>
    </row>
    <row r="680" spans="1:26" ht="18.75">
      <c r="A680" s="1326"/>
      <c r="B680" s="1327"/>
      <c r="C680" s="1327"/>
      <c r="D680" s="1327"/>
      <c r="E680" s="1014"/>
      <c r="F680" s="1014" t="s">
        <v>288</v>
      </c>
      <c r="G680" s="1007"/>
      <c r="H680" s="762" t="s">
        <v>46</v>
      </c>
      <c r="I680" s="880"/>
      <c r="J680" s="1012">
        <v>0</v>
      </c>
      <c r="K680" s="881"/>
      <c r="L680" s="998"/>
      <c r="M680" s="998"/>
      <c r="N680" s="998"/>
      <c r="O680" s="998"/>
      <c r="P680" s="998"/>
      <c r="Q680" s="1302"/>
      <c r="R680" s="1302"/>
      <c r="S680" s="1302"/>
      <c r="T680" s="1302"/>
      <c r="U680" s="1302"/>
      <c r="V680" s="1302"/>
      <c r="W680" s="1302"/>
      <c r="X680" s="1302"/>
      <c r="Y680" s="1302"/>
      <c r="Z680" s="1302"/>
    </row>
    <row r="681" spans="1:26" ht="18.75">
      <c r="A681" s="1326"/>
      <c r="B681" s="1327"/>
      <c r="C681" s="1327"/>
      <c r="D681" s="1327"/>
      <c r="E681" s="1014"/>
      <c r="F681" s="1014" t="s">
        <v>289</v>
      </c>
      <c r="G681" s="1007"/>
      <c r="H681" s="762" t="s">
        <v>46</v>
      </c>
      <c r="I681" s="880"/>
      <c r="J681" s="1012">
        <v>0</v>
      </c>
      <c r="K681" s="881"/>
      <c r="L681" s="998"/>
      <c r="M681" s="998"/>
      <c r="N681" s="998"/>
      <c r="O681" s="998"/>
      <c r="P681" s="998"/>
      <c r="Q681" s="1302"/>
      <c r="R681" s="1302"/>
      <c r="S681" s="1302"/>
      <c r="T681" s="1302"/>
      <c r="U681" s="1302"/>
      <c r="V681" s="1302"/>
      <c r="W681" s="1302"/>
      <c r="X681" s="1302"/>
      <c r="Y681" s="1302"/>
      <c r="Z681" s="1302"/>
    </row>
    <row r="682" spans="1:26" ht="18.75">
      <c r="A682" s="1326"/>
      <c r="B682" s="1327"/>
      <c r="C682" s="1327"/>
      <c r="D682" s="1327"/>
      <c r="E682" s="1014" t="s">
        <v>292</v>
      </c>
      <c r="F682" s="1014"/>
      <c r="G682" s="1007"/>
      <c r="H682" s="762" t="s">
        <v>46</v>
      </c>
      <c r="I682" s="880"/>
      <c r="J682" s="1012">
        <v>0</v>
      </c>
      <c r="K682" s="881"/>
      <c r="L682" s="998"/>
      <c r="M682" s="998"/>
      <c r="N682" s="998"/>
      <c r="O682" s="998"/>
      <c r="P682" s="998"/>
      <c r="Q682" s="1302"/>
      <c r="R682" s="1302"/>
      <c r="S682" s="1302"/>
      <c r="T682" s="1302"/>
      <c r="U682" s="1302"/>
      <c r="V682" s="1302"/>
      <c r="W682" s="1302"/>
      <c r="X682" s="1302"/>
      <c r="Y682" s="1302"/>
      <c r="Z682" s="1302"/>
    </row>
    <row r="683" spans="1:26" ht="18.75">
      <c r="A683" s="1326"/>
      <c r="B683" s="1327"/>
      <c r="C683" s="1327"/>
      <c r="D683" s="1327"/>
      <c r="E683" s="1014"/>
      <c r="F683" s="1014" t="s">
        <v>293</v>
      </c>
      <c r="G683" s="1007"/>
      <c r="H683" s="762" t="s">
        <v>46</v>
      </c>
      <c r="I683" s="880"/>
      <c r="J683" s="1012">
        <v>0</v>
      </c>
      <c r="K683" s="881"/>
      <c r="L683" s="998"/>
      <c r="M683" s="998"/>
      <c r="N683" s="998"/>
      <c r="O683" s="998"/>
      <c r="P683" s="998"/>
      <c r="Q683" s="1302"/>
      <c r="R683" s="1302"/>
      <c r="S683" s="1302"/>
      <c r="T683" s="1302"/>
      <c r="U683" s="1302"/>
      <c r="V683" s="1302"/>
      <c r="W683" s="1302"/>
      <c r="X683" s="1302"/>
      <c r="Y683" s="1302"/>
      <c r="Z683" s="1302"/>
    </row>
    <row r="684" spans="1:26" ht="19.5">
      <c r="A684" s="1434"/>
      <c r="B684" s="1435" t="s">
        <v>294</v>
      </c>
      <c r="C684" s="1434"/>
      <c r="D684" s="1434"/>
      <c r="E684" s="1434"/>
      <c r="F684" s="1434"/>
      <c r="G684" s="1436"/>
      <c r="H684" s="1436"/>
      <c r="I684" s="1437"/>
      <c r="J684" s="1437"/>
      <c r="K684" s="1438"/>
      <c r="L684" s="1438"/>
      <c r="M684" s="1438"/>
      <c r="N684" s="1438"/>
      <c r="O684" s="1438"/>
      <c r="P684" s="1438"/>
      <c r="Q684" s="1302"/>
      <c r="R684" s="1302"/>
      <c r="S684" s="1302"/>
      <c r="T684" s="1302"/>
      <c r="U684" s="1302"/>
      <c r="V684" s="1302"/>
      <c r="W684" s="1302"/>
      <c r="X684" s="1302"/>
      <c r="Y684" s="1302"/>
      <c r="Z684" s="1302"/>
    </row>
    <row r="685" spans="1:26" ht="19.5">
      <c r="A685" s="1317"/>
      <c r="B685" s="1301"/>
      <c r="C685" s="1301" t="s">
        <v>16</v>
      </c>
      <c r="D685" s="1318" t="s">
        <v>17</v>
      </c>
      <c r="E685" s="841"/>
      <c r="F685" s="841"/>
      <c r="G685" s="1016"/>
      <c r="H685" s="597" t="s">
        <v>12</v>
      </c>
      <c r="I685" s="880"/>
      <c r="J685" s="880"/>
      <c r="K685" s="881"/>
      <c r="L685" s="1020">
        <f t="shared" ref="L685:N685" ca="1" si="281">L686+L687</f>
        <v>37480</v>
      </c>
      <c r="M685" s="1020">
        <f t="shared" ca="1" si="281"/>
        <v>37480</v>
      </c>
      <c r="N685" s="1020">
        <f t="shared" si="281"/>
        <v>1000</v>
      </c>
      <c r="O685" s="1020">
        <f t="shared" ref="O685:O688" ca="1" si="282">IF(L685&gt;0,N685*100/L685,0)</f>
        <v>2.6680896478121663</v>
      </c>
      <c r="P685" s="1020">
        <f t="shared" ref="P685:P688" ca="1" si="283">IF(M685&gt;0,N685*100/M685,0)</f>
        <v>2.6680896478121663</v>
      </c>
      <c r="Q685" s="1302"/>
      <c r="R685" s="1302"/>
      <c r="S685" s="1302"/>
      <c r="T685" s="1302"/>
      <c r="U685" s="1302"/>
      <c r="V685" s="1302"/>
      <c r="W685" s="1302"/>
      <c r="X685" s="1302"/>
      <c r="Y685" s="1302"/>
      <c r="Z685" s="1302"/>
    </row>
    <row r="686" spans="1:26" ht="18.75" hidden="1">
      <c r="A686" s="1319"/>
      <c r="B686" s="1320"/>
      <c r="C686" s="1320"/>
      <c r="D686" s="1321"/>
      <c r="E686" s="1320" t="s">
        <v>185</v>
      </c>
      <c r="F686" s="1320"/>
      <c r="G686" s="1322"/>
      <c r="H686" s="165" t="s">
        <v>12</v>
      </c>
      <c r="I686" s="886"/>
      <c r="J686" s="886"/>
      <c r="K686" s="887"/>
      <c r="L686" s="887">
        <f t="shared" ref="L686:N687" si="284">L689+L696</f>
        <v>0</v>
      </c>
      <c r="M686" s="887">
        <f t="shared" si="284"/>
        <v>0</v>
      </c>
      <c r="N686" s="887">
        <f t="shared" si="284"/>
        <v>0</v>
      </c>
      <c r="O686" s="887">
        <f t="shared" si="282"/>
        <v>0</v>
      </c>
      <c r="P686" s="887">
        <f t="shared" si="283"/>
        <v>0</v>
      </c>
      <c r="Q686" s="1323"/>
      <c r="R686" s="1323"/>
      <c r="S686" s="1323"/>
      <c r="T686" s="1323"/>
      <c r="U686" s="1323"/>
      <c r="V686" s="1323"/>
      <c r="W686" s="1323"/>
      <c r="X686" s="1323"/>
      <c r="Y686" s="1323"/>
      <c r="Z686" s="1323"/>
    </row>
    <row r="687" spans="1:26" ht="18.75" hidden="1">
      <c r="A687" s="1319"/>
      <c r="B687" s="1324"/>
      <c r="C687" s="1320"/>
      <c r="D687" s="1321"/>
      <c r="E687" s="1320" t="s">
        <v>186</v>
      </c>
      <c r="F687" s="1320"/>
      <c r="G687" s="1322"/>
      <c r="H687" s="165" t="s">
        <v>12</v>
      </c>
      <c r="I687" s="886"/>
      <c r="J687" s="886"/>
      <c r="K687" s="887"/>
      <c r="L687" s="887">
        <f t="shared" ca="1" si="284"/>
        <v>37480</v>
      </c>
      <c r="M687" s="887">
        <f t="shared" ca="1" si="284"/>
        <v>37480</v>
      </c>
      <c r="N687" s="887">
        <f t="shared" si="284"/>
        <v>1000</v>
      </c>
      <c r="O687" s="887">
        <f t="shared" ca="1" si="282"/>
        <v>2.6680896478121663</v>
      </c>
      <c r="P687" s="887">
        <f t="shared" ca="1" si="283"/>
        <v>2.6680896478121663</v>
      </c>
      <c r="Q687" s="1323"/>
      <c r="R687" s="1323"/>
      <c r="S687" s="1323"/>
      <c r="T687" s="1323"/>
      <c r="U687" s="1323"/>
      <c r="V687" s="1323"/>
      <c r="W687" s="1323"/>
      <c r="X687" s="1323"/>
      <c r="Y687" s="1323"/>
      <c r="Z687" s="1323"/>
    </row>
    <row r="688" spans="1:26" ht="18.75">
      <c r="A688" s="1317"/>
      <c r="B688" s="1300"/>
      <c r="C688" s="1301"/>
      <c r="D688" s="1325" t="s">
        <v>20</v>
      </c>
      <c r="E688" s="1301"/>
      <c r="F688" s="1301"/>
      <c r="G688" s="1016"/>
      <c r="H688" s="161" t="s">
        <v>12</v>
      </c>
      <c r="I688" s="997"/>
      <c r="J688" s="997"/>
      <c r="K688" s="998"/>
      <c r="L688" s="881">
        <f t="shared" ref="L688:N688" ca="1" si="285">L689+L690</f>
        <v>37480</v>
      </c>
      <c r="M688" s="881">
        <f t="shared" ca="1" si="285"/>
        <v>37480</v>
      </c>
      <c r="N688" s="881">
        <f t="shared" si="285"/>
        <v>1000</v>
      </c>
      <c r="O688" s="881">
        <f t="shared" ca="1" si="282"/>
        <v>2.6680896478121663</v>
      </c>
      <c r="P688" s="881">
        <f t="shared" ca="1" si="283"/>
        <v>2.6680896478121663</v>
      </c>
      <c r="Q688" s="1302"/>
      <c r="R688" s="1302"/>
      <c r="S688" s="1302"/>
      <c r="T688" s="1302"/>
      <c r="U688" s="1302"/>
      <c r="V688" s="1302"/>
      <c r="W688" s="1302"/>
      <c r="X688" s="1302"/>
      <c r="Y688" s="1302"/>
      <c r="Z688" s="1302"/>
    </row>
    <row r="689" spans="1:26" ht="18.75" hidden="1">
      <c r="A689" s="1319"/>
      <c r="B689" s="1324"/>
      <c r="C689" s="1320"/>
      <c r="D689" s="1321"/>
      <c r="E689" s="1320" t="s">
        <v>185</v>
      </c>
      <c r="F689" s="1320"/>
      <c r="G689" s="1322"/>
      <c r="H689" s="165" t="s">
        <v>12</v>
      </c>
      <c r="I689" s="886"/>
      <c r="J689" s="886"/>
      <c r="K689" s="887"/>
      <c r="L689" s="887">
        <v>0</v>
      </c>
      <c r="M689" s="887">
        <v>0</v>
      </c>
      <c r="N689" s="887">
        <v>0</v>
      </c>
      <c r="O689" s="887"/>
      <c r="P689" s="887"/>
      <c r="Q689" s="1323"/>
      <c r="R689" s="1323"/>
      <c r="S689" s="1323"/>
      <c r="T689" s="1323"/>
      <c r="U689" s="1323"/>
      <c r="V689" s="1323"/>
      <c r="W689" s="1323"/>
      <c r="X689" s="1323"/>
      <c r="Y689" s="1323"/>
      <c r="Z689" s="1323"/>
    </row>
    <row r="690" spans="1:26" ht="18.75" hidden="1">
      <c r="A690" s="1319"/>
      <c r="B690" s="1324"/>
      <c r="C690" s="1320"/>
      <c r="D690" s="1321"/>
      <c r="E690" s="1320" t="s">
        <v>186</v>
      </c>
      <c r="F690" s="1320"/>
      <c r="G690" s="1322"/>
      <c r="H690" s="165" t="s">
        <v>12</v>
      </c>
      <c r="I690" s="886"/>
      <c r="J690" s="886"/>
      <c r="K690" s="887"/>
      <c r="L690" s="887">
        <f ca="1">IFERROR(__xludf.DUMMYFUNCTION("IMPORTRANGE(""https://docs.google.com/spreadsheets/d/1QqKyyYR6Q21VydFLVH3TRQUabQu_ym0Zz7PgGX0-kHA/edit?usp=sharing"",""แผน!HW79"")"),37480)</f>
        <v>37480</v>
      </c>
      <c r="M690" s="887">
        <f ca="1">L690</f>
        <v>37480</v>
      </c>
      <c r="N690" s="887">
        <f>N691+N692+N693+N694</f>
        <v>1000</v>
      </c>
      <c r="O690" s="887">
        <f ca="1">IF(L690&gt;0,N690*100/L690,0)</f>
        <v>2.6680896478121663</v>
      </c>
      <c r="P690" s="887">
        <f ca="1">IF(M690&gt;0,N690*100/M690,0)</f>
        <v>2.6680896478121663</v>
      </c>
      <c r="Q690" s="1323"/>
      <c r="R690" s="1323"/>
      <c r="S690" s="1323"/>
      <c r="T690" s="1323"/>
      <c r="U690" s="1323"/>
      <c r="V690" s="1323"/>
      <c r="W690" s="1323"/>
      <c r="X690" s="1323"/>
      <c r="Y690" s="1323"/>
      <c r="Z690" s="1323"/>
    </row>
    <row r="691" spans="1:26" ht="18.75">
      <c r="A691" s="1299"/>
      <c r="B691" s="1300"/>
      <c r="C691" s="1301"/>
      <c r="D691" s="1301"/>
      <c r="E691" s="1301"/>
      <c r="F691" s="1301" t="s">
        <v>187</v>
      </c>
      <c r="G691" s="1016"/>
      <c r="H691" s="161" t="s">
        <v>12</v>
      </c>
      <c r="I691" s="880"/>
      <c r="J691" s="880"/>
      <c r="K691" s="881"/>
      <c r="L691" s="881"/>
      <c r="M691" s="881"/>
      <c r="N691" s="1085">
        <v>0</v>
      </c>
      <c r="O691" s="881"/>
      <c r="P691" s="881"/>
      <c r="Q691" s="1302"/>
      <c r="R691" s="1302"/>
      <c r="S691" s="1302"/>
      <c r="T691" s="1302"/>
      <c r="U691" s="1302"/>
      <c r="V691" s="1302"/>
      <c r="W691" s="1302"/>
      <c r="X691" s="1302"/>
      <c r="Y691" s="1302"/>
      <c r="Z691" s="1302"/>
    </row>
    <row r="692" spans="1:26" ht="18.75">
      <c r="A692" s="1299"/>
      <c r="B692" s="1300"/>
      <c r="C692" s="1301"/>
      <c r="D692" s="1301"/>
      <c r="E692" s="1301"/>
      <c r="F692" s="1301" t="s">
        <v>188</v>
      </c>
      <c r="G692" s="1016"/>
      <c r="H692" s="161" t="s">
        <v>12</v>
      </c>
      <c r="I692" s="880"/>
      <c r="J692" s="880"/>
      <c r="K692" s="881"/>
      <c r="L692" s="881"/>
      <c r="M692" s="881"/>
      <c r="N692" s="1085">
        <v>0</v>
      </c>
      <c r="O692" s="881"/>
      <c r="P692" s="881"/>
      <c r="Q692" s="1302"/>
      <c r="R692" s="1302"/>
      <c r="S692" s="1302"/>
      <c r="T692" s="1302"/>
      <c r="U692" s="1302"/>
      <c r="V692" s="1302"/>
      <c r="W692" s="1302"/>
      <c r="X692" s="1302"/>
      <c r="Y692" s="1302"/>
      <c r="Z692" s="1302"/>
    </row>
    <row r="693" spans="1:26" ht="18.75">
      <c r="A693" s="1299"/>
      <c r="B693" s="1300"/>
      <c r="C693" s="1301"/>
      <c r="D693" s="1301"/>
      <c r="E693" s="1301"/>
      <c r="F693" s="1301" t="s">
        <v>189</v>
      </c>
      <c r="G693" s="1016"/>
      <c r="H693" s="161" t="s">
        <v>12</v>
      </c>
      <c r="I693" s="880"/>
      <c r="J693" s="880"/>
      <c r="K693" s="881"/>
      <c r="L693" s="881"/>
      <c r="M693" s="881"/>
      <c r="N693" s="1085">
        <v>0</v>
      </c>
      <c r="O693" s="881"/>
      <c r="P693" s="881"/>
      <c r="Q693" s="1302"/>
      <c r="R693" s="1302"/>
      <c r="S693" s="1302"/>
      <c r="T693" s="1302"/>
      <c r="U693" s="1302"/>
      <c r="V693" s="1302"/>
      <c r="W693" s="1302"/>
      <c r="X693" s="1302"/>
      <c r="Y693" s="1302"/>
      <c r="Z693" s="1302"/>
    </row>
    <row r="694" spans="1:26" ht="18.75">
      <c r="A694" s="1299"/>
      <c r="B694" s="1300"/>
      <c r="C694" s="1301"/>
      <c r="D694" s="1301"/>
      <c r="E694" s="1301"/>
      <c r="F694" s="1301" t="s">
        <v>190</v>
      </c>
      <c r="G694" s="1016"/>
      <c r="H694" s="161" t="s">
        <v>12</v>
      </c>
      <c r="I694" s="880"/>
      <c r="J694" s="880"/>
      <c r="K694" s="881"/>
      <c r="L694" s="881"/>
      <c r="M694" s="881"/>
      <c r="N694" s="1085">
        <f>[1]ผลการเบิกจ่ายเงินกองทุน!F6</f>
        <v>1000</v>
      </c>
      <c r="O694" s="881"/>
      <c r="P694" s="881"/>
      <c r="Q694" s="1302"/>
      <c r="R694" s="1302"/>
      <c r="S694" s="1302"/>
      <c r="T694" s="1302"/>
      <c r="U694" s="1302"/>
      <c r="V694" s="1302"/>
      <c r="W694" s="1302"/>
      <c r="X694" s="1302"/>
      <c r="Y694" s="1302"/>
      <c r="Z694" s="1302"/>
    </row>
    <row r="695" spans="1:26" ht="18.75">
      <c r="A695" s="1317"/>
      <c r="B695" s="1300"/>
      <c r="C695" s="1301"/>
      <c r="D695" s="1325" t="s">
        <v>21</v>
      </c>
      <c r="E695" s="1301"/>
      <c r="F695" s="1301"/>
      <c r="G695" s="1016"/>
      <c r="H695" s="168" t="s">
        <v>12</v>
      </c>
      <c r="I695" s="997"/>
      <c r="J695" s="997"/>
      <c r="K695" s="998"/>
      <c r="L695" s="881">
        <f t="shared" ref="L695:N695" si="286">L696+L697</f>
        <v>0</v>
      </c>
      <c r="M695" s="881">
        <f t="shared" si="286"/>
        <v>0</v>
      </c>
      <c r="N695" s="881">
        <f t="shared" si="286"/>
        <v>0</v>
      </c>
      <c r="O695" s="881">
        <f t="shared" ref="O695:O697" si="287">IF(L695&gt;0,N695*100/L695,0)</f>
        <v>0</v>
      </c>
      <c r="P695" s="881">
        <f t="shared" ref="P695:P697" si="288">IF(M695&gt;0,N695*100/M695,0)</f>
        <v>0</v>
      </c>
      <c r="Q695" s="1302"/>
      <c r="R695" s="1302"/>
      <c r="S695" s="1302"/>
      <c r="T695" s="1302"/>
      <c r="U695" s="1302"/>
      <c r="V695" s="1302"/>
      <c r="W695" s="1302"/>
      <c r="X695" s="1302"/>
      <c r="Y695" s="1302"/>
      <c r="Z695" s="1302"/>
    </row>
    <row r="696" spans="1:26" ht="18.75" hidden="1">
      <c r="A696" s="1319"/>
      <c r="B696" s="1324"/>
      <c r="C696" s="1320"/>
      <c r="D696" s="1320"/>
      <c r="E696" s="1320" t="s">
        <v>18</v>
      </c>
      <c r="F696" s="1320"/>
      <c r="G696" s="1322"/>
      <c r="H696" s="165" t="s">
        <v>12</v>
      </c>
      <c r="I696" s="1000"/>
      <c r="J696" s="1000"/>
      <c r="K696" s="1001"/>
      <c r="L696" s="887">
        <v>0</v>
      </c>
      <c r="M696" s="887">
        <v>0</v>
      </c>
      <c r="N696" s="887">
        <v>0</v>
      </c>
      <c r="O696" s="887">
        <f t="shared" si="287"/>
        <v>0</v>
      </c>
      <c r="P696" s="887">
        <f t="shared" si="288"/>
        <v>0</v>
      </c>
      <c r="Q696" s="1323"/>
      <c r="R696" s="1323"/>
      <c r="S696" s="1323"/>
      <c r="T696" s="1323"/>
      <c r="U696" s="1323"/>
      <c r="V696" s="1323"/>
      <c r="W696" s="1323"/>
      <c r="X696" s="1323"/>
      <c r="Y696" s="1323"/>
      <c r="Z696" s="1323"/>
    </row>
    <row r="697" spans="1:26" ht="18.75" hidden="1">
      <c r="A697" s="1319"/>
      <c r="B697" s="1324"/>
      <c r="C697" s="1320"/>
      <c r="D697" s="1320"/>
      <c r="E697" s="1320" t="s">
        <v>19</v>
      </c>
      <c r="F697" s="1320"/>
      <c r="G697" s="1322"/>
      <c r="H697" s="169" t="s">
        <v>12</v>
      </c>
      <c r="I697" s="1000"/>
      <c r="J697" s="1000"/>
      <c r="K697" s="1001"/>
      <c r="L697" s="887">
        <v>0</v>
      </c>
      <c r="M697" s="887">
        <v>0</v>
      </c>
      <c r="N697" s="887">
        <v>0</v>
      </c>
      <c r="O697" s="887">
        <f t="shared" si="287"/>
        <v>0</v>
      </c>
      <c r="P697" s="887">
        <f t="shared" si="288"/>
        <v>0</v>
      </c>
      <c r="Q697" s="1323"/>
      <c r="R697" s="1323"/>
      <c r="S697" s="1323"/>
      <c r="T697" s="1323"/>
      <c r="U697" s="1323"/>
      <c r="V697" s="1323"/>
      <c r="W697" s="1323"/>
      <c r="X697" s="1323"/>
      <c r="Y697" s="1323"/>
      <c r="Z697" s="1323"/>
    </row>
    <row r="698" spans="1:26" ht="19.5">
      <c r="A698" s="1326"/>
      <c r="B698" s="1327"/>
      <c r="C698" s="1301" t="s">
        <v>16</v>
      </c>
      <c r="D698" s="1439" t="s">
        <v>38</v>
      </c>
      <c r="E698" s="1330"/>
      <c r="F698" s="1330"/>
      <c r="G698" s="1331"/>
      <c r="H698" s="1007"/>
      <c r="I698" s="997"/>
      <c r="J698" s="997"/>
      <c r="K698" s="998"/>
      <c r="L698" s="998"/>
      <c r="M698" s="998"/>
      <c r="N698" s="998"/>
      <c r="O698" s="998"/>
      <c r="P698" s="998"/>
      <c r="Q698" s="1302"/>
      <c r="R698" s="1302"/>
      <c r="S698" s="1302"/>
      <c r="T698" s="1302"/>
      <c r="U698" s="1302"/>
      <c r="V698" s="1302"/>
      <c r="W698" s="1302"/>
      <c r="X698" s="1302"/>
      <c r="Y698" s="1302"/>
      <c r="Z698" s="1302"/>
    </row>
    <row r="699" spans="1:26" ht="18.75">
      <c r="A699" s="1429"/>
      <c r="B699" s="1301"/>
      <c r="C699" s="1301"/>
      <c r="D699" s="1301" t="s">
        <v>295</v>
      </c>
      <c r="E699" s="1301"/>
      <c r="F699" s="1301"/>
      <c r="G699" s="1016"/>
      <c r="H699" s="762" t="s">
        <v>46</v>
      </c>
      <c r="I699" s="1440">
        <f ca="1">IFERROR(__xludf.DUMMYFUNCTION("IMPORTRANGE(""https://docs.google.com/spreadsheets/d/1QqKyyYR6Q21VydFLVH3TRQUabQu_ym0Zz7PgGX0-kHA/edit?usp=sharing"",""แผน!IC79"")"),248)</f>
        <v>248</v>
      </c>
      <c r="J699" s="880">
        <f ca="1">IFERROR(__xludf.DUMMYFUNCTION("IMPORTRANGE(""https://docs.google.com/spreadsheets/d/1XWAQStnk-4SwqDmLtmXYiTMKHgktTP8We1SCoS47DrQ/edit?usp=sharing"",""จัดที่ดิน!BB79"")"),0)</f>
        <v>0</v>
      </c>
      <c r="K699" s="881">
        <f t="shared" ref="K699:K701" ca="1" si="289">IF(I699&gt;0,J699*100/I699,0)</f>
        <v>0</v>
      </c>
      <c r="L699" s="881"/>
      <c r="M699" s="1016"/>
      <c r="N699" s="1441"/>
      <c r="O699" s="881"/>
      <c r="P699" s="881"/>
      <c r="Q699" s="1302"/>
      <c r="R699" s="1302"/>
      <c r="S699" s="1302"/>
      <c r="T699" s="1302"/>
      <c r="U699" s="1302"/>
      <c r="V699" s="1302"/>
      <c r="W699" s="1302"/>
      <c r="X699" s="1302"/>
      <c r="Y699" s="1302"/>
      <c r="Z699" s="1302"/>
    </row>
    <row r="700" spans="1:26" ht="18.75">
      <c r="A700" s="1429"/>
      <c r="B700" s="1301"/>
      <c r="C700" s="1301"/>
      <c r="D700" s="1301" t="s">
        <v>296</v>
      </c>
      <c r="E700" s="1301"/>
      <c r="F700" s="1301"/>
      <c r="G700" s="1016"/>
      <c r="H700" s="762" t="s">
        <v>35</v>
      </c>
      <c r="I700" s="1440">
        <f ca="1">IFERROR(__xludf.DUMMYFUNCTION("IMPORTRANGE(""https://docs.google.com/spreadsheets/d/1QqKyyYR6Q21VydFLVH3TRQUabQu_ym0Zz7PgGX0-kHA/edit?usp=sharing"",""แผน!ID79"")"),56)</f>
        <v>56</v>
      </c>
      <c r="J700" s="880">
        <f ca="1">IFERROR(__xludf.DUMMYFUNCTION("IMPORTRANGE(""https://docs.google.com/spreadsheets/d/1XWAQStnk-4SwqDmLtmXYiTMKHgktTP8We1SCoS47DrQ/edit?usp=sharing"",""จัดที่ดิน!BD79"")"),0)</f>
        <v>0</v>
      </c>
      <c r="K700" s="881">
        <f t="shared" ca="1" si="289"/>
        <v>0</v>
      </c>
      <c r="L700" s="881"/>
      <c r="M700" s="1016"/>
      <c r="N700" s="1441"/>
      <c r="O700" s="881"/>
      <c r="P700" s="881"/>
      <c r="Q700" s="1302"/>
      <c r="R700" s="1302"/>
      <c r="S700" s="1302"/>
      <c r="T700" s="1302"/>
      <c r="U700" s="1302"/>
      <c r="V700" s="1302"/>
      <c r="W700" s="1302"/>
      <c r="X700" s="1302"/>
      <c r="Y700" s="1302"/>
      <c r="Z700" s="1302"/>
    </row>
    <row r="701" spans="1:26" ht="19.5">
      <c r="A701" s="1429"/>
      <c r="B701" s="1301"/>
      <c r="C701" s="1301"/>
      <c r="D701" s="1301" t="s">
        <v>297</v>
      </c>
      <c r="E701" s="1301"/>
      <c r="F701" s="1301"/>
      <c r="G701" s="1016"/>
      <c r="H701" s="765" t="s">
        <v>46</v>
      </c>
      <c r="I701" s="1442">
        <f ca="1">IFERROR(__xludf.DUMMYFUNCTION("IMPORTRANGE(""https://docs.google.com/spreadsheets/d/1QqKyyYR6Q21VydFLVH3TRQUabQu_ym0Zz7PgGX0-kHA/edit?usp=sharing"",""แผน!IE79"")"),0)</f>
        <v>0</v>
      </c>
      <c r="J701" s="1019">
        <f>J704+J707</f>
        <v>0</v>
      </c>
      <c r="K701" s="1020">
        <f t="shared" ca="1" si="289"/>
        <v>0</v>
      </c>
      <c r="L701" s="881"/>
      <c r="M701" s="1016"/>
      <c r="N701" s="1441"/>
      <c r="O701" s="881"/>
      <c r="P701" s="881"/>
      <c r="Q701" s="1302"/>
      <c r="R701" s="1302"/>
      <c r="S701" s="1302"/>
      <c r="T701" s="1302"/>
      <c r="U701" s="1302"/>
      <c r="V701" s="1302"/>
      <c r="W701" s="1302"/>
      <c r="X701" s="1302"/>
      <c r="Y701" s="1302"/>
      <c r="Z701" s="1302"/>
    </row>
    <row r="702" spans="1:26" ht="18.75">
      <c r="A702" s="1429"/>
      <c r="B702" s="1301"/>
      <c r="C702" s="1301"/>
      <c r="D702" s="1301"/>
      <c r="E702" s="1301" t="s">
        <v>298</v>
      </c>
      <c r="F702" s="1301"/>
      <c r="G702" s="1016"/>
      <c r="H702" s="762" t="s">
        <v>35</v>
      </c>
      <c r="I702" s="1440"/>
      <c r="J702" s="1012">
        <v>0</v>
      </c>
      <c r="K702" s="881"/>
      <c r="L702" s="881"/>
      <c r="M702" s="1016"/>
      <c r="N702" s="1441"/>
      <c r="O702" s="881"/>
      <c r="P702" s="881"/>
      <c r="Q702" s="1302"/>
      <c r="R702" s="1302"/>
      <c r="S702" s="1302"/>
      <c r="T702" s="1302"/>
      <c r="U702" s="1302"/>
      <c r="V702" s="1302"/>
      <c r="W702" s="1302"/>
      <c r="X702" s="1302"/>
      <c r="Y702" s="1302"/>
      <c r="Z702" s="1302"/>
    </row>
    <row r="703" spans="1:26" ht="18.75">
      <c r="A703" s="1429"/>
      <c r="B703" s="1301"/>
      <c r="C703" s="1301"/>
      <c r="D703" s="1301"/>
      <c r="E703" s="1301"/>
      <c r="F703" s="1301"/>
      <c r="G703" s="1016"/>
      <c r="H703" s="762" t="s">
        <v>34</v>
      </c>
      <c r="I703" s="1440"/>
      <c r="J703" s="1012">
        <v>0</v>
      </c>
      <c r="K703" s="881"/>
      <c r="L703" s="881"/>
      <c r="M703" s="1016"/>
      <c r="N703" s="1441"/>
      <c r="O703" s="881"/>
      <c r="P703" s="881"/>
      <c r="Q703" s="1302"/>
      <c r="R703" s="1302"/>
      <c r="S703" s="1302"/>
      <c r="T703" s="1302"/>
      <c r="U703" s="1302"/>
      <c r="V703" s="1302"/>
      <c r="W703" s="1302"/>
      <c r="X703" s="1302"/>
      <c r="Y703" s="1302"/>
      <c r="Z703" s="1302"/>
    </row>
    <row r="704" spans="1:26" ht="18.75">
      <c r="A704" s="1429"/>
      <c r="B704" s="1301"/>
      <c r="C704" s="1301"/>
      <c r="D704" s="1301"/>
      <c r="E704" s="1301"/>
      <c r="F704" s="1301"/>
      <c r="G704" s="1016"/>
      <c r="H704" s="762" t="s">
        <v>46</v>
      </c>
      <c r="I704" s="1440">
        <f ca="1">IFERROR(__xludf.DUMMYFUNCTION("IMPORTRANGE(""https://docs.google.com/spreadsheets/d/1QqKyyYR6Q21VydFLVH3TRQUabQu_ym0Zz7PgGX0-kHA/edit?usp=sharing"",""แผน!IF79"")"),0)</f>
        <v>0</v>
      </c>
      <c r="J704" s="1012">
        <v>0</v>
      </c>
      <c r="K704" s="881"/>
      <c r="L704" s="881"/>
      <c r="M704" s="1016"/>
      <c r="N704" s="1441"/>
      <c r="O704" s="881"/>
      <c r="P704" s="881"/>
      <c r="Q704" s="1302"/>
      <c r="R704" s="1302"/>
      <c r="S704" s="1302"/>
      <c r="T704" s="1302"/>
      <c r="U704" s="1302"/>
      <c r="V704" s="1302"/>
      <c r="W704" s="1302"/>
      <c r="X704" s="1302"/>
      <c r="Y704" s="1302"/>
      <c r="Z704" s="1302"/>
    </row>
    <row r="705" spans="1:26" ht="18.75">
      <c r="A705" s="1429"/>
      <c r="B705" s="1301"/>
      <c r="C705" s="1301"/>
      <c r="D705" s="1301"/>
      <c r="E705" s="1301" t="s">
        <v>299</v>
      </c>
      <c r="F705" s="1301"/>
      <c r="G705" s="1016"/>
      <c r="H705" s="762" t="s">
        <v>35</v>
      </c>
      <c r="I705" s="1440"/>
      <c r="J705" s="1012">
        <v>0</v>
      </c>
      <c r="K705" s="881"/>
      <c r="L705" s="881"/>
      <c r="M705" s="1016"/>
      <c r="N705" s="1441"/>
      <c r="O705" s="881"/>
      <c r="P705" s="881"/>
      <c r="Q705" s="1302"/>
      <c r="R705" s="1302"/>
      <c r="S705" s="1302"/>
      <c r="T705" s="1302"/>
      <c r="U705" s="1302"/>
      <c r="V705" s="1302"/>
      <c r="W705" s="1302"/>
      <c r="X705" s="1302"/>
      <c r="Y705" s="1302"/>
      <c r="Z705" s="1302"/>
    </row>
    <row r="706" spans="1:26" ht="18.75">
      <c r="A706" s="1429"/>
      <c r="B706" s="1301"/>
      <c r="C706" s="1301"/>
      <c r="D706" s="1301"/>
      <c r="E706" s="1301"/>
      <c r="F706" s="1301"/>
      <c r="G706" s="1016"/>
      <c r="H706" s="762" t="s">
        <v>34</v>
      </c>
      <c r="I706" s="1440"/>
      <c r="J706" s="1012">
        <v>0</v>
      </c>
      <c r="K706" s="881"/>
      <c r="L706" s="881"/>
      <c r="M706" s="1016"/>
      <c r="N706" s="1441"/>
      <c r="O706" s="881"/>
      <c r="P706" s="881"/>
      <c r="Q706" s="1302"/>
      <c r="R706" s="1302"/>
      <c r="S706" s="1302"/>
      <c r="T706" s="1302"/>
      <c r="U706" s="1302"/>
      <c r="V706" s="1302"/>
      <c r="W706" s="1302"/>
      <c r="X706" s="1302"/>
      <c r="Y706" s="1302"/>
      <c r="Z706" s="1302"/>
    </row>
    <row r="707" spans="1:26" ht="18.75">
      <c r="A707" s="1429"/>
      <c r="B707" s="1301"/>
      <c r="C707" s="1301"/>
      <c r="D707" s="1301"/>
      <c r="E707" s="1301"/>
      <c r="F707" s="1301"/>
      <c r="G707" s="1016"/>
      <c r="H707" s="762" t="s">
        <v>46</v>
      </c>
      <c r="I707" s="1440">
        <f ca="1">IFERROR(__xludf.DUMMYFUNCTION("IMPORTRANGE(""https://docs.google.com/spreadsheets/d/1QqKyyYR6Q21VydFLVH3TRQUabQu_ym0Zz7PgGX0-kHA/edit?usp=sharing"",""แผน!IG79"")"),0)</f>
        <v>0</v>
      </c>
      <c r="J707" s="1012">
        <v>0</v>
      </c>
      <c r="K707" s="881"/>
      <c r="L707" s="881"/>
      <c r="M707" s="1016"/>
      <c r="N707" s="1441"/>
      <c r="O707" s="881"/>
      <c r="P707" s="881"/>
      <c r="Q707" s="1302"/>
      <c r="R707" s="1302"/>
      <c r="S707" s="1302"/>
      <c r="T707" s="1302"/>
      <c r="U707" s="1302"/>
      <c r="V707" s="1302"/>
      <c r="W707" s="1302"/>
      <c r="X707" s="1302"/>
      <c r="Y707" s="1302"/>
      <c r="Z707" s="1302"/>
    </row>
    <row r="708" spans="1:26" ht="19.5">
      <c r="A708" s="1429"/>
      <c r="B708" s="1301"/>
      <c r="C708" s="1301"/>
      <c r="D708" s="1382" t="s">
        <v>300</v>
      </c>
      <c r="E708" s="1301"/>
      <c r="F708" s="1301"/>
      <c r="G708" s="1016"/>
      <c r="H708" s="765" t="s">
        <v>46</v>
      </c>
      <c r="I708" s="1442">
        <f ca="1">IFERROR(__xludf.DUMMYFUNCTION("IMPORTRANGE(""https://docs.google.com/spreadsheets/d/1QqKyyYR6Q21VydFLVH3TRQUabQu_ym0Zz7PgGX0-kHA/edit?usp=sharing"",""แผน!IH79"")"),0)</f>
        <v>0</v>
      </c>
      <c r="J708" s="1019">
        <f>J714+J717</f>
        <v>0</v>
      </c>
      <c r="K708" s="1020">
        <f ca="1">IF(I708&gt;0,J708*100/I708,0)</f>
        <v>0</v>
      </c>
      <c r="L708" s="881"/>
      <c r="M708" s="1016"/>
      <c r="N708" s="1441"/>
      <c r="O708" s="881"/>
      <c r="P708" s="881"/>
      <c r="Q708" s="1302"/>
      <c r="R708" s="1302"/>
      <c r="S708" s="1302"/>
      <c r="T708" s="1302"/>
      <c r="U708" s="1302"/>
      <c r="V708" s="1302"/>
      <c r="W708" s="1302"/>
      <c r="X708" s="1302"/>
      <c r="Y708" s="1302"/>
      <c r="Z708" s="1302"/>
    </row>
    <row r="709" spans="1:26" ht="18.75">
      <c r="A709" s="1429"/>
      <c r="B709" s="1301"/>
      <c r="C709" s="1301"/>
      <c r="D709" s="1301"/>
      <c r="E709" s="1301" t="s">
        <v>301</v>
      </c>
      <c r="F709" s="1301"/>
      <c r="G709" s="1016"/>
      <c r="H709" s="762" t="s">
        <v>34</v>
      </c>
      <c r="I709" s="1440"/>
      <c r="J709" s="1012">
        <v>0</v>
      </c>
      <c r="K709" s="881"/>
      <c r="L709" s="1441"/>
      <c r="M709" s="1016"/>
      <c r="N709" s="1441"/>
      <c r="O709" s="881"/>
      <c r="P709" s="881"/>
      <c r="Q709" s="1302"/>
      <c r="R709" s="1302"/>
      <c r="S709" s="1302"/>
      <c r="T709" s="1302"/>
      <c r="U709" s="1302"/>
      <c r="V709" s="1302"/>
      <c r="W709" s="1302"/>
      <c r="X709" s="1302"/>
      <c r="Y709" s="1302"/>
      <c r="Z709" s="1302"/>
    </row>
    <row r="710" spans="1:26" ht="18.75">
      <c r="A710" s="1429"/>
      <c r="B710" s="1301"/>
      <c r="C710" s="1301"/>
      <c r="D710" s="1301"/>
      <c r="E710" s="1301"/>
      <c r="F710" s="1301"/>
      <c r="G710" s="1016"/>
      <c r="H710" s="762" t="s">
        <v>46</v>
      </c>
      <c r="I710" s="1440"/>
      <c r="J710" s="1012">
        <v>0</v>
      </c>
      <c r="K710" s="881"/>
      <c r="L710" s="1441"/>
      <c r="M710" s="1016"/>
      <c r="N710" s="1441"/>
      <c r="O710" s="881"/>
      <c r="P710" s="881"/>
      <c r="Q710" s="1302"/>
      <c r="R710" s="1302"/>
      <c r="S710" s="1302"/>
      <c r="T710" s="1302"/>
      <c r="U710" s="1302"/>
      <c r="V710" s="1302"/>
      <c r="W710" s="1302"/>
      <c r="X710" s="1302"/>
      <c r="Y710" s="1302"/>
      <c r="Z710" s="1302"/>
    </row>
    <row r="711" spans="1:26" ht="18.75">
      <c r="A711" s="1429"/>
      <c r="B711" s="1301"/>
      <c r="C711" s="1301"/>
      <c r="D711" s="1301"/>
      <c r="E711" s="1301" t="s">
        <v>302</v>
      </c>
      <c r="F711" s="1301"/>
      <c r="G711" s="1016"/>
      <c r="H711" s="1007"/>
      <c r="I711" s="1440"/>
      <c r="J711" s="880"/>
      <c r="K711" s="881"/>
      <c r="L711" s="1441"/>
      <c r="M711" s="1016"/>
      <c r="N711" s="1441"/>
      <c r="O711" s="881"/>
      <c r="P711" s="881"/>
      <c r="Q711" s="1302"/>
      <c r="R711" s="1302"/>
      <c r="S711" s="1302"/>
      <c r="T711" s="1302"/>
      <c r="U711" s="1302"/>
      <c r="V711" s="1302"/>
      <c r="W711" s="1302"/>
      <c r="X711" s="1302"/>
      <c r="Y711" s="1302"/>
      <c r="Z711" s="1302"/>
    </row>
    <row r="712" spans="1:26" ht="18.75">
      <c r="A712" s="1429"/>
      <c r="B712" s="1301"/>
      <c r="C712" s="1301"/>
      <c r="D712" s="1301"/>
      <c r="E712" s="1301"/>
      <c r="F712" s="1301" t="s">
        <v>303</v>
      </c>
      <c r="G712" s="1016"/>
      <c r="H712" s="762" t="s">
        <v>35</v>
      </c>
      <c r="I712" s="1440"/>
      <c r="J712" s="1012">
        <v>0</v>
      </c>
      <c r="K712" s="881"/>
      <c r="L712" s="1441"/>
      <c r="M712" s="1016"/>
      <c r="N712" s="1441"/>
      <c r="O712" s="881"/>
      <c r="P712" s="881"/>
      <c r="Q712" s="1302"/>
      <c r="R712" s="1302"/>
      <c r="S712" s="1302"/>
      <c r="T712" s="1302"/>
      <c r="U712" s="1302"/>
      <c r="V712" s="1302"/>
      <c r="W712" s="1302"/>
      <c r="X712" s="1302"/>
      <c r="Y712" s="1302"/>
      <c r="Z712" s="1302"/>
    </row>
    <row r="713" spans="1:26" ht="18.75">
      <c r="A713" s="1429"/>
      <c r="B713" s="1301"/>
      <c r="C713" s="1301"/>
      <c r="D713" s="1301"/>
      <c r="E713" s="1301"/>
      <c r="F713" s="1301"/>
      <c r="G713" s="1016"/>
      <c r="H713" s="762" t="s">
        <v>34</v>
      </c>
      <c r="I713" s="1440"/>
      <c r="J713" s="1012">
        <v>0</v>
      </c>
      <c r="K713" s="881"/>
      <c r="L713" s="1441"/>
      <c r="M713" s="1016"/>
      <c r="N713" s="1441"/>
      <c r="O713" s="881"/>
      <c r="P713" s="881"/>
      <c r="Q713" s="1302"/>
      <c r="R713" s="1302"/>
      <c r="S713" s="1302"/>
      <c r="T713" s="1302"/>
      <c r="U713" s="1302"/>
      <c r="V713" s="1302"/>
      <c r="W713" s="1302"/>
      <c r="X713" s="1302"/>
      <c r="Y713" s="1302"/>
      <c r="Z713" s="1302"/>
    </row>
    <row r="714" spans="1:26" ht="18.75">
      <c r="A714" s="1429"/>
      <c r="B714" s="1301"/>
      <c r="C714" s="1301"/>
      <c r="D714" s="1301"/>
      <c r="E714" s="1301"/>
      <c r="F714" s="1301"/>
      <c r="G714" s="1016"/>
      <c r="H714" s="762" t="s">
        <v>46</v>
      </c>
      <c r="I714" s="1440"/>
      <c r="J714" s="1012">
        <v>0</v>
      </c>
      <c r="K714" s="881"/>
      <c r="L714" s="1441"/>
      <c r="M714" s="1016"/>
      <c r="N714" s="1441"/>
      <c r="O714" s="881"/>
      <c r="P714" s="881"/>
      <c r="Q714" s="1302"/>
      <c r="R714" s="1302"/>
      <c r="S714" s="1302"/>
      <c r="T714" s="1302"/>
      <c r="U714" s="1302"/>
      <c r="V714" s="1302"/>
      <c r="W714" s="1302"/>
      <c r="X714" s="1302"/>
      <c r="Y714" s="1302"/>
      <c r="Z714" s="1302"/>
    </row>
    <row r="715" spans="1:26" ht="18.75">
      <c r="A715" s="1429"/>
      <c r="B715" s="1301"/>
      <c r="C715" s="1301"/>
      <c r="D715" s="1301"/>
      <c r="E715" s="1301"/>
      <c r="F715" s="1301" t="s">
        <v>304</v>
      </c>
      <c r="G715" s="1016"/>
      <c r="H715" s="762" t="s">
        <v>35</v>
      </c>
      <c r="I715" s="1440"/>
      <c r="J715" s="1012">
        <v>0</v>
      </c>
      <c r="K715" s="881"/>
      <c r="L715" s="1441"/>
      <c r="M715" s="1016"/>
      <c r="N715" s="1441"/>
      <c r="O715" s="881"/>
      <c r="P715" s="881"/>
      <c r="Q715" s="1302"/>
      <c r="R715" s="1302"/>
      <c r="S715" s="1302"/>
      <c r="T715" s="1302"/>
      <c r="U715" s="1302"/>
      <c r="V715" s="1302"/>
      <c r="W715" s="1302"/>
      <c r="X715" s="1302"/>
      <c r="Y715" s="1302"/>
      <c r="Z715" s="1302"/>
    </row>
    <row r="716" spans="1:26" ht="18.75">
      <c r="A716" s="1429"/>
      <c r="B716" s="1301"/>
      <c r="C716" s="1301"/>
      <c r="D716" s="1301"/>
      <c r="E716" s="1301"/>
      <c r="F716" s="1301"/>
      <c r="G716" s="1016"/>
      <c r="H716" s="762" t="s">
        <v>34</v>
      </c>
      <c r="I716" s="1440"/>
      <c r="J716" s="1012">
        <v>0</v>
      </c>
      <c r="K716" s="881"/>
      <c r="L716" s="1441"/>
      <c r="M716" s="1016"/>
      <c r="N716" s="1441"/>
      <c r="O716" s="881"/>
      <c r="P716" s="881"/>
      <c r="Q716" s="1302"/>
      <c r="R716" s="1302"/>
      <c r="S716" s="1302"/>
      <c r="T716" s="1302"/>
      <c r="U716" s="1302"/>
      <c r="V716" s="1302"/>
      <c r="W716" s="1302"/>
      <c r="X716" s="1302"/>
      <c r="Y716" s="1302"/>
      <c r="Z716" s="1302"/>
    </row>
    <row r="717" spans="1:26" ht="18.75">
      <c r="A717" s="1429"/>
      <c r="B717" s="1301"/>
      <c r="C717" s="1301"/>
      <c r="D717" s="1301"/>
      <c r="E717" s="1301"/>
      <c r="F717" s="1301"/>
      <c r="G717" s="1016"/>
      <c r="H717" s="762" t="s">
        <v>46</v>
      </c>
      <c r="I717" s="1440"/>
      <c r="J717" s="1012">
        <v>0</v>
      </c>
      <c r="K717" s="881"/>
      <c r="L717" s="1441"/>
      <c r="M717" s="1016"/>
      <c r="N717" s="1441"/>
      <c r="O717" s="881"/>
      <c r="P717" s="881"/>
      <c r="Q717" s="1302"/>
      <c r="R717" s="1302"/>
      <c r="S717" s="1302"/>
      <c r="T717" s="1302"/>
      <c r="U717" s="1302"/>
      <c r="V717" s="1302"/>
      <c r="W717" s="1302"/>
      <c r="X717" s="1302"/>
      <c r="Y717" s="1302"/>
      <c r="Z717" s="1302"/>
    </row>
    <row r="718" spans="1:26" ht="18.75">
      <c r="A718" s="1429"/>
      <c r="B718" s="1301"/>
      <c r="C718" s="1301"/>
      <c r="D718" s="1301" t="s">
        <v>305</v>
      </c>
      <c r="E718" s="1301"/>
      <c r="F718" s="1301"/>
      <c r="G718" s="1016"/>
      <c r="H718" s="762" t="s">
        <v>35</v>
      </c>
      <c r="I718" s="1440"/>
      <c r="J718" s="880">
        <f ca="1">IFERROR(__xludf.DUMMYFUNCTION("IMPORTRANGE(""https://docs.google.com/spreadsheets/d/1XWAQStnk-4SwqDmLtmXYiTMKHgktTP8We1SCoS47DrQ/edit?usp=sharing"",""จัดที่ดิน!BF79"")"),0)</f>
        <v>0</v>
      </c>
      <c r="K718" s="881"/>
      <c r="L718" s="881"/>
      <c r="M718" s="1016"/>
      <c r="N718" s="1441"/>
      <c r="O718" s="881"/>
      <c r="P718" s="881"/>
      <c r="Q718" s="1302"/>
      <c r="R718" s="1302"/>
      <c r="S718" s="1302"/>
      <c r="T718" s="1302"/>
      <c r="U718" s="1302"/>
      <c r="V718" s="1302"/>
      <c r="W718" s="1302"/>
      <c r="X718" s="1302"/>
      <c r="Y718" s="1302"/>
      <c r="Z718" s="1302"/>
    </row>
    <row r="719" spans="1:26" ht="18.75">
      <c r="A719" s="1429"/>
      <c r="B719" s="1301"/>
      <c r="C719" s="1301"/>
      <c r="D719" s="1301"/>
      <c r="E719" s="1301"/>
      <c r="F719" s="1301"/>
      <c r="G719" s="1016"/>
      <c r="H719" s="762" t="s">
        <v>34</v>
      </c>
      <c r="I719" s="1440"/>
      <c r="J719" s="880">
        <f ca="1">IFERROR(__xludf.DUMMYFUNCTION("IMPORTRANGE(""https://docs.google.com/spreadsheets/d/1XWAQStnk-4SwqDmLtmXYiTMKHgktTP8We1SCoS47DrQ/edit?usp=sharing"",""จัดที่ดิน!BG79"")"),0)</f>
        <v>0</v>
      </c>
      <c r="K719" s="881"/>
      <c r="L719" s="1441"/>
      <c r="M719" s="1016"/>
      <c r="N719" s="1441"/>
      <c r="O719" s="881"/>
      <c r="P719" s="881"/>
      <c r="Q719" s="1302"/>
      <c r="R719" s="1302"/>
      <c r="S719" s="1302"/>
      <c r="T719" s="1302"/>
      <c r="U719" s="1302"/>
      <c r="V719" s="1302"/>
      <c r="W719" s="1302"/>
      <c r="X719" s="1302"/>
      <c r="Y719" s="1302"/>
      <c r="Z719" s="1302"/>
    </row>
    <row r="720" spans="1:26" ht="18.75">
      <c r="A720" s="1429"/>
      <c r="B720" s="1301"/>
      <c r="C720" s="1301"/>
      <c r="D720" s="1301"/>
      <c r="E720" s="1301"/>
      <c r="F720" s="1301"/>
      <c r="G720" s="1016"/>
      <c r="H720" s="762" t="s">
        <v>46</v>
      </c>
      <c r="I720" s="1440">
        <f ca="1">IFERROR(__xludf.DUMMYFUNCTION("IMPORTRANGE(""https://docs.google.com/spreadsheets/d/1QqKyyYR6Q21VydFLVH3TRQUabQu_ym0Zz7PgGX0-kHA/edit?usp=sharing"",""แผน!II79"")"),0)</f>
        <v>0</v>
      </c>
      <c r="J720" s="880">
        <f ca="1">IFERROR(__xludf.DUMMYFUNCTION("IMPORTRANGE(""https://docs.google.com/spreadsheets/d/1XWAQStnk-4SwqDmLtmXYiTMKHgktTP8We1SCoS47DrQ/edit?usp=sharing"",""จัดที่ดิน!BH79"")"),0)</f>
        <v>0</v>
      </c>
      <c r="K720" s="881">
        <f t="shared" ref="K720:K723" ca="1" si="290">IF(I720&gt;0,J720*100/I720,0)</f>
        <v>0</v>
      </c>
      <c r="L720" s="1441"/>
      <c r="M720" s="1016"/>
      <c r="N720" s="1441"/>
      <c r="O720" s="881"/>
      <c r="P720" s="881"/>
      <c r="Q720" s="1302"/>
      <c r="R720" s="1302"/>
      <c r="S720" s="1302"/>
      <c r="T720" s="1302"/>
      <c r="U720" s="1302"/>
      <c r="V720" s="1302"/>
      <c r="W720" s="1302"/>
      <c r="X720" s="1302"/>
      <c r="Y720" s="1302"/>
      <c r="Z720" s="1302"/>
    </row>
    <row r="721" spans="1:26" ht="19.5">
      <c r="A721" s="1429"/>
      <c r="B721" s="1301"/>
      <c r="C721" s="1301"/>
      <c r="D721" s="1301" t="s">
        <v>306</v>
      </c>
      <c r="E721" s="1301"/>
      <c r="F721" s="1301"/>
      <c r="G721" s="1016"/>
      <c r="H721" s="765" t="s">
        <v>35</v>
      </c>
      <c r="I721" s="1442">
        <f ca="1">IFERROR(__xludf.DUMMYFUNCTION("IMPORTRANGE(""https://docs.google.com/spreadsheets/d/1QqKyyYR6Q21VydFLVH3TRQUabQu_ym0Zz7PgGX0-kHA/edit?usp=sharing"",""แผน!IJ79"")"),0)</f>
        <v>0</v>
      </c>
      <c r="J721" s="1019">
        <f ca="1">J723+J726</f>
        <v>0</v>
      </c>
      <c r="K721" s="1020">
        <f t="shared" ca="1" si="290"/>
        <v>0</v>
      </c>
      <c r="L721" s="1441"/>
      <c r="M721" s="1016"/>
      <c r="N721" s="1441"/>
      <c r="O721" s="881"/>
      <c r="P721" s="881"/>
      <c r="Q721" s="1302"/>
      <c r="R721" s="1302"/>
      <c r="S721" s="1302"/>
      <c r="T721" s="1302"/>
      <c r="U721" s="1302"/>
      <c r="V721" s="1302"/>
      <c r="W721" s="1302"/>
      <c r="X721" s="1302"/>
      <c r="Y721" s="1302"/>
      <c r="Z721" s="1302"/>
    </row>
    <row r="722" spans="1:26" ht="19.5">
      <c r="A722" s="1429"/>
      <c r="B722" s="1301"/>
      <c r="C722" s="1301"/>
      <c r="D722" s="1301"/>
      <c r="E722" s="1301"/>
      <c r="F722" s="1301"/>
      <c r="G722" s="1016"/>
      <c r="H722" s="765" t="s">
        <v>46</v>
      </c>
      <c r="I722" s="1442">
        <f ca="1">IFERROR(__xludf.DUMMYFUNCTION("IMPORTRANGE(""https://docs.google.com/spreadsheets/d/1QqKyyYR6Q21VydFLVH3TRQUabQu_ym0Zz7PgGX0-kHA/edit?usp=sharing"",""แผน!IK79"")"),0)</f>
        <v>0</v>
      </c>
      <c r="J722" s="1019">
        <f ca="1">J725+J728</f>
        <v>0</v>
      </c>
      <c r="K722" s="1020">
        <f t="shared" ca="1" si="290"/>
        <v>0</v>
      </c>
      <c r="L722" s="881"/>
      <c r="M722" s="1016"/>
      <c r="N722" s="1441"/>
      <c r="O722" s="881"/>
      <c r="P722" s="881"/>
      <c r="Q722" s="1302"/>
      <c r="R722" s="1302"/>
      <c r="S722" s="1302"/>
      <c r="T722" s="1302"/>
      <c r="U722" s="1302"/>
      <c r="V722" s="1302"/>
      <c r="W722" s="1302"/>
      <c r="X722" s="1302"/>
      <c r="Y722" s="1302"/>
      <c r="Z722" s="1302"/>
    </row>
    <row r="723" spans="1:26" ht="18.75">
      <c r="A723" s="1429"/>
      <c r="B723" s="1301"/>
      <c r="C723" s="1301"/>
      <c r="D723" s="1301"/>
      <c r="E723" s="1301" t="s">
        <v>307</v>
      </c>
      <c r="F723" s="1301"/>
      <c r="G723" s="1016"/>
      <c r="H723" s="762" t="s">
        <v>35</v>
      </c>
      <c r="I723" s="1440">
        <f ca="1">IFERROR(__xludf.DUMMYFUNCTION("IMPORTRANGE(""https://docs.google.com/spreadsheets/d/1QqKyyYR6Q21VydFLVH3TRQUabQu_ym0Zz7PgGX0-kHA/edit?usp=sharing"",""แผน!IL79"")"),0)</f>
        <v>0</v>
      </c>
      <c r="J723" s="880">
        <f ca="1">IFERROR(__xludf.DUMMYFUNCTION("IMPORTRANGE(""https://docs.google.com/spreadsheets/d/1XWAQStnk-4SwqDmLtmXYiTMKHgktTP8We1SCoS47DrQ/edit?usp=sharing"",""จัดที่ดิน!BM79"")"),0)</f>
        <v>0</v>
      </c>
      <c r="K723" s="881">
        <f t="shared" ca="1" si="290"/>
        <v>0</v>
      </c>
      <c r="L723" s="881"/>
      <c r="M723" s="1016"/>
      <c r="N723" s="1441"/>
      <c r="O723" s="881"/>
      <c r="P723" s="881"/>
      <c r="Q723" s="1302"/>
      <c r="R723" s="1302"/>
      <c r="S723" s="1302"/>
      <c r="T723" s="1302"/>
      <c r="U723" s="1302"/>
      <c r="V723" s="1302"/>
      <c r="W723" s="1302"/>
      <c r="X723" s="1302"/>
      <c r="Y723" s="1302"/>
      <c r="Z723" s="1302"/>
    </row>
    <row r="724" spans="1:26" ht="18.75">
      <c r="A724" s="1429"/>
      <c r="B724" s="1301"/>
      <c r="C724" s="1301"/>
      <c r="D724" s="1301"/>
      <c r="E724" s="1301"/>
      <c r="F724" s="1301"/>
      <c r="G724" s="1016"/>
      <c r="H724" s="762" t="s">
        <v>34</v>
      </c>
      <c r="I724" s="1440"/>
      <c r="J724" s="880">
        <f ca="1">IFERROR(__xludf.DUMMYFUNCTION("IMPORTRANGE(""https://docs.google.com/spreadsheets/d/1XWAQStnk-4SwqDmLtmXYiTMKHgktTP8We1SCoS47DrQ/edit?usp=sharing"",""จัดที่ดิน!BN79"")"),0)</f>
        <v>0</v>
      </c>
      <c r="K724" s="881"/>
      <c r="L724" s="1441"/>
      <c r="M724" s="1016"/>
      <c r="N724" s="1441"/>
      <c r="O724" s="881"/>
      <c r="P724" s="881"/>
      <c r="Q724" s="1302"/>
      <c r="R724" s="1302"/>
      <c r="S724" s="1302"/>
      <c r="T724" s="1302"/>
      <c r="U724" s="1302"/>
      <c r="V724" s="1302"/>
      <c r="W724" s="1302"/>
      <c r="X724" s="1302"/>
      <c r="Y724" s="1302"/>
      <c r="Z724" s="1302"/>
    </row>
    <row r="725" spans="1:26" ht="18.75">
      <c r="A725" s="1429"/>
      <c r="B725" s="1301"/>
      <c r="C725" s="1301"/>
      <c r="D725" s="1301"/>
      <c r="E725" s="1301"/>
      <c r="F725" s="1301"/>
      <c r="G725" s="1016"/>
      <c r="H725" s="762" t="s">
        <v>46</v>
      </c>
      <c r="I725" s="1440">
        <f ca="1">IFERROR(__xludf.DUMMYFUNCTION("IMPORTRANGE(""https://docs.google.com/spreadsheets/d/1QqKyyYR6Q21VydFLVH3TRQUabQu_ym0Zz7PgGX0-kHA/edit?usp=sharing"",""แผน!IM79"")"),0)</f>
        <v>0</v>
      </c>
      <c r="J725" s="880">
        <f ca="1">IFERROR(__xludf.DUMMYFUNCTION("IMPORTRANGE(""https://docs.google.com/spreadsheets/d/1XWAQStnk-4SwqDmLtmXYiTMKHgktTP8We1SCoS47DrQ/edit?usp=sharing"",""จัดที่ดิน!BO79"")"),0)</f>
        <v>0</v>
      </c>
      <c r="K725" s="881">
        <f t="shared" ref="K725:K726" ca="1" si="291">IF(I725&gt;0,J725*100/I725,0)</f>
        <v>0</v>
      </c>
      <c r="L725" s="1441"/>
      <c r="M725" s="1016"/>
      <c r="N725" s="1441"/>
      <c r="O725" s="881"/>
      <c r="P725" s="881"/>
      <c r="Q725" s="1302"/>
      <c r="R725" s="1302"/>
      <c r="S725" s="1302"/>
      <c r="T725" s="1302"/>
      <c r="U725" s="1302"/>
      <c r="V725" s="1302"/>
      <c r="W725" s="1302"/>
      <c r="X725" s="1302"/>
      <c r="Y725" s="1302"/>
      <c r="Z725" s="1302"/>
    </row>
    <row r="726" spans="1:26" ht="18.75">
      <c r="A726" s="1429"/>
      <c r="B726" s="1301"/>
      <c r="C726" s="1301"/>
      <c r="D726" s="1301"/>
      <c r="E726" s="1301" t="s">
        <v>308</v>
      </c>
      <c r="F726" s="1301"/>
      <c r="G726" s="1016"/>
      <c r="H726" s="762" t="s">
        <v>35</v>
      </c>
      <c r="I726" s="1440">
        <f ca="1">IFERROR(__xludf.DUMMYFUNCTION("IMPORTRANGE(""https://docs.google.com/spreadsheets/d/1QqKyyYR6Q21VydFLVH3TRQUabQu_ym0Zz7PgGX0-kHA/edit?usp=sharing"",""แผน!IN79"")"),0)</f>
        <v>0</v>
      </c>
      <c r="J726" s="880">
        <f ca="1">IFERROR(__xludf.DUMMYFUNCTION("IMPORTRANGE(""https://docs.google.com/spreadsheets/d/1XWAQStnk-4SwqDmLtmXYiTMKHgktTP8We1SCoS47DrQ/edit?usp=sharing"",""จัดที่ดิน!BR79"")"),0)</f>
        <v>0</v>
      </c>
      <c r="K726" s="881">
        <f t="shared" ca="1" si="291"/>
        <v>0</v>
      </c>
      <c r="L726" s="881"/>
      <c r="M726" s="1016"/>
      <c r="N726" s="1441"/>
      <c r="O726" s="881"/>
      <c r="P726" s="881"/>
      <c r="Q726" s="1302"/>
      <c r="R726" s="1302"/>
      <c r="S726" s="1302"/>
      <c r="T726" s="1302"/>
      <c r="U726" s="1302"/>
      <c r="V726" s="1302"/>
      <c r="W726" s="1302"/>
      <c r="X726" s="1302"/>
      <c r="Y726" s="1302"/>
      <c r="Z726" s="1302"/>
    </row>
    <row r="727" spans="1:26" ht="18.75">
      <c r="A727" s="1429"/>
      <c r="B727" s="1301"/>
      <c r="C727" s="1301"/>
      <c r="D727" s="1301"/>
      <c r="E727" s="1301"/>
      <c r="F727" s="1301"/>
      <c r="G727" s="1016"/>
      <c r="H727" s="762" t="s">
        <v>34</v>
      </c>
      <c r="I727" s="1440"/>
      <c r="J727" s="880">
        <f ca="1">IFERROR(__xludf.DUMMYFUNCTION("IMPORTRANGE(""https://docs.google.com/spreadsheets/d/1XWAQStnk-4SwqDmLtmXYiTMKHgktTP8We1SCoS47DrQ/edit?usp=sharing"",""จัดที่ดิน!BS79"")"),0)</f>
        <v>0</v>
      </c>
      <c r="K727" s="881"/>
      <c r="L727" s="1441"/>
      <c r="M727" s="1016"/>
      <c r="N727" s="1441"/>
      <c r="O727" s="881"/>
      <c r="P727" s="881"/>
      <c r="Q727" s="1302"/>
      <c r="R727" s="1302"/>
      <c r="S727" s="1302"/>
      <c r="T727" s="1302"/>
      <c r="U727" s="1302"/>
      <c r="V727" s="1302"/>
      <c r="W727" s="1302"/>
      <c r="X727" s="1302"/>
      <c r="Y727" s="1302"/>
      <c r="Z727" s="1302"/>
    </row>
    <row r="728" spans="1:26" ht="18.75">
      <c r="A728" s="1429"/>
      <c r="B728" s="1301"/>
      <c r="C728" s="1301"/>
      <c r="D728" s="1301"/>
      <c r="E728" s="1301"/>
      <c r="F728" s="1301"/>
      <c r="G728" s="1016"/>
      <c r="H728" s="762" t="s">
        <v>46</v>
      </c>
      <c r="I728" s="1440">
        <f ca="1">IFERROR(__xludf.DUMMYFUNCTION("IMPORTRANGE(""https://docs.google.com/spreadsheets/d/1QqKyyYR6Q21VydFLVH3TRQUabQu_ym0Zz7PgGX0-kHA/edit?usp=sharing"",""แผน!IO79"")"),0)</f>
        <v>0</v>
      </c>
      <c r="J728" s="880">
        <f ca="1">IFERROR(__xludf.DUMMYFUNCTION("IMPORTRANGE(""https://docs.google.com/spreadsheets/d/1XWAQStnk-4SwqDmLtmXYiTMKHgktTP8We1SCoS47DrQ/edit?usp=sharing"",""จัดที่ดิน!BT79"")"),0)</f>
        <v>0</v>
      </c>
      <c r="K728" s="881">
        <f t="shared" ref="K728:K729" ca="1" si="292">IF(I728&gt;0,J728*100/I728,0)</f>
        <v>0</v>
      </c>
      <c r="L728" s="1441"/>
      <c r="M728" s="1016"/>
      <c r="N728" s="1441"/>
      <c r="O728" s="881"/>
      <c r="P728" s="881"/>
      <c r="Q728" s="1302"/>
      <c r="R728" s="1302"/>
      <c r="S728" s="1302"/>
      <c r="T728" s="1302"/>
      <c r="U728" s="1302"/>
      <c r="V728" s="1302"/>
      <c r="W728" s="1302"/>
      <c r="X728" s="1302"/>
      <c r="Y728" s="1302"/>
      <c r="Z728" s="1302"/>
    </row>
    <row r="729" spans="1:26" ht="19.5">
      <c r="A729" s="1429"/>
      <c r="B729" s="1301"/>
      <c r="C729" s="1301"/>
      <c r="D729" s="1301" t="s">
        <v>309</v>
      </c>
      <c r="E729" s="1301"/>
      <c r="F729" s="1301"/>
      <c r="G729" s="1016"/>
      <c r="H729" s="765" t="s">
        <v>46</v>
      </c>
      <c r="I729" s="1442">
        <f ca="1">IFERROR(__xludf.DUMMYFUNCTION("IMPORTRANGE(""https://docs.google.com/spreadsheets/d/1QqKyyYR6Q21VydFLVH3TRQUabQu_ym0Zz7PgGX0-kHA/edit?usp=sharing"",""แผน!IP79"")"),0)</f>
        <v>0</v>
      </c>
      <c r="J729" s="1019">
        <f>J732+J735</f>
        <v>0</v>
      </c>
      <c r="K729" s="1020">
        <f t="shared" ca="1" si="292"/>
        <v>0</v>
      </c>
      <c r="L729" s="881"/>
      <c r="M729" s="1016"/>
      <c r="N729" s="1441"/>
      <c r="O729" s="881"/>
      <c r="P729" s="881"/>
      <c r="Q729" s="1302"/>
      <c r="R729" s="1302"/>
      <c r="S729" s="1302"/>
      <c r="T729" s="1302"/>
      <c r="U729" s="1302"/>
      <c r="V729" s="1302"/>
      <c r="W729" s="1302"/>
      <c r="X729" s="1302"/>
      <c r="Y729" s="1302"/>
      <c r="Z729" s="1302"/>
    </row>
    <row r="730" spans="1:26" ht="18.75">
      <c r="A730" s="1429"/>
      <c r="B730" s="1301"/>
      <c r="C730" s="1301"/>
      <c r="D730" s="1301"/>
      <c r="E730" s="1301" t="s">
        <v>310</v>
      </c>
      <c r="F730" s="1301"/>
      <c r="G730" s="1016"/>
      <c r="H730" s="762" t="s">
        <v>35</v>
      </c>
      <c r="I730" s="1440"/>
      <c r="J730" s="1012">
        <v>0</v>
      </c>
      <c r="K730" s="881"/>
      <c r="L730" s="1441"/>
      <c r="M730" s="881"/>
      <c r="N730" s="1441"/>
      <c r="O730" s="881"/>
      <c r="P730" s="881"/>
      <c r="Q730" s="1302"/>
      <c r="R730" s="1302"/>
      <c r="S730" s="1302"/>
      <c r="T730" s="1302"/>
      <c r="U730" s="1302"/>
      <c r="V730" s="1302"/>
      <c r="W730" s="1302"/>
      <c r="X730" s="1302"/>
      <c r="Y730" s="1302"/>
      <c r="Z730" s="1302"/>
    </row>
    <row r="731" spans="1:26" ht="18.75">
      <c r="A731" s="1429"/>
      <c r="B731" s="1301"/>
      <c r="C731" s="1301"/>
      <c r="D731" s="1301"/>
      <c r="E731" s="1301"/>
      <c r="F731" s="1301"/>
      <c r="G731" s="1016"/>
      <c r="H731" s="762" t="s">
        <v>34</v>
      </c>
      <c r="I731" s="1440"/>
      <c r="J731" s="1012">
        <v>0</v>
      </c>
      <c r="K731" s="881"/>
      <c r="L731" s="1441"/>
      <c r="M731" s="881"/>
      <c r="N731" s="1441"/>
      <c r="O731" s="881"/>
      <c r="P731" s="881"/>
      <c r="Q731" s="1302"/>
      <c r="R731" s="1302"/>
      <c r="S731" s="1302"/>
      <c r="T731" s="1302"/>
      <c r="U731" s="1302"/>
      <c r="V731" s="1302"/>
      <c r="W731" s="1302"/>
      <c r="X731" s="1302"/>
      <c r="Y731" s="1302"/>
      <c r="Z731" s="1302"/>
    </row>
    <row r="732" spans="1:26" ht="18.75">
      <c r="A732" s="1429"/>
      <c r="B732" s="1301"/>
      <c r="C732" s="1301"/>
      <c r="D732" s="1301"/>
      <c r="E732" s="1301"/>
      <c r="F732" s="1301"/>
      <c r="G732" s="1016"/>
      <c r="H732" s="762" t="s">
        <v>46</v>
      </c>
      <c r="I732" s="1440"/>
      <c r="J732" s="1012">
        <v>0</v>
      </c>
      <c r="K732" s="881"/>
      <c r="L732" s="1441"/>
      <c r="M732" s="881"/>
      <c r="N732" s="1441"/>
      <c r="O732" s="881"/>
      <c r="P732" s="881"/>
      <c r="Q732" s="1302"/>
      <c r="R732" s="1302"/>
      <c r="S732" s="1302"/>
      <c r="T732" s="1302"/>
      <c r="U732" s="1302"/>
      <c r="V732" s="1302"/>
      <c r="W732" s="1302"/>
      <c r="X732" s="1302"/>
      <c r="Y732" s="1302"/>
      <c r="Z732" s="1302"/>
    </row>
    <row r="733" spans="1:26" ht="18.75">
      <c r="A733" s="1429"/>
      <c r="B733" s="1301"/>
      <c r="C733" s="1301"/>
      <c r="D733" s="1301"/>
      <c r="E733" s="1301" t="s">
        <v>311</v>
      </c>
      <c r="F733" s="1301"/>
      <c r="G733" s="1016"/>
      <c r="H733" s="762" t="s">
        <v>35</v>
      </c>
      <c r="I733" s="1440"/>
      <c r="J733" s="1012">
        <v>0</v>
      </c>
      <c r="K733" s="881"/>
      <c r="L733" s="1441"/>
      <c r="M733" s="881"/>
      <c r="N733" s="1441"/>
      <c r="O733" s="881"/>
      <c r="P733" s="881"/>
      <c r="Q733" s="1302"/>
      <c r="R733" s="1302"/>
      <c r="S733" s="1302"/>
      <c r="T733" s="1302"/>
      <c r="U733" s="1302"/>
      <c r="V733" s="1302"/>
      <c r="W733" s="1302"/>
      <c r="X733" s="1302"/>
      <c r="Y733" s="1302"/>
      <c r="Z733" s="1302"/>
    </row>
    <row r="734" spans="1:26" ht="18.75">
      <c r="A734" s="1429"/>
      <c r="B734" s="1301"/>
      <c r="C734" s="1301"/>
      <c r="D734" s="1301"/>
      <c r="E734" s="1301"/>
      <c r="F734" s="1301"/>
      <c r="G734" s="1016"/>
      <c r="H734" s="762" t="s">
        <v>34</v>
      </c>
      <c r="I734" s="1440"/>
      <c r="J734" s="1012">
        <v>0</v>
      </c>
      <c r="K734" s="881"/>
      <c r="L734" s="1441"/>
      <c r="M734" s="881"/>
      <c r="N734" s="1441"/>
      <c r="O734" s="881"/>
      <c r="P734" s="881"/>
      <c r="Q734" s="1302"/>
      <c r="R734" s="1302"/>
      <c r="S734" s="1302"/>
      <c r="T734" s="1302"/>
      <c r="U734" s="1302"/>
      <c r="V734" s="1302"/>
      <c r="W734" s="1302"/>
      <c r="X734" s="1302"/>
      <c r="Y734" s="1302"/>
      <c r="Z734" s="1302"/>
    </row>
    <row r="735" spans="1:26" ht="19.5">
      <c r="A735" s="1443"/>
      <c r="B735" s="1444" t="s">
        <v>312</v>
      </c>
      <c r="C735" s="1169"/>
      <c r="D735" s="1169"/>
      <c r="E735" s="1169"/>
      <c r="F735" s="1169"/>
      <c r="G735" s="1422"/>
      <c r="H735" s="423" t="s">
        <v>46</v>
      </c>
      <c r="I735" s="1445"/>
      <c r="J735" s="1171">
        <v>0</v>
      </c>
      <c r="K735" s="1239"/>
      <c r="L735" s="1446"/>
      <c r="M735" s="1239"/>
      <c r="N735" s="1446"/>
      <c r="O735" s="1239"/>
      <c r="P735" s="1239"/>
      <c r="Q735" s="1302"/>
      <c r="R735" s="1302"/>
      <c r="S735" s="1302"/>
      <c r="T735" s="1302"/>
      <c r="U735" s="1302"/>
      <c r="V735" s="1302"/>
      <c r="W735" s="1302"/>
      <c r="X735" s="1302"/>
      <c r="Y735" s="1302"/>
      <c r="Z735" s="1302"/>
    </row>
    <row r="736" spans="1:26" ht="19.5" hidden="1">
      <c r="A736" s="772">
        <v>9</v>
      </c>
      <c r="B736" s="1447" t="s">
        <v>313</v>
      </c>
      <c r="C736" s="1448"/>
      <c r="D736" s="1448"/>
      <c r="E736" s="1448"/>
      <c r="F736" s="1448"/>
      <c r="G736" s="1449"/>
      <c r="H736" s="776" t="s">
        <v>46</v>
      </c>
      <c r="I736" s="1450"/>
      <c r="J736" s="1450">
        <f>J751</f>
        <v>0</v>
      </c>
      <c r="K736" s="1451">
        <f>IF(I736&gt;0,J736*100/I736,0)</f>
        <v>0</v>
      </c>
      <c r="L736" s="1452"/>
      <c r="M736" s="1452"/>
      <c r="N736" s="1452"/>
      <c r="O736" s="1452"/>
      <c r="P736" s="1452"/>
      <c r="Q736" s="1323"/>
      <c r="R736" s="1323"/>
      <c r="S736" s="1323"/>
      <c r="T736" s="1323"/>
      <c r="U736" s="1323"/>
      <c r="V736" s="1323"/>
      <c r="W736" s="1323"/>
      <c r="X736" s="1323"/>
      <c r="Y736" s="1323"/>
      <c r="Z736" s="1323"/>
    </row>
    <row r="737" spans="1:26" ht="19.5" hidden="1">
      <c r="A737" s="1319"/>
      <c r="B737" s="1320"/>
      <c r="C737" s="1320" t="s">
        <v>16</v>
      </c>
      <c r="D737" s="1351" t="s">
        <v>17</v>
      </c>
      <c r="E737" s="841"/>
      <c r="F737" s="841"/>
      <c r="G737" s="1322"/>
      <c r="H737" s="644" t="s">
        <v>12</v>
      </c>
      <c r="I737" s="886"/>
      <c r="J737" s="886"/>
      <c r="K737" s="887"/>
      <c r="L737" s="1352">
        <f t="shared" ref="L737:N737" si="293">L738+L739</f>
        <v>0</v>
      </c>
      <c r="M737" s="1352">
        <f t="shared" si="293"/>
        <v>0</v>
      </c>
      <c r="N737" s="1352">
        <f t="shared" si="293"/>
        <v>0</v>
      </c>
      <c r="O737" s="1352">
        <f t="shared" ref="O737:O742" si="294">IF(L737&gt;0,N737*100/L737,0)</f>
        <v>0</v>
      </c>
      <c r="P737" s="1352">
        <f t="shared" ref="P737:P742" si="295">IF(M737&gt;0,N737*100/M737,0)</f>
        <v>0</v>
      </c>
      <c r="Q737" s="1323"/>
      <c r="R737" s="1323"/>
      <c r="S737" s="1323"/>
      <c r="T737" s="1323"/>
      <c r="U737" s="1323"/>
      <c r="V737" s="1323"/>
      <c r="W737" s="1323"/>
      <c r="X737" s="1323"/>
      <c r="Y737" s="1323"/>
      <c r="Z737" s="1323"/>
    </row>
    <row r="738" spans="1:26" ht="18.75" hidden="1">
      <c r="A738" s="1319"/>
      <c r="B738" s="1320"/>
      <c r="C738" s="1320"/>
      <c r="D738" s="1321"/>
      <c r="E738" s="1320" t="s">
        <v>185</v>
      </c>
      <c r="F738" s="1320"/>
      <c r="G738" s="1322"/>
      <c r="H738" s="165" t="s">
        <v>12</v>
      </c>
      <c r="I738" s="886"/>
      <c r="J738" s="886"/>
      <c r="K738" s="887"/>
      <c r="L738" s="887">
        <f t="shared" ref="L738:N739" si="296">L741+L748</f>
        <v>0</v>
      </c>
      <c r="M738" s="887">
        <f t="shared" si="296"/>
        <v>0</v>
      </c>
      <c r="N738" s="887">
        <f t="shared" si="296"/>
        <v>0</v>
      </c>
      <c r="O738" s="887">
        <f t="shared" si="294"/>
        <v>0</v>
      </c>
      <c r="P738" s="887">
        <f t="shared" si="295"/>
        <v>0</v>
      </c>
      <c r="Q738" s="1323"/>
      <c r="R738" s="1323"/>
      <c r="S738" s="1323"/>
      <c r="T738" s="1323"/>
      <c r="U738" s="1323"/>
      <c r="V738" s="1323"/>
      <c r="W738" s="1323"/>
      <c r="X738" s="1323"/>
      <c r="Y738" s="1323"/>
      <c r="Z738" s="1323"/>
    </row>
    <row r="739" spans="1:26" ht="18.75" hidden="1">
      <c r="A739" s="1319"/>
      <c r="B739" s="1324"/>
      <c r="C739" s="1320"/>
      <c r="D739" s="1321"/>
      <c r="E739" s="1320" t="s">
        <v>186</v>
      </c>
      <c r="F739" s="1320"/>
      <c r="G739" s="1322"/>
      <c r="H739" s="165" t="s">
        <v>12</v>
      </c>
      <c r="I739" s="886"/>
      <c r="J739" s="886"/>
      <c r="K739" s="887"/>
      <c r="L739" s="887">
        <f t="shared" si="296"/>
        <v>0</v>
      </c>
      <c r="M739" s="887">
        <f t="shared" si="296"/>
        <v>0</v>
      </c>
      <c r="N739" s="887">
        <f t="shared" si="296"/>
        <v>0</v>
      </c>
      <c r="O739" s="887">
        <f t="shared" si="294"/>
        <v>0</v>
      </c>
      <c r="P739" s="887">
        <f t="shared" si="295"/>
        <v>0</v>
      </c>
      <c r="Q739" s="1323"/>
      <c r="R739" s="1323"/>
      <c r="S739" s="1323"/>
      <c r="T739" s="1323"/>
      <c r="U739" s="1323"/>
      <c r="V739" s="1323"/>
      <c r="W739" s="1323"/>
      <c r="X739" s="1323"/>
      <c r="Y739" s="1323"/>
      <c r="Z739" s="1323"/>
    </row>
    <row r="740" spans="1:26" ht="19.5" hidden="1">
      <c r="A740" s="1319"/>
      <c r="B740" s="1324"/>
      <c r="C740" s="1320"/>
      <c r="D740" s="1453" t="s">
        <v>20</v>
      </c>
      <c r="E740" s="1320"/>
      <c r="F740" s="1320"/>
      <c r="G740" s="1322"/>
      <c r="H740" s="644" t="s">
        <v>12</v>
      </c>
      <c r="I740" s="1000"/>
      <c r="J740" s="1000"/>
      <c r="K740" s="1001"/>
      <c r="L740" s="1352">
        <f t="shared" ref="L740:N740" si="297">L741+L742</f>
        <v>0</v>
      </c>
      <c r="M740" s="1352">
        <f t="shared" si="297"/>
        <v>0</v>
      </c>
      <c r="N740" s="1352">
        <f t="shared" si="297"/>
        <v>0</v>
      </c>
      <c r="O740" s="1352">
        <f t="shared" si="294"/>
        <v>0</v>
      </c>
      <c r="P740" s="1352">
        <f t="shared" si="295"/>
        <v>0</v>
      </c>
      <c r="Q740" s="1323"/>
      <c r="R740" s="1323"/>
      <c r="S740" s="1323"/>
      <c r="T740" s="1323"/>
      <c r="U740" s="1323"/>
      <c r="V740" s="1323"/>
      <c r="W740" s="1323"/>
      <c r="X740" s="1323"/>
      <c r="Y740" s="1323"/>
      <c r="Z740" s="1323"/>
    </row>
    <row r="741" spans="1:26" ht="18.75" hidden="1">
      <c r="A741" s="1319"/>
      <c r="B741" s="1324"/>
      <c r="C741" s="1320"/>
      <c r="D741" s="1321"/>
      <c r="E741" s="1320" t="s">
        <v>185</v>
      </c>
      <c r="F741" s="1320"/>
      <c r="G741" s="1322"/>
      <c r="H741" s="165" t="s">
        <v>12</v>
      </c>
      <c r="I741" s="886"/>
      <c r="J741" s="886"/>
      <c r="K741" s="887"/>
      <c r="L741" s="887">
        <v>0</v>
      </c>
      <c r="M741" s="887">
        <v>0</v>
      </c>
      <c r="N741" s="887">
        <v>0</v>
      </c>
      <c r="O741" s="887">
        <f t="shared" si="294"/>
        <v>0</v>
      </c>
      <c r="P741" s="887">
        <f t="shared" si="295"/>
        <v>0</v>
      </c>
      <c r="Q741" s="1323"/>
      <c r="R741" s="1323"/>
      <c r="S741" s="1323"/>
      <c r="T741" s="1323"/>
      <c r="U741" s="1323"/>
      <c r="V741" s="1323"/>
      <c r="W741" s="1323"/>
      <c r="X741" s="1323"/>
      <c r="Y741" s="1323"/>
      <c r="Z741" s="1323"/>
    </row>
    <row r="742" spans="1:26" ht="18.75" hidden="1">
      <c r="A742" s="1319"/>
      <c r="B742" s="1324"/>
      <c r="C742" s="1320"/>
      <c r="D742" s="1321"/>
      <c r="E742" s="1320" t="s">
        <v>186</v>
      </c>
      <c r="F742" s="1320"/>
      <c r="G742" s="1322"/>
      <c r="H742" s="165" t="s">
        <v>12</v>
      </c>
      <c r="I742" s="886"/>
      <c r="J742" s="886"/>
      <c r="K742" s="887"/>
      <c r="L742" s="887">
        <v>0</v>
      </c>
      <c r="M742" s="887">
        <v>0</v>
      </c>
      <c r="N742" s="887">
        <f>N743+N744+N745+N746</f>
        <v>0</v>
      </c>
      <c r="O742" s="887">
        <f t="shared" si="294"/>
        <v>0</v>
      </c>
      <c r="P742" s="887">
        <f t="shared" si="295"/>
        <v>0</v>
      </c>
      <c r="Q742" s="1323"/>
      <c r="R742" s="1323"/>
      <c r="S742" s="1323"/>
      <c r="T742" s="1323"/>
      <c r="U742" s="1323"/>
      <c r="V742" s="1323"/>
      <c r="W742" s="1323"/>
      <c r="X742" s="1323"/>
      <c r="Y742" s="1323"/>
      <c r="Z742" s="1323"/>
    </row>
    <row r="743" spans="1:26" ht="18.75" hidden="1">
      <c r="A743" s="1354"/>
      <c r="B743" s="1324"/>
      <c r="C743" s="1320"/>
      <c r="D743" s="1320"/>
      <c r="E743" s="1320"/>
      <c r="F743" s="1320" t="s">
        <v>187</v>
      </c>
      <c r="G743" s="1322"/>
      <c r="H743" s="165" t="s">
        <v>12</v>
      </c>
      <c r="I743" s="886"/>
      <c r="J743" s="886"/>
      <c r="K743" s="887"/>
      <c r="L743" s="887"/>
      <c r="M743" s="887"/>
      <c r="N743" s="887"/>
      <c r="O743" s="887"/>
      <c r="P743" s="887"/>
      <c r="Q743" s="1323"/>
      <c r="R743" s="1323"/>
      <c r="S743" s="1323"/>
      <c r="T743" s="1323"/>
      <c r="U743" s="1323"/>
      <c r="V743" s="1323"/>
      <c r="W743" s="1323"/>
      <c r="X743" s="1323"/>
      <c r="Y743" s="1323"/>
      <c r="Z743" s="1323"/>
    </row>
    <row r="744" spans="1:26" ht="18.75" hidden="1">
      <c r="A744" s="1354"/>
      <c r="B744" s="1324"/>
      <c r="C744" s="1320"/>
      <c r="D744" s="1320"/>
      <c r="E744" s="1320"/>
      <c r="F744" s="1320" t="s">
        <v>188</v>
      </c>
      <c r="G744" s="1322"/>
      <c r="H744" s="165" t="s">
        <v>12</v>
      </c>
      <c r="I744" s="886"/>
      <c r="J744" s="886"/>
      <c r="K744" s="887"/>
      <c r="L744" s="887"/>
      <c r="M744" s="887"/>
      <c r="N744" s="887"/>
      <c r="O744" s="887"/>
      <c r="P744" s="887"/>
      <c r="Q744" s="1323"/>
      <c r="R744" s="1323"/>
      <c r="S744" s="1323"/>
      <c r="T744" s="1323"/>
      <c r="U744" s="1323"/>
      <c r="V744" s="1323"/>
      <c r="W744" s="1323"/>
      <c r="X744" s="1323"/>
      <c r="Y744" s="1323"/>
      <c r="Z744" s="1323"/>
    </row>
    <row r="745" spans="1:26" ht="18.75" hidden="1">
      <c r="A745" s="1354"/>
      <c r="B745" s="1324"/>
      <c r="C745" s="1320"/>
      <c r="D745" s="1320"/>
      <c r="E745" s="1320"/>
      <c r="F745" s="1320" t="s">
        <v>189</v>
      </c>
      <c r="G745" s="1322"/>
      <c r="H745" s="165" t="s">
        <v>12</v>
      </c>
      <c r="I745" s="886"/>
      <c r="J745" s="886"/>
      <c r="K745" s="887"/>
      <c r="L745" s="887"/>
      <c r="M745" s="887"/>
      <c r="N745" s="887"/>
      <c r="O745" s="887"/>
      <c r="P745" s="887"/>
      <c r="Q745" s="1323"/>
      <c r="R745" s="1323"/>
      <c r="S745" s="1323"/>
      <c r="T745" s="1323"/>
      <c r="U745" s="1323"/>
      <c r="V745" s="1323"/>
      <c r="W745" s="1323"/>
      <c r="X745" s="1323"/>
      <c r="Y745" s="1323"/>
      <c r="Z745" s="1323"/>
    </row>
    <row r="746" spans="1:26" ht="18.75" hidden="1">
      <c r="A746" s="1354"/>
      <c r="B746" s="1324"/>
      <c r="C746" s="1320"/>
      <c r="D746" s="1320"/>
      <c r="E746" s="1320"/>
      <c r="F746" s="1320" t="s">
        <v>190</v>
      </c>
      <c r="G746" s="1322"/>
      <c r="H746" s="165" t="s">
        <v>12</v>
      </c>
      <c r="I746" s="886"/>
      <c r="J746" s="886"/>
      <c r="K746" s="887"/>
      <c r="L746" s="887"/>
      <c r="M746" s="887"/>
      <c r="N746" s="887"/>
      <c r="O746" s="887"/>
      <c r="P746" s="887"/>
      <c r="Q746" s="1323"/>
      <c r="R746" s="1323"/>
      <c r="S746" s="1323"/>
      <c r="T746" s="1323"/>
      <c r="U746" s="1323"/>
      <c r="V746" s="1323"/>
      <c r="W746" s="1323"/>
      <c r="X746" s="1323"/>
      <c r="Y746" s="1323"/>
      <c r="Z746" s="1323"/>
    </row>
    <row r="747" spans="1:26" ht="19.5" hidden="1">
      <c r="A747" s="1319"/>
      <c r="B747" s="1324"/>
      <c r="C747" s="1320"/>
      <c r="D747" s="1453" t="s">
        <v>21</v>
      </c>
      <c r="E747" s="1320"/>
      <c r="F747" s="1320"/>
      <c r="G747" s="1322"/>
      <c r="H747" s="781" t="s">
        <v>12</v>
      </c>
      <c r="I747" s="1000"/>
      <c r="J747" s="1000"/>
      <c r="K747" s="1001"/>
      <c r="L747" s="1352">
        <f t="shared" ref="L747:N747" si="298">L748+L749</f>
        <v>0</v>
      </c>
      <c r="M747" s="1352">
        <f t="shared" si="298"/>
        <v>0</v>
      </c>
      <c r="N747" s="1352">
        <f t="shared" si="298"/>
        <v>0</v>
      </c>
      <c r="O747" s="1352">
        <f t="shared" ref="O747:O749" si="299">IF(L747&gt;0,N747*100/L747,0)</f>
        <v>0</v>
      </c>
      <c r="P747" s="1352">
        <f t="shared" ref="P747:P749" si="300">IF(M747&gt;0,N747*100/M747,0)</f>
        <v>0</v>
      </c>
      <c r="Q747" s="1323"/>
      <c r="R747" s="1323"/>
      <c r="S747" s="1323"/>
      <c r="T747" s="1323"/>
      <c r="U747" s="1323"/>
      <c r="V747" s="1323"/>
      <c r="W747" s="1323"/>
      <c r="X747" s="1323"/>
      <c r="Y747" s="1323"/>
      <c r="Z747" s="1323"/>
    </row>
    <row r="748" spans="1:26" ht="18.75" hidden="1">
      <c r="A748" s="1319"/>
      <c r="B748" s="1324"/>
      <c r="C748" s="1320"/>
      <c r="D748" s="1320"/>
      <c r="E748" s="1320" t="s">
        <v>18</v>
      </c>
      <c r="F748" s="1320"/>
      <c r="G748" s="1322"/>
      <c r="H748" s="165" t="s">
        <v>12</v>
      </c>
      <c r="I748" s="1000"/>
      <c r="J748" s="1000"/>
      <c r="K748" s="1001"/>
      <c r="L748" s="887">
        <v>0</v>
      </c>
      <c r="M748" s="887">
        <v>0</v>
      </c>
      <c r="N748" s="887">
        <v>0</v>
      </c>
      <c r="O748" s="887">
        <f t="shared" si="299"/>
        <v>0</v>
      </c>
      <c r="P748" s="887">
        <f t="shared" si="300"/>
        <v>0</v>
      </c>
      <c r="Q748" s="1323"/>
      <c r="R748" s="1323"/>
      <c r="S748" s="1323"/>
      <c r="T748" s="1323"/>
      <c r="U748" s="1323"/>
      <c r="V748" s="1323"/>
      <c r="W748" s="1323"/>
      <c r="X748" s="1323"/>
      <c r="Y748" s="1323"/>
      <c r="Z748" s="1323"/>
    </row>
    <row r="749" spans="1:26" ht="18.75" hidden="1">
      <c r="A749" s="1319"/>
      <c r="B749" s="1324"/>
      <c r="C749" s="1320"/>
      <c r="D749" s="1320"/>
      <c r="E749" s="1320" t="s">
        <v>19</v>
      </c>
      <c r="F749" s="1320"/>
      <c r="G749" s="1322"/>
      <c r="H749" s="169" t="s">
        <v>12</v>
      </c>
      <c r="I749" s="1000"/>
      <c r="J749" s="1000"/>
      <c r="K749" s="1001"/>
      <c r="L749" s="887">
        <v>0</v>
      </c>
      <c r="M749" s="887">
        <v>0</v>
      </c>
      <c r="N749" s="887">
        <v>0</v>
      </c>
      <c r="O749" s="887">
        <f t="shared" si="299"/>
        <v>0</v>
      </c>
      <c r="P749" s="887">
        <f t="shared" si="300"/>
        <v>0</v>
      </c>
      <c r="Q749" s="1323"/>
      <c r="R749" s="1323"/>
      <c r="S749" s="1323"/>
      <c r="T749" s="1323"/>
      <c r="U749" s="1323"/>
      <c r="V749" s="1323"/>
      <c r="W749" s="1323"/>
      <c r="X749" s="1323"/>
      <c r="Y749" s="1323"/>
      <c r="Z749" s="1323"/>
    </row>
    <row r="750" spans="1:26" ht="19.5" hidden="1">
      <c r="A750" s="1332"/>
      <c r="B750" s="1333"/>
      <c r="C750" s="1320" t="s">
        <v>16</v>
      </c>
      <c r="D750" s="1454" t="s">
        <v>38</v>
      </c>
      <c r="E750" s="1356"/>
      <c r="F750" s="1356"/>
      <c r="G750" s="1357"/>
      <c r="H750" s="1113"/>
      <c r="I750" s="1000"/>
      <c r="J750" s="1000"/>
      <c r="K750" s="1001"/>
      <c r="L750" s="1001"/>
      <c r="M750" s="1001"/>
      <c r="N750" s="1001"/>
      <c r="O750" s="1001"/>
      <c r="P750" s="1001"/>
      <c r="Q750" s="1323"/>
      <c r="R750" s="1323"/>
      <c r="S750" s="1323"/>
      <c r="T750" s="1323"/>
      <c r="U750" s="1323"/>
      <c r="V750" s="1323"/>
      <c r="W750" s="1323"/>
      <c r="X750" s="1323"/>
      <c r="Y750" s="1323"/>
      <c r="Z750" s="1323"/>
    </row>
    <row r="751" spans="1:26" ht="18.75" hidden="1">
      <c r="A751" s="1354"/>
      <c r="B751" s="1324"/>
      <c r="C751" s="1320"/>
      <c r="D751" s="1320"/>
      <c r="E751" s="1320" t="s">
        <v>314</v>
      </c>
      <c r="F751" s="1320"/>
      <c r="G751" s="1322"/>
      <c r="H751" s="165" t="s">
        <v>46</v>
      </c>
      <c r="I751" s="886"/>
      <c r="J751" s="886"/>
      <c r="K751" s="887"/>
      <c r="L751" s="887"/>
      <c r="M751" s="887"/>
      <c r="N751" s="887"/>
      <c r="O751" s="887"/>
      <c r="P751" s="887"/>
      <c r="Q751" s="1323"/>
      <c r="R751" s="1323"/>
      <c r="S751" s="1323"/>
      <c r="T751" s="1323"/>
      <c r="U751" s="1323"/>
      <c r="V751" s="1323"/>
      <c r="W751" s="1323"/>
      <c r="X751" s="1323"/>
      <c r="Y751" s="1323"/>
      <c r="Z751" s="1323"/>
    </row>
    <row r="752" spans="1:26" ht="18.75" hidden="1">
      <c r="A752" s="1354"/>
      <c r="B752" s="1324"/>
      <c r="C752" s="1320"/>
      <c r="D752" s="1320"/>
      <c r="E752" s="1320"/>
      <c r="F752" s="1320"/>
      <c r="G752" s="1322"/>
      <c r="H752" s="165" t="s">
        <v>315</v>
      </c>
      <c r="I752" s="886"/>
      <c r="J752" s="886"/>
      <c r="K752" s="887"/>
      <c r="L752" s="887"/>
      <c r="M752" s="887"/>
      <c r="N752" s="887"/>
      <c r="O752" s="887"/>
      <c r="P752" s="887"/>
      <c r="Q752" s="1323"/>
      <c r="R752" s="1323"/>
      <c r="S752" s="1323"/>
      <c r="T752" s="1323"/>
      <c r="U752" s="1323"/>
      <c r="V752" s="1323"/>
      <c r="W752" s="1323"/>
      <c r="X752" s="1323"/>
      <c r="Y752" s="1323"/>
      <c r="Z752" s="1323"/>
    </row>
    <row r="753" spans="1:26" ht="19.5" hidden="1">
      <c r="A753" s="783">
        <v>10</v>
      </c>
      <c r="B753" s="1455" t="s">
        <v>316</v>
      </c>
      <c r="C753" s="1456"/>
      <c r="D753" s="1456"/>
      <c r="E753" s="1456"/>
      <c r="F753" s="1456"/>
      <c r="G753" s="1457"/>
      <c r="H753" s="787" t="s">
        <v>46</v>
      </c>
      <c r="I753" s="1458"/>
      <c r="J753" s="1458">
        <f>J768</f>
        <v>0</v>
      </c>
      <c r="K753" s="1459">
        <f>IF(I753&gt;0,J753*100/I753,0)</f>
        <v>0</v>
      </c>
      <c r="L753" s="1460"/>
      <c r="M753" s="1460"/>
      <c r="N753" s="1460"/>
      <c r="O753" s="1460"/>
      <c r="P753" s="1460"/>
      <c r="Q753" s="1323"/>
      <c r="R753" s="1323"/>
      <c r="S753" s="1323"/>
      <c r="T753" s="1323"/>
      <c r="U753" s="1323"/>
      <c r="V753" s="1323"/>
      <c r="W753" s="1323"/>
      <c r="X753" s="1323"/>
      <c r="Y753" s="1323"/>
      <c r="Z753" s="1323"/>
    </row>
    <row r="754" spans="1:26" ht="19.5" hidden="1">
      <c r="A754" s="1319"/>
      <c r="B754" s="1320"/>
      <c r="C754" s="1320" t="s">
        <v>16</v>
      </c>
      <c r="D754" s="1351" t="s">
        <v>17</v>
      </c>
      <c r="E754" s="841"/>
      <c r="F754" s="841"/>
      <c r="G754" s="1322"/>
      <c r="H754" s="644" t="s">
        <v>12</v>
      </c>
      <c r="I754" s="886"/>
      <c r="J754" s="886"/>
      <c r="K754" s="887"/>
      <c r="L754" s="1352">
        <f t="shared" ref="L754:N754" si="301">L755+L756</f>
        <v>0</v>
      </c>
      <c r="M754" s="1352">
        <f t="shared" si="301"/>
        <v>0</v>
      </c>
      <c r="N754" s="1352">
        <f t="shared" si="301"/>
        <v>0</v>
      </c>
      <c r="O754" s="1352">
        <f t="shared" ref="O754:O759" si="302">IF(L754&gt;0,N754*100/L754,0)</f>
        <v>0</v>
      </c>
      <c r="P754" s="1352">
        <f t="shared" ref="P754:P759" si="303">IF(M754&gt;0,N754*100/M754,0)</f>
        <v>0</v>
      </c>
      <c r="Q754" s="1323"/>
      <c r="R754" s="1323"/>
      <c r="S754" s="1323"/>
      <c r="T754" s="1323"/>
      <c r="U754" s="1323"/>
      <c r="V754" s="1323"/>
      <c r="W754" s="1323"/>
      <c r="X754" s="1323"/>
      <c r="Y754" s="1323"/>
      <c r="Z754" s="1323"/>
    </row>
    <row r="755" spans="1:26" ht="18.75" hidden="1">
      <c r="A755" s="1319"/>
      <c r="B755" s="1320"/>
      <c r="C755" s="1320"/>
      <c r="D755" s="1321"/>
      <c r="E755" s="1320" t="s">
        <v>185</v>
      </c>
      <c r="F755" s="1320"/>
      <c r="G755" s="1322"/>
      <c r="H755" s="165" t="s">
        <v>12</v>
      </c>
      <c r="I755" s="886"/>
      <c r="J755" s="886"/>
      <c r="K755" s="887"/>
      <c r="L755" s="887">
        <f t="shared" ref="L755:N756" si="304">L758+L765</f>
        <v>0</v>
      </c>
      <c r="M755" s="887">
        <f t="shared" si="304"/>
        <v>0</v>
      </c>
      <c r="N755" s="887">
        <f t="shared" si="304"/>
        <v>0</v>
      </c>
      <c r="O755" s="887">
        <f t="shared" si="302"/>
        <v>0</v>
      </c>
      <c r="P755" s="887">
        <f t="shared" si="303"/>
        <v>0</v>
      </c>
      <c r="Q755" s="1323"/>
      <c r="R755" s="1323"/>
      <c r="S755" s="1323"/>
      <c r="T755" s="1323"/>
      <c r="U755" s="1323"/>
      <c r="V755" s="1323"/>
      <c r="W755" s="1323"/>
      <c r="X755" s="1323"/>
      <c r="Y755" s="1323"/>
      <c r="Z755" s="1323"/>
    </row>
    <row r="756" spans="1:26" ht="18.75" hidden="1">
      <c r="A756" s="1319"/>
      <c r="B756" s="1324"/>
      <c r="C756" s="1320"/>
      <c r="D756" s="1321"/>
      <c r="E756" s="1320" t="s">
        <v>186</v>
      </c>
      <c r="F756" s="1320"/>
      <c r="G756" s="1322"/>
      <c r="H756" s="165" t="s">
        <v>12</v>
      </c>
      <c r="I756" s="886"/>
      <c r="J756" s="886"/>
      <c r="K756" s="887"/>
      <c r="L756" s="887">
        <f t="shared" si="304"/>
        <v>0</v>
      </c>
      <c r="M756" s="887">
        <f t="shared" si="304"/>
        <v>0</v>
      </c>
      <c r="N756" s="887">
        <f t="shared" si="304"/>
        <v>0</v>
      </c>
      <c r="O756" s="887">
        <f t="shared" si="302"/>
        <v>0</v>
      </c>
      <c r="P756" s="887">
        <f t="shared" si="303"/>
        <v>0</v>
      </c>
      <c r="Q756" s="1323"/>
      <c r="R756" s="1323"/>
      <c r="S756" s="1323"/>
      <c r="T756" s="1323"/>
      <c r="U756" s="1323"/>
      <c r="V756" s="1323"/>
      <c r="W756" s="1323"/>
      <c r="X756" s="1323"/>
      <c r="Y756" s="1323"/>
      <c r="Z756" s="1323"/>
    </row>
    <row r="757" spans="1:26" ht="19.5" hidden="1">
      <c r="A757" s="1319"/>
      <c r="B757" s="1324"/>
      <c r="C757" s="1320"/>
      <c r="D757" s="1453" t="s">
        <v>20</v>
      </c>
      <c r="E757" s="1320"/>
      <c r="F757" s="1320"/>
      <c r="G757" s="1322"/>
      <c r="H757" s="644" t="s">
        <v>12</v>
      </c>
      <c r="I757" s="1000"/>
      <c r="J757" s="1000"/>
      <c r="K757" s="1001"/>
      <c r="L757" s="1352">
        <f t="shared" ref="L757:N757" si="305">L758+L759</f>
        <v>0</v>
      </c>
      <c r="M757" s="1352">
        <f t="shared" si="305"/>
        <v>0</v>
      </c>
      <c r="N757" s="1352">
        <f t="shared" si="305"/>
        <v>0</v>
      </c>
      <c r="O757" s="1352">
        <f t="shared" si="302"/>
        <v>0</v>
      </c>
      <c r="P757" s="1352">
        <f t="shared" si="303"/>
        <v>0</v>
      </c>
      <c r="Q757" s="1323"/>
      <c r="R757" s="1323"/>
      <c r="S757" s="1323"/>
      <c r="T757" s="1323"/>
      <c r="U757" s="1323"/>
      <c r="V757" s="1323"/>
      <c r="W757" s="1323"/>
      <c r="X757" s="1323"/>
      <c r="Y757" s="1323"/>
      <c r="Z757" s="1323"/>
    </row>
    <row r="758" spans="1:26" ht="18.75" hidden="1">
      <c r="A758" s="1319"/>
      <c r="B758" s="1324"/>
      <c r="C758" s="1320"/>
      <c r="D758" s="1321"/>
      <c r="E758" s="1320" t="s">
        <v>185</v>
      </c>
      <c r="F758" s="1320"/>
      <c r="G758" s="1322"/>
      <c r="H758" s="165" t="s">
        <v>12</v>
      </c>
      <c r="I758" s="886"/>
      <c r="J758" s="886"/>
      <c r="K758" s="887"/>
      <c r="L758" s="887">
        <v>0</v>
      </c>
      <c r="M758" s="887">
        <v>0</v>
      </c>
      <c r="N758" s="887">
        <v>0</v>
      </c>
      <c r="O758" s="887">
        <f t="shared" si="302"/>
        <v>0</v>
      </c>
      <c r="P758" s="887">
        <f t="shared" si="303"/>
        <v>0</v>
      </c>
      <c r="Q758" s="1323"/>
      <c r="R758" s="1323"/>
      <c r="S758" s="1323"/>
      <c r="T758" s="1323"/>
      <c r="U758" s="1323"/>
      <c r="V758" s="1323"/>
      <c r="W758" s="1323"/>
      <c r="X758" s="1323"/>
      <c r="Y758" s="1323"/>
      <c r="Z758" s="1323"/>
    </row>
    <row r="759" spans="1:26" ht="18.75" hidden="1">
      <c r="A759" s="1319"/>
      <c r="B759" s="1324"/>
      <c r="C759" s="1320"/>
      <c r="D759" s="1321"/>
      <c r="E759" s="1320" t="s">
        <v>186</v>
      </c>
      <c r="F759" s="1320"/>
      <c r="G759" s="1322"/>
      <c r="H759" s="165" t="s">
        <v>12</v>
      </c>
      <c r="I759" s="886"/>
      <c r="J759" s="886"/>
      <c r="K759" s="887"/>
      <c r="L759" s="887">
        <v>0</v>
      </c>
      <c r="M759" s="887">
        <v>0</v>
      </c>
      <c r="N759" s="887">
        <f>N760+N761+N762+N763</f>
        <v>0</v>
      </c>
      <c r="O759" s="887">
        <f t="shared" si="302"/>
        <v>0</v>
      </c>
      <c r="P759" s="887">
        <f t="shared" si="303"/>
        <v>0</v>
      </c>
      <c r="Q759" s="1323"/>
      <c r="R759" s="1323"/>
      <c r="S759" s="1323"/>
      <c r="T759" s="1323"/>
      <c r="U759" s="1323"/>
      <c r="V759" s="1323"/>
      <c r="W759" s="1323"/>
      <c r="X759" s="1323"/>
      <c r="Y759" s="1323"/>
      <c r="Z759" s="1323"/>
    </row>
    <row r="760" spans="1:26" ht="18.75" hidden="1">
      <c r="A760" s="1354"/>
      <c r="B760" s="1324"/>
      <c r="C760" s="1320"/>
      <c r="D760" s="1320"/>
      <c r="E760" s="1320"/>
      <c r="F760" s="1320" t="s">
        <v>187</v>
      </c>
      <c r="G760" s="1322"/>
      <c r="H760" s="165" t="s">
        <v>12</v>
      </c>
      <c r="I760" s="886"/>
      <c r="J760" s="886"/>
      <c r="K760" s="887"/>
      <c r="L760" s="887"/>
      <c r="M760" s="887"/>
      <c r="N760" s="887"/>
      <c r="O760" s="887"/>
      <c r="P760" s="887"/>
      <c r="Q760" s="1323"/>
      <c r="R760" s="1323"/>
      <c r="S760" s="1323"/>
      <c r="T760" s="1323"/>
      <c r="U760" s="1323"/>
      <c r="V760" s="1323"/>
      <c r="W760" s="1323"/>
      <c r="X760" s="1323"/>
      <c r="Y760" s="1323"/>
      <c r="Z760" s="1323"/>
    </row>
    <row r="761" spans="1:26" ht="18.75" hidden="1">
      <c r="A761" s="1354"/>
      <c r="B761" s="1324"/>
      <c r="C761" s="1320"/>
      <c r="D761" s="1320"/>
      <c r="E761" s="1320"/>
      <c r="F761" s="1320" t="s">
        <v>188</v>
      </c>
      <c r="G761" s="1322"/>
      <c r="H761" s="165" t="s">
        <v>12</v>
      </c>
      <c r="I761" s="886"/>
      <c r="J761" s="886"/>
      <c r="K761" s="887"/>
      <c r="L761" s="887"/>
      <c r="M761" s="887"/>
      <c r="N761" s="887"/>
      <c r="O761" s="887"/>
      <c r="P761" s="887"/>
      <c r="Q761" s="1323"/>
      <c r="R761" s="1323"/>
      <c r="S761" s="1323"/>
      <c r="T761" s="1323"/>
      <c r="U761" s="1323"/>
      <c r="V761" s="1323"/>
      <c r="W761" s="1323"/>
      <c r="X761" s="1323"/>
      <c r="Y761" s="1323"/>
      <c r="Z761" s="1323"/>
    </row>
    <row r="762" spans="1:26" ht="18.75" hidden="1">
      <c r="A762" s="1354"/>
      <c r="B762" s="1324"/>
      <c r="C762" s="1320"/>
      <c r="D762" s="1320"/>
      <c r="E762" s="1320"/>
      <c r="F762" s="1320" t="s">
        <v>189</v>
      </c>
      <c r="G762" s="1322"/>
      <c r="H762" s="165" t="s">
        <v>12</v>
      </c>
      <c r="I762" s="886"/>
      <c r="J762" s="886"/>
      <c r="K762" s="887"/>
      <c r="L762" s="887"/>
      <c r="M762" s="887"/>
      <c r="N762" s="887"/>
      <c r="O762" s="887"/>
      <c r="P762" s="887"/>
      <c r="Q762" s="1323"/>
      <c r="R762" s="1323"/>
      <c r="S762" s="1323"/>
      <c r="T762" s="1323"/>
      <c r="U762" s="1323"/>
      <c r="V762" s="1323"/>
      <c r="W762" s="1323"/>
      <c r="X762" s="1323"/>
      <c r="Y762" s="1323"/>
      <c r="Z762" s="1323"/>
    </row>
    <row r="763" spans="1:26" ht="18.75" hidden="1">
      <c r="A763" s="1354"/>
      <c r="B763" s="1324"/>
      <c r="C763" s="1320"/>
      <c r="D763" s="1320"/>
      <c r="E763" s="1320"/>
      <c r="F763" s="1320" t="s">
        <v>190</v>
      </c>
      <c r="G763" s="1322"/>
      <c r="H763" s="165" t="s">
        <v>12</v>
      </c>
      <c r="I763" s="886"/>
      <c r="J763" s="886"/>
      <c r="K763" s="887"/>
      <c r="L763" s="887"/>
      <c r="M763" s="887"/>
      <c r="N763" s="887"/>
      <c r="O763" s="887"/>
      <c r="P763" s="887"/>
      <c r="Q763" s="1323"/>
      <c r="R763" s="1323"/>
      <c r="S763" s="1323"/>
      <c r="T763" s="1323"/>
      <c r="U763" s="1323"/>
      <c r="V763" s="1323"/>
      <c r="W763" s="1323"/>
      <c r="X763" s="1323"/>
      <c r="Y763" s="1323"/>
      <c r="Z763" s="1323"/>
    </row>
    <row r="764" spans="1:26" ht="19.5" hidden="1">
      <c r="A764" s="1319"/>
      <c r="B764" s="1324"/>
      <c r="C764" s="1320"/>
      <c r="D764" s="1453" t="s">
        <v>21</v>
      </c>
      <c r="E764" s="1320"/>
      <c r="F764" s="1320"/>
      <c r="G764" s="1322"/>
      <c r="H764" s="781" t="s">
        <v>12</v>
      </c>
      <c r="I764" s="1000"/>
      <c r="J764" s="1000"/>
      <c r="K764" s="1001"/>
      <c r="L764" s="1352">
        <f t="shared" ref="L764:N764" si="306">L765+L766</f>
        <v>0</v>
      </c>
      <c r="M764" s="1352">
        <f t="shared" si="306"/>
        <v>0</v>
      </c>
      <c r="N764" s="1352">
        <f t="shared" si="306"/>
        <v>0</v>
      </c>
      <c r="O764" s="1352">
        <f t="shared" ref="O764:O766" si="307">IF(L764&gt;0,N764*100/L764,0)</f>
        <v>0</v>
      </c>
      <c r="P764" s="1352">
        <f t="shared" ref="P764:P766" si="308">IF(M764&gt;0,N764*100/M764,0)</f>
        <v>0</v>
      </c>
      <c r="Q764" s="1323"/>
      <c r="R764" s="1323"/>
      <c r="S764" s="1323"/>
      <c r="T764" s="1323"/>
      <c r="U764" s="1323"/>
      <c r="V764" s="1323"/>
      <c r="W764" s="1323"/>
      <c r="X764" s="1323"/>
      <c r="Y764" s="1323"/>
      <c r="Z764" s="1323"/>
    </row>
    <row r="765" spans="1:26" ht="18.75" hidden="1">
      <c r="A765" s="1319"/>
      <c r="B765" s="1324"/>
      <c r="C765" s="1320"/>
      <c r="D765" s="1320"/>
      <c r="E765" s="1320" t="s">
        <v>18</v>
      </c>
      <c r="F765" s="1320"/>
      <c r="G765" s="1322"/>
      <c r="H765" s="165" t="s">
        <v>12</v>
      </c>
      <c r="I765" s="1000"/>
      <c r="J765" s="1000"/>
      <c r="K765" s="1001"/>
      <c r="L765" s="887">
        <v>0</v>
      </c>
      <c r="M765" s="887">
        <v>0</v>
      </c>
      <c r="N765" s="887">
        <v>0</v>
      </c>
      <c r="O765" s="887">
        <f t="shared" si="307"/>
        <v>0</v>
      </c>
      <c r="P765" s="887">
        <f t="shared" si="308"/>
        <v>0</v>
      </c>
      <c r="Q765" s="1323"/>
      <c r="R765" s="1323"/>
      <c r="S765" s="1323"/>
      <c r="T765" s="1323"/>
      <c r="U765" s="1323"/>
      <c r="V765" s="1323"/>
      <c r="W765" s="1323"/>
      <c r="X765" s="1323"/>
      <c r="Y765" s="1323"/>
      <c r="Z765" s="1323"/>
    </row>
    <row r="766" spans="1:26" ht="18.75" hidden="1">
      <c r="A766" s="1319"/>
      <c r="B766" s="1324"/>
      <c r="C766" s="1320"/>
      <c r="D766" s="1320"/>
      <c r="E766" s="1320" t="s">
        <v>19</v>
      </c>
      <c r="F766" s="1320"/>
      <c r="G766" s="1322"/>
      <c r="H766" s="169" t="s">
        <v>12</v>
      </c>
      <c r="I766" s="1000"/>
      <c r="J766" s="1000"/>
      <c r="K766" s="1001"/>
      <c r="L766" s="887">
        <v>0</v>
      </c>
      <c r="M766" s="887">
        <v>0</v>
      </c>
      <c r="N766" s="887">
        <v>0</v>
      </c>
      <c r="O766" s="887">
        <f t="shared" si="307"/>
        <v>0</v>
      </c>
      <c r="P766" s="887">
        <f t="shared" si="308"/>
        <v>0</v>
      </c>
      <c r="Q766" s="1323"/>
      <c r="R766" s="1323"/>
      <c r="S766" s="1323"/>
      <c r="T766" s="1323"/>
      <c r="U766" s="1323"/>
      <c r="V766" s="1323"/>
      <c r="W766" s="1323"/>
      <c r="X766" s="1323"/>
      <c r="Y766" s="1323"/>
      <c r="Z766" s="1323"/>
    </row>
    <row r="767" spans="1:26" ht="19.5" hidden="1">
      <c r="A767" s="1332"/>
      <c r="B767" s="1333"/>
      <c r="C767" s="1320" t="s">
        <v>16</v>
      </c>
      <c r="D767" s="1454" t="s">
        <v>38</v>
      </c>
      <c r="E767" s="1356"/>
      <c r="F767" s="1356"/>
      <c r="G767" s="1357"/>
      <c r="H767" s="1113"/>
      <c r="I767" s="1000"/>
      <c r="J767" s="1000"/>
      <c r="K767" s="1001"/>
      <c r="L767" s="1001"/>
      <c r="M767" s="1001"/>
      <c r="N767" s="1001"/>
      <c r="O767" s="1001"/>
      <c r="P767" s="1001"/>
      <c r="Q767" s="1323"/>
      <c r="R767" s="1323"/>
      <c r="S767" s="1323"/>
      <c r="T767" s="1323"/>
      <c r="U767" s="1323"/>
      <c r="V767" s="1323"/>
      <c r="W767" s="1323"/>
      <c r="X767" s="1323"/>
      <c r="Y767" s="1323"/>
      <c r="Z767" s="1323"/>
    </row>
    <row r="768" spans="1:26" ht="18.75" hidden="1">
      <c r="A768" s="1354"/>
      <c r="B768" s="1324"/>
      <c r="C768" s="1320"/>
      <c r="D768" s="1320"/>
      <c r="E768" s="1320" t="s">
        <v>317</v>
      </c>
      <c r="F768" s="1320"/>
      <c r="G768" s="1322"/>
      <c r="H768" s="165" t="s">
        <v>46</v>
      </c>
      <c r="I768" s="886"/>
      <c r="J768" s="886"/>
      <c r="K768" s="887"/>
      <c r="L768" s="887"/>
      <c r="M768" s="887"/>
      <c r="N768" s="887"/>
      <c r="O768" s="887"/>
      <c r="P768" s="887"/>
      <c r="Q768" s="1323"/>
      <c r="R768" s="1323"/>
      <c r="S768" s="1323"/>
      <c r="T768" s="1323"/>
      <c r="U768" s="1323"/>
      <c r="V768" s="1323"/>
      <c r="W768" s="1323"/>
      <c r="X768" s="1323"/>
      <c r="Y768" s="1323"/>
      <c r="Z768" s="1323"/>
    </row>
    <row r="769" spans="1:26" ht="19.5" hidden="1">
      <c r="A769" s="791">
        <v>11</v>
      </c>
      <c r="B769" s="1461" t="s">
        <v>318</v>
      </c>
      <c r="C769" s="1462"/>
      <c r="D769" s="1462"/>
      <c r="E769" s="1462"/>
      <c r="F769" s="1462"/>
      <c r="G769" s="1463"/>
      <c r="H769" s="795" t="s">
        <v>46</v>
      </c>
      <c r="I769" s="1464"/>
      <c r="J769" s="1464">
        <f>J784</f>
        <v>0</v>
      </c>
      <c r="K769" s="1465">
        <f>IF(I769&gt;0,J769*100/I769,0)</f>
        <v>0</v>
      </c>
      <c r="L769" s="1466"/>
      <c r="M769" s="1466"/>
      <c r="N769" s="1466"/>
      <c r="O769" s="1466"/>
      <c r="P769" s="1466"/>
      <c r="Q769" s="1323"/>
      <c r="R769" s="1323"/>
      <c r="S769" s="1323"/>
      <c r="T769" s="1323"/>
      <c r="U769" s="1323"/>
      <c r="V769" s="1323"/>
      <c r="W769" s="1323"/>
      <c r="X769" s="1323"/>
      <c r="Y769" s="1323"/>
      <c r="Z769" s="1323"/>
    </row>
    <row r="770" spans="1:26" ht="19.5" hidden="1">
      <c r="A770" s="1319"/>
      <c r="B770" s="1320"/>
      <c r="C770" s="1320" t="s">
        <v>16</v>
      </c>
      <c r="D770" s="1351" t="s">
        <v>17</v>
      </c>
      <c r="E770" s="841"/>
      <c r="F770" s="841"/>
      <c r="G770" s="1322"/>
      <c r="H770" s="644" t="s">
        <v>12</v>
      </c>
      <c r="I770" s="886"/>
      <c r="J770" s="886"/>
      <c r="K770" s="887"/>
      <c r="L770" s="1352">
        <f t="shared" ref="L770:N770" si="309">L771+L772</f>
        <v>0</v>
      </c>
      <c r="M770" s="1352">
        <f t="shared" si="309"/>
        <v>0</v>
      </c>
      <c r="N770" s="1352">
        <f t="shared" si="309"/>
        <v>0</v>
      </c>
      <c r="O770" s="1352">
        <f t="shared" ref="O770:O775" si="310">IF(L770&gt;0,N770*100/L770,0)</f>
        <v>0</v>
      </c>
      <c r="P770" s="1352">
        <f t="shared" ref="P770:P775" si="311">IF(M770&gt;0,N770*100/M770,0)</f>
        <v>0</v>
      </c>
      <c r="Q770" s="1323"/>
      <c r="R770" s="1323"/>
      <c r="S770" s="1323"/>
      <c r="T770" s="1323"/>
      <c r="U770" s="1323"/>
      <c r="V770" s="1323"/>
      <c r="W770" s="1323"/>
      <c r="X770" s="1323"/>
      <c r="Y770" s="1323"/>
      <c r="Z770" s="1323"/>
    </row>
    <row r="771" spans="1:26" ht="18.75" hidden="1">
      <c r="A771" s="1319"/>
      <c r="B771" s="1320"/>
      <c r="C771" s="1320"/>
      <c r="D771" s="1321"/>
      <c r="E771" s="1320" t="s">
        <v>185</v>
      </c>
      <c r="F771" s="1320"/>
      <c r="G771" s="1322"/>
      <c r="H771" s="165" t="s">
        <v>12</v>
      </c>
      <c r="I771" s="886"/>
      <c r="J771" s="886"/>
      <c r="K771" s="887"/>
      <c r="L771" s="887">
        <f t="shared" ref="L771:N772" si="312">L774+L781</f>
        <v>0</v>
      </c>
      <c r="M771" s="887">
        <f t="shared" si="312"/>
        <v>0</v>
      </c>
      <c r="N771" s="887">
        <f t="shared" si="312"/>
        <v>0</v>
      </c>
      <c r="O771" s="887">
        <f t="shared" si="310"/>
        <v>0</v>
      </c>
      <c r="P771" s="887">
        <f t="shared" si="311"/>
        <v>0</v>
      </c>
      <c r="Q771" s="1323"/>
      <c r="R771" s="1323"/>
      <c r="S771" s="1323"/>
      <c r="T771" s="1323"/>
      <c r="U771" s="1323"/>
      <c r="V771" s="1323"/>
      <c r="W771" s="1323"/>
      <c r="X771" s="1323"/>
      <c r="Y771" s="1323"/>
      <c r="Z771" s="1323"/>
    </row>
    <row r="772" spans="1:26" ht="18.75" hidden="1">
      <c r="A772" s="1319"/>
      <c r="B772" s="1324"/>
      <c r="C772" s="1320"/>
      <c r="D772" s="1321"/>
      <c r="E772" s="1320" t="s">
        <v>186</v>
      </c>
      <c r="F772" s="1320"/>
      <c r="G772" s="1322"/>
      <c r="H772" s="165" t="s">
        <v>12</v>
      </c>
      <c r="I772" s="886"/>
      <c r="J772" s="886"/>
      <c r="K772" s="887"/>
      <c r="L772" s="887">
        <f t="shared" si="312"/>
        <v>0</v>
      </c>
      <c r="M772" s="887">
        <f t="shared" si="312"/>
        <v>0</v>
      </c>
      <c r="N772" s="887">
        <f t="shared" si="312"/>
        <v>0</v>
      </c>
      <c r="O772" s="887">
        <f t="shared" si="310"/>
        <v>0</v>
      </c>
      <c r="P772" s="887">
        <f t="shared" si="311"/>
        <v>0</v>
      </c>
      <c r="Q772" s="1323"/>
      <c r="R772" s="1323"/>
      <c r="S772" s="1323"/>
      <c r="T772" s="1323"/>
      <c r="U772" s="1323"/>
      <c r="V772" s="1323"/>
      <c r="W772" s="1323"/>
      <c r="X772" s="1323"/>
      <c r="Y772" s="1323"/>
      <c r="Z772" s="1323"/>
    </row>
    <row r="773" spans="1:26" ht="19.5" hidden="1">
      <c r="A773" s="1319"/>
      <c r="B773" s="1324"/>
      <c r="C773" s="1320"/>
      <c r="D773" s="1453" t="s">
        <v>20</v>
      </c>
      <c r="E773" s="1320"/>
      <c r="F773" s="1320"/>
      <c r="G773" s="1322"/>
      <c r="H773" s="644" t="s">
        <v>12</v>
      </c>
      <c r="I773" s="1000"/>
      <c r="J773" s="1000"/>
      <c r="K773" s="1001"/>
      <c r="L773" s="1352">
        <f t="shared" ref="L773:N773" si="313">L774+L775</f>
        <v>0</v>
      </c>
      <c r="M773" s="1352">
        <f t="shared" si="313"/>
        <v>0</v>
      </c>
      <c r="N773" s="1352">
        <f t="shared" si="313"/>
        <v>0</v>
      </c>
      <c r="O773" s="1352">
        <f t="shared" si="310"/>
        <v>0</v>
      </c>
      <c r="P773" s="1352">
        <f t="shared" si="311"/>
        <v>0</v>
      </c>
      <c r="Q773" s="1323"/>
      <c r="R773" s="1323"/>
      <c r="S773" s="1323"/>
      <c r="T773" s="1323"/>
      <c r="U773" s="1323"/>
      <c r="V773" s="1323"/>
      <c r="W773" s="1323"/>
      <c r="X773" s="1323"/>
      <c r="Y773" s="1323"/>
      <c r="Z773" s="1323"/>
    </row>
    <row r="774" spans="1:26" ht="18.75" hidden="1">
      <c r="A774" s="1319"/>
      <c r="B774" s="1324"/>
      <c r="C774" s="1320"/>
      <c r="D774" s="1321"/>
      <c r="E774" s="1320" t="s">
        <v>185</v>
      </c>
      <c r="F774" s="1320"/>
      <c r="G774" s="1322"/>
      <c r="H774" s="165" t="s">
        <v>12</v>
      </c>
      <c r="I774" s="886"/>
      <c r="J774" s="886"/>
      <c r="K774" s="887"/>
      <c r="L774" s="887">
        <v>0</v>
      </c>
      <c r="M774" s="887">
        <v>0</v>
      </c>
      <c r="N774" s="887">
        <v>0</v>
      </c>
      <c r="O774" s="887">
        <f t="shared" si="310"/>
        <v>0</v>
      </c>
      <c r="P774" s="887">
        <f t="shared" si="311"/>
        <v>0</v>
      </c>
      <c r="Q774" s="1323"/>
      <c r="R774" s="1323"/>
      <c r="S774" s="1323"/>
      <c r="T774" s="1323"/>
      <c r="U774" s="1323"/>
      <c r="V774" s="1323"/>
      <c r="W774" s="1323"/>
      <c r="X774" s="1323"/>
      <c r="Y774" s="1323"/>
      <c r="Z774" s="1323"/>
    </row>
    <row r="775" spans="1:26" ht="18.75" hidden="1">
      <c r="A775" s="1319"/>
      <c r="B775" s="1324"/>
      <c r="C775" s="1320"/>
      <c r="D775" s="1321"/>
      <c r="E775" s="1320" t="s">
        <v>186</v>
      </c>
      <c r="F775" s="1320"/>
      <c r="G775" s="1322"/>
      <c r="H775" s="165" t="s">
        <v>12</v>
      </c>
      <c r="I775" s="886"/>
      <c r="J775" s="886"/>
      <c r="K775" s="887"/>
      <c r="L775" s="887">
        <v>0</v>
      </c>
      <c r="M775" s="887">
        <v>0</v>
      </c>
      <c r="N775" s="887">
        <f>N776+N777+N778+N779</f>
        <v>0</v>
      </c>
      <c r="O775" s="887">
        <f t="shared" si="310"/>
        <v>0</v>
      </c>
      <c r="P775" s="887">
        <f t="shared" si="311"/>
        <v>0</v>
      </c>
      <c r="Q775" s="1323"/>
      <c r="R775" s="1323"/>
      <c r="S775" s="1323"/>
      <c r="T775" s="1323"/>
      <c r="U775" s="1323"/>
      <c r="V775" s="1323"/>
      <c r="W775" s="1323"/>
      <c r="X775" s="1323"/>
      <c r="Y775" s="1323"/>
      <c r="Z775" s="1323"/>
    </row>
    <row r="776" spans="1:26" ht="18.75" hidden="1">
      <c r="A776" s="1354"/>
      <c r="B776" s="1324"/>
      <c r="C776" s="1320"/>
      <c r="D776" s="1320"/>
      <c r="E776" s="1320"/>
      <c r="F776" s="1320" t="s">
        <v>187</v>
      </c>
      <c r="G776" s="1322"/>
      <c r="H776" s="165" t="s">
        <v>12</v>
      </c>
      <c r="I776" s="886"/>
      <c r="J776" s="886"/>
      <c r="K776" s="887"/>
      <c r="L776" s="887"/>
      <c r="M776" s="887"/>
      <c r="N776" s="887"/>
      <c r="O776" s="887"/>
      <c r="P776" s="887"/>
      <c r="Q776" s="1323"/>
      <c r="R776" s="1323"/>
      <c r="S776" s="1323"/>
      <c r="T776" s="1323"/>
      <c r="U776" s="1323"/>
      <c r="V776" s="1323"/>
      <c r="W776" s="1323"/>
      <c r="X776" s="1323"/>
      <c r="Y776" s="1323"/>
      <c r="Z776" s="1323"/>
    </row>
    <row r="777" spans="1:26" ht="18.75" hidden="1">
      <c r="A777" s="1354"/>
      <c r="B777" s="1324"/>
      <c r="C777" s="1320"/>
      <c r="D777" s="1320"/>
      <c r="E777" s="1320"/>
      <c r="F777" s="1320" t="s">
        <v>188</v>
      </c>
      <c r="G777" s="1322"/>
      <c r="H777" s="165" t="s">
        <v>12</v>
      </c>
      <c r="I777" s="886"/>
      <c r="J777" s="886"/>
      <c r="K777" s="887"/>
      <c r="L777" s="887"/>
      <c r="M777" s="887"/>
      <c r="N777" s="887"/>
      <c r="O777" s="887"/>
      <c r="P777" s="887"/>
      <c r="Q777" s="1323"/>
      <c r="R777" s="1323"/>
      <c r="S777" s="1323"/>
      <c r="T777" s="1323"/>
      <c r="U777" s="1323"/>
      <c r="V777" s="1323"/>
      <c r="W777" s="1323"/>
      <c r="X777" s="1323"/>
      <c r="Y777" s="1323"/>
      <c r="Z777" s="1323"/>
    </row>
    <row r="778" spans="1:26" ht="18.75" hidden="1">
      <c r="A778" s="1354"/>
      <c r="B778" s="1324"/>
      <c r="C778" s="1320"/>
      <c r="D778" s="1320"/>
      <c r="E778" s="1320"/>
      <c r="F778" s="1320" t="s">
        <v>189</v>
      </c>
      <c r="G778" s="1322"/>
      <c r="H778" s="165" t="s">
        <v>12</v>
      </c>
      <c r="I778" s="886"/>
      <c r="J778" s="886"/>
      <c r="K778" s="887"/>
      <c r="L778" s="887"/>
      <c r="M778" s="887"/>
      <c r="N778" s="887"/>
      <c r="O778" s="887"/>
      <c r="P778" s="887"/>
      <c r="Q778" s="1323"/>
      <c r="R778" s="1323"/>
      <c r="S778" s="1323"/>
      <c r="T778" s="1323"/>
      <c r="U778" s="1323"/>
      <c r="V778" s="1323"/>
      <c r="W778" s="1323"/>
      <c r="X778" s="1323"/>
      <c r="Y778" s="1323"/>
      <c r="Z778" s="1323"/>
    </row>
    <row r="779" spans="1:26" ht="18.75" hidden="1">
      <c r="A779" s="1354"/>
      <c r="B779" s="1324"/>
      <c r="C779" s="1320"/>
      <c r="D779" s="1320"/>
      <c r="E779" s="1320"/>
      <c r="F779" s="1320" t="s">
        <v>190</v>
      </c>
      <c r="G779" s="1322"/>
      <c r="H779" s="165" t="s">
        <v>12</v>
      </c>
      <c r="I779" s="886"/>
      <c r="J779" s="886"/>
      <c r="K779" s="887"/>
      <c r="L779" s="887"/>
      <c r="M779" s="887"/>
      <c r="N779" s="887"/>
      <c r="O779" s="887"/>
      <c r="P779" s="887"/>
      <c r="Q779" s="1323"/>
      <c r="R779" s="1323"/>
      <c r="S779" s="1323"/>
      <c r="T779" s="1323"/>
      <c r="U779" s="1323"/>
      <c r="V779" s="1323"/>
      <c r="W779" s="1323"/>
      <c r="X779" s="1323"/>
      <c r="Y779" s="1323"/>
      <c r="Z779" s="1323"/>
    </row>
    <row r="780" spans="1:26" ht="19.5" hidden="1">
      <c r="A780" s="1319"/>
      <c r="B780" s="1324"/>
      <c r="C780" s="1320"/>
      <c r="D780" s="1453" t="s">
        <v>21</v>
      </c>
      <c r="E780" s="1320"/>
      <c r="F780" s="1320"/>
      <c r="G780" s="1322"/>
      <c r="H780" s="781" t="s">
        <v>12</v>
      </c>
      <c r="I780" s="1000"/>
      <c r="J780" s="1000"/>
      <c r="K780" s="1001"/>
      <c r="L780" s="1352">
        <f t="shared" ref="L780:N780" si="314">L781+L782</f>
        <v>0</v>
      </c>
      <c r="M780" s="1352">
        <f t="shared" si="314"/>
        <v>0</v>
      </c>
      <c r="N780" s="1352">
        <f t="shared" si="314"/>
        <v>0</v>
      </c>
      <c r="O780" s="1352">
        <f t="shared" ref="O780:O782" si="315">IF(L780&gt;0,N780*100/L780,0)</f>
        <v>0</v>
      </c>
      <c r="P780" s="1352">
        <f t="shared" ref="P780:P782" si="316">IF(M780&gt;0,N780*100/M780,0)</f>
        <v>0</v>
      </c>
      <c r="Q780" s="1323"/>
      <c r="R780" s="1323"/>
      <c r="S780" s="1323"/>
      <c r="T780" s="1323"/>
      <c r="U780" s="1323"/>
      <c r="V780" s="1323"/>
      <c r="W780" s="1323"/>
      <c r="X780" s="1323"/>
      <c r="Y780" s="1323"/>
      <c r="Z780" s="1323"/>
    </row>
    <row r="781" spans="1:26" ht="18.75" hidden="1">
      <c r="A781" s="1319"/>
      <c r="B781" s="1324"/>
      <c r="C781" s="1320"/>
      <c r="D781" s="1320"/>
      <c r="E781" s="1320" t="s">
        <v>18</v>
      </c>
      <c r="F781" s="1320"/>
      <c r="G781" s="1322"/>
      <c r="H781" s="165" t="s">
        <v>12</v>
      </c>
      <c r="I781" s="1000"/>
      <c r="J781" s="1000"/>
      <c r="K781" s="1001"/>
      <c r="L781" s="887">
        <v>0</v>
      </c>
      <c r="M781" s="887">
        <v>0</v>
      </c>
      <c r="N781" s="887">
        <v>0</v>
      </c>
      <c r="O781" s="887">
        <f t="shared" si="315"/>
        <v>0</v>
      </c>
      <c r="P781" s="887">
        <f t="shared" si="316"/>
        <v>0</v>
      </c>
      <c r="Q781" s="1323"/>
      <c r="R781" s="1323"/>
      <c r="S781" s="1323"/>
      <c r="T781" s="1323"/>
      <c r="U781" s="1323"/>
      <c r="V781" s="1323"/>
      <c r="W781" s="1323"/>
      <c r="X781" s="1323"/>
      <c r="Y781" s="1323"/>
      <c r="Z781" s="1323"/>
    </row>
    <row r="782" spans="1:26" ht="18.75" hidden="1">
      <c r="A782" s="1319"/>
      <c r="B782" s="1324"/>
      <c r="C782" s="1320"/>
      <c r="D782" s="1320"/>
      <c r="E782" s="1320" t="s">
        <v>19</v>
      </c>
      <c r="F782" s="1320"/>
      <c r="G782" s="1322"/>
      <c r="H782" s="169" t="s">
        <v>12</v>
      </c>
      <c r="I782" s="1000"/>
      <c r="J782" s="1000"/>
      <c r="K782" s="1001"/>
      <c r="L782" s="887">
        <v>0</v>
      </c>
      <c r="M782" s="887">
        <v>0</v>
      </c>
      <c r="N782" s="887">
        <v>0</v>
      </c>
      <c r="O782" s="887">
        <f t="shared" si="315"/>
        <v>0</v>
      </c>
      <c r="P782" s="887">
        <f t="shared" si="316"/>
        <v>0</v>
      </c>
      <c r="Q782" s="1323"/>
      <c r="R782" s="1323"/>
      <c r="S782" s="1323"/>
      <c r="T782" s="1323"/>
      <c r="U782" s="1323"/>
      <c r="V782" s="1323"/>
      <c r="W782" s="1323"/>
      <c r="X782" s="1323"/>
      <c r="Y782" s="1323"/>
      <c r="Z782" s="1323"/>
    </row>
    <row r="783" spans="1:26" ht="19.5" hidden="1">
      <c r="A783" s="1332"/>
      <c r="B783" s="1333"/>
      <c r="C783" s="1320" t="s">
        <v>16</v>
      </c>
      <c r="D783" s="1454" t="s">
        <v>38</v>
      </c>
      <c r="E783" s="1356"/>
      <c r="F783" s="1356"/>
      <c r="G783" s="1357"/>
      <c r="H783" s="1467"/>
      <c r="I783" s="1000"/>
      <c r="J783" s="1000"/>
      <c r="K783" s="1001"/>
      <c r="L783" s="1001"/>
      <c r="M783" s="1001"/>
      <c r="N783" s="1001"/>
      <c r="O783" s="1001"/>
      <c r="P783" s="1001"/>
      <c r="Q783" s="1323"/>
      <c r="R783" s="1323"/>
      <c r="S783" s="1323"/>
      <c r="T783" s="1323"/>
      <c r="U783" s="1323"/>
      <c r="V783" s="1323"/>
      <c r="W783" s="1323"/>
      <c r="X783" s="1323"/>
      <c r="Y783" s="1323"/>
      <c r="Z783" s="1323"/>
    </row>
    <row r="784" spans="1:26" ht="18.75" hidden="1">
      <c r="A784" s="1354"/>
      <c r="B784" s="1324"/>
      <c r="C784" s="1320"/>
      <c r="D784" s="1320"/>
      <c r="E784" s="1320" t="s">
        <v>319</v>
      </c>
      <c r="F784" s="1320"/>
      <c r="G784" s="1322"/>
      <c r="H784" s="165" t="s">
        <v>46</v>
      </c>
      <c r="I784" s="886"/>
      <c r="J784" s="886"/>
      <c r="K784" s="887"/>
      <c r="L784" s="887"/>
      <c r="M784" s="887"/>
      <c r="N784" s="887"/>
      <c r="O784" s="887"/>
      <c r="P784" s="887"/>
      <c r="Q784" s="1323"/>
      <c r="R784" s="1323"/>
      <c r="S784" s="1323"/>
      <c r="T784" s="1323"/>
      <c r="U784" s="1323"/>
      <c r="V784" s="1323"/>
      <c r="W784" s="1323"/>
      <c r="X784" s="1323"/>
      <c r="Y784" s="1323"/>
      <c r="Z784" s="1323"/>
    </row>
    <row r="785" spans="1:26" ht="19.5" hidden="1">
      <c r="A785" s="800">
        <v>12</v>
      </c>
      <c r="B785" s="1468" t="s">
        <v>320</v>
      </c>
      <c r="C785" s="1469"/>
      <c r="D785" s="1469"/>
      <c r="E785" s="1469"/>
      <c r="F785" s="1469"/>
      <c r="G785" s="1470"/>
      <c r="H785" s="804" t="s">
        <v>46</v>
      </c>
      <c r="I785" s="1471">
        <f t="shared" ref="I785:J785" ca="1" si="317">I800</f>
        <v>0</v>
      </c>
      <c r="J785" s="1472">
        <f t="shared" ca="1" si="317"/>
        <v>0</v>
      </c>
      <c r="K785" s="1473">
        <f ca="1">IF(I785&gt;0,J785*100/I785,0)</f>
        <v>0</v>
      </c>
      <c r="L785" s="1474"/>
      <c r="M785" s="1474"/>
      <c r="N785" s="1474"/>
      <c r="O785" s="1474"/>
      <c r="P785" s="1474"/>
      <c r="Q785" s="1302"/>
      <c r="R785" s="1302"/>
      <c r="S785" s="1302"/>
      <c r="T785" s="1302"/>
      <c r="U785" s="1302"/>
      <c r="V785" s="1302"/>
      <c r="W785" s="1302"/>
      <c r="X785" s="1302"/>
      <c r="Y785" s="1302"/>
      <c r="Z785" s="1302"/>
    </row>
    <row r="786" spans="1:26" ht="19.5" hidden="1">
      <c r="A786" s="1317"/>
      <c r="B786" s="1300"/>
      <c r="C786" s="1301" t="s">
        <v>16</v>
      </c>
      <c r="D786" s="1318" t="s">
        <v>17</v>
      </c>
      <c r="E786" s="841"/>
      <c r="F786" s="841"/>
      <c r="G786" s="1016"/>
      <c r="H786" s="597" t="s">
        <v>12</v>
      </c>
      <c r="I786" s="880"/>
      <c r="J786" s="880"/>
      <c r="K786" s="881"/>
      <c r="L786" s="1020">
        <f t="shared" ref="L786:N786" ca="1" si="318">L787+L788</f>
        <v>0</v>
      </c>
      <c r="M786" s="1020">
        <f t="shared" si="318"/>
        <v>0</v>
      </c>
      <c r="N786" s="1020">
        <f t="shared" si="318"/>
        <v>0</v>
      </c>
      <c r="O786" s="1020">
        <f t="shared" ref="O786:O791" ca="1" si="319">IF(L786&gt;0,N786*100/L786,0)</f>
        <v>0</v>
      </c>
      <c r="P786" s="1020">
        <f t="shared" ref="P786:P791" si="320">IF(M786&gt;0,N786*100/M786,0)</f>
        <v>0</v>
      </c>
      <c r="Q786" s="1302"/>
      <c r="R786" s="1302"/>
      <c r="S786" s="1302"/>
      <c r="T786" s="1302"/>
      <c r="U786" s="1302"/>
      <c r="V786" s="1302"/>
      <c r="W786" s="1302"/>
      <c r="X786" s="1302"/>
      <c r="Y786" s="1302"/>
      <c r="Z786" s="1302"/>
    </row>
    <row r="787" spans="1:26" ht="18.75" hidden="1">
      <c r="A787" s="1319"/>
      <c r="B787" s="1324"/>
      <c r="C787" s="1320"/>
      <c r="D787" s="1321"/>
      <c r="E787" s="1320" t="s">
        <v>185</v>
      </c>
      <c r="F787" s="1320"/>
      <c r="G787" s="1322"/>
      <c r="H787" s="165" t="s">
        <v>12</v>
      </c>
      <c r="I787" s="886"/>
      <c r="J787" s="886"/>
      <c r="K787" s="887"/>
      <c r="L787" s="887">
        <f t="shared" ref="L787:N788" si="321">L790+L797</f>
        <v>0</v>
      </c>
      <c r="M787" s="887">
        <f t="shared" si="321"/>
        <v>0</v>
      </c>
      <c r="N787" s="887">
        <f t="shared" si="321"/>
        <v>0</v>
      </c>
      <c r="O787" s="887">
        <f t="shared" si="319"/>
        <v>0</v>
      </c>
      <c r="P787" s="887">
        <f t="shared" si="320"/>
        <v>0</v>
      </c>
      <c r="Q787" s="1323"/>
      <c r="R787" s="1323"/>
      <c r="S787" s="1323"/>
      <c r="T787" s="1323"/>
      <c r="U787" s="1323"/>
      <c r="V787" s="1323"/>
      <c r="W787" s="1323"/>
      <c r="X787" s="1323"/>
      <c r="Y787" s="1323"/>
      <c r="Z787" s="1323"/>
    </row>
    <row r="788" spans="1:26" ht="18.75" hidden="1">
      <c r="A788" s="1319"/>
      <c r="B788" s="1324"/>
      <c r="C788" s="1324"/>
      <c r="D788" s="1333"/>
      <c r="E788" s="1320" t="s">
        <v>186</v>
      </c>
      <c r="F788" s="1320"/>
      <c r="G788" s="1322"/>
      <c r="H788" s="165" t="s">
        <v>12</v>
      </c>
      <c r="I788" s="886"/>
      <c r="J788" s="886"/>
      <c r="K788" s="887"/>
      <c r="L788" s="887">
        <f t="shared" ca="1" si="321"/>
        <v>0</v>
      </c>
      <c r="M788" s="887">
        <f t="shared" si="321"/>
        <v>0</v>
      </c>
      <c r="N788" s="887">
        <f t="shared" si="321"/>
        <v>0</v>
      </c>
      <c r="O788" s="887">
        <f t="shared" ca="1" si="319"/>
        <v>0</v>
      </c>
      <c r="P788" s="887">
        <f t="shared" si="320"/>
        <v>0</v>
      </c>
      <c r="Q788" s="1323"/>
      <c r="R788" s="1323"/>
      <c r="S788" s="1323"/>
      <c r="T788" s="1323"/>
      <c r="U788" s="1323"/>
      <c r="V788" s="1323"/>
      <c r="W788" s="1323"/>
      <c r="X788" s="1323"/>
      <c r="Y788" s="1323"/>
      <c r="Z788" s="1323"/>
    </row>
    <row r="789" spans="1:26" ht="18.75" hidden="1">
      <c r="A789" s="1317"/>
      <c r="B789" s="1300"/>
      <c r="C789" s="1300"/>
      <c r="D789" s="1325" t="s">
        <v>20</v>
      </c>
      <c r="E789" s="1301"/>
      <c r="F789" s="1301"/>
      <c r="G789" s="1016"/>
      <c r="H789" s="161" t="s">
        <v>12</v>
      </c>
      <c r="I789" s="997"/>
      <c r="J789" s="997"/>
      <c r="K789" s="998"/>
      <c r="L789" s="881">
        <f t="shared" ref="L789:N789" ca="1" si="322">L790+L791</f>
        <v>0</v>
      </c>
      <c r="M789" s="881">
        <f t="shared" si="322"/>
        <v>0</v>
      </c>
      <c r="N789" s="881">
        <f t="shared" si="322"/>
        <v>0</v>
      </c>
      <c r="O789" s="881">
        <f t="shared" ca="1" si="319"/>
        <v>0</v>
      </c>
      <c r="P789" s="881">
        <f t="shared" si="320"/>
        <v>0</v>
      </c>
      <c r="Q789" s="1302"/>
      <c r="R789" s="1302"/>
      <c r="S789" s="1302"/>
      <c r="T789" s="1302"/>
      <c r="U789" s="1302"/>
      <c r="V789" s="1302"/>
      <c r="W789" s="1302"/>
      <c r="X789" s="1302"/>
      <c r="Y789" s="1302"/>
      <c r="Z789" s="1302"/>
    </row>
    <row r="790" spans="1:26" ht="18.75" hidden="1">
      <c r="A790" s="1319"/>
      <c r="B790" s="1324"/>
      <c r="C790" s="1324"/>
      <c r="D790" s="1333"/>
      <c r="E790" s="1320" t="s">
        <v>185</v>
      </c>
      <c r="F790" s="1320"/>
      <c r="G790" s="1322"/>
      <c r="H790" s="165" t="s">
        <v>12</v>
      </c>
      <c r="I790" s="886"/>
      <c r="J790" s="886"/>
      <c r="K790" s="887"/>
      <c r="L790" s="887">
        <v>0</v>
      </c>
      <c r="M790" s="887">
        <v>0</v>
      </c>
      <c r="N790" s="887">
        <v>0</v>
      </c>
      <c r="O790" s="887">
        <f t="shared" si="319"/>
        <v>0</v>
      </c>
      <c r="P790" s="887">
        <f t="shared" si="320"/>
        <v>0</v>
      </c>
      <c r="Q790" s="1323"/>
      <c r="R790" s="1323"/>
      <c r="S790" s="1323"/>
      <c r="T790" s="1323"/>
      <c r="U790" s="1323"/>
      <c r="V790" s="1323"/>
      <c r="W790" s="1323"/>
      <c r="X790" s="1323"/>
      <c r="Y790" s="1323"/>
      <c r="Z790" s="1323"/>
    </row>
    <row r="791" spans="1:26" ht="18.75" hidden="1">
      <c r="A791" s="1319"/>
      <c r="B791" s="1324"/>
      <c r="C791" s="1324"/>
      <c r="D791" s="1333"/>
      <c r="E791" s="1320" t="s">
        <v>186</v>
      </c>
      <c r="F791" s="1320"/>
      <c r="G791" s="1322"/>
      <c r="H791" s="165" t="s">
        <v>12</v>
      </c>
      <c r="I791" s="886"/>
      <c r="J791" s="886"/>
      <c r="K791" s="887"/>
      <c r="L791" s="887">
        <f ca="1">IFERROR(__xludf.DUMMYFUNCTION("IMPORTRANGE(""https://docs.google.com/spreadsheets/d/1QqKyyYR6Q21VydFLVH3TRQUabQu_ym0Zz7PgGX0-kHA/edit?usp=sharing"",""แผน!JJ79"")"),0)</f>
        <v>0</v>
      </c>
      <c r="M791" s="887">
        <v>0</v>
      </c>
      <c r="N791" s="887">
        <f>N792+N793+N794+N795</f>
        <v>0</v>
      </c>
      <c r="O791" s="887">
        <f t="shared" ca="1" si="319"/>
        <v>0</v>
      </c>
      <c r="P791" s="887">
        <f t="shared" si="320"/>
        <v>0</v>
      </c>
      <c r="Q791" s="1323"/>
      <c r="R791" s="1323"/>
      <c r="S791" s="1323"/>
      <c r="T791" s="1323"/>
      <c r="U791" s="1323"/>
      <c r="V791" s="1323"/>
      <c r="W791" s="1323"/>
      <c r="X791" s="1323"/>
      <c r="Y791" s="1323"/>
      <c r="Z791" s="1323"/>
    </row>
    <row r="792" spans="1:26" ht="18.75" hidden="1">
      <c r="A792" s="1299"/>
      <c r="B792" s="1300"/>
      <c r="C792" s="1301"/>
      <c r="D792" s="1301"/>
      <c r="E792" s="1301"/>
      <c r="F792" s="1301" t="s">
        <v>187</v>
      </c>
      <c r="G792" s="1016"/>
      <c r="H792" s="161" t="s">
        <v>12</v>
      </c>
      <c r="I792" s="880"/>
      <c r="J792" s="880"/>
      <c r="K792" s="881"/>
      <c r="L792" s="881"/>
      <c r="M792" s="881"/>
      <c r="N792" s="1085">
        <v>0</v>
      </c>
      <c r="O792" s="881"/>
      <c r="P792" s="881"/>
      <c r="Q792" s="1302"/>
      <c r="R792" s="1302"/>
      <c r="S792" s="1302"/>
      <c r="T792" s="1302"/>
      <c r="U792" s="1302"/>
      <c r="V792" s="1302"/>
      <c r="W792" s="1302"/>
      <c r="X792" s="1302"/>
      <c r="Y792" s="1302"/>
      <c r="Z792" s="1302"/>
    </row>
    <row r="793" spans="1:26" ht="18.75" hidden="1">
      <c r="A793" s="1299"/>
      <c r="B793" s="1300"/>
      <c r="C793" s="1301"/>
      <c r="D793" s="1301"/>
      <c r="E793" s="1301"/>
      <c r="F793" s="1301" t="s">
        <v>188</v>
      </c>
      <c r="G793" s="1016"/>
      <c r="H793" s="161" t="s">
        <v>12</v>
      </c>
      <c r="I793" s="880"/>
      <c r="J793" s="880"/>
      <c r="K793" s="881"/>
      <c r="L793" s="881"/>
      <c r="M793" s="881"/>
      <c r="N793" s="1085">
        <v>0</v>
      </c>
      <c r="O793" s="881"/>
      <c r="P793" s="881"/>
      <c r="Q793" s="1302"/>
      <c r="R793" s="1302"/>
      <c r="S793" s="1302"/>
      <c r="T793" s="1302"/>
      <c r="U793" s="1302"/>
      <c r="V793" s="1302"/>
      <c r="W793" s="1302"/>
      <c r="X793" s="1302"/>
      <c r="Y793" s="1302"/>
      <c r="Z793" s="1302"/>
    </row>
    <row r="794" spans="1:26" ht="18.75" hidden="1">
      <c r="A794" s="1299"/>
      <c r="B794" s="1300"/>
      <c r="C794" s="1301"/>
      <c r="D794" s="1301"/>
      <c r="E794" s="1301"/>
      <c r="F794" s="1301" t="s">
        <v>189</v>
      </c>
      <c r="G794" s="1016"/>
      <c r="H794" s="161" t="s">
        <v>12</v>
      </c>
      <c r="I794" s="880"/>
      <c r="J794" s="880"/>
      <c r="K794" s="881"/>
      <c r="L794" s="881"/>
      <c r="M794" s="881"/>
      <c r="N794" s="1085">
        <v>0</v>
      </c>
      <c r="O794" s="881"/>
      <c r="P794" s="881"/>
      <c r="Q794" s="1302"/>
      <c r="R794" s="1302"/>
      <c r="S794" s="1302"/>
      <c r="T794" s="1302"/>
      <c r="U794" s="1302"/>
      <c r="V794" s="1302"/>
      <c r="W794" s="1302"/>
      <c r="X794" s="1302"/>
      <c r="Y794" s="1302"/>
      <c r="Z794" s="1302"/>
    </row>
    <row r="795" spans="1:26" ht="18.75" hidden="1">
      <c r="A795" s="1299"/>
      <c r="B795" s="1300"/>
      <c r="C795" s="1301"/>
      <c r="D795" s="1301"/>
      <c r="E795" s="1301"/>
      <c r="F795" s="1301" t="s">
        <v>190</v>
      </c>
      <c r="G795" s="1016"/>
      <c r="H795" s="161" t="s">
        <v>12</v>
      </c>
      <c r="I795" s="880"/>
      <c r="J795" s="880"/>
      <c r="K795" s="881"/>
      <c r="L795" s="881"/>
      <c r="M795" s="881"/>
      <c r="N795" s="1085">
        <v>0</v>
      </c>
      <c r="O795" s="881"/>
      <c r="P795" s="881"/>
      <c r="Q795" s="1302"/>
      <c r="R795" s="1302"/>
      <c r="S795" s="1302"/>
      <c r="T795" s="1302"/>
      <c r="U795" s="1302"/>
      <c r="V795" s="1302"/>
      <c r="W795" s="1302"/>
      <c r="X795" s="1302"/>
      <c r="Y795" s="1302"/>
      <c r="Z795" s="1302"/>
    </row>
    <row r="796" spans="1:26" ht="18.75" hidden="1">
      <c r="A796" s="1317"/>
      <c r="B796" s="1300"/>
      <c r="C796" s="1301"/>
      <c r="D796" s="1325" t="s">
        <v>21</v>
      </c>
      <c r="E796" s="1301"/>
      <c r="F796" s="1301"/>
      <c r="G796" s="1016"/>
      <c r="H796" s="168" t="s">
        <v>12</v>
      </c>
      <c r="I796" s="997"/>
      <c r="J796" s="997"/>
      <c r="K796" s="998"/>
      <c r="L796" s="881">
        <f t="shared" ref="L796:N796" si="323">L797+L798</f>
        <v>0</v>
      </c>
      <c r="M796" s="881">
        <f t="shared" si="323"/>
        <v>0</v>
      </c>
      <c r="N796" s="881">
        <f t="shared" si="323"/>
        <v>0</v>
      </c>
      <c r="O796" s="881">
        <f t="shared" ref="O796:O798" si="324">IF(L796&gt;0,N796*100/L796,0)</f>
        <v>0</v>
      </c>
      <c r="P796" s="881">
        <f t="shared" ref="P796:P798" si="325">IF(M796&gt;0,N796*100/M796,0)</f>
        <v>0</v>
      </c>
      <c r="Q796" s="1302"/>
      <c r="R796" s="1302"/>
      <c r="S796" s="1302"/>
      <c r="T796" s="1302"/>
      <c r="U796" s="1302"/>
      <c r="V796" s="1302"/>
      <c r="W796" s="1302"/>
      <c r="X796" s="1302"/>
      <c r="Y796" s="1302"/>
      <c r="Z796" s="1302"/>
    </row>
    <row r="797" spans="1:26" ht="18.75" hidden="1">
      <c r="A797" s="1319"/>
      <c r="B797" s="1324"/>
      <c r="C797" s="1320"/>
      <c r="D797" s="1320"/>
      <c r="E797" s="1320" t="s">
        <v>18</v>
      </c>
      <c r="F797" s="1320"/>
      <c r="G797" s="1322"/>
      <c r="H797" s="165" t="s">
        <v>12</v>
      </c>
      <c r="I797" s="1000"/>
      <c r="J797" s="1000"/>
      <c r="K797" s="1001"/>
      <c r="L797" s="887">
        <v>0</v>
      </c>
      <c r="M797" s="887">
        <v>0</v>
      </c>
      <c r="N797" s="887">
        <v>0</v>
      </c>
      <c r="O797" s="887">
        <f t="shared" si="324"/>
        <v>0</v>
      </c>
      <c r="P797" s="887">
        <f t="shared" si="325"/>
        <v>0</v>
      </c>
      <c r="Q797" s="1323"/>
      <c r="R797" s="1323"/>
      <c r="S797" s="1323"/>
      <c r="T797" s="1323"/>
      <c r="U797" s="1323"/>
      <c r="V797" s="1323"/>
      <c r="W797" s="1323"/>
      <c r="X797" s="1323"/>
      <c r="Y797" s="1323"/>
      <c r="Z797" s="1323"/>
    </row>
    <row r="798" spans="1:26" ht="18.75" hidden="1">
      <c r="A798" s="1319"/>
      <c r="B798" s="1324"/>
      <c r="C798" s="1320"/>
      <c r="D798" s="1320"/>
      <c r="E798" s="1320" t="s">
        <v>19</v>
      </c>
      <c r="F798" s="1320"/>
      <c r="G798" s="1322"/>
      <c r="H798" s="169" t="s">
        <v>12</v>
      </c>
      <c r="I798" s="1000"/>
      <c r="J798" s="1000"/>
      <c r="K798" s="1001"/>
      <c r="L798" s="887">
        <v>0</v>
      </c>
      <c r="M798" s="887">
        <v>0</v>
      </c>
      <c r="N798" s="887">
        <v>0</v>
      </c>
      <c r="O798" s="887">
        <f t="shared" si="324"/>
        <v>0</v>
      </c>
      <c r="P798" s="887">
        <f t="shared" si="325"/>
        <v>0</v>
      </c>
      <c r="Q798" s="1323"/>
      <c r="R798" s="1323"/>
      <c r="S798" s="1323"/>
      <c r="T798" s="1323"/>
      <c r="U798" s="1323"/>
      <c r="V798" s="1323"/>
      <c r="W798" s="1323"/>
      <c r="X798" s="1323"/>
      <c r="Y798" s="1323"/>
      <c r="Z798" s="1323"/>
    </row>
    <row r="799" spans="1:26" ht="19.5" hidden="1">
      <c r="A799" s="1326"/>
      <c r="B799" s="1327"/>
      <c r="C799" s="1301" t="s">
        <v>16</v>
      </c>
      <c r="D799" s="1439" t="s">
        <v>38</v>
      </c>
      <c r="E799" s="1330"/>
      <c r="F799" s="1330"/>
      <c r="G799" s="1331"/>
      <c r="H799" s="1475"/>
      <c r="I799" s="997"/>
      <c r="J799" s="997"/>
      <c r="K799" s="998"/>
      <c r="L799" s="998"/>
      <c r="M799" s="998"/>
      <c r="N799" s="998"/>
      <c r="O799" s="998"/>
      <c r="P799" s="998"/>
      <c r="Q799" s="1302"/>
      <c r="R799" s="1302"/>
      <c r="S799" s="1302"/>
      <c r="T799" s="1302"/>
      <c r="U799" s="1302"/>
      <c r="V799" s="1302"/>
      <c r="W799" s="1302"/>
      <c r="X799" s="1302"/>
      <c r="Y799" s="1302"/>
      <c r="Z799" s="1302"/>
    </row>
    <row r="800" spans="1:26" ht="18.75" hidden="1">
      <c r="A800" s="1326"/>
      <c r="B800" s="1327"/>
      <c r="C800" s="1327"/>
      <c r="D800" s="1327"/>
      <c r="E800" s="1014"/>
      <c r="F800" s="1014" t="s">
        <v>321</v>
      </c>
      <c r="G800" s="1007"/>
      <c r="H800" s="185" t="s">
        <v>46</v>
      </c>
      <c r="I800" s="997">
        <f ca="1">IFERROR(__xludf.DUMMYFUNCTION("IMPORTRANGE(""https://docs.google.com/spreadsheets/d/1QqKyyYR6Q21VydFLVH3TRQUabQu_ym0Zz7PgGX0-kHA/edit?usp=sharing"",""แผน!JN79"")"),0)</f>
        <v>0</v>
      </c>
      <c r="J800" s="997">
        <f ca="1">IFERROR(__xludf.DUMMYFUNCTION("IMPORTRANGE(""https://docs.google.com/spreadsheets/d/1MaWodYyGHDf7siQLGxnXhG4mBNTNIuy296niS2xXulU/edit?usp=sharing"",""RTK!H79"")"),0)</f>
        <v>0</v>
      </c>
      <c r="K800" s="881">
        <f ca="1">IF(I800&gt;0,J800*100/I800,0)</f>
        <v>0</v>
      </c>
      <c r="L800" s="881"/>
      <c r="M800" s="881"/>
      <c r="N800" s="881"/>
      <c r="O800" s="998"/>
      <c r="P800" s="998"/>
      <c r="Q800" s="1302"/>
      <c r="R800" s="1302"/>
      <c r="S800" s="1302"/>
      <c r="T800" s="1302"/>
      <c r="U800" s="1302"/>
      <c r="V800" s="1302"/>
      <c r="W800" s="1302"/>
      <c r="X800" s="1302"/>
      <c r="Y800" s="1302"/>
      <c r="Z800" s="1302"/>
    </row>
    <row r="801" spans="1:26" ht="18.75" hidden="1">
      <c r="A801" s="1326"/>
      <c r="B801" s="1327"/>
      <c r="C801" s="1327"/>
      <c r="D801" s="1327"/>
      <c r="E801" s="1014"/>
      <c r="F801" s="1014"/>
      <c r="G801" s="1007"/>
      <c r="H801" s="161" t="s">
        <v>34</v>
      </c>
      <c r="I801" s="997"/>
      <c r="J801" s="880">
        <f ca="1">IFERROR(__xludf.DUMMYFUNCTION("IMPORTRANGE(""https://docs.google.com/spreadsheets/d/1MaWodYyGHDf7siQLGxnXhG4mBNTNIuy296niS2xXulU/edit?usp=sharing"",""RTK!I79"")"),0)</f>
        <v>0</v>
      </c>
      <c r="K801" s="881"/>
      <c r="L801" s="881"/>
      <c r="M801" s="881"/>
      <c r="N801" s="881"/>
      <c r="O801" s="998"/>
      <c r="P801" s="998"/>
      <c r="Q801" s="1302"/>
      <c r="R801" s="1302"/>
      <c r="S801" s="1302"/>
      <c r="T801" s="1302"/>
      <c r="U801" s="1302"/>
      <c r="V801" s="1302"/>
      <c r="W801" s="1302"/>
      <c r="X801" s="1302"/>
      <c r="Y801" s="1302"/>
      <c r="Z801" s="1302"/>
    </row>
    <row r="802" spans="1:26" ht="18.75" hidden="1">
      <c r="A802" s="1332"/>
      <c r="B802" s="1333"/>
      <c r="C802" s="1333"/>
      <c r="D802" s="1333"/>
      <c r="E802" s="1321"/>
      <c r="F802" s="1321" t="s">
        <v>322</v>
      </c>
      <c r="G802" s="1113"/>
      <c r="H802" s="651" t="s">
        <v>46</v>
      </c>
      <c r="I802" s="1000"/>
      <c r="J802" s="886"/>
      <c r="K802" s="1001">
        <f>IF(I802&gt;0,J802*100/I802,0)</f>
        <v>0</v>
      </c>
      <c r="L802" s="1001"/>
      <c r="M802" s="1001"/>
      <c r="N802" s="1001"/>
      <c r="O802" s="1001"/>
      <c r="P802" s="1001"/>
      <c r="Q802" s="1323"/>
      <c r="R802" s="1323"/>
      <c r="S802" s="1323"/>
      <c r="T802" s="1323"/>
      <c r="U802" s="1323"/>
      <c r="V802" s="1323"/>
      <c r="W802" s="1323"/>
      <c r="X802" s="1323"/>
      <c r="Y802" s="1323"/>
      <c r="Z802" s="1323"/>
    </row>
    <row r="803" spans="1:26" ht="18.75" hidden="1">
      <c r="A803" s="1332"/>
      <c r="B803" s="1333"/>
      <c r="C803" s="1333"/>
      <c r="D803" s="1333"/>
      <c r="E803" s="1321"/>
      <c r="F803" s="1321"/>
      <c r="G803" s="1113"/>
      <c r="H803" s="651" t="s">
        <v>34</v>
      </c>
      <c r="I803" s="1000"/>
      <c r="J803" s="886"/>
      <c r="K803" s="1001"/>
      <c r="L803" s="1001"/>
      <c r="M803" s="1001"/>
      <c r="N803" s="1001"/>
      <c r="O803" s="1001"/>
      <c r="P803" s="1001"/>
      <c r="Q803" s="1323"/>
      <c r="R803" s="1323"/>
      <c r="S803" s="1323"/>
      <c r="T803" s="1323"/>
      <c r="U803" s="1323"/>
      <c r="V803" s="1323"/>
      <c r="W803" s="1323"/>
      <c r="X803" s="1323"/>
      <c r="Y803" s="1323"/>
      <c r="Z803" s="1323"/>
    </row>
    <row r="804" spans="1:26" ht="19.5" hidden="1">
      <c r="A804" s="791">
        <v>13</v>
      </c>
      <c r="B804" s="1461" t="s">
        <v>323</v>
      </c>
      <c r="C804" s="1462"/>
      <c r="D804" s="1476"/>
      <c r="E804" s="1462"/>
      <c r="F804" s="1462"/>
      <c r="G804" s="1463"/>
      <c r="H804" s="795" t="s">
        <v>46</v>
      </c>
      <c r="I804" s="1464"/>
      <c r="J804" s="1464">
        <f>J819</f>
        <v>0</v>
      </c>
      <c r="K804" s="1465">
        <f>IF(I804&gt;0,J804*100/I804,0)</f>
        <v>0</v>
      </c>
      <c r="L804" s="1466"/>
      <c r="M804" s="1466"/>
      <c r="N804" s="1466"/>
      <c r="O804" s="1466"/>
      <c r="P804" s="1466"/>
      <c r="Q804" s="1323"/>
      <c r="R804" s="1323"/>
      <c r="S804" s="1323"/>
      <c r="T804" s="1323"/>
      <c r="U804" s="1323"/>
      <c r="V804" s="1323"/>
      <c r="W804" s="1323"/>
      <c r="X804" s="1323"/>
      <c r="Y804" s="1323"/>
      <c r="Z804" s="1323"/>
    </row>
    <row r="805" spans="1:26" ht="19.5" hidden="1">
      <c r="A805" s="1319"/>
      <c r="B805" s="1320"/>
      <c r="C805" s="1320" t="s">
        <v>16</v>
      </c>
      <c r="D805" s="1351" t="s">
        <v>17</v>
      </c>
      <c r="E805" s="841"/>
      <c r="F805" s="841"/>
      <c r="G805" s="1322"/>
      <c r="H805" s="644" t="s">
        <v>12</v>
      </c>
      <c r="I805" s="886"/>
      <c r="J805" s="886"/>
      <c r="K805" s="887"/>
      <c r="L805" s="1352">
        <f t="shared" ref="L805:N805" si="326">L806+L807</f>
        <v>0</v>
      </c>
      <c r="M805" s="1352">
        <f t="shared" si="326"/>
        <v>0</v>
      </c>
      <c r="N805" s="1352">
        <f t="shared" si="326"/>
        <v>0</v>
      </c>
      <c r="O805" s="1352">
        <f t="shared" ref="O805:O810" si="327">IF(L805&gt;0,N805*100/L805,0)</f>
        <v>0</v>
      </c>
      <c r="P805" s="1352">
        <f t="shared" ref="P805:P810" si="328">IF(M805&gt;0,N805*100/M805,0)</f>
        <v>0</v>
      </c>
      <c r="Q805" s="1323"/>
      <c r="R805" s="1323"/>
      <c r="S805" s="1323"/>
      <c r="T805" s="1323"/>
      <c r="U805" s="1323"/>
      <c r="V805" s="1323"/>
      <c r="W805" s="1323"/>
      <c r="X805" s="1323"/>
      <c r="Y805" s="1323"/>
      <c r="Z805" s="1323"/>
    </row>
    <row r="806" spans="1:26" ht="18.75" hidden="1">
      <c r="A806" s="1319"/>
      <c r="B806" s="1320"/>
      <c r="C806" s="1320"/>
      <c r="D806" s="1333"/>
      <c r="E806" s="1320" t="s">
        <v>185</v>
      </c>
      <c r="F806" s="1320"/>
      <c r="G806" s="1322"/>
      <c r="H806" s="165" t="s">
        <v>12</v>
      </c>
      <c r="I806" s="886"/>
      <c r="J806" s="886"/>
      <c r="K806" s="887"/>
      <c r="L806" s="887">
        <f t="shared" ref="L806:N807" si="329">L809+L816</f>
        <v>0</v>
      </c>
      <c r="M806" s="887">
        <f t="shared" si="329"/>
        <v>0</v>
      </c>
      <c r="N806" s="887">
        <f t="shared" si="329"/>
        <v>0</v>
      </c>
      <c r="O806" s="887">
        <f t="shared" si="327"/>
        <v>0</v>
      </c>
      <c r="P806" s="887">
        <f t="shared" si="328"/>
        <v>0</v>
      </c>
      <c r="Q806" s="1323"/>
      <c r="R806" s="1323"/>
      <c r="S806" s="1323"/>
      <c r="T806" s="1323"/>
      <c r="U806" s="1323"/>
      <c r="V806" s="1323"/>
      <c r="W806" s="1323"/>
      <c r="X806" s="1323"/>
      <c r="Y806" s="1323"/>
      <c r="Z806" s="1323"/>
    </row>
    <row r="807" spans="1:26" ht="18.75" hidden="1">
      <c r="A807" s="1319"/>
      <c r="B807" s="1320"/>
      <c r="C807" s="1320"/>
      <c r="D807" s="1333"/>
      <c r="E807" s="1320" t="s">
        <v>186</v>
      </c>
      <c r="F807" s="1320"/>
      <c r="G807" s="1322"/>
      <c r="H807" s="165" t="s">
        <v>12</v>
      </c>
      <c r="I807" s="886"/>
      <c r="J807" s="886"/>
      <c r="K807" s="887"/>
      <c r="L807" s="887">
        <f t="shared" si="329"/>
        <v>0</v>
      </c>
      <c r="M807" s="887">
        <f t="shared" si="329"/>
        <v>0</v>
      </c>
      <c r="N807" s="887">
        <f t="shared" si="329"/>
        <v>0</v>
      </c>
      <c r="O807" s="887">
        <f t="shared" si="327"/>
        <v>0</v>
      </c>
      <c r="P807" s="887">
        <f t="shared" si="328"/>
        <v>0</v>
      </c>
      <c r="Q807" s="1323"/>
      <c r="R807" s="1323"/>
      <c r="S807" s="1323"/>
      <c r="T807" s="1323"/>
      <c r="U807" s="1323"/>
      <c r="V807" s="1323"/>
      <c r="W807" s="1323"/>
      <c r="X807" s="1323"/>
      <c r="Y807" s="1323"/>
      <c r="Z807" s="1323"/>
    </row>
    <row r="808" spans="1:26" ht="19.5" hidden="1">
      <c r="A808" s="1319"/>
      <c r="B808" s="1324"/>
      <c r="C808" s="1320"/>
      <c r="D808" s="1477" t="s">
        <v>20</v>
      </c>
      <c r="E808" s="841"/>
      <c r="F808" s="841"/>
      <c r="G808" s="1322"/>
      <c r="H808" s="644" t="s">
        <v>12</v>
      </c>
      <c r="I808" s="1000"/>
      <c r="J808" s="1000"/>
      <c r="K808" s="1001"/>
      <c r="L808" s="1352">
        <f t="shared" ref="L808:N808" si="330">L809+L810</f>
        <v>0</v>
      </c>
      <c r="M808" s="1352">
        <f t="shared" si="330"/>
        <v>0</v>
      </c>
      <c r="N808" s="1352">
        <f t="shared" si="330"/>
        <v>0</v>
      </c>
      <c r="O808" s="1352">
        <f t="shared" si="327"/>
        <v>0</v>
      </c>
      <c r="P808" s="1352">
        <f t="shared" si="328"/>
        <v>0</v>
      </c>
      <c r="Q808" s="1323"/>
      <c r="R808" s="1323"/>
      <c r="S808" s="1323"/>
      <c r="T808" s="1323"/>
      <c r="U808" s="1323"/>
      <c r="V808" s="1323"/>
      <c r="W808" s="1323"/>
      <c r="X808" s="1323"/>
      <c r="Y808" s="1323"/>
      <c r="Z808" s="1323"/>
    </row>
    <row r="809" spans="1:26" ht="18.75" hidden="1">
      <c r="A809" s="1319"/>
      <c r="B809" s="1320"/>
      <c r="C809" s="1320"/>
      <c r="D809" s="1333"/>
      <c r="E809" s="1320" t="s">
        <v>185</v>
      </c>
      <c r="F809" s="1320"/>
      <c r="G809" s="1322"/>
      <c r="H809" s="165" t="s">
        <v>12</v>
      </c>
      <c r="I809" s="886"/>
      <c r="J809" s="886"/>
      <c r="K809" s="887"/>
      <c r="L809" s="887">
        <v>0</v>
      </c>
      <c r="M809" s="887">
        <v>0</v>
      </c>
      <c r="N809" s="887">
        <v>0</v>
      </c>
      <c r="O809" s="887">
        <f t="shared" si="327"/>
        <v>0</v>
      </c>
      <c r="P809" s="887">
        <f t="shared" si="328"/>
        <v>0</v>
      </c>
      <c r="Q809" s="1323"/>
      <c r="R809" s="1323"/>
      <c r="S809" s="1323"/>
      <c r="T809" s="1323"/>
      <c r="U809" s="1323"/>
      <c r="V809" s="1323"/>
      <c r="W809" s="1323"/>
      <c r="X809" s="1323"/>
      <c r="Y809" s="1323"/>
      <c r="Z809" s="1323"/>
    </row>
    <row r="810" spans="1:26" ht="18.75" hidden="1">
      <c r="A810" s="1319"/>
      <c r="B810" s="1320"/>
      <c r="C810" s="1320"/>
      <c r="D810" s="1333"/>
      <c r="E810" s="1320" t="s">
        <v>186</v>
      </c>
      <c r="F810" s="1320"/>
      <c r="G810" s="1322"/>
      <c r="H810" s="165" t="s">
        <v>12</v>
      </c>
      <c r="I810" s="886"/>
      <c r="J810" s="886"/>
      <c r="K810" s="887"/>
      <c r="L810" s="887">
        <v>0</v>
      </c>
      <c r="M810" s="887">
        <v>0</v>
      </c>
      <c r="N810" s="887">
        <f>N811+N812+N813+N814</f>
        <v>0</v>
      </c>
      <c r="O810" s="887">
        <f t="shared" si="327"/>
        <v>0</v>
      </c>
      <c r="P810" s="887">
        <f t="shared" si="328"/>
        <v>0</v>
      </c>
      <c r="Q810" s="1323"/>
      <c r="R810" s="1323"/>
      <c r="S810" s="1323"/>
      <c r="T810" s="1323"/>
      <c r="U810" s="1323"/>
      <c r="V810" s="1323"/>
      <c r="W810" s="1323"/>
      <c r="X810" s="1323"/>
      <c r="Y810" s="1323"/>
      <c r="Z810" s="1323"/>
    </row>
    <row r="811" spans="1:26" ht="18.75" hidden="1">
      <c r="A811" s="1354"/>
      <c r="B811" s="1324"/>
      <c r="C811" s="1320"/>
      <c r="D811" s="1324"/>
      <c r="E811" s="1320"/>
      <c r="F811" s="1320" t="s">
        <v>187</v>
      </c>
      <c r="G811" s="1322"/>
      <c r="H811" s="165" t="s">
        <v>12</v>
      </c>
      <c r="I811" s="886"/>
      <c r="J811" s="886"/>
      <c r="K811" s="887"/>
      <c r="L811" s="887"/>
      <c r="M811" s="887"/>
      <c r="N811" s="887"/>
      <c r="O811" s="887"/>
      <c r="P811" s="887"/>
      <c r="Q811" s="1323"/>
      <c r="R811" s="1323"/>
      <c r="S811" s="1323"/>
      <c r="T811" s="1323"/>
      <c r="U811" s="1323"/>
      <c r="V811" s="1323"/>
      <c r="W811" s="1323"/>
      <c r="X811" s="1323"/>
      <c r="Y811" s="1323"/>
      <c r="Z811" s="1323"/>
    </row>
    <row r="812" spans="1:26" ht="18.75" hidden="1">
      <c r="A812" s="1354"/>
      <c r="B812" s="1324"/>
      <c r="C812" s="1320"/>
      <c r="D812" s="1324"/>
      <c r="E812" s="1320"/>
      <c r="F812" s="1320" t="s">
        <v>188</v>
      </c>
      <c r="G812" s="1322"/>
      <c r="H812" s="165" t="s">
        <v>12</v>
      </c>
      <c r="I812" s="886"/>
      <c r="J812" s="886"/>
      <c r="K812" s="887"/>
      <c r="L812" s="887"/>
      <c r="M812" s="887"/>
      <c r="N812" s="887"/>
      <c r="O812" s="887"/>
      <c r="P812" s="887"/>
      <c r="Q812" s="1323"/>
      <c r="R812" s="1323"/>
      <c r="S812" s="1323"/>
      <c r="T812" s="1323"/>
      <c r="U812" s="1323"/>
      <c r="V812" s="1323"/>
      <c r="W812" s="1323"/>
      <c r="X812" s="1323"/>
      <c r="Y812" s="1323"/>
      <c r="Z812" s="1323"/>
    </row>
    <row r="813" spans="1:26" ht="18.75" hidden="1">
      <c r="A813" s="1354"/>
      <c r="B813" s="1324"/>
      <c r="C813" s="1320"/>
      <c r="D813" s="1324"/>
      <c r="E813" s="1320"/>
      <c r="F813" s="1320" t="s">
        <v>189</v>
      </c>
      <c r="G813" s="1322"/>
      <c r="H813" s="165" t="s">
        <v>12</v>
      </c>
      <c r="I813" s="886"/>
      <c r="J813" s="886"/>
      <c r="K813" s="887"/>
      <c r="L813" s="887"/>
      <c r="M813" s="887"/>
      <c r="N813" s="887"/>
      <c r="O813" s="887"/>
      <c r="P813" s="887"/>
      <c r="Q813" s="1323"/>
      <c r="R813" s="1323"/>
      <c r="S813" s="1323"/>
      <c r="T813" s="1323"/>
      <c r="U813" s="1323"/>
      <c r="V813" s="1323"/>
      <c r="W813" s="1323"/>
      <c r="X813" s="1323"/>
      <c r="Y813" s="1323"/>
      <c r="Z813" s="1323"/>
    </row>
    <row r="814" spans="1:26" ht="18.75" hidden="1">
      <c r="A814" s="1354"/>
      <c r="B814" s="1324"/>
      <c r="C814" s="1320"/>
      <c r="D814" s="1324"/>
      <c r="E814" s="1320"/>
      <c r="F814" s="1320" t="s">
        <v>190</v>
      </c>
      <c r="G814" s="1322"/>
      <c r="H814" s="165" t="s">
        <v>12</v>
      </c>
      <c r="I814" s="886"/>
      <c r="J814" s="886"/>
      <c r="K814" s="887"/>
      <c r="L814" s="887"/>
      <c r="M814" s="887"/>
      <c r="N814" s="887"/>
      <c r="O814" s="887"/>
      <c r="P814" s="887"/>
      <c r="Q814" s="1323"/>
      <c r="R814" s="1323"/>
      <c r="S814" s="1323"/>
      <c r="T814" s="1323"/>
      <c r="U814" s="1323"/>
      <c r="V814" s="1323"/>
      <c r="W814" s="1323"/>
      <c r="X814" s="1323"/>
      <c r="Y814" s="1323"/>
      <c r="Z814" s="1323"/>
    </row>
    <row r="815" spans="1:26" ht="19.5" hidden="1">
      <c r="A815" s="1319"/>
      <c r="B815" s="1324"/>
      <c r="C815" s="1320"/>
      <c r="D815" s="1477" t="s">
        <v>21</v>
      </c>
      <c r="E815" s="841"/>
      <c r="F815" s="841"/>
      <c r="G815" s="1322"/>
      <c r="H815" s="781" t="s">
        <v>12</v>
      </c>
      <c r="I815" s="1000"/>
      <c r="J815" s="1000"/>
      <c r="K815" s="1001"/>
      <c r="L815" s="1352">
        <f t="shared" ref="L815:N815" si="331">L816+L817</f>
        <v>0</v>
      </c>
      <c r="M815" s="1352">
        <f t="shared" si="331"/>
        <v>0</v>
      </c>
      <c r="N815" s="1352">
        <f t="shared" si="331"/>
        <v>0</v>
      </c>
      <c r="O815" s="1352">
        <f t="shared" ref="O815:O817" si="332">IF(L815&gt;0,N815*100/L815,0)</f>
        <v>0</v>
      </c>
      <c r="P815" s="1352">
        <f t="shared" ref="P815:P817" si="333">IF(M815&gt;0,N815*100/M815,0)</f>
        <v>0</v>
      </c>
      <c r="Q815" s="1323"/>
      <c r="R815" s="1323"/>
      <c r="S815" s="1323"/>
      <c r="T815" s="1323"/>
      <c r="U815" s="1323"/>
      <c r="V815" s="1323"/>
      <c r="W815" s="1323"/>
      <c r="X815" s="1323"/>
      <c r="Y815" s="1323"/>
      <c r="Z815" s="1323"/>
    </row>
    <row r="816" spans="1:26" ht="18.75" hidden="1">
      <c r="A816" s="1319"/>
      <c r="B816" s="1324"/>
      <c r="C816" s="1320"/>
      <c r="D816" s="1324"/>
      <c r="E816" s="1320" t="s">
        <v>18</v>
      </c>
      <c r="F816" s="1320"/>
      <c r="G816" s="1322"/>
      <c r="H816" s="165" t="s">
        <v>12</v>
      </c>
      <c r="I816" s="1000"/>
      <c r="J816" s="1000"/>
      <c r="K816" s="1001"/>
      <c r="L816" s="887">
        <v>0</v>
      </c>
      <c r="M816" s="887">
        <v>0</v>
      </c>
      <c r="N816" s="887">
        <v>0</v>
      </c>
      <c r="O816" s="887">
        <f t="shared" si="332"/>
        <v>0</v>
      </c>
      <c r="P816" s="887">
        <f t="shared" si="333"/>
        <v>0</v>
      </c>
      <c r="Q816" s="1323"/>
      <c r="R816" s="1323"/>
      <c r="S816" s="1323"/>
      <c r="T816" s="1323"/>
      <c r="U816" s="1323"/>
      <c r="V816" s="1323"/>
      <c r="W816" s="1323"/>
      <c r="X816" s="1323"/>
      <c r="Y816" s="1323"/>
      <c r="Z816" s="1323"/>
    </row>
    <row r="817" spans="1:26" ht="18.75" hidden="1">
      <c r="A817" s="1319"/>
      <c r="B817" s="1324"/>
      <c r="C817" s="1320"/>
      <c r="D817" s="1324"/>
      <c r="E817" s="1320" t="s">
        <v>19</v>
      </c>
      <c r="F817" s="1320"/>
      <c r="G817" s="1322"/>
      <c r="H817" s="169" t="s">
        <v>12</v>
      </c>
      <c r="I817" s="1000"/>
      <c r="J817" s="1000"/>
      <c r="K817" s="1001"/>
      <c r="L817" s="887">
        <v>0</v>
      </c>
      <c r="M817" s="887">
        <v>0</v>
      </c>
      <c r="N817" s="887">
        <v>0</v>
      </c>
      <c r="O817" s="887">
        <f t="shared" si="332"/>
        <v>0</v>
      </c>
      <c r="P817" s="887">
        <f t="shared" si="333"/>
        <v>0</v>
      </c>
      <c r="Q817" s="1323"/>
      <c r="R817" s="1323"/>
      <c r="S817" s="1323"/>
      <c r="T817" s="1323"/>
      <c r="U817" s="1323"/>
      <c r="V817" s="1323"/>
      <c r="W817" s="1323"/>
      <c r="X817" s="1323"/>
      <c r="Y817" s="1323"/>
      <c r="Z817" s="1323"/>
    </row>
    <row r="818" spans="1:26" ht="19.5" hidden="1">
      <c r="A818" s="1332"/>
      <c r="B818" s="1333"/>
      <c r="C818" s="1320" t="s">
        <v>16</v>
      </c>
      <c r="D818" s="1478" t="s">
        <v>38</v>
      </c>
      <c r="E818" s="1356"/>
      <c r="F818" s="1356"/>
      <c r="G818" s="1357"/>
      <c r="H818" s="1113"/>
      <c r="I818" s="1000"/>
      <c r="J818" s="1000"/>
      <c r="K818" s="1001"/>
      <c r="L818" s="1001"/>
      <c r="M818" s="1001"/>
      <c r="N818" s="1001"/>
      <c r="O818" s="1001"/>
      <c r="P818" s="1001"/>
      <c r="Q818" s="1323"/>
      <c r="R818" s="1323"/>
      <c r="S818" s="1323"/>
      <c r="T818" s="1323"/>
      <c r="U818" s="1323"/>
      <c r="V818" s="1323"/>
      <c r="W818" s="1323"/>
      <c r="X818" s="1323"/>
      <c r="Y818" s="1323"/>
      <c r="Z818" s="1323"/>
    </row>
    <row r="819" spans="1:26" ht="19.5" hidden="1" thickBot="1">
      <c r="A819" s="1479"/>
      <c r="B819" s="1480"/>
      <c r="C819" s="1481"/>
      <c r="D819" s="1480"/>
      <c r="E819" s="1481" t="s">
        <v>324</v>
      </c>
      <c r="F819" s="1481"/>
      <c r="G819" s="1482"/>
      <c r="H819" s="817" t="s">
        <v>46</v>
      </c>
      <c r="I819" s="1483"/>
      <c r="J819" s="1483"/>
      <c r="K819" s="1484"/>
      <c r="L819" s="1484"/>
      <c r="M819" s="1484"/>
      <c r="N819" s="1484"/>
      <c r="O819" s="1484"/>
      <c r="P819" s="1484"/>
      <c r="Q819" s="1323"/>
      <c r="R819" s="1323"/>
      <c r="S819" s="1323"/>
      <c r="T819" s="1323"/>
      <c r="U819" s="1323"/>
      <c r="V819" s="1323"/>
      <c r="W819" s="1323"/>
      <c r="X819" s="1323"/>
      <c r="Y819" s="1323"/>
      <c r="Z819" s="1323"/>
    </row>
    <row r="820" spans="1:26" ht="19.5">
      <c r="A820" s="1485" t="s">
        <v>342</v>
      </c>
      <c r="B820" s="1486"/>
      <c r="C820" s="1486"/>
      <c r="D820" s="1487"/>
      <c r="E820" s="1486"/>
      <c r="F820" s="1486"/>
      <c r="G820" s="1488"/>
      <c r="H820" s="1489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0"/>
      <c r="J820" s="1490"/>
      <c r="K820" s="1491"/>
      <c r="L820" s="1491"/>
      <c r="M820" s="1491"/>
      <c r="N820" s="1491"/>
      <c r="O820" s="1491"/>
      <c r="P820" s="1491"/>
      <c r="Q820" s="1302"/>
      <c r="R820" s="1302"/>
      <c r="S820" s="1302"/>
      <c r="T820" s="1302"/>
      <c r="U820" s="1302"/>
      <c r="V820" s="1302"/>
      <c r="W820" s="1302"/>
      <c r="X820" s="1302"/>
      <c r="Y820" s="1302"/>
      <c r="Z820" s="1302"/>
    </row>
    <row r="821" spans="1:26" ht="18.75">
      <c r="A821" s="1429"/>
      <c r="B821" s="1301" t="s">
        <v>326</v>
      </c>
      <c r="C821" s="1301"/>
      <c r="D821" s="1300"/>
      <c r="E821" s="1301"/>
      <c r="F821" s="1301"/>
      <c r="G821" s="1016"/>
      <c r="H821" s="622" t="s">
        <v>12</v>
      </c>
      <c r="I821" s="880">
        <f ca="1">IFERROR(__xludf.DUMMYFUNCTION("IMPORTRANGE(""https://docs.google.com/spreadsheets/d/19vJNZY_5yjcGF2XGBMNZRCAIB0Kwfpjp8YEOfu-bneM/edit?usp=sharing"",""งานกองทุน!D79"")"),345143.53)</f>
        <v>345143.53</v>
      </c>
      <c r="J821" s="880">
        <f ca="1">IFERROR(__xludf.DUMMYFUNCTION("IMPORTRANGE(""https://docs.google.com/spreadsheets/d/19vJNZY_5yjcGF2XGBMNZRCAIB0Kwfpjp8YEOfu-bneM/edit?usp=sharing"",""งานกองทุน!F79"")"),287349.96)</f>
        <v>287349.96000000002</v>
      </c>
      <c r="K821" s="881">
        <f t="shared" ref="K821:K828" ca="1" si="334">IF(I821&gt;0,J821*100/I821,0)</f>
        <v>83.255206898996491</v>
      </c>
      <c r="L821" s="881"/>
      <c r="M821" s="881"/>
      <c r="N821" s="881"/>
      <c r="O821" s="881"/>
      <c r="P821" s="881"/>
      <c r="Q821" s="1302"/>
      <c r="R821" s="1302"/>
      <c r="S821" s="1302"/>
      <c r="T821" s="1302"/>
      <c r="U821" s="1302"/>
      <c r="V821" s="1302"/>
      <c r="W821" s="1302"/>
      <c r="X821" s="1302"/>
      <c r="Y821" s="1302"/>
      <c r="Z821" s="1302"/>
    </row>
    <row r="822" spans="1:26" ht="18.75">
      <c r="A822" s="1429"/>
      <c r="B822" s="1301"/>
      <c r="C822" s="1301"/>
      <c r="D822" s="1300"/>
      <c r="E822" s="1301"/>
      <c r="F822" s="1301"/>
      <c r="G822" s="1016"/>
      <c r="H822" s="622" t="s">
        <v>35</v>
      </c>
      <c r="I822" s="880">
        <f ca="1">IFERROR(__xludf.DUMMYFUNCTION("IMPORTRANGE(""https://docs.google.com/spreadsheets/d/19vJNZY_5yjcGF2XGBMNZRCAIB0Kwfpjp8YEOfu-bneM/edit?usp=sharing"",""งานกองทุน!C79"")"),29)</f>
        <v>29</v>
      </c>
      <c r="J822" s="880">
        <f ca="1">IFERROR(__xludf.DUMMYFUNCTION("IMPORTRANGE(""https://docs.google.com/spreadsheets/d/19vJNZY_5yjcGF2XGBMNZRCAIB0Kwfpjp8YEOfu-bneM/edit?usp=sharing"",""งานกองทุน!E79"")"),24)</f>
        <v>24</v>
      </c>
      <c r="K822" s="881">
        <f t="shared" ca="1" si="334"/>
        <v>82.758620689655174</v>
      </c>
      <c r="L822" s="881"/>
      <c r="M822" s="881"/>
      <c r="N822" s="881"/>
      <c r="O822" s="881"/>
      <c r="P822" s="881"/>
      <c r="Q822" s="1302"/>
      <c r="R822" s="1302"/>
      <c r="S822" s="1302"/>
      <c r="T822" s="1302"/>
      <c r="U822" s="1302"/>
      <c r="V822" s="1302"/>
      <c r="W822" s="1302"/>
      <c r="X822" s="1302"/>
      <c r="Y822" s="1302"/>
      <c r="Z822" s="1302"/>
    </row>
    <row r="823" spans="1:26" ht="18.75">
      <c r="A823" s="1429"/>
      <c r="B823" s="1301" t="s">
        <v>327</v>
      </c>
      <c r="C823" s="1301"/>
      <c r="D823" s="1300"/>
      <c r="E823" s="1301"/>
      <c r="F823" s="1301"/>
      <c r="G823" s="1016"/>
      <c r="H823" s="622" t="s">
        <v>12</v>
      </c>
      <c r="I823" s="880">
        <f ca="1">IFERROR(__xludf.DUMMYFUNCTION("IMPORTRANGE(""https://docs.google.com/spreadsheets/d/19vJNZY_5yjcGF2XGBMNZRCAIB0Kwfpjp8YEOfu-bneM/edit?usp=sharing"",""งานกองทุน!I79"")"),244042.17)</f>
        <v>244042.17</v>
      </c>
      <c r="J823" s="880">
        <f ca="1">IFERROR(__xludf.DUMMYFUNCTION("IMPORTRANGE(""https://docs.google.com/spreadsheets/d/19vJNZY_5yjcGF2XGBMNZRCAIB0Kwfpjp8YEOfu-bneM/edit?usp=sharing"",""งานกองทุน!K79"")"),18897.64)</f>
        <v>18897.64</v>
      </c>
      <c r="K823" s="881">
        <f t="shared" ca="1" si="334"/>
        <v>7.7435961170153496</v>
      </c>
      <c r="L823" s="881"/>
      <c r="M823" s="881"/>
      <c r="N823" s="881"/>
      <c r="O823" s="881"/>
      <c r="P823" s="881"/>
      <c r="Q823" s="1302"/>
      <c r="R823" s="1302"/>
      <c r="S823" s="1302"/>
      <c r="T823" s="1302"/>
      <c r="U823" s="1302"/>
      <c r="V823" s="1302"/>
      <c r="W823" s="1302"/>
      <c r="X823" s="1302"/>
      <c r="Y823" s="1302"/>
      <c r="Z823" s="1302"/>
    </row>
    <row r="824" spans="1:26" ht="18.75">
      <c r="A824" s="1429"/>
      <c r="B824" s="1301"/>
      <c r="C824" s="1301"/>
      <c r="D824" s="1300"/>
      <c r="E824" s="1301"/>
      <c r="F824" s="1301"/>
      <c r="G824" s="1016"/>
      <c r="H824" s="622" t="s">
        <v>35</v>
      </c>
      <c r="I824" s="880">
        <f ca="1">IFERROR(__xludf.DUMMYFUNCTION("IMPORTRANGE(""https://docs.google.com/spreadsheets/d/19vJNZY_5yjcGF2XGBMNZRCAIB0Kwfpjp8YEOfu-bneM/edit?usp=sharing"",""งานกองทุน!H79"")"),9)</f>
        <v>9</v>
      </c>
      <c r="J824" s="880">
        <f ca="1">IFERROR(__xludf.DUMMYFUNCTION("IMPORTRANGE(""https://docs.google.com/spreadsheets/d/19vJNZY_5yjcGF2XGBMNZRCAIB0Kwfpjp8YEOfu-bneM/edit?usp=sharing"",""งานกองทุน!J79"")"),8)</f>
        <v>8</v>
      </c>
      <c r="K824" s="881">
        <f t="shared" ca="1" si="334"/>
        <v>88.888888888888886</v>
      </c>
      <c r="L824" s="881"/>
      <c r="M824" s="881"/>
      <c r="N824" s="881"/>
      <c r="O824" s="881"/>
      <c r="P824" s="881"/>
      <c r="Q824" s="1302"/>
      <c r="R824" s="1302"/>
      <c r="S824" s="1302"/>
      <c r="T824" s="1302"/>
      <c r="U824" s="1302"/>
      <c r="V824" s="1302"/>
      <c r="W824" s="1302"/>
      <c r="X824" s="1302"/>
      <c r="Y824" s="1302"/>
      <c r="Z824" s="1302"/>
    </row>
    <row r="825" spans="1:26" ht="18.75">
      <c r="A825" s="1429"/>
      <c r="B825" s="1301" t="s">
        <v>328</v>
      </c>
      <c r="C825" s="1301"/>
      <c r="D825" s="1300"/>
      <c r="E825" s="1301"/>
      <c r="F825" s="1301"/>
      <c r="G825" s="1016"/>
      <c r="H825" s="622" t="s">
        <v>12</v>
      </c>
      <c r="I825" s="880">
        <f ca="1">IFERROR(__xludf.DUMMYFUNCTION("IMPORTRANGE(""https://docs.google.com/spreadsheets/d/19vJNZY_5yjcGF2XGBMNZRCAIB0Kwfpjp8YEOfu-bneM/edit?usp=sharing"",""งานกองทุน!N79"")"),91681.58)</f>
        <v>91681.58</v>
      </c>
      <c r="J825" s="880">
        <f ca="1">IFERROR(__xludf.DUMMYFUNCTION("IMPORTRANGE(""https://docs.google.com/spreadsheets/d/19vJNZY_5yjcGF2XGBMNZRCAIB0Kwfpjp8YEOfu-bneM/edit?usp=sharing"",""งานกองทุน!P79"")"),5790.62)</f>
        <v>5790.62</v>
      </c>
      <c r="K825" s="881">
        <f t="shared" ca="1" si="334"/>
        <v>6.3160124421939496</v>
      </c>
      <c r="L825" s="881"/>
      <c r="M825" s="881"/>
      <c r="N825" s="881"/>
      <c r="O825" s="881"/>
      <c r="P825" s="881"/>
      <c r="Q825" s="1302"/>
      <c r="R825" s="1302"/>
      <c r="S825" s="1302"/>
      <c r="T825" s="1302"/>
      <c r="U825" s="1302"/>
      <c r="V825" s="1302"/>
      <c r="W825" s="1302"/>
      <c r="X825" s="1302"/>
      <c r="Y825" s="1302"/>
      <c r="Z825" s="1302"/>
    </row>
    <row r="826" spans="1:26" ht="18.75">
      <c r="A826" s="1429"/>
      <c r="B826" s="1301"/>
      <c r="C826" s="1301"/>
      <c r="D826" s="1300"/>
      <c r="E826" s="1301"/>
      <c r="F826" s="1301"/>
      <c r="G826" s="1016"/>
      <c r="H826" s="622" t="s">
        <v>35</v>
      </c>
      <c r="I826" s="880">
        <f ca="1">IFERROR(__xludf.DUMMYFUNCTION("IMPORTRANGE(""https://docs.google.com/spreadsheets/d/19vJNZY_5yjcGF2XGBMNZRCAIB0Kwfpjp8YEOfu-bneM/edit?usp=sharing"",""งานกองทุน!M79"")"),172)</f>
        <v>172</v>
      </c>
      <c r="J826" s="880">
        <f ca="1">IFERROR(__xludf.DUMMYFUNCTION("IMPORTRANGE(""https://docs.google.com/spreadsheets/d/19vJNZY_5yjcGF2XGBMNZRCAIB0Kwfpjp8YEOfu-bneM/edit?usp=sharing"",""งานกองทุน!O79"")"),26)</f>
        <v>26</v>
      </c>
      <c r="K826" s="881">
        <f t="shared" ca="1" si="334"/>
        <v>15.116279069767442</v>
      </c>
      <c r="L826" s="881"/>
      <c r="M826" s="881"/>
      <c r="N826" s="881"/>
      <c r="O826" s="881"/>
      <c r="P826" s="881"/>
      <c r="Q826" s="1302"/>
      <c r="R826" s="1302"/>
      <c r="S826" s="1302"/>
      <c r="T826" s="1302"/>
      <c r="U826" s="1302"/>
      <c r="V826" s="1302"/>
      <c r="W826" s="1302"/>
      <c r="X826" s="1302"/>
      <c r="Y826" s="1302"/>
      <c r="Z826" s="1302"/>
    </row>
    <row r="827" spans="1:26" ht="18.75">
      <c r="A827" s="1429"/>
      <c r="B827" s="1301" t="s">
        <v>329</v>
      </c>
      <c r="C827" s="1301"/>
      <c r="D827" s="1300"/>
      <c r="E827" s="1301"/>
      <c r="F827" s="1301"/>
      <c r="G827" s="1016"/>
      <c r="H827" s="622" t="s">
        <v>12</v>
      </c>
      <c r="I827" s="880">
        <f ca="1">IFERROR(__xludf.DUMMYFUNCTION("IMPORTRANGE(""https://docs.google.com/spreadsheets/d/19vJNZY_5yjcGF2XGBMNZRCAIB0Kwfpjp8YEOfu-bneM/edit?usp=sharing"",""งานกองทุน!S79"")"),330000)</f>
        <v>330000</v>
      </c>
      <c r="J827" s="880">
        <f ca="1">IFERROR(__xludf.DUMMYFUNCTION("IMPORTRANGE(""https://docs.google.com/spreadsheets/d/19vJNZY_5yjcGF2XGBMNZRCAIB0Kwfpjp8YEOfu-bneM/edit?usp=sharing"",""งานกองทุน!U79"")"),300000)</f>
        <v>300000</v>
      </c>
      <c r="K827" s="881">
        <f t="shared" ca="1" si="334"/>
        <v>90.909090909090907</v>
      </c>
      <c r="L827" s="881"/>
      <c r="M827" s="881"/>
      <c r="N827" s="881"/>
      <c r="O827" s="881"/>
      <c r="P827" s="881"/>
      <c r="Q827" s="1302"/>
      <c r="R827" s="1302"/>
      <c r="S827" s="1302"/>
      <c r="T827" s="1302"/>
      <c r="U827" s="1302"/>
      <c r="V827" s="1302"/>
      <c r="W827" s="1302"/>
      <c r="X827" s="1302"/>
      <c r="Y827" s="1302"/>
      <c r="Z827" s="1302"/>
    </row>
    <row r="828" spans="1:26" ht="18.75">
      <c r="A828" s="1430"/>
      <c r="B828" s="1432"/>
      <c r="C828" s="1432"/>
      <c r="D828" s="1431"/>
      <c r="E828" s="1432"/>
      <c r="F828" s="1432"/>
      <c r="G828" s="1492"/>
      <c r="H828" s="827" t="s">
        <v>35</v>
      </c>
      <c r="I828" s="1138">
        <f ca="1">IFERROR(__xludf.DUMMYFUNCTION("IMPORTRANGE(""https://docs.google.com/spreadsheets/d/19vJNZY_5yjcGF2XGBMNZRCAIB0Kwfpjp8YEOfu-bneM/edit?usp=sharing"",""งานกองทุน!R79"")"),13)</f>
        <v>13</v>
      </c>
      <c r="J828" s="1138">
        <f ca="1">IFERROR(__xludf.DUMMYFUNCTION("IMPORTRANGE(""https://docs.google.com/spreadsheets/d/19vJNZY_5yjcGF2XGBMNZRCAIB0Kwfpjp8YEOfu-bneM/edit?usp=sharing"",""งานกองทุน!T79"")"),10)</f>
        <v>10</v>
      </c>
      <c r="K828" s="1239">
        <f t="shared" ca="1" si="334"/>
        <v>76.92307692307692</v>
      </c>
      <c r="L828" s="1239"/>
      <c r="M828" s="1239"/>
      <c r="N828" s="1239"/>
      <c r="O828" s="1239"/>
      <c r="P828" s="1239"/>
      <c r="Q828" s="1302"/>
      <c r="R828" s="1302"/>
      <c r="S828" s="1302"/>
      <c r="T828" s="1302"/>
      <c r="U828" s="1302"/>
      <c r="V828" s="1302"/>
      <c r="W828" s="1302"/>
      <c r="X828" s="1302"/>
      <c r="Y828" s="1302"/>
      <c r="Z828" s="130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C7A77-4B82-42F1-AD12-C126BF8F6EDC}">
  <sheetPr>
    <outlinePr summaryBelow="0" summaryRight="0"/>
    <pageSetUpPr fitToPage="1"/>
  </sheetPr>
  <dimension ref="A1:Z828"/>
  <sheetViews>
    <sheetView zoomScale="85" zoomScaleNormal="85" workbookViewId="0">
      <pane ySplit="7" topLeftCell="A8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52" customWidth="1"/>
    <col min="4" max="6" width="5.85546875" style="852" customWidth="1"/>
    <col min="7" max="7" width="56.42578125" style="852" customWidth="1"/>
    <col min="8" max="8" width="9.42578125" style="852" customWidth="1"/>
    <col min="9" max="9" width="16.140625" style="852" bestFit="1" customWidth="1"/>
    <col min="10" max="10" width="13.7109375" style="852" bestFit="1" customWidth="1"/>
    <col min="11" max="11" width="13.28515625" style="852" bestFit="1" customWidth="1"/>
    <col min="12" max="15" width="20.28515625" style="852" bestFit="1" customWidth="1"/>
    <col min="16" max="16" width="22.140625" style="852" bestFit="1" customWidth="1"/>
    <col min="17" max="16384" width="12.5703125" style="852"/>
  </cols>
  <sheetData>
    <row r="1" spans="1:26" ht="19.5">
      <c r="A1" s="828" t="s">
        <v>0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51"/>
    </row>
    <row r="2" spans="1:26" ht="19.5">
      <c r="A2" s="828" t="s">
        <v>343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</row>
    <row r="3" spans="1:26" ht="19.5">
      <c r="A3" s="828" t="s">
        <v>330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</row>
    <row r="4" spans="1:26" ht="12.75">
      <c r="A4" s="853"/>
      <c r="B4" s="853"/>
      <c r="C4" s="853"/>
      <c r="D4" s="853"/>
      <c r="E4" s="853"/>
      <c r="F4" s="853"/>
      <c r="G4" s="853"/>
      <c r="H4" s="853"/>
      <c r="I4" s="853"/>
      <c r="J4" s="854"/>
      <c r="K4" s="855"/>
      <c r="L4" s="854"/>
      <c r="M4" s="854"/>
      <c r="N4" s="854"/>
      <c r="O4" s="853"/>
      <c r="P4" s="853"/>
    </row>
    <row r="5" spans="1:26" ht="19.5">
      <c r="A5" s="836" t="s">
        <v>2</v>
      </c>
      <c r="B5" s="851"/>
      <c r="C5" s="851"/>
      <c r="D5" s="851"/>
      <c r="E5" s="851"/>
      <c r="F5" s="851"/>
      <c r="G5" s="837"/>
      <c r="H5" s="830" t="s">
        <v>3</v>
      </c>
      <c r="I5" s="832" t="s">
        <v>4</v>
      </c>
      <c r="J5" s="833"/>
      <c r="K5" s="831"/>
      <c r="L5" s="834" t="s">
        <v>5</v>
      </c>
      <c r="M5" s="831"/>
      <c r="N5" s="835" t="s">
        <v>6</v>
      </c>
      <c r="O5" s="833"/>
      <c r="P5" s="831"/>
    </row>
    <row r="6" spans="1:26" ht="19.5">
      <c r="A6" s="838"/>
      <c r="B6" s="833"/>
      <c r="C6" s="833"/>
      <c r="D6" s="833"/>
      <c r="E6" s="833"/>
      <c r="F6" s="833"/>
      <c r="G6" s="831"/>
      <c r="H6" s="83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6" t="s">
        <v>15</v>
      </c>
      <c r="B7" s="833"/>
      <c r="C7" s="833"/>
      <c r="D7" s="833"/>
      <c r="E7" s="833"/>
      <c r="F7" s="833"/>
      <c r="G7" s="831"/>
      <c r="H7" s="857"/>
      <c r="I7" s="858"/>
      <c r="J7" s="858"/>
      <c r="K7" s="859"/>
      <c r="L7" s="859"/>
      <c r="M7" s="859"/>
      <c r="N7" s="859"/>
      <c r="O7" s="859"/>
      <c r="P7" s="859"/>
    </row>
    <row r="8" spans="1:26" ht="19.5">
      <c r="A8" s="860"/>
      <c r="B8" s="861"/>
      <c r="C8" s="862" t="s">
        <v>16</v>
      </c>
      <c r="D8" s="863" t="s">
        <v>17</v>
      </c>
      <c r="E8" s="861"/>
      <c r="F8" s="861"/>
      <c r="G8" s="864"/>
      <c r="H8" s="19" t="s">
        <v>12</v>
      </c>
      <c r="I8" s="865"/>
      <c r="J8" s="865"/>
      <c r="K8" s="866"/>
      <c r="L8" s="867">
        <f t="shared" ref="L8:N8" ca="1" si="0">L9+L10</f>
        <v>3009713</v>
      </c>
      <c r="M8" s="867">
        <f t="shared" ca="1" si="0"/>
        <v>2608859</v>
      </c>
      <c r="N8" s="867">
        <f t="shared" ca="1" si="0"/>
        <v>1619528.26</v>
      </c>
      <c r="O8" s="867">
        <f t="shared" ref="O8:O16" ca="1" si="1">IF(L8&gt;0,N8*100/L8,0)</f>
        <v>53.810056307694452</v>
      </c>
      <c r="P8" s="867">
        <f t="shared" ref="P8:P16" ca="1" si="2">IF(M8&gt;0,N8*100/M8,0)</f>
        <v>62.078029514051927</v>
      </c>
      <c r="Q8" s="868"/>
      <c r="R8" s="868"/>
      <c r="S8" s="868"/>
      <c r="T8" s="868"/>
      <c r="U8" s="868"/>
      <c r="V8" s="868"/>
      <c r="W8" s="868"/>
      <c r="X8" s="868"/>
      <c r="Y8" s="868"/>
      <c r="Z8" s="868"/>
    </row>
    <row r="9" spans="1:26" ht="18.75" hidden="1">
      <c r="A9" s="869"/>
      <c r="B9" s="870"/>
      <c r="C9" s="870"/>
      <c r="D9" s="870"/>
      <c r="E9" s="871" t="s">
        <v>18</v>
      </c>
      <c r="F9" s="870"/>
      <c r="G9" s="872"/>
      <c r="H9" s="28" t="s">
        <v>12</v>
      </c>
      <c r="I9" s="873"/>
      <c r="J9" s="873"/>
      <c r="K9" s="874"/>
      <c r="L9" s="874">
        <f t="shared" ref="L9:N10" si="3">L12+L15</f>
        <v>0</v>
      </c>
      <c r="M9" s="874">
        <f t="shared" si="3"/>
        <v>0</v>
      </c>
      <c r="N9" s="874">
        <f t="shared" si="3"/>
        <v>0</v>
      </c>
      <c r="O9" s="874">
        <f t="shared" si="1"/>
        <v>0</v>
      </c>
      <c r="P9" s="874">
        <f t="shared" si="2"/>
        <v>0</v>
      </c>
      <c r="Q9" s="875"/>
      <c r="R9" s="875"/>
      <c r="S9" s="875"/>
      <c r="T9" s="875"/>
      <c r="U9" s="875"/>
      <c r="V9" s="875"/>
      <c r="W9" s="875"/>
      <c r="X9" s="875"/>
      <c r="Y9" s="875"/>
      <c r="Z9" s="875"/>
    </row>
    <row r="10" spans="1:26" ht="18.75" hidden="1">
      <c r="A10" s="869"/>
      <c r="B10" s="870"/>
      <c r="C10" s="870"/>
      <c r="D10" s="870"/>
      <c r="E10" s="871" t="s">
        <v>19</v>
      </c>
      <c r="F10" s="870"/>
      <c r="G10" s="872"/>
      <c r="H10" s="28" t="s">
        <v>12</v>
      </c>
      <c r="I10" s="873"/>
      <c r="J10" s="873"/>
      <c r="K10" s="874"/>
      <c r="L10" s="874">
        <f t="shared" ca="1" si="3"/>
        <v>3009713</v>
      </c>
      <c r="M10" s="874">
        <f t="shared" ca="1" si="3"/>
        <v>2608859</v>
      </c>
      <c r="N10" s="874">
        <f t="shared" ca="1" si="3"/>
        <v>1619528.26</v>
      </c>
      <c r="O10" s="874">
        <f t="shared" ca="1" si="1"/>
        <v>53.810056307694452</v>
      </c>
      <c r="P10" s="874">
        <f t="shared" ca="1" si="2"/>
        <v>62.078029514051927</v>
      </c>
      <c r="Q10" s="875"/>
      <c r="R10" s="875"/>
      <c r="S10" s="875"/>
      <c r="T10" s="875"/>
      <c r="U10" s="875"/>
      <c r="V10" s="875"/>
      <c r="W10" s="875"/>
      <c r="X10" s="875"/>
      <c r="Y10" s="875"/>
      <c r="Z10" s="875"/>
    </row>
    <row r="11" spans="1:26" ht="18.75">
      <c r="A11" s="876"/>
      <c r="B11" s="877"/>
      <c r="C11" s="877"/>
      <c r="D11" s="878" t="s">
        <v>20</v>
      </c>
      <c r="E11" s="877"/>
      <c r="F11" s="877"/>
      <c r="G11" s="879"/>
      <c r="H11" s="622" t="s">
        <v>12</v>
      </c>
      <c r="I11" s="880"/>
      <c r="J11" s="880"/>
      <c r="K11" s="881"/>
      <c r="L11" s="881">
        <f t="shared" ref="L11:N11" ca="1" si="4">L12+L13</f>
        <v>2933713</v>
      </c>
      <c r="M11" s="881">
        <f t="shared" ca="1" si="4"/>
        <v>2532859</v>
      </c>
      <c r="N11" s="881">
        <f t="shared" ca="1" si="4"/>
        <v>1543528.26</v>
      </c>
      <c r="O11" s="881">
        <f t="shared" ca="1" si="1"/>
        <v>52.613471733601756</v>
      </c>
      <c r="P11" s="881">
        <f t="shared" ca="1" si="2"/>
        <v>60.940157347882376</v>
      </c>
      <c r="Q11" s="868"/>
      <c r="R11" s="868"/>
      <c r="S11" s="868"/>
      <c r="T11" s="868"/>
      <c r="U11" s="868"/>
      <c r="V11" s="868"/>
      <c r="W11" s="868"/>
      <c r="X11" s="868"/>
      <c r="Y11" s="868"/>
      <c r="Z11" s="868"/>
    </row>
    <row r="12" spans="1:26" ht="18.75" hidden="1">
      <c r="A12" s="882"/>
      <c r="B12" s="883"/>
      <c r="C12" s="883"/>
      <c r="D12" s="883"/>
      <c r="E12" s="884" t="s">
        <v>18</v>
      </c>
      <c r="F12" s="883"/>
      <c r="G12" s="885"/>
      <c r="H12" s="43" t="s">
        <v>12</v>
      </c>
      <c r="I12" s="886"/>
      <c r="J12" s="886"/>
      <c r="K12" s="887"/>
      <c r="L12" s="887">
        <f t="shared" ref="L12:N13" si="5">L22+L32</f>
        <v>0</v>
      </c>
      <c r="M12" s="887">
        <f t="shared" si="5"/>
        <v>0</v>
      </c>
      <c r="N12" s="887">
        <f t="shared" si="5"/>
        <v>0</v>
      </c>
      <c r="O12" s="887">
        <f t="shared" si="1"/>
        <v>0</v>
      </c>
      <c r="P12" s="887">
        <f t="shared" si="2"/>
        <v>0</v>
      </c>
      <c r="Q12" s="875"/>
      <c r="R12" s="875"/>
      <c r="S12" s="875"/>
      <c r="T12" s="875"/>
      <c r="U12" s="875"/>
      <c r="V12" s="875"/>
      <c r="W12" s="875"/>
      <c r="X12" s="875"/>
      <c r="Y12" s="875"/>
      <c r="Z12" s="875"/>
    </row>
    <row r="13" spans="1:26" ht="18.75" hidden="1">
      <c r="A13" s="882"/>
      <c r="B13" s="883"/>
      <c r="C13" s="883"/>
      <c r="D13" s="883"/>
      <c r="E13" s="884" t="s">
        <v>19</v>
      </c>
      <c r="F13" s="883"/>
      <c r="G13" s="885"/>
      <c r="H13" s="43" t="s">
        <v>12</v>
      </c>
      <c r="I13" s="886"/>
      <c r="J13" s="886"/>
      <c r="K13" s="887"/>
      <c r="L13" s="887">
        <f t="shared" ca="1" si="5"/>
        <v>2933713</v>
      </c>
      <c r="M13" s="887">
        <f t="shared" ca="1" si="5"/>
        <v>2532859</v>
      </c>
      <c r="N13" s="887">
        <f t="shared" ca="1" si="5"/>
        <v>1543528.26</v>
      </c>
      <c r="O13" s="887">
        <f t="shared" ca="1" si="1"/>
        <v>52.613471733601756</v>
      </c>
      <c r="P13" s="887">
        <f t="shared" ca="1" si="2"/>
        <v>60.940157347882376</v>
      </c>
      <c r="Q13" s="875"/>
      <c r="R13" s="875"/>
      <c r="S13" s="875"/>
      <c r="T13" s="875"/>
      <c r="U13" s="875"/>
      <c r="V13" s="875"/>
      <c r="W13" s="875"/>
      <c r="X13" s="875"/>
      <c r="Y13" s="875"/>
      <c r="Z13" s="875"/>
    </row>
    <row r="14" spans="1:26" ht="18.75">
      <c r="A14" s="876"/>
      <c r="B14" s="877"/>
      <c r="C14" s="877"/>
      <c r="D14" s="878" t="s">
        <v>21</v>
      </c>
      <c r="E14" s="877"/>
      <c r="F14" s="877"/>
      <c r="G14" s="879"/>
      <c r="H14" s="622" t="s">
        <v>12</v>
      </c>
      <c r="I14" s="880"/>
      <c r="J14" s="880"/>
      <c r="K14" s="881"/>
      <c r="L14" s="881">
        <f t="shared" ref="L14:N14" ca="1" si="6">L15+L16</f>
        <v>76000</v>
      </c>
      <c r="M14" s="881">
        <f t="shared" ca="1" si="6"/>
        <v>76000</v>
      </c>
      <c r="N14" s="881">
        <f t="shared" ca="1" si="6"/>
        <v>76000</v>
      </c>
      <c r="O14" s="881">
        <f t="shared" ca="1" si="1"/>
        <v>100</v>
      </c>
      <c r="P14" s="881">
        <f t="shared" ca="1" si="2"/>
        <v>100</v>
      </c>
      <c r="Q14" s="868"/>
      <c r="R14" s="868"/>
      <c r="S14" s="868"/>
      <c r="T14" s="868"/>
      <c r="U14" s="868"/>
      <c r="V14" s="868"/>
      <c r="W14" s="868"/>
      <c r="X14" s="868"/>
      <c r="Y14" s="868"/>
      <c r="Z14" s="868"/>
    </row>
    <row r="15" spans="1:26" ht="18.75" hidden="1">
      <c r="A15" s="882"/>
      <c r="B15" s="883"/>
      <c r="C15" s="883"/>
      <c r="D15" s="883"/>
      <c r="E15" s="884" t="s">
        <v>18</v>
      </c>
      <c r="F15" s="883"/>
      <c r="G15" s="885"/>
      <c r="H15" s="43" t="s">
        <v>12</v>
      </c>
      <c r="I15" s="886"/>
      <c r="J15" s="886"/>
      <c r="K15" s="887"/>
      <c r="L15" s="887">
        <f t="shared" ref="L15:N16" si="7">L25+L35</f>
        <v>0</v>
      </c>
      <c r="M15" s="887">
        <f t="shared" si="7"/>
        <v>0</v>
      </c>
      <c r="N15" s="887">
        <f t="shared" si="7"/>
        <v>0</v>
      </c>
      <c r="O15" s="887">
        <f t="shared" si="1"/>
        <v>0</v>
      </c>
      <c r="P15" s="887">
        <f t="shared" si="2"/>
        <v>0</v>
      </c>
      <c r="Q15" s="875"/>
      <c r="R15" s="875"/>
      <c r="S15" s="875"/>
      <c r="T15" s="875"/>
      <c r="U15" s="875"/>
      <c r="V15" s="875"/>
      <c r="W15" s="875"/>
      <c r="X15" s="875"/>
      <c r="Y15" s="875"/>
      <c r="Z15" s="875"/>
    </row>
    <row r="16" spans="1:26" ht="18.75" hidden="1">
      <c r="A16" s="888"/>
      <c r="B16" s="889"/>
      <c r="C16" s="889"/>
      <c r="D16" s="889"/>
      <c r="E16" s="890" t="s">
        <v>19</v>
      </c>
      <c r="F16" s="889"/>
      <c r="G16" s="891"/>
      <c r="H16" s="50" t="s">
        <v>12</v>
      </c>
      <c r="I16" s="892"/>
      <c r="J16" s="892"/>
      <c r="K16" s="893"/>
      <c r="L16" s="893">
        <f t="shared" ca="1" si="7"/>
        <v>76000</v>
      </c>
      <c r="M16" s="893">
        <f t="shared" ca="1" si="7"/>
        <v>76000</v>
      </c>
      <c r="N16" s="893">
        <f t="shared" ca="1" si="7"/>
        <v>76000</v>
      </c>
      <c r="O16" s="893">
        <f t="shared" ca="1" si="1"/>
        <v>100</v>
      </c>
      <c r="P16" s="893">
        <f t="shared" ca="1" si="2"/>
        <v>100</v>
      </c>
      <c r="Q16" s="875"/>
      <c r="R16" s="875"/>
      <c r="S16" s="875"/>
      <c r="T16" s="875"/>
      <c r="U16" s="875"/>
      <c r="V16" s="875"/>
      <c r="W16" s="875"/>
      <c r="X16" s="875"/>
      <c r="Y16" s="875"/>
      <c r="Z16" s="875"/>
    </row>
    <row r="17" spans="1:26" ht="19.5">
      <c r="A17" s="856" t="s">
        <v>22</v>
      </c>
      <c r="B17" s="833"/>
      <c r="C17" s="833"/>
      <c r="D17" s="833"/>
      <c r="E17" s="833"/>
      <c r="F17" s="833"/>
      <c r="G17" s="831"/>
      <c r="H17" s="857"/>
      <c r="I17" s="858"/>
      <c r="J17" s="858"/>
      <c r="K17" s="859"/>
      <c r="L17" s="859"/>
      <c r="M17" s="859"/>
      <c r="N17" s="859"/>
      <c r="O17" s="859"/>
      <c r="P17" s="859"/>
    </row>
    <row r="18" spans="1:26" ht="19.5">
      <c r="A18" s="860"/>
      <c r="B18" s="861"/>
      <c r="C18" s="862" t="s">
        <v>16</v>
      </c>
      <c r="D18" s="863" t="s">
        <v>17</v>
      </c>
      <c r="E18" s="861"/>
      <c r="F18" s="861"/>
      <c r="G18" s="864"/>
      <c r="H18" s="19" t="s">
        <v>12</v>
      </c>
      <c r="I18" s="865"/>
      <c r="J18" s="865"/>
      <c r="K18" s="866"/>
      <c r="L18" s="867">
        <f t="shared" ref="L18:N18" ca="1" si="8">L19+L20</f>
        <v>2425392</v>
      </c>
      <c r="M18" s="867">
        <f t="shared" ca="1" si="8"/>
        <v>2024538</v>
      </c>
      <c r="N18" s="867">
        <f t="shared" ca="1" si="8"/>
        <v>1364172.26</v>
      </c>
      <c r="O18" s="867">
        <f t="shared" ref="O18:O26" ca="1" si="9">IF(L18&gt;0,N18*100/L18,0)</f>
        <v>56.245434140130747</v>
      </c>
      <c r="P18" s="867">
        <f t="shared" ref="P18:P26" ca="1" si="10">IF(M18&gt;0,N18*100/M18,0)</f>
        <v>67.381904414735615</v>
      </c>
      <c r="Q18" s="868"/>
      <c r="R18" s="868"/>
      <c r="S18" s="868"/>
      <c r="T18" s="868"/>
      <c r="U18" s="868"/>
      <c r="V18" s="868"/>
      <c r="W18" s="868"/>
      <c r="X18" s="868"/>
      <c r="Y18" s="868"/>
      <c r="Z18" s="868"/>
    </row>
    <row r="19" spans="1:26" ht="18.75" hidden="1">
      <c r="A19" s="869"/>
      <c r="B19" s="870"/>
      <c r="C19" s="870"/>
      <c r="D19" s="870"/>
      <c r="E19" s="871" t="s">
        <v>18</v>
      </c>
      <c r="F19" s="870"/>
      <c r="G19" s="872"/>
      <c r="H19" s="28" t="s">
        <v>12</v>
      </c>
      <c r="I19" s="873"/>
      <c r="J19" s="873"/>
      <c r="K19" s="874"/>
      <c r="L19" s="874">
        <f t="shared" ref="L19:N20" si="11">L22+L25</f>
        <v>0</v>
      </c>
      <c r="M19" s="874">
        <f t="shared" si="11"/>
        <v>0</v>
      </c>
      <c r="N19" s="874">
        <f t="shared" si="11"/>
        <v>0</v>
      </c>
      <c r="O19" s="874">
        <f t="shared" si="9"/>
        <v>0</v>
      </c>
      <c r="P19" s="874">
        <f t="shared" si="10"/>
        <v>0</v>
      </c>
      <c r="Q19" s="875"/>
      <c r="R19" s="875"/>
      <c r="S19" s="875"/>
      <c r="T19" s="875"/>
      <c r="U19" s="875"/>
      <c r="V19" s="875"/>
      <c r="W19" s="875"/>
      <c r="X19" s="875"/>
      <c r="Y19" s="875"/>
      <c r="Z19" s="875"/>
    </row>
    <row r="20" spans="1:26" ht="18.75" hidden="1">
      <c r="A20" s="869"/>
      <c r="B20" s="870"/>
      <c r="C20" s="870"/>
      <c r="D20" s="870"/>
      <c r="E20" s="871" t="s">
        <v>19</v>
      </c>
      <c r="F20" s="870"/>
      <c r="G20" s="872"/>
      <c r="H20" s="28" t="s">
        <v>12</v>
      </c>
      <c r="I20" s="873"/>
      <c r="J20" s="873"/>
      <c r="K20" s="874"/>
      <c r="L20" s="874">
        <f t="shared" ca="1" si="11"/>
        <v>2425392</v>
      </c>
      <c r="M20" s="874">
        <f t="shared" ca="1" si="11"/>
        <v>2024538</v>
      </c>
      <c r="N20" s="874">
        <f t="shared" ca="1" si="11"/>
        <v>1364172.26</v>
      </c>
      <c r="O20" s="874">
        <f t="shared" ca="1" si="9"/>
        <v>56.245434140130747</v>
      </c>
      <c r="P20" s="874">
        <f t="shared" ca="1" si="10"/>
        <v>67.381904414735615</v>
      </c>
      <c r="Q20" s="875"/>
      <c r="R20" s="875"/>
      <c r="S20" s="875"/>
      <c r="T20" s="875"/>
      <c r="U20" s="875"/>
      <c r="V20" s="875"/>
      <c r="W20" s="875"/>
      <c r="X20" s="875"/>
      <c r="Y20" s="875"/>
      <c r="Z20" s="875"/>
    </row>
    <row r="21" spans="1:26" ht="18.75">
      <c r="A21" s="876"/>
      <c r="B21" s="877"/>
      <c r="C21" s="877"/>
      <c r="D21" s="878" t="s">
        <v>20</v>
      </c>
      <c r="E21" s="877"/>
      <c r="F21" s="877"/>
      <c r="G21" s="879"/>
      <c r="H21" s="622" t="s">
        <v>12</v>
      </c>
      <c r="I21" s="880"/>
      <c r="J21" s="880"/>
      <c r="K21" s="881"/>
      <c r="L21" s="881">
        <f t="shared" ref="L21:N21" ca="1" si="12">L22+L23</f>
        <v>2349392</v>
      </c>
      <c r="M21" s="881">
        <f t="shared" ca="1" si="12"/>
        <v>1948538</v>
      </c>
      <c r="N21" s="881">
        <f t="shared" ca="1" si="12"/>
        <v>1288172.26</v>
      </c>
      <c r="O21" s="881">
        <f t="shared" ca="1" si="9"/>
        <v>54.830026662217286</v>
      </c>
      <c r="P21" s="881">
        <f t="shared" ca="1" si="10"/>
        <v>66.109681207140937</v>
      </c>
      <c r="Q21" s="868"/>
      <c r="R21" s="868"/>
      <c r="S21" s="868"/>
      <c r="T21" s="868"/>
      <c r="U21" s="868"/>
      <c r="V21" s="868"/>
      <c r="W21" s="868"/>
      <c r="X21" s="868"/>
      <c r="Y21" s="868"/>
      <c r="Z21" s="868"/>
    </row>
    <row r="22" spans="1:26" ht="18.75" hidden="1">
      <c r="A22" s="882"/>
      <c r="B22" s="883"/>
      <c r="C22" s="883"/>
      <c r="D22" s="883"/>
      <c r="E22" s="884" t="s">
        <v>18</v>
      </c>
      <c r="F22" s="883"/>
      <c r="G22" s="885"/>
      <c r="H22" s="43" t="s">
        <v>12</v>
      </c>
      <c r="I22" s="886"/>
      <c r="J22" s="886"/>
      <c r="K22" s="887"/>
      <c r="L22" s="887">
        <f t="shared" ref="L22:N23" si="13">L45+L57+L70+L92+L123+L136+L153+L185+L169+L265+L281+L302+L319+L332+L349+L393+L406</f>
        <v>0</v>
      </c>
      <c r="M22" s="887">
        <f t="shared" si="13"/>
        <v>0</v>
      </c>
      <c r="N22" s="887">
        <f t="shared" si="13"/>
        <v>0</v>
      </c>
      <c r="O22" s="887">
        <f t="shared" si="9"/>
        <v>0</v>
      </c>
      <c r="P22" s="887">
        <f t="shared" si="10"/>
        <v>0</v>
      </c>
      <c r="Q22" s="875"/>
      <c r="R22" s="875"/>
      <c r="S22" s="875"/>
      <c r="T22" s="875"/>
      <c r="U22" s="875"/>
      <c r="V22" s="875"/>
      <c r="W22" s="875"/>
      <c r="X22" s="875"/>
      <c r="Y22" s="875"/>
      <c r="Z22" s="875"/>
    </row>
    <row r="23" spans="1:26" ht="18.75" hidden="1">
      <c r="A23" s="882"/>
      <c r="B23" s="883"/>
      <c r="C23" s="883"/>
      <c r="D23" s="883"/>
      <c r="E23" s="884" t="s">
        <v>19</v>
      </c>
      <c r="F23" s="883"/>
      <c r="G23" s="885"/>
      <c r="H23" s="43" t="s">
        <v>12</v>
      </c>
      <c r="I23" s="886"/>
      <c r="J23" s="886"/>
      <c r="K23" s="887"/>
      <c r="L23" s="887">
        <f t="shared" ca="1" si="13"/>
        <v>2349392</v>
      </c>
      <c r="M23" s="887">
        <f t="shared" ca="1" si="13"/>
        <v>1948538</v>
      </c>
      <c r="N23" s="887">
        <f t="shared" ca="1" si="13"/>
        <v>1288172.26</v>
      </c>
      <c r="O23" s="887">
        <f t="shared" ca="1" si="9"/>
        <v>54.830026662217286</v>
      </c>
      <c r="P23" s="887">
        <f t="shared" ca="1" si="10"/>
        <v>66.109681207140937</v>
      </c>
      <c r="Q23" s="875"/>
      <c r="R23" s="875"/>
      <c r="S23" s="875"/>
      <c r="T23" s="875"/>
      <c r="U23" s="875"/>
      <c r="V23" s="875"/>
      <c r="W23" s="875"/>
      <c r="X23" s="875"/>
      <c r="Y23" s="875"/>
      <c r="Z23" s="875"/>
    </row>
    <row r="24" spans="1:26" ht="18.75">
      <c r="A24" s="876"/>
      <c r="B24" s="877"/>
      <c r="C24" s="877"/>
      <c r="D24" s="878" t="s">
        <v>21</v>
      </c>
      <c r="E24" s="877"/>
      <c r="F24" s="877"/>
      <c r="G24" s="879"/>
      <c r="H24" s="622" t="s">
        <v>12</v>
      </c>
      <c r="I24" s="880"/>
      <c r="J24" s="880"/>
      <c r="K24" s="881"/>
      <c r="L24" s="881">
        <f t="shared" ref="L24:N24" ca="1" si="14">L25+L26</f>
        <v>76000</v>
      </c>
      <c r="M24" s="881">
        <f t="shared" ca="1" si="14"/>
        <v>76000</v>
      </c>
      <c r="N24" s="881">
        <f t="shared" ca="1" si="14"/>
        <v>76000</v>
      </c>
      <c r="O24" s="881">
        <f t="shared" ca="1" si="9"/>
        <v>100</v>
      </c>
      <c r="P24" s="881">
        <f t="shared" ca="1" si="10"/>
        <v>100</v>
      </c>
      <c r="Q24" s="868"/>
      <c r="R24" s="868"/>
      <c r="S24" s="868"/>
      <c r="T24" s="868"/>
      <c r="U24" s="868"/>
      <c r="V24" s="868"/>
      <c r="W24" s="868"/>
      <c r="X24" s="868"/>
      <c r="Y24" s="868"/>
      <c r="Z24" s="868"/>
    </row>
    <row r="25" spans="1:26" ht="18.75" hidden="1">
      <c r="A25" s="882"/>
      <c r="B25" s="883"/>
      <c r="C25" s="883"/>
      <c r="D25" s="883"/>
      <c r="E25" s="884" t="s">
        <v>18</v>
      </c>
      <c r="F25" s="883"/>
      <c r="G25" s="885"/>
      <c r="H25" s="43" t="s">
        <v>12</v>
      </c>
      <c r="I25" s="886"/>
      <c r="J25" s="886"/>
      <c r="K25" s="887"/>
      <c r="L25" s="887">
        <f t="shared" ref="L25:N26" si="15">L48+L60+L73+L95+L126+L139+L156+L188+L172+L268+L284+L305+L322+L335+L352+L396+L409</f>
        <v>0</v>
      </c>
      <c r="M25" s="887">
        <f t="shared" si="15"/>
        <v>0</v>
      </c>
      <c r="N25" s="887">
        <f t="shared" si="15"/>
        <v>0</v>
      </c>
      <c r="O25" s="887">
        <f t="shared" si="9"/>
        <v>0</v>
      </c>
      <c r="P25" s="887">
        <f t="shared" si="10"/>
        <v>0</v>
      </c>
      <c r="Q25" s="875"/>
      <c r="R25" s="875"/>
      <c r="S25" s="875"/>
      <c r="T25" s="875"/>
      <c r="U25" s="875"/>
      <c r="V25" s="875"/>
      <c r="W25" s="875"/>
      <c r="X25" s="875"/>
      <c r="Y25" s="875"/>
      <c r="Z25" s="875"/>
    </row>
    <row r="26" spans="1:26" ht="18.75" hidden="1">
      <c r="A26" s="888"/>
      <c r="B26" s="889"/>
      <c r="C26" s="889"/>
      <c r="D26" s="889"/>
      <c r="E26" s="890" t="s">
        <v>19</v>
      </c>
      <c r="F26" s="889"/>
      <c r="G26" s="891"/>
      <c r="H26" s="50" t="s">
        <v>12</v>
      </c>
      <c r="I26" s="892"/>
      <c r="J26" s="892"/>
      <c r="K26" s="893"/>
      <c r="L26" s="893">
        <f t="shared" ca="1" si="15"/>
        <v>76000</v>
      </c>
      <c r="M26" s="893">
        <f t="shared" ca="1" si="15"/>
        <v>76000</v>
      </c>
      <c r="N26" s="893">
        <f t="shared" ca="1" si="15"/>
        <v>76000</v>
      </c>
      <c r="O26" s="893">
        <f t="shared" ca="1" si="9"/>
        <v>100</v>
      </c>
      <c r="P26" s="893">
        <f t="shared" ca="1" si="10"/>
        <v>100</v>
      </c>
      <c r="Q26" s="875"/>
      <c r="R26" s="875"/>
      <c r="S26" s="875"/>
      <c r="T26" s="875"/>
      <c r="U26" s="875"/>
      <c r="V26" s="875"/>
      <c r="W26" s="875"/>
      <c r="X26" s="875"/>
      <c r="Y26" s="875"/>
      <c r="Z26" s="875"/>
    </row>
    <row r="27" spans="1:26" ht="19.5">
      <c r="A27" s="856" t="s">
        <v>23</v>
      </c>
      <c r="B27" s="833"/>
      <c r="C27" s="833"/>
      <c r="D27" s="833"/>
      <c r="E27" s="833"/>
      <c r="F27" s="833"/>
      <c r="G27" s="831"/>
      <c r="H27" s="857"/>
      <c r="I27" s="858"/>
      <c r="J27" s="858"/>
      <c r="K27" s="859"/>
      <c r="L27" s="859"/>
      <c r="M27" s="859"/>
      <c r="N27" s="859"/>
      <c r="O27" s="859"/>
      <c r="P27" s="859"/>
    </row>
    <row r="28" spans="1:26" ht="19.5">
      <c r="A28" s="860"/>
      <c r="B28" s="861"/>
      <c r="C28" s="862" t="s">
        <v>16</v>
      </c>
      <c r="D28" s="863" t="s">
        <v>17</v>
      </c>
      <c r="E28" s="861"/>
      <c r="F28" s="861"/>
      <c r="G28" s="864"/>
      <c r="H28" s="19" t="s">
        <v>12</v>
      </c>
      <c r="I28" s="865"/>
      <c r="J28" s="865"/>
      <c r="K28" s="866"/>
      <c r="L28" s="867">
        <f t="shared" ref="L28:N28" ca="1" si="16">L29+L30</f>
        <v>584321</v>
      </c>
      <c r="M28" s="867">
        <f t="shared" ca="1" si="16"/>
        <v>584321</v>
      </c>
      <c r="N28" s="867">
        <f t="shared" si="16"/>
        <v>255356</v>
      </c>
      <c r="O28" s="867">
        <f t="shared" ref="O28:O37" ca="1" si="17">IF(L28&gt;0,N28*100/L28,0)</f>
        <v>43.701321705021726</v>
      </c>
      <c r="P28" s="867">
        <f t="shared" ref="P28:P37" ca="1" si="18">IF(M28&gt;0,N28*100/M28,0)</f>
        <v>43.701321705021726</v>
      </c>
      <c r="Q28" s="868"/>
      <c r="R28" s="868"/>
      <c r="S28" s="868"/>
      <c r="T28" s="868"/>
      <c r="U28" s="868"/>
      <c r="V28" s="868"/>
      <c r="W28" s="868"/>
      <c r="X28" s="868"/>
      <c r="Y28" s="868"/>
      <c r="Z28" s="868"/>
    </row>
    <row r="29" spans="1:26" ht="18.75" hidden="1">
      <c r="A29" s="869"/>
      <c r="B29" s="870"/>
      <c r="C29" s="870"/>
      <c r="D29" s="870"/>
      <c r="E29" s="871" t="s">
        <v>18</v>
      </c>
      <c r="F29" s="870"/>
      <c r="G29" s="872"/>
      <c r="H29" s="28" t="s">
        <v>12</v>
      </c>
      <c r="I29" s="873"/>
      <c r="J29" s="873"/>
      <c r="K29" s="874"/>
      <c r="L29" s="874">
        <f t="shared" ref="L29:N30" si="19">L32+L35</f>
        <v>0</v>
      </c>
      <c r="M29" s="874">
        <f t="shared" si="19"/>
        <v>0</v>
      </c>
      <c r="N29" s="874">
        <f t="shared" si="19"/>
        <v>0</v>
      </c>
      <c r="O29" s="874">
        <f t="shared" si="17"/>
        <v>0</v>
      </c>
      <c r="P29" s="874">
        <f t="shared" si="18"/>
        <v>0</v>
      </c>
      <c r="Q29" s="875"/>
      <c r="R29" s="875"/>
      <c r="S29" s="875"/>
      <c r="T29" s="875"/>
      <c r="U29" s="875"/>
      <c r="V29" s="875"/>
      <c r="W29" s="875"/>
      <c r="X29" s="875"/>
      <c r="Y29" s="875"/>
      <c r="Z29" s="875"/>
    </row>
    <row r="30" spans="1:26" ht="18.75" hidden="1">
      <c r="A30" s="869"/>
      <c r="B30" s="870"/>
      <c r="C30" s="870"/>
      <c r="D30" s="870"/>
      <c r="E30" s="871" t="s">
        <v>19</v>
      </c>
      <c r="F30" s="870"/>
      <c r="G30" s="872"/>
      <c r="H30" s="28" t="s">
        <v>12</v>
      </c>
      <c r="I30" s="873"/>
      <c r="J30" s="873"/>
      <c r="K30" s="874"/>
      <c r="L30" s="874">
        <f t="shared" ca="1" si="19"/>
        <v>584321</v>
      </c>
      <c r="M30" s="874">
        <f t="shared" ca="1" si="19"/>
        <v>584321</v>
      </c>
      <c r="N30" s="874">
        <f t="shared" si="19"/>
        <v>255356</v>
      </c>
      <c r="O30" s="874">
        <f t="shared" ca="1" si="17"/>
        <v>43.701321705021726</v>
      </c>
      <c r="P30" s="874">
        <f t="shared" ca="1" si="18"/>
        <v>43.701321705021726</v>
      </c>
      <c r="Q30" s="875"/>
      <c r="R30" s="875"/>
      <c r="S30" s="875"/>
      <c r="T30" s="875"/>
      <c r="U30" s="875"/>
      <c r="V30" s="875"/>
      <c r="W30" s="875"/>
      <c r="X30" s="875"/>
      <c r="Y30" s="875"/>
      <c r="Z30" s="875"/>
    </row>
    <row r="31" spans="1:26" ht="18.75">
      <c r="A31" s="876"/>
      <c r="B31" s="877"/>
      <c r="C31" s="877"/>
      <c r="D31" s="878" t="s">
        <v>20</v>
      </c>
      <c r="E31" s="877"/>
      <c r="F31" s="877"/>
      <c r="G31" s="879"/>
      <c r="H31" s="622" t="s">
        <v>12</v>
      </c>
      <c r="I31" s="880"/>
      <c r="J31" s="880"/>
      <c r="K31" s="881"/>
      <c r="L31" s="881">
        <f t="shared" ref="L31:N31" ca="1" si="20">L32+L33</f>
        <v>584321</v>
      </c>
      <c r="M31" s="881">
        <f t="shared" ca="1" si="20"/>
        <v>584321</v>
      </c>
      <c r="N31" s="881">
        <f t="shared" si="20"/>
        <v>255356</v>
      </c>
      <c r="O31" s="881">
        <f t="shared" ca="1" si="17"/>
        <v>43.701321705021726</v>
      </c>
      <c r="P31" s="881">
        <f t="shared" ca="1" si="18"/>
        <v>43.701321705021726</v>
      </c>
      <c r="Q31" s="868"/>
      <c r="R31" s="868"/>
      <c r="S31" s="868"/>
      <c r="T31" s="868"/>
      <c r="U31" s="868"/>
      <c r="V31" s="868"/>
      <c r="W31" s="868"/>
      <c r="X31" s="868"/>
      <c r="Y31" s="868"/>
      <c r="Z31" s="868"/>
    </row>
    <row r="32" spans="1:26" ht="18.75" hidden="1">
      <c r="A32" s="882"/>
      <c r="B32" s="883"/>
      <c r="C32" s="883"/>
      <c r="D32" s="883"/>
      <c r="E32" s="884" t="s">
        <v>18</v>
      </c>
      <c r="F32" s="883"/>
      <c r="G32" s="885"/>
      <c r="H32" s="43" t="s">
        <v>12</v>
      </c>
      <c r="I32" s="886"/>
      <c r="J32" s="886"/>
      <c r="K32" s="887"/>
      <c r="L32" s="887">
        <f t="shared" ref="L32:N33" si="21">L423+L448+L471+L506+L527+L548+L633+L659+L689+L741+L758+L774+L790+L809</f>
        <v>0</v>
      </c>
      <c r="M32" s="887">
        <f t="shared" si="21"/>
        <v>0</v>
      </c>
      <c r="N32" s="887">
        <f t="shared" si="21"/>
        <v>0</v>
      </c>
      <c r="O32" s="887">
        <f t="shared" si="17"/>
        <v>0</v>
      </c>
      <c r="P32" s="887">
        <f t="shared" si="18"/>
        <v>0</v>
      </c>
      <c r="Q32" s="875"/>
      <c r="R32" s="875"/>
      <c r="S32" s="875"/>
      <c r="T32" s="875"/>
      <c r="U32" s="875"/>
      <c r="V32" s="875"/>
      <c r="W32" s="875"/>
      <c r="X32" s="875"/>
      <c r="Y32" s="875"/>
      <c r="Z32" s="875"/>
    </row>
    <row r="33" spans="1:26" ht="18.75" hidden="1">
      <c r="A33" s="882"/>
      <c r="B33" s="883"/>
      <c r="C33" s="883"/>
      <c r="D33" s="883"/>
      <c r="E33" s="884" t="s">
        <v>19</v>
      </c>
      <c r="F33" s="883"/>
      <c r="G33" s="885"/>
      <c r="H33" s="43" t="s">
        <v>12</v>
      </c>
      <c r="I33" s="886"/>
      <c r="J33" s="886"/>
      <c r="K33" s="887"/>
      <c r="L33" s="887">
        <f t="shared" ca="1" si="21"/>
        <v>584321</v>
      </c>
      <c r="M33" s="887">
        <f t="shared" ca="1" si="21"/>
        <v>584321</v>
      </c>
      <c r="N33" s="887">
        <f t="shared" si="21"/>
        <v>255356</v>
      </c>
      <c r="O33" s="887">
        <f t="shared" ca="1" si="17"/>
        <v>43.701321705021726</v>
      </c>
      <c r="P33" s="887">
        <f t="shared" ca="1" si="18"/>
        <v>43.701321705021726</v>
      </c>
      <c r="Q33" s="875"/>
      <c r="R33" s="875"/>
      <c r="S33" s="875"/>
      <c r="T33" s="875"/>
      <c r="U33" s="875"/>
      <c r="V33" s="875"/>
      <c r="W33" s="875"/>
      <c r="X33" s="875"/>
      <c r="Y33" s="875"/>
      <c r="Z33" s="875"/>
    </row>
    <row r="34" spans="1:26" ht="18.75">
      <c r="A34" s="876"/>
      <c r="B34" s="877"/>
      <c r="C34" s="877"/>
      <c r="D34" s="878" t="s">
        <v>21</v>
      </c>
      <c r="E34" s="877"/>
      <c r="F34" s="877"/>
      <c r="G34" s="879"/>
      <c r="H34" s="622" t="s">
        <v>12</v>
      </c>
      <c r="I34" s="880"/>
      <c r="J34" s="880"/>
      <c r="K34" s="881"/>
      <c r="L34" s="881">
        <f t="shared" ref="L34:N34" ca="1" si="22">L35+L36</f>
        <v>0</v>
      </c>
      <c r="M34" s="881">
        <f t="shared" si="22"/>
        <v>0</v>
      </c>
      <c r="N34" s="881">
        <f t="shared" si="22"/>
        <v>0</v>
      </c>
      <c r="O34" s="881">
        <f t="shared" ca="1" si="17"/>
        <v>0</v>
      </c>
      <c r="P34" s="881">
        <f t="shared" si="18"/>
        <v>0</v>
      </c>
      <c r="Q34" s="868"/>
      <c r="R34" s="868"/>
      <c r="S34" s="868"/>
      <c r="T34" s="868"/>
      <c r="U34" s="868"/>
      <c r="V34" s="868"/>
      <c r="W34" s="868"/>
      <c r="X34" s="868"/>
      <c r="Y34" s="868"/>
      <c r="Z34" s="868"/>
    </row>
    <row r="35" spans="1:26" ht="18.75" hidden="1">
      <c r="A35" s="882"/>
      <c r="B35" s="883"/>
      <c r="C35" s="883"/>
      <c r="D35" s="883"/>
      <c r="E35" s="884" t="s">
        <v>18</v>
      </c>
      <c r="F35" s="883"/>
      <c r="G35" s="885"/>
      <c r="H35" s="43" t="s">
        <v>12</v>
      </c>
      <c r="I35" s="886"/>
      <c r="J35" s="886"/>
      <c r="K35" s="887"/>
      <c r="L35" s="887">
        <f t="shared" ref="L35:N36" si="23">L430+L455+L478+L513+L534+L556+L640+L666+L696+L748+L765+L781+L797+L816</f>
        <v>0</v>
      </c>
      <c r="M35" s="887">
        <f t="shared" si="23"/>
        <v>0</v>
      </c>
      <c r="N35" s="887">
        <f t="shared" si="23"/>
        <v>0</v>
      </c>
      <c r="O35" s="887">
        <f t="shared" si="17"/>
        <v>0</v>
      </c>
      <c r="P35" s="887">
        <f t="shared" si="18"/>
        <v>0</v>
      </c>
      <c r="Q35" s="875"/>
      <c r="R35" s="875"/>
      <c r="S35" s="875"/>
      <c r="T35" s="875"/>
      <c r="U35" s="875"/>
      <c r="V35" s="875"/>
      <c r="W35" s="875"/>
      <c r="X35" s="875"/>
      <c r="Y35" s="875"/>
      <c r="Z35" s="875"/>
    </row>
    <row r="36" spans="1:26" ht="18.75" hidden="1">
      <c r="A36" s="888"/>
      <c r="B36" s="889"/>
      <c r="C36" s="889"/>
      <c r="D36" s="889"/>
      <c r="E36" s="890" t="s">
        <v>19</v>
      </c>
      <c r="F36" s="889"/>
      <c r="G36" s="891"/>
      <c r="H36" s="50" t="s">
        <v>12</v>
      </c>
      <c r="I36" s="892"/>
      <c r="J36" s="892"/>
      <c r="K36" s="893"/>
      <c r="L36" s="893">
        <f t="shared" ca="1" si="23"/>
        <v>0</v>
      </c>
      <c r="M36" s="893">
        <f t="shared" si="23"/>
        <v>0</v>
      </c>
      <c r="N36" s="893">
        <f t="shared" si="23"/>
        <v>0</v>
      </c>
      <c r="O36" s="893">
        <f t="shared" ca="1" si="17"/>
        <v>0</v>
      </c>
      <c r="P36" s="893">
        <f t="shared" si="18"/>
        <v>0</v>
      </c>
      <c r="Q36" s="875"/>
      <c r="R36" s="875"/>
      <c r="S36" s="875"/>
      <c r="T36" s="875"/>
      <c r="U36" s="875"/>
      <c r="V36" s="875"/>
      <c r="W36" s="875"/>
      <c r="X36" s="875"/>
      <c r="Y36" s="875"/>
      <c r="Z36" s="875"/>
    </row>
    <row r="37" spans="1:26" ht="19.5">
      <c r="A37" s="894" t="s">
        <v>24</v>
      </c>
      <c r="B37" s="895"/>
      <c r="C37" s="895"/>
      <c r="D37" s="895"/>
      <c r="E37" s="895"/>
      <c r="F37" s="895"/>
      <c r="G37" s="896"/>
      <c r="H37" s="897"/>
      <c r="I37" s="898"/>
      <c r="J37" s="898"/>
      <c r="K37" s="899"/>
      <c r="L37" s="900">
        <f t="shared" ref="L37:N37" ca="1" si="24">L41+L53+L66+L88+L119+L132+L149+L165+L181+L261+L277+L298+L315+L328+L345+L389+L402</f>
        <v>2425392</v>
      </c>
      <c r="M37" s="900">
        <f t="shared" ca="1" si="24"/>
        <v>2024538</v>
      </c>
      <c r="N37" s="900">
        <f t="shared" ca="1" si="24"/>
        <v>1364172.26</v>
      </c>
      <c r="O37" s="900">
        <f t="shared" ca="1" si="17"/>
        <v>56.245434140130747</v>
      </c>
      <c r="P37" s="900">
        <f t="shared" ca="1" si="18"/>
        <v>67.381904414735615</v>
      </c>
    </row>
    <row r="38" spans="1:26" ht="19.5">
      <c r="A38" s="901" t="s">
        <v>25</v>
      </c>
      <c r="B38" s="902"/>
      <c r="C38" s="902"/>
      <c r="D38" s="902"/>
      <c r="E38" s="902"/>
      <c r="F38" s="902"/>
      <c r="G38" s="903"/>
      <c r="H38" s="904"/>
      <c r="I38" s="905"/>
      <c r="J38" s="905"/>
      <c r="K38" s="906"/>
      <c r="L38" s="906"/>
      <c r="M38" s="906"/>
      <c r="N38" s="906"/>
      <c r="O38" s="906"/>
      <c r="P38" s="906"/>
    </row>
    <row r="39" spans="1:26" ht="19.5">
      <c r="A39" s="907"/>
      <c r="B39" s="908" t="s">
        <v>26</v>
      </c>
      <c r="C39" s="909"/>
      <c r="D39" s="909"/>
      <c r="E39" s="909"/>
      <c r="F39" s="909"/>
      <c r="G39" s="910"/>
      <c r="H39" s="911"/>
      <c r="I39" s="912"/>
      <c r="J39" s="912"/>
      <c r="K39" s="913"/>
      <c r="L39" s="913"/>
      <c r="M39" s="913"/>
      <c r="N39" s="913"/>
      <c r="O39" s="913"/>
      <c r="P39" s="913"/>
    </row>
    <row r="40" spans="1:26" ht="19.5">
      <c r="A40" s="914"/>
      <c r="B40" s="915" t="s">
        <v>27</v>
      </c>
      <c r="C40" s="841"/>
      <c r="D40" s="841"/>
      <c r="E40" s="841"/>
      <c r="F40" s="841"/>
      <c r="G40" s="842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82" t="s">
        <v>12</v>
      </c>
      <c r="I41" s="924"/>
      <c r="J41" s="924"/>
      <c r="K41" s="925"/>
      <c r="L41" s="926">
        <f t="shared" ref="L41:N41" ca="1" si="25">L42+L43</f>
        <v>376442</v>
      </c>
      <c r="M41" s="926">
        <f t="shared" ca="1" si="25"/>
        <v>436133</v>
      </c>
      <c r="N41" s="926">
        <f t="shared" ca="1" si="25"/>
        <v>239243</v>
      </c>
      <c r="O41" s="926">
        <f t="shared" ref="O41:O49" ca="1" si="26">IF(L41&gt;0,N41*100/L41,0)</f>
        <v>63.553747987737822</v>
      </c>
      <c r="P41" s="926">
        <f t="shared" ref="P41:P49" ca="1" si="27">IF(M41&gt;0,N41*100/M41,0)</f>
        <v>54.855514258265252</v>
      </c>
      <c r="Q41" s="868"/>
      <c r="R41" s="868"/>
      <c r="S41" s="868"/>
      <c r="T41" s="868"/>
      <c r="U41" s="868"/>
      <c r="V41" s="868"/>
      <c r="W41" s="868"/>
      <c r="X41" s="868"/>
      <c r="Y41" s="868"/>
      <c r="Z41" s="868"/>
    </row>
    <row r="42" spans="1:26" ht="18.75" hidden="1">
      <c r="A42" s="927"/>
      <c r="B42" s="928"/>
      <c r="C42" s="928"/>
      <c r="D42" s="928"/>
      <c r="E42" s="929" t="s">
        <v>18</v>
      </c>
      <c r="F42" s="928"/>
      <c r="G42" s="930"/>
      <c r="H42" s="90" t="s">
        <v>12</v>
      </c>
      <c r="I42" s="931"/>
      <c r="J42" s="931"/>
      <c r="K42" s="932"/>
      <c r="L42" s="932">
        <f t="shared" ref="L42:N43" si="28">L45+L48</f>
        <v>0</v>
      </c>
      <c r="M42" s="932">
        <f t="shared" si="28"/>
        <v>0</v>
      </c>
      <c r="N42" s="932">
        <f t="shared" si="28"/>
        <v>0</v>
      </c>
      <c r="O42" s="932">
        <f t="shared" si="26"/>
        <v>0</v>
      </c>
      <c r="P42" s="932">
        <f t="shared" si="27"/>
        <v>0</v>
      </c>
      <c r="Q42" s="875"/>
      <c r="R42" s="875"/>
      <c r="S42" s="875"/>
      <c r="T42" s="875"/>
      <c r="U42" s="875"/>
      <c r="V42" s="875"/>
      <c r="W42" s="875"/>
      <c r="X42" s="875"/>
      <c r="Y42" s="875"/>
      <c r="Z42" s="875"/>
    </row>
    <row r="43" spans="1:26" ht="18.75" hidden="1">
      <c r="A43" s="927"/>
      <c r="B43" s="928"/>
      <c r="C43" s="928"/>
      <c r="D43" s="928"/>
      <c r="E43" s="929" t="s">
        <v>19</v>
      </c>
      <c r="F43" s="928"/>
      <c r="G43" s="930"/>
      <c r="H43" s="90" t="s">
        <v>12</v>
      </c>
      <c r="I43" s="931"/>
      <c r="J43" s="931"/>
      <c r="K43" s="932"/>
      <c r="L43" s="932">
        <f t="shared" ca="1" si="28"/>
        <v>376442</v>
      </c>
      <c r="M43" s="932">
        <f t="shared" ca="1" si="28"/>
        <v>436133</v>
      </c>
      <c r="N43" s="932">
        <f t="shared" ca="1" si="28"/>
        <v>239243</v>
      </c>
      <c r="O43" s="932">
        <f t="shared" ca="1" si="26"/>
        <v>63.553747987737822</v>
      </c>
      <c r="P43" s="932">
        <f t="shared" ca="1" si="27"/>
        <v>54.855514258265252</v>
      </c>
      <c r="Q43" s="875"/>
      <c r="R43" s="875"/>
      <c r="S43" s="875"/>
      <c r="T43" s="875"/>
      <c r="U43" s="875"/>
      <c r="V43" s="875"/>
      <c r="W43" s="875"/>
      <c r="X43" s="875"/>
      <c r="Y43" s="875"/>
      <c r="Z43" s="875"/>
    </row>
    <row r="44" spans="1:26" ht="18.75">
      <c r="A44" s="876"/>
      <c r="B44" s="877"/>
      <c r="C44" s="877"/>
      <c r="D44" s="878" t="s">
        <v>20</v>
      </c>
      <c r="E44" s="877"/>
      <c r="F44" s="877"/>
      <c r="G44" s="879"/>
      <c r="H44" s="622" t="s">
        <v>12</v>
      </c>
      <c r="I44" s="880"/>
      <c r="J44" s="880"/>
      <c r="K44" s="881"/>
      <c r="L44" s="881">
        <f t="shared" ref="L44:N44" ca="1" si="29">L45+L46</f>
        <v>376442</v>
      </c>
      <c r="M44" s="881">
        <f t="shared" ca="1" si="29"/>
        <v>436133</v>
      </c>
      <c r="N44" s="881">
        <f t="shared" ca="1" si="29"/>
        <v>239243</v>
      </c>
      <c r="O44" s="881">
        <f t="shared" ca="1" si="26"/>
        <v>63.553747987737822</v>
      </c>
      <c r="P44" s="881">
        <f t="shared" ca="1" si="27"/>
        <v>54.855514258265252</v>
      </c>
      <c r="Q44" s="868"/>
      <c r="R44" s="868"/>
      <c r="S44" s="868"/>
      <c r="T44" s="868"/>
      <c r="U44" s="868"/>
      <c r="V44" s="868"/>
      <c r="W44" s="868"/>
      <c r="X44" s="868"/>
      <c r="Y44" s="868"/>
      <c r="Z44" s="868"/>
    </row>
    <row r="45" spans="1:26" ht="18.75" hidden="1">
      <c r="A45" s="882"/>
      <c r="B45" s="883"/>
      <c r="C45" s="883"/>
      <c r="D45" s="883"/>
      <c r="E45" s="884" t="s">
        <v>18</v>
      </c>
      <c r="F45" s="883"/>
      <c r="G45" s="885"/>
      <c r="H45" s="43" t="s">
        <v>12</v>
      </c>
      <c r="I45" s="886"/>
      <c r="J45" s="886"/>
      <c r="K45" s="887"/>
      <c r="L45" s="887">
        <v>0</v>
      </c>
      <c r="M45" s="887">
        <v>0</v>
      </c>
      <c r="N45" s="887">
        <v>0</v>
      </c>
      <c r="O45" s="887">
        <f t="shared" si="26"/>
        <v>0</v>
      </c>
      <c r="P45" s="887">
        <f t="shared" si="27"/>
        <v>0</v>
      </c>
      <c r="Q45" s="875"/>
      <c r="R45" s="875"/>
      <c r="S45" s="875"/>
      <c r="T45" s="875"/>
      <c r="U45" s="875"/>
      <c r="V45" s="875"/>
      <c r="W45" s="875"/>
      <c r="X45" s="875"/>
      <c r="Y45" s="875"/>
      <c r="Z45" s="875"/>
    </row>
    <row r="46" spans="1:26" ht="18.75" hidden="1">
      <c r="A46" s="882"/>
      <c r="B46" s="883"/>
      <c r="C46" s="883"/>
      <c r="D46" s="883"/>
      <c r="E46" s="884" t="s">
        <v>19</v>
      </c>
      <c r="F46" s="883"/>
      <c r="G46" s="885"/>
      <c r="H46" s="43" t="s">
        <v>12</v>
      </c>
      <c r="I46" s="886"/>
      <c r="J46" s="886"/>
      <c r="K46" s="887"/>
      <c r="L46" s="887">
        <f ca="1">IFERROR(__xludf.DUMMYFUNCTION("IMPORTRANGE(""https://docs.google.com/spreadsheets/d/1MeEWN-I1oV_STSDYn1IFDPWt_1FKiwhDph83XaGc0o0/edit?usp=sharing"",""งบพรบ!M80"")"),376442)</f>
        <v>376442</v>
      </c>
      <c r="M46" s="887">
        <f ca="1">IFERROR(__xludf.DUMMYFUNCTION("IMPORTRANGE(""https://docs.google.com/spreadsheets/d/1MeEWN-I1oV_STSDYn1IFDPWt_1FKiwhDph83XaGc0o0/edit?usp=sharing"",""งบพรบ!R80"")"),436133)</f>
        <v>436133</v>
      </c>
      <c r="N46" s="887">
        <f ca="1">IFERROR(__xludf.DUMMYFUNCTION("IMPORTRANGE(""https://docs.google.com/spreadsheets/d/1MeEWN-I1oV_STSDYn1IFDPWt_1FKiwhDph83XaGc0o0/edit?usp=sharing"",""งบพรบ!T80"")"),239243)</f>
        <v>239243</v>
      </c>
      <c r="O46" s="887">
        <f t="shared" ca="1" si="26"/>
        <v>63.553747987737822</v>
      </c>
      <c r="P46" s="887">
        <f t="shared" ca="1" si="27"/>
        <v>54.855514258265252</v>
      </c>
      <c r="Q46" s="875"/>
      <c r="R46" s="875"/>
      <c r="S46" s="875"/>
      <c r="T46" s="875"/>
      <c r="U46" s="875"/>
      <c r="V46" s="875"/>
      <c r="W46" s="875"/>
      <c r="X46" s="875"/>
      <c r="Y46" s="875"/>
      <c r="Z46" s="875"/>
    </row>
    <row r="47" spans="1:26" ht="18.75">
      <c r="A47" s="876"/>
      <c r="B47" s="877"/>
      <c r="C47" s="877"/>
      <c r="D47" s="878" t="s">
        <v>21</v>
      </c>
      <c r="E47" s="877"/>
      <c r="F47" s="877"/>
      <c r="G47" s="879"/>
      <c r="H47" s="622" t="s">
        <v>12</v>
      </c>
      <c r="I47" s="880"/>
      <c r="J47" s="880"/>
      <c r="K47" s="881"/>
      <c r="L47" s="881">
        <f t="shared" ref="L47:N47" ca="1" si="30">L48+L49</f>
        <v>0</v>
      </c>
      <c r="M47" s="881">
        <f t="shared" ca="1" si="30"/>
        <v>0</v>
      </c>
      <c r="N47" s="881">
        <f t="shared" ca="1" si="30"/>
        <v>0</v>
      </c>
      <c r="O47" s="881">
        <f t="shared" ca="1" si="26"/>
        <v>0</v>
      </c>
      <c r="P47" s="881">
        <f t="shared" ca="1" si="27"/>
        <v>0</v>
      </c>
      <c r="Q47" s="868"/>
      <c r="R47" s="868"/>
      <c r="S47" s="868"/>
      <c r="T47" s="868"/>
      <c r="U47" s="868"/>
      <c r="V47" s="868"/>
      <c r="W47" s="868"/>
      <c r="X47" s="868"/>
      <c r="Y47" s="868"/>
      <c r="Z47" s="868"/>
    </row>
    <row r="48" spans="1:26" ht="18.75" hidden="1">
      <c r="A48" s="882"/>
      <c r="B48" s="883"/>
      <c r="C48" s="883"/>
      <c r="D48" s="883"/>
      <c r="E48" s="884" t="s">
        <v>18</v>
      </c>
      <c r="F48" s="883"/>
      <c r="G48" s="885"/>
      <c r="H48" s="43" t="s">
        <v>12</v>
      </c>
      <c r="I48" s="886"/>
      <c r="J48" s="886"/>
      <c r="K48" s="887"/>
      <c r="L48" s="887">
        <v>0</v>
      </c>
      <c r="M48" s="887">
        <v>0</v>
      </c>
      <c r="N48" s="887">
        <v>0</v>
      </c>
      <c r="O48" s="887">
        <f t="shared" si="26"/>
        <v>0</v>
      </c>
      <c r="P48" s="887">
        <f t="shared" si="27"/>
        <v>0</v>
      </c>
      <c r="Q48" s="875"/>
      <c r="R48" s="875"/>
      <c r="S48" s="875"/>
      <c r="T48" s="875"/>
      <c r="U48" s="875"/>
      <c r="V48" s="875"/>
      <c r="W48" s="875"/>
      <c r="X48" s="875"/>
      <c r="Y48" s="875"/>
      <c r="Z48" s="875"/>
    </row>
    <row r="49" spans="1:26" ht="18.75" hidden="1">
      <c r="A49" s="888"/>
      <c r="B49" s="889"/>
      <c r="C49" s="889"/>
      <c r="D49" s="889"/>
      <c r="E49" s="890" t="s">
        <v>19</v>
      </c>
      <c r="F49" s="889"/>
      <c r="G49" s="891"/>
      <c r="H49" s="50" t="s">
        <v>12</v>
      </c>
      <c r="I49" s="892"/>
      <c r="J49" s="892"/>
      <c r="K49" s="893"/>
      <c r="L49" s="893">
        <f ca="1">IFERROR(__xludf.DUMMYFUNCTION("IMPORTRANGE(""https://docs.google.com/spreadsheets/d/1MeEWN-I1oV_STSDYn1IFDPWt_1FKiwhDph83XaGc0o0/edit?usp=sharing"",""งบพรบ!P80"")"),0)</f>
        <v>0</v>
      </c>
      <c r="M49" s="893">
        <f ca="1">IFERROR(__xludf.DUMMYFUNCTION("IMPORTRANGE(""https://docs.google.com/spreadsheets/d/1MeEWN-I1oV_STSDYn1IFDPWt_1FKiwhDph83XaGc0o0/edit?usp=sharing"",""งบพรบ!S80"")"),0)</f>
        <v>0</v>
      </c>
      <c r="N49" s="893">
        <f ca="1">IFERROR(__xludf.DUMMYFUNCTION("IMPORTRANGE(""https://docs.google.com/spreadsheets/d/1MeEWN-I1oV_STSDYn1IFDPWt_1FKiwhDph83XaGc0o0/edit?usp=sharing"",""งบพรบ!U80"")"),0)</f>
        <v>0</v>
      </c>
      <c r="O49" s="893">
        <f t="shared" ca="1" si="26"/>
        <v>0</v>
      </c>
      <c r="P49" s="893">
        <f t="shared" ca="1" si="27"/>
        <v>0</v>
      </c>
      <c r="Q49" s="875"/>
      <c r="R49" s="875"/>
      <c r="S49" s="875"/>
      <c r="T49" s="875"/>
      <c r="U49" s="875"/>
      <c r="V49" s="875"/>
      <c r="W49" s="875"/>
      <c r="X49" s="875"/>
      <c r="Y49" s="875"/>
      <c r="Z49" s="875"/>
    </row>
    <row r="50" spans="1:26" ht="19.5">
      <c r="A50" s="933" t="s">
        <v>28</v>
      </c>
      <c r="B50" s="833"/>
      <c r="C50" s="833"/>
      <c r="D50" s="833"/>
      <c r="E50" s="833"/>
      <c r="F50" s="833"/>
      <c r="G50" s="831"/>
      <c r="H50" s="934"/>
      <c r="I50" s="935"/>
      <c r="J50" s="935"/>
      <c r="K50" s="936"/>
      <c r="L50" s="936"/>
      <c r="M50" s="936"/>
      <c r="N50" s="936"/>
      <c r="O50" s="936"/>
      <c r="P50" s="936"/>
    </row>
    <row r="51" spans="1:26" ht="19.5">
      <c r="A51" s="937"/>
      <c r="B51" s="938" t="s">
        <v>29</v>
      </c>
      <c r="C51" s="841"/>
      <c r="D51" s="841"/>
      <c r="E51" s="841"/>
      <c r="F51" s="841"/>
      <c r="G51" s="842"/>
      <c r="H51" s="939"/>
      <c r="I51" s="940"/>
      <c r="J51" s="940"/>
      <c r="K51" s="941"/>
      <c r="L51" s="941"/>
      <c r="M51" s="941"/>
      <c r="N51" s="941"/>
      <c r="O51" s="941"/>
      <c r="P51" s="941"/>
    </row>
    <row r="52" spans="1:26" ht="19.5">
      <c r="A52" s="942"/>
      <c r="B52" s="943" t="s">
        <v>30</v>
      </c>
      <c r="C52" s="944"/>
      <c r="D52" s="944"/>
      <c r="E52" s="944"/>
      <c r="F52" s="944"/>
      <c r="G52" s="945"/>
      <c r="H52" s="946"/>
      <c r="I52" s="947"/>
      <c r="J52" s="947"/>
      <c r="K52" s="948"/>
      <c r="L52" s="948"/>
      <c r="M52" s="948"/>
      <c r="N52" s="948"/>
      <c r="O52" s="948"/>
      <c r="P52" s="948"/>
    </row>
    <row r="53" spans="1:26" ht="19.5">
      <c r="A53" s="949"/>
      <c r="B53" s="950"/>
      <c r="C53" s="951" t="s">
        <v>16</v>
      </c>
      <c r="D53" s="952" t="s">
        <v>17</v>
      </c>
      <c r="E53" s="950"/>
      <c r="F53" s="950"/>
      <c r="G53" s="953"/>
      <c r="H53" s="113" t="s">
        <v>12</v>
      </c>
      <c r="I53" s="954"/>
      <c r="J53" s="954"/>
      <c r="K53" s="955"/>
      <c r="L53" s="956">
        <f t="shared" ref="L53:N53" ca="1" si="31">L54+L55</f>
        <v>572600</v>
      </c>
      <c r="M53" s="956">
        <f t="shared" ca="1" si="31"/>
        <v>429450</v>
      </c>
      <c r="N53" s="956">
        <f t="shared" ca="1" si="31"/>
        <v>297488.03000000003</v>
      </c>
      <c r="O53" s="956">
        <f t="shared" ref="O53:O61" ca="1" si="32">IF(L53&gt;0,N53*100/L53,0)</f>
        <v>51.953899755501226</v>
      </c>
      <c r="P53" s="956">
        <f t="shared" ref="P53:P61" ca="1" si="33">IF(M53&gt;0,N53*100/M53,0)</f>
        <v>69.271866340668311</v>
      </c>
      <c r="Q53" s="868"/>
      <c r="R53" s="868"/>
      <c r="S53" s="868"/>
      <c r="T53" s="868"/>
      <c r="U53" s="868"/>
      <c r="V53" s="868"/>
      <c r="W53" s="868"/>
      <c r="X53" s="868"/>
      <c r="Y53" s="868"/>
      <c r="Z53" s="868"/>
    </row>
    <row r="54" spans="1:26" ht="18.75" hidden="1">
      <c r="A54" s="957"/>
      <c r="B54" s="958"/>
      <c r="C54" s="958"/>
      <c r="D54" s="958"/>
      <c r="E54" s="959" t="s">
        <v>18</v>
      </c>
      <c r="F54" s="958"/>
      <c r="G54" s="960"/>
      <c r="H54" s="121" t="s">
        <v>12</v>
      </c>
      <c r="I54" s="961"/>
      <c r="J54" s="961"/>
      <c r="K54" s="962"/>
      <c r="L54" s="962">
        <f t="shared" ref="L54:N55" si="34">L57+L60</f>
        <v>0</v>
      </c>
      <c r="M54" s="962">
        <f t="shared" si="34"/>
        <v>0</v>
      </c>
      <c r="N54" s="962">
        <f t="shared" si="34"/>
        <v>0</v>
      </c>
      <c r="O54" s="962">
        <f t="shared" si="32"/>
        <v>0</v>
      </c>
      <c r="P54" s="962">
        <f t="shared" si="33"/>
        <v>0</v>
      </c>
      <c r="Q54" s="875"/>
      <c r="R54" s="875"/>
      <c r="S54" s="875"/>
      <c r="T54" s="875"/>
      <c r="U54" s="875"/>
      <c r="V54" s="875"/>
      <c r="W54" s="875"/>
      <c r="X54" s="875"/>
      <c r="Y54" s="875"/>
      <c r="Z54" s="875"/>
    </row>
    <row r="55" spans="1:26" ht="18.75" hidden="1">
      <c r="A55" s="957"/>
      <c r="B55" s="958"/>
      <c r="C55" s="958"/>
      <c r="D55" s="958"/>
      <c r="E55" s="959" t="s">
        <v>19</v>
      </c>
      <c r="F55" s="958"/>
      <c r="G55" s="960"/>
      <c r="H55" s="121" t="s">
        <v>12</v>
      </c>
      <c r="I55" s="961"/>
      <c r="J55" s="961"/>
      <c r="K55" s="962"/>
      <c r="L55" s="962">
        <f t="shared" ca="1" si="34"/>
        <v>572600</v>
      </c>
      <c r="M55" s="962">
        <f t="shared" ca="1" si="34"/>
        <v>429450</v>
      </c>
      <c r="N55" s="962">
        <f t="shared" ca="1" si="34"/>
        <v>297488.03000000003</v>
      </c>
      <c r="O55" s="962">
        <f t="shared" ca="1" si="32"/>
        <v>51.953899755501226</v>
      </c>
      <c r="P55" s="962">
        <f t="shared" ca="1" si="33"/>
        <v>69.271866340668311</v>
      </c>
      <c r="Q55" s="875"/>
      <c r="R55" s="875"/>
      <c r="S55" s="875"/>
      <c r="T55" s="875"/>
      <c r="U55" s="875"/>
      <c r="V55" s="875"/>
      <c r="W55" s="875"/>
      <c r="X55" s="875"/>
      <c r="Y55" s="875"/>
      <c r="Z55" s="875"/>
    </row>
    <row r="56" spans="1:26" ht="18.75">
      <c r="A56" s="876"/>
      <c r="B56" s="877"/>
      <c r="C56" s="877"/>
      <c r="D56" s="878" t="s">
        <v>20</v>
      </c>
      <c r="E56" s="877"/>
      <c r="F56" s="877"/>
      <c r="G56" s="879"/>
      <c r="H56" s="622" t="s">
        <v>12</v>
      </c>
      <c r="I56" s="880"/>
      <c r="J56" s="880"/>
      <c r="K56" s="881"/>
      <c r="L56" s="881">
        <f t="shared" ref="L56:N56" ca="1" si="35">L57+L58</f>
        <v>572600</v>
      </c>
      <c r="M56" s="881">
        <f t="shared" ca="1" si="35"/>
        <v>429450</v>
      </c>
      <c r="N56" s="881">
        <f t="shared" ca="1" si="35"/>
        <v>297488.03000000003</v>
      </c>
      <c r="O56" s="881">
        <f t="shared" ca="1" si="32"/>
        <v>51.953899755501226</v>
      </c>
      <c r="P56" s="881">
        <f t="shared" ca="1" si="33"/>
        <v>69.271866340668311</v>
      </c>
      <c r="Q56" s="868"/>
      <c r="R56" s="868"/>
      <c r="S56" s="868"/>
      <c r="T56" s="868"/>
      <c r="U56" s="868"/>
      <c r="V56" s="868"/>
      <c r="W56" s="868"/>
      <c r="X56" s="868"/>
      <c r="Y56" s="868"/>
      <c r="Z56" s="868"/>
    </row>
    <row r="57" spans="1:26" ht="18.75" hidden="1">
      <c r="A57" s="882"/>
      <c r="B57" s="883"/>
      <c r="C57" s="883"/>
      <c r="D57" s="883"/>
      <c r="E57" s="884" t="s">
        <v>18</v>
      </c>
      <c r="F57" s="883"/>
      <c r="G57" s="885"/>
      <c r="H57" s="43" t="s">
        <v>12</v>
      </c>
      <c r="I57" s="886"/>
      <c r="J57" s="886"/>
      <c r="K57" s="887"/>
      <c r="L57" s="887">
        <v>0</v>
      </c>
      <c r="M57" s="887">
        <v>0</v>
      </c>
      <c r="N57" s="887">
        <v>0</v>
      </c>
      <c r="O57" s="887">
        <f t="shared" si="32"/>
        <v>0</v>
      </c>
      <c r="P57" s="887">
        <f t="shared" si="33"/>
        <v>0</v>
      </c>
      <c r="Q57" s="875"/>
      <c r="R57" s="875"/>
      <c r="S57" s="875"/>
      <c r="T57" s="875"/>
      <c r="U57" s="875"/>
      <c r="V57" s="875"/>
      <c r="W57" s="875"/>
      <c r="X57" s="875"/>
      <c r="Y57" s="875"/>
      <c r="Z57" s="875"/>
    </row>
    <row r="58" spans="1:26" ht="18.75" hidden="1">
      <c r="A58" s="882"/>
      <c r="B58" s="883"/>
      <c r="C58" s="883"/>
      <c r="D58" s="883"/>
      <c r="E58" s="884" t="s">
        <v>19</v>
      </c>
      <c r="F58" s="883"/>
      <c r="G58" s="885"/>
      <c r="H58" s="43" t="s">
        <v>12</v>
      </c>
      <c r="I58" s="886"/>
      <c r="J58" s="886"/>
      <c r="K58" s="887"/>
      <c r="L58" s="887">
        <f ca="1">IFERROR(__xludf.DUMMYFUNCTION("IMPORTRANGE(""https://docs.google.com/spreadsheets/d/1MeEWN-I1oV_STSDYn1IFDPWt_1FKiwhDph83XaGc0o0/edit?usp=sharing"",""งบพรบ!W80"")"),572600)</f>
        <v>572600</v>
      </c>
      <c r="M58" s="887">
        <f ca="1">IFERROR(__xludf.DUMMYFUNCTION("IMPORTRANGE(""https://docs.google.com/spreadsheets/d/1MeEWN-I1oV_STSDYn1IFDPWt_1FKiwhDph83XaGc0o0/edit?usp=sharing"",""งบพรบ!AB80"")"),429450)</f>
        <v>429450</v>
      </c>
      <c r="N58" s="887">
        <f ca="1">IFERROR(__xludf.DUMMYFUNCTION("IMPORTRANGE(""https://docs.google.com/spreadsheets/d/1MeEWN-I1oV_STSDYn1IFDPWt_1FKiwhDph83XaGc0o0/edit?usp=sharing"",""งบพรบ!AD80"")"),297488.03)</f>
        <v>297488.03000000003</v>
      </c>
      <c r="O58" s="887">
        <f t="shared" ca="1" si="32"/>
        <v>51.953899755501226</v>
      </c>
      <c r="P58" s="887">
        <f t="shared" ca="1" si="33"/>
        <v>69.271866340668311</v>
      </c>
      <c r="Q58" s="875"/>
      <c r="R58" s="875"/>
      <c r="S58" s="875"/>
      <c r="T58" s="875"/>
      <c r="U58" s="875"/>
      <c r="V58" s="875"/>
      <c r="W58" s="875"/>
      <c r="X58" s="875"/>
      <c r="Y58" s="875"/>
      <c r="Z58" s="875"/>
    </row>
    <row r="59" spans="1:26" ht="18.75">
      <c r="A59" s="876"/>
      <c r="B59" s="877"/>
      <c r="C59" s="877"/>
      <c r="D59" s="878" t="s">
        <v>21</v>
      </c>
      <c r="E59" s="877"/>
      <c r="F59" s="877"/>
      <c r="G59" s="879"/>
      <c r="H59" s="622" t="s">
        <v>12</v>
      </c>
      <c r="I59" s="880"/>
      <c r="J59" s="880"/>
      <c r="K59" s="881"/>
      <c r="L59" s="881">
        <f t="shared" ref="L59:N59" ca="1" si="36">L60+L61</f>
        <v>0</v>
      </c>
      <c r="M59" s="881">
        <f t="shared" ca="1" si="36"/>
        <v>0</v>
      </c>
      <c r="N59" s="881">
        <f t="shared" ca="1" si="36"/>
        <v>0</v>
      </c>
      <c r="O59" s="881">
        <f t="shared" ca="1" si="32"/>
        <v>0</v>
      </c>
      <c r="P59" s="881">
        <f t="shared" ca="1" si="33"/>
        <v>0</v>
      </c>
      <c r="Q59" s="868"/>
      <c r="R59" s="868"/>
      <c r="S59" s="868"/>
      <c r="T59" s="868"/>
      <c r="U59" s="868"/>
      <c r="V59" s="868"/>
      <c r="W59" s="868"/>
      <c r="X59" s="868"/>
      <c r="Y59" s="868"/>
      <c r="Z59" s="868"/>
    </row>
    <row r="60" spans="1:26" ht="18.75" hidden="1">
      <c r="A60" s="882"/>
      <c r="B60" s="883"/>
      <c r="C60" s="883"/>
      <c r="D60" s="883"/>
      <c r="E60" s="884" t="s">
        <v>18</v>
      </c>
      <c r="F60" s="883"/>
      <c r="G60" s="885"/>
      <c r="H60" s="43" t="s">
        <v>12</v>
      </c>
      <c r="I60" s="886"/>
      <c r="J60" s="886"/>
      <c r="K60" s="887"/>
      <c r="L60" s="887">
        <v>0</v>
      </c>
      <c r="M60" s="887">
        <v>0</v>
      </c>
      <c r="N60" s="887">
        <v>0</v>
      </c>
      <c r="O60" s="887">
        <f t="shared" si="32"/>
        <v>0</v>
      </c>
      <c r="P60" s="887">
        <f t="shared" si="33"/>
        <v>0</v>
      </c>
      <c r="Q60" s="875"/>
      <c r="R60" s="875"/>
      <c r="S60" s="875"/>
      <c r="T60" s="875"/>
      <c r="U60" s="875"/>
      <c r="V60" s="875"/>
      <c r="W60" s="875"/>
      <c r="X60" s="875"/>
      <c r="Y60" s="875"/>
      <c r="Z60" s="875"/>
    </row>
    <row r="61" spans="1:26" ht="18.75" hidden="1">
      <c r="A61" s="888"/>
      <c r="B61" s="889"/>
      <c r="C61" s="889"/>
      <c r="D61" s="889"/>
      <c r="E61" s="890" t="s">
        <v>19</v>
      </c>
      <c r="F61" s="889"/>
      <c r="G61" s="891"/>
      <c r="H61" s="50" t="s">
        <v>12</v>
      </c>
      <c r="I61" s="892"/>
      <c r="J61" s="892"/>
      <c r="K61" s="893"/>
      <c r="L61" s="893">
        <f ca="1">IFERROR(__xludf.DUMMYFUNCTION("IMPORTRANGE(""https://docs.google.com/spreadsheets/d/1MeEWN-I1oV_STSDYn1IFDPWt_1FKiwhDph83XaGc0o0/edit?usp=sharing"",""งบพรบ!Z80"")"),0)</f>
        <v>0</v>
      </c>
      <c r="M61" s="893">
        <f ca="1">IFERROR(__xludf.DUMMYFUNCTION("IMPORTRANGE(""https://docs.google.com/spreadsheets/d/1MeEWN-I1oV_STSDYn1IFDPWt_1FKiwhDph83XaGc0o0/edit?usp=sharing"",""งบพรบ!AC80"")"),0)</f>
        <v>0</v>
      </c>
      <c r="N61" s="893">
        <f ca="1">IFERROR(__xludf.DUMMYFUNCTION("IMPORTRANGE(""https://docs.google.com/spreadsheets/d/1MeEWN-I1oV_STSDYn1IFDPWt_1FKiwhDph83XaGc0o0/edit?usp=sharing"",""งบพรบ!AE80"")"),0)</f>
        <v>0</v>
      </c>
      <c r="O61" s="893">
        <f t="shared" ca="1" si="32"/>
        <v>0</v>
      </c>
      <c r="P61" s="893">
        <f t="shared" ca="1" si="33"/>
        <v>0</v>
      </c>
      <c r="Q61" s="875"/>
      <c r="R61" s="875"/>
      <c r="S61" s="875"/>
      <c r="T61" s="875"/>
      <c r="U61" s="875"/>
      <c r="V61" s="875"/>
      <c r="W61" s="875"/>
      <c r="X61" s="875"/>
      <c r="Y61" s="875"/>
      <c r="Z61" s="875"/>
    </row>
    <row r="62" spans="1:26" ht="19.5">
      <c r="A62" s="963" t="s">
        <v>31</v>
      </c>
      <c r="B62" s="964"/>
      <c r="C62" s="964"/>
      <c r="D62" s="964"/>
      <c r="E62" s="965"/>
      <c r="F62" s="965"/>
      <c r="G62" s="966"/>
      <c r="H62" s="967"/>
      <c r="I62" s="968"/>
      <c r="J62" s="968"/>
      <c r="K62" s="969"/>
      <c r="L62" s="969"/>
      <c r="M62" s="969"/>
      <c r="N62" s="969"/>
      <c r="O62" s="969"/>
      <c r="P62" s="969"/>
    </row>
    <row r="63" spans="1:26" ht="19.5" hidden="1">
      <c r="A63" s="970" t="s">
        <v>32</v>
      </c>
      <c r="B63" s="971"/>
      <c r="C63" s="972"/>
      <c r="D63" s="971"/>
      <c r="E63" s="971"/>
      <c r="F63" s="971"/>
      <c r="G63" s="973"/>
      <c r="H63" s="974"/>
      <c r="I63" s="975"/>
      <c r="J63" s="975"/>
      <c r="K63" s="976"/>
      <c r="L63" s="976"/>
      <c r="M63" s="976"/>
      <c r="N63" s="976"/>
      <c r="O63" s="976"/>
      <c r="P63" s="976"/>
    </row>
    <row r="64" spans="1:26" ht="19.5" hidden="1">
      <c r="A64" s="977"/>
      <c r="B64" s="978" t="s">
        <v>33</v>
      </c>
      <c r="C64" s="979"/>
      <c r="D64" s="980"/>
      <c r="E64" s="979"/>
      <c r="F64" s="979"/>
      <c r="G64" s="981"/>
      <c r="H64" s="205" t="s">
        <v>34</v>
      </c>
      <c r="I64" s="982">
        <f t="shared" ref="I64:J65" ca="1" si="37">I76</f>
        <v>0</v>
      </c>
      <c r="J64" s="982">
        <f t="shared" si="37"/>
        <v>0</v>
      </c>
      <c r="K64" s="983">
        <f t="shared" ref="K64:K65" ca="1" si="38">IF(I64&gt;0,J64*100/I64,0)</f>
        <v>0</v>
      </c>
      <c r="L64" s="984"/>
      <c r="M64" s="984"/>
      <c r="N64" s="984"/>
      <c r="O64" s="984"/>
      <c r="P64" s="984"/>
    </row>
    <row r="65" spans="1:26" ht="19.5" hidden="1">
      <c r="A65" s="977"/>
      <c r="B65" s="979"/>
      <c r="C65" s="979"/>
      <c r="D65" s="980"/>
      <c r="E65" s="979"/>
      <c r="F65" s="979"/>
      <c r="G65" s="981"/>
      <c r="H65" s="205" t="s">
        <v>35</v>
      </c>
      <c r="I65" s="982">
        <f t="shared" ca="1" si="37"/>
        <v>0</v>
      </c>
      <c r="J65" s="982">
        <f t="shared" si="37"/>
        <v>0</v>
      </c>
      <c r="K65" s="983">
        <f t="shared" ca="1" si="38"/>
        <v>0</v>
      </c>
      <c r="L65" s="984"/>
      <c r="M65" s="984"/>
      <c r="N65" s="984"/>
      <c r="O65" s="984"/>
      <c r="P65" s="984"/>
    </row>
    <row r="66" spans="1:26" ht="19.5" hidden="1">
      <c r="A66" s="985"/>
      <c r="B66" s="986"/>
      <c r="C66" s="987" t="s">
        <v>16</v>
      </c>
      <c r="D66" s="988" t="s">
        <v>17</v>
      </c>
      <c r="E66" s="986"/>
      <c r="F66" s="986"/>
      <c r="G66" s="989"/>
      <c r="H66" s="152" t="s">
        <v>12</v>
      </c>
      <c r="I66" s="990"/>
      <c r="J66" s="990"/>
      <c r="K66" s="991"/>
      <c r="L66" s="992">
        <f t="shared" ref="L66:N66" ca="1" si="39">L67+L68</f>
        <v>0</v>
      </c>
      <c r="M66" s="992">
        <f t="shared" ca="1" si="39"/>
        <v>0</v>
      </c>
      <c r="N66" s="992">
        <f t="shared" ca="1" si="39"/>
        <v>0</v>
      </c>
      <c r="O66" s="992">
        <f t="shared" ref="O66:O74" ca="1" si="40">IF(L66&gt;0,N66*100/L66,0)</f>
        <v>0</v>
      </c>
      <c r="P66" s="992">
        <f t="shared" ref="P66:P74" ca="1" si="41">IF(M66&gt;0,N66*100/M66,0)</f>
        <v>0</v>
      </c>
      <c r="Q66" s="868"/>
      <c r="R66" s="868"/>
      <c r="S66" s="868"/>
      <c r="T66" s="868"/>
      <c r="U66" s="868"/>
      <c r="V66" s="868"/>
      <c r="W66" s="868"/>
      <c r="X66" s="868"/>
      <c r="Y66" s="868"/>
      <c r="Z66" s="868"/>
    </row>
    <row r="67" spans="1:26" ht="18.75" hidden="1">
      <c r="A67" s="993"/>
      <c r="B67" s="883"/>
      <c r="C67" s="883"/>
      <c r="D67" s="883"/>
      <c r="E67" s="884" t="s">
        <v>18</v>
      </c>
      <c r="F67" s="883"/>
      <c r="G67" s="994"/>
      <c r="H67" s="158" t="s">
        <v>12</v>
      </c>
      <c r="I67" s="886"/>
      <c r="J67" s="886"/>
      <c r="K67" s="887"/>
      <c r="L67" s="887">
        <f t="shared" ref="L67:N68" si="42">L70+L73</f>
        <v>0</v>
      </c>
      <c r="M67" s="887">
        <f t="shared" si="42"/>
        <v>0</v>
      </c>
      <c r="N67" s="887">
        <f t="shared" si="42"/>
        <v>0</v>
      </c>
      <c r="O67" s="887">
        <f t="shared" si="40"/>
        <v>0</v>
      </c>
      <c r="P67" s="887">
        <f t="shared" si="41"/>
        <v>0</v>
      </c>
      <c r="Q67" s="875"/>
      <c r="R67" s="875"/>
      <c r="S67" s="875"/>
      <c r="T67" s="875"/>
      <c r="U67" s="875"/>
      <c r="V67" s="875"/>
      <c r="W67" s="875"/>
      <c r="X67" s="875"/>
      <c r="Y67" s="875"/>
      <c r="Z67" s="875"/>
    </row>
    <row r="68" spans="1:26" ht="18.75" hidden="1">
      <c r="A68" s="993"/>
      <c r="B68" s="883"/>
      <c r="C68" s="883"/>
      <c r="D68" s="883"/>
      <c r="E68" s="884" t="s">
        <v>19</v>
      </c>
      <c r="F68" s="883"/>
      <c r="G68" s="994"/>
      <c r="H68" s="158" t="s">
        <v>12</v>
      </c>
      <c r="I68" s="886"/>
      <c r="J68" s="886"/>
      <c r="K68" s="887"/>
      <c r="L68" s="887">
        <f t="shared" ca="1" si="42"/>
        <v>0</v>
      </c>
      <c r="M68" s="887">
        <f t="shared" ca="1" si="42"/>
        <v>0</v>
      </c>
      <c r="N68" s="887">
        <f t="shared" ca="1" si="42"/>
        <v>0</v>
      </c>
      <c r="O68" s="887">
        <f t="shared" ca="1" si="40"/>
        <v>0</v>
      </c>
      <c r="P68" s="887">
        <f t="shared" ca="1" si="41"/>
        <v>0</v>
      </c>
      <c r="Q68" s="875"/>
      <c r="R68" s="875"/>
      <c r="S68" s="875"/>
      <c r="T68" s="875"/>
      <c r="U68" s="875"/>
      <c r="V68" s="875"/>
      <c r="W68" s="875"/>
      <c r="X68" s="875"/>
      <c r="Y68" s="875"/>
      <c r="Z68" s="875"/>
    </row>
    <row r="69" spans="1:26" ht="18.75" hidden="1">
      <c r="A69" s="995"/>
      <c r="B69" s="877"/>
      <c r="C69" s="996"/>
      <c r="D69" s="878" t="s">
        <v>20</v>
      </c>
      <c r="E69" s="877"/>
      <c r="F69" s="877"/>
      <c r="G69" s="879"/>
      <c r="H69" s="161" t="s">
        <v>12</v>
      </c>
      <c r="I69" s="997"/>
      <c r="J69" s="997"/>
      <c r="K69" s="998"/>
      <c r="L69" s="881">
        <f t="shared" ref="L69:N69" ca="1" si="43">L70+L71</f>
        <v>0</v>
      </c>
      <c r="M69" s="881">
        <f t="shared" ca="1" si="43"/>
        <v>0</v>
      </c>
      <c r="N69" s="881">
        <f t="shared" ca="1" si="43"/>
        <v>0</v>
      </c>
      <c r="O69" s="881">
        <f t="shared" ca="1" si="40"/>
        <v>0</v>
      </c>
      <c r="P69" s="881">
        <f t="shared" ca="1" si="41"/>
        <v>0</v>
      </c>
      <c r="Q69" s="868"/>
      <c r="R69" s="868"/>
      <c r="S69" s="868"/>
      <c r="T69" s="868"/>
      <c r="U69" s="868"/>
      <c r="V69" s="868"/>
      <c r="W69" s="868"/>
      <c r="X69" s="868"/>
      <c r="Y69" s="868"/>
      <c r="Z69" s="868"/>
    </row>
    <row r="70" spans="1:26" ht="19.5" hidden="1">
      <c r="A70" s="993"/>
      <c r="B70" s="883"/>
      <c r="C70" s="999"/>
      <c r="D70" s="883"/>
      <c r="E70" s="884" t="s">
        <v>36</v>
      </c>
      <c r="F70" s="883"/>
      <c r="G70" s="994"/>
      <c r="H70" s="165" t="s">
        <v>12</v>
      </c>
      <c r="I70" s="1000"/>
      <c r="J70" s="1000"/>
      <c r="K70" s="1001"/>
      <c r="L70" s="887">
        <v>0</v>
      </c>
      <c r="M70" s="887">
        <v>0</v>
      </c>
      <c r="N70" s="887">
        <v>0</v>
      </c>
      <c r="O70" s="887">
        <f t="shared" si="40"/>
        <v>0</v>
      </c>
      <c r="P70" s="887">
        <f t="shared" si="41"/>
        <v>0</v>
      </c>
      <c r="Q70" s="875"/>
      <c r="R70" s="875"/>
      <c r="S70" s="875"/>
      <c r="T70" s="875"/>
      <c r="U70" s="875"/>
      <c r="V70" s="875"/>
      <c r="W70" s="875"/>
      <c r="X70" s="875"/>
      <c r="Y70" s="875"/>
      <c r="Z70" s="875"/>
    </row>
    <row r="71" spans="1:26" ht="19.5" hidden="1">
      <c r="A71" s="993"/>
      <c r="B71" s="883"/>
      <c r="C71" s="999"/>
      <c r="D71" s="883"/>
      <c r="E71" s="884" t="s">
        <v>37</v>
      </c>
      <c r="F71" s="883"/>
      <c r="G71" s="994"/>
      <c r="H71" s="165" t="s">
        <v>12</v>
      </c>
      <c r="I71" s="1000"/>
      <c r="J71" s="1000"/>
      <c r="K71" s="1001"/>
      <c r="L71" s="887">
        <f ca="1">IFERROR(__xludf.DUMMYFUNCTION("IMPORTRANGE(""https://docs.google.com/spreadsheets/d/1MeEWN-I1oV_STSDYn1IFDPWt_1FKiwhDph83XaGc0o0/edit?usp=sharing"",""งบพรบ!AG80"")"),0)</f>
        <v>0</v>
      </c>
      <c r="M71" s="887">
        <f ca="1">IFERROR(__xludf.DUMMYFUNCTION("IMPORTRANGE(""https://docs.google.com/spreadsheets/d/1MeEWN-I1oV_STSDYn1IFDPWt_1FKiwhDph83XaGc0o0/edit?usp=sharing"",""งบพรบ!AL80"")"),0)</f>
        <v>0</v>
      </c>
      <c r="N71" s="887">
        <f ca="1">IFERROR(__xludf.DUMMYFUNCTION("IMPORTRANGE(""https://docs.google.com/spreadsheets/d/1MeEWN-I1oV_STSDYn1IFDPWt_1FKiwhDph83XaGc0o0/edit?usp=sharing"",""งบพรบ!AN80"")"),0)</f>
        <v>0</v>
      </c>
      <c r="O71" s="887">
        <f t="shared" ca="1" si="40"/>
        <v>0</v>
      </c>
      <c r="P71" s="887">
        <f t="shared" ca="1" si="41"/>
        <v>0</v>
      </c>
      <c r="Q71" s="875"/>
      <c r="R71" s="875"/>
      <c r="S71" s="875"/>
      <c r="T71" s="875"/>
      <c r="U71" s="875"/>
      <c r="V71" s="875"/>
      <c r="W71" s="875"/>
      <c r="X71" s="875"/>
      <c r="Y71" s="875"/>
      <c r="Z71" s="875"/>
    </row>
    <row r="72" spans="1:26" ht="18.75" hidden="1">
      <c r="A72" s="995"/>
      <c r="B72" s="877"/>
      <c r="C72" s="996"/>
      <c r="D72" s="878" t="s">
        <v>21</v>
      </c>
      <c r="E72" s="877"/>
      <c r="F72" s="877"/>
      <c r="G72" s="879"/>
      <c r="H72" s="168" t="s">
        <v>12</v>
      </c>
      <c r="I72" s="997"/>
      <c r="J72" s="997"/>
      <c r="K72" s="998"/>
      <c r="L72" s="881">
        <f t="shared" ref="L72:N72" ca="1" si="44">L73+L74</f>
        <v>0</v>
      </c>
      <c r="M72" s="881">
        <f t="shared" ca="1" si="44"/>
        <v>0</v>
      </c>
      <c r="N72" s="881">
        <f t="shared" ca="1" si="44"/>
        <v>0</v>
      </c>
      <c r="O72" s="881">
        <f t="shared" ca="1" si="40"/>
        <v>0</v>
      </c>
      <c r="P72" s="881">
        <f t="shared" ca="1" si="41"/>
        <v>0</v>
      </c>
      <c r="Q72" s="868"/>
      <c r="R72" s="868"/>
      <c r="S72" s="868"/>
      <c r="T72" s="868"/>
      <c r="U72" s="868"/>
      <c r="V72" s="868"/>
      <c r="W72" s="868"/>
      <c r="X72" s="868"/>
      <c r="Y72" s="868"/>
      <c r="Z72" s="868"/>
    </row>
    <row r="73" spans="1:26" ht="19.5" hidden="1">
      <c r="A73" s="993"/>
      <c r="B73" s="883"/>
      <c r="C73" s="999"/>
      <c r="D73" s="883"/>
      <c r="E73" s="884" t="s">
        <v>18</v>
      </c>
      <c r="F73" s="883"/>
      <c r="G73" s="994"/>
      <c r="H73" s="165" t="s">
        <v>12</v>
      </c>
      <c r="I73" s="1000"/>
      <c r="J73" s="1000"/>
      <c r="K73" s="1001"/>
      <c r="L73" s="887">
        <v>0</v>
      </c>
      <c r="M73" s="887"/>
      <c r="N73" s="887"/>
      <c r="O73" s="887">
        <f t="shared" si="40"/>
        <v>0</v>
      </c>
      <c r="P73" s="887">
        <f t="shared" si="41"/>
        <v>0</v>
      </c>
      <c r="Q73" s="875"/>
      <c r="R73" s="875"/>
      <c r="S73" s="875"/>
      <c r="T73" s="875"/>
      <c r="U73" s="875"/>
      <c r="V73" s="875"/>
      <c r="W73" s="875"/>
      <c r="X73" s="875"/>
      <c r="Y73" s="875"/>
      <c r="Z73" s="875"/>
    </row>
    <row r="74" spans="1:26" ht="19.5" hidden="1">
      <c r="A74" s="993"/>
      <c r="B74" s="883"/>
      <c r="C74" s="999"/>
      <c r="D74" s="883"/>
      <c r="E74" s="884" t="s">
        <v>19</v>
      </c>
      <c r="F74" s="883"/>
      <c r="G74" s="994"/>
      <c r="H74" s="169" t="s">
        <v>12</v>
      </c>
      <c r="I74" s="1000"/>
      <c r="J74" s="1000"/>
      <c r="K74" s="1001"/>
      <c r="L74" s="887">
        <f ca="1">IFERROR(__xludf.DUMMYFUNCTION("IMPORTRANGE(""https://docs.google.com/spreadsheets/d/1MeEWN-I1oV_STSDYn1IFDPWt_1FKiwhDph83XaGc0o0/edit?usp=sharing"",""งบพรบ!AJ80"")"),0)</f>
        <v>0</v>
      </c>
      <c r="M74" s="887">
        <f ca="1">IFERROR(__xludf.DUMMYFUNCTION("IMPORTRANGE(""https://docs.google.com/spreadsheets/d/1MeEWN-I1oV_STSDYn1IFDPWt_1FKiwhDph83XaGc0o0/edit?usp=sharing"",""งบพรบ!AM80"")"),0)</f>
        <v>0</v>
      </c>
      <c r="N74" s="887">
        <f ca="1">IFERROR(__xludf.DUMMYFUNCTION("IMPORTRANGE(""https://docs.google.com/spreadsheets/d/1MeEWN-I1oV_STSDYn1IFDPWt_1FKiwhDph83XaGc0o0/edit?usp=sharing"",""งบพรบ!AO80"")"),0)</f>
        <v>0</v>
      </c>
      <c r="O74" s="887">
        <f t="shared" ca="1" si="40"/>
        <v>0</v>
      </c>
      <c r="P74" s="887">
        <f t="shared" ca="1" si="41"/>
        <v>0</v>
      </c>
      <c r="Q74" s="875"/>
      <c r="R74" s="875"/>
      <c r="S74" s="875"/>
      <c r="T74" s="875"/>
      <c r="U74" s="875"/>
      <c r="V74" s="875"/>
      <c r="W74" s="875"/>
      <c r="X74" s="875"/>
      <c r="Y74" s="875"/>
      <c r="Z74" s="875"/>
    </row>
    <row r="75" spans="1:26" ht="19.5" hidden="1">
      <c r="A75" s="1002"/>
      <c r="B75" s="1003"/>
      <c r="C75" s="999" t="s">
        <v>16</v>
      </c>
      <c r="D75" s="1004" t="s">
        <v>38</v>
      </c>
      <c r="E75" s="1005"/>
      <c r="F75" s="1005"/>
      <c r="G75" s="1006"/>
      <c r="H75" s="1007"/>
      <c r="I75" s="997"/>
      <c r="J75" s="997"/>
      <c r="K75" s="998"/>
      <c r="L75" s="998"/>
      <c r="M75" s="998"/>
      <c r="N75" s="998"/>
      <c r="O75" s="998"/>
      <c r="P75" s="998"/>
    </row>
    <row r="76" spans="1:26" ht="19.5" hidden="1">
      <c r="A76" s="1002"/>
      <c r="B76" s="1003"/>
      <c r="C76" s="1003"/>
      <c r="D76" s="1008" t="s">
        <v>39</v>
      </c>
      <c r="E76" s="1009"/>
      <c r="F76" s="1010"/>
      <c r="G76" s="1011"/>
      <c r="H76" s="180" t="s">
        <v>34</v>
      </c>
      <c r="I76" s="880">
        <f t="shared" ref="I76:J77" ca="1" si="45">I78+I80+I82</f>
        <v>0</v>
      </c>
      <c r="J76" s="880">
        <f t="shared" si="45"/>
        <v>0</v>
      </c>
      <c r="K76" s="998">
        <f t="shared" ref="K76:K84" ca="1" si="46">IF(I76&gt;0,J76*100/I76,0)</f>
        <v>0</v>
      </c>
      <c r="L76" s="998"/>
      <c r="M76" s="998"/>
      <c r="N76" s="998"/>
      <c r="O76" s="998"/>
      <c r="P76" s="998"/>
    </row>
    <row r="77" spans="1:26" ht="19.5" hidden="1">
      <c r="A77" s="1002"/>
      <c r="B77" s="1003"/>
      <c r="C77" s="1003"/>
      <c r="D77" s="1003"/>
      <c r="E77" s="1010"/>
      <c r="F77" s="1010"/>
      <c r="G77" s="1011"/>
      <c r="H77" s="180" t="s">
        <v>35</v>
      </c>
      <c r="I77" s="880">
        <f t="shared" ca="1" si="45"/>
        <v>0</v>
      </c>
      <c r="J77" s="880">
        <f t="shared" si="45"/>
        <v>0</v>
      </c>
      <c r="K77" s="998">
        <f t="shared" ca="1" si="46"/>
        <v>0</v>
      </c>
      <c r="L77" s="998"/>
      <c r="M77" s="998"/>
      <c r="N77" s="998"/>
      <c r="O77" s="998"/>
      <c r="P77" s="998"/>
    </row>
    <row r="78" spans="1:26" ht="18.75" hidden="1">
      <c r="A78" s="1002"/>
      <c r="B78" s="1003"/>
      <c r="C78" s="1003"/>
      <c r="D78" s="1003"/>
      <c r="E78" s="1009" t="s">
        <v>40</v>
      </c>
      <c r="F78" s="1009"/>
      <c r="G78" s="1011"/>
      <c r="H78" s="762" t="s">
        <v>34</v>
      </c>
      <c r="I78" s="997">
        <f ca="1">IFERROR(__xludf.DUMMYFUNCTION("IMPORTRANGE(""https://docs.google.com/spreadsheets/d/1QqKyyYR6Q21VydFLVH3TRQUabQu_ym0Zz7PgGX0-kHA/edit?usp=sharing"",""แผน!H80"")"),0)</f>
        <v>0</v>
      </c>
      <c r="J78" s="1012">
        <v>0</v>
      </c>
      <c r="K78" s="998">
        <f t="shared" ca="1" si="46"/>
        <v>0</v>
      </c>
      <c r="L78" s="998"/>
      <c r="M78" s="998"/>
      <c r="N78" s="998"/>
      <c r="O78" s="998"/>
      <c r="P78" s="998"/>
    </row>
    <row r="79" spans="1:26" ht="18.75" hidden="1">
      <c r="A79" s="1002"/>
      <c r="B79" s="1003"/>
      <c r="C79" s="1003"/>
      <c r="D79" s="1003"/>
      <c r="E79" s="1010"/>
      <c r="F79" s="1010"/>
      <c r="G79" s="1011"/>
      <c r="H79" s="762" t="s">
        <v>35</v>
      </c>
      <c r="I79" s="997">
        <f ca="1">IFERROR(__xludf.DUMMYFUNCTION("IMPORTRANGE(""https://docs.google.com/spreadsheets/d/1QqKyyYR6Q21VydFLVH3TRQUabQu_ym0Zz7PgGX0-kHA/edit?usp=sharing"",""แผน!I80"")"),0)</f>
        <v>0</v>
      </c>
      <c r="J79" s="1012">
        <v>0</v>
      </c>
      <c r="K79" s="998">
        <f t="shared" ca="1" si="46"/>
        <v>0</v>
      </c>
      <c r="L79" s="998"/>
      <c r="M79" s="998"/>
      <c r="N79" s="998"/>
      <c r="O79" s="998"/>
      <c r="P79" s="998"/>
    </row>
    <row r="80" spans="1:26" ht="18.75" hidden="1">
      <c r="A80" s="1002"/>
      <c r="B80" s="1003"/>
      <c r="C80" s="1003"/>
      <c r="D80" s="1003"/>
      <c r="E80" s="1009" t="s">
        <v>41</v>
      </c>
      <c r="F80" s="1009"/>
      <c r="G80" s="1011"/>
      <c r="H80" s="762" t="s">
        <v>34</v>
      </c>
      <c r="I80" s="997">
        <f ca="1">IFERROR(__xludf.DUMMYFUNCTION("IMPORTRANGE(""https://docs.google.com/spreadsheets/d/1QqKyyYR6Q21VydFLVH3TRQUabQu_ym0Zz7PgGX0-kHA/edit?usp=sharing"",""แผน!F80"")"),0)</f>
        <v>0</v>
      </c>
      <c r="J80" s="1012">
        <v>0</v>
      </c>
      <c r="K80" s="998">
        <f t="shared" ca="1" si="46"/>
        <v>0</v>
      </c>
      <c r="L80" s="998"/>
      <c r="M80" s="998"/>
      <c r="N80" s="998"/>
      <c r="O80" s="998"/>
      <c r="P80" s="998"/>
    </row>
    <row r="81" spans="1:26" ht="18.75" hidden="1">
      <c r="A81" s="1002"/>
      <c r="B81" s="1003"/>
      <c r="C81" s="1003"/>
      <c r="D81" s="1003"/>
      <c r="E81" s="1010"/>
      <c r="F81" s="1010"/>
      <c r="G81" s="1011"/>
      <c r="H81" s="762" t="s">
        <v>35</v>
      </c>
      <c r="I81" s="997">
        <f ca="1">IFERROR(__xludf.DUMMYFUNCTION("IMPORTRANGE(""https://docs.google.com/spreadsheets/d/1QqKyyYR6Q21VydFLVH3TRQUabQu_ym0Zz7PgGX0-kHA/edit?usp=sharing"",""แผน!G80"")"),0)</f>
        <v>0</v>
      </c>
      <c r="J81" s="1012">
        <v>0</v>
      </c>
      <c r="K81" s="998">
        <f t="shared" ca="1" si="46"/>
        <v>0</v>
      </c>
      <c r="L81" s="998"/>
      <c r="M81" s="998"/>
      <c r="N81" s="998"/>
      <c r="O81" s="998"/>
      <c r="P81" s="998"/>
    </row>
    <row r="82" spans="1:26" ht="18.75" hidden="1">
      <c r="A82" s="1002"/>
      <c r="B82" s="1003"/>
      <c r="C82" s="1003"/>
      <c r="D82" s="1003"/>
      <c r="E82" s="1009" t="s">
        <v>42</v>
      </c>
      <c r="F82" s="1009"/>
      <c r="G82" s="1011"/>
      <c r="H82" s="762" t="s">
        <v>34</v>
      </c>
      <c r="I82" s="997">
        <f ca="1">IFERROR(__xludf.DUMMYFUNCTION("IMPORTRANGE(""https://docs.google.com/spreadsheets/d/1QqKyyYR6Q21VydFLVH3TRQUabQu_ym0Zz7PgGX0-kHA/edit?usp=sharing"",""แผน!D80"")"),0)</f>
        <v>0</v>
      </c>
      <c r="J82" s="1012">
        <v>0</v>
      </c>
      <c r="K82" s="998">
        <f t="shared" ca="1" si="46"/>
        <v>0</v>
      </c>
      <c r="L82" s="998"/>
      <c r="M82" s="998"/>
      <c r="N82" s="998"/>
      <c r="O82" s="998"/>
      <c r="P82" s="998"/>
    </row>
    <row r="83" spans="1:26" ht="18.75" hidden="1">
      <c r="A83" s="1002"/>
      <c r="B83" s="1003"/>
      <c r="C83" s="1003"/>
      <c r="D83" s="1003"/>
      <c r="E83" s="1010"/>
      <c r="F83" s="1010"/>
      <c r="G83" s="1011"/>
      <c r="H83" s="762" t="s">
        <v>35</v>
      </c>
      <c r="I83" s="997">
        <f ca="1">IFERROR(__xludf.DUMMYFUNCTION("IMPORTRANGE(""https://docs.google.com/spreadsheets/d/1QqKyyYR6Q21VydFLVH3TRQUabQu_ym0Zz7PgGX0-kHA/edit?usp=sharing"",""แผน!E80"")"),0)</f>
        <v>0</v>
      </c>
      <c r="J83" s="1012">
        <v>0</v>
      </c>
      <c r="K83" s="998">
        <f t="shared" ca="1" si="46"/>
        <v>0</v>
      </c>
      <c r="L83" s="998"/>
      <c r="M83" s="998"/>
      <c r="N83" s="998"/>
      <c r="O83" s="998"/>
      <c r="P83" s="998"/>
    </row>
    <row r="84" spans="1:26" ht="18.75" hidden="1">
      <c r="A84" s="1002"/>
      <c r="B84" s="1003"/>
      <c r="C84" s="1003"/>
      <c r="D84" s="1008" t="s">
        <v>43</v>
      </c>
      <c r="E84" s="1009"/>
      <c r="F84" s="1010"/>
      <c r="G84" s="1011"/>
      <c r="H84" s="185" t="s">
        <v>34</v>
      </c>
      <c r="I84" s="997">
        <f ca="1">IFERROR(__xludf.DUMMYFUNCTION("IMPORTRANGE(""https://docs.google.com/spreadsheets/d/1QqKyyYR6Q21VydFLVH3TRQUabQu_ym0Zz7PgGX0-kHA/edit?usp=sharing"",""แผน!J80"")"),0)</f>
        <v>0</v>
      </c>
      <c r="J84" s="1012">
        <v>0</v>
      </c>
      <c r="K84" s="998">
        <f t="shared" ca="1" si="46"/>
        <v>0</v>
      </c>
      <c r="L84" s="998"/>
      <c r="M84" s="998"/>
      <c r="N84" s="998"/>
      <c r="O84" s="998"/>
      <c r="P84" s="998"/>
    </row>
    <row r="85" spans="1:26" ht="19.5">
      <c r="A85" s="970" t="s">
        <v>44</v>
      </c>
      <c r="B85" s="971"/>
      <c r="C85" s="972"/>
      <c r="D85" s="971"/>
      <c r="E85" s="971"/>
      <c r="F85" s="971"/>
      <c r="G85" s="973"/>
      <c r="H85" s="974"/>
      <c r="I85" s="975"/>
      <c r="J85" s="975"/>
      <c r="K85" s="976"/>
      <c r="L85" s="976"/>
      <c r="M85" s="976"/>
      <c r="N85" s="976"/>
      <c r="O85" s="976"/>
      <c r="P85" s="976"/>
    </row>
    <row r="86" spans="1:26" ht="19.5">
      <c r="A86" s="977"/>
      <c r="B86" s="978" t="s">
        <v>45</v>
      </c>
      <c r="C86" s="979"/>
      <c r="D86" s="980"/>
      <c r="E86" s="979"/>
      <c r="F86" s="979"/>
      <c r="G86" s="981"/>
      <c r="H86" s="205" t="s">
        <v>46</v>
      </c>
      <c r="I86" s="982">
        <f t="shared" ref="I86:J87" ca="1" si="47">I98</f>
        <v>30</v>
      </c>
      <c r="J86" s="982">
        <f t="shared" si="47"/>
        <v>30</v>
      </c>
      <c r="K86" s="983">
        <f t="shared" ref="K86:K87" ca="1" si="48">IF(I86&gt;0,J86*100/I86,0)</f>
        <v>100</v>
      </c>
      <c r="L86" s="984"/>
      <c r="M86" s="984"/>
      <c r="N86" s="984"/>
      <c r="O86" s="984"/>
      <c r="P86" s="984"/>
    </row>
    <row r="87" spans="1:26" ht="19.5">
      <c r="A87" s="977"/>
      <c r="B87" s="979"/>
      <c r="C87" s="979"/>
      <c r="D87" s="980"/>
      <c r="E87" s="979"/>
      <c r="F87" s="979"/>
      <c r="G87" s="981"/>
      <c r="H87" s="205" t="s">
        <v>35</v>
      </c>
      <c r="I87" s="982">
        <f t="shared" ca="1" si="47"/>
        <v>10</v>
      </c>
      <c r="J87" s="982">
        <f t="shared" si="47"/>
        <v>10</v>
      </c>
      <c r="K87" s="983">
        <f t="shared" ca="1" si="48"/>
        <v>100</v>
      </c>
      <c r="L87" s="984"/>
      <c r="M87" s="984"/>
      <c r="N87" s="984"/>
      <c r="O87" s="984"/>
      <c r="P87" s="984"/>
    </row>
    <row r="88" spans="1:26" ht="19.5">
      <c r="A88" s="985"/>
      <c r="B88" s="986"/>
      <c r="C88" s="987" t="s">
        <v>16</v>
      </c>
      <c r="D88" s="988" t="s">
        <v>17</v>
      </c>
      <c r="E88" s="986"/>
      <c r="F88" s="986"/>
      <c r="G88" s="989"/>
      <c r="H88" s="152" t="s">
        <v>12</v>
      </c>
      <c r="I88" s="990"/>
      <c r="J88" s="990"/>
      <c r="K88" s="991"/>
      <c r="L88" s="992">
        <f t="shared" ref="L88:N88" ca="1" si="49">L89+L90</f>
        <v>228840</v>
      </c>
      <c r="M88" s="992">
        <f t="shared" ca="1" si="49"/>
        <v>183140</v>
      </c>
      <c r="N88" s="992">
        <f t="shared" ca="1" si="49"/>
        <v>82939.94</v>
      </c>
      <c r="O88" s="992">
        <f t="shared" ref="O88:O96" ca="1" si="50">IF(L88&gt;0,N88*100/L88,0)</f>
        <v>36.243637475965741</v>
      </c>
      <c r="P88" s="992">
        <f t="shared" ref="P88:P96" ca="1" si="51">IF(M88&gt;0,N88*100/M88,0)</f>
        <v>45.287725237523205</v>
      </c>
      <c r="Q88" s="868"/>
      <c r="R88" s="868"/>
      <c r="S88" s="868"/>
      <c r="T88" s="868"/>
      <c r="U88" s="868"/>
      <c r="V88" s="868"/>
      <c r="W88" s="868"/>
      <c r="X88" s="868"/>
      <c r="Y88" s="868"/>
      <c r="Z88" s="868"/>
    </row>
    <row r="89" spans="1:26" ht="18.75" hidden="1">
      <c r="A89" s="993"/>
      <c r="B89" s="883"/>
      <c r="C89" s="883"/>
      <c r="D89" s="883"/>
      <c r="E89" s="884" t="s">
        <v>18</v>
      </c>
      <c r="F89" s="883"/>
      <c r="G89" s="994"/>
      <c r="H89" s="158" t="s">
        <v>12</v>
      </c>
      <c r="I89" s="886"/>
      <c r="J89" s="886"/>
      <c r="K89" s="887"/>
      <c r="L89" s="887">
        <f t="shared" ref="L89:N90" si="52">L92+L95</f>
        <v>0</v>
      </c>
      <c r="M89" s="887">
        <f t="shared" si="52"/>
        <v>0</v>
      </c>
      <c r="N89" s="887">
        <f t="shared" si="52"/>
        <v>0</v>
      </c>
      <c r="O89" s="887">
        <f t="shared" si="50"/>
        <v>0</v>
      </c>
      <c r="P89" s="887">
        <f t="shared" si="51"/>
        <v>0</v>
      </c>
      <c r="Q89" s="875"/>
      <c r="R89" s="875"/>
      <c r="S89" s="875"/>
      <c r="T89" s="875"/>
      <c r="U89" s="875"/>
      <c r="V89" s="875"/>
      <c r="W89" s="875"/>
      <c r="X89" s="875"/>
      <c r="Y89" s="875"/>
      <c r="Z89" s="875"/>
    </row>
    <row r="90" spans="1:26" ht="18.75" hidden="1">
      <c r="A90" s="993"/>
      <c r="B90" s="883"/>
      <c r="C90" s="883"/>
      <c r="D90" s="883"/>
      <c r="E90" s="884" t="s">
        <v>19</v>
      </c>
      <c r="F90" s="883"/>
      <c r="G90" s="994"/>
      <c r="H90" s="158" t="s">
        <v>12</v>
      </c>
      <c r="I90" s="886"/>
      <c r="J90" s="886"/>
      <c r="K90" s="887"/>
      <c r="L90" s="887">
        <f t="shared" ca="1" si="52"/>
        <v>228840</v>
      </c>
      <c r="M90" s="887">
        <f t="shared" ca="1" si="52"/>
        <v>183140</v>
      </c>
      <c r="N90" s="887">
        <f t="shared" ca="1" si="52"/>
        <v>82939.94</v>
      </c>
      <c r="O90" s="887">
        <f t="shared" ca="1" si="50"/>
        <v>36.243637475965741</v>
      </c>
      <c r="P90" s="887">
        <f t="shared" ca="1" si="51"/>
        <v>45.287725237523205</v>
      </c>
      <c r="Q90" s="875"/>
      <c r="R90" s="875"/>
      <c r="S90" s="875"/>
      <c r="T90" s="875"/>
      <c r="U90" s="875"/>
      <c r="V90" s="875"/>
      <c r="W90" s="875"/>
      <c r="X90" s="875"/>
      <c r="Y90" s="875"/>
      <c r="Z90" s="875"/>
    </row>
    <row r="91" spans="1:26" ht="18.75">
      <c r="A91" s="995"/>
      <c r="B91" s="877"/>
      <c r="C91" s="996"/>
      <c r="D91" s="878" t="s">
        <v>20</v>
      </c>
      <c r="E91" s="877"/>
      <c r="F91" s="877"/>
      <c r="G91" s="879"/>
      <c r="H91" s="161" t="s">
        <v>12</v>
      </c>
      <c r="I91" s="997"/>
      <c r="J91" s="997"/>
      <c r="K91" s="998"/>
      <c r="L91" s="881">
        <f t="shared" ref="L91:N91" ca="1" si="53">L92+L93</f>
        <v>228840</v>
      </c>
      <c r="M91" s="881">
        <f t="shared" ca="1" si="53"/>
        <v>183140</v>
      </c>
      <c r="N91" s="881">
        <f t="shared" ca="1" si="53"/>
        <v>82939.94</v>
      </c>
      <c r="O91" s="881">
        <f t="shared" ca="1" si="50"/>
        <v>36.243637475965741</v>
      </c>
      <c r="P91" s="881">
        <f t="shared" ca="1" si="51"/>
        <v>45.287725237523205</v>
      </c>
      <c r="Q91" s="868"/>
      <c r="R91" s="868"/>
      <c r="S91" s="868"/>
      <c r="T91" s="868"/>
      <c r="U91" s="868"/>
      <c r="V91" s="868"/>
      <c r="W91" s="868"/>
      <c r="X91" s="868"/>
      <c r="Y91" s="868"/>
      <c r="Z91" s="868"/>
    </row>
    <row r="92" spans="1:26" ht="19.5" hidden="1">
      <c r="A92" s="993"/>
      <c r="B92" s="883"/>
      <c r="C92" s="999"/>
      <c r="D92" s="883"/>
      <c r="E92" s="884" t="s">
        <v>36</v>
      </c>
      <c r="F92" s="883"/>
      <c r="G92" s="994"/>
      <c r="H92" s="165" t="s">
        <v>12</v>
      </c>
      <c r="I92" s="1000"/>
      <c r="J92" s="1000"/>
      <c r="K92" s="1001"/>
      <c r="L92" s="887">
        <v>0</v>
      </c>
      <c r="M92" s="887">
        <v>0</v>
      </c>
      <c r="N92" s="887">
        <v>0</v>
      </c>
      <c r="O92" s="887">
        <f t="shared" si="50"/>
        <v>0</v>
      </c>
      <c r="P92" s="887">
        <f t="shared" si="51"/>
        <v>0</v>
      </c>
      <c r="Q92" s="875"/>
      <c r="R92" s="875"/>
      <c r="S92" s="875"/>
      <c r="T92" s="875"/>
      <c r="U92" s="875"/>
      <c r="V92" s="875"/>
      <c r="W92" s="875"/>
      <c r="X92" s="875"/>
      <c r="Y92" s="875"/>
      <c r="Z92" s="875"/>
    </row>
    <row r="93" spans="1:26" ht="19.5" hidden="1">
      <c r="A93" s="993"/>
      <c r="B93" s="883"/>
      <c r="C93" s="999"/>
      <c r="D93" s="883"/>
      <c r="E93" s="884" t="s">
        <v>37</v>
      </c>
      <c r="F93" s="883"/>
      <c r="G93" s="994"/>
      <c r="H93" s="165" t="s">
        <v>12</v>
      </c>
      <c r="I93" s="1000"/>
      <c r="J93" s="1000"/>
      <c r="K93" s="1001"/>
      <c r="L93" s="887">
        <f ca="1">IFERROR(__xludf.DUMMYFUNCTION("IMPORTRANGE(""https://docs.google.com/spreadsheets/d/1MeEWN-I1oV_STSDYn1IFDPWt_1FKiwhDph83XaGc0o0/edit?usp=sharing"",""งบพรบ!AQ80"")"),228840)</f>
        <v>228840</v>
      </c>
      <c r="M93" s="887">
        <f ca="1">IFERROR(__xludf.DUMMYFUNCTION("IMPORTRANGE(""https://docs.google.com/spreadsheets/d/1MeEWN-I1oV_STSDYn1IFDPWt_1FKiwhDph83XaGc0o0/edit?usp=sharing"",""งบพรบ!AV80"")"),183140)</f>
        <v>183140</v>
      </c>
      <c r="N93" s="887">
        <f ca="1">IFERROR(__xludf.DUMMYFUNCTION("IMPORTRANGE(""https://docs.google.com/spreadsheets/d/1MeEWN-I1oV_STSDYn1IFDPWt_1FKiwhDph83XaGc0o0/edit?usp=sharing"",""งบพรบ!AX80"")"),82939.94)</f>
        <v>82939.94</v>
      </c>
      <c r="O93" s="887">
        <f t="shared" ca="1" si="50"/>
        <v>36.243637475965741</v>
      </c>
      <c r="P93" s="887">
        <f t="shared" ca="1" si="51"/>
        <v>45.287725237523205</v>
      </c>
      <c r="Q93" s="875"/>
      <c r="R93" s="875"/>
      <c r="S93" s="875"/>
      <c r="T93" s="875"/>
      <c r="U93" s="875"/>
      <c r="V93" s="875"/>
      <c r="W93" s="875"/>
      <c r="X93" s="875"/>
      <c r="Y93" s="875"/>
      <c r="Z93" s="875"/>
    </row>
    <row r="94" spans="1:26" ht="18.75">
      <c r="A94" s="995"/>
      <c r="B94" s="877"/>
      <c r="C94" s="996"/>
      <c r="D94" s="878" t="s">
        <v>21</v>
      </c>
      <c r="E94" s="877"/>
      <c r="F94" s="877"/>
      <c r="G94" s="879"/>
      <c r="H94" s="168" t="s">
        <v>12</v>
      </c>
      <c r="I94" s="997"/>
      <c r="J94" s="997"/>
      <c r="K94" s="998"/>
      <c r="L94" s="881">
        <f t="shared" ref="L94:N94" ca="1" si="54">L95+L96</f>
        <v>0</v>
      </c>
      <c r="M94" s="881">
        <f t="shared" ca="1" si="54"/>
        <v>0</v>
      </c>
      <c r="N94" s="881">
        <f t="shared" ca="1" si="54"/>
        <v>0</v>
      </c>
      <c r="O94" s="881">
        <f t="shared" ca="1" si="50"/>
        <v>0</v>
      </c>
      <c r="P94" s="881">
        <f t="shared" ca="1" si="51"/>
        <v>0</v>
      </c>
      <c r="Q94" s="868"/>
      <c r="R94" s="868"/>
      <c r="S94" s="868"/>
      <c r="T94" s="868"/>
      <c r="U94" s="868"/>
      <c r="V94" s="868"/>
      <c r="W94" s="868"/>
      <c r="X94" s="868"/>
      <c r="Y94" s="868"/>
      <c r="Z94" s="868"/>
    </row>
    <row r="95" spans="1:26" ht="19.5" hidden="1">
      <c r="A95" s="993"/>
      <c r="B95" s="883"/>
      <c r="C95" s="999"/>
      <c r="D95" s="883"/>
      <c r="E95" s="884" t="s">
        <v>18</v>
      </c>
      <c r="F95" s="883"/>
      <c r="G95" s="994"/>
      <c r="H95" s="165" t="s">
        <v>12</v>
      </c>
      <c r="I95" s="1000"/>
      <c r="J95" s="1000"/>
      <c r="K95" s="1001"/>
      <c r="L95" s="887">
        <v>0</v>
      </c>
      <c r="M95" s="887">
        <v>0</v>
      </c>
      <c r="N95" s="887">
        <v>0</v>
      </c>
      <c r="O95" s="887">
        <f t="shared" si="50"/>
        <v>0</v>
      </c>
      <c r="P95" s="887">
        <f t="shared" si="51"/>
        <v>0</v>
      </c>
      <c r="Q95" s="875"/>
      <c r="R95" s="875"/>
      <c r="S95" s="875"/>
      <c r="T95" s="875"/>
      <c r="U95" s="875"/>
      <c r="V95" s="875"/>
      <c r="W95" s="875"/>
      <c r="X95" s="875"/>
      <c r="Y95" s="875"/>
      <c r="Z95" s="875"/>
    </row>
    <row r="96" spans="1:26" ht="19.5" hidden="1">
      <c r="A96" s="993"/>
      <c r="B96" s="883"/>
      <c r="C96" s="999"/>
      <c r="D96" s="883"/>
      <c r="E96" s="884" t="s">
        <v>19</v>
      </c>
      <c r="F96" s="883"/>
      <c r="G96" s="994"/>
      <c r="H96" s="169" t="s">
        <v>12</v>
      </c>
      <c r="I96" s="1000"/>
      <c r="J96" s="1000"/>
      <c r="K96" s="1001"/>
      <c r="L96" s="887">
        <f ca="1">IFERROR(__xludf.DUMMYFUNCTION("IMPORTRANGE(""https://docs.google.com/spreadsheets/d/1MeEWN-I1oV_STSDYn1IFDPWt_1FKiwhDph83XaGc0o0/edit?usp=sharing"",""งบพรบ!AT80"")"),0)</f>
        <v>0</v>
      </c>
      <c r="M96" s="887">
        <f ca="1">IFERROR(__xludf.DUMMYFUNCTION("IMPORTRANGE(""https://docs.google.com/spreadsheets/d/1MeEWN-I1oV_STSDYn1IFDPWt_1FKiwhDph83XaGc0o0/edit?usp=sharing"",""งบพรบ!AW80"")"),0)</f>
        <v>0</v>
      </c>
      <c r="N96" s="887">
        <f ca="1">IFERROR(__xludf.DUMMYFUNCTION("IMPORTRANGE(""https://docs.google.com/spreadsheets/d/1MeEWN-I1oV_STSDYn1IFDPWt_1FKiwhDph83XaGc0o0/edit?usp=sharing"",""งบพรบ!AY80"")"),0)</f>
        <v>0</v>
      </c>
      <c r="O96" s="887">
        <f t="shared" ca="1" si="50"/>
        <v>0</v>
      </c>
      <c r="P96" s="887">
        <f t="shared" ca="1" si="51"/>
        <v>0</v>
      </c>
      <c r="Q96" s="875"/>
      <c r="R96" s="875"/>
      <c r="S96" s="875"/>
      <c r="T96" s="875"/>
      <c r="U96" s="875"/>
      <c r="V96" s="875"/>
      <c r="W96" s="875"/>
      <c r="X96" s="875"/>
      <c r="Y96" s="875"/>
      <c r="Z96" s="875"/>
    </row>
    <row r="97" spans="1:16" ht="19.5">
      <c r="A97" s="1002"/>
      <c r="B97" s="1003"/>
      <c r="C97" s="999" t="s">
        <v>16</v>
      </c>
      <c r="D97" s="1004" t="s">
        <v>38</v>
      </c>
      <c r="E97" s="1005"/>
      <c r="F97" s="1005"/>
      <c r="G97" s="1006"/>
      <c r="H97" s="1007"/>
      <c r="I97" s="997"/>
      <c r="J97" s="880"/>
      <c r="K97" s="881"/>
      <c r="L97" s="881"/>
      <c r="M97" s="881"/>
      <c r="N97" s="881"/>
      <c r="O97" s="998"/>
      <c r="P97" s="998"/>
    </row>
    <row r="98" spans="1:16" ht="18.75">
      <c r="A98" s="1002"/>
      <c r="B98" s="1003"/>
      <c r="C98" s="1003"/>
      <c r="D98" s="1009" t="s">
        <v>47</v>
      </c>
      <c r="E98" s="1009"/>
      <c r="F98" s="1010"/>
      <c r="G98" s="1011"/>
      <c r="H98" s="622" t="s">
        <v>46</v>
      </c>
      <c r="I98" s="880">
        <f ca="1">IFERROR(__xludf.DUMMYFUNCTION("IMPORTRANGE(""https://docs.google.com/spreadsheets/d/1QqKyyYR6Q21VydFLVH3TRQUabQu_ym0Zz7PgGX0-kHA/edit?usp=sharing"",""แผน!K80"")"),30)</f>
        <v>30</v>
      </c>
      <c r="J98" s="880">
        <f>J102</f>
        <v>30</v>
      </c>
      <c r="K98" s="881">
        <f t="shared" ref="K98:K100" ca="1" si="55">IF(I98&gt;0,J98*100/I98,0)</f>
        <v>100</v>
      </c>
      <c r="L98" s="881"/>
      <c r="M98" s="881"/>
      <c r="N98" s="881"/>
      <c r="O98" s="998"/>
      <c r="P98" s="998"/>
    </row>
    <row r="99" spans="1:16" ht="18.75">
      <c r="A99" s="1002"/>
      <c r="B99" s="1003"/>
      <c r="C99" s="1003"/>
      <c r="D99" s="1009" t="s">
        <v>48</v>
      </c>
      <c r="E99" s="1009"/>
      <c r="F99" s="1010"/>
      <c r="G99" s="1011"/>
      <c r="H99" s="622" t="s">
        <v>35</v>
      </c>
      <c r="I99" s="880">
        <f ca="1">IFERROR(__xludf.DUMMYFUNCTION("IMPORTRANGE(""https://docs.google.com/spreadsheets/d/1QqKyyYR6Q21VydFLVH3TRQUabQu_ym0Zz7PgGX0-kHA/edit?usp=sharing"",""แผน!L80"")"),10)</f>
        <v>10</v>
      </c>
      <c r="J99" s="880">
        <f>J104</f>
        <v>10</v>
      </c>
      <c r="K99" s="881">
        <f t="shared" ca="1" si="55"/>
        <v>100</v>
      </c>
      <c r="L99" s="881"/>
      <c r="M99" s="881"/>
      <c r="N99" s="881"/>
      <c r="O99" s="998"/>
      <c r="P99" s="998"/>
    </row>
    <row r="100" spans="1:16" ht="18.75">
      <c r="A100" s="1002"/>
      <c r="B100" s="1003"/>
      <c r="C100" s="1003"/>
      <c r="D100" s="1003"/>
      <c r="E100" s="1010"/>
      <c r="F100" s="1010"/>
      <c r="G100" s="1011"/>
      <c r="H100" s="622" t="s">
        <v>49</v>
      </c>
      <c r="I100" s="880">
        <f ca="1">IFERROR(__xludf.DUMMYFUNCTION("IMPORTRANGE(""https://docs.google.com/spreadsheets/d/1QqKyyYR6Q21VydFLVH3TRQUabQu_ym0Zz7PgGX0-kHA/edit?usp=sharing"",""แผน!M80"")"),2)</f>
        <v>2</v>
      </c>
      <c r="J100" s="880">
        <f>J107+J110</f>
        <v>0</v>
      </c>
      <c r="K100" s="881">
        <f t="shared" ca="1" si="55"/>
        <v>0</v>
      </c>
      <c r="L100" s="881"/>
      <c r="M100" s="881"/>
      <c r="N100" s="881"/>
      <c r="O100" s="998"/>
      <c r="P100" s="998"/>
    </row>
    <row r="101" spans="1:16" ht="19.5">
      <c r="A101" s="1002"/>
      <c r="B101" s="1003"/>
      <c r="C101" s="1003"/>
      <c r="D101" s="1010"/>
      <c r="E101" s="1013" t="s">
        <v>50</v>
      </c>
      <c r="F101" s="1010"/>
      <c r="G101" s="1011"/>
      <c r="H101" s="622"/>
      <c r="I101" s="880"/>
      <c r="J101" s="880"/>
      <c r="K101" s="881"/>
      <c r="L101" s="881"/>
      <c r="M101" s="881"/>
      <c r="N101" s="881"/>
      <c r="O101" s="998"/>
      <c r="P101" s="998"/>
    </row>
    <row r="102" spans="1:16" ht="18.75">
      <c r="A102" s="1002"/>
      <c r="B102" s="1003"/>
      <c r="C102" s="1003"/>
      <c r="D102" s="1010"/>
      <c r="E102" s="1014" t="s">
        <v>47</v>
      </c>
      <c r="F102" s="1010"/>
      <c r="G102" s="1011"/>
      <c r="H102" s="622" t="s">
        <v>46</v>
      </c>
      <c r="I102" s="880">
        <f ca="1">IFERROR(__xludf.DUMMYFUNCTION("IMPORTRANGE(""https://docs.google.com/spreadsheets/d/1QqKyyYR6Q21VydFLVH3TRQUabQu_ym0Zz7PgGX0-kHA/edit?usp=sharing"",""แผน!N80"")"),30)</f>
        <v>30</v>
      </c>
      <c r="J102" s="1012">
        <v>30</v>
      </c>
      <c r="K102" s="881">
        <f t="shared" ref="K102:K104" ca="1" si="56">IF(I102&gt;0,J102*100/I102,0)</f>
        <v>100</v>
      </c>
      <c r="L102" s="881"/>
      <c r="M102" s="881"/>
      <c r="N102" s="881"/>
      <c r="O102" s="998"/>
      <c r="P102" s="998"/>
    </row>
    <row r="103" spans="1:16" ht="19.5">
      <c r="A103" s="1002"/>
      <c r="B103" s="1003"/>
      <c r="C103" s="1003"/>
      <c r="D103" s="1010"/>
      <c r="E103" s="1009" t="s">
        <v>51</v>
      </c>
      <c r="F103" s="1010"/>
      <c r="G103" s="1011"/>
      <c r="H103" s="622" t="s">
        <v>35</v>
      </c>
      <c r="I103" s="880">
        <f ca="1">IFERROR(__xludf.DUMMYFUNCTION("IMPORTRANGE(""https://docs.google.com/spreadsheets/d/1QqKyyYR6Q21VydFLVH3TRQUabQu_ym0Zz7PgGX0-kHA/edit?usp=sharing"",""แผน!O80"")"),10)</f>
        <v>10</v>
      </c>
      <c r="J103" s="1012">
        <v>10</v>
      </c>
      <c r="K103" s="881">
        <f t="shared" ca="1" si="56"/>
        <v>100</v>
      </c>
      <c r="L103" s="881"/>
      <c r="M103" s="881"/>
      <c r="N103" s="881"/>
      <c r="O103" s="998"/>
      <c r="P103" s="998"/>
    </row>
    <row r="104" spans="1:16" ht="18.75">
      <c r="A104" s="1002"/>
      <c r="B104" s="1003"/>
      <c r="C104" s="1003"/>
      <c r="D104" s="1010"/>
      <c r="E104" s="1015" t="s">
        <v>52</v>
      </c>
      <c r="F104" s="1010"/>
      <c r="G104" s="1011"/>
      <c r="H104" s="622" t="s">
        <v>35</v>
      </c>
      <c r="I104" s="880">
        <f ca="1">IFERROR(__xludf.DUMMYFUNCTION("IMPORTRANGE(""https://docs.google.com/spreadsheets/d/1QqKyyYR6Q21VydFLVH3TRQUabQu_ym0Zz7PgGX0-kHA/edit?usp=sharing"",""แผน!O80"")"),10)</f>
        <v>10</v>
      </c>
      <c r="J104" s="1012">
        <v>10</v>
      </c>
      <c r="K104" s="881">
        <f t="shared" ca="1" si="56"/>
        <v>100</v>
      </c>
      <c r="L104" s="881"/>
      <c r="M104" s="881"/>
      <c r="N104" s="881"/>
      <c r="O104" s="998"/>
      <c r="P104" s="998"/>
    </row>
    <row r="105" spans="1:16" ht="19.5">
      <c r="A105" s="1002"/>
      <c r="B105" s="1003"/>
      <c r="C105" s="1003"/>
      <c r="D105" s="1010"/>
      <c r="E105" s="1013" t="s">
        <v>53</v>
      </c>
      <c r="F105" s="1010"/>
      <c r="G105" s="1011"/>
      <c r="H105" s="1016"/>
      <c r="I105" s="880"/>
      <c r="J105" s="880"/>
      <c r="K105" s="881"/>
      <c r="L105" s="881"/>
      <c r="M105" s="881"/>
      <c r="N105" s="881"/>
      <c r="O105" s="998"/>
      <c r="P105" s="998"/>
    </row>
    <row r="106" spans="1:16" ht="19.5">
      <c r="A106" s="1002"/>
      <c r="B106" s="1003"/>
      <c r="C106" s="1003"/>
      <c r="D106" s="1010"/>
      <c r="E106" s="1009" t="s">
        <v>54</v>
      </c>
      <c r="F106" s="1010"/>
      <c r="G106" s="1011"/>
      <c r="H106" s="622" t="s">
        <v>49</v>
      </c>
      <c r="I106" s="880">
        <f ca="1">IFERROR(__xludf.DUMMYFUNCTION("IMPORTRANGE(""https://docs.google.com/spreadsheets/d/1QqKyyYR6Q21VydFLVH3TRQUabQu_ym0Zz7PgGX0-kHA/edit?usp=sharing"",""แผน!P80"")"),1)</f>
        <v>1</v>
      </c>
      <c r="J106" s="1012">
        <v>0</v>
      </c>
      <c r="K106" s="881">
        <f t="shared" ref="K106:K107" ca="1" si="57">IF(I106&gt;0,J106*100/I106,0)</f>
        <v>0</v>
      </c>
      <c r="L106" s="881"/>
      <c r="M106" s="881"/>
      <c r="N106" s="881"/>
      <c r="O106" s="998"/>
      <c r="P106" s="998"/>
    </row>
    <row r="107" spans="1:16" ht="18.75">
      <c r="A107" s="1002"/>
      <c r="B107" s="1003"/>
      <c r="C107" s="1003"/>
      <c r="D107" s="1010"/>
      <c r="E107" s="1015" t="s">
        <v>55</v>
      </c>
      <c r="F107" s="1010"/>
      <c r="G107" s="1011"/>
      <c r="H107" s="622" t="s">
        <v>49</v>
      </c>
      <c r="I107" s="880">
        <f ca="1">IFERROR(__xludf.DUMMYFUNCTION("IMPORTRANGE(""https://docs.google.com/spreadsheets/d/1QqKyyYR6Q21VydFLVH3TRQUabQu_ym0Zz7PgGX0-kHA/edit?usp=sharing"",""แผน!P80"")"),1)</f>
        <v>1</v>
      </c>
      <c r="J107" s="1012">
        <v>0</v>
      </c>
      <c r="K107" s="881">
        <f t="shared" ca="1" si="57"/>
        <v>0</v>
      </c>
      <c r="L107" s="881"/>
      <c r="M107" s="881"/>
      <c r="N107" s="881"/>
      <c r="O107" s="998"/>
      <c r="P107" s="998"/>
    </row>
    <row r="108" spans="1:16" ht="19.5">
      <c r="A108" s="1002"/>
      <c r="B108" s="1003"/>
      <c r="C108" s="1003"/>
      <c r="D108" s="1010"/>
      <c r="E108" s="1013" t="s">
        <v>56</v>
      </c>
      <c r="F108" s="1010"/>
      <c r="G108" s="1011"/>
      <c r="H108" s="1016"/>
      <c r="I108" s="880"/>
      <c r="J108" s="880"/>
      <c r="K108" s="881"/>
      <c r="L108" s="881"/>
      <c r="M108" s="881"/>
      <c r="N108" s="881"/>
      <c r="O108" s="998"/>
      <c r="P108" s="998"/>
    </row>
    <row r="109" spans="1:16" ht="19.5">
      <c r="A109" s="1002"/>
      <c r="B109" s="1003"/>
      <c r="C109" s="1003"/>
      <c r="D109" s="1010"/>
      <c r="E109" s="1009" t="s">
        <v>57</v>
      </c>
      <c r="F109" s="1010"/>
      <c r="G109" s="1011"/>
      <c r="H109" s="622" t="s">
        <v>49</v>
      </c>
      <c r="I109" s="880">
        <f ca="1">IFERROR(__xludf.DUMMYFUNCTION("IMPORTRANGE(""https://docs.google.com/spreadsheets/d/1QqKyyYR6Q21VydFLVH3TRQUabQu_ym0Zz7PgGX0-kHA/edit?usp=sharing"",""แผน!Q80"")"),1)</f>
        <v>1</v>
      </c>
      <c r="J109" s="1012">
        <v>0</v>
      </c>
      <c r="K109" s="881">
        <f t="shared" ref="K109:K116" ca="1" si="58">IF(I109&gt;0,J109*100/I109,0)</f>
        <v>0</v>
      </c>
      <c r="L109" s="881"/>
      <c r="M109" s="881"/>
      <c r="N109" s="881"/>
      <c r="O109" s="998"/>
      <c r="P109" s="998"/>
    </row>
    <row r="110" spans="1:16" ht="18.75">
      <c r="A110" s="1002"/>
      <c r="B110" s="1003"/>
      <c r="C110" s="1003"/>
      <c r="D110" s="1010"/>
      <c r="E110" s="1017" t="s">
        <v>58</v>
      </c>
      <c r="F110" s="1010"/>
      <c r="G110" s="1011"/>
      <c r="H110" s="622" t="s">
        <v>49</v>
      </c>
      <c r="I110" s="880">
        <f ca="1">IFERROR(__xludf.DUMMYFUNCTION("IMPORTRANGE(""https://docs.google.com/spreadsheets/d/1QqKyyYR6Q21VydFLVH3TRQUabQu_ym0Zz7PgGX0-kHA/edit?usp=sharing"",""แผน!Q80"")"),1)</f>
        <v>1</v>
      </c>
      <c r="J110" s="1012">
        <v>0</v>
      </c>
      <c r="K110" s="881">
        <f t="shared" ca="1" si="58"/>
        <v>0</v>
      </c>
      <c r="L110" s="881"/>
      <c r="M110" s="881"/>
      <c r="N110" s="881"/>
      <c r="O110" s="998"/>
      <c r="P110" s="998"/>
    </row>
    <row r="111" spans="1:16" ht="19.5">
      <c r="A111" s="1002"/>
      <c r="B111" s="1003"/>
      <c r="C111" s="1003"/>
      <c r="D111" s="1013" t="s">
        <v>59</v>
      </c>
      <c r="E111" s="1013"/>
      <c r="F111" s="1010"/>
      <c r="G111" s="1011"/>
      <c r="H111" s="765" t="s">
        <v>35</v>
      </c>
      <c r="I111" s="1018">
        <f ca="1">IFERROR(__xludf.DUMMYFUNCTION("IMPORTRANGE(""https://docs.google.com/spreadsheets/d/1QqKyyYR6Q21VydFLVH3TRQUabQu_ym0Zz7PgGX0-kHA/edit?usp=sharing"",""แผน!R80"")"),10)</f>
        <v>10</v>
      </c>
      <c r="J111" s="1019">
        <f>J114</f>
        <v>0</v>
      </c>
      <c r="K111" s="1020">
        <f t="shared" ca="1" si="58"/>
        <v>0</v>
      </c>
      <c r="L111" s="881"/>
      <c r="M111" s="881"/>
      <c r="N111" s="881"/>
      <c r="O111" s="998"/>
      <c r="P111" s="998"/>
    </row>
    <row r="112" spans="1:16" ht="19.5">
      <c r="A112" s="1002"/>
      <c r="B112" s="1003"/>
      <c r="C112" s="1003"/>
      <c r="D112" s="1003"/>
      <c r="E112" s="1010"/>
      <c r="F112" s="1010"/>
      <c r="G112" s="1011"/>
      <c r="H112" s="196" t="s">
        <v>49</v>
      </c>
      <c r="I112" s="1018">
        <f t="shared" ref="I112:J112" ca="1" si="59">I115+I116</f>
        <v>2</v>
      </c>
      <c r="J112" s="1019">
        <f t="shared" si="59"/>
        <v>0</v>
      </c>
      <c r="K112" s="1020">
        <f t="shared" ca="1" si="58"/>
        <v>0</v>
      </c>
      <c r="L112" s="881"/>
      <c r="M112" s="881"/>
      <c r="N112" s="881"/>
      <c r="O112" s="998"/>
      <c r="P112" s="998"/>
    </row>
    <row r="113" spans="1:26" ht="19.5">
      <c r="A113" s="1002"/>
      <c r="B113" s="1003"/>
      <c r="C113" s="1003"/>
      <c r="D113" s="1003"/>
      <c r="E113" s="1021" t="s">
        <v>60</v>
      </c>
      <c r="F113" s="1010"/>
      <c r="G113" s="1011"/>
      <c r="H113" s="198" t="s">
        <v>35</v>
      </c>
      <c r="I113" s="997">
        <f ca="1">IFERROR(__xludf.DUMMYFUNCTION("IMPORTRANGE(""https://docs.google.com/spreadsheets/d/1QqKyyYR6Q21VydFLVH3TRQUabQu_ym0Zz7PgGX0-kHA/edit?usp=sharing"",""แผน!R80"")"),10)</f>
        <v>10</v>
      </c>
      <c r="J113" s="1012">
        <v>0</v>
      </c>
      <c r="K113" s="881">
        <f t="shared" ca="1" si="58"/>
        <v>0</v>
      </c>
      <c r="L113" s="881"/>
      <c r="M113" s="881"/>
      <c r="N113" s="881"/>
      <c r="O113" s="998"/>
      <c r="P113" s="998"/>
    </row>
    <row r="114" spans="1:26" ht="19.5">
      <c r="A114" s="1002"/>
      <c r="B114" s="1003"/>
      <c r="C114" s="1003"/>
      <c r="D114" s="1003"/>
      <c r="E114" s="1009" t="s">
        <v>61</v>
      </c>
      <c r="F114" s="1010"/>
      <c r="G114" s="1011"/>
      <c r="H114" s="199" t="s">
        <v>35</v>
      </c>
      <c r="I114" s="997">
        <f ca="1">IFERROR(__xludf.DUMMYFUNCTION("IMPORTRANGE(""https://docs.google.com/spreadsheets/d/1QqKyyYR6Q21VydFLVH3TRQUabQu_ym0Zz7PgGX0-kHA/edit?usp=sharing"",""แผน!R80"")"),10)</f>
        <v>10</v>
      </c>
      <c r="J114" s="1012">
        <v>0</v>
      </c>
      <c r="K114" s="881">
        <f t="shared" ca="1" si="58"/>
        <v>0</v>
      </c>
      <c r="L114" s="881"/>
      <c r="M114" s="881"/>
      <c r="N114" s="881"/>
      <c r="O114" s="998"/>
      <c r="P114" s="998"/>
    </row>
    <row r="115" spans="1:26" ht="18.75">
      <c r="A115" s="1002"/>
      <c r="B115" s="1003"/>
      <c r="C115" s="1003"/>
      <c r="D115" s="1003"/>
      <c r="E115" s="1009" t="s">
        <v>62</v>
      </c>
      <c r="F115" s="1010"/>
      <c r="G115" s="1011"/>
      <c r="H115" s="199" t="s">
        <v>49</v>
      </c>
      <c r="I115" s="997">
        <f ca="1">IFERROR(__xludf.DUMMYFUNCTION("IMPORTRANGE(""https://docs.google.com/spreadsheets/d/1QqKyyYR6Q21VydFLVH3TRQUabQu_ym0Zz7PgGX0-kHA/edit?usp=sharing"",""แผน!S80"")"),1)</f>
        <v>1</v>
      </c>
      <c r="J115" s="1012">
        <v>0</v>
      </c>
      <c r="K115" s="881">
        <f t="shared" ca="1" si="58"/>
        <v>0</v>
      </c>
      <c r="L115" s="881"/>
      <c r="M115" s="881"/>
      <c r="N115" s="881"/>
      <c r="O115" s="998"/>
      <c r="P115" s="998"/>
    </row>
    <row r="116" spans="1:26" ht="18.75">
      <c r="A116" s="1002"/>
      <c r="B116" s="1003"/>
      <c r="C116" s="1003"/>
      <c r="D116" s="1003"/>
      <c r="E116" s="1009" t="s">
        <v>63</v>
      </c>
      <c r="F116" s="1010"/>
      <c r="G116" s="1011"/>
      <c r="H116" s="199" t="s">
        <v>49</v>
      </c>
      <c r="I116" s="997">
        <f ca="1">IFERROR(__xludf.DUMMYFUNCTION("IMPORTRANGE(""https://docs.google.com/spreadsheets/d/1QqKyyYR6Q21VydFLVH3TRQUabQu_ym0Zz7PgGX0-kHA/edit?usp=sharing"",""แผน!T80"")"),1)</f>
        <v>1</v>
      </c>
      <c r="J116" s="1012">
        <v>0</v>
      </c>
      <c r="K116" s="881">
        <f t="shared" ca="1" si="58"/>
        <v>0</v>
      </c>
      <c r="L116" s="881"/>
      <c r="M116" s="881"/>
      <c r="N116" s="881"/>
      <c r="O116" s="998"/>
      <c r="P116" s="998"/>
    </row>
    <row r="117" spans="1:26" ht="19.5" hidden="1">
      <c r="A117" s="970" t="s">
        <v>64</v>
      </c>
      <c r="B117" s="971"/>
      <c r="C117" s="1022"/>
      <c r="D117" s="971"/>
      <c r="E117" s="971"/>
      <c r="F117" s="971"/>
      <c r="G117" s="971"/>
      <c r="H117" s="1023"/>
      <c r="I117" s="1024"/>
      <c r="J117" s="1024"/>
      <c r="K117" s="1025"/>
      <c r="L117" s="976"/>
      <c r="M117" s="976"/>
      <c r="N117" s="976"/>
      <c r="O117" s="976"/>
      <c r="P117" s="976"/>
    </row>
    <row r="118" spans="1:26" ht="19.5" hidden="1">
      <c r="A118" s="977"/>
      <c r="B118" s="978" t="s">
        <v>65</v>
      </c>
      <c r="C118" s="1026"/>
      <c r="D118" s="980"/>
      <c r="E118" s="979"/>
      <c r="F118" s="979"/>
      <c r="G118" s="981"/>
      <c r="H118" s="205"/>
      <c r="I118" s="1027"/>
      <c r="J118" s="1027"/>
      <c r="K118" s="984"/>
      <c r="L118" s="984"/>
      <c r="M118" s="984"/>
      <c r="N118" s="984"/>
      <c r="O118" s="984"/>
      <c r="P118" s="984"/>
    </row>
    <row r="119" spans="1:26" ht="19.5" hidden="1">
      <c r="A119" s="985"/>
      <c r="B119" s="986"/>
      <c r="C119" s="987" t="s">
        <v>16</v>
      </c>
      <c r="D119" s="988" t="s">
        <v>17</v>
      </c>
      <c r="E119" s="986"/>
      <c r="F119" s="986"/>
      <c r="G119" s="989"/>
      <c r="H119" s="152" t="s">
        <v>12</v>
      </c>
      <c r="I119" s="990"/>
      <c r="J119" s="990"/>
      <c r="K119" s="991"/>
      <c r="L119" s="992">
        <f t="shared" ref="L119:N119" ca="1" si="60">L120+L121</f>
        <v>0</v>
      </c>
      <c r="M119" s="992">
        <f t="shared" ca="1" si="60"/>
        <v>0</v>
      </c>
      <c r="N119" s="992">
        <f t="shared" ca="1" si="60"/>
        <v>0</v>
      </c>
      <c r="O119" s="992">
        <f t="shared" ref="O119:O127" ca="1" si="61">IF(L119&gt;0,N119*100/L119,0)</f>
        <v>0</v>
      </c>
      <c r="P119" s="992">
        <f t="shared" ref="P119:P127" ca="1" si="62">IF(M119&gt;0,N119*100/M119,0)</f>
        <v>0</v>
      </c>
      <c r="Q119" s="868"/>
      <c r="R119" s="868"/>
      <c r="S119" s="868"/>
      <c r="T119" s="868"/>
      <c r="U119" s="868"/>
      <c r="V119" s="868"/>
      <c r="W119" s="868"/>
      <c r="X119" s="868"/>
      <c r="Y119" s="868"/>
      <c r="Z119" s="868"/>
    </row>
    <row r="120" spans="1:26" ht="18.75" hidden="1">
      <c r="A120" s="993"/>
      <c r="B120" s="883"/>
      <c r="C120" s="883"/>
      <c r="D120" s="883"/>
      <c r="E120" s="884" t="s">
        <v>18</v>
      </c>
      <c r="F120" s="883"/>
      <c r="G120" s="994"/>
      <c r="H120" s="158" t="s">
        <v>12</v>
      </c>
      <c r="I120" s="886"/>
      <c r="J120" s="886"/>
      <c r="K120" s="887"/>
      <c r="L120" s="887">
        <f t="shared" ref="L120:N121" si="63">L123+L126</f>
        <v>0</v>
      </c>
      <c r="M120" s="887">
        <f t="shared" si="63"/>
        <v>0</v>
      </c>
      <c r="N120" s="887">
        <f t="shared" si="63"/>
        <v>0</v>
      </c>
      <c r="O120" s="887">
        <f t="shared" si="61"/>
        <v>0</v>
      </c>
      <c r="P120" s="887">
        <f t="shared" si="62"/>
        <v>0</v>
      </c>
      <c r="Q120" s="875"/>
      <c r="R120" s="875"/>
      <c r="S120" s="875"/>
      <c r="T120" s="875"/>
      <c r="U120" s="875"/>
      <c r="V120" s="875"/>
      <c r="W120" s="875"/>
      <c r="X120" s="875"/>
      <c r="Y120" s="875"/>
      <c r="Z120" s="875"/>
    </row>
    <row r="121" spans="1:26" ht="18.75" hidden="1">
      <c r="A121" s="993"/>
      <c r="B121" s="883"/>
      <c r="C121" s="883"/>
      <c r="D121" s="883"/>
      <c r="E121" s="884" t="s">
        <v>19</v>
      </c>
      <c r="F121" s="883"/>
      <c r="G121" s="994"/>
      <c r="H121" s="158" t="s">
        <v>12</v>
      </c>
      <c r="I121" s="886"/>
      <c r="J121" s="886"/>
      <c r="K121" s="887"/>
      <c r="L121" s="887">
        <f t="shared" ca="1" si="63"/>
        <v>0</v>
      </c>
      <c r="M121" s="887">
        <f t="shared" ca="1" si="63"/>
        <v>0</v>
      </c>
      <c r="N121" s="887">
        <f t="shared" ca="1" si="63"/>
        <v>0</v>
      </c>
      <c r="O121" s="887">
        <f t="shared" ca="1" si="61"/>
        <v>0</v>
      </c>
      <c r="P121" s="887">
        <f t="shared" ca="1" si="62"/>
        <v>0</v>
      </c>
      <c r="Q121" s="875"/>
      <c r="R121" s="875"/>
      <c r="S121" s="875"/>
      <c r="T121" s="875"/>
      <c r="U121" s="875"/>
      <c r="V121" s="875"/>
      <c r="W121" s="875"/>
      <c r="X121" s="875"/>
      <c r="Y121" s="875"/>
      <c r="Z121" s="875"/>
    </row>
    <row r="122" spans="1:26" ht="18.75" hidden="1">
      <c r="A122" s="995"/>
      <c r="B122" s="877"/>
      <c r="C122" s="996"/>
      <c r="D122" s="878" t="s">
        <v>20</v>
      </c>
      <c r="E122" s="877"/>
      <c r="F122" s="877"/>
      <c r="G122" s="879"/>
      <c r="H122" s="161" t="s">
        <v>12</v>
      </c>
      <c r="I122" s="997"/>
      <c r="J122" s="997"/>
      <c r="K122" s="998"/>
      <c r="L122" s="881">
        <f t="shared" ref="L122:N122" ca="1" si="64">L123+L124</f>
        <v>0</v>
      </c>
      <c r="M122" s="881">
        <f t="shared" ca="1" si="64"/>
        <v>0</v>
      </c>
      <c r="N122" s="881">
        <f t="shared" ca="1" si="64"/>
        <v>0</v>
      </c>
      <c r="O122" s="881">
        <f t="shared" ca="1" si="61"/>
        <v>0</v>
      </c>
      <c r="P122" s="881">
        <f t="shared" ca="1" si="62"/>
        <v>0</v>
      </c>
      <c r="Q122" s="868"/>
      <c r="R122" s="868"/>
      <c r="S122" s="868"/>
      <c r="T122" s="868"/>
      <c r="U122" s="868"/>
      <c r="V122" s="868"/>
      <c r="W122" s="868"/>
      <c r="X122" s="868"/>
      <c r="Y122" s="868"/>
      <c r="Z122" s="868"/>
    </row>
    <row r="123" spans="1:26" ht="18.75" hidden="1">
      <c r="A123" s="993"/>
      <c r="B123" s="883"/>
      <c r="C123" s="884"/>
      <c r="D123" s="883"/>
      <c r="E123" s="884" t="s">
        <v>36</v>
      </c>
      <c r="F123" s="883"/>
      <c r="G123" s="994"/>
      <c r="H123" s="165" t="s">
        <v>12</v>
      </c>
      <c r="I123" s="1000"/>
      <c r="J123" s="1000"/>
      <c r="K123" s="1001"/>
      <c r="L123" s="887">
        <v>0</v>
      </c>
      <c r="M123" s="887">
        <v>0</v>
      </c>
      <c r="N123" s="887">
        <v>0</v>
      </c>
      <c r="O123" s="887">
        <f t="shared" si="61"/>
        <v>0</v>
      </c>
      <c r="P123" s="887">
        <f t="shared" si="62"/>
        <v>0</v>
      </c>
      <c r="Q123" s="875"/>
      <c r="R123" s="875"/>
      <c r="S123" s="875"/>
      <c r="T123" s="875"/>
      <c r="U123" s="875"/>
      <c r="V123" s="875"/>
      <c r="W123" s="875"/>
      <c r="X123" s="875"/>
      <c r="Y123" s="875"/>
      <c r="Z123" s="875"/>
    </row>
    <row r="124" spans="1:26" ht="18.75" hidden="1">
      <c r="A124" s="993"/>
      <c r="B124" s="883"/>
      <c r="C124" s="884"/>
      <c r="D124" s="883"/>
      <c r="E124" s="884" t="s">
        <v>37</v>
      </c>
      <c r="F124" s="883"/>
      <c r="G124" s="994"/>
      <c r="H124" s="165" t="s">
        <v>12</v>
      </c>
      <c r="I124" s="1000"/>
      <c r="J124" s="1000"/>
      <c r="K124" s="1001"/>
      <c r="L124" s="887">
        <f ca="1">IFERROR(__xludf.DUMMYFUNCTION("IMPORTRANGE(""https://docs.google.com/spreadsheets/d/1MeEWN-I1oV_STSDYn1IFDPWt_1FKiwhDph83XaGc0o0/edit?usp=sharing"",""งบพรบ!BA80"")"),0)</f>
        <v>0</v>
      </c>
      <c r="M124" s="887">
        <f ca="1">IFERROR(__xludf.DUMMYFUNCTION("IMPORTRANGE(""https://docs.google.com/spreadsheets/d/1MeEWN-I1oV_STSDYn1IFDPWt_1FKiwhDph83XaGc0o0/edit?usp=sharing"",""งบพรบ!BF80"")"),0)</f>
        <v>0</v>
      </c>
      <c r="N124" s="887">
        <f ca="1">IFERROR(__xludf.DUMMYFUNCTION("IMPORTRANGE(""https://docs.google.com/spreadsheets/d/1MeEWN-I1oV_STSDYn1IFDPWt_1FKiwhDph83XaGc0o0/edit?usp=sharing"",""งบพรบ!BH80"")"),0)</f>
        <v>0</v>
      </c>
      <c r="O124" s="887">
        <f t="shared" ca="1" si="61"/>
        <v>0</v>
      </c>
      <c r="P124" s="887">
        <f t="shared" ca="1" si="62"/>
        <v>0</v>
      </c>
      <c r="Q124" s="875"/>
      <c r="R124" s="875"/>
      <c r="S124" s="875"/>
      <c r="T124" s="875"/>
      <c r="U124" s="875"/>
      <c r="V124" s="875"/>
      <c r="W124" s="875"/>
      <c r="X124" s="875"/>
      <c r="Y124" s="875"/>
      <c r="Z124" s="875"/>
    </row>
    <row r="125" spans="1:26" ht="18.75" hidden="1">
      <c r="A125" s="995"/>
      <c r="B125" s="877"/>
      <c r="C125" s="996"/>
      <c r="D125" s="878" t="s">
        <v>21</v>
      </c>
      <c r="E125" s="877"/>
      <c r="F125" s="877"/>
      <c r="G125" s="879"/>
      <c r="H125" s="168" t="s">
        <v>12</v>
      </c>
      <c r="I125" s="997"/>
      <c r="J125" s="997"/>
      <c r="K125" s="998"/>
      <c r="L125" s="881">
        <f t="shared" ref="L125:N125" ca="1" si="65">L126+L127</f>
        <v>0</v>
      </c>
      <c r="M125" s="881">
        <f t="shared" ca="1" si="65"/>
        <v>0</v>
      </c>
      <c r="N125" s="881">
        <f t="shared" ca="1" si="65"/>
        <v>0</v>
      </c>
      <c r="O125" s="881">
        <f t="shared" ca="1" si="61"/>
        <v>0</v>
      </c>
      <c r="P125" s="881">
        <f t="shared" ca="1" si="62"/>
        <v>0</v>
      </c>
      <c r="Q125" s="868"/>
      <c r="R125" s="868"/>
      <c r="S125" s="868"/>
      <c r="T125" s="868"/>
      <c r="U125" s="868"/>
      <c r="V125" s="868"/>
      <c r="W125" s="868"/>
      <c r="X125" s="868"/>
      <c r="Y125" s="868"/>
      <c r="Z125" s="868"/>
    </row>
    <row r="126" spans="1:26" ht="19.5" hidden="1">
      <c r="A126" s="993"/>
      <c r="B126" s="883"/>
      <c r="C126" s="999"/>
      <c r="D126" s="883"/>
      <c r="E126" s="884" t="s">
        <v>18</v>
      </c>
      <c r="F126" s="883"/>
      <c r="G126" s="994"/>
      <c r="H126" s="165" t="s">
        <v>12</v>
      </c>
      <c r="I126" s="1000"/>
      <c r="J126" s="1000"/>
      <c r="K126" s="1001"/>
      <c r="L126" s="887">
        <v>0</v>
      </c>
      <c r="M126" s="887">
        <v>0</v>
      </c>
      <c r="N126" s="887">
        <v>0</v>
      </c>
      <c r="O126" s="887">
        <f t="shared" si="61"/>
        <v>0</v>
      </c>
      <c r="P126" s="887">
        <f t="shared" si="62"/>
        <v>0</v>
      </c>
      <c r="Q126" s="875"/>
      <c r="R126" s="875"/>
      <c r="S126" s="875"/>
      <c r="T126" s="875"/>
      <c r="U126" s="875"/>
      <c r="V126" s="875"/>
      <c r="W126" s="875"/>
      <c r="X126" s="875"/>
      <c r="Y126" s="875"/>
      <c r="Z126" s="875"/>
    </row>
    <row r="127" spans="1:26" ht="19.5" hidden="1">
      <c r="A127" s="993"/>
      <c r="B127" s="883"/>
      <c r="C127" s="999"/>
      <c r="D127" s="883"/>
      <c r="E127" s="884" t="s">
        <v>19</v>
      </c>
      <c r="F127" s="883"/>
      <c r="G127" s="994"/>
      <c r="H127" s="169" t="s">
        <v>12</v>
      </c>
      <c r="I127" s="1000"/>
      <c r="J127" s="1000"/>
      <c r="K127" s="1001"/>
      <c r="L127" s="887">
        <f ca="1">IFERROR(__xludf.DUMMYFUNCTION("IMPORTRANGE(""https://docs.google.com/spreadsheets/d/1MeEWN-I1oV_STSDYn1IFDPWt_1FKiwhDph83XaGc0o0/edit?usp=sharing"",""งบพรบ!BD80"")"),0)</f>
        <v>0</v>
      </c>
      <c r="M127" s="887">
        <f ca="1">IFERROR(__xludf.DUMMYFUNCTION("IMPORTRANGE(""https://docs.google.com/spreadsheets/d/1MeEWN-I1oV_STSDYn1IFDPWt_1FKiwhDph83XaGc0o0/edit?usp=sharing"",""งบพรบ!BG80"")"),0)</f>
        <v>0</v>
      </c>
      <c r="N127" s="887">
        <f ca="1">IFERROR(__xludf.DUMMYFUNCTION("IMPORTRANGE(""https://docs.google.com/spreadsheets/d/1MeEWN-I1oV_STSDYn1IFDPWt_1FKiwhDph83XaGc0o0/edit?usp=sharing"",""งบพรบ!BI80"")"),0)</f>
        <v>0</v>
      </c>
      <c r="O127" s="887">
        <f t="shared" ca="1" si="61"/>
        <v>0</v>
      </c>
      <c r="P127" s="887">
        <f t="shared" ca="1" si="62"/>
        <v>0</v>
      </c>
      <c r="Q127" s="875"/>
      <c r="R127" s="875"/>
      <c r="S127" s="875"/>
      <c r="T127" s="875"/>
      <c r="U127" s="875"/>
      <c r="V127" s="875"/>
      <c r="W127" s="875"/>
      <c r="X127" s="875"/>
      <c r="Y127" s="875"/>
      <c r="Z127" s="875"/>
    </row>
    <row r="128" spans="1:26" ht="19.5" hidden="1">
      <c r="A128" s="970" t="s">
        <v>67</v>
      </c>
      <c r="B128" s="971"/>
      <c r="C128" s="1022"/>
      <c r="D128" s="971"/>
      <c r="E128" s="971"/>
      <c r="F128" s="971"/>
      <c r="G128" s="971"/>
      <c r="H128" s="1023"/>
      <c r="I128" s="1024"/>
      <c r="J128" s="1024"/>
      <c r="K128" s="1025"/>
      <c r="L128" s="976"/>
      <c r="M128" s="976"/>
      <c r="N128" s="976"/>
      <c r="O128" s="976"/>
      <c r="P128" s="976"/>
    </row>
    <row r="129" spans="1:26" ht="19.5" hidden="1">
      <c r="A129" s="977"/>
      <c r="B129" s="978" t="s">
        <v>68</v>
      </c>
      <c r="C129" s="1026"/>
      <c r="D129" s="980"/>
      <c r="E129" s="979"/>
      <c r="F129" s="979"/>
      <c r="G129" s="979"/>
      <c r="H129" s="207"/>
      <c r="I129" s="1027"/>
      <c r="J129" s="1027"/>
      <c r="K129" s="984"/>
      <c r="L129" s="984"/>
      <c r="M129" s="984"/>
      <c r="N129" s="984"/>
      <c r="O129" s="984"/>
      <c r="P129" s="984"/>
    </row>
    <row r="130" spans="1:26" ht="19.5" hidden="1">
      <c r="A130" s="977"/>
      <c r="B130" s="978"/>
      <c r="C130" s="1028" t="s">
        <v>69</v>
      </c>
      <c r="D130" s="980"/>
      <c r="E130" s="979"/>
      <c r="F130" s="979"/>
      <c r="G130" s="981"/>
      <c r="H130" s="205" t="s">
        <v>66</v>
      </c>
      <c r="I130" s="982">
        <f t="shared" ref="I130:J130" ca="1" si="66">I146</f>
        <v>0</v>
      </c>
      <c r="J130" s="982">
        <f t="shared" si="66"/>
        <v>0</v>
      </c>
      <c r="K130" s="983">
        <f t="shared" ref="K130:K131" ca="1" si="67">IF(I130&gt;0,J130*100/I130,0)</f>
        <v>0</v>
      </c>
      <c r="L130" s="984"/>
      <c r="M130" s="984"/>
      <c r="N130" s="984"/>
      <c r="O130" s="984"/>
      <c r="P130" s="984"/>
    </row>
    <row r="131" spans="1:26" ht="19.5" hidden="1">
      <c r="A131" s="977"/>
      <c r="B131" s="978"/>
      <c r="C131" s="1028" t="s">
        <v>70</v>
      </c>
      <c r="D131" s="980"/>
      <c r="E131" s="979"/>
      <c r="F131" s="979"/>
      <c r="G131" s="981"/>
      <c r="H131" s="205" t="s">
        <v>35</v>
      </c>
      <c r="I131" s="982">
        <f t="shared" ref="I131:J131" ca="1" si="68">I143</f>
        <v>0</v>
      </c>
      <c r="J131" s="982">
        <f t="shared" ca="1" si="68"/>
        <v>0</v>
      </c>
      <c r="K131" s="983">
        <f t="shared" ca="1" si="67"/>
        <v>0</v>
      </c>
      <c r="L131" s="984"/>
      <c r="M131" s="984"/>
      <c r="N131" s="984"/>
      <c r="O131" s="984"/>
      <c r="P131" s="984"/>
    </row>
    <row r="132" spans="1:26" ht="19.5" hidden="1">
      <c r="A132" s="985"/>
      <c r="B132" s="986"/>
      <c r="C132" s="987" t="s">
        <v>16</v>
      </c>
      <c r="D132" s="988" t="s">
        <v>17</v>
      </c>
      <c r="E132" s="986"/>
      <c r="F132" s="986"/>
      <c r="G132" s="989"/>
      <c r="H132" s="152" t="s">
        <v>12</v>
      </c>
      <c r="I132" s="990"/>
      <c r="J132" s="990"/>
      <c r="K132" s="991"/>
      <c r="L132" s="992">
        <f t="shared" ref="L132:N132" ca="1" si="69">L133+L134</f>
        <v>0</v>
      </c>
      <c r="M132" s="992">
        <f t="shared" ca="1" si="69"/>
        <v>0</v>
      </c>
      <c r="N132" s="992">
        <f t="shared" ca="1" si="69"/>
        <v>0</v>
      </c>
      <c r="O132" s="992">
        <f t="shared" ref="O132:O140" ca="1" si="70">IF(L132&gt;0,N132*100/L132,0)</f>
        <v>0</v>
      </c>
      <c r="P132" s="992">
        <f t="shared" ref="P132:P140" ca="1" si="71">IF(M132&gt;0,N132*100/M132,0)</f>
        <v>0</v>
      </c>
      <c r="Q132" s="868"/>
      <c r="R132" s="868"/>
      <c r="S132" s="868"/>
      <c r="T132" s="868"/>
      <c r="U132" s="868"/>
      <c r="V132" s="868"/>
      <c r="W132" s="868"/>
      <c r="X132" s="868"/>
      <c r="Y132" s="868"/>
      <c r="Z132" s="868"/>
    </row>
    <row r="133" spans="1:26" ht="18.75" hidden="1">
      <c r="A133" s="993"/>
      <c r="B133" s="883"/>
      <c r="C133" s="883"/>
      <c r="D133" s="883"/>
      <c r="E133" s="884" t="s">
        <v>18</v>
      </c>
      <c r="F133" s="883"/>
      <c r="G133" s="994"/>
      <c r="H133" s="158" t="s">
        <v>12</v>
      </c>
      <c r="I133" s="886"/>
      <c r="J133" s="886"/>
      <c r="K133" s="887"/>
      <c r="L133" s="887">
        <f t="shared" ref="L133:N134" si="72">L136+L139</f>
        <v>0</v>
      </c>
      <c r="M133" s="887">
        <f t="shared" si="72"/>
        <v>0</v>
      </c>
      <c r="N133" s="887">
        <f t="shared" si="72"/>
        <v>0</v>
      </c>
      <c r="O133" s="887">
        <f t="shared" si="70"/>
        <v>0</v>
      </c>
      <c r="P133" s="887">
        <f t="shared" si="71"/>
        <v>0</v>
      </c>
      <c r="Q133" s="875"/>
      <c r="R133" s="875"/>
      <c r="S133" s="875"/>
      <c r="T133" s="875"/>
      <c r="U133" s="875"/>
      <c r="V133" s="875"/>
      <c r="W133" s="875"/>
      <c r="X133" s="875"/>
      <c r="Y133" s="875"/>
      <c r="Z133" s="875"/>
    </row>
    <row r="134" spans="1:26" ht="18.75" hidden="1">
      <c r="A134" s="993"/>
      <c r="B134" s="883"/>
      <c r="C134" s="883"/>
      <c r="D134" s="883"/>
      <c r="E134" s="884" t="s">
        <v>19</v>
      </c>
      <c r="F134" s="883"/>
      <c r="G134" s="994"/>
      <c r="H134" s="158" t="s">
        <v>12</v>
      </c>
      <c r="I134" s="886"/>
      <c r="J134" s="886"/>
      <c r="K134" s="887"/>
      <c r="L134" s="887">
        <f t="shared" ca="1" si="72"/>
        <v>0</v>
      </c>
      <c r="M134" s="887">
        <f t="shared" ca="1" si="72"/>
        <v>0</v>
      </c>
      <c r="N134" s="887">
        <f t="shared" ca="1" si="72"/>
        <v>0</v>
      </c>
      <c r="O134" s="887">
        <f t="shared" ca="1" si="70"/>
        <v>0</v>
      </c>
      <c r="P134" s="887">
        <f t="shared" ca="1" si="71"/>
        <v>0</v>
      </c>
      <c r="Q134" s="875"/>
      <c r="R134" s="875"/>
      <c r="S134" s="875"/>
      <c r="T134" s="875"/>
      <c r="U134" s="875"/>
      <c r="V134" s="875"/>
      <c r="W134" s="875"/>
      <c r="X134" s="875"/>
      <c r="Y134" s="875"/>
      <c r="Z134" s="875"/>
    </row>
    <row r="135" spans="1:26" ht="18.75" hidden="1">
      <c r="A135" s="995"/>
      <c r="B135" s="877"/>
      <c r="C135" s="996"/>
      <c r="D135" s="878" t="s">
        <v>20</v>
      </c>
      <c r="E135" s="877"/>
      <c r="F135" s="877"/>
      <c r="G135" s="879"/>
      <c r="H135" s="161" t="s">
        <v>12</v>
      </c>
      <c r="I135" s="997"/>
      <c r="J135" s="997"/>
      <c r="K135" s="998"/>
      <c r="L135" s="881">
        <f t="shared" ref="L135:N135" ca="1" si="73">L136+L137</f>
        <v>0</v>
      </c>
      <c r="M135" s="881">
        <f t="shared" ca="1" si="73"/>
        <v>0</v>
      </c>
      <c r="N135" s="881">
        <f t="shared" ca="1" si="73"/>
        <v>0</v>
      </c>
      <c r="O135" s="881">
        <f t="shared" ca="1" si="70"/>
        <v>0</v>
      </c>
      <c r="P135" s="881">
        <f t="shared" ca="1" si="71"/>
        <v>0</v>
      </c>
      <c r="Q135" s="868"/>
      <c r="R135" s="868"/>
      <c r="S135" s="868"/>
      <c r="T135" s="868"/>
      <c r="U135" s="868"/>
      <c r="V135" s="868"/>
      <c r="W135" s="868"/>
      <c r="X135" s="868"/>
      <c r="Y135" s="868"/>
      <c r="Z135" s="868"/>
    </row>
    <row r="136" spans="1:26" ht="19.5" hidden="1">
      <c r="A136" s="993"/>
      <c r="B136" s="883"/>
      <c r="C136" s="999"/>
      <c r="D136" s="883"/>
      <c r="E136" s="884" t="s">
        <v>36</v>
      </c>
      <c r="F136" s="883"/>
      <c r="G136" s="994"/>
      <c r="H136" s="165" t="s">
        <v>12</v>
      </c>
      <c r="I136" s="1000"/>
      <c r="J136" s="1000"/>
      <c r="K136" s="1001"/>
      <c r="L136" s="887">
        <v>0</v>
      </c>
      <c r="M136" s="887">
        <v>0</v>
      </c>
      <c r="N136" s="887">
        <v>0</v>
      </c>
      <c r="O136" s="887">
        <f t="shared" si="70"/>
        <v>0</v>
      </c>
      <c r="P136" s="887">
        <f t="shared" si="71"/>
        <v>0</v>
      </c>
      <c r="Q136" s="875"/>
      <c r="R136" s="875"/>
      <c r="S136" s="875"/>
      <c r="T136" s="875"/>
      <c r="U136" s="875"/>
      <c r="V136" s="875"/>
      <c r="W136" s="875"/>
      <c r="X136" s="875"/>
      <c r="Y136" s="875"/>
      <c r="Z136" s="875"/>
    </row>
    <row r="137" spans="1:26" ht="19.5" hidden="1">
      <c r="A137" s="993"/>
      <c r="B137" s="883"/>
      <c r="C137" s="999"/>
      <c r="D137" s="883"/>
      <c r="E137" s="884" t="s">
        <v>37</v>
      </c>
      <c r="F137" s="883"/>
      <c r="G137" s="994"/>
      <c r="H137" s="165" t="s">
        <v>12</v>
      </c>
      <c r="I137" s="1000"/>
      <c r="J137" s="1000"/>
      <c r="K137" s="1001"/>
      <c r="L137" s="887">
        <f ca="1">IFERROR(__xludf.DUMMYFUNCTION("IMPORTRANGE(""https://docs.google.com/spreadsheets/d/1MeEWN-I1oV_STSDYn1IFDPWt_1FKiwhDph83XaGc0o0/edit?usp=sharing"",""งบพรบ!BK80"")"),0)</f>
        <v>0</v>
      </c>
      <c r="M137" s="887">
        <f ca="1">IFERROR(__xludf.DUMMYFUNCTION("IMPORTRANGE(""https://docs.google.com/spreadsheets/d/1MeEWN-I1oV_STSDYn1IFDPWt_1FKiwhDph83XaGc0o0/edit?usp=sharing"",""งบพรบ!BP80"")"),0)</f>
        <v>0</v>
      </c>
      <c r="N137" s="887">
        <f ca="1">IFERROR(__xludf.DUMMYFUNCTION("IMPORTRANGE(""https://docs.google.com/spreadsheets/d/1MeEWN-I1oV_STSDYn1IFDPWt_1FKiwhDph83XaGc0o0/edit?usp=sharing"",""งบพรบ!BR80"")"),0)</f>
        <v>0</v>
      </c>
      <c r="O137" s="887">
        <f t="shared" ca="1" si="70"/>
        <v>0</v>
      </c>
      <c r="P137" s="887">
        <f t="shared" ca="1" si="71"/>
        <v>0</v>
      </c>
      <c r="Q137" s="875"/>
      <c r="R137" s="875"/>
      <c r="S137" s="875"/>
      <c r="T137" s="875"/>
      <c r="U137" s="875"/>
      <c r="V137" s="875"/>
      <c r="W137" s="875"/>
      <c r="X137" s="875"/>
      <c r="Y137" s="875"/>
      <c r="Z137" s="875"/>
    </row>
    <row r="138" spans="1:26" ht="18.75" hidden="1">
      <c r="A138" s="995"/>
      <c r="B138" s="877"/>
      <c r="C138" s="996"/>
      <c r="D138" s="878" t="s">
        <v>21</v>
      </c>
      <c r="E138" s="877"/>
      <c r="F138" s="877"/>
      <c r="G138" s="879"/>
      <c r="H138" s="168" t="s">
        <v>12</v>
      </c>
      <c r="I138" s="997"/>
      <c r="J138" s="997"/>
      <c r="K138" s="998"/>
      <c r="L138" s="881">
        <f t="shared" ref="L138:N138" ca="1" si="74">L139+L140</f>
        <v>0</v>
      </c>
      <c r="M138" s="881">
        <f t="shared" ca="1" si="74"/>
        <v>0</v>
      </c>
      <c r="N138" s="881">
        <f t="shared" ca="1" si="74"/>
        <v>0</v>
      </c>
      <c r="O138" s="881">
        <f t="shared" ca="1" si="70"/>
        <v>0</v>
      </c>
      <c r="P138" s="881">
        <f t="shared" ca="1" si="71"/>
        <v>0</v>
      </c>
      <c r="Q138" s="868"/>
      <c r="R138" s="868"/>
      <c r="S138" s="868"/>
      <c r="T138" s="868"/>
      <c r="U138" s="868"/>
      <c r="V138" s="868"/>
      <c r="W138" s="868"/>
      <c r="X138" s="868"/>
      <c r="Y138" s="868"/>
      <c r="Z138" s="868"/>
    </row>
    <row r="139" spans="1:26" ht="19.5" hidden="1">
      <c r="A139" s="993"/>
      <c r="B139" s="883"/>
      <c r="C139" s="999"/>
      <c r="D139" s="883"/>
      <c r="E139" s="884" t="s">
        <v>18</v>
      </c>
      <c r="F139" s="883"/>
      <c r="G139" s="994"/>
      <c r="H139" s="165" t="s">
        <v>12</v>
      </c>
      <c r="I139" s="1000"/>
      <c r="J139" s="1000"/>
      <c r="K139" s="1001"/>
      <c r="L139" s="887">
        <v>0</v>
      </c>
      <c r="M139" s="887">
        <v>0</v>
      </c>
      <c r="N139" s="887">
        <v>0</v>
      </c>
      <c r="O139" s="887">
        <f t="shared" si="70"/>
        <v>0</v>
      </c>
      <c r="P139" s="887">
        <f t="shared" si="71"/>
        <v>0</v>
      </c>
      <c r="Q139" s="875"/>
      <c r="R139" s="875"/>
      <c r="S139" s="875"/>
      <c r="T139" s="875"/>
      <c r="U139" s="875"/>
      <c r="V139" s="875"/>
      <c r="W139" s="875"/>
      <c r="X139" s="875"/>
      <c r="Y139" s="875"/>
      <c r="Z139" s="875"/>
    </row>
    <row r="140" spans="1:26" ht="19.5" hidden="1">
      <c r="A140" s="993"/>
      <c r="B140" s="883"/>
      <c r="C140" s="999"/>
      <c r="D140" s="883"/>
      <c r="E140" s="884" t="s">
        <v>19</v>
      </c>
      <c r="F140" s="883"/>
      <c r="G140" s="994"/>
      <c r="H140" s="169" t="s">
        <v>12</v>
      </c>
      <c r="I140" s="1000"/>
      <c r="J140" s="1000"/>
      <c r="K140" s="1001"/>
      <c r="L140" s="887">
        <f ca="1">IFERROR(__xludf.DUMMYFUNCTION("IMPORTRANGE(""https://docs.google.com/spreadsheets/d/1MeEWN-I1oV_STSDYn1IFDPWt_1FKiwhDph83XaGc0o0/edit?usp=sharing"",""งบพรบ!BN80"")"),0)</f>
        <v>0</v>
      </c>
      <c r="M140" s="887">
        <f ca="1">IFERROR(__xludf.DUMMYFUNCTION("IMPORTRANGE(""https://docs.google.com/spreadsheets/d/1MeEWN-I1oV_STSDYn1IFDPWt_1FKiwhDph83XaGc0o0/edit?usp=sharing"",""งบพรบ!BQ80"")"),0)</f>
        <v>0</v>
      </c>
      <c r="N140" s="887">
        <f ca="1">IFERROR(__xludf.DUMMYFUNCTION("IMPORTRANGE(""https://docs.google.com/spreadsheets/d/1MeEWN-I1oV_STSDYn1IFDPWt_1FKiwhDph83XaGc0o0/edit?usp=sharing"",""งบพรบ!BS80"")"),0)</f>
        <v>0</v>
      </c>
      <c r="O140" s="887">
        <f t="shared" ca="1" si="70"/>
        <v>0</v>
      </c>
      <c r="P140" s="887">
        <f t="shared" ca="1" si="71"/>
        <v>0</v>
      </c>
      <c r="Q140" s="875"/>
      <c r="R140" s="875"/>
      <c r="S140" s="875"/>
      <c r="T140" s="875"/>
      <c r="U140" s="875"/>
      <c r="V140" s="875"/>
      <c r="W140" s="875"/>
      <c r="X140" s="875"/>
      <c r="Y140" s="875"/>
      <c r="Z140" s="875"/>
    </row>
    <row r="141" spans="1:26" ht="19.5" hidden="1">
      <c r="A141" s="1002"/>
      <c r="B141" s="1003"/>
      <c r="C141" s="987" t="s">
        <v>16</v>
      </c>
      <c r="D141" s="1004" t="s">
        <v>38</v>
      </c>
      <c r="E141" s="1005"/>
      <c r="F141" s="1005"/>
      <c r="G141" s="1006"/>
      <c r="H141" s="168"/>
      <c r="I141" s="880"/>
      <c r="J141" s="880"/>
      <c r="K141" s="881"/>
      <c r="L141" s="881"/>
      <c r="M141" s="881"/>
      <c r="N141" s="881"/>
      <c r="O141" s="881"/>
      <c r="P141" s="881"/>
    </row>
    <row r="142" spans="1:26" ht="19.5" hidden="1">
      <c r="A142" s="995"/>
      <c r="B142" s="877"/>
      <c r="C142" s="1029"/>
      <c r="D142" s="996" t="s">
        <v>71</v>
      </c>
      <c r="E142" s="878"/>
      <c r="F142" s="877"/>
      <c r="G142" s="1030"/>
      <c r="H142" s="168"/>
      <c r="I142" s="880"/>
      <c r="J142" s="1012">
        <v>0</v>
      </c>
      <c r="K142" s="881"/>
      <c r="L142" s="881"/>
      <c r="M142" s="881"/>
      <c r="N142" s="881"/>
      <c r="O142" s="881"/>
      <c r="P142" s="881"/>
    </row>
    <row r="143" spans="1:26" ht="19.5" hidden="1">
      <c r="A143" s="995"/>
      <c r="B143" s="877"/>
      <c r="C143" s="1029"/>
      <c r="D143" s="996" t="s">
        <v>72</v>
      </c>
      <c r="E143" s="878"/>
      <c r="F143" s="877"/>
      <c r="G143" s="1030"/>
      <c r="H143" s="168" t="s">
        <v>35</v>
      </c>
      <c r="I143" s="880">
        <f ca="1">I145</f>
        <v>0</v>
      </c>
      <c r="J143" s="880">
        <f ca="1">IF(AND(J144&gt;=I144,J145&gt;=I145),J145,0)</f>
        <v>0</v>
      </c>
      <c r="K143" s="881">
        <f t="shared" ref="K143:K146" ca="1" si="75">IF(I143&gt;0,J143*100/I143,0)</f>
        <v>0</v>
      </c>
      <c r="L143" s="881"/>
      <c r="M143" s="881"/>
      <c r="N143" s="881"/>
      <c r="O143" s="881"/>
      <c r="P143" s="881"/>
    </row>
    <row r="144" spans="1:26" ht="19.5" hidden="1">
      <c r="A144" s="995"/>
      <c r="B144" s="877"/>
      <c r="C144" s="1029"/>
      <c r="D144" s="1010"/>
      <c r="E144" s="996" t="s">
        <v>73</v>
      </c>
      <c r="F144" s="877"/>
      <c r="G144" s="1030"/>
      <c r="H144" s="168" t="s">
        <v>35</v>
      </c>
      <c r="I144" s="880">
        <f ca="1">IFERROR(__xludf.DUMMYFUNCTION("IMPORTRANGE(""https://docs.google.com/spreadsheets/d/1QqKyyYR6Q21VydFLVH3TRQUabQu_ym0Zz7PgGX0-kHA/edit?usp=sharing"",""แผน!U80"")"),0)</f>
        <v>0</v>
      </c>
      <c r="J144" s="1012">
        <v>0</v>
      </c>
      <c r="K144" s="881">
        <f t="shared" ca="1" si="75"/>
        <v>0</v>
      </c>
      <c r="L144" s="881"/>
      <c r="M144" s="881"/>
      <c r="N144" s="881"/>
      <c r="O144" s="881"/>
      <c r="P144" s="881"/>
    </row>
    <row r="145" spans="1:26" ht="19.5" hidden="1">
      <c r="A145" s="995"/>
      <c r="B145" s="877"/>
      <c r="C145" s="1029"/>
      <c r="D145" s="1010"/>
      <c r="E145" s="996" t="s">
        <v>74</v>
      </c>
      <c r="F145" s="877"/>
      <c r="G145" s="1030"/>
      <c r="H145" s="168" t="s">
        <v>35</v>
      </c>
      <c r="I145" s="880">
        <f ca="1">IFERROR(__xludf.DUMMYFUNCTION("IMPORTRANGE(""https://docs.google.com/spreadsheets/d/1QqKyyYR6Q21VydFLVH3TRQUabQu_ym0Zz7PgGX0-kHA/edit?usp=sharing"",""แผน!V80"")"),0)</f>
        <v>0</v>
      </c>
      <c r="J145" s="1012">
        <v>0</v>
      </c>
      <c r="K145" s="881">
        <f t="shared" ca="1" si="75"/>
        <v>0</v>
      </c>
      <c r="L145" s="881"/>
      <c r="M145" s="881"/>
      <c r="N145" s="881"/>
      <c r="O145" s="881"/>
      <c r="P145" s="881"/>
    </row>
    <row r="146" spans="1:26" ht="19.5" hidden="1">
      <c r="A146" s="995"/>
      <c r="B146" s="877"/>
      <c r="C146" s="1029"/>
      <c r="D146" s="996" t="s">
        <v>75</v>
      </c>
      <c r="E146" s="878"/>
      <c r="F146" s="877"/>
      <c r="G146" s="1030"/>
      <c r="H146" s="168" t="s">
        <v>66</v>
      </c>
      <c r="I146" s="880">
        <f ca="1">IFERROR(__xludf.DUMMYFUNCTION("IMPORTRANGE(""https://docs.google.com/spreadsheets/d/1QqKyyYR6Q21VydFLVH3TRQUabQu_ym0Zz7PgGX0-kHA/edit?usp=sharing"",""แผน!W80"")"),0)</f>
        <v>0</v>
      </c>
      <c r="J146" s="1012">
        <v>0</v>
      </c>
      <c r="K146" s="881">
        <f t="shared" ca="1" si="75"/>
        <v>0</v>
      </c>
      <c r="L146" s="881"/>
      <c r="M146" s="881"/>
      <c r="N146" s="881"/>
      <c r="O146" s="881"/>
      <c r="P146" s="881"/>
    </row>
    <row r="147" spans="1:26" ht="19.5" hidden="1">
      <c r="A147" s="970" t="s">
        <v>76</v>
      </c>
      <c r="B147" s="971"/>
      <c r="C147" s="1022"/>
      <c r="D147" s="971"/>
      <c r="E147" s="971"/>
      <c r="F147" s="971"/>
      <c r="G147" s="971"/>
      <c r="H147" s="1023"/>
      <c r="I147" s="1024"/>
      <c r="J147" s="1024"/>
      <c r="K147" s="1025"/>
      <c r="L147" s="976"/>
      <c r="M147" s="976"/>
      <c r="N147" s="976"/>
      <c r="O147" s="976"/>
      <c r="P147" s="976"/>
    </row>
    <row r="148" spans="1:26" ht="19.5" hidden="1">
      <c r="A148" s="1031"/>
      <c r="B148" s="978" t="s">
        <v>77</v>
      </c>
      <c r="C148" s="978"/>
      <c r="D148" s="978"/>
      <c r="E148" s="1032"/>
      <c r="F148" s="1033"/>
      <c r="G148" s="1034"/>
      <c r="H148" s="221" t="s">
        <v>35</v>
      </c>
      <c r="I148" s="982">
        <f t="shared" ref="I148:J148" ca="1" si="76">I159</f>
        <v>0</v>
      </c>
      <c r="J148" s="982">
        <f t="shared" si="76"/>
        <v>0</v>
      </c>
      <c r="K148" s="983">
        <f ca="1">IF(I148&gt;0,J148*100/I148,0)</f>
        <v>0</v>
      </c>
      <c r="L148" s="983"/>
      <c r="M148" s="983"/>
      <c r="N148" s="983"/>
      <c r="O148" s="983"/>
      <c r="P148" s="98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85"/>
      <c r="B149" s="986"/>
      <c r="C149" s="987" t="s">
        <v>16</v>
      </c>
      <c r="D149" s="988" t="s">
        <v>17</v>
      </c>
      <c r="E149" s="986"/>
      <c r="F149" s="986"/>
      <c r="G149" s="989"/>
      <c r="H149" s="152" t="s">
        <v>12</v>
      </c>
      <c r="I149" s="990"/>
      <c r="J149" s="990"/>
      <c r="K149" s="991"/>
      <c r="L149" s="992">
        <f t="shared" ref="L149:N149" ca="1" si="77">L150+L151</f>
        <v>0</v>
      </c>
      <c r="M149" s="992">
        <f t="shared" ca="1" si="77"/>
        <v>0</v>
      </c>
      <c r="N149" s="992">
        <f t="shared" ca="1" si="77"/>
        <v>0</v>
      </c>
      <c r="O149" s="992">
        <f t="shared" ref="O149:O157" ca="1" si="78">IF(L149&gt;0,N149*100/L149,0)</f>
        <v>0</v>
      </c>
      <c r="P149" s="992">
        <f t="shared" ref="P149:P157" ca="1" si="79">IF(M149&gt;0,N149*100/M149,0)</f>
        <v>0</v>
      </c>
      <c r="Q149" s="868"/>
      <c r="R149" s="868"/>
      <c r="S149" s="868"/>
      <c r="T149" s="868"/>
      <c r="U149" s="868"/>
      <c r="V149" s="868"/>
      <c r="W149" s="868"/>
      <c r="X149" s="868"/>
      <c r="Y149" s="868"/>
      <c r="Z149" s="868"/>
    </row>
    <row r="150" spans="1:26" ht="18.75" hidden="1">
      <c r="A150" s="993"/>
      <c r="B150" s="883"/>
      <c r="C150" s="883"/>
      <c r="D150" s="883"/>
      <c r="E150" s="884" t="s">
        <v>18</v>
      </c>
      <c r="F150" s="883"/>
      <c r="G150" s="994"/>
      <c r="H150" s="158" t="s">
        <v>12</v>
      </c>
      <c r="I150" s="886"/>
      <c r="J150" s="886"/>
      <c r="K150" s="887"/>
      <c r="L150" s="887">
        <f t="shared" ref="L150:N151" si="80">L153+L156</f>
        <v>0</v>
      </c>
      <c r="M150" s="887">
        <f t="shared" si="80"/>
        <v>0</v>
      </c>
      <c r="N150" s="887">
        <f t="shared" si="80"/>
        <v>0</v>
      </c>
      <c r="O150" s="887">
        <f t="shared" si="78"/>
        <v>0</v>
      </c>
      <c r="P150" s="887">
        <f t="shared" si="79"/>
        <v>0</v>
      </c>
      <c r="Q150" s="875"/>
      <c r="R150" s="875"/>
      <c r="S150" s="875"/>
      <c r="T150" s="875"/>
      <c r="U150" s="875"/>
      <c r="V150" s="875"/>
      <c r="W150" s="875"/>
      <c r="X150" s="875"/>
      <c r="Y150" s="875"/>
      <c r="Z150" s="875"/>
    </row>
    <row r="151" spans="1:26" ht="18.75" hidden="1">
      <c r="A151" s="993"/>
      <c r="B151" s="883"/>
      <c r="C151" s="883"/>
      <c r="D151" s="883"/>
      <c r="E151" s="884" t="s">
        <v>19</v>
      </c>
      <c r="F151" s="883"/>
      <c r="G151" s="994"/>
      <c r="H151" s="158" t="s">
        <v>12</v>
      </c>
      <c r="I151" s="886"/>
      <c r="J151" s="886"/>
      <c r="K151" s="887"/>
      <c r="L151" s="887">
        <f t="shared" ca="1" si="80"/>
        <v>0</v>
      </c>
      <c r="M151" s="887">
        <f t="shared" ca="1" si="80"/>
        <v>0</v>
      </c>
      <c r="N151" s="887">
        <f t="shared" ca="1" si="80"/>
        <v>0</v>
      </c>
      <c r="O151" s="887">
        <f t="shared" ca="1" si="78"/>
        <v>0</v>
      </c>
      <c r="P151" s="887">
        <f t="shared" ca="1" si="79"/>
        <v>0</v>
      </c>
      <c r="Q151" s="875"/>
      <c r="R151" s="875"/>
      <c r="S151" s="875"/>
      <c r="T151" s="875"/>
      <c r="U151" s="875"/>
      <c r="V151" s="875"/>
      <c r="W151" s="875"/>
      <c r="X151" s="875"/>
      <c r="Y151" s="875"/>
      <c r="Z151" s="875"/>
    </row>
    <row r="152" spans="1:26" ht="18.75" hidden="1">
      <c r="A152" s="995"/>
      <c r="B152" s="877"/>
      <c r="C152" s="996"/>
      <c r="D152" s="878" t="s">
        <v>20</v>
      </c>
      <c r="E152" s="877"/>
      <c r="F152" s="877"/>
      <c r="G152" s="879"/>
      <c r="H152" s="161" t="s">
        <v>12</v>
      </c>
      <c r="I152" s="997"/>
      <c r="J152" s="997"/>
      <c r="K152" s="998"/>
      <c r="L152" s="881">
        <f t="shared" ref="L152:N152" ca="1" si="81">L153+L154</f>
        <v>0</v>
      </c>
      <c r="M152" s="881">
        <f t="shared" ca="1" si="81"/>
        <v>0</v>
      </c>
      <c r="N152" s="881">
        <f t="shared" ca="1" si="81"/>
        <v>0</v>
      </c>
      <c r="O152" s="881">
        <f t="shared" ca="1" si="78"/>
        <v>0</v>
      </c>
      <c r="P152" s="881">
        <f t="shared" ca="1" si="79"/>
        <v>0</v>
      </c>
      <c r="Q152" s="868"/>
      <c r="R152" s="868"/>
      <c r="S152" s="868"/>
      <c r="T152" s="868"/>
      <c r="U152" s="868"/>
      <c r="V152" s="868"/>
      <c r="W152" s="868"/>
      <c r="X152" s="868"/>
      <c r="Y152" s="868"/>
      <c r="Z152" s="868"/>
    </row>
    <row r="153" spans="1:26" ht="19.5" hidden="1">
      <c r="A153" s="993"/>
      <c r="B153" s="883"/>
      <c r="C153" s="999"/>
      <c r="D153" s="883"/>
      <c r="E153" s="884" t="s">
        <v>36</v>
      </c>
      <c r="F153" s="883"/>
      <c r="G153" s="994"/>
      <c r="H153" s="165" t="s">
        <v>12</v>
      </c>
      <c r="I153" s="1000"/>
      <c r="J153" s="1000"/>
      <c r="K153" s="1001"/>
      <c r="L153" s="887">
        <v>0</v>
      </c>
      <c r="M153" s="887">
        <v>0</v>
      </c>
      <c r="N153" s="887">
        <v>0</v>
      </c>
      <c r="O153" s="887">
        <f t="shared" si="78"/>
        <v>0</v>
      </c>
      <c r="P153" s="887">
        <f t="shared" si="79"/>
        <v>0</v>
      </c>
      <c r="Q153" s="875"/>
      <c r="R153" s="875"/>
      <c r="S153" s="875"/>
      <c r="T153" s="875"/>
      <c r="U153" s="875"/>
      <c r="V153" s="875"/>
      <c r="W153" s="875"/>
      <c r="X153" s="875"/>
      <c r="Y153" s="875"/>
      <c r="Z153" s="875"/>
    </row>
    <row r="154" spans="1:26" ht="19.5" hidden="1">
      <c r="A154" s="993"/>
      <c r="B154" s="883"/>
      <c r="C154" s="999"/>
      <c r="D154" s="883"/>
      <c r="E154" s="884" t="s">
        <v>37</v>
      </c>
      <c r="F154" s="883"/>
      <c r="G154" s="994"/>
      <c r="H154" s="165" t="s">
        <v>12</v>
      </c>
      <c r="I154" s="1000"/>
      <c r="J154" s="1000"/>
      <c r="K154" s="1001"/>
      <c r="L154" s="887">
        <f ca="1">IFERROR(__xludf.DUMMYFUNCTION("IMPORTRANGE(""https://docs.google.com/spreadsheets/d/1MeEWN-I1oV_STSDYn1IFDPWt_1FKiwhDph83XaGc0o0/edit?usp=sharing"",""งบพรบ!BU80"")"),0)</f>
        <v>0</v>
      </c>
      <c r="M154" s="887">
        <f ca="1">IFERROR(__xludf.DUMMYFUNCTION("IMPORTRANGE(""https://docs.google.com/spreadsheets/d/1MeEWN-I1oV_STSDYn1IFDPWt_1FKiwhDph83XaGc0o0/edit?usp=sharing"",""งบพรบ!BZ80"")"),0)</f>
        <v>0</v>
      </c>
      <c r="N154" s="887">
        <f ca="1">IFERROR(__xludf.DUMMYFUNCTION("IMPORTRANGE(""https://docs.google.com/spreadsheets/d/1MeEWN-I1oV_STSDYn1IFDPWt_1FKiwhDph83XaGc0o0/edit?usp=sharing"",""งบพรบ!CB80"")"),0)</f>
        <v>0</v>
      </c>
      <c r="O154" s="887">
        <f t="shared" ca="1" si="78"/>
        <v>0</v>
      </c>
      <c r="P154" s="887">
        <f t="shared" ca="1" si="79"/>
        <v>0</v>
      </c>
      <c r="Q154" s="875"/>
      <c r="R154" s="875"/>
      <c r="S154" s="875"/>
      <c r="T154" s="875"/>
      <c r="U154" s="875"/>
      <c r="V154" s="875"/>
      <c r="W154" s="875"/>
      <c r="X154" s="875"/>
      <c r="Y154" s="875"/>
      <c r="Z154" s="875"/>
    </row>
    <row r="155" spans="1:26" ht="18.75" hidden="1">
      <c r="A155" s="995"/>
      <c r="B155" s="877"/>
      <c r="C155" s="996"/>
      <c r="D155" s="878" t="s">
        <v>21</v>
      </c>
      <c r="E155" s="877"/>
      <c r="F155" s="877"/>
      <c r="G155" s="879"/>
      <c r="H155" s="168" t="s">
        <v>12</v>
      </c>
      <c r="I155" s="997"/>
      <c r="J155" s="997"/>
      <c r="K155" s="998"/>
      <c r="L155" s="881">
        <f t="shared" ref="L155:N155" ca="1" si="82">L156+L157</f>
        <v>0</v>
      </c>
      <c r="M155" s="881">
        <f t="shared" ca="1" si="82"/>
        <v>0</v>
      </c>
      <c r="N155" s="881">
        <f t="shared" ca="1" si="82"/>
        <v>0</v>
      </c>
      <c r="O155" s="881">
        <f t="shared" ca="1" si="78"/>
        <v>0</v>
      </c>
      <c r="P155" s="881">
        <f t="shared" ca="1" si="79"/>
        <v>0</v>
      </c>
      <c r="Q155" s="868"/>
      <c r="R155" s="868"/>
      <c r="S155" s="868"/>
      <c r="T155" s="868"/>
      <c r="U155" s="868"/>
      <c r="V155" s="868"/>
      <c r="W155" s="868"/>
      <c r="X155" s="868"/>
      <c r="Y155" s="868"/>
      <c r="Z155" s="868"/>
    </row>
    <row r="156" spans="1:26" ht="19.5" hidden="1">
      <c r="A156" s="993"/>
      <c r="B156" s="883"/>
      <c r="C156" s="999"/>
      <c r="D156" s="883"/>
      <c r="E156" s="884" t="s">
        <v>18</v>
      </c>
      <c r="F156" s="883"/>
      <c r="G156" s="994"/>
      <c r="H156" s="165" t="s">
        <v>12</v>
      </c>
      <c r="I156" s="1000"/>
      <c r="J156" s="1000"/>
      <c r="K156" s="1001"/>
      <c r="L156" s="887">
        <v>0</v>
      </c>
      <c r="M156" s="887">
        <v>0</v>
      </c>
      <c r="N156" s="887">
        <v>0</v>
      </c>
      <c r="O156" s="887">
        <f t="shared" si="78"/>
        <v>0</v>
      </c>
      <c r="P156" s="887">
        <f t="shared" si="79"/>
        <v>0</v>
      </c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</row>
    <row r="157" spans="1:26" ht="19.5" hidden="1">
      <c r="A157" s="993"/>
      <c r="B157" s="883"/>
      <c r="C157" s="999"/>
      <c r="D157" s="883"/>
      <c r="E157" s="884" t="s">
        <v>19</v>
      </c>
      <c r="F157" s="883"/>
      <c r="G157" s="994"/>
      <c r="H157" s="169" t="s">
        <v>12</v>
      </c>
      <c r="I157" s="1000"/>
      <c r="J157" s="1000"/>
      <c r="K157" s="1001"/>
      <c r="L157" s="887">
        <f ca="1">IFERROR(__xludf.DUMMYFUNCTION("IMPORTRANGE(""https://docs.google.com/spreadsheets/d/1MeEWN-I1oV_STSDYn1IFDPWt_1FKiwhDph83XaGc0o0/edit?usp=sharing"",""งบพรบ!BX80"")"),0)</f>
        <v>0</v>
      </c>
      <c r="M157" s="887">
        <f ca="1">IFERROR(__xludf.DUMMYFUNCTION("IMPORTRANGE(""https://docs.google.com/spreadsheets/d/1MeEWN-I1oV_STSDYn1IFDPWt_1FKiwhDph83XaGc0o0/edit?usp=sharing"",""งบพรบ!CA80"")"),0)</f>
        <v>0</v>
      </c>
      <c r="N157" s="887">
        <f ca="1">IFERROR(__xludf.DUMMYFUNCTION("IMPORTRANGE(""https://docs.google.com/spreadsheets/d/1MeEWN-I1oV_STSDYn1IFDPWt_1FKiwhDph83XaGc0o0/edit?usp=sharing"",""งบพรบ!CC80"")"),0)</f>
        <v>0</v>
      </c>
      <c r="O157" s="887">
        <f t="shared" ca="1" si="78"/>
        <v>0</v>
      </c>
      <c r="P157" s="887">
        <f t="shared" ca="1" si="79"/>
        <v>0</v>
      </c>
      <c r="Q157" s="875"/>
      <c r="R157" s="875"/>
      <c r="S157" s="875"/>
      <c r="T157" s="875"/>
      <c r="U157" s="875"/>
      <c r="V157" s="875"/>
      <c r="W157" s="875"/>
      <c r="X157" s="875"/>
      <c r="Y157" s="875"/>
      <c r="Z157" s="875"/>
    </row>
    <row r="158" spans="1:26" ht="19.5" hidden="1">
      <c r="A158" s="1002"/>
      <c r="B158" s="1003"/>
      <c r="C158" s="999" t="s">
        <v>16</v>
      </c>
      <c r="D158" s="1004" t="s">
        <v>38</v>
      </c>
      <c r="E158" s="1005"/>
      <c r="F158" s="1005"/>
      <c r="G158" s="1006"/>
      <c r="H158" s="168"/>
      <c r="I158" s="880"/>
      <c r="J158" s="880"/>
      <c r="K158" s="881"/>
      <c r="L158" s="881"/>
      <c r="M158" s="881"/>
      <c r="N158" s="881"/>
      <c r="O158" s="881"/>
      <c r="P158" s="881"/>
    </row>
    <row r="159" spans="1:26" ht="19.5" hidden="1">
      <c r="A159" s="995"/>
      <c r="B159" s="877"/>
      <c r="C159" s="1029"/>
      <c r="D159" s="996" t="s">
        <v>78</v>
      </c>
      <c r="E159" s="878"/>
      <c r="F159" s="877"/>
      <c r="G159" s="1030"/>
      <c r="H159" s="168" t="s">
        <v>35</v>
      </c>
      <c r="I159" s="880">
        <f ca="1">IFERROR(__xludf.DUMMYFUNCTION("IMPORTRANGE(""https://docs.google.com/spreadsheets/d/1QqKyyYR6Q21VydFLVH3TRQUabQu_ym0Zz7PgGX0-kHA/edit?usp=sharing"",""แผน!X80"")"),0)</f>
        <v>0</v>
      </c>
      <c r="J159" s="1012">
        <v>0</v>
      </c>
      <c r="K159" s="881">
        <f ca="1">IF(I159&gt;0,J159*100/I159,0)</f>
        <v>0</v>
      </c>
      <c r="L159" s="881"/>
      <c r="M159" s="881"/>
      <c r="N159" s="881"/>
      <c r="O159" s="881"/>
      <c r="P159" s="881"/>
    </row>
    <row r="160" spans="1:26" ht="19.5" hidden="1">
      <c r="A160" s="993"/>
      <c r="B160" s="883"/>
      <c r="C160" s="999"/>
      <c r="D160" s="884" t="s">
        <v>79</v>
      </c>
      <c r="E160" s="1035"/>
      <c r="F160" s="883"/>
      <c r="G160" s="994"/>
      <c r="H160" s="169" t="s">
        <v>35</v>
      </c>
      <c r="I160" s="886"/>
      <c r="J160" s="886"/>
      <c r="K160" s="887"/>
      <c r="L160" s="887"/>
      <c r="M160" s="887"/>
      <c r="N160" s="887"/>
      <c r="O160" s="887"/>
      <c r="P160" s="88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232" t="s">
        <v>35</v>
      </c>
      <c r="I161" s="1042"/>
      <c r="J161" s="1042"/>
      <c r="K161" s="1043"/>
      <c r="L161" s="1043"/>
      <c r="M161" s="1043"/>
      <c r="N161" s="1043"/>
      <c r="O161" s="1043"/>
      <c r="P161" s="104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44" t="s">
        <v>81</v>
      </c>
      <c r="B162" s="1045"/>
      <c r="C162" s="1045"/>
      <c r="D162" s="1045"/>
      <c r="E162" s="1046"/>
      <c r="F162" s="1046"/>
      <c r="G162" s="1047"/>
      <c r="H162" s="1048"/>
      <c r="I162" s="1049"/>
      <c r="J162" s="1049"/>
      <c r="K162" s="1050"/>
      <c r="L162" s="1050"/>
      <c r="M162" s="1050"/>
      <c r="N162" s="1050"/>
      <c r="O162" s="1050"/>
      <c r="P162" s="1050"/>
    </row>
    <row r="163" spans="1:26" ht="19.5">
      <c r="A163" s="1051" t="s">
        <v>82</v>
      </c>
      <c r="B163" s="1052"/>
      <c r="C163" s="1052"/>
      <c r="D163" s="1053"/>
      <c r="E163" s="1053"/>
      <c r="F163" s="1053"/>
      <c r="G163" s="1054"/>
      <c r="H163" s="1055"/>
      <c r="I163" s="1056"/>
      <c r="J163" s="1056"/>
      <c r="K163" s="1057"/>
      <c r="L163" s="1057"/>
      <c r="M163" s="1057"/>
      <c r="N163" s="1057"/>
      <c r="O163" s="1057"/>
      <c r="P163" s="1057"/>
    </row>
    <row r="164" spans="1:26" ht="19.5">
      <c r="A164" s="1058"/>
      <c r="B164" s="1059" t="s">
        <v>83</v>
      </c>
      <c r="C164" s="1060"/>
      <c r="D164" s="1005"/>
      <c r="E164" s="1005"/>
      <c r="F164" s="1005"/>
      <c r="G164" s="1006"/>
      <c r="H164" s="252" t="s">
        <v>35</v>
      </c>
      <c r="I164" s="1075">
        <f t="shared" ref="I164:J164" ca="1" si="83">I174+I177</f>
        <v>10</v>
      </c>
      <c r="J164" s="1075">
        <f t="shared" si="83"/>
        <v>10</v>
      </c>
      <c r="K164" s="1076">
        <f ca="1">IF(I164&gt;0,J164*100/I164,0)</f>
        <v>100</v>
      </c>
      <c r="L164" s="1062"/>
      <c r="M164" s="1062"/>
      <c r="N164" s="1062"/>
      <c r="O164" s="1062"/>
      <c r="P164" s="1062"/>
    </row>
    <row r="165" spans="1:26" ht="19.5">
      <c r="A165" s="985"/>
      <c r="B165" s="986"/>
      <c r="C165" s="987" t="s">
        <v>16</v>
      </c>
      <c r="D165" s="988" t="s">
        <v>17</v>
      </c>
      <c r="E165" s="986"/>
      <c r="F165" s="986"/>
      <c r="G165" s="989"/>
      <c r="H165" s="152" t="s">
        <v>12</v>
      </c>
      <c r="I165" s="990"/>
      <c r="J165" s="990"/>
      <c r="K165" s="991"/>
      <c r="L165" s="992">
        <f t="shared" ref="L165:N165" ca="1" si="84">L166+L167</f>
        <v>21050</v>
      </c>
      <c r="M165" s="992">
        <f t="shared" ca="1" si="84"/>
        <v>42290</v>
      </c>
      <c r="N165" s="992">
        <f t="shared" ca="1" si="84"/>
        <v>42290</v>
      </c>
      <c r="O165" s="992">
        <f t="shared" ref="O165:O173" ca="1" si="85">IF(L165&gt;0,N165*100/L165,0)</f>
        <v>200.90261282660333</v>
      </c>
      <c r="P165" s="992">
        <f t="shared" ref="P165:P173" ca="1" si="86">IF(M165&gt;0,N165*100/M165,0)</f>
        <v>100</v>
      </c>
      <c r="Q165" s="868"/>
      <c r="R165" s="868"/>
      <c r="S165" s="868"/>
      <c r="T165" s="868"/>
      <c r="U165" s="868"/>
      <c r="V165" s="868"/>
      <c r="W165" s="868"/>
      <c r="X165" s="868"/>
      <c r="Y165" s="868"/>
      <c r="Z165" s="868"/>
    </row>
    <row r="166" spans="1:26" ht="18.75" hidden="1">
      <c r="A166" s="993"/>
      <c r="B166" s="883"/>
      <c r="C166" s="883"/>
      <c r="D166" s="883"/>
      <c r="E166" s="884" t="s">
        <v>18</v>
      </c>
      <c r="F166" s="883"/>
      <c r="G166" s="994"/>
      <c r="H166" s="158" t="s">
        <v>12</v>
      </c>
      <c r="I166" s="886"/>
      <c r="J166" s="886"/>
      <c r="K166" s="887"/>
      <c r="L166" s="887">
        <f t="shared" ref="L166:N167" si="87">L169+L172</f>
        <v>0</v>
      </c>
      <c r="M166" s="887">
        <f t="shared" si="87"/>
        <v>0</v>
      </c>
      <c r="N166" s="887">
        <f t="shared" si="87"/>
        <v>0</v>
      </c>
      <c r="O166" s="887">
        <f t="shared" si="85"/>
        <v>0</v>
      </c>
      <c r="P166" s="887">
        <f t="shared" si="86"/>
        <v>0</v>
      </c>
      <c r="Q166" s="875"/>
      <c r="R166" s="875"/>
      <c r="S166" s="875"/>
      <c r="T166" s="875"/>
      <c r="U166" s="875"/>
      <c r="V166" s="875"/>
      <c r="W166" s="875"/>
      <c r="X166" s="875"/>
      <c r="Y166" s="875"/>
      <c r="Z166" s="875"/>
    </row>
    <row r="167" spans="1:26" ht="18.75" hidden="1">
      <c r="A167" s="993"/>
      <c r="B167" s="883"/>
      <c r="C167" s="883"/>
      <c r="D167" s="883"/>
      <c r="E167" s="884" t="s">
        <v>19</v>
      </c>
      <c r="F167" s="883"/>
      <c r="G167" s="994"/>
      <c r="H167" s="158" t="s">
        <v>12</v>
      </c>
      <c r="I167" s="886"/>
      <c r="J167" s="886"/>
      <c r="K167" s="887"/>
      <c r="L167" s="887">
        <f t="shared" ca="1" si="87"/>
        <v>21050</v>
      </c>
      <c r="M167" s="887">
        <f t="shared" ca="1" si="87"/>
        <v>42290</v>
      </c>
      <c r="N167" s="887">
        <f t="shared" ca="1" si="87"/>
        <v>42290</v>
      </c>
      <c r="O167" s="887">
        <f t="shared" ca="1" si="85"/>
        <v>200.90261282660333</v>
      </c>
      <c r="P167" s="887">
        <f t="shared" ca="1" si="86"/>
        <v>100</v>
      </c>
      <c r="Q167" s="875"/>
      <c r="R167" s="875"/>
      <c r="S167" s="875"/>
      <c r="T167" s="875"/>
      <c r="U167" s="875"/>
      <c r="V167" s="875"/>
      <c r="W167" s="875"/>
      <c r="X167" s="875"/>
      <c r="Y167" s="875"/>
      <c r="Z167" s="875"/>
    </row>
    <row r="168" spans="1:26" ht="18.75">
      <c r="A168" s="995"/>
      <c r="B168" s="877"/>
      <c r="C168" s="996"/>
      <c r="D168" s="878" t="s">
        <v>20</v>
      </c>
      <c r="E168" s="877"/>
      <c r="F168" s="877"/>
      <c r="G168" s="879"/>
      <c r="H168" s="161" t="s">
        <v>12</v>
      </c>
      <c r="I168" s="997"/>
      <c r="J168" s="997"/>
      <c r="K168" s="998"/>
      <c r="L168" s="881">
        <f t="shared" ref="L168:N168" ca="1" si="88">L169+L170</f>
        <v>21050</v>
      </c>
      <c r="M168" s="881">
        <f t="shared" ca="1" si="88"/>
        <v>42290</v>
      </c>
      <c r="N168" s="881">
        <f t="shared" ca="1" si="88"/>
        <v>42290</v>
      </c>
      <c r="O168" s="881">
        <f t="shared" ca="1" si="85"/>
        <v>200.90261282660333</v>
      </c>
      <c r="P168" s="881">
        <f t="shared" ca="1" si="86"/>
        <v>100</v>
      </c>
      <c r="Q168" s="868"/>
      <c r="R168" s="868"/>
      <c r="S168" s="868"/>
      <c r="T168" s="868"/>
      <c r="U168" s="868"/>
      <c r="V168" s="868"/>
      <c r="W168" s="868"/>
      <c r="X168" s="868"/>
      <c r="Y168" s="868"/>
      <c r="Z168" s="868"/>
    </row>
    <row r="169" spans="1:26" ht="19.5" hidden="1">
      <c r="A169" s="993"/>
      <c r="B169" s="883"/>
      <c r="C169" s="999"/>
      <c r="D169" s="883"/>
      <c r="E169" s="884" t="s">
        <v>36</v>
      </c>
      <c r="F169" s="883"/>
      <c r="G169" s="994"/>
      <c r="H169" s="165" t="s">
        <v>12</v>
      </c>
      <c r="I169" s="1000"/>
      <c r="J169" s="1000"/>
      <c r="K169" s="1001"/>
      <c r="L169" s="887">
        <v>0</v>
      </c>
      <c r="M169" s="887">
        <v>0</v>
      </c>
      <c r="N169" s="887">
        <v>0</v>
      </c>
      <c r="O169" s="887">
        <f t="shared" si="85"/>
        <v>0</v>
      </c>
      <c r="P169" s="887">
        <f t="shared" si="86"/>
        <v>0</v>
      </c>
      <c r="Q169" s="875"/>
      <c r="R169" s="875"/>
      <c r="S169" s="875"/>
      <c r="T169" s="875"/>
      <c r="U169" s="875"/>
      <c r="V169" s="875"/>
      <c r="W169" s="875"/>
      <c r="X169" s="875"/>
      <c r="Y169" s="875"/>
      <c r="Z169" s="875"/>
    </row>
    <row r="170" spans="1:26" ht="19.5" hidden="1">
      <c r="A170" s="993"/>
      <c r="B170" s="883"/>
      <c r="C170" s="999"/>
      <c r="D170" s="883"/>
      <c r="E170" s="884" t="s">
        <v>37</v>
      </c>
      <c r="F170" s="883"/>
      <c r="G170" s="994"/>
      <c r="H170" s="165" t="s">
        <v>12</v>
      </c>
      <c r="I170" s="1000"/>
      <c r="J170" s="1000"/>
      <c r="K170" s="1001"/>
      <c r="L170" s="887">
        <f ca="1">IFERROR(__xludf.DUMMYFUNCTION("IMPORTRANGE(""https://docs.google.com/spreadsheets/d/1MeEWN-I1oV_STSDYn1IFDPWt_1FKiwhDph83XaGc0o0/edit?usp=sharing"",""งบพรบ!CE80"")"),21050)</f>
        <v>21050</v>
      </c>
      <c r="M170" s="887">
        <f ca="1">IFERROR(__xludf.DUMMYFUNCTION("IMPORTRANGE(""https://docs.google.com/spreadsheets/d/1MeEWN-I1oV_STSDYn1IFDPWt_1FKiwhDph83XaGc0o0/edit?usp=sharing"",""งบพรบ!CJ80"")"),42290)</f>
        <v>42290</v>
      </c>
      <c r="N170" s="887">
        <f ca="1">IFERROR(__xludf.DUMMYFUNCTION("IMPORTRANGE(""https://docs.google.com/spreadsheets/d/1MeEWN-I1oV_STSDYn1IFDPWt_1FKiwhDph83XaGc0o0/edit?usp=sharing"",""งบพรบ!CL80"")"),42290)</f>
        <v>42290</v>
      </c>
      <c r="O170" s="887">
        <f t="shared" ca="1" si="85"/>
        <v>200.90261282660333</v>
      </c>
      <c r="P170" s="887">
        <f t="shared" ca="1" si="86"/>
        <v>100</v>
      </c>
      <c r="Q170" s="875"/>
      <c r="R170" s="875"/>
      <c r="S170" s="875"/>
      <c r="T170" s="875"/>
      <c r="U170" s="875"/>
      <c r="V170" s="875"/>
      <c r="W170" s="875"/>
      <c r="X170" s="875"/>
      <c r="Y170" s="875"/>
      <c r="Z170" s="875"/>
    </row>
    <row r="171" spans="1:26" ht="18.75">
      <c r="A171" s="995"/>
      <c r="B171" s="877"/>
      <c r="C171" s="996"/>
      <c r="D171" s="878" t="s">
        <v>21</v>
      </c>
      <c r="E171" s="877"/>
      <c r="F171" s="877"/>
      <c r="G171" s="879"/>
      <c r="H171" s="168" t="s">
        <v>12</v>
      </c>
      <c r="I171" s="997"/>
      <c r="J171" s="997"/>
      <c r="K171" s="998"/>
      <c r="L171" s="881">
        <f t="shared" ref="L171:N171" ca="1" si="89">L172+L173</f>
        <v>0</v>
      </c>
      <c r="M171" s="881">
        <f t="shared" ca="1" si="89"/>
        <v>0</v>
      </c>
      <c r="N171" s="881">
        <f t="shared" ca="1" si="89"/>
        <v>0</v>
      </c>
      <c r="O171" s="881">
        <f t="shared" ca="1" si="85"/>
        <v>0</v>
      </c>
      <c r="P171" s="881">
        <f t="shared" ca="1" si="86"/>
        <v>0</v>
      </c>
      <c r="Q171" s="868"/>
      <c r="R171" s="868"/>
      <c r="S171" s="868"/>
      <c r="T171" s="868"/>
      <c r="U171" s="868"/>
      <c r="V171" s="868"/>
      <c r="W171" s="868"/>
      <c r="X171" s="868"/>
      <c r="Y171" s="868"/>
      <c r="Z171" s="868"/>
    </row>
    <row r="172" spans="1:26" ht="19.5" hidden="1">
      <c r="A172" s="993"/>
      <c r="B172" s="883"/>
      <c r="C172" s="999"/>
      <c r="D172" s="883"/>
      <c r="E172" s="884" t="s">
        <v>18</v>
      </c>
      <c r="F172" s="883"/>
      <c r="G172" s="994"/>
      <c r="H172" s="165" t="s">
        <v>12</v>
      </c>
      <c r="I172" s="1000"/>
      <c r="J172" s="1000"/>
      <c r="K172" s="1001"/>
      <c r="L172" s="887">
        <v>0</v>
      </c>
      <c r="M172" s="887">
        <v>0</v>
      </c>
      <c r="N172" s="887">
        <v>0</v>
      </c>
      <c r="O172" s="887">
        <f t="shared" si="85"/>
        <v>0</v>
      </c>
      <c r="P172" s="887">
        <f t="shared" si="86"/>
        <v>0</v>
      </c>
      <c r="Q172" s="875"/>
      <c r="R172" s="875"/>
      <c r="S172" s="875"/>
      <c r="T172" s="875"/>
      <c r="U172" s="875"/>
      <c r="V172" s="875"/>
      <c r="W172" s="875"/>
      <c r="X172" s="875"/>
      <c r="Y172" s="875"/>
      <c r="Z172" s="875"/>
    </row>
    <row r="173" spans="1:26" ht="19.5" hidden="1">
      <c r="A173" s="993"/>
      <c r="B173" s="883"/>
      <c r="C173" s="999"/>
      <c r="D173" s="883"/>
      <c r="E173" s="884" t="s">
        <v>19</v>
      </c>
      <c r="F173" s="883"/>
      <c r="G173" s="994"/>
      <c r="H173" s="169" t="s">
        <v>12</v>
      </c>
      <c r="I173" s="1000"/>
      <c r="J173" s="1000"/>
      <c r="K173" s="1001"/>
      <c r="L173" s="887">
        <f ca="1">IFERROR(__xludf.DUMMYFUNCTION("IMPORTRANGE(""https://docs.google.com/spreadsheets/d/1MeEWN-I1oV_STSDYn1IFDPWt_1FKiwhDph83XaGc0o0/edit?usp=sharing"",""งบพรบ!CH80"")"),0)</f>
        <v>0</v>
      </c>
      <c r="M173" s="887">
        <f ca="1">IFERROR(__xludf.DUMMYFUNCTION("IMPORTRANGE(""https://docs.google.com/spreadsheets/d/1MeEWN-I1oV_STSDYn1IFDPWt_1FKiwhDph83XaGc0o0/edit?usp=sharing"",""งบพรบ!CK80"")"),0)</f>
        <v>0</v>
      </c>
      <c r="N173" s="887">
        <f ca="1">IFERROR(__xludf.DUMMYFUNCTION("IMPORTRANGE(""https://docs.google.com/spreadsheets/d/1MeEWN-I1oV_STSDYn1IFDPWt_1FKiwhDph83XaGc0o0/edit?usp=sharing"",""งบพรบ!CM80"")"),0)</f>
        <v>0</v>
      </c>
      <c r="O173" s="887">
        <f t="shared" ca="1" si="85"/>
        <v>0</v>
      </c>
      <c r="P173" s="887">
        <f t="shared" ca="1" si="86"/>
        <v>0</v>
      </c>
      <c r="Q173" s="875"/>
      <c r="R173" s="875"/>
      <c r="S173" s="875"/>
      <c r="T173" s="875"/>
      <c r="U173" s="875"/>
      <c r="V173" s="875"/>
      <c r="W173" s="875"/>
      <c r="X173" s="875"/>
      <c r="Y173" s="875"/>
      <c r="Z173" s="875"/>
    </row>
    <row r="174" spans="1:26" ht="19.5">
      <c r="A174" s="1063"/>
      <c r="B174" s="1064"/>
      <c r="C174" s="1065" t="s">
        <v>84</v>
      </c>
      <c r="D174" s="1064"/>
      <c r="E174" s="1064"/>
      <c r="F174" s="1064"/>
      <c r="G174" s="1066"/>
      <c r="H174" s="260" t="s">
        <v>35</v>
      </c>
      <c r="I174" s="1067">
        <f t="shared" ref="I174:J174" ca="1" si="90">I176</f>
        <v>10</v>
      </c>
      <c r="J174" s="1067">
        <f t="shared" si="90"/>
        <v>10</v>
      </c>
      <c r="K174" s="1068">
        <f ca="1">IF(I174&gt;0,J174*100/I174,0)</f>
        <v>100</v>
      </c>
      <c r="L174" s="1068"/>
      <c r="M174" s="1068"/>
      <c r="N174" s="1068"/>
      <c r="O174" s="1068"/>
      <c r="P174" s="1068"/>
    </row>
    <row r="175" spans="1:26" ht="19.5">
      <c r="A175" s="1002"/>
      <c r="B175" s="1003"/>
      <c r="C175" s="999" t="s">
        <v>16</v>
      </c>
      <c r="D175" s="1004" t="s">
        <v>38</v>
      </c>
      <c r="E175" s="1005"/>
      <c r="F175" s="1005"/>
      <c r="G175" s="1006"/>
      <c r="H175" s="1007"/>
      <c r="I175" s="997"/>
      <c r="J175" s="997"/>
      <c r="K175" s="998"/>
      <c r="L175" s="998"/>
      <c r="M175" s="998"/>
      <c r="N175" s="998"/>
      <c r="O175" s="998"/>
      <c r="P175" s="998"/>
    </row>
    <row r="176" spans="1:26" ht="18.75">
      <c r="A176" s="1002"/>
      <c r="B176" s="1003"/>
      <c r="C176" s="1003"/>
      <c r="D176" s="1069" t="s">
        <v>85</v>
      </c>
      <c r="E176" s="1010"/>
      <c r="F176" s="1010"/>
      <c r="G176" s="1011"/>
      <c r="H176" s="622" t="s">
        <v>35</v>
      </c>
      <c r="I176" s="880">
        <f ca="1">IFERROR(__xludf.DUMMYFUNCTION("IMPORTRANGE(""https://docs.google.com/spreadsheets/d/1QqKyyYR6Q21VydFLVH3TRQUabQu_ym0Zz7PgGX0-kHA/edit?usp=sharing"",""แผน!Y80"")"),10)</f>
        <v>10</v>
      </c>
      <c r="J176" s="1012">
        <v>10</v>
      </c>
      <c r="K176" s="998">
        <f ca="1">IF(I176&gt;0,J176*100/I176,0)</f>
        <v>100</v>
      </c>
      <c r="L176" s="998"/>
      <c r="M176" s="998"/>
      <c r="N176" s="998"/>
      <c r="O176" s="998"/>
      <c r="P176" s="998"/>
    </row>
    <row r="177" spans="1:26" ht="19.5" hidden="1">
      <c r="A177" s="1063"/>
      <c r="B177" s="1070"/>
      <c r="C177" s="1071" t="s">
        <v>86</v>
      </c>
      <c r="D177" s="1070"/>
      <c r="E177" s="1064"/>
      <c r="F177" s="1064"/>
      <c r="G177" s="1066"/>
      <c r="H177" s="266" t="s">
        <v>35</v>
      </c>
      <c r="I177" s="1067"/>
      <c r="J177" s="1067">
        <f>J179</f>
        <v>0</v>
      </c>
      <c r="K177" s="1068"/>
      <c r="L177" s="1068"/>
      <c r="M177" s="1068"/>
      <c r="N177" s="1068"/>
      <c r="O177" s="1068"/>
      <c r="P177" s="1068"/>
    </row>
    <row r="178" spans="1:26" ht="19.5" hidden="1">
      <c r="A178" s="1002"/>
      <c r="B178" s="1003"/>
      <c r="C178" s="999" t="s">
        <v>16</v>
      </c>
      <c r="D178" s="1072" t="s">
        <v>38</v>
      </c>
      <c r="E178" s="1005"/>
      <c r="F178" s="1005"/>
      <c r="G178" s="1006"/>
      <c r="H178" s="1007"/>
      <c r="I178" s="997"/>
      <c r="J178" s="997"/>
      <c r="K178" s="998"/>
      <c r="L178" s="998"/>
      <c r="M178" s="998"/>
      <c r="N178" s="998"/>
      <c r="O178" s="998"/>
      <c r="P178" s="998"/>
    </row>
    <row r="179" spans="1:26" ht="18.75" hidden="1">
      <c r="A179" s="1002"/>
      <c r="B179" s="1003"/>
      <c r="C179" s="1003"/>
      <c r="D179" s="1073" t="s">
        <v>87</v>
      </c>
      <c r="E179" s="1010"/>
      <c r="F179" s="1074"/>
      <c r="G179" s="1011"/>
      <c r="H179" s="43" t="s">
        <v>35</v>
      </c>
      <c r="I179" s="880"/>
      <c r="J179" s="880"/>
      <c r="K179" s="998"/>
      <c r="L179" s="998"/>
      <c r="M179" s="998"/>
      <c r="N179" s="998"/>
      <c r="O179" s="998"/>
      <c r="P179" s="998"/>
    </row>
    <row r="180" spans="1:26" ht="19.5">
      <c r="A180" s="1058"/>
      <c r="B180" s="1059" t="s">
        <v>88</v>
      </c>
      <c r="C180" s="1060"/>
      <c r="D180" s="1005"/>
      <c r="E180" s="1005"/>
      <c r="F180" s="1005"/>
      <c r="G180" s="1006"/>
      <c r="H180" s="252" t="s">
        <v>35</v>
      </c>
      <c r="I180" s="1075" t="e">
        <f t="shared" ref="I180:J180" ca="1" si="91">I225+I226</f>
        <v>#VALUE!</v>
      </c>
      <c r="J180" s="1075">
        <f t="shared" si="91"/>
        <v>10</v>
      </c>
      <c r="K180" s="1076" t="e">
        <f ca="1">IF(I180&gt;0,J180*100/I180,0)</f>
        <v>#VALUE!</v>
      </c>
      <c r="L180" s="1062"/>
      <c r="M180" s="1062"/>
      <c r="N180" s="1062"/>
      <c r="O180" s="1062"/>
      <c r="P180" s="1062"/>
    </row>
    <row r="181" spans="1:26" ht="19.5">
      <c r="A181" s="985"/>
      <c r="B181" s="986"/>
      <c r="C181" s="987" t="s">
        <v>16</v>
      </c>
      <c r="D181" s="988" t="s">
        <v>17</v>
      </c>
      <c r="E181" s="986"/>
      <c r="F181" s="986"/>
      <c r="G181" s="989"/>
      <c r="H181" s="152" t="s">
        <v>12</v>
      </c>
      <c r="I181" s="990"/>
      <c r="J181" s="990"/>
      <c r="K181" s="991"/>
      <c r="L181" s="992">
        <f t="shared" ref="L181:N181" ca="1" si="92">L182+L183</f>
        <v>208400</v>
      </c>
      <c r="M181" s="992">
        <f t="shared" ca="1" si="92"/>
        <v>162975</v>
      </c>
      <c r="N181" s="992">
        <f t="shared" ca="1" si="92"/>
        <v>149860.79</v>
      </c>
      <c r="O181" s="992">
        <f t="shared" ref="O181:O189" ca="1" si="93">IF(L181&gt;0,N181*100/L181,0)</f>
        <v>71.910167946257204</v>
      </c>
      <c r="P181" s="992">
        <f t="shared" ref="P181:P189" ca="1" si="94">IF(M181&gt;0,N181*100/M181,0)</f>
        <v>91.953238226721894</v>
      </c>
      <c r="Q181" s="868"/>
      <c r="R181" s="868"/>
      <c r="S181" s="868"/>
      <c r="T181" s="868"/>
      <c r="U181" s="868"/>
      <c r="V181" s="868"/>
      <c r="W181" s="868"/>
      <c r="X181" s="868"/>
      <c r="Y181" s="868"/>
      <c r="Z181" s="868"/>
    </row>
    <row r="182" spans="1:26" ht="18.75" hidden="1">
      <c r="A182" s="993"/>
      <c r="B182" s="883"/>
      <c r="C182" s="883"/>
      <c r="D182" s="883"/>
      <c r="E182" s="884" t="s">
        <v>18</v>
      </c>
      <c r="F182" s="883"/>
      <c r="G182" s="994"/>
      <c r="H182" s="158" t="s">
        <v>12</v>
      </c>
      <c r="I182" s="886"/>
      <c r="J182" s="886"/>
      <c r="K182" s="887"/>
      <c r="L182" s="887">
        <f t="shared" ref="L182:N183" si="95">L185+L188</f>
        <v>0</v>
      </c>
      <c r="M182" s="887">
        <f t="shared" si="95"/>
        <v>0</v>
      </c>
      <c r="N182" s="887">
        <f t="shared" si="95"/>
        <v>0</v>
      </c>
      <c r="O182" s="887">
        <f t="shared" si="93"/>
        <v>0</v>
      </c>
      <c r="P182" s="887">
        <f t="shared" si="94"/>
        <v>0</v>
      </c>
      <c r="Q182" s="875"/>
      <c r="R182" s="875"/>
      <c r="S182" s="875"/>
      <c r="T182" s="875"/>
      <c r="U182" s="875"/>
      <c r="V182" s="875"/>
      <c r="W182" s="875"/>
      <c r="X182" s="875"/>
      <c r="Y182" s="875"/>
      <c r="Z182" s="875"/>
    </row>
    <row r="183" spans="1:26" ht="18.75" hidden="1">
      <c r="A183" s="993"/>
      <c r="B183" s="883"/>
      <c r="C183" s="883"/>
      <c r="D183" s="883"/>
      <c r="E183" s="884" t="s">
        <v>19</v>
      </c>
      <c r="F183" s="883"/>
      <c r="G183" s="994"/>
      <c r="H183" s="158" t="s">
        <v>12</v>
      </c>
      <c r="I183" s="886"/>
      <c r="J183" s="886"/>
      <c r="K183" s="887"/>
      <c r="L183" s="887">
        <f t="shared" ca="1" si="95"/>
        <v>208400</v>
      </c>
      <c r="M183" s="887">
        <f t="shared" ca="1" si="95"/>
        <v>162975</v>
      </c>
      <c r="N183" s="887">
        <f t="shared" ca="1" si="95"/>
        <v>149860.79</v>
      </c>
      <c r="O183" s="887">
        <f t="shared" ca="1" si="93"/>
        <v>71.910167946257204</v>
      </c>
      <c r="P183" s="887">
        <f t="shared" ca="1" si="94"/>
        <v>91.953238226721894</v>
      </c>
      <c r="Q183" s="875"/>
      <c r="R183" s="875"/>
      <c r="S183" s="875"/>
      <c r="T183" s="875"/>
      <c r="U183" s="875"/>
      <c r="V183" s="875"/>
      <c r="W183" s="875"/>
      <c r="X183" s="875"/>
      <c r="Y183" s="875"/>
      <c r="Z183" s="875"/>
    </row>
    <row r="184" spans="1:26" ht="18.75">
      <c r="A184" s="995"/>
      <c r="B184" s="877"/>
      <c r="C184" s="996"/>
      <c r="D184" s="878" t="s">
        <v>20</v>
      </c>
      <c r="E184" s="877"/>
      <c r="F184" s="877"/>
      <c r="G184" s="879"/>
      <c r="H184" s="161" t="s">
        <v>12</v>
      </c>
      <c r="I184" s="997"/>
      <c r="J184" s="997"/>
      <c r="K184" s="998"/>
      <c r="L184" s="881">
        <f t="shared" ref="L184:N184" ca="1" si="96">L185+L186</f>
        <v>208400</v>
      </c>
      <c r="M184" s="881">
        <f t="shared" ca="1" si="96"/>
        <v>162975</v>
      </c>
      <c r="N184" s="881">
        <f t="shared" ca="1" si="96"/>
        <v>149860.79</v>
      </c>
      <c r="O184" s="881">
        <f t="shared" ca="1" si="93"/>
        <v>71.910167946257204</v>
      </c>
      <c r="P184" s="881">
        <f t="shared" ca="1" si="94"/>
        <v>91.953238226721894</v>
      </c>
      <c r="Q184" s="868"/>
      <c r="R184" s="868"/>
      <c r="S184" s="868"/>
      <c r="T184" s="868"/>
      <c r="U184" s="868"/>
      <c r="V184" s="868"/>
      <c r="W184" s="868"/>
      <c r="X184" s="868"/>
      <c r="Y184" s="868"/>
      <c r="Z184" s="868"/>
    </row>
    <row r="185" spans="1:26" ht="19.5" hidden="1">
      <c r="A185" s="993"/>
      <c r="B185" s="883"/>
      <c r="C185" s="999"/>
      <c r="D185" s="883"/>
      <c r="E185" s="884" t="s">
        <v>36</v>
      </c>
      <c r="F185" s="883"/>
      <c r="G185" s="994"/>
      <c r="H185" s="165" t="s">
        <v>12</v>
      </c>
      <c r="I185" s="1000"/>
      <c r="J185" s="1000"/>
      <c r="K185" s="1001"/>
      <c r="L185" s="887">
        <v>0</v>
      </c>
      <c r="M185" s="887">
        <v>0</v>
      </c>
      <c r="N185" s="887">
        <v>0</v>
      </c>
      <c r="O185" s="887">
        <f t="shared" si="93"/>
        <v>0</v>
      </c>
      <c r="P185" s="887">
        <f t="shared" si="94"/>
        <v>0</v>
      </c>
      <c r="Q185" s="875"/>
      <c r="R185" s="875"/>
      <c r="S185" s="875"/>
      <c r="T185" s="875"/>
      <c r="U185" s="875"/>
      <c r="V185" s="875"/>
      <c r="W185" s="875"/>
      <c r="X185" s="875"/>
      <c r="Y185" s="875"/>
      <c r="Z185" s="875"/>
    </row>
    <row r="186" spans="1:26" ht="19.5" hidden="1">
      <c r="A186" s="993"/>
      <c r="B186" s="883"/>
      <c r="C186" s="999"/>
      <c r="D186" s="883"/>
      <c r="E186" s="884" t="s">
        <v>37</v>
      </c>
      <c r="F186" s="883"/>
      <c r="G186" s="994"/>
      <c r="H186" s="165" t="s">
        <v>12</v>
      </c>
      <c r="I186" s="1000"/>
      <c r="J186" s="1000"/>
      <c r="K186" s="1001"/>
      <c r="L186" s="887">
        <f ca="1">IFERROR(__xludf.DUMMYFUNCTION("IMPORTRANGE(""https://docs.google.com/spreadsheets/d/1MeEWN-I1oV_STSDYn1IFDPWt_1FKiwhDph83XaGc0o0/edit?usp=sharing"",""งบพรบ!CO80"")"),208400)</f>
        <v>208400</v>
      </c>
      <c r="M186" s="887">
        <f ca="1">IFERROR(__xludf.DUMMYFUNCTION("IMPORTRANGE(""https://docs.google.com/spreadsheets/d/1MeEWN-I1oV_STSDYn1IFDPWt_1FKiwhDph83XaGc0o0/edit?usp=sharing"",""งบพรบ!CT80"")"),162975)</f>
        <v>162975</v>
      </c>
      <c r="N186" s="887">
        <f ca="1">IFERROR(__xludf.DUMMYFUNCTION("IMPORTRANGE(""https://docs.google.com/spreadsheets/d/1MeEWN-I1oV_STSDYn1IFDPWt_1FKiwhDph83XaGc0o0/edit?usp=sharing"",""งบพรบ!CV80"")"),149860.79)</f>
        <v>149860.79</v>
      </c>
      <c r="O186" s="887">
        <f t="shared" ca="1" si="93"/>
        <v>71.910167946257204</v>
      </c>
      <c r="P186" s="887">
        <f t="shared" ca="1" si="94"/>
        <v>91.953238226721894</v>
      </c>
      <c r="Q186" s="875"/>
      <c r="R186" s="875"/>
      <c r="S186" s="875"/>
      <c r="T186" s="875"/>
      <c r="U186" s="875"/>
      <c r="V186" s="875"/>
      <c r="W186" s="875"/>
      <c r="X186" s="875"/>
      <c r="Y186" s="875"/>
      <c r="Z186" s="875"/>
    </row>
    <row r="187" spans="1:26" ht="18.75">
      <c r="A187" s="995"/>
      <c r="B187" s="877"/>
      <c r="C187" s="996"/>
      <c r="D187" s="878" t="s">
        <v>21</v>
      </c>
      <c r="E187" s="877"/>
      <c r="F187" s="877"/>
      <c r="G187" s="879"/>
      <c r="H187" s="168" t="s">
        <v>12</v>
      </c>
      <c r="I187" s="997"/>
      <c r="J187" s="997"/>
      <c r="K187" s="998"/>
      <c r="L187" s="881">
        <f t="shared" ref="L187:N187" ca="1" si="97">L188+L189</f>
        <v>0</v>
      </c>
      <c r="M187" s="881">
        <f t="shared" ca="1" si="97"/>
        <v>0</v>
      </c>
      <c r="N187" s="881">
        <f t="shared" ca="1" si="97"/>
        <v>0</v>
      </c>
      <c r="O187" s="881">
        <f t="shared" ca="1" si="93"/>
        <v>0</v>
      </c>
      <c r="P187" s="881">
        <f t="shared" ca="1" si="94"/>
        <v>0</v>
      </c>
      <c r="Q187" s="868"/>
      <c r="R187" s="868"/>
      <c r="S187" s="868"/>
      <c r="T187" s="868"/>
      <c r="U187" s="868"/>
      <c r="V187" s="868"/>
      <c r="W187" s="868"/>
      <c r="X187" s="868"/>
      <c r="Y187" s="868"/>
      <c r="Z187" s="868"/>
    </row>
    <row r="188" spans="1:26" ht="19.5" hidden="1">
      <c r="A188" s="993"/>
      <c r="B188" s="883"/>
      <c r="C188" s="999"/>
      <c r="D188" s="883"/>
      <c r="E188" s="884" t="s">
        <v>18</v>
      </c>
      <c r="F188" s="883"/>
      <c r="G188" s="994"/>
      <c r="H188" s="165" t="s">
        <v>12</v>
      </c>
      <c r="I188" s="1000"/>
      <c r="J188" s="1000"/>
      <c r="K188" s="1001"/>
      <c r="L188" s="887">
        <v>0</v>
      </c>
      <c r="M188" s="887">
        <v>0</v>
      </c>
      <c r="N188" s="887">
        <v>0</v>
      </c>
      <c r="O188" s="887">
        <f t="shared" si="93"/>
        <v>0</v>
      </c>
      <c r="P188" s="887">
        <f t="shared" si="94"/>
        <v>0</v>
      </c>
      <c r="Q188" s="875"/>
      <c r="R188" s="875"/>
      <c r="S188" s="875"/>
      <c r="T188" s="875"/>
      <c r="U188" s="875"/>
      <c r="V188" s="875"/>
      <c r="W188" s="875"/>
      <c r="X188" s="875"/>
      <c r="Y188" s="875"/>
      <c r="Z188" s="875"/>
    </row>
    <row r="189" spans="1:26" ht="19.5" hidden="1">
      <c r="A189" s="993"/>
      <c r="B189" s="883"/>
      <c r="C189" s="999"/>
      <c r="D189" s="883"/>
      <c r="E189" s="884" t="s">
        <v>19</v>
      </c>
      <c r="F189" s="883"/>
      <c r="G189" s="994"/>
      <c r="H189" s="169" t="s">
        <v>12</v>
      </c>
      <c r="I189" s="1000"/>
      <c r="J189" s="1000"/>
      <c r="K189" s="1001"/>
      <c r="L189" s="887">
        <f ca="1">IFERROR(__xludf.DUMMYFUNCTION("IMPORTRANGE(""https://docs.google.com/spreadsheets/d/1MeEWN-I1oV_STSDYn1IFDPWt_1FKiwhDph83XaGc0o0/edit?usp=sharing"",""งบพรบ!CR80"")"),0)</f>
        <v>0</v>
      </c>
      <c r="M189" s="887">
        <f ca="1">IFERROR(__xludf.DUMMYFUNCTION("IMPORTRANGE(""https://docs.google.com/spreadsheets/d/1MeEWN-I1oV_STSDYn1IFDPWt_1FKiwhDph83XaGc0o0/edit?usp=sharing"",""งบพรบ!CU80"")"),0)</f>
        <v>0</v>
      </c>
      <c r="N189" s="887">
        <f ca="1">IFERROR(__xludf.DUMMYFUNCTION("IMPORTRANGE(""https://docs.google.com/spreadsheets/d/1MeEWN-I1oV_STSDYn1IFDPWt_1FKiwhDph83XaGc0o0/edit?usp=sharing"",""งบพรบ!CW80"")"),0)</f>
        <v>0</v>
      </c>
      <c r="O189" s="887">
        <f t="shared" ca="1" si="93"/>
        <v>0</v>
      </c>
      <c r="P189" s="887">
        <f t="shared" ca="1" si="94"/>
        <v>0</v>
      </c>
      <c r="Q189" s="875"/>
      <c r="R189" s="875"/>
      <c r="S189" s="875"/>
      <c r="T189" s="875"/>
      <c r="U189" s="875"/>
      <c r="V189" s="875"/>
      <c r="W189" s="875"/>
      <c r="X189" s="875"/>
      <c r="Y189" s="875"/>
      <c r="Z189" s="875"/>
    </row>
    <row r="190" spans="1:26" ht="19.5">
      <c r="A190" s="1063"/>
      <c r="B190" s="1070"/>
      <c r="C190" s="1077" t="s">
        <v>89</v>
      </c>
      <c r="D190" s="1064"/>
      <c r="E190" s="1064"/>
      <c r="F190" s="1064"/>
      <c r="G190" s="1066"/>
      <c r="H190" s="260" t="s">
        <v>90</v>
      </c>
      <c r="I190" s="1078">
        <f t="shared" ref="I190:J190" ca="1" si="98">I193</f>
        <v>4</v>
      </c>
      <c r="J190" s="1078">
        <f t="shared" si="98"/>
        <v>2</v>
      </c>
      <c r="K190" s="1079">
        <f ca="1">IF(I190&gt;0,J190*100/I190,0)</f>
        <v>50</v>
      </c>
      <c r="L190" s="1068"/>
      <c r="M190" s="1068"/>
      <c r="N190" s="1068"/>
      <c r="O190" s="1068"/>
      <c r="P190" s="1068"/>
    </row>
    <row r="191" spans="1:26" ht="19.5">
      <c r="A191" s="985"/>
      <c r="B191" s="986"/>
      <c r="C191" s="987" t="s">
        <v>16</v>
      </c>
      <c r="D191" s="1080" t="s">
        <v>17</v>
      </c>
      <c r="E191" s="986"/>
      <c r="F191" s="986"/>
      <c r="G191" s="989"/>
      <c r="H191" s="275" t="s">
        <v>12</v>
      </c>
      <c r="I191" s="990"/>
      <c r="J191" s="990"/>
      <c r="K191" s="991"/>
      <c r="L191" s="992">
        <f ca="1">IFERROR(__xludf.DUMMYFUNCTION("IMPORTRANGE(""https://docs.google.com/spreadsheets/d/1QqKyyYR6Q21VydFLVH3TRQUabQu_ym0Zz7PgGX0-kHA/edit?usp=sharing"",""แผน!Z80"")"),6000)</f>
        <v>6000</v>
      </c>
      <c r="M191" s="992"/>
      <c r="N191" s="1081">
        <v>4240</v>
      </c>
      <c r="O191" s="992">
        <f ca="1">IF(L191&gt;0,N191*100/L191,0)</f>
        <v>70.666666666666671</v>
      </c>
      <c r="P191" s="992">
        <f>IF(M191&gt;0,N191*100/M191,0)</f>
        <v>0</v>
      </c>
      <c r="Q191" s="868"/>
      <c r="R191" s="868"/>
      <c r="S191" s="868"/>
      <c r="T191" s="868"/>
      <c r="U191" s="868"/>
      <c r="V191" s="868"/>
      <c r="W191" s="868"/>
      <c r="X191" s="868"/>
      <c r="Y191" s="868"/>
      <c r="Z191" s="868"/>
    </row>
    <row r="192" spans="1:26" ht="19.5">
      <c r="A192" s="1002"/>
      <c r="B192" s="1003"/>
      <c r="C192" s="1029" t="s">
        <v>16</v>
      </c>
      <c r="D192" s="1004" t="s">
        <v>38</v>
      </c>
      <c r="E192" s="1005"/>
      <c r="F192" s="1005"/>
      <c r="G192" s="1006"/>
      <c r="H192" s="1007"/>
      <c r="I192" s="880"/>
      <c r="J192" s="880"/>
      <c r="K192" s="881"/>
      <c r="L192" s="881"/>
      <c r="M192" s="881"/>
      <c r="N192" s="881"/>
      <c r="O192" s="881"/>
      <c r="P192" s="881"/>
      <c r="Q192" s="868"/>
      <c r="R192" s="868"/>
      <c r="S192" s="868"/>
      <c r="T192" s="868"/>
      <c r="U192" s="868"/>
      <c r="V192" s="868"/>
      <c r="W192" s="868"/>
      <c r="X192" s="868"/>
      <c r="Y192" s="868"/>
      <c r="Z192" s="868"/>
    </row>
    <row r="193" spans="1:26" ht="18.75">
      <c r="A193" s="1002"/>
      <c r="B193" s="1003"/>
      <c r="C193" s="1003"/>
      <c r="D193" s="1009" t="s">
        <v>91</v>
      </c>
      <c r="E193" s="1010"/>
      <c r="F193" s="1010"/>
      <c r="G193" s="1011"/>
      <c r="H193" s="762" t="s">
        <v>90</v>
      </c>
      <c r="I193" s="880">
        <f ca="1">IFERROR(__xludf.DUMMYFUNCTION("IMPORTRANGE(""https://docs.google.com/spreadsheets/d/1QqKyyYR6Q21VydFLVH3TRQUabQu_ym0Zz7PgGX0-kHA/edit?usp=sharing"",""แผน!AC80"")"),4)</f>
        <v>4</v>
      </c>
      <c r="J193" s="1012">
        <v>2</v>
      </c>
      <c r="K193" s="881">
        <f ca="1">IF(I193&gt;0,J193*100/I193,0)</f>
        <v>50</v>
      </c>
      <c r="L193" s="881"/>
      <c r="M193" s="881"/>
      <c r="N193" s="881"/>
      <c r="O193" s="881"/>
      <c r="P193" s="881"/>
      <c r="Q193" s="868"/>
      <c r="R193" s="868"/>
      <c r="S193" s="868"/>
      <c r="T193" s="868"/>
      <c r="U193" s="868"/>
      <c r="V193" s="868"/>
      <c r="W193" s="868"/>
      <c r="X193" s="868"/>
      <c r="Y193" s="868"/>
      <c r="Z193" s="868"/>
    </row>
    <row r="194" spans="1:26" ht="18.75">
      <c r="A194" s="1002"/>
      <c r="B194" s="1003"/>
      <c r="C194" s="1003"/>
      <c r="D194" s="1009" t="s">
        <v>92</v>
      </c>
      <c r="E194" s="1010"/>
      <c r="F194" s="1010"/>
      <c r="G194" s="1011"/>
      <c r="H194" s="277" t="s">
        <v>35</v>
      </c>
      <c r="I194" s="880"/>
      <c r="J194" s="880">
        <f>J195+J196</f>
        <v>103</v>
      </c>
      <c r="K194" s="881"/>
      <c r="L194" s="881"/>
      <c r="M194" s="881"/>
      <c r="N194" s="881"/>
      <c r="O194" s="881"/>
      <c r="P194" s="881"/>
      <c r="Q194" s="868"/>
      <c r="R194" s="868"/>
      <c r="S194" s="868"/>
      <c r="T194" s="868"/>
      <c r="U194" s="868"/>
      <c r="V194" s="868"/>
      <c r="W194" s="868"/>
      <c r="X194" s="868"/>
      <c r="Y194" s="868"/>
      <c r="Z194" s="868"/>
    </row>
    <row r="195" spans="1:26" ht="18.75">
      <c r="A195" s="1002"/>
      <c r="B195" s="1003"/>
      <c r="C195" s="1003"/>
      <c r="D195" s="1003"/>
      <c r="E195" s="1009" t="s">
        <v>93</v>
      </c>
      <c r="F195" s="1010"/>
      <c r="G195" s="1011"/>
      <c r="H195" s="277" t="s">
        <v>35</v>
      </c>
      <c r="I195" s="880"/>
      <c r="J195" s="1012">
        <v>103</v>
      </c>
      <c r="K195" s="881"/>
      <c r="L195" s="881"/>
      <c r="M195" s="881"/>
      <c r="N195" s="881"/>
      <c r="O195" s="881"/>
      <c r="P195" s="881"/>
      <c r="Q195" s="868"/>
      <c r="R195" s="868"/>
      <c r="S195" s="868"/>
      <c r="T195" s="868"/>
      <c r="U195" s="868"/>
      <c r="V195" s="868"/>
      <c r="W195" s="868"/>
      <c r="X195" s="868"/>
      <c r="Y195" s="868"/>
      <c r="Z195" s="868"/>
    </row>
    <row r="196" spans="1:26" ht="18.75">
      <c r="A196" s="1002"/>
      <c r="B196" s="1003"/>
      <c r="C196" s="1003"/>
      <c r="D196" s="1003"/>
      <c r="E196" s="1009" t="s">
        <v>94</v>
      </c>
      <c r="F196" s="1010"/>
      <c r="G196" s="1011"/>
      <c r="H196" s="277" t="s">
        <v>35</v>
      </c>
      <c r="I196" s="880"/>
      <c r="J196" s="1012">
        <v>0</v>
      </c>
      <c r="K196" s="881"/>
      <c r="L196" s="881"/>
      <c r="M196" s="881"/>
      <c r="N196" s="881"/>
      <c r="O196" s="881"/>
      <c r="P196" s="881"/>
      <c r="Q196" s="868"/>
      <c r="R196" s="868"/>
      <c r="S196" s="868"/>
      <c r="T196" s="868"/>
      <c r="U196" s="868"/>
      <c r="V196" s="868"/>
      <c r="W196" s="868"/>
      <c r="X196" s="868"/>
      <c r="Y196" s="868"/>
      <c r="Z196" s="868"/>
    </row>
    <row r="197" spans="1:26" ht="19.5">
      <c r="A197" s="1063"/>
      <c r="B197" s="1070"/>
      <c r="C197" s="1077" t="s">
        <v>95</v>
      </c>
      <c r="D197" s="1064"/>
      <c r="E197" s="1064"/>
      <c r="F197" s="1064"/>
      <c r="G197" s="1066"/>
      <c r="H197" s="278" t="s">
        <v>96</v>
      </c>
      <c r="I197" s="1078">
        <f t="shared" ref="I197:J197" ca="1" si="99">I204</f>
        <v>2</v>
      </c>
      <c r="J197" s="1078">
        <f t="shared" si="99"/>
        <v>2</v>
      </c>
      <c r="K197" s="1079">
        <f ca="1">IF(I197&gt;0,J197*100/I197,0)</f>
        <v>100</v>
      </c>
      <c r="L197" s="1068"/>
      <c r="M197" s="1068"/>
      <c r="N197" s="1068"/>
      <c r="O197" s="1068"/>
      <c r="P197" s="1068"/>
    </row>
    <row r="198" spans="1:26" ht="19.5">
      <c r="A198" s="985"/>
      <c r="B198" s="986"/>
      <c r="C198" s="987" t="s">
        <v>16</v>
      </c>
      <c r="D198" s="1080" t="s">
        <v>17</v>
      </c>
      <c r="E198" s="986"/>
      <c r="F198" s="986"/>
      <c r="G198" s="989"/>
      <c r="H198" s="275" t="s">
        <v>12</v>
      </c>
      <c r="I198" s="1082"/>
      <c r="J198" s="1082"/>
      <c r="K198" s="1083"/>
      <c r="L198" s="992">
        <f ca="1">L199+L200+L201+L202</f>
        <v>26000</v>
      </c>
      <c r="M198" s="992"/>
      <c r="N198" s="992">
        <f>N199+N200+N201+N202</f>
        <v>16240</v>
      </c>
      <c r="O198" s="992">
        <f ca="1">IF(L198&gt;0,N198*100/L198,0)</f>
        <v>62.46153846153846</v>
      </c>
      <c r="P198" s="992">
        <f>IF(M198&gt;0,N198*100/M198,0)</f>
        <v>0</v>
      </c>
      <c r="Q198" s="868"/>
      <c r="R198" s="868"/>
      <c r="S198" s="868"/>
      <c r="T198" s="868"/>
      <c r="U198" s="868"/>
      <c r="V198" s="868"/>
      <c r="W198" s="868"/>
      <c r="X198" s="868"/>
      <c r="Y198" s="868"/>
      <c r="Z198" s="868"/>
    </row>
    <row r="199" spans="1:26" ht="18.75">
      <c r="A199" s="995"/>
      <c r="B199" s="1084"/>
      <c r="C199" s="877"/>
      <c r="D199" s="996" t="s">
        <v>97</v>
      </c>
      <c r="E199" s="877"/>
      <c r="F199" s="877"/>
      <c r="G199" s="879"/>
      <c r="H199" s="161" t="s">
        <v>12</v>
      </c>
      <c r="I199" s="997"/>
      <c r="J199" s="997"/>
      <c r="K199" s="998"/>
      <c r="L199" s="881">
        <f ca="1">IFERROR(__xludf.DUMMYFUNCTION("IMPORTRANGE(""https://docs.google.com/spreadsheets/d/1QqKyyYR6Q21VydFLVH3TRQUabQu_ym0Zz7PgGX0-kHA/edit?usp=sharing"",""แผน!AE80"")"),2000)</f>
        <v>2000</v>
      </c>
      <c r="M199" s="881"/>
      <c r="N199" s="1085">
        <v>240</v>
      </c>
      <c r="O199" s="881"/>
      <c r="P199" s="881"/>
      <c r="Q199" s="868"/>
      <c r="R199" s="868"/>
      <c r="S199" s="868"/>
      <c r="T199" s="868"/>
      <c r="U199" s="868"/>
      <c r="V199" s="868"/>
      <c r="W199" s="868"/>
      <c r="X199" s="868"/>
      <c r="Y199" s="868"/>
      <c r="Z199" s="868"/>
    </row>
    <row r="200" spans="1:26" ht="19.5">
      <c r="A200" s="1086"/>
      <c r="B200" s="1084"/>
      <c r="C200" s="1029"/>
      <c r="D200" s="996" t="s">
        <v>98</v>
      </c>
      <c r="E200" s="877"/>
      <c r="F200" s="877"/>
      <c r="G200" s="879"/>
      <c r="H200" s="622" t="s">
        <v>12</v>
      </c>
      <c r="I200" s="880"/>
      <c r="J200" s="880"/>
      <c r="K200" s="881"/>
      <c r="L200" s="881">
        <f ca="1">IFERROR(__xludf.DUMMYFUNCTION("IMPORTRANGE(""https://docs.google.com/spreadsheets/d/1QqKyyYR6Q21VydFLVH3TRQUabQu_ym0Zz7PgGX0-kHA/edit?usp=sharing"",""แผน!AF80"")"),16000)</f>
        <v>16000</v>
      </c>
      <c r="M200" s="881"/>
      <c r="N200" s="1085">
        <v>16000</v>
      </c>
      <c r="O200" s="881"/>
      <c r="P200" s="881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</row>
    <row r="201" spans="1:26" ht="19.5">
      <c r="A201" s="1086"/>
      <c r="B201" s="1084"/>
      <c r="C201" s="1029"/>
      <c r="D201" s="996" t="s">
        <v>99</v>
      </c>
      <c r="E201" s="877"/>
      <c r="F201" s="877"/>
      <c r="G201" s="879"/>
      <c r="H201" s="622" t="s">
        <v>12</v>
      </c>
      <c r="I201" s="880"/>
      <c r="J201" s="880"/>
      <c r="K201" s="881"/>
      <c r="L201" s="881">
        <f ca="1">IFERROR(__xludf.DUMMYFUNCTION("IMPORTRANGE(""https://docs.google.com/spreadsheets/d/1QqKyyYR6Q21VydFLVH3TRQUabQu_ym0Zz7PgGX0-kHA/edit?usp=sharing"",""แผน!AG80"")"),8000)</f>
        <v>8000</v>
      </c>
      <c r="M201" s="881"/>
      <c r="N201" s="1085">
        <v>0</v>
      </c>
      <c r="O201" s="881"/>
      <c r="P201" s="881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</row>
    <row r="202" spans="1:26" ht="19.5">
      <c r="A202" s="1086"/>
      <c r="B202" s="1084"/>
      <c r="C202" s="1029"/>
      <c r="D202" s="996" t="s">
        <v>100</v>
      </c>
      <c r="E202" s="877"/>
      <c r="F202" s="877"/>
      <c r="G202" s="879"/>
      <c r="H202" s="622" t="s">
        <v>12</v>
      </c>
      <c r="I202" s="880"/>
      <c r="J202" s="880"/>
      <c r="K202" s="881"/>
      <c r="L202" s="881">
        <f ca="1">IFERROR(__xludf.DUMMYFUNCTION("IMPORTRANGE(""https://docs.google.com/spreadsheets/d/1QqKyyYR6Q21VydFLVH3TRQUabQu_ym0Zz7PgGX0-kHA/edit?usp=sharing"",""แผน!AH80"")"),0)</f>
        <v>0</v>
      </c>
      <c r="M202" s="881"/>
      <c r="N202" s="1085">
        <v>0</v>
      </c>
      <c r="O202" s="881"/>
      <c r="P202" s="881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</row>
    <row r="203" spans="1:26" ht="19.5">
      <c r="A203" s="1002"/>
      <c r="B203" s="1003"/>
      <c r="C203" s="1029" t="s">
        <v>16</v>
      </c>
      <c r="D203" s="1004" t="s">
        <v>38</v>
      </c>
      <c r="E203" s="1005"/>
      <c r="F203" s="1005"/>
      <c r="G203" s="1006"/>
      <c r="H203" s="1007"/>
      <c r="I203" s="997"/>
      <c r="J203" s="997"/>
      <c r="K203" s="998"/>
      <c r="L203" s="998"/>
      <c r="M203" s="998"/>
      <c r="N203" s="998"/>
      <c r="O203" s="998"/>
      <c r="P203" s="99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</row>
    <row r="204" spans="1:26" ht="18.75">
      <c r="A204" s="1002"/>
      <c r="B204" s="1003"/>
      <c r="C204" s="1003"/>
      <c r="D204" s="1008" t="s">
        <v>101</v>
      </c>
      <c r="E204" s="1010"/>
      <c r="F204" s="1010"/>
      <c r="G204" s="1011"/>
      <c r="H204" s="1007" t="s">
        <v>96</v>
      </c>
      <c r="I204" s="880">
        <f ca="1">IFERROR(__xludf.DUMMYFUNCTION("IMPORTRANGE(""https://docs.google.com/spreadsheets/d/1QqKyyYR6Q21VydFLVH3TRQUabQu_ym0Zz7PgGX0-kHA/edit?usp=sharing"",""แผน!AI80"")"),2)</f>
        <v>2</v>
      </c>
      <c r="J204" s="1012">
        <v>2</v>
      </c>
      <c r="K204" s="998">
        <f ca="1">IF(I204&gt;0,J204*100/I204,0)</f>
        <v>100</v>
      </c>
      <c r="L204" s="881"/>
      <c r="M204" s="881"/>
      <c r="N204" s="881"/>
      <c r="O204" s="881"/>
      <c r="P204" s="881"/>
      <c r="Q204" s="868"/>
      <c r="R204" s="868"/>
      <c r="S204" s="868"/>
      <c r="T204" s="868"/>
      <c r="U204" s="868"/>
      <c r="V204" s="868"/>
      <c r="W204" s="868"/>
      <c r="X204" s="868"/>
      <c r="Y204" s="868"/>
      <c r="Z204" s="868"/>
    </row>
    <row r="205" spans="1:26" ht="18.75">
      <c r="A205" s="1002"/>
      <c r="B205" s="1003"/>
      <c r="C205" s="1003"/>
      <c r="D205" s="1009" t="s">
        <v>59</v>
      </c>
      <c r="E205" s="1010"/>
      <c r="F205" s="1010"/>
      <c r="G205" s="1011"/>
      <c r="H205" s="1007"/>
      <c r="I205" s="880"/>
      <c r="J205" s="880"/>
      <c r="K205" s="998"/>
      <c r="L205" s="881"/>
      <c r="M205" s="881"/>
      <c r="N205" s="881"/>
      <c r="O205" s="881"/>
      <c r="P205" s="881"/>
      <c r="Q205" s="868"/>
      <c r="R205" s="868"/>
      <c r="S205" s="868"/>
      <c r="T205" s="868"/>
      <c r="U205" s="868"/>
      <c r="V205" s="868"/>
      <c r="W205" s="868"/>
      <c r="X205" s="868"/>
      <c r="Y205" s="868"/>
      <c r="Z205" s="868"/>
    </row>
    <row r="206" spans="1:26" ht="18.75">
      <c r="A206" s="1002"/>
      <c r="B206" s="1003"/>
      <c r="C206" s="1003"/>
      <c r="D206" s="1010"/>
      <c r="E206" s="1021" t="s">
        <v>102</v>
      </c>
      <c r="F206" s="1088"/>
      <c r="G206" s="1089"/>
      <c r="H206" s="1090" t="s">
        <v>96</v>
      </c>
      <c r="I206" s="880">
        <v>2</v>
      </c>
      <c r="J206" s="1012">
        <v>0</v>
      </c>
      <c r="K206" s="998">
        <f t="shared" ref="K206:K208" si="100">IF(I206&gt;0,J206*100/I206,0)</f>
        <v>0</v>
      </c>
      <c r="L206" s="881"/>
      <c r="M206" s="881"/>
      <c r="N206" s="881"/>
      <c r="O206" s="881"/>
      <c r="P206" s="881"/>
      <c r="Q206" s="868"/>
      <c r="R206" s="868"/>
      <c r="S206" s="868"/>
      <c r="T206" s="868"/>
      <c r="U206" s="868"/>
      <c r="V206" s="868"/>
      <c r="W206" s="868"/>
      <c r="X206" s="868"/>
      <c r="Y206" s="868"/>
      <c r="Z206" s="868"/>
    </row>
    <row r="207" spans="1:26" ht="18.75">
      <c r="A207" s="1002"/>
      <c r="B207" s="1003"/>
      <c r="C207" s="1003"/>
      <c r="D207" s="1009"/>
      <c r="E207" s="1009" t="s">
        <v>103</v>
      </c>
      <c r="F207" s="1010"/>
      <c r="G207" s="1010"/>
      <c r="H207" s="290" t="s">
        <v>104</v>
      </c>
      <c r="I207" s="880">
        <v>0</v>
      </c>
      <c r="J207" s="1012">
        <v>0</v>
      </c>
      <c r="K207" s="998">
        <f t="shared" si="100"/>
        <v>0</v>
      </c>
      <c r="L207" s="881"/>
      <c r="M207" s="881"/>
      <c r="N207" s="881"/>
      <c r="O207" s="881"/>
      <c r="P207" s="881"/>
      <c r="Q207" s="868"/>
      <c r="R207" s="868"/>
      <c r="S207" s="868"/>
      <c r="T207" s="868"/>
      <c r="U207" s="868"/>
      <c r="V207" s="868"/>
      <c r="W207" s="868"/>
      <c r="X207" s="868"/>
      <c r="Y207" s="868"/>
      <c r="Z207" s="868"/>
    </row>
    <row r="208" spans="1:26" ht="19.5" hidden="1">
      <c r="A208" s="1063"/>
      <c r="B208" s="1070"/>
      <c r="C208" s="1077" t="s">
        <v>105</v>
      </c>
      <c r="D208" s="1064"/>
      <c r="E208" s="1064"/>
      <c r="F208" s="1091"/>
      <c r="G208" s="1066"/>
      <c r="H208" s="278" t="s">
        <v>96</v>
      </c>
      <c r="I208" s="1078">
        <f t="shared" ref="I208:J208" ca="1" si="101">I215</f>
        <v>0</v>
      </c>
      <c r="J208" s="1078">
        <f t="shared" si="101"/>
        <v>0</v>
      </c>
      <c r="K208" s="1079">
        <f t="shared" ca="1" si="100"/>
        <v>0</v>
      </c>
      <c r="L208" s="1068"/>
      <c r="M208" s="1068"/>
      <c r="N208" s="1068"/>
      <c r="O208" s="1068"/>
      <c r="P208" s="1068"/>
    </row>
    <row r="209" spans="1:26" ht="19.5" hidden="1">
      <c r="A209" s="985"/>
      <c r="B209" s="986"/>
      <c r="C209" s="987" t="s">
        <v>16</v>
      </c>
      <c r="D209" s="1080" t="s">
        <v>17</v>
      </c>
      <c r="E209" s="986"/>
      <c r="F209" s="986"/>
      <c r="G209" s="989"/>
      <c r="H209" s="275" t="s">
        <v>12</v>
      </c>
      <c r="I209" s="1082"/>
      <c r="J209" s="1082"/>
      <c r="K209" s="1083"/>
      <c r="L209" s="992">
        <f ca="1">L210+L211+L212</f>
        <v>0</v>
      </c>
      <c r="M209" s="992"/>
      <c r="N209" s="992">
        <f>N210+N211+N212</f>
        <v>0</v>
      </c>
      <c r="O209" s="992">
        <f ca="1">IF(L209&gt;0,N209*100/L209,0)</f>
        <v>0</v>
      </c>
      <c r="P209" s="992">
        <f>IF(M209&gt;0,N209*100/M209,0)</f>
        <v>0</v>
      </c>
      <c r="Q209" s="868"/>
      <c r="R209" s="868"/>
      <c r="S209" s="868"/>
      <c r="T209" s="868"/>
      <c r="U209" s="868"/>
      <c r="V209" s="868"/>
      <c r="W209" s="868"/>
      <c r="X209" s="868"/>
      <c r="Y209" s="868"/>
      <c r="Z209" s="868"/>
    </row>
    <row r="210" spans="1:26" ht="18.75" hidden="1">
      <c r="A210" s="995"/>
      <c r="B210" s="1084"/>
      <c r="C210" s="877"/>
      <c r="D210" s="996" t="s">
        <v>97</v>
      </c>
      <c r="E210" s="877"/>
      <c r="F210" s="877"/>
      <c r="G210" s="879"/>
      <c r="H210" s="161" t="s">
        <v>12</v>
      </c>
      <c r="I210" s="997"/>
      <c r="J210" s="997"/>
      <c r="K210" s="998"/>
      <c r="L210" s="881">
        <f ca="1">IFERROR(__xludf.DUMMYFUNCTION("IMPORTRANGE(""https://docs.google.com/spreadsheets/d/1QqKyyYR6Q21VydFLVH3TRQUabQu_ym0Zz7PgGX0-kHA/edit?usp=sharing"",""แผน!AK80"")"),0)</f>
        <v>0</v>
      </c>
      <c r="M210" s="881"/>
      <c r="N210" s="1085">
        <v>0</v>
      </c>
      <c r="O210" s="881"/>
      <c r="P210" s="881"/>
      <c r="Q210" s="868"/>
      <c r="R210" s="868"/>
      <c r="S210" s="868"/>
      <c r="T210" s="868"/>
      <c r="U210" s="868"/>
      <c r="V210" s="868"/>
      <c r="W210" s="868"/>
      <c r="X210" s="868"/>
      <c r="Y210" s="868"/>
      <c r="Z210" s="868"/>
    </row>
    <row r="211" spans="1:26" ht="19.5" hidden="1">
      <c r="A211" s="1086"/>
      <c r="B211" s="1084"/>
      <c r="C211" s="1092"/>
      <c r="D211" s="996" t="s">
        <v>99</v>
      </c>
      <c r="E211" s="877"/>
      <c r="F211" s="877"/>
      <c r="G211" s="879"/>
      <c r="H211" s="161" t="s">
        <v>12</v>
      </c>
      <c r="I211" s="880"/>
      <c r="J211" s="880"/>
      <c r="K211" s="881"/>
      <c r="L211" s="881">
        <f ca="1">IFERROR(__xludf.DUMMYFUNCTION("IMPORTRANGE(""https://docs.google.com/spreadsheets/d/1QqKyyYR6Q21VydFLVH3TRQUabQu_ym0Zz7PgGX0-kHA/edit?usp=sharing"",""แผน!AL80"")"),0)</f>
        <v>0</v>
      </c>
      <c r="M211" s="881"/>
      <c r="N211" s="1085">
        <v>0</v>
      </c>
      <c r="O211" s="881"/>
      <c r="P211" s="881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</row>
    <row r="212" spans="1:26" ht="19.5" hidden="1">
      <c r="A212" s="1086"/>
      <c r="B212" s="1084"/>
      <c r="C212" s="1092"/>
      <c r="D212" s="996" t="s">
        <v>98</v>
      </c>
      <c r="E212" s="877"/>
      <c r="F212" s="877"/>
      <c r="G212" s="879"/>
      <c r="H212" s="161" t="s">
        <v>12</v>
      </c>
      <c r="I212" s="880"/>
      <c r="J212" s="880"/>
      <c r="K212" s="881"/>
      <c r="L212" s="881">
        <f ca="1">IFERROR(__xludf.DUMMYFUNCTION("IMPORTRANGE(""https://docs.google.com/spreadsheets/d/1QqKyyYR6Q21VydFLVH3TRQUabQu_ym0Zz7PgGX0-kHA/edit?usp=sharing"",""แผน!AM80"")"),0)</f>
        <v>0</v>
      </c>
      <c r="M212" s="881"/>
      <c r="N212" s="1085">
        <v>0</v>
      </c>
      <c r="O212" s="881"/>
      <c r="P212" s="881"/>
      <c r="Q212" s="1087"/>
      <c r="R212" s="1087"/>
      <c r="S212" s="1087"/>
      <c r="T212" s="1087"/>
      <c r="U212" s="1087"/>
      <c r="V212" s="1087"/>
      <c r="W212" s="1087"/>
      <c r="X212" s="1087"/>
      <c r="Y212" s="1087"/>
      <c r="Z212" s="1087"/>
    </row>
    <row r="213" spans="1:26" ht="19.5" hidden="1">
      <c r="A213" s="1002"/>
      <c r="B213" s="1003"/>
      <c r="C213" s="1092" t="s">
        <v>16</v>
      </c>
      <c r="D213" s="1004" t="s">
        <v>38</v>
      </c>
      <c r="E213" s="1005"/>
      <c r="F213" s="1005"/>
      <c r="G213" s="1006"/>
      <c r="H213" s="1007"/>
      <c r="I213" s="997"/>
      <c r="J213" s="880"/>
      <c r="K213" s="881"/>
      <c r="L213" s="881"/>
      <c r="M213" s="881"/>
      <c r="N213" s="881"/>
      <c r="O213" s="998"/>
      <c r="P213" s="998"/>
      <c r="Q213" s="868"/>
      <c r="R213" s="868"/>
      <c r="S213" s="868"/>
      <c r="T213" s="868"/>
      <c r="U213" s="868"/>
      <c r="V213" s="868"/>
      <c r="W213" s="868"/>
      <c r="X213" s="868"/>
      <c r="Y213" s="868"/>
      <c r="Z213" s="868"/>
    </row>
    <row r="214" spans="1:26" ht="18.75" hidden="1">
      <c r="A214" s="1002"/>
      <c r="B214" s="1003"/>
      <c r="C214" s="1003"/>
      <c r="D214" s="1008" t="s">
        <v>106</v>
      </c>
      <c r="E214" s="1010"/>
      <c r="F214" s="1010"/>
      <c r="G214" s="1011"/>
      <c r="H214" s="1007" t="s">
        <v>96</v>
      </c>
      <c r="I214" s="880">
        <f ca="1">IFERROR(__xludf.DUMMYFUNCTION("IMPORTRANGE(""https://docs.google.com/spreadsheets/d/1QqKyyYR6Q21VydFLVH3TRQUabQu_ym0Zz7PgGX0-kHA/edit?usp=sharing"",""แผน!AN80"")"),0)</f>
        <v>0</v>
      </c>
      <c r="J214" s="1012">
        <v>0</v>
      </c>
      <c r="K214" s="881">
        <f t="shared" ref="K214:K216" ca="1" si="102">IF(I214&gt;0,J214*100/I214,0)</f>
        <v>0</v>
      </c>
      <c r="L214" s="881"/>
      <c r="M214" s="881"/>
      <c r="N214" s="881"/>
      <c r="O214" s="881"/>
      <c r="P214" s="881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</row>
    <row r="215" spans="1:26" ht="18.75" hidden="1">
      <c r="A215" s="1002"/>
      <c r="B215" s="1003"/>
      <c r="C215" s="1003"/>
      <c r="D215" s="1008" t="s">
        <v>107</v>
      </c>
      <c r="E215" s="1010"/>
      <c r="F215" s="1010"/>
      <c r="G215" s="1011"/>
      <c r="H215" s="1007" t="s">
        <v>96</v>
      </c>
      <c r="I215" s="880">
        <f ca="1">IFERROR(__xludf.DUMMYFUNCTION("IMPORTRANGE(""https://docs.google.com/spreadsheets/d/1QqKyyYR6Q21VydFLVH3TRQUabQu_ym0Zz7PgGX0-kHA/edit?usp=sharing"",""แผน!AN80"")"),0)</f>
        <v>0</v>
      </c>
      <c r="J215" s="1012">
        <v>0</v>
      </c>
      <c r="K215" s="881">
        <f t="shared" ca="1" si="102"/>
        <v>0</v>
      </c>
      <c r="L215" s="881"/>
      <c r="M215" s="881"/>
      <c r="N215" s="881"/>
      <c r="O215" s="881"/>
      <c r="P215" s="881"/>
      <c r="Q215" s="868"/>
      <c r="R215" s="868"/>
      <c r="S215" s="868"/>
      <c r="T215" s="868"/>
      <c r="U215" s="868"/>
      <c r="V215" s="868"/>
      <c r="W215" s="868"/>
      <c r="X215" s="868"/>
      <c r="Y215" s="868"/>
      <c r="Z215" s="868"/>
    </row>
    <row r="216" spans="1:26" ht="19.5">
      <c r="A216" s="1063"/>
      <c r="B216" s="1070"/>
      <c r="C216" s="1077" t="s">
        <v>108</v>
      </c>
      <c r="D216" s="1064"/>
      <c r="E216" s="1064"/>
      <c r="F216" s="1091"/>
      <c r="G216" s="1066"/>
      <c r="H216" s="260" t="s">
        <v>109</v>
      </c>
      <c r="I216" s="1078">
        <f t="shared" ref="I216:J216" ca="1" si="103">I224</f>
        <v>12800</v>
      </c>
      <c r="J216" s="1078">
        <f t="shared" si="103"/>
        <v>0</v>
      </c>
      <c r="K216" s="1079">
        <f t="shared" ca="1" si="102"/>
        <v>0</v>
      </c>
      <c r="L216" s="1068"/>
      <c r="M216" s="1068"/>
      <c r="N216" s="1068"/>
      <c r="O216" s="1068"/>
      <c r="P216" s="1068"/>
    </row>
    <row r="217" spans="1:26" ht="19.5">
      <c r="A217" s="985"/>
      <c r="B217" s="986"/>
      <c r="C217" s="987" t="s">
        <v>16</v>
      </c>
      <c r="D217" s="1080" t="s">
        <v>17</v>
      </c>
      <c r="E217" s="986"/>
      <c r="F217" s="986"/>
      <c r="G217" s="989"/>
      <c r="H217" s="275" t="s">
        <v>12</v>
      </c>
      <c r="I217" s="1082"/>
      <c r="J217" s="1082"/>
      <c r="K217" s="1083"/>
      <c r="L217" s="992">
        <f ca="1">L218+L219+L220</f>
        <v>17100</v>
      </c>
      <c r="M217" s="992"/>
      <c r="N217" s="992">
        <f>N218+N219+N220</f>
        <v>10240</v>
      </c>
      <c r="O217" s="992">
        <f ca="1">IF(L217&gt;0,N217*100/L217,0)</f>
        <v>59.883040935672511</v>
      </c>
      <c r="P217" s="992">
        <f>IF(M217&gt;0,N217*100/M217,0)</f>
        <v>0</v>
      </c>
      <c r="Q217" s="868"/>
      <c r="R217" s="868"/>
      <c r="S217" s="868"/>
      <c r="T217" s="868"/>
      <c r="U217" s="868"/>
      <c r="V217" s="868"/>
      <c r="W217" s="868"/>
      <c r="X217" s="868"/>
      <c r="Y217" s="868"/>
      <c r="Z217" s="868"/>
    </row>
    <row r="218" spans="1:26" ht="18.75">
      <c r="A218" s="995"/>
      <c r="B218" s="1084"/>
      <c r="C218" s="877"/>
      <c r="D218" s="996" t="s">
        <v>97</v>
      </c>
      <c r="E218" s="877"/>
      <c r="F218" s="877"/>
      <c r="G218" s="879"/>
      <c r="H218" s="161" t="s">
        <v>12</v>
      </c>
      <c r="I218" s="997"/>
      <c r="J218" s="997"/>
      <c r="K218" s="998"/>
      <c r="L218" s="881">
        <f ca="1">IFERROR(__xludf.DUMMYFUNCTION("IMPORTRANGE(""https://docs.google.com/spreadsheets/d/1QqKyyYR6Q21VydFLVH3TRQUabQu_ym0Zz7PgGX0-kHA/edit?usp=sharing"",""แผน!AP80"")"),3000)</f>
        <v>3000</v>
      </c>
      <c r="M218" s="881"/>
      <c r="N218" s="1085">
        <v>240</v>
      </c>
      <c r="O218" s="881"/>
      <c r="P218" s="881"/>
      <c r="Q218" s="868"/>
      <c r="R218" s="868"/>
      <c r="S218" s="868"/>
      <c r="T218" s="868"/>
      <c r="U218" s="868"/>
      <c r="V218" s="868"/>
      <c r="W218" s="868"/>
      <c r="X218" s="868"/>
      <c r="Y218" s="868"/>
      <c r="Z218" s="868"/>
    </row>
    <row r="219" spans="1:26" ht="19.5">
      <c r="A219" s="1086"/>
      <c r="B219" s="1084"/>
      <c r="C219" s="1092"/>
      <c r="D219" s="996" t="s">
        <v>110</v>
      </c>
      <c r="E219" s="877"/>
      <c r="F219" s="877"/>
      <c r="G219" s="879"/>
      <c r="H219" s="161" t="s">
        <v>12</v>
      </c>
      <c r="I219" s="880"/>
      <c r="J219" s="880"/>
      <c r="K219" s="881"/>
      <c r="L219" s="881">
        <f ca="1">IFERROR(__xludf.DUMMYFUNCTION("IMPORTRANGE(""https://docs.google.com/spreadsheets/d/1QqKyyYR6Q21VydFLVH3TRQUabQu_ym0Zz7PgGX0-kHA/edit?usp=sharing"",""แผน!AQ80"")"),4100)</f>
        <v>4100</v>
      </c>
      <c r="M219" s="881"/>
      <c r="N219" s="1085">
        <v>0</v>
      </c>
      <c r="O219" s="881"/>
      <c r="P219" s="881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</row>
    <row r="220" spans="1:26" ht="19.5">
      <c r="A220" s="1086"/>
      <c r="B220" s="1084"/>
      <c r="C220" s="1092"/>
      <c r="D220" s="996" t="s">
        <v>98</v>
      </c>
      <c r="E220" s="877"/>
      <c r="F220" s="877"/>
      <c r="G220" s="879"/>
      <c r="H220" s="161" t="s">
        <v>12</v>
      </c>
      <c r="I220" s="880"/>
      <c r="J220" s="880"/>
      <c r="K220" s="881"/>
      <c r="L220" s="881">
        <f ca="1">IFERROR(__xludf.DUMMYFUNCTION("IMPORTRANGE(""https://docs.google.com/spreadsheets/d/1QqKyyYR6Q21VydFLVH3TRQUabQu_ym0Zz7PgGX0-kHA/edit?usp=sharing"",""แผน!AR80"")"),10000)</f>
        <v>10000</v>
      </c>
      <c r="M220" s="881"/>
      <c r="N220" s="1085">
        <v>10000</v>
      </c>
      <c r="O220" s="881"/>
      <c r="P220" s="881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</row>
    <row r="221" spans="1:26" ht="19.5">
      <c r="A221" s="1002"/>
      <c r="B221" s="1003"/>
      <c r="C221" s="1092" t="s">
        <v>16</v>
      </c>
      <c r="D221" s="1004" t="s">
        <v>38</v>
      </c>
      <c r="E221" s="1005"/>
      <c r="F221" s="1005"/>
      <c r="G221" s="1006"/>
      <c r="H221" s="1007"/>
      <c r="I221" s="997"/>
      <c r="J221" s="997"/>
      <c r="K221" s="998"/>
      <c r="L221" s="998"/>
      <c r="M221" s="998"/>
      <c r="N221" s="998"/>
      <c r="O221" s="998"/>
      <c r="P221" s="99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8"/>
    </row>
    <row r="222" spans="1:26" ht="18.75">
      <c r="A222" s="1002"/>
      <c r="B222" s="1003"/>
      <c r="C222" s="1003"/>
      <c r="D222" s="996" t="s">
        <v>111</v>
      </c>
      <c r="E222" s="1010"/>
      <c r="F222" s="1010"/>
      <c r="G222" s="1011"/>
      <c r="H222" s="1007"/>
      <c r="I222" s="880"/>
      <c r="J222" s="880"/>
      <c r="K222" s="998"/>
      <c r="L222" s="998"/>
      <c r="M222" s="998"/>
      <c r="N222" s="998"/>
      <c r="O222" s="998"/>
      <c r="P222" s="998"/>
      <c r="Q222" s="868"/>
      <c r="R222" s="868"/>
      <c r="S222" s="868"/>
      <c r="T222" s="868"/>
      <c r="U222" s="868"/>
      <c r="V222" s="868"/>
      <c r="W222" s="868"/>
      <c r="X222" s="868"/>
      <c r="Y222" s="868"/>
      <c r="Z222" s="868"/>
    </row>
    <row r="223" spans="1:26" ht="18.75">
      <c r="A223" s="1002"/>
      <c r="B223" s="1003"/>
      <c r="C223" s="1003"/>
      <c r="D223" s="1003"/>
      <c r="E223" s="1008" t="s">
        <v>112</v>
      </c>
      <c r="F223" s="1010"/>
      <c r="G223" s="1011"/>
      <c r="H223" s="762" t="s">
        <v>109</v>
      </c>
      <c r="I223" s="880">
        <f ca="1">IFERROR(__xludf.DUMMYFUNCTION("IMPORTRANGE(""https://docs.google.com/spreadsheets/d/1QqKyyYR6Q21VydFLVH3TRQUabQu_ym0Zz7PgGX0-kHA/edit?usp=sharing"",""แผน!AT80"")"),12800)</f>
        <v>12800</v>
      </c>
      <c r="J223" s="1012">
        <v>0</v>
      </c>
      <c r="K223" s="998">
        <f t="shared" ref="K223:K226" ca="1" si="104">IF(I223&gt;0,J223*100/I223,0)</f>
        <v>0</v>
      </c>
      <c r="L223" s="998"/>
      <c r="M223" s="998"/>
      <c r="N223" s="998"/>
      <c r="O223" s="998"/>
      <c r="P223" s="998"/>
      <c r="Q223" s="868"/>
      <c r="R223" s="868"/>
      <c r="S223" s="868"/>
      <c r="T223" s="868"/>
      <c r="U223" s="868"/>
      <c r="V223" s="868"/>
      <c r="W223" s="868"/>
      <c r="X223" s="868"/>
      <c r="Y223" s="868"/>
      <c r="Z223" s="868"/>
    </row>
    <row r="224" spans="1:26" ht="18.75">
      <c r="A224" s="1002"/>
      <c r="B224" s="1003"/>
      <c r="C224" s="1003"/>
      <c r="D224" s="1003"/>
      <c r="E224" s="1008" t="s">
        <v>113</v>
      </c>
      <c r="F224" s="1010"/>
      <c r="G224" s="1011"/>
      <c r="H224" s="762" t="s">
        <v>109</v>
      </c>
      <c r="I224" s="880">
        <f ca="1">IFERROR(__xludf.DUMMYFUNCTION("IMPORTRANGE(""https://docs.google.com/spreadsheets/d/1QqKyyYR6Q21VydFLVH3TRQUabQu_ym0Zz7PgGX0-kHA/edit?usp=sharing"",""แผน!AT80"")"),12800)</f>
        <v>12800</v>
      </c>
      <c r="J224" s="1012">
        <v>0</v>
      </c>
      <c r="K224" s="998">
        <f t="shared" ca="1" si="104"/>
        <v>0</v>
      </c>
      <c r="L224" s="881"/>
      <c r="M224" s="881"/>
      <c r="N224" s="881"/>
      <c r="O224" s="881"/>
      <c r="P224" s="881"/>
      <c r="Q224" s="868"/>
      <c r="R224" s="868"/>
      <c r="S224" s="868"/>
      <c r="T224" s="868"/>
      <c r="U224" s="868"/>
      <c r="V224" s="868"/>
      <c r="W224" s="868"/>
      <c r="X224" s="868"/>
      <c r="Y224" s="868"/>
      <c r="Z224" s="868"/>
    </row>
    <row r="225" spans="1:26" ht="18.75">
      <c r="A225" s="1002"/>
      <c r="B225" s="1003"/>
      <c r="C225" s="1003"/>
      <c r="D225" s="996" t="s">
        <v>114</v>
      </c>
      <c r="E225" s="1010"/>
      <c r="F225" s="1010"/>
      <c r="G225" s="1011"/>
      <c r="H225" s="762" t="s">
        <v>35</v>
      </c>
      <c r="I225" s="880">
        <f ca="1">IFERROR(__xludf.DUMMYFUNCTION("IMPORTRANGE(""https://docs.google.com/spreadsheets/d/1QqKyyYR6Q21VydFLVH3TRQUabQu_ym0Zz7PgGX0-kHA/edit?usp=sharing"",""แผน!AS80"")"),10)</f>
        <v>10</v>
      </c>
      <c r="J225" s="1012">
        <v>10</v>
      </c>
      <c r="K225" s="998">
        <f t="shared" ca="1" si="104"/>
        <v>100</v>
      </c>
      <c r="L225" s="881"/>
      <c r="M225" s="881"/>
      <c r="N225" s="881"/>
      <c r="O225" s="881"/>
      <c r="P225" s="881"/>
      <c r="Q225" s="868"/>
      <c r="R225" s="868"/>
      <c r="S225" s="868"/>
      <c r="T225" s="868"/>
      <c r="U225" s="868"/>
      <c r="V225" s="868"/>
      <c r="W225" s="868"/>
      <c r="X225" s="868"/>
      <c r="Y225" s="868"/>
      <c r="Z225" s="868"/>
    </row>
    <row r="226" spans="1:26" ht="19.5" hidden="1">
      <c r="A226" s="1063"/>
      <c r="B226" s="1070"/>
      <c r="C226" s="1093" t="s">
        <v>115</v>
      </c>
      <c r="D226" s="1064"/>
      <c r="E226" s="1064"/>
      <c r="F226" s="1064"/>
      <c r="G226" s="1066"/>
      <c r="H226" s="266" t="s">
        <v>35</v>
      </c>
      <c r="I226" s="1094" t="e">
        <f t="shared" ref="I226:J226" ca="1" si="105">I237+I248</f>
        <v>#VALUE!</v>
      </c>
      <c r="J226" s="1094">
        <f t="shared" si="105"/>
        <v>0</v>
      </c>
      <c r="K226" s="1095" t="e">
        <f t="shared" ca="1" si="104"/>
        <v>#VALUE!</v>
      </c>
      <c r="L226" s="1068"/>
      <c r="M226" s="1068"/>
      <c r="N226" s="1068"/>
      <c r="O226" s="1068"/>
      <c r="P226" s="1068"/>
    </row>
    <row r="227" spans="1:26" ht="19.5" hidden="1">
      <c r="A227" s="1096"/>
      <c r="B227" s="1097"/>
      <c r="C227" s="1098" t="s">
        <v>16</v>
      </c>
      <c r="D227" s="1099" t="s">
        <v>17</v>
      </c>
      <c r="E227" s="1097"/>
      <c r="F227" s="1097"/>
      <c r="G227" s="1100"/>
      <c r="H227" s="353" t="s">
        <v>12</v>
      </c>
      <c r="I227" s="1101"/>
      <c r="J227" s="1101"/>
      <c r="K227" s="1102"/>
      <c r="L227" s="1103">
        <f t="shared" ref="L227:L231" ca="1" si="106">L238+L249</f>
        <v>0</v>
      </c>
      <c r="M227" s="1103"/>
      <c r="N227" s="1103">
        <f t="shared" ref="N227:N231" si="107">N238+N249</f>
        <v>0</v>
      </c>
      <c r="O227" s="1104"/>
      <c r="P227" s="1104"/>
      <c r="Q227" s="875"/>
      <c r="R227" s="875"/>
      <c r="S227" s="875"/>
      <c r="T227" s="875"/>
      <c r="U227" s="875"/>
      <c r="V227" s="875"/>
      <c r="W227" s="875"/>
      <c r="X227" s="875"/>
      <c r="Y227" s="875"/>
      <c r="Z227" s="875"/>
    </row>
    <row r="228" spans="1:26" ht="18.75" hidden="1">
      <c r="A228" s="993"/>
      <c r="B228" s="1105"/>
      <c r="C228" s="883"/>
      <c r="D228" s="884" t="s">
        <v>97</v>
      </c>
      <c r="E228" s="883"/>
      <c r="F228" s="883"/>
      <c r="G228" s="885"/>
      <c r="H228" s="165" t="s">
        <v>12</v>
      </c>
      <c r="I228" s="1000"/>
      <c r="J228" s="1000"/>
      <c r="K228" s="1001"/>
      <c r="L228" s="887">
        <f t="shared" ca="1" si="106"/>
        <v>0</v>
      </c>
      <c r="M228" s="887"/>
      <c r="N228" s="887">
        <f t="shared" si="107"/>
        <v>0</v>
      </c>
      <c r="O228" s="887"/>
      <c r="P228" s="887"/>
      <c r="Q228" s="875"/>
      <c r="R228" s="875"/>
      <c r="S228" s="875"/>
      <c r="T228" s="875"/>
      <c r="U228" s="875"/>
      <c r="V228" s="875"/>
      <c r="W228" s="875"/>
      <c r="X228" s="875"/>
      <c r="Y228" s="875"/>
      <c r="Z228" s="875"/>
    </row>
    <row r="229" spans="1:26" ht="19.5" hidden="1">
      <c r="A229" s="1106"/>
      <c r="B229" s="1105"/>
      <c r="C229" s="1107"/>
      <c r="D229" s="884" t="s">
        <v>98</v>
      </c>
      <c r="E229" s="883"/>
      <c r="F229" s="883"/>
      <c r="G229" s="885"/>
      <c r="H229" s="165" t="s">
        <v>12</v>
      </c>
      <c r="I229" s="886"/>
      <c r="J229" s="886"/>
      <c r="K229" s="887"/>
      <c r="L229" s="887">
        <f t="shared" ca="1" si="106"/>
        <v>0</v>
      </c>
      <c r="M229" s="887"/>
      <c r="N229" s="887">
        <f t="shared" si="107"/>
        <v>0</v>
      </c>
      <c r="O229" s="887"/>
      <c r="P229" s="887"/>
      <c r="Q229" s="1108"/>
      <c r="R229" s="1108"/>
      <c r="S229" s="1108"/>
      <c r="T229" s="1108"/>
      <c r="U229" s="1108"/>
      <c r="V229" s="1108"/>
      <c r="W229" s="1108"/>
      <c r="X229" s="1108"/>
      <c r="Y229" s="1108"/>
      <c r="Z229" s="1108"/>
    </row>
    <row r="230" spans="1:26" ht="19.5" hidden="1">
      <c r="A230" s="1106"/>
      <c r="B230" s="1105"/>
      <c r="C230" s="1107"/>
      <c r="D230" s="884" t="s">
        <v>116</v>
      </c>
      <c r="E230" s="883"/>
      <c r="F230" s="883"/>
      <c r="G230" s="885"/>
      <c r="H230" s="165" t="s">
        <v>12</v>
      </c>
      <c r="I230" s="886"/>
      <c r="J230" s="886"/>
      <c r="K230" s="887"/>
      <c r="L230" s="887">
        <f t="shared" ca="1" si="106"/>
        <v>0</v>
      </c>
      <c r="M230" s="887"/>
      <c r="N230" s="887">
        <f t="shared" si="107"/>
        <v>0</v>
      </c>
      <c r="O230" s="887"/>
      <c r="P230" s="887"/>
      <c r="Q230" s="1108"/>
      <c r="R230" s="1108"/>
      <c r="S230" s="1108"/>
      <c r="T230" s="1108"/>
      <c r="U230" s="1108"/>
      <c r="V230" s="1108"/>
      <c r="W230" s="1108"/>
      <c r="X230" s="1108"/>
      <c r="Y230" s="1108"/>
      <c r="Z230" s="1108"/>
    </row>
    <row r="231" spans="1:26" ht="19.5" hidden="1">
      <c r="A231" s="1106"/>
      <c r="B231" s="1105"/>
      <c r="C231" s="1107"/>
      <c r="D231" s="884" t="s">
        <v>100</v>
      </c>
      <c r="E231" s="883"/>
      <c r="F231" s="883"/>
      <c r="G231" s="885"/>
      <c r="H231" s="165" t="s">
        <v>12</v>
      </c>
      <c r="I231" s="886"/>
      <c r="J231" s="886"/>
      <c r="K231" s="887"/>
      <c r="L231" s="887">
        <f t="shared" ca="1" si="106"/>
        <v>0</v>
      </c>
      <c r="M231" s="887"/>
      <c r="N231" s="887">
        <f t="shared" si="107"/>
        <v>0</v>
      </c>
      <c r="O231" s="887"/>
      <c r="P231" s="887"/>
      <c r="Q231" s="1108"/>
      <c r="R231" s="1108"/>
      <c r="S231" s="1108"/>
      <c r="T231" s="1108"/>
      <c r="U231" s="1108"/>
      <c r="V231" s="1108"/>
      <c r="W231" s="1108"/>
      <c r="X231" s="1108"/>
      <c r="Y231" s="1108"/>
      <c r="Z231" s="1108"/>
    </row>
    <row r="232" spans="1:26" ht="19.5" hidden="1">
      <c r="A232" s="1109"/>
      <c r="B232" s="1110"/>
      <c r="C232" s="1107" t="s">
        <v>16</v>
      </c>
      <c r="D232" s="1072" t="s">
        <v>38</v>
      </c>
      <c r="E232" s="1111"/>
      <c r="F232" s="1111"/>
      <c r="G232" s="1112"/>
      <c r="H232" s="1113"/>
      <c r="I232" s="1000"/>
      <c r="J232" s="886"/>
      <c r="K232" s="887"/>
      <c r="L232" s="887"/>
      <c r="M232" s="887"/>
      <c r="N232" s="887"/>
      <c r="O232" s="1001"/>
      <c r="P232" s="1001"/>
      <c r="Q232" s="875"/>
      <c r="R232" s="875"/>
      <c r="S232" s="875"/>
      <c r="T232" s="875"/>
      <c r="U232" s="875"/>
      <c r="V232" s="875"/>
      <c r="W232" s="875"/>
      <c r="X232" s="875"/>
      <c r="Y232" s="875"/>
      <c r="Z232" s="875"/>
    </row>
    <row r="233" spans="1:26" ht="18.75" hidden="1">
      <c r="A233" s="1109"/>
      <c r="B233" s="1110"/>
      <c r="C233" s="1110"/>
      <c r="D233" s="1074" t="s">
        <v>117</v>
      </c>
      <c r="E233" s="1114"/>
      <c r="F233" s="1114"/>
      <c r="G233" s="1115"/>
      <c r="H233" s="370" t="s">
        <v>35</v>
      </c>
      <c r="I233" s="886" t="e">
        <f t="shared" ref="I233:J233" ca="1" si="108">I244+I255</f>
        <v>#VALUE!</v>
      </c>
      <c r="J233" s="886">
        <f t="shared" si="108"/>
        <v>0</v>
      </c>
      <c r="K233" s="887" t="e">
        <f ca="1">IF(I233&gt;0,J233*100/I233,0)</f>
        <v>#VALUE!</v>
      </c>
      <c r="L233" s="887"/>
      <c r="M233" s="887"/>
      <c r="N233" s="887"/>
      <c r="O233" s="887"/>
      <c r="P233" s="887"/>
      <c r="Q233" s="875"/>
      <c r="R233" s="875"/>
      <c r="S233" s="875"/>
      <c r="T233" s="875"/>
      <c r="U233" s="875"/>
      <c r="V233" s="875"/>
      <c r="W233" s="875"/>
      <c r="X233" s="875"/>
      <c r="Y233" s="875"/>
      <c r="Z233" s="875"/>
    </row>
    <row r="234" spans="1:26" ht="18.75" hidden="1">
      <c r="A234" s="1109"/>
      <c r="B234" s="1110"/>
      <c r="C234" s="1110"/>
      <c r="D234" s="1116" t="s">
        <v>43</v>
      </c>
      <c r="E234" s="1114"/>
      <c r="F234" s="1114"/>
      <c r="G234" s="1115"/>
      <c r="H234" s="370"/>
      <c r="I234" s="886"/>
      <c r="J234" s="886"/>
      <c r="K234" s="887"/>
      <c r="L234" s="887"/>
      <c r="M234" s="887"/>
      <c r="N234" s="887"/>
      <c r="O234" s="1001"/>
      <c r="P234" s="1001"/>
      <c r="Q234" s="875"/>
      <c r="R234" s="875"/>
      <c r="S234" s="875"/>
      <c r="T234" s="875"/>
      <c r="U234" s="875"/>
      <c r="V234" s="875"/>
      <c r="W234" s="875"/>
      <c r="X234" s="875"/>
      <c r="Y234" s="875"/>
      <c r="Z234" s="875"/>
    </row>
    <row r="235" spans="1:26" ht="18.75" hidden="1">
      <c r="A235" s="1109"/>
      <c r="B235" s="1110"/>
      <c r="C235" s="1110"/>
      <c r="D235" s="1110"/>
      <c r="E235" s="1073" t="s">
        <v>118</v>
      </c>
      <c r="F235" s="1114"/>
      <c r="G235" s="1115"/>
      <c r="H235" s="370" t="s">
        <v>35</v>
      </c>
      <c r="I235" s="886">
        <f t="shared" ref="I235:J236" si="109">I246+I257</f>
        <v>0</v>
      </c>
      <c r="J235" s="886">
        <f t="shared" si="109"/>
        <v>0</v>
      </c>
      <c r="K235" s="887">
        <f t="shared" ref="K235:K237" si="110">IF(I235&gt;0,J235*100/I235,0)</f>
        <v>0</v>
      </c>
      <c r="L235" s="887"/>
      <c r="M235" s="887"/>
      <c r="N235" s="887"/>
      <c r="O235" s="887"/>
      <c r="P235" s="887"/>
      <c r="Q235" s="875"/>
      <c r="R235" s="875"/>
      <c r="S235" s="875"/>
      <c r="T235" s="875"/>
      <c r="U235" s="875"/>
      <c r="V235" s="875"/>
      <c r="W235" s="875"/>
      <c r="X235" s="875"/>
      <c r="Y235" s="875"/>
      <c r="Z235" s="875"/>
    </row>
    <row r="236" spans="1:26" ht="18.75" hidden="1">
      <c r="A236" s="1109"/>
      <c r="B236" s="1110"/>
      <c r="C236" s="1110"/>
      <c r="D236" s="1110"/>
      <c r="E236" s="1073" t="s">
        <v>119</v>
      </c>
      <c r="F236" s="1114"/>
      <c r="G236" s="1115"/>
      <c r="H236" s="370" t="s">
        <v>66</v>
      </c>
      <c r="I236" s="886">
        <f t="shared" si="109"/>
        <v>0</v>
      </c>
      <c r="J236" s="886">
        <f t="shared" si="109"/>
        <v>0</v>
      </c>
      <c r="K236" s="887">
        <f t="shared" si="110"/>
        <v>0</v>
      </c>
      <c r="L236" s="887"/>
      <c r="M236" s="887"/>
      <c r="N236" s="887"/>
      <c r="O236" s="887"/>
      <c r="P236" s="887"/>
      <c r="Q236" s="875"/>
      <c r="R236" s="875"/>
      <c r="S236" s="875"/>
      <c r="T236" s="875"/>
      <c r="U236" s="875"/>
      <c r="V236" s="875"/>
      <c r="W236" s="875"/>
      <c r="X236" s="875"/>
      <c r="Y236" s="875"/>
      <c r="Z236" s="875"/>
    </row>
    <row r="237" spans="1:26" ht="19.5" hidden="1">
      <c r="A237" s="1063"/>
      <c r="B237" s="1070"/>
      <c r="C237" s="1077" t="s">
        <v>332</v>
      </c>
      <c r="D237" s="1064"/>
      <c r="E237" s="1064"/>
      <c r="F237" s="1064"/>
      <c r="G237" s="1066"/>
      <c r="H237" s="260" t="s">
        <v>35</v>
      </c>
      <c r="I237" s="1078">
        <f t="shared" ref="I237:J237" ca="1" si="111">I244</f>
        <v>0</v>
      </c>
      <c r="J237" s="1078">
        <f t="shared" si="111"/>
        <v>0</v>
      </c>
      <c r="K237" s="1079">
        <f t="shared" ca="1" si="110"/>
        <v>0</v>
      </c>
      <c r="L237" s="1068"/>
      <c r="M237" s="1068"/>
      <c r="N237" s="1068"/>
      <c r="O237" s="1068"/>
      <c r="P237" s="1068"/>
    </row>
    <row r="238" spans="1:26" ht="19.5" hidden="1">
      <c r="A238" s="985"/>
      <c r="B238" s="986"/>
      <c r="C238" s="987" t="s">
        <v>16</v>
      </c>
      <c r="D238" s="988" t="s">
        <v>17</v>
      </c>
      <c r="E238" s="986"/>
      <c r="F238" s="986"/>
      <c r="G238" s="989"/>
      <c r="H238" s="275" t="s">
        <v>12</v>
      </c>
      <c r="I238" s="1082"/>
      <c r="J238" s="1082"/>
      <c r="K238" s="1083"/>
      <c r="L238" s="992">
        <f ca="1">L239+L240+L241+L242</f>
        <v>0</v>
      </c>
      <c r="M238" s="992"/>
      <c r="N238" s="992">
        <f>N239+N240+N241+N242</f>
        <v>0</v>
      </c>
      <c r="O238" s="992">
        <f ca="1">IF(L238&gt;0,N238*100/L238,0)</f>
        <v>0</v>
      </c>
      <c r="P238" s="992">
        <f>IF(M238&gt;0,N238*100/M238,0)</f>
        <v>0</v>
      </c>
      <c r="Q238" s="868"/>
      <c r="R238" s="868"/>
      <c r="S238" s="868"/>
      <c r="T238" s="868"/>
      <c r="U238" s="868"/>
      <c r="V238" s="868"/>
      <c r="W238" s="868"/>
      <c r="X238" s="868"/>
      <c r="Y238" s="868"/>
      <c r="Z238" s="868"/>
    </row>
    <row r="239" spans="1:26" ht="18.75" hidden="1">
      <c r="A239" s="1117"/>
      <c r="B239" s="1118"/>
      <c r="C239" s="1119"/>
      <c r="D239" s="1120" t="s">
        <v>97</v>
      </c>
      <c r="E239" s="1119"/>
      <c r="F239" s="1119"/>
      <c r="G239" s="1121"/>
      <c r="H239" s="319" t="s">
        <v>12</v>
      </c>
      <c r="I239" s="1122"/>
      <c r="J239" s="1122"/>
      <c r="K239" s="1123"/>
      <c r="L239" s="1124">
        <f ca="1">IFERROR(__xludf.DUMMYFUNCTION("IMPORTRANGE(""https://docs.google.com/spreadsheets/d/1QqKyyYR6Q21VydFLVH3TRQUabQu_ym0Zz7PgGX0-kHA/edit?usp=sharing"",""แผน!AV80"")"),0)</f>
        <v>0</v>
      </c>
      <c r="M239" s="1124"/>
      <c r="N239" s="1125">
        <v>0</v>
      </c>
      <c r="O239" s="1124"/>
      <c r="P239" s="1124"/>
      <c r="Q239" s="1126"/>
      <c r="R239" s="1126"/>
      <c r="S239" s="1126"/>
      <c r="T239" s="1126"/>
      <c r="U239" s="1126"/>
      <c r="V239" s="1126"/>
      <c r="W239" s="1126"/>
      <c r="X239" s="1126"/>
      <c r="Y239" s="1126"/>
      <c r="Z239" s="1126"/>
    </row>
    <row r="240" spans="1:26" ht="19.5" hidden="1">
      <c r="A240" s="1127"/>
      <c r="B240" s="1118"/>
      <c r="C240" s="1128"/>
      <c r="D240" s="1120" t="s">
        <v>98</v>
      </c>
      <c r="E240" s="1119"/>
      <c r="F240" s="1119"/>
      <c r="G240" s="1121"/>
      <c r="H240" s="319" t="s">
        <v>12</v>
      </c>
      <c r="I240" s="1129"/>
      <c r="J240" s="1129"/>
      <c r="K240" s="1124"/>
      <c r="L240" s="1124">
        <f ca="1">IFERROR(__xludf.DUMMYFUNCTION("IMPORTRANGE(""https://docs.google.com/spreadsheets/d/1QqKyyYR6Q21VydFLVH3TRQUabQu_ym0Zz7PgGX0-kHA/edit?usp=sharing"",""แผน!AW80"")"),0)</f>
        <v>0</v>
      </c>
      <c r="M240" s="1124"/>
      <c r="N240" s="1125">
        <v>0</v>
      </c>
      <c r="O240" s="1124"/>
      <c r="P240" s="1124"/>
      <c r="Q240" s="1130"/>
      <c r="R240" s="1130"/>
      <c r="S240" s="1130"/>
      <c r="T240" s="1130"/>
      <c r="U240" s="1130"/>
      <c r="V240" s="1130"/>
      <c r="W240" s="1130"/>
      <c r="X240" s="1130"/>
      <c r="Y240" s="1130"/>
      <c r="Z240" s="1130"/>
    </row>
    <row r="241" spans="1:26" ht="19.5" hidden="1">
      <c r="A241" s="1127"/>
      <c r="B241" s="1118"/>
      <c r="C241" s="1128"/>
      <c r="D241" s="1120" t="s">
        <v>116</v>
      </c>
      <c r="E241" s="1119"/>
      <c r="F241" s="1119"/>
      <c r="G241" s="1121"/>
      <c r="H241" s="319" t="s">
        <v>12</v>
      </c>
      <c r="I241" s="1129"/>
      <c r="J241" s="1129"/>
      <c r="K241" s="1124"/>
      <c r="L241" s="1124">
        <f ca="1">IFERROR(__xludf.DUMMYFUNCTION("IMPORTRANGE(""https://docs.google.com/spreadsheets/d/1QqKyyYR6Q21VydFLVH3TRQUabQu_ym0Zz7PgGX0-kHA/edit?usp=sharing"",""แผน!AX80"")"),0)</f>
        <v>0</v>
      </c>
      <c r="M241" s="1124"/>
      <c r="N241" s="1125">
        <v>0</v>
      </c>
      <c r="O241" s="1124"/>
      <c r="P241" s="1124"/>
      <c r="Q241" s="1130"/>
      <c r="R241" s="1130"/>
      <c r="S241" s="1130"/>
      <c r="T241" s="1130"/>
      <c r="U241" s="1130"/>
      <c r="V241" s="1130"/>
      <c r="W241" s="1130"/>
      <c r="X241" s="1130"/>
      <c r="Y241" s="1130"/>
      <c r="Z241" s="1130"/>
    </row>
    <row r="242" spans="1:26" ht="19.5" hidden="1">
      <c r="A242" s="1127"/>
      <c r="B242" s="1118"/>
      <c r="C242" s="1128"/>
      <c r="D242" s="1120" t="s">
        <v>100</v>
      </c>
      <c r="E242" s="1119"/>
      <c r="F242" s="1119"/>
      <c r="G242" s="1121"/>
      <c r="H242" s="319" t="s">
        <v>12</v>
      </c>
      <c r="I242" s="1129"/>
      <c r="J242" s="1129"/>
      <c r="K242" s="1124"/>
      <c r="L242" s="1124">
        <f ca="1">IFERROR(__xludf.DUMMYFUNCTION("IMPORTRANGE(""https://docs.google.com/spreadsheets/d/1QqKyyYR6Q21VydFLVH3TRQUabQu_ym0Zz7PgGX0-kHA/edit?usp=sharing"",""แผน!AY80"")"),0)</f>
        <v>0</v>
      </c>
      <c r="M242" s="1124"/>
      <c r="N242" s="1125">
        <v>0</v>
      </c>
      <c r="O242" s="1124"/>
      <c r="P242" s="1124"/>
      <c r="Q242" s="1130"/>
      <c r="R242" s="1130"/>
      <c r="S242" s="1130"/>
      <c r="T242" s="1130"/>
      <c r="U242" s="1130"/>
      <c r="V242" s="1130"/>
      <c r="W242" s="1130"/>
      <c r="X242" s="1130"/>
      <c r="Y242" s="1130"/>
      <c r="Z242" s="1130"/>
    </row>
    <row r="243" spans="1:26" ht="19.5" hidden="1">
      <c r="A243" s="1002"/>
      <c r="B243" s="1003"/>
      <c r="C243" s="1092" t="s">
        <v>16</v>
      </c>
      <c r="D243" s="1004" t="s">
        <v>38</v>
      </c>
      <c r="E243" s="1005"/>
      <c r="F243" s="1005"/>
      <c r="G243" s="1006"/>
      <c r="H243" s="1007"/>
      <c r="I243" s="997"/>
      <c r="J243" s="880"/>
      <c r="K243" s="881"/>
      <c r="L243" s="881"/>
      <c r="M243" s="881"/>
      <c r="N243" s="881"/>
      <c r="O243" s="998"/>
      <c r="P243" s="998"/>
      <c r="Q243" s="868"/>
      <c r="R243" s="868"/>
      <c r="S243" s="868"/>
      <c r="T243" s="868"/>
      <c r="U243" s="868"/>
      <c r="V243" s="868"/>
      <c r="W243" s="868"/>
      <c r="X243" s="868"/>
      <c r="Y243" s="868"/>
      <c r="Z243" s="868"/>
    </row>
    <row r="244" spans="1:26" ht="18.75" hidden="1">
      <c r="A244" s="1002"/>
      <c r="B244" s="1003"/>
      <c r="C244" s="1003"/>
      <c r="D244" s="1009" t="s">
        <v>117</v>
      </c>
      <c r="E244" s="1010"/>
      <c r="F244" s="1010"/>
      <c r="G244" s="1011"/>
      <c r="H244" s="762" t="s">
        <v>35</v>
      </c>
      <c r="I244" s="880">
        <f ca="1">IFERROR(__xludf.DUMMYFUNCTION("IMPORTRANGE(""https://docs.google.com/spreadsheets/d/1QqKyyYR6Q21VydFLVH3TRQUabQu_ym0Zz7PgGX0-kHA/edit?usp=sharing"",""แผน!BE80"")"),0)</f>
        <v>0</v>
      </c>
      <c r="J244" s="1012">
        <v>0</v>
      </c>
      <c r="K244" s="881">
        <f ca="1">IF(I244&gt;0,J244*100/I244,0)</f>
        <v>0</v>
      </c>
      <c r="L244" s="881"/>
      <c r="M244" s="881"/>
      <c r="N244" s="881"/>
      <c r="O244" s="881"/>
      <c r="P244" s="881"/>
      <c r="Q244" s="868"/>
      <c r="R244" s="868"/>
      <c r="S244" s="868"/>
      <c r="T244" s="868"/>
      <c r="U244" s="868"/>
      <c r="V244" s="868"/>
      <c r="W244" s="868"/>
      <c r="X244" s="868"/>
      <c r="Y244" s="868"/>
      <c r="Z244" s="868"/>
    </row>
    <row r="245" spans="1:26" ht="18.75" hidden="1">
      <c r="A245" s="1002"/>
      <c r="B245" s="1003"/>
      <c r="C245" s="1003"/>
      <c r="D245" s="1131" t="s">
        <v>43</v>
      </c>
      <c r="E245" s="1010"/>
      <c r="F245" s="1010"/>
      <c r="G245" s="1011"/>
      <c r="H245" s="762"/>
      <c r="I245" s="880"/>
      <c r="J245" s="880"/>
      <c r="K245" s="881"/>
      <c r="L245" s="881"/>
      <c r="M245" s="881"/>
      <c r="N245" s="881"/>
      <c r="O245" s="998"/>
      <c r="P245" s="998"/>
      <c r="Q245" s="868"/>
      <c r="R245" s="868"/>
      <c r="S245" s="868"/>
      <c r="T245" s="868"/>
      <c r="U245" s="868"/>
      <c r="V245" s="868"/>
      <c r="W245" s="868"/>
      <c r="X245" s="868"/>
      <c r="Y245" s="868"/>
      <c r="Z245" s="868"/>
    </row>
    <row r="246" spans="1:26" ht="18.75" hidden="1">
      <c r="A246" s="1002"/>
      <c r="B246" s="1003"/>
      <c r="C246" s="1003"/>
      <c r="D246" s="1003"/>
      <c r="E246" s="1008" t="s">
        <v>118</v>
      </c>
      <c r="F246" s="1010"/>
      <c r="G246" s="1011"/>
      <c r="H246" s="762" t="s">
        <v>35</v>
      </c>
      <c r="I246" s="880"/>
      <c r="J246" s="1012">
        <v>0</v>
      </c>
      <c r="K246" s="881">
        <f t="shared" ref="K246:K248" si="112">IF(I246&gt;0,J246*100/I246,0)</f>
        <v>0</v>
      </c>
      <c r="L246" s="881"/>
      <c r="M246" s="881"/>
      <c r="N246" s="881"/>
      <c r="O246" s="881"/>
      <c r="P246" s="881"/>
      <c r="Q246" s="868"/>
      <c r="R246" s="868"/>
      <c r="S246" s="868"/>
      <c r="T246" s="868"/>
      <c r="U246" s="868"/>
      <c r="V246" s="868"/>
      <c r="W246" s="868"/>
      <c r="X246" s="868"/>
      <c r="Y246" s="868"/>
      <c r="Z246" s="868"/>
    </row>
    <row r="247" spans="1:26" ht="18.75" hidden="1">
      <c r="A247" s="1002"/>
      <c r="B247" s="1003"/>
      <c r="C247" s="1003"/>
      <c r="D247" s="1003"/>
      <c r="E247" s="1008" t="s">
        <v>119</v>
      </c>
      <c r="F247" s="1010"/>
      <c r="G247" s="1011"/>
      <c r="H247" s="762" t="s">
        <v>66</v>
      </c>
      <c r="I247" s="880"/>
      <c r="J247" s="1012">
        <v>0</v>
      </c>
      <c r="K247" s="881">
        <f t="shared" si="112"/>
        <v>0</v>
      </c>
      <c r="L247" s="881"/>
      <c r="M247" s="881"/>
      <c r="N247" s="881"/>
      <c r="O247" s="881"/>
      <c r="P247" s="881"/>
      <c r="Q247" s="868"/>
      <c r="R247" s="868"/>
      <c r="S247" s="868"/>
      <c r="T247" s="868"/>
      <c r="U247" s="868"/>
      <c r="V247" s="868"/>
      <c r="W247" s="868"/>
      <c r="X247" s="868"/>
      <c r="Y247" s="868"/>
      <c r="Z247" s="868"/>
    </row>
    <row r="248" spans="1:26" ht="19.5" hidden="1">
      <c r="A248" s="1063"/>
      <c r="B248" s="1070"/>
      <c r="C248" s="1077" t="s">
        <v>333</v>
      </c>
      <c r="D248" s="1064"/>
      <c r="E248" s="1064"/>
      <c r="F248" s="1064"/>
      <c r="G248" s="1066"/>
      <c r="H248" s="260" t="s">
        <v>35</v>
      </c>
      <c r="I248" s="1078" t="str">
        <f t="shared" ref="I248:J248" ca="1" si="113">I255</f>
        <v/>
      </c>
      <c r="J248" s="1078">
        <f t="shared" si="113"/>
        <v>0</v>
      </c>
      <c r="K248" s="1079" t="e">
        <f t="shared" ca="1" si="112"/>
        <v>#VALUE!</v>
      </c>
      <c r="L248" s="1068"/>
      <c r="M248" s="1068"/>
      <c r="N248" s="1068"/>
      <c r="O248" s="1068"/>
      <c r="P248" s="1068"/>
    </row>
    <row r="249" spans="1:26" ht="19.5" hidden="1">
      <c r="A249" s="985"/>
      <c r="B249" s="986"/>
      <c r="C249" s="987" t="s">
        <v>16</v>
      </c>
      <c r="D249" s="1080" t="s">
        <v>17</v>
      </c>
      <c r="E249" s="986"/>
      <c r="F249" s="986"/>
      <c r="G249" s="989"/>
      <c r="H249" s="275" t="s">
        <v>12</v>
      </c>
      <c r="I249" s="1082"/>
      <c r="J249" s="1082"/>
      <c r="K249" s="1083"/>
      <c r="L249" s="992">
        <f ca="1">L250+L251+L252+L253</f>
        <v>0</v>
      </c>
      <c r="M249" s="992"/>
      <c r="N249" s="992">
        <f>N250+N251+N252+N253</f>
        <v>0</v>
      </c>
      <c r="O249" s="992">
        <f ca="1">IF(L249&gt;0,N249*100/L249,0)</f>
        <v>0</v>
      </c>
      <c r="P249" s="992">
        <f>IF(M249&gt;0,N249*100/M249,0)</f>
        <v>0</v>
      </c>
      <c r="Q249" s="868"/>
      <c r="R249" s="868"/>
      <c r="S249" s="868"/>
      <c r="T249" s="868"/>
      <c r="U249" s="868"/>
      <c r="V249" s="868"/>
      <c r="W249" s="868"/>
      <c r="X249" s="868"/>
      <c r="Y249" s="868"/>
      <c r="Z249" s="868"/>
    </row>
    <row r="250" spans="1:26" ht="18.75" hidden="1">
      <c r="A250" s="1117"/>
      <c r="B250" s="1118"/>
      <c r="C250" s="1119"/>
      <c r="D250" s="1120" t="s">
        <v>97</v>
      </c>
      <c r="E250" s="1119"/>
      <c r="F250" s="1119"/>
      <c r="G250" s="1121"/>
      <c r="H250" s="319" t="s">
        <v>12</v>
      </c>
      <c r="I250" s="1122"/>
      <c r="J250" s="1122"/>
      <c r="K250" s="1123"/>
      <c r="L250" s="1124">
        <f ca="1">IFERROR(__xludf.DUMMYFUNCTION("IMPORTRANGE(""https://docs.google.com/spreadsheets/d/1QqKyyYR6Q21VydFLVH3TRQUabQu_ym0Zz7PgGX0-kHA/edit?usp=sharing"",""แผน!AZ80"")"),0)</f>
        <v>0</v>
      </c>
      <c r="M250" s="1124"/>
      <c r="N250" s="1125">
        <v>0</v>
      </c>
      <c r="O250" s="1124"/>
      <c r="P250" s="1124"/>
      <c r="Q250" s="1126"/>
      <c r="R250" s="1126"/>
      <c r="S250" s="1126"/>
      <c r="T250" s="1126"/>
      <c r="U250" s="1126"/>
      <c r="V250" s="1126"/>
      <c r="W250" s="1126"/>
      <c r="X250" s="1126"/>
      <c r="Y250" s="1126"/>
      <c r="Z250" s="1126"/>
    </row>
    <row r="251" spans="1:26" ht="19.5" hidden="1">
      <c r="A251" s="1127"/>
      <c r="B251" s="1118"/>
      <c r="C251" s="1128"/>
      <c r="D251" s="1120" t="s">
        <v>98</v>
      </c>
      <c r="E251" s="1119"/>
      <c r="F251" s="1119"/>
      <c r="G251" s="1121"/>
      <c r="H251" s="319" t="s">
        <v>12</v>
      </c>
      <c r="I251" s="1129"/>
      <c r="J251" s="1129"/>
      <c r="K251" s="1124"/>
      <c r="L251" s="1124">
        <f ca="1">IFERROR(__xludf.DUMMYFUNCTION("IMPORTRANGE(""https://docs.google.com/spreadsheets/d/1QqKyyYR6Q21VydFLVH3TRQUabQu_ym0Zz7PgGX0-kHA/edit?usp=sharing"",""แผน!BA80"")"),0)</f>
        <v>0</v>
      </c>
      <c r="M251" s="1124"/>
      <c r="N251" s="1125">
        <v>0</v>
      </c>
      <c r="O251" s="1124"/>
      <c r="P251" s="1124"/>
      <c r="Q251" s="1130"/>
      <c r="R251" s="1130"/>
      <c r="S251" s="1130"/>
      <c r="T251" s="1130"/>
      <c r="U251" s="1130"/>
      <c r="V251" s="1130"/>
      <c r="W251" s="1130"/>
      <c r="X251" s="1130"/>
      <c r="Y251" s="1130"/>
      <c r="Z251" s="1130"/>
    </row>
    <row r="252" spans="1:26" ht="19.5" hidden="1">
      <c r="A252" s="1127"/>
      <c r="B252" s="1118"/>
      <c r="C252" s="1128"/>
      <c r="D252" s="1120" t="s">
        <v>116</v>
      </c>
      <c r="E252" s="1119"/>
      <c r="F252" s="1119"/>
      <c r="G252" s="1121"/>
      <c r="H252" s="319" t="s">
        <v>12</v>
      </c>
      <c r="I252" s="1129"/>
      <c r="J252" s="1129"/>
      <c r="K252" s="1124"/>
      <c r="L252" s="1124">
        <f ca="1">IFERROR(__xludf.DUMMYFUNCTION("IMPORTRANGE(""https://docs.google.com/spreadsheets/d/1QqKyyYR6Q21VydFLVH3TRQUabQu_ym0Zz7PgGX0-kHA/edit?usp=sharing"",""แผน!BB80"")"),0)</f>
        <v>0</v>
      </c>
      <c r="M252" s="1124"/>
      <c r="N252" s="1125">
        <v>0</v>
      </c>
      <c r="O252" s="1124"/>
      <c r="P252" s="1124"/>
      <c r="Q252" s="1130"/>
      <c r="R252" s="1130"/>
      <c r="S252" s="1130"/>
      <c r="T252" s="1130"/>
      <c r="U252" s="1130"/>
      <c r="V252" s="1130"/>
      <c r="W252" s="1130"/>
      <c r="X252" s="1130"/>
      <c r="Y252" s="1130"/>
      <c r="Z252" s="1130"/>
    </row>
    <row r="253" spans="1:26" ht="19.5" hidden="1">
      <c r="A253" s="1127"/>
      <c r="B253" s="1118"/>
      <c r="C253" s="1128"/>
      <c r="D253" s="1120" t="s">
        <v>100</v>
      </c>
      <c r="E253" s="1119"/>
      <c r="F253" s="1119"/>
      <c r="G253" s="1121"/>
      <c r="H253" s="319" t="s">
        <v>12</v>
      </c>
      <c r="I253" s="1129"/>
      <c r="J253" s="1129"/>
      <c r="K253" s="1124"/>
      <c r="L253" s="1124">
        <f ca="1">IFERROR(__xludf.DUMMYFUNCTION("IMPORTRANGE(""https://docs.google.com/spreadsheets/d/1QqKyyYR6Q21VydFLVH3TRQUabQu_ym0Zz7PgGX0-kHA/edit?usp=sharing"",""แผน!BC80"")"),0)</f>
        <v>0</v>
      </c>
      <c r="M253" s="1124"/>
      <c r="N253" s="1125">
        <v>0</v>
      </c>
      <c r="O253" s="1124"/>
      <c r="P253" s="1124"/>
      <c r="Q253" s="1130"/>
      <c r="R253" s="1130"/>
      <c r="S253" s="1130"/>
      <c r="T253" s="1130"/>
      <c r="U253" s="1130"/>
      <c r="V253" s="1130"/>
      <c r="W253" s="1130"/>
      <c r="X253" s="1130"/>
      <c r="Y253" s="1130"/>
      <c r="Z253" s="1130"/>
    </row>
    <row r="254" spans="1:26" ht="19.5" hidden="1">
      <c r="A254" s="1002"/>
      <c r="B254" s="1003"/>
      <c r="C254" s="1092" t="s">
        <v>16</v>
      </c>
      <c r="D254" s="1004" t="s">
        <v>38</v>
      </c>
      <c r="E254" s="1005"/>
      <c r="F254" s="1005"/>
      <c r="G254" s="1006"/>
      <c r="H254" s="1007"/>
      <c r="I254" s="997"/>
      <c r="J254" s="880"/>
      <c r="K254" s="881"/>
      <c r="L254" s="881"/>
      <c r="M254" s="881"/>
      <c r="N254" s="881"/>
      <c r="O254" s="998"/>
      <c r="P254" s="998"/>
      <c r="Q254" s="868"/>
      <c r="R254" s="868"/>
      <c r="S254" s="868"/>
      <c r="T254" s="868"/>
      <c r="U254" s="868"/>
      <c r="V254" s="868"/>
      <c r="W254" s="868"/>
      <c r="X254" s="868"/>
      <c r="Y254" s="868"/>
      <c r="Z254" s="868"/>
    </row>
    <row r="255" spans="1:26" ht="18.75" hidden="1">
      <c r="A255" s="1002"/>
      <c r="B255" s="1003"/>
      <c r="C255" s="1003"/>
      <c r="D255" s="1009" t="s">
        <v>117</v>
      </c>
      <c r="E255" s="1010"/>
      <c r="F255" s="1010"/>
      <c r="G255" s="1011"/>
      <c r="H255" s="762" t="s">
        <v>35</v>
      </c>
      <c r="I255" s="880" t="str">
        <f ca="1">IFERROR(__xludf.DUMMYFUNCTION("IMPORTRANGE(""https://docs.google.com/spreadsheets/d/1QqKyyYR6Q21VydFLVH3TRQUabQu_ym0Zz7PgGX0-kHA/edit?usp=sharing"",""แผน!BF80"")"),"")</f>
        <v/>
      </c>
      <c r="J255" s="1012">
        <v>0</v>
      </c>
      <c r="K255" s="881" t="e">
        <f ca="1">IF(I255&gt;0,J255*100/I255,0)</f>
        <v>#VALUE!</v>
      </c>
      <c r="L255" s="881"/>
      <c r="M255" s="881"/>
      <c r="N255" s="881"/>
      <c r="O255" s="881"/>
      <c r="P255" s="881"/>
      <c r="Q255" s="868"/>
      <c r="R255" s="868"/>
      <c r="S255" s="868"/>
      <c r="T255" s="868"/>
      <c r="U255" s="868"/>
      <c r="V255" s="868"/>
      <c r="W255" s="868"/>
      <c r="X255" s="868"/>
      <c r="Y255" s="868"/>
      <c r="Z255" s="868"/>
    </row>
    <row r="256" spans="1:26" ht="18.75" hidden="1">
      <c r="A256" s="1002"/>
      <c r="B256" s="1003"/>
      <c r="C256" s="1003"/>
      <c r="D256" s="1131" t="s">
        <v>43</v>
      </c>
      <c r="E256" s="1010"/>
      <c r="F256" s="1010"/>
      <c r="G256" s="1011"/>
      <c r="H256" s="762"/>
      <c r="I256" s="880"/>
      <c r="J256" s="880"/>
      <c r="K256" s="881"/>
      <c r="L256" s="881"/>
      <c r="M256" s="881"/>
      <c r="N256" s="881"/>
      <c r="O256" s="998"/>
      <c r="P256" s="998"/>
      <c r="Q256" s="868"/>
      <c r="R256" s="868"/>
      <c r="S256" s="868"/>
      <c r="T256" s="868"/>
      <c r="U256" s="868"/>
      <c r="V256" s="868"/>
      <c r="W256" s="868"/>
      <c r="X256" s="868"/>
      <c r="Y256" s="868"/>
      <c r="Z256" s="868"/>
    </row>
    <row r="257" spans="1:26" ht="18.75" hidden="1">
      <c r="A257" s="1002"/>
      <c r="B257" s="1003"/>
      <c r="C257" s="1003"/>
      <c r="D257" s="1003"/>
      <c r="E257" s="1008" t="s">
        <v>118</v>
      </c>
      <c r="F257" s="1010"/>
      <c r="G257" s="1011"/>
      <c r="H257" s="762" t="s">
        <v>35</v>
      </c>
      <c r="I257" s="880"/>
      <c r="J257" s="1012">
        <v>0</v>
      </c>
      <c r="K257" s="881">
        <f t="shared" ref="K257:K258" si="114">IF(I257&gt;0,J257*100/I257,0)</f>
        <v>0</v>
      </c>
      <c r="L257" s="881"/>
      <c r="M257" s="881"/>
      <c r="N257" s="881"/>
      <c r="O257" s="881"/>
      <c r="P257" s="881"/>
      <c r="Q257" s="868"/>
      <c r="R257" s="868"/>
      <c r="S257" s="868"/>
      <c r="T257" s="868"/>
      <c r="U257" s="868"/>
      <c r="V257" s="868"/>
      <c r="W257" s="868"/>
      <c r="X257" s="868"/>
      <c r="Y257" s="868"/>
      <c r="Z257" s="868"/>
    </row>
    <row r="258" spans="1:26" ht="18.75" hidden="1">
      <c r="A258" s="1002"/>
      <c r="B258" s="1003"/>
      <c r="C258" s="1003"/>
      <c r="D258" s="1003"/>
      <c r="E258" s="1008" t="s">
        <v>119</v>
      </c>
      <c r="F258" s="1010"/>
      <c r="G258" s="1011"/>
      <c r="H258" s="762" t="s">
        <v>66</v>
      </c>
      <c r="I258" s="880"/>
      <c r="J258" s="1012">
        <v>0</v>
      </c>
      <c r="K258" s="881">
        <f t="shared" si="114"/>
        <v>0</v>
      </c>
      <c r="L258" s="881"/>
      <c r="M258" s="881"/>
      <c r="N258" s="881"/>
      <c r="O258" s="881"/>
      <c r="P258" s="881"/>
      <c r="Q258" s="868"/>
      <c r="R258" s="868"/>
      <c r="S258" s="868"/>
      <c r="T258" s="868"/>
      <c r="U258" s="868"/>
      <c r="V258" s="868"/>
      <c r="W258" s="868"/>
      <c r="X258" s="868"/>
      <c r="Y258" s="868"/>
      <c r="Z258" s="868"/>
    </row>
    <row r="259" spans="1:26" ht="19.5">
      <c r="A259" s="1051" t="s">
        <v>122</v>
      </c>
      <c r="B259" s="1052"/>
      <c r="C259" s="1052"/>
      <c r="D259" s="1053"/>
      <c r="E259" s="1053"/>
      <c r="F259" s="1053"/>
      <c r="G259" s="1054"/>
      <c r="H259" s="1055"/>
      <c r="I259" s="1056"/>
      <c r="J259" s="1056"/>
      <c r="K259" s="1057"/>
      <c r="L259" s="1057"/>
      <c r="M259" s="1057"/>
      <c r="N259" s="1057"/>
      <c r="O259" s="1057"/>
      <c r="P259" s="1057"/>
    </row>
    <row r="260" spans="1:26" ht="19.5">
      <c r="A260" s="1058"/>
      <c r="B260" s="1059" t="s">
        <v>123</v>
      </c>
      <c r="C260" s="1060"/>
      <c r="D260" s="1005"/>
      <c r="E260" s="1005"/>
      <c r="F260" s="1005"/>
      <c r="G260" s="1006"/>
      <c r="H260" s="252" t="s">
        <v>35</v>
      </c>
      <c r="I260" s="1075">
        <f t="shared" ref="I260:J260" ca="1" si="115">I271</f>
        <v>20</v>
      </c>
      <c r="J260" s="1075">
        <f t="shared" si="115"/>
        <v>0</v>
      </c>
      <c r="K260" s="1076">
        <f ca="1">IF(I260&gt;0,J260*100/I260,0)</f>
        <v>0</v>
      </c>
      <c r="L260" s="1062"/>
      <c r="M260" s="1062"/>
      <c r="N260" s="1062"/>
      <c r="O260" s="1062"/>
      <c r="P260" s="1062"/>
    </row>
    <row r="261" spans="1:26" ht="19.5">
      <c r="A261" s="985"/>
      <c r="B261" s="986"/>
      <c r="C261" s="987" t="s">
        <v>16</v>
      </c>
      <c r="D261" s="988" t="s">
        <v>17</v>
      </c>
      <c r="E261" s="986"/>
      <c r="F261" s="986"/>
      <c r="G261" s="989"/>
      <c r="H261" s="152" t="s">
        <v>12</v>
      </c>
      <c r="I261" s="990"/>
      <c r="J261" s="990"/>
      <c r="K261" s="991"/>
      <c r="L261" s="992">
        <f t="shared" ref="L261:N261" ca="1" si="116">L262+L263</f>
        <v>25000</v>
      </c>
      <c r="M261" s="992">
        <f t="shared" ca="1" si="116"/>
        <v>0</v>
      </c>
      <c r="N261" s="992">
        <f t="shared" ca="1" si="116"/>
        <v>0</v>
      </c>
      <c r="O261" s="992">
        <f t="shared" ref="O261:O269" ca="1" si="117">IF(L261&gt;0,N261*100/L261,0)</f>
        <v>0</v>
      </c>
      <c r="P261" s="992">
        <f t="shared" ref="P261:P269" ca="1" si="118">IF(M261&gt;0,N261*100/M261,0)</f>
        <v>0</v>
      </c>
      <c r="Q261" s="868"/>
      <c r="R261" s="868"/>
      <c r="S261" s="868"/>
      <c r="T261" s="868"/>
      <c r="U261" s="868"/>
      <c r="V261" s="868"/>
      <c r="W261" s="868"/>
      <c r="X261" s="868"/>
      <c r="Y261" s="868"/>
      <c r="Z261" s="868"/>
    </row>
    <row r="262" spans="1:26" ht="18.75" hidden="1">
      <c r="A262" s="993"/>
      <c r="B262" s="883"/>
      <c r="C262" s="883"/>
      <c r="D262" s="883"/>
      <c r="E262" s="884" t="s">
        <v>18</v>
      </c>
      <c r="F262" s="883"/>
      <c r="G262" s="994"/>
      <c r="H262" s="158" t="s">
        <v>12</v>
      </c>
      <c r="I262" s="886"/>
      <c r="J262" s="886"/>
      <c r="K262" s="887"/>
      <c r="L262" s="887">
        <f t="shared" ref="L262:N263" si="119">L265+L268</f>
        <v>0</v>
      </c>
      <c r="M262" s="887">
        <f t="shared" si="119"/>
        <v>0</v>
      </c>
      <c r="N262" s="887">
        <f t="shared" si="119"/>
        <v>0</v>
      </c>
      <c r="O262" s="887">
        <f t="shared" si="117"/>
        <v>0</v>
      </c>
      <c r="P262" s="887">
        <f t="shared" si="118"/>
        <v>0</v>
      </c>
      <c r="Q262" s="875"/>
      <c r="R262" s="875"/>
      <c r="S262" s="875"/>
      <c r="T262" s="875"/>
      <c r="U262" s="875"/>
      <c r="V262" s="875"/>
      <c r="W262" s="875"/>
      <c r="X262" s="875"/>
      <c r="Y262" s="875"/>
      <c r="Z262" s="875"/>
    </row>
    <row r="263" spans="1:26" ht="18.75" hidden="1">
      <c r="A263" s="993"/>
      <c r="B263" s="883"/>
      <c r="C263" s="883"/>
      <c r="D263" s="883"/>
      <c r="E263" s="884" t="s">
        <v>19</v>
      </c>
      <c r="F263" s="883"/>
      <c r="G263" s="994"/>
      <c r="H263" s="158" t="s">
        <v>12</v>
      </c>
      <c r="I263" s="886"/>
      <c r="J263" s="886"/>
      <c r="K263" s="887"/>
      <c r="L263" s="887">
        <f t="shared" ca="1" si="119"/>
        <v>25000</v>
      </c>
      <c r="M263" s="887">
        <f t="shared" ca="1" si="119"/>
        <v>0</v>
      </c>
      <c r="N263" s="887">
        <f t="shared" ca="1" si="119"/>
        <v>0</v>
      </c>
      <c r="O263" s="887">
        <f t="shared" ca="1" si="117"/>
        <v>0</v>
      </c>
      <c r="P263" s="887">
        <f t="shared" ca="1" si="118"/>
        <v>0</v>
      </c>
      <c r="Q263" s="875"/>
      <c r="R263" s="875"/>
      <c r="S263" s="875"/>
      <c r="T263" s="875"/>
      <c r="U263" s="875"/>
      <c r="V263" s="875"/>
      <c r="W263" s="875"/>
      <c r="X263" s="875"/>
      <c r="Y263" s="875"/>
      <c r="Z263" s="875"/>
    </row>
    <row r="264" spans="1:26" ht="18.75">
      <c r="A264" s="995"/>
      <c r="B264" s="877"/>
      <c r="C264" s="996"/>
      <c r="D264" s="878" t="s">
        <v>20</v>
      </c>
      <c r="E264" s="877"/>
      <c r="F264" s="877"/>
      <c r="G264" s="879"/>
      <c r="H264" s="161" t="s">
        <v>12</v>
      </c>
      <c r="I264" s="997"/>
      <c r="J264" s="997"/>
      <c r="K264" s="998"/>
      <c r="L264" s="881">
        <f t="shared" ref="L264:N264" ca="1" si="120">L265+L266</f>
        <v>25000</v>
      </c>
      <c r="M264" s="881">
        <f t="shared" ca="1" si="120"/>
        <v>0</v>
      </c>
      <c r="N264" s="881">
        <f t="shared" ca="1" si="120"/>
        <v>0</v>
      </c>
      <c r="O264" s="881">
        <f t="shared" ca="1" si="117"/>
        <v>0</v>
      </c>
      <c r="P264" s="881">
        <f t="shared" ca="1" si="118"/>
        <v>0</v>
      </c>
      <c r="Q264" s="868"/>
      <c r="R264" s="868"/>
      <c r="S264" s="868"/>
      <c r="T264" s="868"/>
      <c r="U264" s="868"/>
      <c r="V264" s="868"/>
      <c r="W264" s="868"/>
      <c r="X264" s="868"/>
      <c r="Y264" s="868"/>
      <c r="Z264" s="868"/>
    </row>
    <row r="265" spans="1:26" ht="19.5" hidden="1">
      <c r="A265" s="993"/>
      <c r="B265" s="883"/>
      <c r="C265" s="999"/>
      <c r="D265" s="883"/>
      <c r="E265" s="884" t="s">
        <v>36</v>
      </c>
      <c r="F265" s="883"/>
      <c r="G265" s="994"/>
      <c r="H265" s="165" t="s">
        <v>12</v>
      </c>
      <c r="I265" s="1000"/>
      <c r="J265" s="1000"/>
      <c r="K265" s="1001"/>
      <c r="L265" s="887">
        <v>0</v>
      </c>
      <c r="M265" s="887">
        <v>0</v>
      </c>
      <c r="N265" s="887">
        <v>0</v>
      </c>
      <c r="O265" s="887">
        <f t="shared" si="117"/>
        <v>0</v>
      </c>
      <c r="P265" s="887">
        <f t="shared" si="118"/>
        <v>0</v>
      </c>
      <c r="Q265" s="875"/>
      <c r="R265" s="875"/>
      <c r="S265" s="875"/>
      <c r="T265" s="875"/>
      <c r="U265" s="875"/>
      <c r="V265" s="875"/>
      <c r="W265" s="875"/>
      <c r="X265" s="875"/>
      <c r="Y265" s="875"/>
      <c r="Z265" s="875"/>
    </row>
    <row r="266" spans="1:26" ht="19.5" hidden="1">
      <c r="A266" s="993"/>
      <c r="B266" s="883"/>
      <c r="C266" s="999"/>
      <c r="D266" s="883"/>
      <c r="E266" s="884" t="s">
        <v>37</v>
      </c>
      <c r="F266" s="883"/>
      <c r="G266" s="994"/>
      <c r="H266" s="165" t="s">
        <v>12</v>
      </c>
      <c r="I266" s="1000"/>
      <c r="J266" s="1000"/>
      <c r="K266" s="1001"/>
      <c r="L266" s="887">
        <f ca="1">IFERROR(__xludf.DUMMYFUNCTION("IMPORTRANGE(""https://docs.google.com/spreadsheets/d/1MeEWN-I1oV_STSDYn1IFDPWt_1FKiwhDph83XaGc0o0/edit?usp=sharing"",""งบพรบ!CY80"")"),25000)</f>
        <v>25000</v>
      </c>
      <c r="M266" s="887">
        <f ca="1">IFERROR(__xludf.DUMMYFUNCTION("IMPORTRANGE(""https://docs.google.com/spreadsheets/d/1MeEWN-I1oV_STSDYn1IFDPWt_1FKiwhDph83XaGc0o0/edit?usp=sharing"",""งบพรบ!DD80"")"),0)</f>
        <v>0</v>
      </c>
      <c r="N266" s="887">
        <f ca="1">IFERROR(__xludf.DUMMYFUNCTION("IMPORTRANGE(""https://docs.google.com/spreadsheets/d/1MeEWN-I1oV_STSDYn1IFDPWt_1FKiwhDph83XaGc0o0/edit?usp=sharing"",""งบพรบ!DF80"")"),0)</f>
        <v>0</v>
      </c>
      <c r="O266" s="887">
        <f t="shared" ca="1" si="117"/>
        <v>0</v>
      </c>
      <c r="P266" s="887">
        <f t="shared" ca="1" si="118"/>
        <v>0</v>
      </c>
      <c r="Q266" s="875"/>
      <c r="R266" s="875"/>
      <c r="S266" s="875"/>
      <c r="T266" s="875"/>
      <c r="U266" s="875"/>
      <c r="V266" s="875"/>
      <c r="W266" s="875"/>
      <c r="X266" s="875"/>
      <c r="Y266" s="875"/>
      <c r="Z266" s="875"/>
    </row>
    <row r="267" spans="1:26" ht="18.75">
      <c r="A267" s="995"/>
      <c r="B267" s="877"/>
      <c r="C267" s="996"/>
      <c r="D267" s="878" t="s">
        <v>21</v>
      </c>
      <c r="E267" s="877"/>
      <c r="F267" s="877"/>
      <c r="G267" s="879"/>
      <c r="H267" s="168" t="s">
        <v>12</v>
      </c>
      <c r="I267" s="997"/>
      <c r="J267" s="997"/>
      <c r="K267" s="998"/>
      <c r="L267" s="881">
        <f t="shared" ref="L267:N267" ca="1" si="121">L268+L269</f>
        <v>0</v>
      </c>
      <c r="M267" s="881">
        <f t="shared" ca="1" si="121"/>
        <v>0</v>
      </c>
      <c r="N267" s="881">
        <f t="shared" ca="1" si="121"/>
        <v>0</v>
      </c>
      <c r="O267" s="881">
        <f t="shared" ca="1" si="117"/>
        <v>0</v>
      </c>
      <c r="P267" s="881">
        <f t="shared" ca="1" si="118"/>
        <v>0</v>
      </c>
      <c r="Q267" s="868"/>
      <c r="R267" s="868"/>
      <c r="S267" s="868"/>
      <c r="T267" s="868"/>
      <c r="U267" s="868"/>
      <c r="V267" s="868"/>
      <c r="W267" s="868"/>
      <c r="X267" s="868"/>
      <c r="Y267" s="868"/>
      <c r="Z267" s="868"/>
    </row>
    <row r="268" spans="1:26" ht="19.5" hidden="1">
      <c r="A268" s="993"/>
      <c r="B268" s="883"/>
      <c r="C268" s="999"/>
      <c r="D268" s="883"/>
      <c r="E268" s="884" t="s">
        <v>18</v>
      </c>
      <c r="F268" s="883"/>
      <c r="G268" s="994"/>
      <c r="H268" s="165" t="s">
        <v>12</v>
      </c>
      <c r="I268" s="1000"/>
      <c r="J268" s="1000"/>
      <c r="K268" s="1001"/>
      <c r="L268" s="887">
        <v>0</v>
      </c>
      <c r="M268" s="887">
        <v>0</v>
      </c>
      <c r="N268" s="887">
        <v>0</v>
      </c>
      <c r="O268" s="887">
        <f t="shared" si="117"/>
        <v>0</v>
      </c>
      <c r="P268" s="887">
        <f t="shared" si="118"/>
        <v>0</v>
      </c>
      <c r="Q268" s="875"/>
      <c r="R268" s="875"/>
      <c r="S268" s="875"/>
      <c r="T268" s="875"/>
      <c r="U268" s="875"/>
      <c r="V268" s="875"/>
      <c r="W268" s="875"/>
      <c r="X268" s="875"/>
      <c r="Y268" s="875"/>
      <c r="Z268" s="875"/>
    </row>
    <row r="269" spans="1:26" ht="19.5" hidden="1">
      <c r="A269" s="993"/>
      <c r="B269" s="883"/>
      <c r="C269" s="999"/>
      <c r="D269" s="883"/>
      <c r="E269" s="884" t="s">
        <v>19</v>
      </c>
      <c r="F269" s="883"/>
      <c r="G269" s="994"/>
      <c r="H269" s="169" t="s">
        <v>12</v>
      </c>
      <c r="I269" s="1000"/>
      <c r="J269" s="1000"/>
      <c r="K269" s="1001"/>
      <c r="L269" s="887">
        <f ca="1">IFERROR(__xludf.DUMMYFUNCTION("IMPORTRANGE(""https://docs.google.com/spreadsheets/d/1MeEWN-I1oV_STSDYn1IFDPWt_1FKiwhDph83XaGc0o0/edit?usp=sharing"",""งบพรบ!DB80"")"),0)</f>
        <v>0</v>
      </c>
      <c r="M269" s="887">
        <f ca="1">IFERROR(__xludf.DUMMYFUNCTION("IMPORTRANGE(""https://docs.google.com/spreadsheets/d/1MeEWN-I1oV_STSDYn1IFDPWt_1FKiwhDph83XaGc0o0/edit?usp=sharing"",""งบพรบ!DE80"")"),0)</f>
        <v>0</v>
      </c>
      <c r="N269" s="887">
        <f ca="1">IFERROR(__xludf.DUMMYFUNCTION("IMPORTRANGE(""https://docs.google.com/spreadsheets/d/1MeEWN-I1oV_STSDYn1IFDPWt_1FKiwhDph83XaGc0o0/edit?usp=sharing"",""งบพรบ!DG80"")"),0)</f>
        <v>0</v>
      </c>
      <c r="O269" s="887">
        <f t="shared" ca="1" si="117"/>
        <v>0</v>
      </c>
      <c r="P269" s="887">
        <f t="shared" ca="1" si="118"/>
        <v>0</v>
      </c>
      <c r="Q269" s="875"/>
      <c r="R269" s="875"/>
      <c r="S269" s="875"/>
      <c r="T269" s="875"/>
      <c r="U269" s="875"/>
      <c r="V269" s="875"/>
      <c r="W269" s="875"/>
      <c r="X269" s="875"/>
      <c r="Y269" s="875"/>
      <c r="Z269" s="875"/>
    </row>
    <row r="270" spans="1:26" ht="19.5">
      <c r="A270" s="1002"/>
      <c r="B270" s="1003"/>
      <c r="C270" s="996" t="s">
        <v>16</v>
      </c>
      <c r="D270" s="1004" t="s">
        <v>38</v>
      </c>
      <c r="E270" s="1005"/>
      <c r="F270" s="1005"/>
      <c r="G270" s="1006"/>
      <c r="H270" s="1007"/>
      <c r="I270" s="997"/>
      <c r="J270" s="997"/>
      <c r="K270" s="998"/>
      <c r="L270" s="998"/>
      <c r="M270" s="998"/>
      <c r="N270" s="998"/>
      <c r="O270" s="998"/>
      <c r="P270" s="998"/>
    </row>
    <row r="271" spans="1:26" ht="18.75">
      <c r="A271" s="1002"/>
      <c r="B271" s="1003"/>
      <c r="C271" s="1003"/>
      <c r="D271" s="1132" t="s">
        <v>124</v>
      </c>
      <c r="E271" s="1010"/>
      <c r="F271" s="1074"/>
      <c r="G271" s="1011"/>
      <c r="H271" s="377" t="s">
        <v>35</v>
      </c>
      <c r="I271" s="880">
        <f ca="1">IFERROR(__xludf.DUMMYFUNCTION("IMPORTRANGE(""https://docs.google.com/spreadsheets/d/1QqKyyYR6Q21VydFLVH3TRQUabQu_ym0Zz7PgGX0-kHA/edit?usp=sharing"",""แผน!EA80"")"),20)</f>
        <v>20</v>
      </c>
      <c r="J271" s="1012">
        <v>0</v>
      </c>
      <c r="K271" s="998">
        <f ca="1">IF(I271&gt;0,J271*100/I271,0)</f>
        <v>0</v>
      </c>
      <c r="L271" s="998"/>
      <c r="M271" s="998"/>
      <c r="N271" s="998"/>
      <c r="O271" s="998"/>
      <c r="P271" s="998"/>
    </row>
    <row r="272" spans="1:26" ht="18.75" hidden="1">
      <c r="A272" s="1133"/>
      <c r="B272" s="1134"/>
      <c r="C272" s="1134"/>
      <c r="D272" s="1135" t="s">
        <v>125</v>
      </c>
      <c r="E272" s="1136"/>
      <c r="F272" s="1136"/>
      <c r="G272" s="1137"/>
      <c r="H272" s="50" t="s">
        <v>35</v>
      </c>
      <c r="I272" s="1138">
        <v>0</v>
      </c>
      <c r="J272" s="1138">
        <v>0</v>
      </c>
      <c r="K272" s="1139">
        <v>0</v>
      </c>
      <c r="L272" s="1139"/>
      <c r="M272" s="1139"/>
      <c r="N272" s="1139"/>
      <c r="O272" s="1139"/>
      <c r="P272" s="1139"/>
    </row>
    <row r="273" spans="1:26" ht="19.5" hidden="1">
      <c r="A273" s="1140" t="s">
        <v>126</v>
      </c>
      <c r="B273" s="1141"/>
      <c r="C273" s="1141"/>
      <c r="D273" s="1141"/>
      <c r="E273" s="1142"/>
      <c r="F273" s="1142"/>
      <c r="G273" s="1143"/>
      <c r="H273" s="1144"/>
      <c r="I273" s="1145"/>
      <c r="J273" s="1145"/>
      <c r="K273" s="1146"/>
      <c r="L273" s="1146"/>
      <c r="M273" s="1146"/>
      <c r="N273" s="1146"/>
      <c r="O273" s="1146"/>
      <c r="P273" s="1146"/>
    </row>
    <row r="274" spans="1:26" ht="19.5" hidden="1">
      <c r="A274" s="1147" t="s">
        <v>127</v>
      </c>
      <c r="B274" s="1148"/>
      <c r="C274" s="1149"/>
      <c r="D274" s="1148"/>
      <c r="E274" s="1148"/>
      <c r="F274" s="1148"/>
      <c r="G274" s="1148"/>
      <c r="H274" s="1150"/>
      <c r="I274" s="1151"/>
      <c r="J274" s="1152"/>
      <c r="K274" s="1153"/>
      <c r="L274" s="1153"/>
      <c r="M274" s="1153"/>
      <c r="N274" s="1153"/>
      <c r="O274" s="1153"/>
      <c r="P274" s="1153"/>
    </row>
    <row r="275" spans="1:26" ht="19.5" hidden="1">
      <c r="A275" s="1154"/>
      <c r="B275" s="1155" t="s">
        <v>128</v>
      </c>
      <c r="C275" s="1156"/>
      <c r="D275" s="1157"/>
      <c r="E275" s="1156"/>
      <c r="F275" s="1156"/>
      <c r="G275" s="1158"/>
      <c r="H275" s="405" t="s">
        <v>35</v>
      </c>
      <c r="I275" s="1159">
        <f t="shared" ref="I275:J275" ca="1" si="122">I288</f>
        <v>0</v>
      </c>
      <c r="J275" s="1159">
        <f t="shared" ca="1" si="122"/>
        <v>0</v>
      </c>
      <c r="K275" s="1160">
        <f t="shared" ref="K275:K276" ca="1" si="123">IF(I275&gt;0,J275*100/I275,0)</f>
        <v>0</v>
      </c>
      <c r="L275" s="1161"/>
      <c r="M275" s="1161"/>
      <c r="N275" s="1161"/>
      <c r="O275" s="1161"/>
      <c r="P275" s="1161"/>
    </row>
    <row r="276" spans="1:26" ht="19.5" hidden="1">
      <c r="A276" s="1154"/>
      <c r="B276" s="1155"/>
      <c r="C276" s="1156"/>
      <c r="D276" s="1157"/>
      <c r="E276" s="1156"/>
      <c r="F276" s="1156"/>
      <c r="G276" s="1158"/>
      <c r="H276" s="405" t="s">
        <v>46</v>
      </c>
      <c r="I276" s="1493">
        <f t="shared" ref="I276:J276" ca="1" si="124">I287</f>
        <v>0</v>
      </c>
      <c r="J276" s="1493">
        <f t="shared" si="124"/>
        <v>0</v>
      </c>
      <c r="K276" s="1161">
        <f t="shared" ca="1" si="123"/>
        <v>0</v>
      </c>
      <c r="L276" s="1161"/>
      <c r="M276" s="1161"/>
      <c r="N276" s="1161"/>
      <c r="O276" s="1161"/>
      <c r="P276" s="1161"/>
    </row>
    <row r="277" spans="1:26" ht="19.5" hidden="1">
      <c r="A277" s="985"/>
      <c r="B277" s="986"/>
      <c r="C277" s="987" t="s">
        <v>16</v>
      </c>
      <c r="D277" s="988" t="s">
        <v>17</v>
      </c>
      <c r="E277" s="986"/>
      <c r="F277" s="986"/>
      <c r="G277" s="989"/>
      <c r="H277" s="152" t="s">
        <v>12</v>
      </c>
      <c r="I277" s="990"/>
      <c r="J277" s="990"/>
      <c r="K277" s="991"/>
      <c r="L277" s="992">
        <f t="shared" ref="L277:N277" ca="1" si="125">L278+L279</f>
        <v>0</v>
      </c>
      <c r="M277" s="992">
        <f t="shared" ca="1" si="125"/>
        <v>0</v>
      </c>
      <c r="N277" s="992">
        <f t="shared" ca="1" si="125"/>
        <v>0</v>
      </c>
      <c r="O277" s="992">
        <f t="shared" ref="O277:O285" ca="1" si="126">IF(L277&gt;0,N277*100/L277,0)</f>
        <v>0</v>
      </c>
      <c r="P277" s="992">
        <f t="shared" ref="P277:P285" ca="1" si="127">IF(M277&gt;0,N277*100/M277,0)</f>
        <v>0</v>
      </c>
      <c r="Q277" s="868"/>
      <c r="R277" s="868"/>
      <c r="S277" s="868"/>
      <c r="T277" s="868"/>
      <c r="U277" s="868"/>
      <c r="V277" s="868"/>
      <c r="W277" s="868"/>
      <c r="X277" s="868"/>
      <c r="Y277" s="868"/>
      <c r="Z277" s="868"/>
    </row>
    <row r="278" spans="1:26" ht="18.75" hidden="1">
      <c r="A278" s="993"/>
      <c r="B278" s="883"/>
      <c r="C278" s="883"/>
      <c r="D278" s="883"/>
      <c r="E278" s="884" t="s">
        <v>18</v>
      </c>
      <c r="F278" s="883"/>
      <c r="G278" s="994"/>
      <c r="H278" s="158" t="s">
        <v>12</v>
      </c>
      <c r="I278" s="886"/>
      <c r="J278" s="886"/>
      <c r="K278" s="887"/>
      <c r="L278" s="887">
        <f t="shared" ref="L278:N279" si="128">L281+L284</f>
        <v>0</v>
      </c>
      <c r="M278" s="887">
        <f t="shared" si="128"/>
        <v>0</v>
      </c>
      <c r="N278" s="887">
        <f t="shared" si="128"/>
        <v>0</v>
      </c>
      <c r="O278" s="887">
        <f t="shared" si="126"/>
        <v>0</v>
      </c>
      <c r="P278" s="887">
        <f t="shared" si="127"/>
        <v>0</v>
      </c>
      <c r="Q278" s="875"/>
      <c r="R278" s="875"/>
      <c r="S278" s="875"/>
      <c r="T278" s="875"/>
      <c r="U278" s="875"/>
      <c r="V278" s="875"/>
      <c r="W278" s="875"/>
      <c r="X278" s="875"/>
      <c r="Y278" s="875"/>
      <c r="Z278" s="875"/>
    </row>
    <row r="279" spans="1:26" ht="18.75" hidden="1">
      <c r="A279" s="993"/>
      <c r="B279" s="883"/>
      <c r="C279" s="883"/>
      <c r="D279" s="883"/>
      <c r="E279" s="884" t="s">
        <v>19</v>
      </c>
      <c r="F279" s="883"/>
      <c r="G279" s="994"/>
      <c r="H279" s="158" t="s">
        <v>12</v>
      </c>
      <c r="I279" s="886"/>
      <c r="J279" s="886"/>
      <c r="K279" s="887"/>
      <c r="L279" s="887">
        <f t="shared" ca="1" si="128"/>
        <v>0</v>
      </c>
      <c r="M279" s="887">
        <f t="shared" ca="1" si="128"/>
        <v>0</v>
      </c>
      <c r="N279" s="887">
        <f t="shared" ca="1" si="128"/>
        <v>0</v>
      </c>
      <c r="O279" s="887">
        <f t="shared" ca="1" si="126"/>
        <v>0</v>
      </c>
      <c r="P279" s="887">
        <f t="shared" ca="1" si="127"/>
        <v>0</v>
      </c>
      <c r="Q279" s="875"/>
      <c r="R279" s="875"/>
      <c r="S279" s="875"/>
      <c r="T279" s="875"/>
      <c r="U279" s="875"/>
      <c r="V279" s="875"/>
      <c r="W279" s="875"/>
      <c r="X279" s="875"/>
      <c r="Y279" s="875"/>
      <c r="Z279" s="875"/>
    </row>
    <row r="280" spans="1:26" ht="18.75" hidden="1">
      <c r="A280" s="995"/>
      <c r="B280" s="877"/>
      <c r="C280" s="996"/>
      <c r="D280" s="878" t="s">
        <v>20</v>
      </c>
      <c r="E280" s="877"/>
      <c r="F280" s="877"/>
      <c r="G280" s="879"/>
      <c r="H280" s="161" t="s">
        <v>12</v>
      </c>
      <c r="I280" s="997"/>
      <c r="J280" s="997"/>
      <c r="K280" s="998"/>
      <c r="L280" s="881">
        <f t="shared" ref="L280:N280" ca="1" si="129">L281+L282</f>
        <v>0</v>
      </c>
      <c r="M280" s="881">
        <f t="shared" ca="1" si="129"/>
        <v>0</v>
      </c>
      <c r="N280" s="881">
        <f t="shared" ca="1" si="129"/>
        <v>0</v>
      </c>
      <c r="O280" s="881">
        <f t="shared" ca="1" si="126"/>
        <v>0</v>
      </c>
      <c r="P280" s="881">
        <f t="shared" ca="1" si="127"/>
        <v>0</v>
      </c>
      <c r="Q280" s="868"/>
      <c r="R280" s="868"/>
      <c r="S280" s="868"/>
      <c r="T280" s="868"/>
      <c r="U280" s="868"/>
      <c r="V280" s="868"/>
      <c r="W280" s="868"/>
      <c r="X280" s="868"/>
      <c r="Y280" s="868"/>
      <c r="Z280" s="868"/>
    </row>
    <row r="281" spans="1:26" ht="19.5" hidden="1">
      <c r="A281" s="993"/>
      <c r="B281" s="883"/>
      <c r="C281" s="999"/>
      <c r="D281" s="883"/>
      <c r="E281" s="884" t="s">
        <v>36</v>
      </c>
      <c r="F281" s="883"/>
      <c r="G281" s="994"/>
      <c r="H281" s="165" t="s">
        <v>12</v>
      </c>
      <c r="I281" s="1000"/>
      <c r="J281" s="1000"/>
      <c r="K281" s="1001"/>
      <c r="L281" s="887">
        <v>0</v>
      </c>
      <c r="M281" s="887">
        <v>0</v>
      </c>
      <c r="N281" s="887">
        <v>0</v>
      </c>
      <c r="O281" s="887">
        <f t="shared" si="126"/>
        <v>0</v>
      </c>
      <c r="P281" s="887">
        <f t="shared" si="127"/>
        <v>0</v>
      </c>
      <c r="Q281" s="875"/>
      <c r="R281" s="875"/>
      <c r="S281" s="875"/>
      <c r="T281" s="875"/>
      <c r="U281" s="875"/>
      <c r="V281" s="875"/>
      <c r="W281" s="875"/>
      <c r="X281" s="875"/>
      <c r="Y281" s="875"/>
      <c r="Z281" s="875"/>
    </row>
    <row r="282" spans="1:26" ht="19.5" hidden="1">
      <c r="A282" s="993"/>
      <c r="B282" s="883"/>
      <c r="C282" s="999"/>
      <c r="D282" s="883"/>
      <c r="E282" s="884" t="s">
        <v>37</v>
      </c>
      <c r="F282" s="883"/>
      <c r="G282" s="994"/>
      <c r="H282" s="165" t="s">
        <v>12</v>
      </c>
      <c r="I282" s="1000"/>
      <c r="J282" s="1000"/>
      <c r="K282" s="1001"/>
      <c r="L282" s="887">
        <f ca="1">IFERROR(__xludf.DUMMYFUNCTION("IMPORTRANGE(""https://docs.google.com/spreadsheets/d/1MeEWN-I1oV_STSDYn1IFDPWt_1FKiwhDph83XaGc0o0/edit?usp=sharing"",""งบพรบ!DI80"")"),0)</f>
        <v>0</v>
      </c>
      <c r="M282" s="887">
        <f ca="1">IFERROR(__xludf.DUMMYFUNCTION("IMPORTRANGE(""https://docs.google.com/spreadsheets/d/1MeEWN-I1oV_STSDYn1IFDPWt_1FKiwhDph83XaGc0o0/edit?usp=sharing"",""งบพรบ!DN80"")"),0)</f>
        <v>0</v>
      </c>
      <c r="N282" s="887">
        <f ca="1">IFERROR(__xludf.DUMMYFUNCTION("IMPORTRANGE(""https://docs.google.com/spreadsheets/d/1MeEWN-I1oV_STSDYn1IFDPWt_1FKiwhDph83XaGc0o0/edit?usp=sharing"",""งบพรบ!DP80"")"),0)</f>
        <v>0</v>
      </c>
      <c r="O282" s="887">
        <f t="shared" ca="1" si="126"/>
        <v>0</v>
      </c>
      <c r="P282" s="887">
        <f t="shared" ca="1" si="127"/>
        <v>0</v>
      </c>
      <c r="Q282" s="875"/>
      <c r="R282" s="875"/>
      <c r="S282" s="875"/>
      <c r="T282" s="875"/>
      <c r="U282" s="875"/>
      <c r="V282" s="875"/>
      <c r="W282" s="875"/>
      <c r="X282" s="875"/>
      <c r="Y282" s="875"/>
      <c r="Z282" s="875"/>
    </row>
    <row r="283" spans="1:26" ht="18.75" hidden="1">
      <c r="A283" s="995"/>
      <c r="B283" s="877"/>
      <c r="C283" s="996"/>
      <c r="D283" s="878" t="s">
        <v>21</v>
      </c>
      <c r="E283" s="877"/>
      <c r="F283" s="877"/>
      <c r="G283" s="879"/>
      <c r="H283" s="168" t="s">
        <v>12</v>
      </c>
      <c r="I283" s="997"/>
      <c r="J283" s="997"/>
      <c r="K283" s="998"/>
      <c r="L283" s="881">
        <f t="shared" ref="L283:N283" ca="1" si="130">L284+L285</f>
        <v>0</v>
      </c>
      <c r="M283" s="881">
        <f t="shared" ca="1" si="130"/>
        <v>0</v>
      </c>
      <c r="N283" s="881">
        <f t="shared" ca="1" si="130"/>
        <v>0</v>
      </c>
      <c r="O283" s="881">
        <f t="shared" ca="1" si="126"/>
        <v>0</v>
      </c>
      <c r="P283" s="881">
        <f t="shared" ca="1" si="127"/>
        <v>0</v>
      </c>
      <c r="Q283" s="868"/>
      <c r="R283" s="868"/>
      <c r="S283" s="868"/>
      <c r="T283" s="868"/>
      <c r="U283" s="868"/>
      <c r="V283" s="868"/>
      <c r="W283" s="868"/>
      <c r="X283" s="868"/>
      <c r="Y283" s="868"/>
      <c r="Z283" s="868"/>
    </row>
    <row r="284" spans="1:26" ht="19.5" hidden="1">
      <c r="A284" s="993"/>
      <c r="B284" s="883"/>
      <c r="C284" s="999"/>
      <c r="D284" s="883"/>
      <c r="E284" s="884" t="s">
        <v>18</v>
      </c>
      <c r="F284" s="883"/>
      <c r="G284" s="994"/>
      <c r="H284" s="165" t="s">
        <v>12</v>
      </c>
      <c r="I284" s="1000"/>
      <c r="J284" s="1000"/>
      <c r="K284" s="1001"/>
      <c r="L284" s="887">
        <v>0</v>
      </c>
      <c r="M284" s="887">
        <v>0</v>
      </c>
      <c r="N284" s="887">
        <v>0</v>
      </c>
      <c r="O284" s="887">
        <f t="shared" si="126"/>
        <v>0</v>
      </c>
      <c r="P284" s="887">
        <f t="shared" si="127"/>
        <v>0</v>
      </c>
      <c r="Q284" s="875"/>
      <c r="R284" s="875"/>
      <c r="S284" s="875"/>
      <c r="T284" s="875"/>
      <c r="U284" s="875"/>
      <c r="V284" s="875"/>
      <c r="W284" s="875"/>
      <c r="X284" s="875"/>
      <c r="Y284" s="875"/>
      <c r="Z284" s="875"/>
    </row>
    <row r="285" spans="1:26" ht="19.5" hidden="1">
      <c r="A285" s="993"/>
      <c r="B285" s="883"/>
      <c r="C285" s="999"/>
      <c r="D285" s="883"/>
      <c r="E285" s="884" t="s">
        <v>19</v>
      </c>
      <c r="F285" s="883"/>
      <c r="G285" s="994"/>
      <c r="H285" s="169" t="s">
        <v>12</v>
      </c>
      <c r="I285" s="1000"/>
      <c r="J285" s="1000"/>
      <c r="K285" s="1001"/>
      <c r="L285" s="887">
        <f ca="1">IFERROR(__xludf.DUMMYFUNCTION("IMPORTRANGE(""https://docs.google.com/spreadsheets/d/1MeEWN-I1oV_STSDYn1IFDPWt_1FKiwhDph83XaGc0o0/edit?usp=sharing"",""งบพรบ!DL80"")"),0)</f>
        <v>0</v>
      </c>
      <c r="M285" s="887">
        <f ca="1">IFERROR(__xludf.DUMMYFUNCTION("IMPORTRANGE(""https://docs.google.com/spreadsheets/d/1MeEWN-I1oV_STSDYn1IFDPWt_1FKiwhDph83XaGc0o0/edit?usp=sharing"",""งบพรบ!DO80"")"),0)</f>
        <v>0</v>
      </c>
      <c r="N285" s="887">
        <f ca="1">IFERROR(__xludf.DUMMYFUNCTION("IMPORTRANGE(""https://docs.google.com/spreadsheets/d/1MeEWN-I1oV_STSDYn1IFDPWt_1FKiwhDph83XaGc0o0/edit?usp=sharing"",""งบพรบ!DQ80"")"),0)</f>
        <v>0</v>
      </c>
      <c r="O285" s="887">
        <f t="shared" ca="1" si="126"/>
        <v>0</v>
      </c>
      <c r="P285" s="887">
        <f t="shared" ca="1" si="127"/>
        <v>0</v>
      </c>
      <c r="Q285" s="875"/>
      <c r="R285" s="875"/>
      <c r="S285" s="875"/>
      <c r="T285" s="875"/>
      <c r="U285" s="875"/>
      <c r="V285" s="875"/>
      <c r="W285" s="875"/>
      <c r="X285" s="875"/>
      <c r="Y285" s="875"/>
      <c r="Z285" s="875"/>
    </row>
    <row r="286" spans="1:26" ht="19.5" hidden="1">
      <c r="A286" s="1002"/>
      <c r="B286" s="1003"/>
      <c r="C286" s="999" t="s">
        <v>16</v>
      </c>
      <c r="D286" s="1004" t="s">
        <v>38</v>
      </c>
      <c r="E286" s="1005"/>
      <c r="F286" s="1005"/>
      <c r="G286" s="1006"/>
      <c r="H286" s="1007"/>
      <c r="I286" s="997"/>
      <c r="J286" s="997"/>
      <c r="K286" s="998"/>
      <c r="L286" s="998"/>
      <c r="M286" s="998"/>
      <c r="N286" s="998"/>
      <c r="O286" s="998"/>
      <c r="P286" s="998"/>
    </row>
    <row r="287" spans="1:26" ht="18.75" hidden="1">
      <c r="A287" s="1002"/>
      <c r="B287" s="1003"/>
      <c r="C287" s="1003"/>
      <c r="D287" s="1014" t="s">
        <v>129</v>
      </c>
      <c r="E287" s="1003"/>
      <c r="F287" s="1010"/>
      <c r="G287" s="1011"/>
      <c r="H287" s="185" t="s">
        <v>46</v>
      </c>
      <c r="I287" s="880">
        <f ca="1">IFERROR(__xludf.DUMMYFUNCTION("IMPORTRANGE(""https://docs.google.com/spreadsheets/d/1QqKyyYR6Q21VydFLVH3TRQUabQu_ym0Zz7PgGX0-kHA/edit?usp=sharing"",""แผน!EC80"")"),0)</f>
        <v>0</v>
      </c>
      <c r="J287" s="880">
        <v>0</v>
      </c>
      <c r="K287" s="998">
        <f t="shared" ref="K287:K288" ca="1" si="131">IF(I287&gt;0,J287*100/I287,0)</f>
        <v>0</v>
      </c>
      <c r="L287" s="998"/>
      <c r="M287" s="998"/>
      <c r="N287" s="998"/>
      <c r="O287" s="998"/>
      <c r="P287" s="998"/>
    </row>
    <row r="288" spans="1:26" ht="19.5" hidden="1">
      <c r="A288" s="1002"/>
      <c r="B288" s="1003"/>
      <c r="C288" s="1003"/>
      <c r="D288" s="1014" t="s">
        <v>130</v>
      </c>
      <c r="E288" s="1003"/>
      <c r="F288" s="1010"/>
      <c r="G288" s="1011"/>
      <c r="H288" s="180" t="s">
        <v>35</v>
      </c>
      <c r="I288" s="1019">
        <f ca="1">IFERROR(__xludf.DUMMYFUNCTION("IMPORTRANGE(""https://docs.google.com/spreadsheets/d/1QqKyyYR6Q21VydFLVH3TRQUabQu_ym0Zz7PgGX0-kHA/edit?usp=sharing"",""แผน!EB80"")"),0)</f>
        <v>0</v>
      </c>
      <c r="J288" s="1019">
        <f ca="1">IF(AND(J291&gt;=I288,J294&gt;=I288),J294,0)</f>
        <v>0</v>
      </c>
      <c r="K288" s="1162">
        <f t="shared" ca="1" si="131"/>
        <v>0</v>
      </c>
      <c r="L288" s="998"/>
      <c r="M288" s="998"/>
      <c r="N288" s="998"/>
      <c r="O288" s="998"/>
      <c r="P288" s="998"/>
    </row>
    <row r="289" spans="1:26" ht="19.5" hidden="1">
      <c r="A289" s="1002"/>
      <c r="B289" s="1003"/>
      <c r="C289" s="1003"/>
      <c r="D289" s="1163"/>
      <c r="E289" s="1164" t="s">
        <v>131</v>
      </c>
      <c r="F289" s="1010"/>
      <c r="G289" s="1011"/>
      <c r="H289" s="762"/>
      <c r="I289" s="997"/>
      <c r="J289" s="880"/>
      <c r="K289" s="998"/>
      <c r="L289" s="998"/>
      <c r="M289" s="998"/>
      <c r="N289" s="998"/>
      <c r="O289" s="998"/>
      <c r="P289" s="998"/>
    </row>
    <row r="290" spans="1:26" ht="19.5" hidden="1">
      <c r="A290" s="1002"/>
      <c r="B290" s="1003"/>
      <c r="C290" s="1003"/>
      <c r="D290" s="1163"/>
      <c r="E290" s="1014" t="s">
        <v>132</v>
      </c>
      <c r="F290" s="1010"/>
      <c r="G290" s="1011"/>
      <c r="H290" s="762" t="s">
        <v>35</v>
      </c>
      <c r="I290" s="997">
        <f ca="1">IFERROR(__xludf.DUMMYFUNCTION("IMPORTRANGE(""https://docs.google.com/spreadsheets/d/1QqKyyYR6Q21VydFLVH3TRQUabQu_ym0Zz7PgGX0-kHA/edit?usp=sharing"",""แผน!EB80"")"),0)</f>
        <v>0</v>
      </c>
      <c r="J290" s="1012">
        <v>0</v>
      </c>
      <c r="K290" s="998">
        <f t="shared" ref="K290:K291" ca="1" si="132">IF(I290&gt;0,J290*100/I290,0)</f>
        <v>0</v>
      </c>
      <c r="L290" s="998"/>
      <c r="M290" s="998"/>
      <c r="N290" s="998"/>
      <c r="O290" s="998"/>
      <c r="P290" s="998"/>
    </row>
    <row r="291" spans="1:26" ht="19.5" hidden="1">
      <c r="A291" s="1002"/>
      <c r="B291" s="1003"/>
      <c r="C291" s="1003"/>
      <c r="D291" s="1010"/>
      <c r="E291" s="1014" t="s">
        <v>338</v>
      </c>
      <c r="F291" s="1010"/>
      <c r="G291" s="1011"/>
      <c r="H291" s="762" t="s">
        <v>35</v>
      </c>
      <c r="I291" s="997">
        <f ca="1">IFERROR(__xludf.DUMMYFUNCTION("IMPORTRANGE(""https://docs.google.com/spreadsheets/d/1QqKyyYR6Q21VydFLVH3TRQUabQu_ym0Zz7PgGX0-kHA/edit?usp=sharing"",""แผน!EB80"")"),0)</f>
        <v>0</v>
      </c>
      <c r="J291" s="1012">
        <v>0</v>
      </c>
      <c r="K291" s="998">
        <f t="shared" ca="1" si="132"/>
        <v>0</v>
      </c>
      <c r="L291" s="998"/>
      <c r="M291" s="998"/>
      <c r="N291" s="998"/>
      <c r="O291" s="998"/>
      <c r="P291" s="998"/>
    </row>
    <row r="292" spans="1:26" ht="19.5" hidden="1">
      <c r="A292" s="1165"/>
      <c r="B292" s="1166"/>
      <c r="C292" s="1166"/>
      <c r="D292" s="1167"/>
      <c r="E292" s="1168" t="s">
        <v>134</v>
      </c>
      <c r="F292" s="1088"/>
      <c r="G292" s="1089"/>
      <c r="H292" s="419"/>
      <c r="I292" s="1082"/>
      <c r="J292" s="990"/>
      <c r="K292" s="1083"/>
      <c r="L292" s="1083"/>
      <c r="M292" s="1083"/>
      <c r="N292" s="1083"/>
      <c r="O292" s="1083"/>
      <c r="P292" s="1083"/>
    </row>
    <row r="293" spans="1:26" ht="19.5" hidden="1">
      <c r="A293" s="1002"/>
      <c r="B293" s="1003"/>
      <c r="C293" s="1003"/>
      <c r="D293" s="1163"/>
      <c r="E293" s="1014" t="s">
        <v>132</v>
      </c>
      <c r="F293" s="1010"/>
      <c r="G293" s="1011"/>
      <c r="H293" s="762" t="s">
        <v>35</v>
      </c>
      <c r="I293" s="997">
        <f ca="1">IFERROR(__xludf.DUMMYFUNCTION("IMPORTRANGE(""https://docs.google.com/spreadsheets/d/1QqKyyYR6Q21VydFLVH3TRQUabQu_ym0Zz7PgGX0-kHA/edit?usp=sharing"",""แผน!EB80"")"),0)</f>
        <v>0</v>
      </c>
      <c r="J293" s="1012">
        <v>0</v>
      </c>
      <c r="K293" s="998">
        <f t="shared" ref="K293:K294" ca="1" si="133">IF(I293&gt;0,J293*100/I293,0)</f>
        <v>0</v>
      </c>
      <c r="L293" s="998"/>
      <c r="M293" s="998"/>
      <c r="N293" s="998"/>
      <c r="O293" s="998"/>
      <c r="P293" s="998"/>
    </row>
    <row r="294" spans="1:26" ht="19.5" hidden="1">
      <c r="A294" s="1133"/>
      <c r="B294" s="1134"/>
      <c r="C294" s="1134"/>
      <c r="D294" s="1136"/>
      <c r="E294" s="1169" t="s">
        <v>338</v>
      </c>
      <c r="F294" s="1136"/>
      <c r="G294" s="1137"/>
      <c r="H294" s="423" t="s">
        <v>35</v>
      </c>
      <c r="I294" s="1170">
        <f ca="1">IFERROR(__xludf.DUMMYFUNCTION("IMPORTRANGE(""https://docs.google.com/spreadsheets/d/1QqKyyYR6Q21VydFLVH3TRQUabQu_ym0Zz7PgGX0-kHA/edit?usp=sharing"",""แผน!EB80"")"),0)</f>
        <v>0</v>
      </c>
      <c r="J294" s="1171">
        <v>0</v>
      </c>
      <c r="K294" s="1139">
        <f t="shared" ca="1" si="133"/>
        <v>0</v>
      </c>
      <c r="L294" s="1139"/>
      <c r="M294" s="1139"/>
      <c r="N294" s="1139"/>
      <c r="O294" s="1139"/>
      <c r="P294" s="1139"/>
    </row>
    <row r="295" spans="1:26" ht="19.5">
      <c r="A295" s="1172" t="s">
        <v>137</v>
      </c>
      <c r="B295" s="1173"/>
      <c r="C295" s="1173"/>
      <c r="D295" s="1173"/>
      <c r="E295" s="1174"/>
      <c r="F295" s="1174"/>
      <c r="G295" s="1175"/>
      <c r="H295" s="1176"/>
      <c r="I295" s="1177"/>
      <c r="J295" s="1177"/>
      <c r="K295" s="1178"/>
      <c r="L295" s="1178"/>
      <c r="M295" s="1178"/>
      <c r="N295" s="1178"/>
      <c r="O295" s="1178"/>
      <c r="P295" s="1178"/>
    </row>
    <row r="296" spans="1:26" ht="19.5" hidden="1">
      <c r="A296" s="1179" t="s">
        <v>138</v>
      </c>
      <c r="B296" s="1180"/>
      <c r="C296" s="1180"/>
      <c r="D296" s="1181"/>
      <c r="E296" s="1181"/>
      <c r="F296" s="1181"/>
      <c r="G296" s="1182"/>
      <c r="H296" s="1183"/>
      <c r="I296" s="1184"/>
      <c r="J296" s="1184"/>
      <c r="K296" s="1185"/>
      <c r="L296" s="1185"/>
      <c r="M296" s="1185"/>
      <c r="N296" s="1185"/>
      <c r="O296" s="1185"/>
      <c r="P296" s="1185"/>
    </row>
    <row r="297" spans="1:26" ht="19.5" hidden="1">
      <c r="A297" s="1186"/>
      <c r="B297" s="1187" t="s">
        <v>139</v>
      </c>
      <c r="C297" s="1188"/>
      <c r="D297" s="1188"/>
      <c r="E297" s="1188"/>
      <c r="F297" s="1188"/>
      <c r="G297" s="1189"/>
      <c r="H297" s="444" t="s">
        <v>35</v>
      </c>
      <c r="I297" s="1190">
        <f t="shared" ref="I297:J297" ca="1" si="134">I309</f>
        <v>0</v>
      </c>
      <c r="J297" s="1190">
        <f t="shared" si="134"/>
        <v>0</v>
      </c>
      <c r="K297" s="1191">
        <f ca="1">IF(I297&gt;0,J297*100/I297,0)</f>
        <v>0</v>
      </c>
      <c r="L297" s="1192"/>
      <c r="M297" s="1192"/>
      <c r="N297" s="1192"/>
      <c r="O297" s="1192"/>
      <c r="P297" s="1192"/>
    </row>
    <row r="298" spans="1:26" ht="19.5" hidden="1">
      <c r="A298" s="985"/>
      <c r="B298" s="986"/>
      <c r="C298" s="987" t="s">
        <v>16</v>
      </c>
      <c r="D298" s="988" t="s">
        <v>17</v>
      </c>
      <c r="E298" s="986"/>
      <c r="F298" s="986"/>
      <c r="G298" s="989"/>
      <c r="H298" s="152" t="s">
        <v>12</v>
      </c>
      <c r="I298" s="990"/>
      <c r="J298" s="990"/>
      <c r="K298" s="991"/>
      <c r="L298" s="992">
        <f t="shared" ref="L298:N298" ca="1" si="135">L299+L300</f>
        <v>0</v>
      </c>
      <c r="M298" s="992">
        <f t="shared" ca="1" si="135"/>
        <v>0</v>
      </c>
      <c r="N298" s="992">
        <f t="shared" ca="1" si="135"/>
        <v>0</v>
      </c>
      <c r="O298" s="992">
        <f t="shared" ref="O298:O306" ca="1" si="136">IF(L298&gt;0,N298*100/L298,0)</f>
        <v>0</v>
      </c>
      <c r="P298" s="992">
        <f t="shared" ref="P298:P306" ca="1" si="137">IF(M298&gt;0,N298*100/M298,0)</f>
        <v>0</v>
      </c>
      <c r="Q298" s="868"/>
      <c r="R298" s="868"/>
      <c r="S298" s="868"/>
      <c r="T298" s="868"/>
      <c r="U298" s="868"/>
      <c r="V298" s="868"/>
      <c r="W298" s="868"/>
      <c r="X298" s="868"/>
      <c r="Y298" s="868"/>
      <c r="Z298" s="868"/>
    </row>
    <row r="299" spans="1:26" ht="18.75" hidden="1">
      <c r="A299" s="993"/>
      <c r="B299" s="883"/>
      <c r="C299" s="883"/>
      <c r="D299" s="883"/>
      <c r="E299" s="884" t="s">
        <v>18</v>
      </c>
      <c r="F299" s="883"/>
      <c r="G299" s="994"/>
      <c r="H299" s="158" t="s">
        <v>12</v>
      </c>
      <c r="I299" s="886"/>
      <c r="J299" s="886"/>
      <c r="K299" s="887"/>
      <c r="L299" s="887">
        <f t="shared" ref="L299:N300" si="138">L302+L305</f>
        <v>0</v>
      </c>
      <c r="M299" s="887">
        <f t="shared" si="138"/>
        <v>0</v>
      </c>
      <c r="N299" s="887">
        <f t="shared" si="138"/>
        <v>0</v>
      </c>
      <c r="O299" s="887">
        <f t="shared" si="136"/>
        <v>0</v>
      </c>
      <c r="P299" s="887">
        <f t="shared" si="137"/>
        <v>0</v>
      </c>
      <c r="Q299" s="875"/>
      <c r="R299" s="875"/>
      <c r="S299" s="875"/>
      <c r="T299" s="875"/>
      <c r="U299" s="875"/>
      <c r="V299" s="875"/>
      <c r="W299" s="875"/>
      <c r="X299" s="875"/>
      <c r="Y299" s="875"/>
      <c r="Z299" s="875"/>
    </row>
    <row r="300" spans="1:26" ht="18.75" hidden="1">
      <c r="A300" s="993"/>
      <c r="B300" s="883"/>
      <c r="C300" s="883"/>
      <c r="D300" s="883"/>
      <c r="E300" s="884" t="s">
        <v>19</v>
      </c>
      <c r="F300" s="883"/>
      <c r="G300" s="994"/>
      <c r="H300" s="158" t="s">
        <v>12</v>
      </c>
      <c r="I300" s="886"/>
      <c r="J300" s="886"/>
      <c r="K300" s="887"/>
      <c r="L300" s="887">
        <f t="shared" ca="1" si="138"/>
        <v>0</v>
      </c>
      <c r="M300" s="887">
        <f t="shared" ca="1" si="138"/>
        <v>0</v>
      </c>
      <c r="N300" s="887">
        <f t="shared" ca="1" si="138"/>
        <v>0</v>
      </c>
      <c r="O300" s="887">
        <f t="shared" ca="1" si="136"/>
        <v>0</v>
      </c>
      <c r="P300" s="887">
        <f t="shared" ca="1" si="137"/>
        <v>0</v>
      </c>
      <c r="Q300" s="875"/>
      <c r="R300" s="875"/>
      <c r="S300" s="875"/>
      <c r="T300" s="875"/>
      <c r="U300" s="875"/>
      <c r="V300" s="875"/>
      <c r="W300" s="875"/>
      <c r="X300" s="875"/>
      <c r="Y300" s="875"/>
      <c r="Z300" s="875"/>
    </row>
    <row r="301" spans="1:26" ht="18.75" hidden="1">
      <c r="A301" s="995"/>
      <c r="B301" s="877"/>
      <c r="C301" s="996"/>
      <c r="D301" s="878" t="s">
        <v>20</v>
      </c>
      <c r="E301" s="877"/>
      <c r="F301" s="877"/>
      <c r="G301" s="879"/>
      <c r="H301" s="161" t="s">
        <v>12</v>
      </c>
      <c r="I301" s="997"/>
      <c r="J301" s="997"/>
      <c r="K301" s="998"/>
      <c r="L301" s="881">
        <f t="shared" ref="L301:N301" ca="1" si="139">L302+L303</f>
        <v>0</v>
      </c>
      <c r="M301" s="881">
        <f t="shared" ca="1" si="139"/>
        <v>0</v>
      </c>
      <c r="N301" s="881">
        <f t="shared" ca="1" si="139"/>
        <v>0</v>
      </c>
      <c r="O301" s="881">
        <f t="shared" ca="1" si="136"/>
        <v>0</v>
      </c>
      <c r="P301" s="881">
        <f t="shared" ca="1" si="137"/>
        <v>0</v>
      </c>
      <c r="Q301" s="868"/>
      <c r="R301" s="868"/>
      <c r="S301" s="868"/>
      <c r="T301" s="868"/>
      <c r="U301" s="868"/>
      <c r="V301" s="868"/>
      <c r="W301" s="868"/>
      <c r="X301" s="868"/>
      <c r="Y301" s="868"/>
      <c r="Z301" s="868"/>
    </row>
    <row r="302" spans="1:26" ht="19.5" hidden="1">
      <c r="A302" s="993"/>
      <c r="B302" s="883"/>
      <c r="C302" s="999"/>
      <c r="D302" s="883"/>
      <c r="E302" s="884" t="s">
        <v>36</v>
      </c>
      <c r="F302" s="883"/>
      <c r="G302" s="994"/>
      <c r="H302" s="165" t="s">
        <v>12</v>
      </c>
      <c r="I302" s="1000"/>
      <c r="J302" s="1000"/>
      <c r="K302" s="1001"/>
      <c r="L302" s="887">
        <v>0</v>
      </c>
      <c r="M302" s="887">
        <v>0</v>
      </c>
      <c r="N302" s="887">
        <v>0</v>
      </c>
      <c r="O302" s="887">
        <f t="shared" si="136"/>
        <v>0</v>
      </c>
      <c r="P302" s="887">
        <f t="shared" si="137"/>
        <v>0</v>
      </c>
      <c r="Q302" s="875"/>
      <c r="R302" s="875"/>
      <c r="S302" s="875"/>
      <c r="T302" s="875"/>
      <c r="U302" s="875"/>
      <c r="V302" s="875"/>
      <c r="W302" s="875"/>
      <c r="X302" s="875"/>
      <c r="Y302" s="875"/>
      <c r="Z302" s="875"/>
    </row>
    <row r="303" spans="1:26" ht="19.5" hidden="1">
      <c r="A303" s="993"/>
      <c r="B303" s="883"/>
      <c r="C303" s="999"/>
      <c r="D303" s="883"/>
      <c r="E303" s="884" t="s">
        <v>37</v>
      </c>
      <c r="F303" s="883"/>
      <c r="G303" s="994"/>
      <c r="H303" s="165" t="s">
        <v>12</v>
      </c>
      <c r="I303" s="1000"/>
      <c r="J303" s="1000"/>
      <c r="K303" s="1001"/>
      <c r="L303" s="887">
        <f ca="1">IFERROR(__xludf.DUMMYFUNCTION("IMPORTRANGE(""https://docs.google.com/spreadsheets/d/1MeEWN-I1oV_STSDYn1IFDPWt_1FKiwhDph83XaGc0o0/edit?usp=sharing"",""งบพรบ!DS80"")"),0)</f>
        <v>0</v>
      </c>
      <c r="M303" s="887">
        <f ca="1">IFERROR(__xludf.DUMMYFUNCTION("IMPORTRANGE(""https://docs.google.com/spreadsheets/d/1MeEWN-I1oV_STSDYn1IFDPWt_1FKiwhDph83XaGc0o0/edit?usp=sharing"",""งบพรบ!DX80"")"),0)</f>
        <v>0</v>
      </c>
      <c r="N303" s="887">
        <f ca="1">IFERROR(__xludf.DUMMYFUNCTION("IMPORTRANGE(""https://docs.google.com/spreadsheets/d/1MeEWN-I1oV_STSDYn1IFDPWt_1FKiwhDph83XaGc0o0/edit?usp=sharing"",""งบพรบ!DZ80"")"),0)</f>
        <v>0</v>
      </c>
      <c r="O303" s="887">
        <f t="shared" ca="1" si="136"/>
        <v>0</v>
      </c>
      <c r="P303" s="887">
        <f t="shared" ca="1" si="137"/>
        <v>0</v>
      </c>
      <c r="Q303" s="875"/>
      <c r="R303" s="875"/>
      <c r="S303" s="875"/>
      <c r="T303" s="875"/>
      <c r="U303" s="875"/>
      <c r="V303" s="875"/>
      <c r="W303" s="875"/>
      <c r="X303" s="875"/>
      <c r="Y303" s="875"/>
      <c r="Z303" s="875"/>
    </row>
    <row r="304" spans="1:26" ht="18.75" hidden="1">
      <c r="A304" s="995"/>
      <c r="B304" s="877"/>
      <c r="C304" s="996"/>
      <c r="D304" s="878" t="s">
        <v>21</v>
      </c>
      <c r="E304" s="877"/>
      <c r="F304" s="877"/>
      <c r="G304" s="879"/>
      <c r="H304" s="168" t="s">
        <v>12</v>
      </c>
      <c r="I304" s="997"/>
      <c r="J304" s="997"/>
      <c r="K304" s="998"/>
      <c r="L304" s="881">
        <f t="shared" ref="L304:N304" ca="1" si="140">L305+L306</f>
        <v>0</v>
      </c>
      <c r="M304" s="881">
        <f t="shared" ca="1" si="140"/>
        <v>0</v>
      </c>
      <c r="N304" s="881">
        <f t="shared" ca="1" si="140"/>
        <v>0</v>
      </c>
      <c r="O304" s="881">
        <f t="shared" ca="1" si="136"/>
        <v>0</v>
      </c>
      <c r="P304" s="881">
        <f t="shared" ca="1" si="137"/>
        <v>0</v>
      </c>
      <c r="Q304" s="868"/>
      <c r="R304" s="868"/>
      <c r="S304" s="868"/>
      <c r="T304" s="868"/>
      <c r="U304" s="868"/>
      <c r="V304" s="868"/>
      <c r="W304" s="868"/>
      <c r="X304" s="868"/>
      <c r="Y304" s="868"/>
      <c r="Z304" s="868"/>
    </row>
    <row r="305" spans="1:26" ht="19.5" hidden="1">
      <c r="A305" s="993"/>
      <c r="B305" s="883"/>
      <c r="C305" s="999"/>
      <c r="D305" s="883"/>
      <c r="E305" s="884" t="s">
        <v>18</v>
      </c>
      <c r="F305" s="883"/>
      <c r="G305" s="994"/>
      <c r="H305" s="165" t="s">
        <v>12</v>
      </c>
      <c r="I305" s="1000"/>
      <c r="J305" s="1000"/>
      <c r="K305" s="1001"/>
      <c r="L305" s="887">
        <v>0</v>
      </c>
      <c r="M305" s="887">
        <v>0</v>
      </c>
      <c r="N305" s="887">
        <v>0</v>
      </c>
      <c r="O305" s="887">
        <f t="shared" si="136"/>
        <v>0</v>
      </c>
      <c r="P305" s="887">
        <f t="shared" si="137"/>
        <v>0</v>
      </c>
      <c r="Q305" s="875"/>
      <c r="R305" s="875"/>
      <c r="S305" s="875"/>
      <c r="T305" s="875"/>
      <c r="U305" s="875"/>
      <c r="V305" s="875"/>
      <c r="W305" s="875"/>
      <c r="X305" s="875"/>
      <c r="Y305" s="875"/>
      <c r="Z305" s="875"/>
    </row>
    <row r="306" spans="1:26" ht="19.5" hidden="1">
      <c r="A306" s="993"/>
      <c r="B306" s="883"/>
      <c r="C306" s="999"/>
      <c r="D306" s="883"/>
      <c r="E306" s="884" t="s">
        <v>19</v>
      </c>
      <c r="F306" s="883"/>
      <c r="G306" s="994"/>
      <c r="H306" s="169" t="s">
        <v>12</v>
      </c>
      <c r="I306" s="1000"/>
      <c r="J306" s="1000"/>
      <c r="K306" s="1001"/>
      <c r="L306" s="887">
        <f ca="1">IFERROR(__xludf.DUMMYFUNCTION("IMPORTRANGE(""https://docs.google.com/spreadsheets/d/1MeEWN-I1oV_STSDYn1IFDPWt_1FKiwhDph83XaGc0o0/edit?usp=sharing"",""งบพรบ!DV80"")"),0)</f>
        <v>0</v>
      </c>
      <c r="M306" s="887">
        <f ca="1">IFERROR(__xludf.DUMMYFUNCTION("IMPORTRANGE(""https://docs.google.com/spreadsheets/d/1MeEWN-I1oV_STSDYn1IFDPWt_1FKiwhDph83XaGc0o0/edit?usp=sharing"",""งบพรบ!DY80"")"),0)</f>
        <v>0</v>
      </c>
      <c r="N306" s="887">
        <f ca="1">IFERROR(__xludf.DUMMYFUNCTION("IMPORTRANGE(""https://docs.google.com/spreadsheets/d/1MeEWN-I1oV_STSDYn1IFDPWt_1FKiwhDph83XaGc0o0/edit?usp=sharing"",""งบพรบ!EA80"")"),0)</f>
        <v>0</v>
      </c>
      <c r="O306" s="887">
        <f t="shared" ca="1" si="136"/>
        <v>0</v>
      </c>
      <c r="P306" s="887">
        <f t="shared" ca="1" si="137"/>
        <v>0</v>
      </c>
      <c r="Q306" s="875"/>
      <c r="R306" s="875"/>
      <c r="S306" s="875"/>
      <c r="T306" s="875"/>
      <c r="U306" s="875"/>
      <c r="V306" s="875"/>
      <c r="W306" s="875"/>
      <c r="X306" s="875"/>
      <c r="Y306" s="875"/>
      <c r="Z306" s="875"/>
    </row>
    <row r="307" spans="1:26" ht="19.5" hidden="1">
      <c r="A307" s="1002"/>
      <c r="B307" s="1003"/>
      <c r="C307" s="999" t="s">
        <v>16</v>
      </c>
      <c r="D307" s="1004" t="s">
        <v>38</v>
      </c>
      <c r="E307" s="1005"/>
      <c r="F307" s="1005"/>
      <c r="G307" s="1006"/>
      <c r="H307" s="1007"/>
      <c r="I307" s="880"/>
      <c r="J307" s="880"/>
      <c r="K307" s="881"/>
      <c r="L307" s="881"/>
      <c r="M307" s="881"/>
      <c r="N307" s="881"/>
      <c r="O307" s="881"/>
      <c r="P307" s="881"/>
    </row>
    <row r="308" spans="1:26" ht="18.75" hidden="1">
      <c r="A308" s="1002"/>
      <c r="B308" s="1003"/>
      <c r="C308" s="1003"/>
      <c r="D308" s="1009" t="s">
        <v>140</v>
      </c>
      <c r="E308" s="1009"/>
      <c r="F308" s="1009"/>
      <c r="G308" s="1011"/>
      <c r="H308" s="762"/>
      <c r="I308" s="880"/>
      <c r="J308" s="1012">
        <v>0</v>
      </c>
      <c r="K308" s="881"/>
      <c r="L308" s="881"/>
      <c r="M308" s="881"/>
      <c r="N308" s="881"/>
      <c r="O308" s="881"/>
      <c r="P308" s="881"/>
    </row>
    <row r="309" spans="1:26" ht="18.75" hidden="1">
      <c r="A309" s="1002"/>
      <c r="B309" s="1003"/>
      <c r="C309" s="1003"/>
      <c r="D309" s="1009" t="s">
        <v>141</v>
      </c>
      <c r="E309" s="1009"/>
      <c r="F309" s="1009"/>
      <c r="G309" s="1011"/>
      <c r="H309" s="762" t="s">
        <v>35</v>
      </c>
      <c r="I309" s="880">
        <f ca="1">IFERROR(__xludf.DUMMYFUNCTION("IMPORTRANGE(""https://docs.google.com/spreadsheets/d/1QqKyyYR6Q21VydFLVH3TRQUabQu_ym0Zz7PgGX0-kHA/edit?usp=sharing"",""แผน!ED80"")"),0)</f>
        <v>0</v>
      </c>
      <c r="J309" s="1012">
        <v>0</v>
      </c>
      <c r="K309" s="881">
        <f t="shared" ref="K309:K312" ca="1" si="141">IF(I309&gt;0,J309*100/I309,0)</f>
        <v>0</v>
      </c>
      <c r="L309" s="881"/>
      <c r="M309" s="881"/>
      <c r="N309" s="881"/>
      <c r="O309" s="881"/>
      <c r="P309" s="881"/>
    </row>
    <row r="310" spans="1:26" ht="18.75" hidden="1">
      <c r="A310" s="1002"/>
      <c r="B310" s="1003"/>
      <c r="C310" s="1003"/>
      <c r="D310" s="1009" t="s">
        <v>142</v>
      </c>
      <c r="E310" s="1009"/>
      <c r="F310" s="1009"/>
      <c r="G310" s="1011"/>
      <c r="H310" s="762" t="s">
        <v>35</v>
      </c>
      <c r="I310" s="880">
        <f ca="1">IFERROR(__xludf.DUMMYFUNCTION("IMPORTRANGE(""https://docs.google.com/spreadsheets/d/1QqKyyYR6Q21VydFLVH3TRQUabQu_ym0Zz7PgGX0-kHA/edit?usp=sharing"",""แผน!ED80"")"),0)</f>
        <v>0</v>
      </c>
      <c r="J310" s="1012">
        <v>0</v>
      </c>
      <c r="K310" s="881">
        <f t="shared" ca="1" si="141"/>
        <v>0</v>
      </c>
      <c r="L310" s="881"/>
      <c r="M310" s="881"/>
      <c r="N310" s="881"/>
      <c r="O310" s="881"/>
      <c r="P310" s="881"/>
    </row>
    <row r="311" spans="1:26" ht="18.75" hidden="1">
      <c r="A311" s="1002"/>
      <c r="B311" s="1003"/>
      <c r="C311" s="1003"/>
      <c r="D311" s="1009" t="s">
        <v>59</v>
      </c>
      <c r="E311" s="1009"/>
      <c r="F311" s="1009"/>
      <c r="G311" s="1011"/>
      <c r="H311" s="762" t="s">
        <v>35</v>
      </c>
      <c r="I311" s="880">
        <f ca="1">IFERROR(__xludf.DUMMYFUNCTION("IMPORTRANGE(""https://docs.google.com/spreadsheets/d/1QqKyyYR6Q21VydFLVH3TRQUabQu_ym0Zz7PgGX0-kHA/edit?usp=sharing"",""แผน!ED80"")"),0)</f>
        <v>0</v>
      </c>
      <c r="J311" s="1012">
        <v>0</v>
      </c>
      <c r="K311" s="881">
        <f t="shared" ca="1" si="141"/>
        <v>0</v>
      </c>
      <c r="L311" s="881"/>
      <c r="M311" s="881"/>
      <c r="N311" s="881"/>
      <c r="O311" s="881"/>
      <c r="P311" s="881"/>
    </row>
    <row r="312" spans="1:26" ht="18.75" hidden="1">
      <c r="A312" s="1002"/>
      <c r="B312" s="1003"/>
      <c r="C312" s="1003"/>
      <c r="D312" s="1009" t="s">
        <v>143</v>
      </c>
      <c r="E312" s="1009"/>
      <c r="F312" s="1009"/>
      <c r="G312" s="1011"/>
      <c r="H312" s="762" t="s">
        <v>35</v>
      </c>
      <c r="I312" s="880">
        <f ca="1">IFERROR(__xludf.DUMMYFUNCTION("IMPORTRANGE(""https://docs.google.com/spreadsheets/d/1QqKyyYR6Q21VydFLVH3TRQUabQu_ym0Zz7PgGX0-kHA/edit?usp=sharing"",""แผน!EE80"")"),0)</f>
        <v>0</v>
      </c>
      <c r="J312" s="1012">
        <v>0</v>
      </c>
      <c r="K312" s="881">
        <f t="shared" ca="1" si="141"/>
        <v>0</v>
      </c>
      <c r="L312" s="881"/>
      <c r="M312" s="881"/>
      <c r="N312" s="881"/>
      <c r="O312" s="881"/>
      <c r="P312" s="881"/>
    </row>
    <row r="313" spans="1:26" ht="19.5" hidden="1">
      <c r="A313" s="1179" t="s">
        <v>144</v>
      </c>
      <c r="B313" s="1180"/>
      <c r="C313" s="1180"/>
      <c r="D313" s="1181"/>
      <c r="E313" s="1180"/>
      <c r="F313" s="1180"/>
      <c r="G313" s="1180"/>
      <c r="H313" s="1193"/>
      <c r="I313" s="1184"/>
      <c r="J313" s="1184"/>
      <c r="K313" s="1185"/>
      <c r="L313" s="1185"/>
      <c r="M313" s="1185"/>
      <c r="N313" s="1185"/>
      <c r="O313" s="1185"/>
      <c r="P313" s="1185"/>
    </row>
    <row r="314" spans="1:26" ht="19.5" hidden="1">
      <c r="A314" s="1194"/>
      <c r="B314" s="1187" t="s">
        <v>145</v>
      </c>
      <c r="C314" s="1195"/>
      <c r="D314" s="1196"/>
      <c r="E314" s="1188"/>
      <c r="F314" s="1188"/>
      <c r="G314" s="1189"/>
      <c r="H314" s="444" t="s">
        <v>146</v>
      </c>
      <c r="I314" s="1190">
        <f t="shared" ref="I314:J314" ca="1" si="142">I325</f>
        <v>0</v>
      </c>
      <c r="J314" s="1190">
        <f t="shared" si="142"/>
        <v>0</v>
      </c>
      <c r="K314" s="1191">
        <f ca="1">IF(I314&gt;0,J314*100/I314,0)</f>
        <v>0</v>
      </c>
      <c r="L314" s="1192"/>
      <c r="M314" s="1192"/>
      <c r="N314" s="1192"/>
      <c r="O314" s="1192"/>
      <c r="P314" s="1192"/>
    </row>
    <row r="315" spans="1:26" ht="19.5" hidden="1">
      <c r="A315" s="985"/>
      <c r="B315" s="986"/>
      <c r="C315" s="987" t="s">
        <v>16</v>
      </c>
      <c r="D315" s="988" t="s">
        <v>17</v>
      </c>
      <c r="E315" s="986"/>
      <c r="F315" s="986"/>
      <c r="G315" s="989"/>
      <c r="H315" s="152" t="s">
        <v>12</v>
      </c>
      <c r="I315" s="990"/>
      <c r="J315" s="990"/>
      <c r="K315" s="991"/>
      <c r="L315" s="992">
        <f t="shared" ref="L315:N315" ca="1" si="143">L316+L317</f>
        <v>0</v>
      </c>
      <c r="M315" s="992">
        <f t="shared" ca="1" si="143"/>
        <v>0</v>
      </c>
      <c r="N315" s="992">
        <f t="shared" ca="1" si="143"/>
        <v>0</v>
      </c>
      <c r="O315" s="992">
        <f t="shared" ref="O315:O323" ca="1" si="144">IF(L315&gt;0,N315*100/L315,0)</f>
        <v>0</v>
      </c>
      <c r="P315" s="992">
        <f t="shared" ref="P315:P323" ca="1" si="145">IF(M315&gt;0,N315*100/M315,0)</f>
        <v>0</v>
      </c>
      <c r="Q315" s="868"/>
      <c r="R315" s="868"/>
      <c r="S315" s="868"/>
      <c r="T315" s="868"/>
      <c r="U315" s="868"/>
      <c r="V315" s="868"/>
      <c r="W315" s="868"/>
      <c r="X315" s="868"/>
      <c r="Y315" s="868"/>
      <c r="Z315" s="868"/>
    </row>
    <row r="316" spans="1:26" ht="18.75" hidden="1">
      <c r="A316" s="993"/>
      <c r="B316" s="883"/>
      <c r="C316" s="883"/>
      <c r="D316" s="883"/>
      <c r="E316" s="884" t="s">
        <v>18</v>
      </c>
      <c r="F316" s="883"/>
      <c r="G316" s="994"/>
      <c r="H316" s="158" t="s">
        <v>12</v>
      </c>
      <c r="I316" s="886"/>
      <c r="J316" s="886"/>
      <c r="K316" s="887"/>
      <c r="L316" s="887">
        <f t="shared" ref="L316:N317" si="146">L319+L322</f>
        <v>0</v>
      </c>
      <c r="M316" s="887">
        <f t="shared" si="146"/>
        <v>0</v>
      </c>
      <c r="N316" s="887">
        <f t="shared" si="146"/>
        <v>0</v>
      </c>
      <c r="O316" s="887">
        <f t="shared" si="144"/>
        <v>0</v>
      </c>
      <c r="P316" s="887">
        <f t="shared" si="145"/>
        <v>0</v>
      </c>
      <c r="Q316" s="875"/>
      <c r="R316" s="875"/>
      <c r="S316" s="875"/>
      <c r="T316" s="875"/>
      <c r="U316" s="875"/>
      <c r="V316" s="875"/>
      <c r="W316" s="875"/>
      <c r="X316" s="875"/>
      <c r="Y316" s="875"/>
      <c r="Z316" s="875"/>
    </row>
    <row r="317" spans="1:26" ht="18.75" hidden="1">
      <c r="A317" s="993"/>
      <c r="B317" s="883"/>
      <c r="C317" s="883"/>
      <c r="D317" s="883"/>
      <c r="E317" s="884" t="s">
        <v>19</v>
      </c>
      <c r="F317" s="883"/>
      <c r="G317" s="994"/>
      <c r="H317" s="158" t="s">
        <v>12</v>
      </c>
      <c r="I317" s="886"/>
      <c r="J317" s="886"/>
      <c r="K317" s="887"/>
      <c r="L317" s="887">
        <f t="shared" ca="1" si="146"/>
        <v>0</v>
      </c>
      <c r="M317" s="887">
        <f t="shared" ca="1" si="146"/>
        <v>0</v>
      </c>
      <c r="N317" s="887">
        <f t="shared" ca="1" si="146"/>
        <v>0</v>
      </c>
      <c r="O317" s="887">
        <f t="shared" ca="1" si="144"/>
        <v>0</v>
      </c>
      <c r="P317" s="887">
        <f t="shared" ca="1" si="145"/>
        <v>0</v>
      </c>
      <c r="Q317" s="875"/>
      <c r="R317" s="875"/>
      <c r="S317" s="875"/>
      <c r="T317" s="875"/>
      <c r="U317" s="875"/>
      <c r="V317" s="875"/>
      <c r="W317" s="875"/>
      <c r="X317" s="875"/>
      <c r="Y317" s="875"/>
      <c r="Z317" s="875"/>
    </row>
    <row r="318" spans="1:26" ht="18.75" hidden="1">
      <c r="A318" s="995"/>
      <c r="B318" s="877"/>
      <c r="C318" s="996"/>
      <c r="D318" s="878" t="s">
        <v>20</v>
      </c>
      <c r="E318" s="877"/>
      <c r="F318" s="877"/>
      <c r="G318" s="879"/>
      <c r="H318" s="161" t="s">
        <v>12</v>
      </c>
      <c r="I318" s="997"/>
      <c r="J318" s="997"/>
      <c r="K318" s="998"/>
      <c r="L318" s="881">
        <f t="shared" ref="L318:N318" ca="1" si="147">L319+L320</f>
        <v>0</v>
      </c>
      <c r="M318" s="881">
        <f t="shared" ca="1" si="147"/>
        <v>0</v>
      </c>
      <c r="N318" s="881">
        <f t="shared" ca="1" si="147"/>
        <v>0</v>
      </c>
      <c r="O318" s="881">
        <f t="shared" ca="1" si="144"/>
        <v>0</v>
      </c>
      <c r="P318" s="881">
        <f t="shared" ca="1" si="145"/>
        <v>0</v>
      </c>
      <c r="Q318" s="868"/>
      <c r="R318" s="868"/>
      <c r="S318" s="868"/>
      <c r="T318" s="868"/>
      <c r="U318" s="868"/>
      <c r="V318" s="868"/>
      <c r="W318" s="868"/>
      <c r="X318" s="868"/>
      <c r="Y318" s="868"/>
      <c r="Z318" s="868"/>
    </row>
    <row r="319" spans="1:26" ht="19.5" hidden="1">
      <c r="A319" s="993"/>
      <c r="B319" s="883"/>
      <c r="C319" s="999"/>
      <c r="D319" s="883"/>
      <c r="E319" s="884" t="s">
        <v>36</v>
      </c>
      <c r="F319" s="883"/>
      <c r="G319" s="994"/>
      <c r="H319" s="165" t="s">
        <v>12</v>
      </c>
      <c r="I319" s="1000"/>
      <c r="J319" s="1000"/>
      <c r="K319" s="1001"/>
      <c r="L319" s="887">
        <v>0</v>
      </c>
      <c r="M319" s="887">
        <v>0</v>
      </c>
      <c r="N319" s="887">
        <v>0</v>
      </c>
      <c r="O319" s="887">
        <f t="shared" si="144"/>
        <v>0</v>
      </c>
      <c r="P319" s="887">
        <f t="shared" si="145"/>
        <v>0</v>
      </c>
      <c r="Q319" s="875"/>
      <c r="R319" s="875"/>
      <c r="S319" s="875"/>
      <c r="T319" s="875"/>
      <c r="U319" s="875"/>
      <c r="V319" s="875"/>
      <c r="W319" s="875"/>
      <c r="X319" s="875"/>
      <c r="Y319" s="875"/>
      <c r="Z319" s="875"/>
    </row>
    <row r="320" spans="1:26" ht="19.5" hidden="1">
      <c r="A320" s="993"/>
      <c r="B320" s="883"/>
      <c r="C320" s="999"/>
      <c r="D320" s="883"/>
      <c r="E320" s="884" t="s">
        <v>37</v>
      </c>
      <c r="F320" s="883"/>
      <c r="G320" s="994"/>
      <c r="H320" s="165" t="s">
        <v>12</v>
      </c>
      <c r="I320" s="1000"/>
      <c r="J320" s="1000"/>
      <c r="K320" s="1001"/>
      <c r="L320" s="887">
        <f ca="1">IFERROR(__xludf.DUMMYFUNCTION("IMPORTRANGE(""https://docs.google.com/spreadsheets/d/1MeEWN-I1oV_STSDYn1IFDPWt_1FKiwhDph83XaGc0o0/edit?usp=sharing"",""งบพรบ!EC80"")"),0)</f>
        <v>0</v>
      </c>
      <c r="M320" s="887">
        <f ca="1">IFERROR(__xludf.DUMMYFUNCTION("IMPORTRANGE(""https://docs.google.com/spreadsheets/d/1MeEWN-I1oV_STSDYn1IFDPWt_1FKiwhDph83XaGc0o0/edit?usp=sharing"",""งบพรบ!EH80"")"),0)</f>
        <v>0</v>
      </c>
      <c r="N320" s="887">
        <f ca="1">IFERROR(__xludf.DUMMYFUNCTION("IMPORTRANGE(""https://docs.google.com/spreadsheets/d/1MeEWN-I1oV_STSDYn1IFDPWt_1FKiwhDph83XaGc0o0/edit?usp=sharing"",""งบพรบ!EJ80"")"),0)</f>
        <v>0</v>
      </c>
      <c r="O320" s="887">
        <f t="shared" ca="1" si="144"/>
        <v>0</v>
      </c>
      <c r="P320" s="887">
        <f t="shared" ca="1" si="145"/>
        <v>0</v>
      </c>
      <c r="Q320" s="875"/>
      <c r="R320" s="875"/>
      <c r="S320" s="875"/>
      <c r="T320" s="875"/>
      <c r="U320" s="875"/>
      <c r="V320" s="875"/>
      <c r="W320" s="875"/>
      <c r="X320" s="875"/>
      <c r="Y320" s="875"/>
      <c r="Z320" s="875"/>
    </row>
    <row r="321" spans="1:26" ht="18.75" hidden="1">
      <c r="A321" s="995"/>
      <c r="B321" s="877"/>
      <c r="C321" s="996"/>
      <c r="D321" s="878" t="s">
        <v>21</v>
      </c>
      <c r="E321" s="877"/>
      <c r="F321" s="877"/>
      <c r="G321" s="879"/>
      <c r="H321" s="168" t="s">
        <v>12</v>
      </c>
      <c r="I321" s="997"/>
      <c r="J321" s="997"/>
      <c r="K321" s="998"/>
      <c r="L321" s="881">
        <f t="shared" ref="L321:N321" ca="1" si="148">L322+L323</f>
        <v>0</v>
      </c>
      <c r="M321" s="881">
        <f t="shared" ca="1" si="148"/>
        <v>0</v>
      </c>
      <c r="N321" s="881">
        <f t="shared" ca="1" si="148"/>
        <v>0</v>
      </c>
      <c r="O321" s="881">
        <f t="shared" ca="1" si="144"/>
        <v>0</v>
      </c>
      <c r="P321" s="881">
        <f t="shared" ca="1" si="145"/>
        <v>0</v>
      </c>
      <c r="Q321" s="868"/>
      <c r="R321" s="868"/>
      <c r="S321" s="868"/>
      <c r="T321" s="868"/>
      <c r="U321" s="868"/>
      <c r="V321" s="868"/>
      <c r="W321" s="868"/>
      <c r="X321" s="868"/>
      <c r="Y321" s="868"/>
      <c r="Z321" s="868"/>
    </row>
    <row r="322" spans="1:26" ht="19.5" hidden="1">
      <c r="A322" s="993"/>
      <c r="B322" s="883"/>
      <c r="C322" s="999"/>
      <c r="D322" s="883"/>
      <c r="E322" s="884" t="s">
        <v>18</v>
      </c>
      <c r="F322" s="883"/>
      <c r="G322" s="994"/>
      <c r="H322" s="165" t="s">
        <v>12</v>
      </c>
      <c r="I322" s="1000"/>
      <c r="J322" s="1000"/>
      <c r="K322" s="1001"/>
      <c r="L322" s="887">
        <v>0</v>
      </c>
      <c r="M322" s="887">
        <v>0</v>
      </c>
      <c r="N322" s="887">
        <v>0</v>
      </c>
      <c r="O322" s="887">
        <f t="shared" si="144"/>
        <v>0</v>
      </c>
      <c r="P322" s="887">
        <f t="shared" si="145"/>
        <v>0</v>
      </c>
      <c r="Q322" s="875"/>
      <c r="R322" s="875"/>
      <c r="S322" s="875"/>
      <c r="T322" s="875"/>
      <c r="U322" s="875"/>
      <c r="V322" s="875"/>
      <c r="W322" s="875"/>
      <c r="X322" s="875"/>
      <c r="Y322" s="875"/>
      <c r="Z322" s="875"/>
    </row>
    <row r="323" spans="1:26" ht="19.5" hidden="1">
      <c r="A323" s="993"/>
      <c r="B323" s="883"/>
      <c r="C323" s="999"/>
      <c r="D323" s="883"/>
      <c r="E323" s="884" t="s">
        <v>19</v>
      </c>
      <c r="F323" s="883"/>
      <c r="G323" s="994"/>
      <c r="H323" s="169" t="s">
        <v>12</v>
      </c>
      <c r="I323" s="1000"/>
      <c r="J323" s="1000"/>
      <c r="K323" s="1001"/>
      <c r="L323" s="887">
        <f ca="1">IFERROR(__xludf.DUMMYFUNCTION("IMPORTRANGE(""https://docs.google.com/spreadsheets/d/1MeEWN-I1oV_STSDYn1IFDPWt_1FKiwhDph83XaGc0o0/edit?usp=sharing"",""งบพรบ!EF80"")"),0)</f>
        <v>0</v>
      </c>
      <c r="M323" s="887">
        <f ca="1">IFERROR(__xludf.DUMMYFUNCTION("IMPORTRANGE(""https://docs.google.com/spreadsheets/d/1MeEWN-I1oV_STSDYn1IFDPWt_1FKiwhDph83XaGc0o0/edit?usp=sharing"",""งบพรบ!EI80"")"),0)</f>
        <v>0</v>
      </c>
      <c r="N323" s="887">
        <f ca="1">IFERROR(__xludf.DUMMYFUNCTION("IMPORTRANGE(""https://docs.google.com/spreadsheets/d/1MeEWN-I1oV_STSDYn1IFDPWt_1FKiwhDph83XaGc0o0/edit?usp=sharing"",""งบพรบ!EK80"")"),0)</f>
        <v>0</v>
      </c>
      <c r="O323" s="887">
        <f t="shared" ca="1" si="144"/>
        <v>0</v>
      </c>
      <c r="P323" s="887">
        <f t="shared" ca="1" si="145"/>
        <v>0</v>
      </c>
      <c r="Q323" s="875"/>
      <c r="R323" s="875"/>
      <c r="S323" s="875"/>
      <c r="T323" s="875"/>
      <c r="U323" s="875"/>
      <c r="V323" s="875"/>
      <c r="W323" s="875"/>
      <c r="X323" s="875"/>
      <c r="Y323" s="875"/>
      <c r="Z323" s="875"/>
    </row>
    <row r="324" spans="1:26" ht="19.5" hidden="1">
      <c r="A324" s="1002"/>
      <c r="B324" s="1003"/>
      <c r="C324" s="999" t="s">
        <v>16</v>
      </c>
      <c r="D324" s="1004" t="s">
        <v>38</v>
      </c>
      <c r="E324" s="1005"/>
      <c r="F324" s="1005"/>
      <c r="G324" s="1006"/>
      <c r="H324" s="1007"/>
      <c r="I324" s="997"/>
      <c r="J324" s="880"/>
      <c r="K324" s="881"/>
      <c r="L324" s="881"/>
      <c r="M324" s="881"/>
      <c r="N324" s="881"/>
      <c r="O324" s="998"/>
      <c r="P324" s="998"/>
    </row>
    <row r="325" spans="1:26" ht="18.75" hidden="1">
      <c r="A325" s="1002"/>
      <c r="B325" s="1003"/>
      <c r="C325" s="1003"/>
      <c r="D325" s="1008" t="s">
        <v>147</v>
      </c>
      <c r="E325" s="1010"/>
      <c r="F325" s="1009"/>
      <c r="G325" s="1011"/>
      <c r="H325" s="622" t="s">
        <v>146</v>
      </c>
      <c r="I325" s="880">
        <f ca="1">IFERROR(__xludf.DUMMYFUNCTION("IMPORTRANGE(""https://docs.google.com/spreadsheets/d/1QqKyyYR6Q21VydFLVH3TRQUabQu_ym0Zz7PgGX0-kHA/edit?usp=sharing"",""แผน!EF80"")"),0)</f>
        <v>0</v>
      </c>
      <c r="J325" s="1012">
        <v>0</v>
      </c>
      <c r="K325" s="881">
        <f ca="1">IF(I325&gt;0,J325*100/I325,0)</f>
        <v>0</v>
      </c>
      <c r="L325" s="881"/>
      <c r="M325" s="881"/>
      <c r="N325" s="881"/>
      <c r="O325" s="998"/>
      <c r="P325" s="998"/>
    </row>
    <row r="326" spans="1:26" ht="19.5">
      <c r="A326" s="1179" t="s">
        <v>148</v>
      </c>
      <c r="B326" s="1180"/>
      <c r="C326" s="1180"/>
      <c r="D326" s="1181"/>
      <c r="E326" s="1180"/>
      <c r="F326" s="1180"/>
      <c r="G326" s="1180"/>
      <c r="H326" s="1193"/>
      <c r="I326" s="1184"/>
      <c r="J326" s="1184"/>
      <c r="K326" s="1185"/>
      <c r="L326" s="1185"/>
      <c r="M326" s="1185"/>
      <c r="N326" s="1185"/>
      <c r="O326" s="1185"/>
      <c r="P326" s="1185"/>
    </row>
    <row r="327" spans="1:26" ht="19.5">
      <c r="A327" s="1186"/>
      <c r="B327" s="1187" t="s">
        <v>149</v>
      </c>
      <c r="C327" s="1196"/>
      <c r="D327" s="1188"/>
      <c r="E327" s="1188"/>
      <c r="F327" s="1188"/>
      <c r="G327" s="1189"/>
      <c r="H327" s="444" t="s">
        <v>35</v>
      </c>
      <c r="I327" s="1190">
        <f ca="1">IFERROR(__xludf.DUMMYFUNCTION("IMPORTRANGE(""https://docs.google.com/spreadsheets/d/1QqKyyYR6Q21VydFLVH3TRQUabQu_ym0Zz7PgGX0-kHA/edit?usp=sharing"",""แผน!EG80"")"),300)</f>
        <v>300</v>
      </c>
      <c r="J327" s="1190">
        <f ca="1">J338+J341+J342+J343</f>
        <v>366</v>
      </c>
      <c r="K327" s="1191">
        <f ca="1">IF(I327&gt;0,J327*100/I327,0)</f>
        <v>122</v>
      </c>
      <c r="L327" s="1192"/>
      <c r="M327" s="1192"/>
      <c r="N327" s="1192"/>
      <c r="O327" s="1192"/>
      <c r="P327" s="1192"/>
    </row>
    <row r="328" spans="1:26" ht="19.5">
      <c r="A328" s="985"/>
      <c r="B328" s="986"/>
      <c r="C328" s="987" t="s">
        <v>16</v>
      </c>
      <c r="D328" s="988" t="s">
        <v>17</v>
      </c>
      <c r="E328" s="986"/>
      <c r="F328" s="986"/>
      <c r="G328" s="989"/>
      <c r="H328" s="152" t="s">
        <v>12</v>
      </c>
      <c r="I328" s="990"/>
      <c r="J328" s="990"/>
      <c r="K328" s="991"/>
      <c r="L328" s="992">
        <f t="shared" ref="L328:N328" ca="1" si="149">L329+L330</f>
        <v>157000</v>
      </c>
      <c r="M328" s="992">
        <f t="shared" ca="1" si="149"/>
        <v>120250</v>
      </c>
      <c r="N328" s="992">
        <f t="shared" ca="1" si="149"/>
        <v>36344</v>
      </c>
      <c r="O328" s="992">
        <f t="shared" ref="O328:O336" ca="1" si="150">IF(L328&gt;0,N328*100/L328,0)</f>
        <v>23.149044585987262</v>
      </c>
      <c r="P328" s="992">
        <f t="shared" ref="P328:P336" ca="1" si="151">IF(M328&gt;0,N328*100/M328,0)</f>
        <v>30.223700623700623</v>
      </c>
      <c r="Q328" s="868"/>
      <c r="R328" s="868"/>
      <c r="S328" s="868"/>
      <c r="T328" s="868"/>
      <c r="U328" s="868"/>
      <c r="V328" s="868"/>
      <c r="W328" s="868"/>
      <c r="X328" s="868"/>
      <c r="Y328" s="868"/>
      <c r="Z328" s="868"/>
    </row>
    <row r="329" spans="1:26" ht="18.75" hidden="1">
      <c r="A329" s="993"/>
      <c r="B329" s="883"/>
      <c r="C329" s="883"/>
      <c r="D329" s="883"/>
      <c r="E329" s="884" t="s">
        <v>18</v>
      </c>
      <c r="F329" s="883"/>
      <c r="G329" s="994"/>
      <c r="H329" s="158" t="s">
        <v>12</v>
      </c>
      <c r="I329" s="886"/>
      <c r="J329" s="886"/>
      <c r="K329" s="887"/>
      <c r="L329" s="887">
        <f t="shared" ref="L329:N330" si="152">L332+L335</f>
        <v>0</v>
      </c>
      <c r="M329" s="887">
        <f t="shared" si="152"/>
        <v>0</v>
      </c>
      <c r="N329" s="887">
        <f t="shared" si="152"/>
        <v>0</v>
      </c>
      <c r="O329" s="887">
        <f t="shared" si="150"/>
        <v>0</v>
      </c>
      <c r="P329" s="887">
        <f t="shared" si="151"/>
        <v>0</v>
      </c>
      <c r="Q329" s="875"/>
      <c r="R329" s="875"/>
      <c r="S329" s="875"/>
      <c r="T329" s="875"/>
      <c r="U329" s="875"/>
      <c r="V329" s="875"/>
      <c r="W329" s="875"/>
      <c r="X329" s="875"/>
      <c r="Y329" s="875"/>
      <c r="Z329" s="875"/>
    </row>
    <row r="330" spans="1:26" ht="18.75" hidden="1">
      <c r="A330" s="993"/>
      <c r="B330" s="883"/>
      <c r="C330" s="883"/>
      <c r="D330" s="883"/>
      <c r="E330" s="884" t="s">
        <v>19</v>
      </c>
      <c r="F330" s="883"/>
      <c r="G330" s="994"/>
      <c r="H330" s="158" t="s">
        <v>12</v>
      </c>
      <c r="I330" s="886"/>
      <c r="J330" s="886"/>
      <c r="K330" s="887"/>
      <c r="L330" s="887">
        <f t="shared" ca="1" si="152"/>
        <v>157000</v>
      </c>
      <c r="M330" s="887">
        <f t="shared" ca="1" si="152"/>
        <v>120250</v>
      </c>
      <c r="N330" s="887">
        <f t="shared" ca="1" si="152"/>
        <v>36344</v>
      </c>
      <c r="O330" s="887">
        <f t="shared" ca="1" si="150"/>
        <v>23.149044585987262</v>
      </c>
      <c r="P330" s="887">
        <f t="shared" ca="1" si="151"/>
        <v>30.223700623700623</v>
      </c>
      <c r="Q330" s="875"/>
      <c r="R330" s="875"/>
      <c r="S330" s="875"/>
      <c r="T330" s="875"/>
      <c r="U330" s="875"/>
      <c r="V330" s="875"/>
      <c r="W330" s="875"/>
      <c r="X330" s="875"/>
      <c r="Y330" s="875"/>
      <c r="Z330" s="875"/>
    </row>
    <row r="331" spans="1:26" ht="18.75">
      <c r="A331" s="995"/>
      <c r="B331" s="877"/>
      <c r="C331" s="996"/>
      <c r="D331" s="878" t="s">
        <v>20</v>
      </c>
      <c r="E331" s="877"/>
      <c r="F331" s="877"/>
      <c r="G331" s="879"/>
      <c r="H331" s="161" t="s">
        <v>12</v>
      </c>
      <c r="I331" s="997"/>
      <c r="J331" s="997"/>
      <c r="K331" s="998"/>
      <c r="L331" s="881">
        <f t="shared" ref="L331:N331" ca="1" si="153">L332+L333</f>
        <v>157000</v>
      </c>
      <c r="M331" s="881">
        <f t="shared" ca="1" si="153"/>
        <v>120250</v>
      </c>
      <c r="N331" s="881">
        <f t="shared" ca="1" si="153"/>
        <v>36344</v>
      </c>
      <c r="O331" s="881">
        <f t="shared" ca="1" si="150"/>
        <v>23.149044585987262</v>
      </c>
      <c r="P331" s="881">
        <f t="shared" ca="1" si="151"/>
        <v>30.223700623700623</v>
      </c>
      <c r="Q331" s="868"/>
      <c r="R331" s="868"/>
      <c r="S331" s="868"/>
      <c r="T331" s="868"/>
      <c r="U331" s="868"/>
      <c r="V331" s="868"/>
      <c r="W331" s="868"/>
      <c r="X331" s="868"/>
      <c r="Y331" s="868"/>
      <c r="Z331" s="868"/>
    </row>
    <row r="332" spans="1:26" ht="19.5" hidden="1">
      <c r="A332" s="993"/>
      <c r="B332" s="883"/>
      <c r="C332" s="999"/>
      <c r="D332" s="883"/>
      <c r="E332" s="884" t="s">
        <v>36</v>
      </c>
      <c r="F332" s="883"/>
      <c r="G332" s="994"/>
      <c r="H332" s="165" t="s">
        <v>12</v>
      </c>
      <c r="I332" s="1000"/>
      <c r="J332" s="1000"/>
      <c r="K332" s="1001"/>
      <c r="L332" s="887">
        <v>0</v>
      </c>
      <c r="M332" s="887">
        <v>0</v>
      </c>
      <c r="N332" s="887">
        <v>0</v>
      </c>
      <c r="O332" s="887">
        <f t="shared" si="150"/>
        <v>0</v>
      </c>
      <c r="P332" s="887">
        <f t="shared" si="151"/>
        <v>0</v>
      </c>
      <c r="Q332" s="875"/>
      <c r="R332" s="875"/>
      <c r="S332" s="875"/>
      <c r="T332" s="875"/>
      <c r="U332" s="875"/>
      <c r="V332" s="875"/>
      <c r="W332" s="875"/>
      <c r="X332" s="875"/>
      <c r="Y332" s="875"/>
      <c r="Z332" s="875"/>
    </row>
    <row r="333" spans="1:26" ht="19.5" hidden="1">
      <c r="A333" s="993"/>
      <c r="B333" s="883"/>
      <c r="C333" s="999"/>
      <c r="D333" s="883"/>
      <c r="E333" s="884" t="s">
        <v>37</v>
      </c>
      <c r="F333" s="883"/>
      <c r="G333" s="994"/>
      <c r="H333" s="165" t="s">
        <v>12</v>
      </c>
      <c r="I333" s="1000"/>
      <c r="J333" s="1000"/>
      <c r="K333" s="1001"/>
      <c r="L333" s="887">
        <f ca="1">IFERROR(__xludf.DUMMYFUNCTION("IMPORTRANGE(""https://docs.google.com/spreadsheets/d/1MeEWN-I1oV_STSDYn1IFDPWt_1FKiwhDph83XaGc0o0/edit?usp=sharing"",""งบพรบ!EM80"")"),157000)</f>
        <v>157000</v>
      </c>
      <c r="M333" s="887">
        <f ca="1">IFERROR(__xludf.DUMMYFUNCTION("IMPORTRANGE(""https://docs.google.com/spreadsheets/d/1MeEWN-I1oV_STSDYn1IFDPWt_1FKiwhDph83XaGc0o0/edit?usp=sharing"",""งบพรบ!ER80"")"),120250)</f>
        <v>120250</v>
      </c>
      <c r="N333" s="887">
        <f ca="1">IFERROR(__xludf.DUMMYFUNCTION("IMPORTRANGE(""https://docs.google.com/spreadsheets/d/1MeEWN-I1oV_STSDYn1IFDPWt_1FKiwhDph83XaGc0o0/edit?usp=sharing"",""งบพรบ!ET80"")"),36344)</f>
        <v>36344</v>
      </c>
      <c r="O333" s="887">
        <f t="shared" ca="1" si="150"/>
        <v>23.149044585987262</v>
      </c>
      <c r="P333" s="887">
        <f t="shared" ca="1" si="151"/>
        <v>30.223700623700623</v>
      </c>
      <c r="Q333" s="875"/>
      <c r="R333" s="875"/>
      <c r="S333" s="875"/>
      <c r="T333" s="875"/>
      <c r="U333" s="875"/>
      <c r="V333" s="875"/>
      <c r="W333" s="875"/>
      <c r="X333" s="875"/>
      <c r="Y333" s="875"/>
      <c r="Z333" s="875"/>
    </row>
    <row r="334" spans="1:26" ht="18.75">
      <c r="A334" s="995"/>
      <c r="B334" s="877"/>
      <c r="C334" s="996"/>
      <c r="D334" s="878" t="s">
        <v>21</v>
      </c>
      <c r="E334" s="877"/>
      <c r="F334" s="877"/>
      <c r="G334" s="879"/>
      <c r="H334" s="168" t="s">
        <v>12</v>
      </c>
      <c r="I334" s="997"/>
      <c r="J334" s="997"/>
      <c r="K334" s="998"/>
      <c r="L334" s="881">
        <f t="shared" ref="L334:N334" ca="1" si="154">L335+L336</f>
        <v>0</v>
      </c>
      <c r="M334" s="881">
        <f t="shared" ca="1" si="154"/>
        <v>0</v>
      </c>
      <c r="N334" s="881">
        <f t="shared" ca="1" si="154"/>
        <v>0</v>
      </c>
      <c r="O334" s="881">
        <f t="shared" ca="1" si="150"/>
        <v>0</v>
      </c>
      <c r="P334" s="881">
        <f t="shared" ca="1" si="151"/>
        <v>0</v>
      </c>
      <c r="Q334" s="868"/>
      <c r="R334" s="868"/>
      <c r="S334" s="868"/>
      <c r="T334" s="868"/>
      <c r="U334" s="868"/>
      <c r="V334" s="868"/>
      <c r="W334" s="868"/>
      <c r="X334" s="868"/>
      <c r="Y334" s="868"/>
      <c r="Z334" s="868"/>
    </row>
    <row r="335" spans="1:26" ht="19.5" hidden="1">
      <c r="A335" s="993"/>
      <c r="B335" s="883"/>
      <c r="C335" s="999"/>
      <c r="D335" s="883"/>
      <c r="E335" s="884" t="s">
        <v>18</v>
      </c>
      <c r="F335" s="883"/>
      <c r="G335" s="994"/>
      <c r="H335" s="165" t="s">
        <v>12</v>
      </c>
      <c r="I335" s="1000"/>
      <c r="J335" s="1000"/>
      <c r="K335" s="1001"/>
      <c r="L335" s="887">
        <v>0</v>
      </c>
      <c r="M335" s="887">
        <v>0</v>
      </c>
      <c r="N335" s="887">
        <v>0</v>
      </c>
      <c r="O335" s="887">
        <f t="shared" si="150"/>
        <v>0</v>
      </c>
      <c r="P335" s="887">
        <f t="shared" si="151"/>
        <v>0</v>
      </c>
      <c r="Q335" s="875"/>
      <c r="R335" s="875"/>
      <c r="S335" s="875"/>
      <c r="T335" s="875"/>
      <c r="U335" s="875"/>
      <c r="V335" s="875"/>
      <c r="W335" s="875"/>
      <c r="X335" s="875"/>
      <c r="Y335" s="875"/>
      <c r="Z335" s="875"/>
    </row>
    <row r="336" spans="1:26" ht="19.5" hidden="1">
      <c r="A336" s="993"/>
      <c r="B336" s="883"/>
      <c r="C336" s="999"/>
      <c r="D336" s="883"/>
      <c r="E336" s="884" t="s">
        <v>19</v>
      </c>
      <c r="F336" s="883"/>
      <c r="G336" s="994"/>
      <c r="H336" s="169" t="s">
        <v>12</v>
      </c>
      <c r="I336" s="1000"/>
      <c r="J336" s="1000"/>
      <c r="K336" s="1001"/>
      <c r="L336" s="887">
        <f ca="1">IFERROR(__xludf.DUMMYFUNCTION("IMPORTRANGE(""https://docs.google.com/spreadsheets/d/1MeEWN-I1oV_STSDYn1IFDPWt_1FKiwhDph83XaGc0o0/edit?usp=sharing"",""งบพรบ!EP80"")"),0)</f>
        <v>0</v>
      </c>
      <c r="M336" s="887">
        <f ca="1">IFERROR(__xludf.DUMMYFUNCTION("IMPORTRANGE(""https://docs.google.com/spreadsheets/d/1MeEWN-I1oV_STSDYn1IFDPWt_1FKiwhDph83XaGc0o0/edit?usp=sharing"",""งบพรบ!ES80"")"),0)</f>
        <v>0</v>
      </c>
      <c r="N336" s="887">
        <f ca="1">IFERROR(__xludf.DUMMYFUNCTION("IMPORTRANGE(""https://docs.google.com/spreadsheets/d/1MeEWN-I1oV_STSDYn1IFDPWt_1FKiwhDph83XaGc0o0/edit?usp=sharing"",""งบพรบ!EU80"")"),0)</f>
        <v>0</v>
      </c>
      <c r="O336" s="887">
        <f t="shared" ca="1" si="150"/>
        <v>0</v>
      </c>
      <c r="P336" s="887">
        <f t="shared" ca="1" si="151"/>
        <v>0</v>
      </c>
      <c r="Q336" s="875"/>
      <c r="R336" s="875"/>
      <c r="S336" s="875"/>
      <c r="T336" s="875"/>
      <c r="U336" s="875"/>
      <c r="V336" s="875"/>
      <c r="W336" s="875"/>
      <c r="X336" s="875"/>
      <c r="Y336" s="875"/>
      <c r="Z336" s="875"/>
    </row>
    <row r="337" spans="1:26" ht="19.5">
      <c r="A337" s="1002"/>
      <c r="B337" s="1003"/>
      <c r="C337" s="999" t="s">
        <v>16</v>
      </c>
      <c r="D337" s="1004" t="s">
        <v>38</v>
      </c>
      <c r="E337" s="1005"/>
      <c r="F337" s="1005"/>
      <c r="G337" s="1006"/>
      <c r="H337" s="1007"/>
      <c r="I337" s="997"/>
      <c r="J337" s="880"/>
      <c r="K337" s="881"/>
      <c r="L337" s="881"/>
      <c r="M337" s="881"/>
      <c r="N337" s="881"/>
      <c r="O337" s="998"/>
      <c r="P337" s="998"/>
    </row>
    <row r="338" spans="1:26" ht="18.75">
      <c r="A338" s="1086"/>
      <c r="B338" s="877"/>
      <c r="C338" s="1084"/>
      <c r="D338" s="1009" t="s">
        <v>150</v>
      </c>
      <c r="E338" s="1003"/>
      <c r="F338" s="877"/>
      <c r="G338" s="879"/>
      <c r="H338" s="277" t="s">
        <v>35</v>
      </c>
      <c r="I338" s="880">
        <f ca="1">IFERROR(__xludf.DUMMYFUNCTION("IMPORTRANGE(""https://docs.google.com/spreadsheets/d/1QqKyyYR6Q21VydFLVH3TRQUabQu_ym0Zz7PgGX0-kHA/edit?usp=sharing"",""แผน!EG80"")"),300)</f>
        <v>300</v>
      </c>
      <c r="J338" s="880">
        <f ca="1">IFERROR(__xludf.DUMMYFUNCTION("IMPORTRANGE(""https://docs.google.com/spreadsheets/d/1kVcqe37tkHyjCSG3S0O1AXqVkqjo8mSIZil3BcpIysc/edit?usp=sharing"",""ศูนย์!D80"")"),287)</f>
        <v>287</v>
      </c>
      <c r="K338" s="881">
        <f ca="1">IF(I338&gt;0,J338*100/I338,0)</f>
        <v>95.666666666666671</v>
      </c>
      <c r="L338" s="881"/>
      <c r="M338" s="881"/>
      <c r="N338" s="881"/>
      <c r="O338" s="881"/>
      <c r="P338" s="881"/>
    </row>
    <row r="339" spans="1:26" ht="18.75">
      <c r="A339" s="1086"/>
      <c r="B339" s="877"/>
      <c r="C339" s="1084"/>
      <c r="D339" s="1009" t="s">
        <v>151</v>
      </c>
      <c r="E339" s="1003"/>
      <c r="F339" s="877"/>
      <c r="G339" s="879"/>
      <c r="H339" s="277"/>
      <c r="I339" s="880"/>
      <c r="J339" s="880"/>
      <c r="K339" s="881"/>
      <c r="L339" s="881"/>
      <c r="M339" s="881"/>
      <c r="N339" s="881"/>
      <c r="O339" s="881"/>
      <c r="P339" s="881"/>
    </row>
    <row r="340" spans="1:26" ht="18.75">
      <c r="A340" s="1086"/>
      <c r="B340" s="877"/>
      <c r="C340" s="1084"/>
      <c r="D340" s="1010"/>
      <c r="E340" s="1009" t="s">
        <v>152</v>
      </c>
      <c r="F340" s="877"/>
      <c r="G340" s="879"/>
      <c r="H340" s="277" t="s">
        <v>153</v>
      </c>
      <c r="I340" s="880">
        <f ca="1">IFERROR(__xludf.DUMMYFUNCTION("IMPORTRANGE(""https://docs.google.com/spreadsheets/d/1QqKyyYR6Q21VydFLVH3TRQUabQu_ym0Zz7PgGX0-kHA/edit?usp=sharing"",""แผน!EH80"")"),2)</f>
        <v>2</v>
      </c>
      <c r="J340" s="880">
        <f ca="1">IFERROR(__xludf.DUMMYFUNCTION("IMPORTRANGE(""https://docs.google.com/spreadsheets/d/1kVcqe37tkHyjCSG3S0O1AXqVkqjo8mSIZil3BcpIysc/edit?usp=sharing"",""ศูนย์!E80"")"),2)</f>
        <v>2</v>
      </c>
      <c r="K340" s="881">
        <f ca="1">IF(I340&gt;0,J340*100/I340,0)</f>
        <v>100</v>
      </c>
      <c r="L340" s="881"/>
      <c r="M340" s="881"/>
      <c r="N340" s="881"/>
      <c r="O340" s="881"/>
      <c r="P340" s="881"/>
    </row>
    <row r="341" spans="1:26" ht="18.75">
      <c r="A341" s="1086"/>
      <c r="B341" s="877"/>
      <c r="C341" s="1084"/>
      <c r="D341" s="1010"/>
      <c r="E341" s="1009" t="s">
        <v>154</v>
      </c>
      <c r="F341" s="877"/>
      <c r="G341" s="879"/>
      <c r="H341" s="277" t="s">
        <v>35</v>
      </c>
      <c r="I341" s="880"/>
      <c r="J341" s="880">
        <f ca="1">IFERROR(__xludf.DUMMYFUNCTION("IMPORTRANGE(""https://docs.google.com/spreadsheets/d/1kVcqe37tkHyjCSG3S0O1AXqVkqjo8mSIZil3BcpIysc/edit?usp=sharing"",""ศูนย์!F80"")"),69)</f>
        <v>69</v>
      </c>
      <c r="K341" s="881"/>
      <c r="L341" s="881"/>
      <c r="M341" s="881"/>
      <c r="N341" s="881"/>
      <c r="O341" s="881"/>
      <c r="P341" s="881"/>
    </row>
    <row r="342" spans="1:26" ht="18.75">
      <c r="A342" s="1086"/>
      <c r="B342" s="877"/>
      <c r="C342" s="1084"/>
      <c r="D342" s="1009" t="s">
        <v>155</v>
      </c>
      <c r="E342" s="1010"/>
      <c r="F342" s="1010"/>
      <c r="G342" s="879"/>
      <c r="H342" s="277" t="s">
        <v>35</v>
      </c>
      <c r="I342" s="880"/>
      <c r="J342" s="880">
        <f ca="1">IFERROR(__xludf.DUMMYFUNCTION("IMPORTRANGE(""https://docs.google.com/spreadsheets/d/1kVcqe37tkHyjCSG3S0O1AXqVkqjo8mSIZil3BcpIysc/edit?usp=sharing"",""ศูนย์!G80"")"),0)</f>
        <v>0</v>
      </c>
      <c r="K342" s="881"/>
      <c r="L342" s="881"/>
      <c r="M342" s="881"/>
      <c r="N342" s="881"/>
      <c r="O342" s="881"/>
      <c r="P342" s="881"/>
    </row>
    <row r="343" spans="1:26" ht="18.75">
      <c r="A343" s="1086"/>
      <c r="B343" s="877"/>
      <c r="C343" s="1084"/>
      <c r="D343" s="1009" t="s">
        <v>156</v>
      </c>
      <c r="E343" s="1010"/>
      <c r="F343" s="1010"/>
      <c r="G343" s="879"/>
      <c r="H343" s="277" t="s">
        <v>35</v>
      </c>
      <c r="I343" s="880"/>
      <c r="J343" s="880">
        <f ca="1">IFERROR(__xludf.DUMMYFUNCTION("IMPORTRANGE(""https://docs.google.com/spreadsheets/d/1kVcqe37tkHyjCSG3S0O1AXqVkqjo8mSIZil3BcpIysc/edit?usp=sharing"",""ศูนย์!H80"")"),10)</f>
        <v>10</v>
      </c>
      <c r="K343" s="881"/>
      <c r="L343" s="881"/>
      <c r="M343" s="881"/>
      <c r="N343" s="881"/>
      <c r="O343" s="881"/>
      <c r="P343" s="881"/>
    </row>
    <row r="344" spans="1:26" ht="19.5">
      <c r="A344" s="1186"/>
      <c r="B344" s="1187" t="s">
        <v>157</v>
      </c>
      <c r="C344" s="1196"/>
      <c r="D344" s="1188"/>
      <c r="E344" s="1188"/>
      <c r="F344" s="1188"/>
      <c r="G344" s="1189"/>
      <c r="H344" s="444"/>
      <c r="I344" s="1197"/>
      <c r="J344" s="1197"/>
      <c r="K344" s="1192"/>
      <c r="L344" s="1192"/>
      <c r="M344" s="1192"/>
      <c r="N344" s="1192"/>
      <c r="O344" s="1192"/>
      <c r="P344" s="1192"/>
    </row>
    <row r="345" spans="1:26" ht="19.5">
      <c r="A345" s="985"/>
      <c r="B345" s="986"/>
      <c r="C345" s="987" t="s">
        <v>16</v>
      </c>
      <c r="D345" s="988" t="s">
        <v>17</v>
      </c>
      <c r="E345" s="986"/>
      <c r="F345" s="986"/>
      <c r="G345" s="989"/>
      <c r="H345" s="152" t="s">
        <v>12</v>
      </c>
      <c r="I345" s="990"/>
      <c r="J345" s="990"/>
      <c r="K345" s="991"/>
      <c r="L345" s="992">
        <f t="shared" ref="L345:N345" ca="1" si="155">L346+L347</f>
        <v>836060</v>
      </c>
      <c r="M345" s="992">
        <f t="shared" ca="1" si="155"/>
        <v>650300</v>
      </c>
      <c r="N345" s="992">
        <f t="shared" ca="1" si="155"/>
        <v>516006.5</v>
      </c>
      <c r="O345" s="992">
        <f t="shared" ref="O345:O353" ca="1" si="156">IF(L345&gt;0,N345*100/L345,0)</f>
        <v>61.71883596871038</v>
      </c>
      <c r="P345" s="992">
        <f t="shared" ref="P345:P353" ca="1" si="157">IF(M345&gt;0,N345*100/M345,0)</f>
        <v>79.348992772566504</v>
      </c>
      <c r="Q345" s="868"/>
      <c r="R345" s="868"/>
      <c r="S345" s="868"/>
      <c r="T345" s="868"/>
      <c r="U345" s="868"/>
      <c r="V345" s="868"/>
      <c r="W345" s="868"/>
      <c r="X345" s="868"/>
      <c r="Y345" s="868"/>
      <c r="Z345" s="868"/>
    </row>
    <row r="346" spans="1:26" ht="18.75" hidden="1">
      <c r="A346" s="993"/>
      <c r="B346" s="883"/>
      <c r="C346" s="883"/>
      <c r="D346" s="883"/>
      <c r="E346" s="884" t="s">
        <v>18</v>
      </c>
      <c r="F346" s="883"/>
      <c r="G346" s="994"/>
      <c r="H346" s="158" t="s">
        <v>12</v>
      </c>
      <c r="I346" s="886"/>
      <c r="J346" s="886"/>
      <c r="K346" s="887"/>
      <c r="L346" s="887">
        <f t="shared" ref="L346:N347" si="158">L349+L352</f>
        <v>0</v>
      </c>
      <c r="M346" s="887">
        <f t="shared" si="158"/>
        <v>0</v>
      </c>
      <c r="N346" s="887">
        <f t="shared" si="158"/>
        <v>0</v>
      </c>
      <c r="O346" s="887">
        <f t="shared" si="156"/>
        <v>0</v>
      </c>
      <c r="P346" s="887">
        <f t="shared" si="157"/>
        <v>0</v>
      </c>
      <c r="Q346" s="875"/>
      <c r="R346" s="875"/>
      <c r="S346" s="875"/>
      <c r="T346" s="875"/>
      <c r="U346" s="875"/>
      <c r="V346" s="875"/>
      <c r="W346" s="875"/>
      <c r="X346" s="875"/>
      <c r="Y346" s="875"/>
      <c r="Z346" s="875"/>
    </row>
    <row r="347" spans="1:26" ht="18.75" hidden="1">
      <c r="A347" s="993"/>
      <c r="B347" s="883"/>
      <c r="C347" s="883"/>
      <c r="D347" s="883"/>
      <c r="E347" s="884" t="s">
        <v>19</v>
      </c>
      <c r="F347" s="883"/>
      <c r="G347" s="994"/>
      <c r="H347" s="158" t="s">
        <v>12</v>
      </c>
      <c r="I347" s="886"/>
      <c r="J347" s="886"/>
      <c r="K347" s="887"/>
      <c r="L347" s="887">
        <f t="shared" ca="1" si="158"/>
        <v>836060</v>
      </c>
      <c r="M347" s="887">
        <f t="shared" ca="1" si="158"/>
        <v>650300</v>
      </c>
      <c r="N347" s="887">
        <f t="shared" ca="1" si="158"/>
        <v>516006.5</v>
      </c>
      <c r="O347" s="887">
        <f t="shared" ca="1" si="156"/>
        <v>61.71883596871038</v>
      </c>
      <c r="P347" s="887">
        <f t="shared" ca="1" si="157"/>
        <v>79.348992772566504</v>
      </c>
      <c r="Q347" s="875"/>
      <c r="R347" s="875"/>
      <c r="S347" s="875"/>
      <c r="T347" s="875"/>
      <c r="U347" s="875"/>
      <c r="V347" s="875"/>
      <c r="W347" s="875"/>
      <c r="X347" s="875"/>
      <c r="Y347" s="875"/>
      <c r="Z347" s="875"/>
    </row>
    <row r="348" spans="1:26" ht="18.75">
      <c r="A348" s="995"/>
      <c r="B348" s="877"/>
      <c r="C348" s="996"/>
      <c r="D348" s="878" t="s">
        <v>20</v>
      </c>
      <c r="E348" s="877"/>
      <c r="F348" s="877"/>
      <c r="G348" s="879"/>
      <c r="H348" s="161" t="s">
        <v>12</v>
      </c>
      <c r="I348" s="997"/>
      <c r="J348" s="997"/>
      <c r="K348" s="998"/>
      <c r="L348" s="881">
        <f t="shared" ref="L348:N348" ca="1" si="159">L349+L350</f>
        <v>760060</v>
      </c>
      <c r="M348" s="881">
        <f t="shared" ca="1" si="159"/>
        <v>574300</v>
      </c>
      <c r="N348" s="881">
        <f t="shared" ca="1" si="159"/>
        <v>440006.5</v>
      </c>
      <c r="O348" s="881">
        <f t="shared" ca="1" si="156"/>
        <v>57.891021761439887</v>
      </c>
      <c r="P348" s="881">
        <f t="shared" ca="1" si="157"/>
        <v>76.616141389517679</v>
      </c>
      <c r="Q348" s="868"/>
      <c r="R348" s="868"/>
      <c r="S348" s="868"/>
      <c r="T348" s="868"/>
      <c r="U348" s="868"/>
      <c r="V348" s="868"/>
      <c r="W348" s="868"/>
      <c r="X348" s="868"/>
      <c r="Y348" s="868"/>
      <c r="Z348" s="868"/>
    </row>
    <row r="349" spans="1:26" ht="19.5" hidden="1">
      <c r="A349" s="993"/>
      <c r="B349" s="883"/>
      <c r="C349" s="999"/>
      <c r="D349" s="883"/>
      <c r="E349" s="884" t="s">
        <v>36</v>
      </c>
      <c r="F349" s="883"/>
      <c r="G349" s="994"/>
      <c r="H349" s="165" t="s">
        <v>12</v>
      </c>
      <c r="I349" s="1000"/>
      <c r="J349" s="1000"/>
      <c r="K349" s="1001"/>
      <c r="L349" s="887">
        <v>0</v>
      </c>
      <c r="M349" s="887">
        <v>0</v>
      </c>
      <c r="N349" s="887">
        <v>0</v>
      </c>
      <c r="O349" s="887">
        <f t="shared" si="156"/>
        <v>0</v>
      </c>
      <c r="P349" s="887">
        <f t="shared" si="157"/>
        <v>0</v>
      </c>
      <c r="Q349" s="875"/>
      <c r="R349" s="875"/>
      <c r="S349" s="875"/>
      <c r="T349" s="875"/>
      <c r="U349" s="875"/>
      <c r="V349" s="875"/>
      <c r="W349" s="875"/>
      <c r="X349" s="875"/>
      <c r="Y349" s="875"/>
      <c r="Z349" s="875"/>
    </row>
    <row r="350" spans="1:26" ht="19.5" hidden="1">
      <c r="A350" s="993"/>
      <c r="B350" s="883"/>
      <c r="C350" s="999"/>
      <c r="D350" s="883"/>
      <c r="E350" s="884" t="s">
        <v>37</v>
      </c>
      <c r="F350" s="883"/>
      <c r="G350" s="994"/>
      <c r="H350" s="165" t="s">
        <v>12</v>
      </c>
      <c r="I350" s="1000"/>
      <c r="J350" s="1000"/>
      <c r="K350" s="1001"/>
      <c r="L350" s="887">
        <f ca="1">IFERROR(__xludf.DUMMYFUNCTION("IMPORTRANGE(""https://docs.google.com/spreadsheets/d/1MeEWN-I1oV_STSDYn1IFDPWt_1FKiwhDph83XaGc0o0/edit?usp=sharing"",""งบพรบ!EW80"")"),760060)</f>
        <v>760060</v>
      </c>
      <c r="M350" s="887">
        <f ca="1">IFERROR(__xludf.DUMMYFUNCTION("IMPORTRANGE(""https://docs.google.com/spreadsheets/d/1MeEWN-I1oV_STSDYn1IFDPWt_1FKiwhDph83XaGc0o0/edit?usp=sharing"",""งบพรบ!FB80"")"),574300)</f>
        <v>574300</v>
      </c>
      <c r="N350" s="887">
        <f ca="1">IFERROR(__xludf.DUMMYFUNCTION("IMPORTRANGE(""https://docs.google.com/spreadsheets/d/1MeEWN-I1oV_STSDYn1IFDPWt_1FKiwhDph83XaGc0o0/edit?usp=sharing"",""งบพรบ!FD80"")"),440006.5)</f>
        <v>440006.5</v>
      </c>
      <c r="O350" s="887">
        <f t="shared" ca="1" si="156"/>
        <v>57.891021761439887</v>
      </c>
      <c r="P350" s="887">
        <f t="shared" ca="1" si="157"/>
        <v>76.616141389517679</v>
      </c>
      <c r="Q350" s="875"/>
      <c r="R350" s="875"/>
      <c r="S350" s="875"/>
      <c r="T350" s="875"/>
      <c r="U350" s="875"/>
      <c r="V350" s="875"/>
      <c r="W350" s="875"/>
      <c r="X350" s="875"/>
      <c r="Y350" s="875"/>
      <c r="Z350" s="875"/>
    </row>
    <row r="351" spans="1:26" ht="18.75">
      <c r="A351" s="995"/>
      <c r="B351" s="877"/>
      <c r="C351" s="996"/>
      <c r="D351" s="878" t="s">
        <v>21</v>
      </c>
      <c r="E351" s="877"/>
      <c r="F351" s="877"/>
      <c r="G351" s="879"/>
      <c r="H351" s="168" t="s">
        <v>12</v>
      </c>
      <c r="I351" s="997"/>
      <c r="J351" s="997"/>
      <c r="K351" s="998"/>
      <c r="L351" s="881">
        <f t="shared" ref="L351:N351" ca="1" si="160">L352+L353</f>
        <v>76000</v>
      </c>
      <c r="M351" s="881">
        <f t="shared" ca="1" si="160"/>
        <v>76000</v>
      </c>
      <c r="N351" s="881">
        <f t="shared" ca="1" si="160"/>
        <v>76000</v>
      </c>
      <c r="O351" s="881">
        <f t="shared" ca="1" si="156"/>
        <v>100</v>
      </c>
      <c r="P351" s="881">
        <f t="shared" ca="1" si="157"/>
        <v>100</v>
      </c>
      <c r="Q351" s="868"/>
      <c r="R351" s="868"/>
      <c r="S351" s="868"/>
      <c r="T351" s="868"/>
      <c r="U351" s="868"/>
      <c r="V351" s="868"/>
      <c r="W351" s="868"/>
      <c r="X351" s="868"/>
      <c r="Y351" s="868"/>
      <c r="Z351" s="868"/>
    </row>
    <row r="352" spans="1:26" ht="19.5" hidden="1">
      <c r="A352" s="993"/>
      <c r="B352" s="883"/>
      <c r="C352" s="999"/>
      <c r="D352" s="883"/>
      <c r="E352" s="884" t="s">
        <v>18</v>
      </c>
      <c r="F352" s="883"/>
      <c r="G352" s="994"/>
      <c r="H352" s="165" t="s">
        <v>12</v>
      </c>
      <c r="I352" s="1000"/>
      <c r="J352" s="1000"/>
      <c r="K352" s="1001"/>
      <c r="L352" s="887">
        <v>0</v>
      </c>
      <c r="M352" s="887">
        <v>0</v>
      </c>
      <c r="N352" s="887">
        <v>0</v>
      </c>
      <c r="O352" s="887">
        <f t="shared" si="156"/>
        <v>0</v>
      </c>
      <c r="P352" s="887">
        <f t="shared" si="157"/>
        <v>0</v>
      </c>
      <c r="Q352" s="875"/>
      <c r="R352" s="875"/>
      <c r="S352" s="875"/>
      <c r="T352" s="875"/>
      <c r="U352" s="875"/>
      <c r="V352" s="875"/>
      <c r="W352" s="875"/>
      <c r="X352" s="875"/>
      <c r="Y352" s="875"/>
      <c r="Z352" s="875"/>
    </row>
    <row r="353" spans="1:26" ht="19.5" hidden="1">
      <c r="A353" s="993"/>
      <c r="B353" s="883"/>
      <c r="C353" s="999"/>
      <c r="D353" s="883"/>
      <c r="E353" s="884" t="s">
        <v>19</v>
      </c>
      <c r="F353" s="883"/>
      <c r="G353" s="994"/>
      <c r="H353" s="169" t="s">
        <v>12</v>
      </c>
      <c r="I353" s="1000"/>
      <c r="J353" s="1000"/>
      <c r="K353" s="1001"/>
      <c r="L353" s="887">
        <f ca="1">IFERROR(__xludf.DUMMYFUNCTION("IMPORTRANGE(""https://docs.google.com/spreadsheets/d/1MeEWN-I1oV_STSDYn1IFDPWt_1FKiwhDph83XaGc0o0/edit?usp=sharing"",""งบพรบ!EZ80"")"),76000)</f>
        <v>76000</v>
      </c>
      <c r="M353" s="887">
        <f ca="1">IFERROR(__xludf.DUMMYFUNCTION("IMPORTRANGE(""https://docs.google.com/spreadsheets/d/1MeEWN-I1oV_STSDYn1IFDPWt_1FKiwhDph83XaGc0o0/edit?usp=sharing"",""งบพรบ!FC80"")"),76000)</f>
        <v>76000</v>
      </c>
      <c r="N353" s="887">
        <f ca="1">IFERROR(__xludf.DUMMYFUNCTION("IMPORTRANGE(""https://docs.google.com/spreadsheets/d/1MeEWN-I1oV_STSDYn1IFDPWt_1FKiwhDph83XaGc0o0/edit?usp=sharing"",""งบพรบ!FE80"")"),76000)</f>
        <v>76000</v>
      </c>
      <c r="O353" s="887">
        <f t="shared" ca="1" si="156"/>
        <v>100</v>
      </c>
      <c r="P353" s="887">
        <f t="shared" ca="1" si="157"/>
        <v>100</v>
      </c>
      <c r="Q353" s="875"/>
      <c r="R353" s="875"/>
      <c r="S353" s="875"/>
      <c r="T353" s="875"/>
      <c r="U353" s="875"/>
      <c r="V353" s="875"/>
      <c r="W353" s="875"/>
      <c r="X353" s="875"/>
      <c r="Y353" s="875"/>
      <c r="Z353" s="875"/>
    </row>
    <row r="354" spans="1:26" ht="19.5">
      <c r="A354" s="1063"/>
      <c r="B354" s="1070"/>
      <c r="C354" s="1064"/>
      <c r="D354" s="1198" t="s">
        <v>158</v>
      </c>
      <c r="E354" s="1064"/>
      <c r="F354" s="1064"/>
      <c r="G354" s="1066"/>
      <c r="H354" s="1199"/>
      <c r="I354" s="1067"/>
      <c r="J354" s="1067"/>
      <c r="K354" s="1068"/>
      <c r="L354" s="1068"/>
      <c r="M354" s="1068"/>
      <c r="N354" s="1068"/>
      <c r="O354" s="1068"/>
      <c r="P354" s="1068"/>
    </row>
    <row r="355" spans="1:26" ht="19.5">
      <c r="A355" s="1200"/>
      <c r="B355" s="1201"/>
      <c r="C355" s="1202"/>
      <c r="D355" s="1203" t="s">
        <v>159</v>
      </c>
      <c r="E355" s="1204"/>
      <c r="F355" s="1204"/>
      <c r="G355" s="1205"/>
      <c r="H355" s="463" t="s">
        <v>35</v>
      </c>
      <c r="I355" s="1206">
        <f ca="1">IFERROR(__xludf.DUMMYFUNCTION("IMPORTRANGE(""https://docs.google.com/spreadsheets/d/1QqKyyYR6Q21VydFLVH3TRQUabQu_ym0Zz7PgGX0-kHA/edit?usp=sharing"",""แผน!EP80"")"),84)</f>
        <v>84</v>
      </c>
      <c r="J355" s="1206">
        <f ca="1">J362</f>
        <v>56</v>
      </c>
      <c r="K355" s="1207">
        <f ca="1">IF(I355&gt;0,J355*100/I355,0)</f>
        <v>66.666666666666671</v>
      </c>
      <c r="L355" s="1208"/>
      <c r="M355" s="1208"/>
      <c r="N355" s="1208"/>
      <c r="O355" s="1208"/>
      <c r="P355" s="1208"/>
    </row>
    <row r="356" spans="1:26" ht="19.5">
      <c r="A356" s="1200"/>
      <c r="B356" s="1201"/>
      <c r="C356" s="1202"/>
      <c r="D356" s="1209" t="s">
        <v>160</v>
      </c>
      <c r="E356" s="1204"/>
      <c r="F356" s="1204"/>
      <c r="G356" s="1205"/>
      <c r="H356" s="1210"/>
      <c r="I356" s="1211"/>
      <c r="J356" s="1211"/>
      <c r="K356" s="1208"/>
      <c r="L356" s="1208"/>
      <c r="M356" s="1208"/>
      <c r="N356" s="1208"/>
      <c r="O356" s="1208"/>
      <c r="P356" s="1208"/>
    </row>
    <row r="357" spans="1:26" ht="19.5">
      <c r="A357" s="1002"/>
      <c r="B357" s="1003"/>
      <c r="C357" s="999" t="s">
        <v>16</v>
      </c>
      <c r="D357" s="1004" t="s">
        <v>38</v>
      </c>
      <c r="E357" s="1005"/>
      <c r="F357" s="1005"/>
      <c r="G357" s="1006"/>
      <c r="H357" s="1007"/>
      <c r="I357" s="880"/>
      <c r="J357" s="880"/>
      <c r="K357" s="881"/>
      <c r="L357" s="998"/>
      <c r="M357" s="998"/>
      <c r="N357" s="998"/>
      <c r="O357" s="998"/>
      <c r="P357" s="998"/>
    </row>
    <row r="358" spans="1:26" ht="18.75">
      <c r="A358" s="1002"/>
      <c r="B358" s="1010"/>
      <c r="C358" s="1003"/>
      <c r="D358" s="1010"/>
      <c r="E358" s="1008" t="s">
        <v>161</v>
      </c>
      <c r="F358" s="1010"/>
      <c r="G358" s="1011"/>
      <c r="H358" s="185" t="s">
        <v>35</v>
      </c>
      <c r="I358" s="880">
        <v>0</v>
      </c>
      <c r="J358" s="880">
        <f ca="1">IFERROR(__xludf.DUMMYFUNCTION("IMPORTRANGE(""https://docs.google.com/spreadsheets/d/1XWAQStnk-4SwqDmLtmXYiTMKHgktTP8We1SCoS47DrQ/edit?usp=sharing"",""จัดที่ดิน!W80"")"),56)</f>
        <v>56</v>
      </c>
      <c r="K358" s="881">
        <f t="shared" ref="K358:K365" si="161">IF(I358&gt;0,J358*100/I358,0)</f>
        <v>0</v>
      </c>
      <c r="L358" s="998"/>
      <c r="M358" s="998"/>
      <c r="N358" s="998"/>
      <c r="O358" s="998"/>
      <c r="P358" s="998"/>
    </row>
    <row r="359" spans="1:26" ht="18.75">
      <c r="A359" s="1002"/>
      <c r="B359" s="1010"/>
      <c r="C359" s="1003"/>
      <c r="D359" s="1010"/>
      <c r="E359" s="1010"/>
      <c r="F359" s="1010"/>
      <c r="G359" s="1011"/>
      <c r="H359" s="185" t="s">
        <v>46</v>
      </c>
      <c r="I359" s="880">
        <f ca="1">IFERROR(__xludf.DUMMYFUNCTION("IMPORTRANGE(""https://docs.google.com/spreadsheets/d/1QqKyyYR6Q21VydFLVH3TRQUabQu_ym0Zz7PgGX0-kHA/edit?usp=sharing"",""แผน!EO80"")"),400)</f>
        <v>400</v>
      </c>
      <c r="J359" s="880">
        <f ca="1">IFERROR(__xludf.DUMMYFUNCTION("IMPORTRANGE(""https://docs.google.com/spreadsheets/d/1XWAQStnk-4SwqDmLtmXYiTMKHgktTP8We1SCoS47DrQ/edit?usp=sharing"",""จัดที่ดิน!X80"")"),274.47)</f>
        <v>274.47000000000003</v>
      </c>
      <c r="K359" s="881">
        <f t="shared" ca="1" si="161"/>
        <v>68.617500000000007</v>
      </c>
      <c r="L359" s="998"/>
      <c r="M359" s="998"/>
      <c r="N359" s="998"/>
      <c r="O359" s="998"/>
      <c r="P359" s="998"/>
    </row>
    <row r="360" spans="1:26" ht="18.75">
      <c r="A360" s="1002"/>
      <c r="B360" s="1010"/>
      <c r="C360" s="1003"/>
      <c r="D360" s="1010"/>
      <c r="E360" s="1008" t="s">
        <v>162</v>
      </c>
      <c r="F360" s="1010"/>
      <c r="G360" s="1011"/>
      <c r="H360" s="762" t="s">
        <v>35</v>
      </c>
      <c r="I360" s="880">
        <f ca="1">IFERROR(__xludf.DUMMYFUNCTION("IMPORTRANGE(""https://docs.google.com/spreadsheets/d/1QqKyyYR6Q21VydFLVH3TRQUabQu_ym0Zz7PgGX0-kHA/edit?usp=sharing"",""แผน!EP80"")"),84)</f>
        <v>84</v>
      </c>
      <c r="J360" s="880">
        <f ca="1">IFERROR(__xludf.DUMMYFUNCTION("IMPORTRANGE(""https://docs.google.com/spreadsheets/d/1XWAQStnk-4SwqDmLtmXYiTMKHgktTP8We1SCoS47DrQ/edit?usp=sharing"",""จัดที่ดิน!Y80"")"),56)</f>
        <v>56</v>
      </c>
      <c r="K360" s="881">
        <f t="shared" ca="1" si="161"/>
        <v>66.666666666666671</v>
      </c>
      <c r="L360" s="998"/>
      <c r="M360" s="998"/>
      <c r="N360" s="998"/>
      <c r="O360" s="998"/>
      <c r="P360" s="998"/>
    </row>
    <row r="361" spans="1:26" ht="18.75">
      <c r="A361" s="1002"/>
      <c r="B361" s="1010"/>
      <c r="C361" s="1003"/>
      <c r="D361" s="1010"/>
      <c r="E361" s="1010"/>
      <c r="F361" s="1010"/>
      <c r="G361" s="1011"/>
      <c r="H361" s="762" t="s">
        <v>46</v>
      </c>
      <c r="I361" s="880">
        <v>0</v>
      </c>
      <c r="J361" s="880">
        <f ca="1">IFERROR(__xludf.DUMMYFUNCTION("IMPORTRANGE(""https://docs.google.com/spreadsheets/d/1XWAQStnk-4SwqDmLtmXYiTMKHgktTP8We1SCoS47DrQ/edit?usp=sharing"",""จัดที่ดิน!Z80"")"),274.47)</f>
        <v>274.47000000000003</v>
      </c>
      <c r="K361" s="881">
        <f t="shared" si="161"/>
        <v>0</v>
      </c>
      <c r="L361" s="998"/>
      <c r="M361" s="998"/>
      <c r="N361" s="998"/>
      <c r="O361" s="998"/>
      <c r="P361" s="998"/>
    </row>
    <row r="362" spans="1:26" ht="18.75">
      <c r="A362" s="1002"/>
      <c r="B362" s="1010"/>
      <c r="C362" s="1003"/>
      <c r="D362" s="1010"/>
      <c r="E362" s="1008" t="s">
        <v>163</v>
      </c>
      <c r="F362" s="1010"/>
      <c r="G362" s="1011"/>
      <c r="H362" s="762" t="s">
        <v>35</v>
      </c>
      <c r="I362" s="880">
        <f ca="1">IFERROR(__xludf.DUMMYFUNCTION("IMPORTRANGE(""https://docs.google.com/spreadsheets/d/1QqKyyYR6Q21VydFLVH3TRQUabQu_ym0Zz7PgGX0-kHA/edit?usp=sharing"",""แผน!EP80"")"),84)</f>
        <v>84</v>
      </c>
      <c r="J362" s="880">
        <f ca="1">IFERROR(__xludf.DUMMYFUNCTION("IMPORTRANGE(""https://docs.google.com/spreadsheets/d/1XWAQStnk-4SwqDmLtmXYiTMKHgktTP8We1SCoS47DrQ/edit?usp=sharing"",""จัดที่ดิน!AA80"")"),56)</f>
        <v>56</v>
      </c>
      <c r="K362" s="881">
        <f t="shared" ca="1" si="161"/>
        <v>66.666666666666671</v>
      </c>
      <c r="L362" s="998"/>
      <c r="M362" s="998"/>
      <c r="N362" s="998"/>
      <c r="O362" s="998"/>
      <c r="P362" s="998"/>
    </row>
    <row r="363" spans="1:26" ht="18.75">
      <c r="A363" s="1212" t="s">
        <v>164</v>
      </c>
      <c r="B363" s="1010"/>
      <c r="C363" s="1003"/>
      <c r="D363" s="1010"/>
      <c r="E363" s="1009"/>
      <c r="F363" s="1010"/>
      <c r="G363" s="1011"/>
      <c r="H363" s="762" t="s">
        <v>46</v>
      </c>
      <c r="I363" s="880">
        <v>0</v>
      </c>
      <c r="J363" s="880">
        <f ca="1">IFERROR(__xludf.DUMMYFUNCTION("IMPORTRANGE(""https://docs.google.com/spreadsheets/d/1XWAQStnk-4SwqDmLtmXYiTMKHgktTP8We1SCoS47DrQ/edit?usp=sharing"",""จัดที่ดิน!AB80"")"),274.47)</f>
        <v>274.47000000000003</v>
      </c>
      <c r="K363" s="881">
        <f t="shared" si="161"/>
        <v>0</v>
      </c>
      <c r="L363" s="998"/>
      <c r="M363" s="998"/>
      <c r="N363" s="998"/>
      <c r="O363" s="998"/>
      <c r="P363" s="998"/>
    </row>
    <row r="364" spans="1:26" ht="19.5">
      <c r="A364" s="1213"/>
      <c r="B364" s="1214"/>
      <c r="C364" s="1215"/>
      <c r="D364" s="1216" t="s">
        <v>165</v>
      </c>
      <c r="E364" s="1217"/>
      <c r="F364" s="1217"/>
      <c r="G364" s="1218"/>
      <c r="H364" s="478" t="s">
        <v>35</v>
      </c>
      <c r="I364" s="1219">
        <f t="shared" ref="I364:J364" ca="1" si="162">I365+I374</f>
        <v>134</v>
      </c>
      <c r="J364" s="1219">
        <f t="shared" ca="1" si="162"/>
        <v>83</v>
      </c>
      <c r="K364" s="1220">
        <f t="shared" ca="1" si="161"/>
        <v>61.940298507462686</v>
      </c>
      <c r="L364" s="1221"/>
      <c r="M364" s="1221"/>
      <c r="N364" s="1221"/>
      <c r="O364" s="1221"/>
      <c r="P364" s="122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222"/>
      <c r="B365" s="1223"/>
      <c r="C365" s="1224"/>
      <c r="D365" s="1224" t="s">
        <v>166</v>
      </c>
      <c r="E365" s="1225"/>
      <c r="F365" s="1225"/>
      <c r="G365" s="1226"/>
      <c r="H365" s="489" t="s">
        <v>35</v>
      </c>
      <c r="I365" s="1227">
        <f ca="1">IFERROR(__xludf.DUMMYFUNCTION("IMPORTRANGE(""https://docs.google.com/spreadsheets/d/1QqKyyYR6Q21VydFLVH3TRQUabQu_ym0Zz7PgGX0-kHA/edit?usp=sharing"",""แผน!EJ80"")"),30)</f>
        <v>30</v>
      </c>
      <c r="J365" s="1227">
        <f ca="1">J372</f>
        <v>40</v>
      </c>
      <c r="K365" s="1228">
        <f t="shared" ca="1" si="161"/>
        <v>133.33333333333334</v>
      </c>
      <c r="L365" s="1229"/>
      <c r="M365" s="1229"/>
      <c r="N365" s="1229"/>
      <c r="O365" s="1229"/>
      <c r="P365" s="1229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222"/>
      <c r="B366" s="1223"/>
      <c r="C366" s="1224"/>
      <c r="D366" s="1230" t="s">
        <v>167</v>
      </c>
      <c r="E366" s="1225"/>
      <c r="F366" s="1225"/>
      <c r="G366" s="1226"/>
      <c r="H366" s="1231"/>
      <c r="I366" s="1232"/>
      <c r="J366" s="1232"/>
      <c r="K366" s="1229"/>
      <c r="L366" s="1229"/>
      <c r="M366" s="1229"/>
      <c r="N366" s="1229"/>
      <c r="O366" s="1229"/>
      <c r="P366" s="1229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002"/>
      <c r="B367" s="1003"/>
      <c r="C367" s="999" t="s">
        <v>16</v>
      </c>
      <c r="D367" s="1004" t="s">
        <v>38</v>
      </c>
      <c r="E367" s="1005"/>
      <c r="F367" s="1005"/>
      <c r="G367" s="1006"/>
      <c r="H367" s="1007"/>
      <c r="I367" s="880"/>
      <c r="J367" s="880"/>
      <c r="K367" s="881"/>
      <c r="L367" s="998"/>
      <c r="M367" s="998"/>
      <c r="N367" s="998"/>
      <c r="O367" s="998"/>
      <c r="P367" s="998"/>
    </row>
    <row r="368" spans="1:26" ht="18.75">
      <c r="A368" s="1002"/>
      <c r="B368" s="1010"/>
      <c r="C368" s="1003"/>
      <c r="D368" s="1010"/>
      <c r="E368" s="1008" t="s">
        <v>161</v>
      </c>
      <c r="F368" s="1010"/>
      <c r="G368" s="1011"/>
      <c r="H368" s="185" t="s">
        <v>35</v>
      </c>
      <c r="I368" s="880">
        <v>0</v>
      </c>
      <c r="J368" s="880">
        <f ca="1">IFERROR(__xludf.DUMMYFUNCTION("IMPORTRANGE(""https://docs.google.com/spreadsheets/d/1XWAQStnk-4SwqDmLtmXYiTMKHgktTP8We1SCoS47DrQ/edit?usp=sharing"",""จัดที่ดิน!E80"")"),40)</f>
        <v>40</v>
      </c>
      <c r="K368" s="881">
        <f t="shared" ref="K368:K374" si="163">IF(I368&gt;0,J368*100/I368,0)</f>
        <v>0</v>
      </c>
      <c r="L368" s="998"/>
      <c r="M368" s="998"/>
      <c r="N368" s="998"/>
      <c r="O368" s="998"/>
      <c r="P368" s="998"/>
    </row>
    <row r="369" spans="1:26" ht="18.75">
      <c r="A369" s="1002"/>
      <c r="B369" s="1010"/>
      <c r="C369" s="1003"/>
      <c r="D369" s="1010"/>
      <c r="E369" s="1010"/>
      <c r="F369" s="1010"/>
      <c r="G369" s="1011"/>
      <c r="H369" s="185" t="s">
        <v>46</v>
      </c>
      <c r="I369" s="880">
        <f ca="1">IFERROR(__xludf.DUMMYFUNCTION("IMPORTRANGE(""https://docs.google.com/spreadsheets/d/1QqKyyYR6Q21VydFLVH3TRQUabQu_ym0Zz7PgGX0-kHA/edit?usp=sharing"",""แผน!EI80"")"),200)</f>
        <v>200</v>
      </c>
      <c r="J369" s="880">
        <f ca="1">IFERROR(__xludf.DUMMYFUNCTION("IMPORTRANGE(""https://docs.google.com/spreadsheets/d/1XWAQStnk-4SwqDmLtmXYiTMKHgktTP8We1SCoS47DrQ/edit?usp=sharing"",""จัดที่ดิน!F80"")"),201.59)</f>
        <v>201.59</v>
      </c>
      <c r="K369" s="881">
        <f t="shared" ca="1" si="163"/>
        <v>100.795</v>
      </c>
      <c r="L369" s="998"/>
      <c r="M369" s="998"/>
      <c r="N369" s="998"/>
      <c r="O369" s="998"/>
      <c r="P369" s="998"/>
    </row>
    <row r="370" spans="1:26" ht="18.75">
      <c r="A370" s="1002"/>
      <c r="B370" s="1010"/>
      <c r="C370" s="1003"/>
      <c r="D370" s="1010"/>
      <c r="E370" s="1008" t="s">
        <v>162</v>
      </c>
      <c r="F370" s="1010"/>
      <c r="G370" s="1011"/>
      <c r="H370" s="762" t="s">
        <v>35</v>
      </c>
      <c r="I370" s="880">
        <f ca="1">IFERROR(__xludf.DUMMYFUNCTION("IMPORTRANGE(""https://docs.google.com/spreadsheets/d/1QqKyyYR6Q21VydFLVH3TRQUabQu_ym0Zz7PgGX0-kHA/edit?usp=sharing"",""แผน!EJ80"")"),30)</f>
        <v>30</v>
      </c>
      <c r="J370" s="880">
        <f ca="1">IFERROR(__xludf.DUMMYFUNCTION("IMPORTRANGE(""https://docs.google.com/spreadsheets/d/1XWAQStnk-4SwqDmLtmXYiTMKHgktTP8We1SCoS47DrQ/edit?usp=sharing"",""จัดที่ดิน!G80"")"),40)</f>
        <v>40</v>
      </c>
      <c r="K370" s="881">
        <f t="shared" ca="1" si="163"/>
        <v>133.33333333333334</v>
      </c>
      <c r="L370" s="998"/>
      <c r="M370" s="998"/>
      <c r="N370" s="998"/>
      <c r="O370" s="998"/>
      <c r="P370" s="998"/>
    </row>
    <row r="371" spans="1:26" ht="18.75">
      <c r="A371" s="1002"/>
      <c r="B371" s="1010"/>
      <c r="C371" s="1003"/>
      <c r="D371" s="1010"/>
      <c r="E371" s="1010"/>
      <c r="F371" s="1010"/>
      <c r="G371" s="1011"/>
      <c r="H371" s="762" t="s">
        <v>46</v>
      </c>
      <c r="I371" s="880">
        <v>0</v>
      </c>
      <c r="J371" s="880">
        <f ca="1">IFERROR(__xludf.DUMMYFUNCTION("IMPORTRANGE(""https://docs.google.com/spreadsheets/d/1XWAQStnk-4SwqDmLtmXYiTMKHgktTP8We1SCoS47DrQ/edit?usp=sharing"",""จัดที่ดิน!H80"")"),201.59)</f>
        <v>201.59</v>
      </c>
      <c r="K371" s="881">
        <f t="shared" si="163"/>
        <v>0</v>
      </c>
      <c r="L371" s="998"/>
      <c r="M371" s="998"/>
      <c r="N371" s="998"/>
      <c r="O371" s="998"/>
      <c r="P371" s="998"/>
    </row>
    <row r="372" spans="1:26" ht="18.75">
      <c r="A372" s="1002"/>
      <c r="B372" s="1010"/>
      <c r="C372" s="1003"/>
      <c r="D372" s="1010"/>
      <c r="E372" s="1008" t="s">
        <v>163</v>
      </c>
      <c r="F372" s="1010"/>
      <c r="G372" s="1011"/>
      <c r="H372" s="762" t="s">
        <v>35</v>
      </c>
      <c r="I372" s="880">
        <f ca="1">IFERROR(__xludf.DUMMYFUNCTION("IMPORTRANGE(""https://docs.google.com/spreadsheets/d/1QqKyyYR6Q21VydFLVH3TRQUabQu_ym0Zz7PgGX0-kHA/edit?usp=sharing"",""แผน!EJ80"")"),30)</f>
        <v>30</v>
      </c>
      <c r="J372" s="880">
        <f ca="1">IFERROR(__xludf.DUMMYFUNCTION("IMPORTRANGE(""https://docs.google.com/spreadsheets/d/1XWAQStnk-4SwqDmLtmXYiTMKHgktTP8We1SCoS47DrQ/edit?usp=sharing"",""จัดที่ดิน!I80"")"),40)</f>
        <v>40</v>
      </c>
      <c r="K372" s="881">
        <f t="shared" ca="1" si="163"/>
        <v>133.33333333333334</v>
      </c>
      <c r="L372" s="998"/>
      <c r="M372" s="998"/>
      <c r="N372" s="998"/>
      <c r="O372" s="998"/>
      <c r="P372" s="998"/>
    </row>
    <row r="373" spans="1:26" ht="18.75">
      <c r="A373" s="1212" t="s">
        <v>164</v>
      </c>
      <c r="B373" s="1010"/>
      <c r="C373" s="1003"/>
      <c r="D373" s="1010"/>
      <c r="E373" s="1009"/>
      <c r="F373" s="1010"/>
      <c r="G373" s="1011"/>
      <c r="H373" s="762" t="s">
        <v>46</v>
      </c>
      <c r="I373" s="880">
        <v>0</v>
      </c>
      <c r="J373" s="880">
        <f ca="1">IFERROR(__xludf.DUMMYFUNCTION("IMPORTRANGE(""https://docs.google.com/spreadsheets/d/1XWAQStnk-4SwqDmLtmXYiTMKHgktTP8We1SCoS47DrQ/edit?usp=sharing"",""จัดที่ดิน!J80"")"),201.59)</f>
        <v>201.59</v>
      </c>
      <c r="K373" s="881">
        <f t="shared" si="163"/>
        <v>0</v>
      </c>
      <c r="L373" s="998"/>
      <c r="M373" s="998"/>
      <c r="N373" s="998"/>
      <c r="O373" s="998"/>
      <c r="P373" s="998"/>
    </row>
    <row r="374" spans="1:26" ht="19.5">
      <c r="A374" s="1222"/>
      <c r="B374" s="1223"/>
      <c r="C374" s="1224"/>
      <c r="D374" s="1224" t="s">
        <v>168</v>
      </c>
      <c r="E374" s="1225"/>
      <c r="F374" s="1225"/>
      <c r="G374" s="1226"/>
      <c r="H374" s="489" t="s">
        <v>35</v>
      </c>
      <c r="I374" s="1233">
        <f ca="1">IFERROR(__xludf.DUMMYFUNCTION("IMPORTRANGE(""https://docs.google.com/spreadsheets/d/1QqKyyYR6Q21VydFLVH3TRQUabQu_ym0Zz7PgGX0-kHA/edit?usp=sharing"",""แผน!EU80"")"),104)</f>
        <v>104</v>
      </c>
      <c r="J374" s="1227">
        <f ca="1">J381</f>
        <v>43</v>
      </c>
      <c r="K374" s="1228">
        <f t="shared" ca="1" si="163"/>
        <v>41.346153846153847</v>
      </c>
      <c r="L374" s="1229"/>
      <c r="M374" s="1229"/>
      <c r="N374" s="1229"/>
      <c r="O374" s="1229"/>
      <c r="P374" s="1229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222"/>
      <c r="B375" s="1223"/>
      <c r="C375" s="1224"/>
      <c r="D375" s="1230" t="s">
        <v>169</v>
      </c>
      <c r="E375" s="1225"/>
      <c r="F375" s="1225"/>
      <c r="G375" s="1226"/>
      <c r="H375" s="1231"/>
      <c r="I375" s="1232"/>
      <c r="J375" s="1232"/>
      <c r="K375" s="1229"/>
      <c r="L375" s="1229"/>
      <c r="M375" s="1229"/>
      <c r="N375" s="1229"/>
      <c r="O375" s="1229"/>
      <c r="P375" s="1229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002"/>
      <c r="B376" s="1003"/>
      <c r="C376" s="999" t="s">
        <v>16</v>
      </c>
      <c r="D376" s="1004" t="s">
        <v>38</v>
      </c>
      <c r="E376" s="1005"/>
      <c r="F376" s="1005"/>
      <c r="G376" s="1006"/>
      <c r="H376" s="1007"/>
      <c r="I376" s="880"/>
      <c r="J376" s="880"/>
      <c r="K376" s="881"/>
      <c r="L376" s="998"/>
      <c r="M376" s="998"/>
      <c r="N376" s="998"/>
      <c r="O376" s="998"/>
      <c r="P376" s="998"/>
    </row>
    <row r="377" spans="1:26" ht="18.75">
      <c r="A377" s="1002"/>
      <c r="B377" s="1010"/>
      <c r="C377" s="1003"/>
      <c r="D377" s="1010"/>
      <c r="E377" s="1008" t="s">
        <v>161</v>
      </c>
      <c r="F377" s="1010"/>
      <c r="G377" s="1011"/>
      <c r="H377" s="185" t="s">
        <v>35</v>
      </c>
      <c r="I377" s="880">
        <v>0</v>
      </c>
      <c r="J377" s="880">
        <f ca="1">IFERROR(__xludf.DUMMYFUNCTION("IMPORTRANGE(""https://docs.google.com/spreadsheets/d/1XWAQStnk-4SwqDmLtmXYiTMKHgktTP8We1SCoS47DrQ/edit?usp=sharing"",""จัดที่ดิน!AH80"")"),16)</f>
        <v>16</v>
      </c>
      <c r="K377" s="881">
        <f t="shared" ref="K377:K382" si="164">IF(I377&gt;0,J377*100/I377,0)</f>
        <v>0</v>
      </c>
      <c r="L377" s="998"/>
      <c r="M377" s="998"/>
      <c r="N377" s="998"/>
      <c r="O377" s="998"/>
      <c r="P377" s="998"/>
    </row>
    <row r="378" spans="1:26" ht="18.75">
      <c r="A378" s="1002"/>
      <c r="B378" s="1010"/>
      <c r="C378" s="1003"/>
      <c r="D378" s="1010"/>
      <c r="E378" s="1010"/>
      <c r="F378" s="1010"/>
      <c r="G378" s="1011"/>
      <c r="H378" s="185" t="s">
        <v>46</v>
      </c>
      <c r="I378" s="880">
        <f ca="1">IFERROR(__xludf.DUMMYFUNCTION("IMPORTRANGE(""https://docs.google.com/spreadsheets/d/1QqKyyYR6Q21VydFLVH3TRQUabQu_ym0Zz7PgGX0-kHA/edit?usp=sharing"",""แผน!ET80"")"),200)</f>
        <v>200</v>
      </c>
      <c r="J378" s="880">
        <f ca="1">IFERROR(__xludf.DUMMYFUNCTION("IMPORTRANGE(""https://docs.google.com/spreadsheets/d/1XWAQStnk-4SwqDmLtmXYiTMKHgktTP8We1SCoS47DrQ/edit?usp=sharing"",""จัดที่ดิน!AI80"")"),72.88)</f>
        <v>72.88</v>
      </c>
      <c r="K378" s="881">
        <f t="shared" ca="1" si="164"/>
        <v>36.44</v>
      </c>
      <c r="L378" s="998"/>
      <c r="M378" s="998"/>
      <c r="N378" s="998"/>
      <c r="O378" s="998"/>
      <c r="P378" s="998"/>
    </row>
    <row r="379" spans="1:26" ht="18.75">
      <c r="A379" s="1002"/>
      <c r="B379" s="1010"/>
      <c r="C379" s="1003"/>
      <c r="D379" s="1010"/>
      <c r="E379" s="1008" t="s">
        <v>162</v>
      </c>
      <c r="F379" s="1010"/>
      <c r="G379" s="1011"/>
      <c r="H379" s="762" t="s">
        <v>35</v>
      </c>
      <c r="I379" s="880">
        <f ca="1">IFERROR(__xludf.DUMMYFUNCTION("IMPORTRANGE(""https://docs.google.com/spreadsheets/d/1QqKyyYR6Q21VydFLVH3TRQUabQu_ym0Zz7PgGX0-kHA/edit?usp=sharing"",""แผน!EU80"")"),104)</f>
        <v>104</v>
      </c>
      <c r="J379" s="880">
        <f ca="1">IFERROR(__xludf.DUMMYFUNCTION("IMPORTRANGE(""https://docs.google.com/spreadsheets/d/1XWAQStnk-4SwqDmLtmXYiTMKHgktTP8We1SCoS47DrQ/edit?usp=sharing"",""จัดที่ดิน!AJ80"")"),55)</f>
        <v>55</v>
      </c>
      <c r="K379" s="881">
        <f t="shared" ca="1" si="164"/>
        <v>52.884615384615387</v>
      </c>
      <c r="L379" s="998"/>
      <c r="M379" s="998"/>
      <c r="N379" s="998"/>
      <c r="O379" s="998"/>
      <c r="P379" s="998"/>
    </row>
    <row r="380" spans="1:26" ht="18.75">
      <c r="A380" s="1002"/>
      <c r="B380" s="1010"/>
      <c r="C380" s="1003"/>
      <c r="D380" s="1010"/>
      <c r="E380" s="1010"/>
      <c r="F380" s="1010"/>
      <c r="G380" s="1011"/>
      <c r="H380" s="762" t="s">
        <v>46</v>
      </c>
      <c r="I380" s="880">
        <v>0</v>
      </c>
      <c r="J380" s="880">
        <f ca="1">IFERROR(__xludf.DUMMYFUNCTION("IMPORTRANGE(""https://docs.google.com/spreadsheets/d/1XWAQStnk-4SwqDmLtmXYiTMKHgktTP8We1SCoS47DrQ/edit?usp=sharing"",""จัดที่ดิน!AK80"")"),250.94)</f>
        <v>250.94</v>
      </c>
      <c r="K380" s="881">
        <f t="shared" si="164"/>
        <v>0</v>
      </c>
      <c r="L380" s="998"/>
      <c r="M380" s="998"/>
      <c r="N380" s="998"/>
      <c r="O380" s="998"/>
      <c r="P380" s="998"/>
    </row>
    <row r="381" spans="1:26" ht="18.75">
      <c r="A381" s="1002"/>
      <c r="B381" s="1010"/>
      <c r="C381" s="1003"/>
      <c r="D381" s="1010"/>
      <c r="E381" s="1008" t="s">
        <v>163</v>
      </c>
      <c r="F381" s="1010"/>
      <c r="G381" s="1011"/>
      <c r="H381" s="762" t="s">
        <v>35</v>
      </c>
      <c r="I381" s="880">
        <f ca="1">IFERROR(__xludf.DUMMYFUNCTION("IMPORTRANGE(""https://docs.google.com/spreadsheets/d/1QqKyyYR6Q21VydFLVH3TRQUabQu_ym0Zz7PgGX0-kHA/edit?usp=sharing"",""แผน!EU80"")"),104)</f>
        <v>104</v>
      </c>
      <c r="J381" s="880">
        <f ca="1">IFERROR(__xludf.DUMMYFUNCTION("IMPORTRANGE(""https://docs.google.com/spreadsheets/d/1XWAQStnk-4SwqDmLtmXYiTMKHgktTP8We1SCoS47DrQ/edit?usp=sharing"",""จัดที่ดิน!AL80"")"),43)</f>
        <v>43</v>
      </c>
      <c r="K381" s="881">
        <f t="shared" ca="1" si="164"/>
        <v>41.346153846153847</v>
      </c>
      <c r="L381" s="998"/>
      <c r="M381" s="998"/>
      <c r="N381" s="998"/>
      <c r="O381" s="998"/>
      <c r="P381" s="998"/>
    </row>
    <row r="382" spans="1:26" ht="18.75">
      <c r="A382" s="1212" t="s">
        <v>164</v>
      </c>
      <c r="B382" s="1010"/>
      <c r="C382" s="1003"/>
      <c r="D382" s="1010"/>
      <c r="E382" s="1009"/>
      <c r="F382" s="1010"/>
      <c r="G382" s="1011"/>
      <c r="H382" s="762" t="s">
        <v>46</v>
      </c>
      <c r="I382" s="880">
        <v>0</v>
      </c>
      <c r="J382" s="880">
        <f ca="1">IFERROR(__xludf.DUMMYFUNCTION("IMPORTRANGE(""https://docs.google.com/spreadsheets/d/1XWAQStnk-4SwqDmLtmXYiTMKHgktTP8We1SCoS47DrQ/edit?usp=sharing"",""จัดที่ดิน!AM80"")"),156.14)</f>
        <v>156.13999999999999</v>
      </c>
      <c r="K382" s="881">
        <f t="shared" si="164"/>
        <v>0</v>
      </c>
      <c r="L382" s="998"/>
      <c r="M382" s="998"/>
      <c r="N382" s="998"/>
      <c r="O382" s="998"/>
      <c r="P382" s="998"/>
    </row>
    <row r="383" spans="1:26" ht="19.5">
      <c r="A383" s="1234"/>
      <c r="B383" s="1235"/>
      <c r="C383" s="1091"/>
      <c r="D383" s="1236" t="s">
        <v>170</v>
      </c>
      <c r="E383" s="1091"/>
      <c r="F383" s="1091"/>
      <c r="G383" s="1237"/>
      <c r="H383" s="1199"/>
      <c r="I383" s="1067"/>
      <c r="J383" s="1067"/>
      <c r="K383" s="1068"/>
      <c r="L383" s="1068"/>
      <c r="M383" s="1068"/>
      <c r="N383" s="1068"/>
      <c r="O383" s="1068"/>
      <c r="P383" s="1068"/>
    </row>
    <row r="384" spans="1:26" ht="19.5">
      <c r="A384" s="1002"/>
      <c r="B384" s="1003"/>
      <c r="C384" s="877" t="s">
        <v>16</v>
      </c>
      <c r="D384" s="1004" t="s">
        <v>38</v>
      </c>
      <c r="E384" s="1005"/>
      <c r="F384" s="1005"/>
      <c r="G384" s="1006"/>
      <c r="H384" s="1007"/>
      <c r="I384" s="880"/>
      <c r="J384" s="880"/>
      <c r="K384" s="881"/>
      <c r="L384" s="998"/>
      <c r="M384" s="998"/>
      <c r="N384" s="998"/>
      <c r="O384" s="998"/>
      <c r="P384" s="998"/>
    </row>
    <row r="385" spans="1:26" ht="18.75">
      <c r="A385" s="1133"/>
      <c r="B385" s="1136"/>
      <c r="C385" s="1134"/>
      <c r="D385" s="1136"/>
      <c r="E385" s="1238" t="s">
        <v>171</v>
      </c>
      <c r="F385" s="1136"/>
      <c r="G385" s="1137"/>
      <c r="H385" s="504" t="s">
        <v>35</v>
      </c>
      <c r="I385" s="1138">
        <f ca="1">IFERROR(__xludf.DUMMYFUNCTION("IMPORTRANGE(""https://docs.google.com/spreadsheets/d/1QqKyyYR6Q21VydFLVH3TRQUabQu_ym0Zz7PgGX0-kHA/edit?usp=sharing"",""แผน!EW80"")"),0)</f>
        <v>0</v>
      </c>
      <c r="J385" s="1138">
        <f ca="1">IFERROR(__xludf.DUMMYFUNCTION("IMPORTRANGE(""https://docs.google.com/spreadsheets/d/1XWAQStnk-4SwqDmLtmXYiTMKHgktTP8We1SCoS47DrQ/edit?usp=sharing"",""จัดที่ดิน!AP80"")"),0)</f>
        <v>0</v>
      </c>
      <c r="K385" s="1239">
        <f ca="1">IF(I385&gt;0,J385*100/I385,0)</f>
        <v>0</v>
      </c>
      <c r="L385" s="1139"/>
      <c r="M385" s="1139"/>
      <c r="N385" s="1139"/>
      <c r="O385" s="1139"/>
      <c r="P385" s="1139"/>
    </row>
    <row r="386" spans="1:26" ht="19.5" hidden="1">
      <c r="A386" s="1240" t="s">
        <v>172</v>
      </c>
      <c r="B386" s="1241"/>
      <c r="C386" s="1241"/>
      <c r="D386" s="1241"/>
      <c r="E386" s="1242"/>
      <c r="F386" s="1242"/>
      <c r="G386" s="1243"/>
      <c r="H386" s="1244"/>
      <c r="I386" s="1245"/>
      <c r="J386" s="1245"/>
      <c r="K386" s="1246"/>
      <c r="L386" s="1246"/>
      <c r="M386" s="1246"/>
      <c r="N386" s="1246"/>
      <c r="O386" s="1246"/>
      <c r="P386" s="1246"/>
    </row>
    <row r="387" spans="1:26" ht="19.5" hidden="1">
      <c r="A387" s="1247" t="s">
        <v>173</v>
      </c>
      <c r="B387" s="1248"/>
      <c r="C387" s="1248"/>
      <c r="D387" s="1249"/>
      <c r="E387" s="1248"/>
      <c r="F387" s="1248"/>
      <c r="G387" s="1248"/>
      <c r="H387" s="1250"/>
      <c r="I387" s="1251"/>
      <c r="J387" s="1251"/>
      <c r="K387" s="1252"/>
      <c r="L387" s="1252"/>
      <c r="M387" s="1252"/>
      <c r="N387" s="1252"/>
      <c r="O387" s="1252"/>
      <c r="P387" s="1252"/>
    </row>
    <row r="388" spans="1:26" ht="19.5" hidden="1">
      <c r="A388" s="1253"/>
      <c r="B388" s="1254" t="s">
        <v>174</v>
      </c>
      <c r="C388" s="1255"/>
      <c r="D388" s="1256"/>
      <c r="E388" s="1256"/>
      <c r="F388" s="1256"/>
      <c r="G388" s="1257"/>
      <c r="H388" s="525" t="s">
        <v>66</v>
      </c>
      <c r="I388" s="1258">
        <f t="shared" ref="I388:J388" si="165">I400</f>
        <v>0</v>
      </c>
      <c r="J388" s="1258">
        <f t="shared" si="165"/>
        <v>0</v>
      </c>
      <c r="K388" s="1259">
        <f>IF(I388&gt;0,J388*100/I388,0)</f>
        <v>0</v>
      </c>
      <c r="L388" s="1260"/>
      <c r="M388" s="1260"/>
      <c r="N388" s="1260"/>
      <c r="O388" s="1260"/>
      <c r="P388" s="1260"/>
    </row>
    <row r="389" spans="1:26" ht="19.5" hidden="1">
      <c r="A389" s="985"/>
      <c r="B389" s="986"/>
      <c r="C389" s="987" t="s">
        <v>16</v>
      </c>
      <c r="D389" s="988" t="s">
        <v>17</v>
      </c>
      <c r="E389" s="986"/>
      <c r="F389" s="986"/>
      <c r="G389" s="989"/>
      <c r="H389" s="152" t="s">
        <v>12</v>
      </c>
      <c r="I389" s="990"/>
      <c r="J389" s="990"/>
      <c r="K389" s="991"/>
      <c r="L389" s="992">
        <f t="shared" ref="L389:N389" ca="1" si="166">L390+L391</f>
        <v>0</v>
      </c>
      <c r="M389" s="992">
        <f t="shared" ca="1" si="166"/>
        <v>0</v>
      </c>
      <c r="N389" s="992">
        <f t="shared" ca="1" si="166"/>
        <v>0</v>
      </c>
      <c r="O389" s="992">
        <f t="shared" ref="O389:O397" ca="1" si="167">IF(L389&gt;0,N389*100/L389,0)</f>
        <v>0</v>
      </c>
      <c r="P389" s="992">
        <f t="shared" ref="P389:P397" ca="1" si="168">IF(M389&gt;0,N389*100/M389,0)</f>
        <v>0</v>
      </c>
      <c r="Q389" s="868"/>
      <c r="R389" s="868"/>
      <c r="S389" s="868"/>
      <c r="T389" s="868"/>
      <c r="U389" s="868"/>
      <c r="V389" s="868"/>
      <c r="W389" s="868"/>
      <c r="X389" s="868"/>
      <c r="Y389" s="868"/>
      <c r="Z389" s="868"/>
    </row>
    <row r="390" spans="1:26" ht="18.75" hidden="1">
      <c r="A390" s="993"/>
      <c r="B390" s="883"/>
      <c r="C390" s="883"/>
      <c r="D390" s="883"/>
      <c r="E390" s="884" t="s">
        <v>18</v>
      </c>
      <c r="F390" s="883"/>
      <c r="G390" s="994"/>
      <c r="H390" s="158" t="s">
        <v>12</v>
      </c>
      <c r="I390" s="886"/>
      <c r="J390" s="886"/>
      <c r="K390" s="887"/>
      <c r="L390" s="887">
        <f t="shared" ref="L390:N391" si="169">L393+L396</f>
        <v>0</v>
      </c>
      <c r="M390" s="887">
        <f t="shared" si="169"/>
        <v>0</v>
      </c>
      <c r="N390" s="887">
        <f t="shared" si="169"/>
        <v>0</v>
      </c>
      <c r="O390" s="887">
        <f t="shared" si="167"/>
        <v>0</v>
      </c>
      <c r="P390" s="887">
        <f t="shared" si="168"/>
        <v>0</v>
      </c>
      <c r="Q390" s="875"/>
      <c r="R390" s="875"/>
      <c r="S390" s="875"/>
      <c r="T390" s="875"/>
      <c r="U390" s="875"/>
      <c r="V390" s="875"/>
      <c r="W390" s="875"/>
      <c r="X390" s="875"/>
      <c r="Y390" s="875"/>
      <c r="Z390" s="875"/>
    </row>
    <row r="391" spans="1:26" ht="18.75" hidden="1">
      <c r="A391" s="993"/>
      <c r="B391" s="883"/>
      <c r="C391" s="883"/>
      <c r="D391" s="883"/>
      <c r="E391" s="884" t="s">
        <v>19</v>
      </c>
      <c r="F391" s="883"/>
      <c r="G391" s="994"/>
      <c r="H391" s="158" t="s">
        <v>12</v>
      </c>
      <c r="I391" s="886"/>
      <c r="J391" s="886"/>
      <c r="K391" s="887"/>
      <c r="L391" s="887">
        <f t="shared" ca="1" si="169"/>
        <v>0</v>
      </c>
      <c r="M391" s="887">
        <f t="shared" ca="1" si="169"/>
        <v>0</v>
      </c>
      <c r="N391" s="887">
        <f t="shared" ca="1" si="169"/>
        <v>0</v>
      </c>
      <c r="O391" s="887">
        <f t="shared" ca="1" si="167"/>
        <v>0</v>
      </c>
      <c r="P391" s="887">
        <f t="shared" ca="1" si="168"/>
        <v>0</v>
      </c>
      <c r="Q391" s="875"/>
      <c r="R391" s="875"/>
      <c r="S391" s="875"/>
      <c r="T391" s="875"/>
      <c r="U391" s="875"/>
      <c r="V391" s="875"/>
      <c r="W391" s="875"/>
      <c r="X391" s="875"/>
      <c r="Y391" s="875"/>
      <c r="Z391" s="875"/>
    </row>
    <row r="392" spans="1:26" ht="18.75" hidden="1">
      <c r="A392" s="995"/>
      <c r="B392" s="877"/>
      <c r="C392" s="996"/>
      <c r="D392" s="878" t="s">
        <v>20</v>
      </c>
      <c r="E392" s="877"/>
      <c r="F392" s="877"/>
      <c r="G392" s="879"/>
      <c r="H392" s="161" t="s">
        <v>12</v>
      </c>
      <c r="I392" s="997"/>
      <c r="J392" s="997"/>
      <c r="K392" s="998"/>
      <c r="L392" s="881">
        <f t="shared" ref="L392:N392" ca="1" si="170">L393+L394</f>
        <v>0</v>
      </c>
      <c r="M392" s="881">
        <f t="shared" ca="1" si="170"/>
        <v>0</v>
      </c>
      <c r="N392" s="881">
        <f t="shared" ca="1" si="170"/>
        <v>0</v>
      </c>
      <c r="O392" s="881">
        <f t="shared" ca="1" si="167"/>
        <v>0</v>
      </c>
      <c r="P392" s="881">
        <f t="shared" ca="1" si="168"/>
        <v>0</v>
      </c>
      <c r="Q392" s="868"/>
      <c r="R392" s="868"/>
      <c r="S392" s="868"/>
      <c r="T392" s="868"/>
      <c r="U392" s="868"/>
      <c r="V392" s="868"/>
      <c r="W392" s="868"/>
      <c r="X392" s="868"/>
      <c r="Y392" s="868"/>
      <c r="Z392" s="868"/>
    </row>
    <row r="393" spans="1:26" ht="19.5" hidden="1">
      <c r="A393" s="993"/>
      <c r="B393" s="883"/>
      <c r="C393" s="999"/>
      <c r="D393" s="883"/>
      <c r="E393" s="884" t="s">
        <v>36</v>
      </c>
      <c r="F393" s="883"/>
      <c r="G393" s="994"/>
      <c r="H393" s="165" t="s">
        <v>12</v>
      </c>
      <c r="I393" s="1000"/>
      <c r="J393" s="1000"/>
      <c r="K393" s="1001"/>
      <c r="L393" s="887">
        <v>0</v>
      </c>
      <c r="M393" s="887">
        <v>0</v>
      </c>
      <c r="N393" s="887">
        <v>0</v>
      </c>
      <c r="O393" s="887">
        <f t="shared" si="167"/>
        <v>0</v>
      </c>
      <c r="P393" s="887">
        <f t="shared" si="168"/>
        <v>0</v>
      </c>
      <c r="Q393" s="875"/>
      <c r="R393" s="875"/>
      <c r="S393" s="875"/>
      <c r="T393" s="875"/>
      <c r="U393" s="875"/>
      <c r="V393" s="875"/>
      <c r="W393" s="875"/>
      <c r="X393" s="875"/>
      <c r="Y393" s="875"/>
      <c r="Z393" s="875"/>
    </row>
    <row r="394" spans="1:26" ht="19.5" hidden="1">
      <c r="A394" s="993"/>
      <c r="B394" s="883"/>
      <c r="C394" s="999"/>
      <c r="D394" s="883"/>
      <c r="E394" s="884" t="s">
        <v>37</v>
      </c>
      <c r="F394" s="883"/>
      <c r="G394" s="994"/>
      <c r="H394" s="165" t="s">
        <v>12</v>
      </c>
      <c r="I394" s="1000"/>
      <c r="J394" s="1000"/>
      <c r="K394" s="1001"/>
      <c r="L394" s="887">
        <f ca="1">IFERROR(__xludf.DUMMYFUNCTION("IMPORTRANGE(""https://docs.google.com/spreadsheets/d/1MeEWN-I1oV_STSDYn1IFDPWt_1FKiwhDph83XaGc0o0/edit?usp=sharing"",""งบพรบ!FG80"")"),0)</f>
        <v>0</v>
      </c>
      <c r="M394" s="887">
        <f ca="1">IFERROR(__xludf.DUMMYFUNCTION("IMPORTRANGE(""https://docs.google.com/spreadsheets/d/1MeEWN-I1oV_STSDYn1IFDPWt_1FKiwhDph83XaGc0o0/edit?usp=sharing"",""งบพรบ!FL80"")"),0)</f>
        <v>0</v>
      </c>
      <c r="N394" s="887">
        <f ca="1">IFERROR(__xludf.DUMMYFUNCTION("IMPORTRANGE(""https://docs.google.com/spreadsheets/d/1MeEWN-I1oV_STSDYn1IFDPWt_1FKiwhDph83XaGc0o0/edit?usp=sharing"",""งบพรบ!FN80"")"),0)</f>
        <v>0</v>
      </c>
      <c r="O394" s="887">
        <f t="shared" ca="1" si="167"/>
        <v>0</v>
      </c>
      <c r="P394" s="887">
        <f t="shared" ca="1" si="168"/>
        <v>0</v>
      </c>
      <c r="Q394" s="875"/>
      <c r="R394" s="875"/>
      <c r="S394" s="875"/>
      <c r="T394" s="875"/>
      <c r="U394" s="875"/>
      <c r="V394" s="875"/>
      <c r="W394" s="875"/>
      <c r="X394" s="875"/>
      <c r="Y394" s="875"/>
      <c r="Z394" s="875"/>
    </row>
    <row r="395" spans="1:26" ht="18.75" hidden="1">
      <c r="A395" s="995"/>
      <c r="B395" s="877"/>
      <c r="C395" s="996"/>
      <c r="D395" s="878" t="s">
        <v>21</v>
      </c>
      <c r="E395" s="877"/>
      <c r="F395" s="877"/>
      <c r="G395" s="879"/>
      <c r="H395" s="168" t="s">
        <v>12</v>
      </c>
      <c r="I395" s="997"/>
      <c r="J395" s="997"/>
      <c r="K395" s="998"/>
      <c r="L395" s="881">
        <f t="shared" ref="L395:N395" ca="1" si="171">L396+L397</f>
        <v>0</v>
      </c>
      <c r="M395" s="881">
        <f t="shared" ca="1" si="171"/>
        <v>0</v>
      </c>
      <c r="N395" s="881">
        <f t="shared" ca="1" si="171"/>
        <v>0</v>
      </c>
      <c r="O395" s="881">
        <f t="shared" ca="1" si="167"/>
        <v>0</v>
      </c>
      <c r="P395" s="881">
        <f t="shared" ca="1" si="168"/>
        <v>0</v>
      </c>
      <c r="Q395" s="868"/>
      <c r="R395" s="868"/>
      <c r="S395" s="868"/>
      <c r="T395" s="868"/>
      <c r="U395" s="868"/>
      <c r="V395" s="868"/>
      <c r="W395" s="868"/>
      <c r="X395" s="868"/>
      <c r="Y395" s="868"/>
      <c r="Z395" s="868"/>
    </row>
    <row r="396" spans="1:26" ht="19.5" hidden="1">
      <c r="A396" s="993"/>
      <c r="B396" s="883"/>
      <c r="C396" s="999"/>
      <c r="D396" s="883"/>
      <c r="E396" s="884" t="s">
        <v>18</v>
      </c>
      <c r="F396" s="883"/>
      <c r="G396" s="994"/>
      <c r="H396" s="165" t="s">
        <v>12</v>
      </c>
      <c r="I396" s="1000"/>
      <c r="J396" s="1000"/>
      <c r="K396" s="1001"/>
      <c r="L396" s="887">
        <v>0</v>
      </c>
      <c r="M396" s="887">
        <v>0</v>
      </c>
      <c r="N396" s="887">
        <v>0</v>
      </c>
      <c r="O396" s="887">
        <f t="shared" si="167"/>
        <v>0</v>
      </c>
      <c r="P396" s="887">
        <f t="shared" si="168"/>
        <v>0</v>
      </c>
      <c r="Q396" s="875"/>
      <c r="R396" s="875"/>
      <c r="S396" s="875"/>
      <c r="T396" s="875"/>
      <c r="U396" s="875"/>
      <c r="V396" s="875"/>
      <c r="W396" s="875"/>
      <c r="X396" s="875"/>
      <c r="Y396" s="875"/>
      <c r="Z396" s="875"/>
    </row>
    <row r="397" spans="1:26" ht="19.5" hidden="1">
      <c r="A397" s="993"/>
      <c r="B397" s="883"/>
      <c r="C397" s="999"/>
      <c r="D397" s="883"/>
      <c r="E397" s="884" t="s">
        <v>19</v>
      </c>
      <c r="F397" s="883"/>
      <c r="G397" s="994"/>
      <c r="H397" s="169" t="s">
        <v>12</v>
      </c>
      <c r="I397" s="1000"/>
      <c r="J397" s="1000"/>
      <c r="K397" s="1001"/>
      <c r="L397" s="887">
        <f ca="1">IFERROR(__xludf.DUMMYFUNCTION("IMPORTRANGE(""https://docs.google.com/spreadsheets/d/1MeEWN-I1oV_STSDYn1IFDPWt_1FKiwhDph83XaGc0o0/edit?usp=sharing"",""งบพรบ!FJ80"")"),0)</f>
        <v>0</v>
      </c>
      <c r="M397" s="887">
        <f ca="1">IFERROR(__xludf.DUMMYFUNCTION("IMPORTRANGE(""https://docs.google.com/spreadsheets/d/1MeEWN-I1oV_STSDYn1IFDPWt_1FKiwhDph83XaGc0o0/edit?usp=sharing"",""งบพรบ!FM80"")"),0)</f>
        <v>0</v>
      </c>
      <c r="N397" s="887">
        <f ca="1">IFERROR(__xludf.DUMMYFUNCTION("IMPORTRANGE(""https://docs.google.com/spreadsheets/d/1MeEWN-I1oV_STSDYn1IFDPWt_1FKiwhDph83XaGc0o0/edit?usp=sharing"",""งบพรบ!FO80"")"),0)</f>
        <v>0</v>
      </c>
      <c r="O397" s="887">
        <f t="shared" ca="1" si="167"/>
        <v>0</v>
      </c>
      <c r="P397" s="887">
        <f t="shared" ca="1" si="168"/>
        <v>0</v>
      </c>
      <c r="Q397" s="875"/>
      <c r="R397" s="875"/>
      <c r="S397" s="875"/>
      <c r="T397" s="875"/>
      <c r="U397" s="875"/>
      <c r="V397" s="875"/>
      <c r="W397" s="875"/>
      <c r="X397" s="875"/>
      <c r="Y397" s="875"/>
      <c r="Z397" s="875"/>
    </row>
    <row r="398" spans="1:26" ht="19.5" hidden="1">
      <c r="A398" s="1002"/>
      <c r="B398" s="1003"/>
      <c r="C398" s="999" t="s">
        <v>16</v>
      </c>
      <c r="D398" s="1004" t="s">
        <v>38</v>
      </c>
      <c r="E398" s="1005"/>
      <c r="F398" s="1005"/>
      <c r="G398" s="1006"/>
      <c r="H398" s="1007"/>
      <c r="I398" s="997"/>
      <c r="J398" s="880"/>
      <c r="K398" s="881"/>
      <c r="L398" s="881"/>
      <c r="M398" s="881"/>
      <c r="N398" s="881"/>
      <c r="O398" s="998"/>
      <c r="P398" s="998"/>
    </row>
    <row r="399" spans="1:26" ht="18.75" hidden="1">
      <c r="A399" s="1261"/>
      <c r="B399" s="986"/>
      <c r="C399" s="1262"/>
      <c r="D399" s="1021" t="s">
        <v>175</v>
      </c>
      <c r="E399" s="1166"/>
      <c r="F399" s="986"/>
      <c r="G399" s="989"/>
      <c r="H399" s="532" t="s">
        <v>9</v>
      </c>
      <c r="I399" s="880">
        <v>0</v>
      </c>
      <c r="J399" s="1012">
        <v>0</v>
      </c>
      <c r="K399" s="881">
        <f t="shared" ref="K399:K401" si="172">IF(I399&gt;0,J399*100/I399,0)</f>
        <v>0</v>
      </c>
      <c r="L399" s="1263"/>
      <c r="M399" s="1263"/>
      <c r="N399" s="1263"/>
      <c r="O399" s="1263"/>
      <c r="P399" s="1263"/>
      <c r="Q399" s="868"/>
      <c r="R399" s="868"/>
      <c r="S399" s="868"/>
      <c r="T399" s="868"/>
      <c r="U399" s="868"/>
      <c r="V399" s="868"/>
      <c r="W399" s="868"/>
      <c r="X399" s="868"/>
      <c r="Y399" s="868"/>
      <c r="Z399" s="868"/>
    </row>
    <row r="400" spans="1:26" ht="18.75" hidden="1">
      <c r="A400" s="1086"/>
      <c r="B400" s="877"/>
      <c r="C400" s="1084"/>
      <c r="D400" s="1009" t="s">
        <v>176</v>
      </c>
      <c r="E400" s="1003"/>
      <c r="F400" s="877"/>
      <c r="G400" s="879"/>
      <c r="H400" s="277" t="s">
        <v>66</v>
      </c>
      <c r="I400" s="880">
        <v>0</v>
      </c>
      <c r="J400" s="1012">
        <v>0</v>
      </c>
      <c r="K400" s="881">
        <f t="shared" si="172"/>
        <v>0</v>
      </c>
      <c r="L400" s="881"/>
      <c r="M400" s="881"/>
      <c r="N400" s="881"/>
      <c r="O400" s="881"/>
      <c r="P400" s="881"/>
    </row>
    <row r="401" spans="1:26" ht="19.5" hidden="1">
      <c r="A401" s="1253"/>
      <c r="B401" s="1254" t="s">
        <v>177</v>
      </c>
      <c r="C401" s="1255"/>
      <c r="D401" s="1256"/>
      <c r="E401" s="1256"/>
      <c r="F401" s="1256"/>
      <c r="G401" s="1257"/>
      <c r="H401" s="525" t="s">
        <v>66</v>
      </c>
      <c r="I401" s="1258">
        <f t="shared" ref="I401:J401" si="173">I412</f>
        <v>0</v>
      </c>
      <c r="J401" s="1258">
        <f t="shared" si="173"/>
        <v>0</v>
      </c>
      <c r="K401" s="1259">
        <f t="shared" si="172"/>
        <v>0</v>
      </c>
      <c r="L401" s="1260"/>
      <c r="M401" s="1260"/>
      <c r="N401" s="1260"/>
      <c r="O401" s="1260"/>
      <c r="P401" s="1260"/>
    </row>
    <row r="402" spans="1:26" ht="19.5" hidden="1">
      <c r="A402" s="985"/>
      <c r="B402" s="986"/>
      <c r="C402" s="987" t="s">
        <v>16</v>
      </c>
      <c r="D402" s="988" t="s">
        <v>17</v>
      </c>
      <c r="E402" s="986"/>
      <c r="F402" s="986"/>
      <c r="G402" s="989"/>
      <c r="H402" s="152" t="s">
        <v>12</v>
      </c>
      <c r="I402" s="990"/>
      <c r="J402" s="990"/>
      <c r="K402" s="991"/>
      <c r="L402" s="992">
        <f t="shared" ref="L402:N402" ca="1" si="174">L403+L404</f>
        <v>0</v>
      </c>
      <c r="M402" s="992">
        <f t="shared" ca="1" si="174"/>
        <v>0</v>
      </c>
      <c r="N402" s="992">
        <f t="shared" ca="1" si="174"/>
        <v>0</v>
      </c>
      <c r="O402" s="992">
        <f t="shared" ref="O402:O410" ca="1" si="175">IF(L402&gt;0,N402*100/L402,0)</f>
        <v>0</v>
      </c>
      <c r="P402" s="992">
        <f t="shared" ref="P402:P410" ca="1" si="176">IF(M402&gt;0,N402*100/M402,0)</f>
        <v>0</v>
      </c>
      <c r="Q402" s="868"/>
      <c r="R402" s="868"/>
      <c r="S402" s="868"/>
      <c r="T402" s="868"/>
      <c r="U402" s="868"/>
      <c r="V402" s="868"/>
      <c r="W402" s="868"/>
      <c r="X402" s="868"/>
      <c r="Y402" s="868"/>
      <c r="Z402" s="868"/>
    </row>
    <row r="403" spans="1:26" ht="18.75" hidden="1">
      <c r="A403" s="993"/>
      <c r="B403" s="883"/>
      <c r="C403" s="883"/>
      <c r="D403" s="883"/>
      <c r="E403" s="884" t="s">
        <v>18</v>
      </c>
      <c r="F403" s="883"/>
      <c r="G403" s="994"/>
      <c r="H403" s="158" t="s">
        <v>12</v>
      </c>
      <c r="I403" s="886"/>
      <c r="J403" s="886"/>
      <c r="K403" s="887"/>
      <c r="L403" s="887">
        <f t="shared" ref="L403:N404" si="177">L406+L409</f>
        <v>0</v>
      </c>
      <c r="M403" s="887">
        <f t="shared" si="177"/>
        <v>0</v>
      </c>
      <c r="N403" s="887">
        <f t="shared" si="177"/>
        <v>0</v>
      </c>
      <c r="O403" s="887">
        <f t="shared" si="175"/>
        <v>0</v>
      </c>
      <c r="P403" s="887">
        <f t="shared" si="176"/>
        <v>0</v>
      </c>
      <c r="Q403" s="875"/>
      <c r="R403" s="875"/>
      <c r="S403" s="875"/>
      <c r="T403" s="875"/>
      <c r="U403" s="875"/>
      <c r="V403" s="875"/>
      <c r="W403" s="875"/>
      <c r="X403" s="875"/>
      <c r="Y403" s="875"/>
      <c r="Z403" s="875"/>
    </row>
    <row r="404" spans="1:26" ht="18.75" hidden="1">
      <c r="A404" s="993"/>
      <c r="B404" s="883"/>
      <c r="C404" s="883"/>
      <c r="D404" s="883"/>
      <c r="E404" s="884" t="s">
        <v>19</v>
      </c>
      <c r="F404" s="883"/>
      <c r="G404" s="994"/>
      <c r="H404" s="158" t="s">
        <v>12</v>
      </c>
      <c r="I404" s="886"/>
      <c r="J404" s="886"/>
      <c r="K404" s="887"/>
      <c r="L404" s="887">
        <f t="shared" ca="1" si="177"/>
        <v>0</v>
      </c>
      <c r="M404" s="887">
        <f t="shared" ca="1" si="177"/>
        <v>0</v>
      </c>
      <c r="N404" s="887">
        <f t="shared" ca="1" si="177"/>
        <v>0</v>
      </c>
      <c r="O404" s="887">
        <f t="shared" ca="1" si="175"/>
        <v>0</v>
      </c>
      <c r="P404" s="887">
        <f t="shared" ca="1" si="176"/>
        <v>0</v>
      </c>
      <c r="Q404" s="875"/>
      <c r="R404" s="875"/>
      <c r="S404" s="875"/>
      <c r="T404" s="875"/>
      <c r="U404" s="875"/>
      <c r="V404" s="875"/>
      <c r="W404" s="875"/>
      <c r="X404" s="875"/>
      <c r="Y404" s="875"/>
      <c r="Z404" s="875"/>
    </row>
    <row r="405" spans="1:26" ht="18.75" hidden="1">
      <c r="A405" s="995"/>
      <c r="B405" s="877"/>
      <c r="C405" s="996"/>
      <c r="D405" s="878" t="s">
        <v>20</v>
      </c>
      <c r="E405" s="877"/>
      <c r="F405" s="877"/>
      <c r="G405" s="879"/>
      <c r="H405" s="161" t="s">
        <v>12</v>
      </c>
      <c r="I405" s="997"/>
      <c r="J405" s="997"/>
      <c r="K405" s="998"/>
      <c r="L405" s="881">
        <f t="shared" ref="L405:N405" ca="1" si="178">L406+L407</f>
        <v>0</v>
      </c>
      <c r="M405" s="881">
        <f t="shared" ca="1" si="178"/>
        <v>0</v>
      </c>
      <c r="N405" s="881">
        <f t="shared" ca="1" si="178"/>
        <v>0</v>
      </c>
      <c r="O405" s="881">
        <f t="shared" ca="1" si="175"/>
        <v>0</v>
      </c>
      <c r="P405" s="881">
        <f t="shared" ca="1" si="176"/>
        <v>0</v>
      </c>
      <c r="Q405" s="868"/>
      <c r="R405" s="868"/>
      <c r="S405" s="868"/>
      <c r="T405" s="868"/>
      <c r="U405" s="868"/>
      <c r="V405" s="868"/>
      <c r="W405" s="868"/>
      <c r="X405" s="868"/>
      <c r="Y405" s="868"/>
      <c r="Z405" s="868"/>
    </row>
    <row r="406" spans="1:26" ht="19.5" hidden="1">
      <c r="A406" s="993"/>
      <c r="B406" s="883"/>
      <c r="C406" s="999"/>
      <c r="D406" s="883"/>
      <c r="E406" s="884" t="s">
        <v>36</v>
      </c>
      <c r="F406" s="883"/>
      <c r="G406" s="994"/>
      <c r="H406" s="165" t="s">
        <v>12</v>
      </c>
      <c r="I406" s="1000"/>
      <c r="J406" s="1000"/>
      <c r="K406" s="1001"/>
      <c r="L406" s="887">
        <v>0</v>
      </c>
      <c r="M406" s="887">
        <v>0</v>
      </c>
      <c r="N406" s="887">
        <v>0</v>
      </c>
      <c r="O406" s="887">
        <f t="shared" si="175"/>
        <v>0</v>
      </c>
      <c r="P406" s="887">
        <f t="shared" si="176"/>
        <v>0</v>
      </c>
      <c r="Q406" s="875"/>
      <c r="R406" s="875"/>
      <c r="S406" s="875"/>
      <c r="T406" s="875"/>
      <c r="U406" s="875"/>
      <c r="V406" s="875"/>
      <c r="W406" s="875"/>
      <c r="X406" s="875"/>
      <c r="Y406" s="875"/>
      <c r="Z406" s="875"/>
    </row>
    <row r="407" spans="1:26" ht="19.5" hidden="1">
      <c r="A407" s="993"/>
      <c r="B407" s="883"/>
      <c r="C407" s="999"/>
      <c r="D407" s="883"/>
      <c r="E407" s="884" t="s">
        <v>37</v>
      </c>
      <c r="F407" s="883"/>
      <c r="G407" s="994"/>
      <c r="H407" s="165" t="s">
        <v>12</v>
      </c>
      <c r="I407" s="1000"/>
      <c r="J407" s="1000"/>
      <c r="K407" s="1001"/>
      <c r="L407" s="887">
        <f ca="1">IFERROR(__xludf.DUMMYFUNCTION("IMPORTRANGE(""https://docs.google.com/spreadsheets/d/1MeEWN-I1oV_STSDYn1IFDPWt_1FKiwhDph83XaGc0o0/edit?usp=sharing"",""งบพรบ!FQ80"")"),0)</f>
        <v>0</v>
      </c>
      <c r="M407" s="887">
        <f ca="1">IFERROR(__xludf.DUMMYFUNCTION("IMPORTRANGE(""https://docs.google.com/spreadsheets/d/1MeEWN-I1oV_STSDYn1IFDPWt_1FKiwhDph83XaGc0o0/edit?usp=sharing"",""งบพรบ!FV80"")"),0)</f>
        <v>0</v>
      </c>
      <c r="N407" s="887">
        <f ca="1">IFERROR(__xludf.DUMMYFUNCTION("IMPORTRANGE(""https://docs.google.com/spreadsheets/d/1MeEWN-I1oV_STSDYn1IFDPWt_1FKiwhDph83XaGc0o0/edit?usp=sharing"",""งบพรบ!FX80"")"),0)</f>
        <v>0</v>
      </c>
      <c r="O407" s="887">
        <f t="shared" ca="1" si="175"/>
        <v>0</v>
      </c>
      <c r="P407" s="887">
        <f t="shared" ca="1" si="176"/>
        <v>0</v>
      </c>
      <c r="Q407" s="875"/>
      <c r="R407" s="875"/>
      <c r="S407" s="875"/>
      <c r="T407" s="875"/>
      <c r="U407" s="875"/>
      <c r="V407" s="875"/>
      <c r="W407" s="875"/>
      <c r="X407" s="875"/>
      <c r="Y407" s="875"/>
      <c r="Z407" s="875"/>
    </row>
    <row r="408" spans="1:26" ht="18.75" hidden="1">
      <c r="A408" s="995"/>
      <c r="B408" s="877"/>
      <c r="C408" s="996"/>
      <c r="D408" s="878" t="s">
        <v>21</v>
      </c>
      <c r="E408" s="877"/>
      <c r="F408" s="877"/>
      <c r="G408" s="879"/>
      <c r="H408" s="168" t="s">
        <v>12</v>
      </c>
      <c r="I408" s="997"/>
      <c r="J408" s="997"/>
      <c r="K408" s="998"/>
      <c r="L408" s="881">
        <f t="shared" ref="L408:N408" ca="1" si="179">L409+L410</f>
        <v>0</v>
      </c>
      <c r="M408" s="881">
        <f t="shared" ca="1" si="179"/>
        <v>0</v>
      </c>
      <c r="N408" s="881">
        <f t="shared" ca="1" si="179"/>
        <v>0</v>
      </c>
      <c r="O408" s="881">
        <f t="shared" ca="1" si="175"/>
        <v>0</v>
      </c>
      <c r="P408" s="881">
        <f t="shared" ca="1" si="176"/>
        <v>0</v>
      </c>
      <c r="Q408" s="868"/>
      <c r="R408" s="868"/>
      <c r="S408" s="868"/>
      <c r="T408" s="868"/>
      <c r="U408" s="868"/>
      <c r="V408" s="868"/>
      <c r="W408" s="868"/>
      <c r="X408" s="868"/>
      <c r="Y408" s="868"/>
      <c r="Z408" s="868"/>
    </row>
    <row r="409" spans="1:26" ht="19.5" hidden="1">
      <c r="A409" s="993"/>
      <c r="B409" s="883"/>
      <c r="C409" s="999"/>
      <c r="D409" s="883"/>
      <c r="E409" s="884" t="s">
        <v>18</v>
      </c>
      <c r="F409" s="883"/>
      <c r="G409" s="994"/>
      <c r="H409" s="165" t="s">
        <v>12</v>
      </c>
      <c r="I409" s="1000"/>
      <c r="J409" s="1000"/>
      <c r="K409" s="1001"/>
      <c r="L409" s="887">
        <v>0</v>
      </c>
      <c r="M409" s="887">
        <v>0</v>
      </c>
      <c r="N409" s="887">
        <v>0</v>
      </c>
      <c r="O409" s="887">
        <f t="shared" si="175"/>
        <v>0</v>
      </c>
      <c r="P409" s="887">
        <f t="shared" si="176"/>
        <v>0</v>
      </c>
      <c r="Q409" s="875"/>
      <c r="R409" s="875"/>
      <c r="S409" s="875"/>
      <c r="T409" s="875"/>
      <c r="U409" s="875"/>
      <c r="V409" s="875"/>
      <c r="W409" s="875"/>
      <c r="X409" s="875"/>
      <c r="Y409" s="875"/>
      <c r="Z409" s="875"/>
    </row>
    <row r="410" spans="1:26" ht="19.5" hidden="1">
      <c r="A410" s="993"/>
      <c r="B410" s="883"/>
      <c r="C410" s="999"/>
      <c r="D410" s="883"/>
      <c r="E410" s="884" t="s">
        <v>19</v>
      </c>
      <c r="F410" s="883"/>
      <c r="G410" s="994"/>
      <c r="H410" s="169" t="s">
        <v>12</v>
      </c>
      <c r="I410" s="1000"/>
      <c r="J410" s="1000"/>
      <c r="K410" s="1001"/>
      <c r="L410" s="887">
        <f ca="1">IFERROR(__xludf.DUMMYFUNCTION("IMPORTRANGE(""https://docs.google.com/spreadsheets/d/1MeEWN-I1oV_STSDYn1IFDPWt_1FKiwhDph83XaGc0o0/edit?usp=sharing"",""งบพรบ!FT80"")"),0)</f>
        <v>0</v>
      </c>
      <c r="M410" s="887">
        <f ca="1">IFERROR(__xludf.DUMMYFUNCTION("IMPORTRANGE(""https://docs.google.com/spreadsheets/d/1MeEWN-I1oV_STSDYn1IFDPWt_1FKiwhDph83XaGc0o0/edit?usp=sharing"",""งบพรบ!FW80"")"),0)</f>
        <v>0</v>
      </c>
      <c r="N410" s="887">
        <f ca="1">IFERROR(__xludf.DUMMYFUNCTION("IMPORTRANGE(""https://docs.google.com/spreadsheets/d/1MeEWN-I1oV_STSDYn1IFDPWt_1FKiwhDph83XaGc0o0/edit?usp=sharing"",""งบพรบ!FY80"")"),0)</f>
        <v>0</v>
      </c>
      <c r="O410" s="887">
        <f t="shared" ca="1" si="175"/>
        <v>0</v>
      </c>
      <c r="P410" s="887">
        <f t="shared" ca="1" si="176"/>
        <v>0</v>
      </c>
      <c r="Q410" s="875"/>
      <c r="R410" s="875"/>
      <c r="S410" s="875"/>
      <c r="T410" s="875"/>
      <c r="U410" s="875"/>
      <c r="V410" s="875"/>
      <c r="W410" s="875"/>
      <c r="X410" s="875"/>
      <c r="Y410" s="875"/>
      <c r="Z410" s="875"/>
    </row>
    <row r="411" spans="1:26" ht="19.5" hidden="1">
      <c r="A411" s="1002"/>
      <c r="B411" s="1003"/>
      <c r="C411" s="999" t="s">
        <v>16</v>
      </c>
      <c r="D411" s="1264" t="s">
        <v>38</v>
      </c>
      <c r="E411" s="1265"/>
      <c r="F411" s="1265"/>
      <c r="G411" s="1266"/>
      <c r="H411" s="1007"/>
      <c r="I411" s="880"/>
      <c r="J411" s="880"/>
      <c r="K411" s="881"/>
      <c r="L411" s="998"/>
      <c r="M411" s="998"/>
      <c r="N411" s="998"/>
      <c r="O411" s="998"/>
      <c r="P411" s="998"/>
    </row>
    <row r="412" spans="1:26" ht="18.75" hidden="1">
      <c r="A412" s="1002"/>
      <c r="B412" s="1010"/>
      <c r="C412" s="1010"/>
      <c r="D412" s="1009" t="s">
        <v>178</v>
      </c>
      <c r="E412" s="1010"/>
      <c r="F412" s="1010"/>
      <c r="G412" s="1011"/>
      <c r="H412" s="537" t="s">
        <v>66</v>
      </c>
      <c r="I412" s="880">
        <v>0</v>
      </c>
      <c r="J412" s="1012">
        <v>0</v>
      </c>
      <c r="K412" s="881">
        <f t="shared" ref="K412:K413" si="180">IF(I412&gt;0,J412*100/I412,0)</f>
        <v>0</v>
      </c>
      <c r="L412" s="998"/>
      <c r="M412" s="998"/>
      <c r="N412" s="998"/>
      <c r="O412" s="998"/>
      <c r="P412" s="998"/>
    </row>
    <row r="413" spans="1:26" ht="19.5" hidden="1" thickBot="1">
      <c r="A413" s="1267"/>
      <c r="B413" s="1268"/>
      <c r="C413" s="1268"/>
      <c r="D413" s="1269" t="s">
        <v>179</v>
      </c>
      <c r="E413" s="1268"/>
      <c r="F413" s="1268"/>
      <c r="G413" s="1270"/>
      <c r="H413" s="542" t="s">
        <v>180</v>
      </c>
      <c r="I413" s="1271">
        <v>0</v>
      </c>
      <c r="J413" s="1272">
        <v>0</v>
      </c>
      <c r="K413" s="1273">
        <f t="shared" si="180"/>
        <v>0</v>
      </c>
      <c r="L413" s="1274"/>
      <c r="M413" s="1274"/>
      <c r="N413" s="1274"/>
      <c r="O413" s="1274"/>
      <c r="P413" s="1274"/>
    </row>
    <row r="414" spans="1:26" ht="19.5">
      <c r="A414" s="1275" t="s">
        <v>181</v>
      </c>
      <c r="B414" s="1276"/>
      <c r="C414" s="1276"/>
      <c r="D414" s="1276"/>
      <c r="E414" s="1276"/>
      <c r="F414" s="1276"/>
      <c r="G414" s="1277"/>
      <c r="H414" s="1278"/>
      <c r="I414" s="1279"/>
      <c r="J414" s="1279"/>
      <c r="K414" s="1280"/>
      <c r="L414" s="1281">
        <f t="shared" ref="L414:N414" ca="1" si="181">L419+L444+L467+L502+L523+L544+L629+L655+L685+L737+L754+L770+L786+L805</f>
        <v>584321</v>
      </c>
      <c r="M414" s="1281">
        <f t="shared" ca="1" si="181"/>
        <v>584321</v>
      </c>
      <c r="N414" s="1281">
        <f t="shared" si="181"/>
        <v>255356</v>
      </c>
      <c r="O414" s="1281">
        <f ca="1">IF(L414&gt;0,N414*100/L414,0)</f>
        <v>43.701321705021726</v>
      </c>
      <c r="P414" s="1281">
        <f ca="1">IF(M414&gt;0,N414*100/M414,0)</f>
        <v>43.701321705021726</v>
      </c>
    </row>
    <row r="415" spans="1:26" ht="19.5">
      <c r="A415" s="1282" t="s">
        <v>182</v>
      </c>
      <c r="B415" s="1283"/>
      <c r="C415" s="1283"/>
      <c r="D415" s="1283"/>
      <c r="E415" s="1283"/>
      <c r="F415" s="1283"/>
      <c r="G415" s="1283"/>
      <c r="H415" s="1284"/>
      <c r="I415" s="1285"/>
      <c r="J415" s="1285"/>
      <c r="K415" s="1286"/>
      <c r="L415" s="1287"/>
      <c r="M415" s="1287"/>
      <c r="N415" s="1287"/>
      <c r="O415" s="1287"/>
      <c r="P415" s="1287"/>
    </row>
    <row r="416" spans="1:26" ht="19.5">
      <c r="A416" s="1282" t="s">
        <v>183</v>
      </c>
      <c r="B416" s="1283"/>
      <c r="C416" s="1283"/>
      <c r="D416" s="1283"/>
      <c r="E416" s="1283"/>
      <c r="F416" s="1283"/>
      <c r="G416" s="1288"/>
      <c r="H416" s="1289"/>
      <c r="I416" s="1290"/>
      <c r="J416" s="1290"/>
      <c r="K416" s="1287"/>
      <c r="L416" s="1287"/>
      <c r="M416" s="1287"/>
      <c r="N416" s="1287"/>
      <c r="O416" s="1287"/>
      <c r="P416" s="1287"/>
    </row>
    <row r="417" spans="1:26" ht="39">
      <c r="A417" s="563">
        <v>1</v>
      </c>
      <c r="B417" s="1291" t="s">
        <v>184</v>
      </c>
      <c r="C417" s="1291"/>
      <c r="D417" s="1292"/>
      <c r="E417" s="1292"/>
      <c r="F417" s="1292"/>
      <c r="G417" s="1293"/>
      <c r="H417" s="568" t="s">
        <v>35</v>
      </c>
      <c r="I417" s="1294">
        <f t="shared" ref="I417:J418" ca="1" si="182">I433</f>
        <v>15</v>
      </c>
      <c r="J417" s="1294">
        <f t="shared" ca="1" si="182"/>
        <v>15</v>
      </c>
      <c r="K417" s="1295">
        <f t="shared" ref="K417:K418" ca="1" si="183">IF(I417&gt;0,J417*100/I417,0)</f>
        <v>100</v>
      </c>
      <c r="L417" s="1296"/>
      <c r="M417" s="1296"/>
      <c r="N417" s="1296"/>
      <c r="O417" s="1296"/>
      <c r="P417" s="1296"/>
    </row>
    <row r="418" spans="1:26" ht="19.5">
      <c r="A418" s="1297"/>
      <c r="B418" s="563"/>
      <c r="C418" s="1291"/>
      <c r="D418" s="1292"/>
      <c r="E418" s="1292"/>
      <c r="F418" s="1292"/>
      <c r="G418" s="1293"/>
      <c r="H418" s="568" t="s">
        <v>49</v>
      </c>
      <c r="I418" s="1294">
        <f t="shared" ca="1" si="182"/>
        <v>1</v>
      </c>
      <c r="J418" s="1294">
        <f t="shared" si="182"/>
        <v>1</v>
      </c>
      <c r="K418" s="1295">
        <f t="shared" ca="1" si="183"/>
        <v>100</v>
      </c>
      <c r="L418" s="1296"/>
      <c r="M418" s="1296"/>
      <c r="N418" s="1296"/>
      <c r="O418" s="1296"/>
      <c r="P418" s="1296"/>
    </row>
    <row r="419" spans="1:26" ht="19.5">
      <c r="A419" s="985"/>
      <c r="B419" s="986"/>
      <c r="C419" s="986" t="s">
        <v>16</v>
      </c>
      <c r="D419" s="1298" t="s">
        <v>17</v>
      </c>
      <c r="E419" s="846"/>
      <c r="F419" s="846"/>
      <c r="G419" s="989"/>
      <c r="H419" s="275" t="s">
        <v>12</v>
      </c>
      <c r="I419" s="990"/>
      <c r="J419" s="990"/>
      <c r="K419" s="991"/>
      <c r="L419" s="992">
        <f t="shared" ref="L419:N419" ca="1" si="184">L420+L421</f>
        <v>66560</v>
      </c>
      <c r="M419" s="992">
        <f t="shared" ca="1" si="184"/>
        <v>66560</v>
      </c>
      <c r="N419" s="992">
        <f t="shared" si="184"/>
        <v>55050</v>
      </c>
      <c r="O419" s="992">
        <f t="shared" ref="O419:O424" ca="1" si="185">IF(L419&gt;0,N419*100/L419,0)</f>
        <v>82.707331730769226</v>
      </c>
      <c r="P419" s="992">
        <f t="shared" ref="P419:P424" ca="1" si="186">IF(M419&gt;0,N419*100/M419,0)</f>
        <v>82.707331730769226</v>
      </c>
      <c r="Q419" s="868"/>
      <c r="R419" s="868"/>
      <c r="S419" s="868"/>
      <c r="T419" s="868"/>
      <c r="U419" s="868"/>
      <c r="V419" s="868"/>
      <c r="W419" s="868"/>
      <c r="X419" s="868"/>
      <c r="Y419" s="868"/>
      <c r="Z419" s="868"/>
    </row>
    <row r="420" spans="1:26" ht="18.75" hidden="1">
      <c r="A420" s="993"/>
      <c r="B420" s="883"/>
      <c r="C420" s="883"/>
      <c r="D420" s="1114"/>
      <c r="E420" s="884" t="s">
        <v>185</v>
      </c>
      <c r="F420" s="883"/>
      <c r="G420" s="994"/>
      <c r="H420" s="165" t="s">
        <v>12</v>
      </c>
      <c r="I420" s="886"/>
      <c r="J420" s="886"/>
      <c r="K420" s="887"/>
      <c r="L420" s="887">
        <f t="shared" ref="L420:N421" si="187">L423+L430</f>
        <v>0</v>
      </c>
      <c r="M420" s="887">
        <f t="shared" si="187"/>
        <v>0</v>
      </c>
      <c r="N420" s="887">
        <f t="shared" si="187"/>
        <v>0</v>
      </c>
      <c r="O420" s="887">
        <f t="shared" si="185"/>
        <v>0</v>
      </c>
      <c r="P420" s="887">
        <f t="shared" si="186"/>
        <v>0</v>
      </c>
      <c r="Q420" s="875"/>
      <c r="R420" s="875"/>
      <c r="S420" s="875"/>
      <c r="T420" s="875"/>
      <c r="U420" s="875"/>
      <c r="V420" s="875"/>
      <c r="W420" s="875"/>
      <c r="X420" s="875"/>
      <c r="Y420" s="875"/>
      <c r="Z420" s="875"/>
    </row>
    <row r="421" spans="1:26" ht="18.75" hidden="1">
      <c r="A421" s="993"/>
      <c r="B421" s="883"/>
      <c r="C421" s="883"/>
      <c r="D421" s="1114"/>
      <c r="E421" s="884" t="s">
        <v>186</v>
      </c>
      <c r="F421" s="883"/>
      <c r="G421" s="994"/>
      <c r="H421" s="165" t="s">
        <v>12</v>
      </c>
      <c r="I421" s="886"/>
      <c r="J421" s="886"/>
      <c r="K421" s="887"/>
      <c r="L421" s="887">
        <f t="shared" ca="1" si="187"/>
        <v>66560</v>
      </c>
      <c r="M421" s="887">
        <f t="shared" ca="1" si="187"/>
        <v>66560</v>
      </c>
      <c r="N421" s="887">
        <f t="shared" si="187"/>
        <v>55050</v>
      </c>
      <c r="O421" s="887">
        <f t="shared" ca="1" si="185"/>
        <v>82.707331730769226</v>
      </c>
      <c r="P421" s="887">
        <f t="shared" ca="1" si="186"/>
        <v>82.707331730769226</v>
      </c>
      <c r="Q421" s="875"/>
      <c r="R421" s="875"/>
      <c r="S421" s="875"/>
      <c r="T421" s="875"/>
      <c r="U421" s="875"/>
      <c r="V421" s="875"/>
      <c r="W421" s="875"/>
      <c r="X421" s="875"/>
      <c r="Y421" s="875"/>
      <c r="Z421" s="875"/>
    </row>
    <row r="422" spans="1:26" ht="18.75">
      <c r="A422" s="995"/>
      <c r="B422" s="1084"/>
      <c r="C422" s="877"/>
      <c r="D422" s="878" t="s">
        <v>20</v>
      </c>
      <c r="E422" s="877"/>
      <c r="F422" s="877"/>
      <c r="G422" s="879"/>
      <c r="H422" s="161" t="s">
        <v>12</v>
      </c>
      <c r="I422" s="997"/>
      <c r="J422" s="997"/>
      <c r="K422" s="998"/>
      <c r="L422" s="881">
        <f t="shared" ref="L422:N422" ca="1" si="188">L423+L424</f>
        <v>66560</v>
      </c>
      <c r="M422" s="881">
        <f t="shared" ca="1" si="188"/>
        <v>66560</v>
      </c>
      <c r="N422" s="881">
        <f t="shared" si="188"/>
        <v>55050</v>
      </c>
      <c r="O422" s="881">
        <f t="shared" ca="1" si="185"/>
        <v>82.707331730769226</v>
      </c>
      <c r="P422" s="881">
        <f t="shared" ca="1" si="186"/>
        <v>82.707331730769226</v>
      </c>
      <c r="Q422" s="868"/>
      <c r="R422" s="868"/>
      <c r="S422" s="868"/>
      <c r="T422" s="868"/>
      <c r="U422" s="868"/>
      <c r="V422" s="868"/>
      <c r="W422" s="868"/>
      <c r="X422" s="868"/>
      <c r="Y422" s="868"/>
      <c r="Z422" s="868"/>
    </row>
    <row r="423" spans="1:26" ht="18.75" hidden="1">
      <c r="A423" s="993"/>
      <c r="B423" s="883"/>
      <c r="C423" s="883"/>
      <c r="D423" s="1114"/>
      <c r="E423" s="884" t="s">
        <v>185</v>
      </c>
      <c r="F423" s="883"/>
      <c r="G423" s="994"/>
      <c r="H423" s="165" t="s">
        <v>12</v>
      </c>
      <c r="I423" s="886"/>
      <c r="J423" s="886"/>
      <c r="K423" s="887"/>
      <c r="L423" s="887">
        <v>0</v>
      </c>
      <c r="M423" s="887">
        <v>0</v>
      </c>
      <c r="N423" s="887">
        <v>0</v>
      </c>
      <c r="O423" s="887">
        <f t="shared" si="185"/>
        <v>0</v>
      </c>
      <c r="P423" s="887">
        <f t="shared" si="186"/>
        <v>0</v>
      </c>
      <c r="Q423" s="875"/>
      <c r="R423" s="875"/>
      <c r="S423" s="875"/>
      <c r="T423" s="875"/>
      <c r="U423" s="875"/>
      <c r="V423" s="875"/>
      <c r="W423" s="875"/>
      <c r="X423" s="875"/>
      <c r="Y423" s="875"/>
      <c r="Z423" s="875"/>
    </row>
    <row r="424" spans="1:26" ht="18.75" hidden="1">
      <c r="A424" s="993"/>
      <c r="B424" s="883"/>
      <c r="C424" s="883"/>
      <c r="D424" s="1114"/>
      <c r="E424" s="884" t="s">
        <v>186</v>
      </c>
      <c r="F424" s="883"/>
      <c r="G424" s="994"/>
      <c r="H424" s="165" t="s">
        <v>12</v>
      </c>
      <c r="I424" s="886"/>
      <c r="J424" s="886"/>
      <c r="K424" s="887"/>
      <c r="L424" s="887">
        <f ca="1">IFERROR(__xludf.DUMMYFUNCTION("IMPORTRANGE(""https://docs.google.com/spreadsheets/d/1QqKyyYR6Q21VydFLVH3TRQUabQu_ym0Zz7PgGX0-kHA/edit?usp=sharing"",""แผน!EY80"")"),66560)</f>
        <v>66560</v>
      </c>
      <c r="M424" s="887">
        <f ca="1">L424</f>
        <v>66560</v>
      </c>
      <c r="N424" s="887">
        <f>N425+N426+N427+N428</f>
        <v>55050</v>
      </c>
      <c r="O424" s="887">
        <f t="shared" ca="1" si="185"/>
        <v>82.707331730769226</v>
      </c>
      <c r="P424" s="887">
        <f t="shared" ca="1" si="186"/>
        <v>82.707331730769226</v>
      </c>
      <c r="Q424" s="875"/>
      <c r="R424" s="875"/>
      <c r="S424" s="875"/>
      <c r="T424" s="875"/>
      <c r="U424" s="875"/>
      <c r="V424" s="875"/>
      <c r="W424" s="875"/>
      <c r="X424" s="875"/>
      <c r="Y424" s="875"/>
      <c r="Z424" s="875"/>
    </row>
    <row r="425" spans="1:26" ht="18.75">
      <c r="A425" s="1299"/>
      <c r="B425" s="1300"/>
      <c r="C425" s="1301"/>
      <c r="D425" s="1301"/>
      <c r="E425" s="1301"/>
      <c r="F425" s="1301" t="s">
        <v>187</v>
      </c>
      <c r="G425" s="1016"/>
      <c r="H425" s="161" t="s">
        <v>12</v>
      </c>
      <c r="I425" s="880"/>
      <c r="J425" s="880"/>
      <c r="K425" s="881"/>
      <c r="L425" s="881"/>
      <c r="M425" s="881"/>
      <c r="N425" s="1085">
        <v>36300</v>
      </c>
      <c r="O425" s="881"/>
      <c r="P425" s="881"/>
      <c r="Q425" s="1302"/>
      <c r="R425" s="1302"/>
      <c r="S425" s="1302"/>
      <c r="T425" s="1302"/>
      <c r="U425" s="1302"/>
      <c r="V425" s="1302"/>
      <c r="W425" s="1302"/>
      <c r="X425" s="1302"/>
      <c r="Y425" s="1302"/>
      <c r="Z425" s="1302"/>
    </row>
    <row r="426" spans="1:26" ht="18.75">
      <c r="A426" s="1299"/>
      <c r="B426" s="1300"/>
      <c r="C426" s="1301"/>
      <c r="D426" s="1301"/>
      <c r="E426" s="1301"/>
      <c r="F426" s="1301" t="s">
        <v>188</v>
      </c>
      <c r="G426" s="1016"/>
      <c r="H426" s="161" t="s">
        <v>12</v>
      </c>
      <c r="I426" s="880"/>
      <c r="J426" s="880"/>
      <c r="K426" s="881"/>
      <c r="L426" s="881"/>
      <c r="M426" s="881"/>
      <c r="N426" s="1085">
        <v>0</v>
      </c>
      <c r="O426" s="881"/>
      <c r="P426" s="881"/>
      <c r="Q426" s="1302"/>
      <c r="R426" s="1302"/>
      <c r="S426" s="1302"/>
      <c r="T426" s="1302"/>
      <c r="U426" s="1302"/>
      <c r="V426" s="1302"/>
      <c r="W426" s="1302"/>
      <c r="X426" s="1302"/>
      <c r="Y426" s="1302"/>
      <c r="Z426" s="1302"/>
    </row>
    <row r="427" spans="1:26" ht="18.75">
      <c r="A427" s="1299"/>
      <c r="B427" s="1300"/>
      <c r="C427" s="1301"/>
      <c r="D427" s="1301"/>
      <c r="E427" s="1301"/>
      <c r="F427" s="1301" t="s">
        <v>189</v>
      </c>
      <c r="G427" s="1016"/>
      <c r="H427" s="161" t="s">
        <v>12</v>
      </c>
      <c r="I427" s="880"/>
      <c r="J427" s="880"/>
      <c r="K427" s="881"/>
      <c r="L427" s="881"/>
      <c r="M427" s="881"/>
      <c r="N427" s="1085">
        <v>0</v>
      </c>
      <c r="O427" s="881"/>
      <c r="P427" s="881"/>
      <c r="Q427" s="1302"/>
      <c r="R427" s="1302"/>
      <c r="S427" s="1302"/>
      <c r="T427" s="1302"/>
      <c r="U427" s="1302"/>
      <c r="V427" s="1302"/>
      <c r="W427" s="1302"/>
      <c r="X427" s="1302"/>
      <c r="Y427" s="1302"/>
      <c r="Z427" s="1302"/>
    </row>
    <row r="428" spans="1:26" ht="18.75">
      <c r="A428" s="1086"/>
      <c r="B428" s="1084"/>
      <c r="C428" s="877"/>
      <c r="D428" s="877"/>
      <c r="E428" s="877"/>
      <c r="F428" s="996" t="s">
        <v>190</v>
      </c>
      <c r="G428" s="1030"/>
      <c r="H428" s="161" t="s">
        <v>12</v>
      </c>
      <c r="I428" s="880"/>
      <c r="J428" s="880"/>
      <c r="K428" s="881"/>
      <c r="L428" s="881"/>
      <c r="M428" s="881"/>
      <c r="N428" s="1085">
        <f>5400+9850+3500</f>
        <v>18750</v>
      </c>
      <c r="O428" s="881"/>
      <c r="P428" s="881"/>
      <c r="Q428" s="868"/>
      <c r="R428" s="868"/>
      <c r="S428" s="868"/>
      <c r="T428" s="868"/>
      <c r="U428" s="868"/>
      <c r="V428" s="868"/>
      <c r="W428" s="868"/>
      <c r="X428" s="868"/>
      <c r="Y428" s="868"/>
      <c r="Z428" s="868"/>
    </row>
    <row r="429" spans="1:26" ht="18.75">
      <c r="A429" s="995"/>
      <c r="B429" s="1084"/>
      <c r="C429" s="877"/>
      <c r="D429" s="878" t="s">
        <v>21</v>
      </c>
      <c r="E429" s="877"/>
      <c r="F429" s="877"/>
      <c r="G429" s="879"/>
      <c r="H429" s="168" t="s">
        <v>12</v>
      </c>
      <c r="I429" s="997"/>
      <c r="J429" s="997"/>
      <c r="K429" s="998"/>
      <c r="L429" s="881">
        <f t="shared" ref="L429:N429" ca="1" si="189">L430+L431</f>
        <v>0</v>
      </c>
      <c r="M429" s="881">
        <f t="shared" si="189"/>
        <v>0</v>
      </c>
      <c r="N429" s="881">
        <f t="shared" si="189"/>
        <v>0</v>
      </c>
      <c r="O429" s="881">
        <f t="shared" ref="O429:O431" ca="1" si="190">IF(L429&gt;0,N429*100/L429,0)</f>
        <v>0</v>
      </c>
      <c r="P429" s="881">
        <f t="shared" ref="P429:P431" si="191">IF(M429&gt;0,N429*100/M429,0)</f>
        <v>0</v>
      </c>
      <c r="Q429" s="868"/>
      <c r="R429" s="868"/>
      <c r="S429" s="868"/>
      <c r="T429" s="868"/>
      <c r="U429" s="868"/>
      <c r="V429" s="868"/>
      <c r="W429" s="868"/>
      <c r="X429" s="868"/>
      <c r="Y429" s="868"/>
      <c r="Z429" s="868"/>
    </row>
    <row r="430" spans="1:26" ht="18.75" hidden="1">
      <c r="A430" s="993"/>
      <c r="B430" s="1105"/>
      <c r="C430" s="883"/>
      <c r="D430" s="883"/>
      <c r="E430" s="884" t="s">
        <v>18</v>
      </c>
      <c r="F430" s="883"/>
      <c r="G430" s="885"/>
      <c r="H430" s="165" t="s">
        <v>12</v>
      </c>
      <c r="I430" s="1000"/>
      <c r="J430" s="1000"/>
      <c r="K430" s="1001"/>
      <c r="L430" s="887">
        <v>0</v>
      </c>
      <c r="M430" s="887">
        <v>0</v>
      </c>
      <c r="N430" s="887">
        <v>0</v>
      </c>
      <c r="O430" s="887">
        <f t="shared" si="190"/>
        <v>0</v>
      </c>
      <c r="P430" s="887">
        <f t="shared" si="191"/>
        <v>0</v>
      </c>
      <c r="Q430" s="875"/>
      <c r="R430" s="875"/>
      <c r="S430" s="875"/>
      <c r="T430" s="875"/>
      <c r="U430" s="875"/>
      <c r="V430" s="875"/>
      <c r="W430" s="875"/>
      <c r="X430" s="875"/>
      <c r="Y430" s="875"/>
      <c r="Z430" s="875"/>
    </row>
    <row r="431" spans="1:26" ht="18.75" hidden="1">
      <c r="A431" s="993"/>
      <c r="B431" s="1105"/>
      <c r="C431" s="883"/>
      <c r="D431" s="883"/>
      <c r="E431" s="884" t="s">
        <v>19</v>
      </c>
      <c r="F431" s="883"/>
      <c r="G431" s="885"/>
      <c r="H431" s="169" t="s">
        <v>12</v>
      </c>
      <c r="I431" s="1000"/>
      <c r="J431" s="1000"/>
      <c r="K431" s="1001"/>
      <c r="L431" s="887">
        <f ca="1">IFERROR(__xludf.DUMMYFUNCTION("IMPORTRANGE(""https://docs.google.com/spreadsheets/d/1QqKyyYR6Q21VydFLVH3TRQUabQu_ym0Zz7PgGX0-kHA/edit?usp=sharing"",""แผน!FB80"")"),0)</f>
        <v>0</v>
      </c>
      <c r="M431" s="887">
        <v>0</v>
      </c>
      <c r="N431" s="887">
        <v>0</v>
      </c>
      <c r="O431" s="887">
        <f t="shared" ca="1" si="190"/>
        <v>0</v>
      </c>
      <c r="P431" s="887">
        <f t="shared" si="191"/>
        <v>0</v>
      </c>
      <c r="Q431" s="875"/>
      <c r="R431" s="875"/>
      <c r="S431" s="875"/>
      <c r="T431" s="875"/>
      <c r="U431" s="875"/>
      <c r="V431" s="875"/>
      <c r="W431" s="875"/>
      <c r="X431" s="875"/>
      <c r="Y431" s="875"/>
      <c r="Z431" s="875"/>
    </row>
    <row r="432" spans="1:26" ht="19.5">
      <c r="A432" s="1165"/>
      <c r="B432" s="1166"/>
      <c r="C432" s="986" t="s">
        <v>16</v>
      </c>
      <c r="D432" s="1303" t="s">
        <v>38</v>
      </c>
      <c r="E432" s="1304"/>
      <c r="F432" s="1304"/>
      <c r="G432" s="1305"/>
      <c r="H432" s="1306"/>
      <c r="I432" s="990"/>
      <c r="J432" s="990"/>
      <c r="K432" s="991"/>
      <c r="L432" s="991"/>
      <c r="M432" s="991"/>
      <c r="N432" s="991"/>
      <c r="O432" s="991"/>
      <c r="P432" s="991"/>
      <c r="Q432" s="868"/>
      <c r="R432" s="868"/>
      <c r="S432" s="868"/>
      <c r="T432" s="868"/>
      <c r="U432" s="868"/>
      <c r="V432" s="868"/>
      <c r="W432" s="868"/>
      <c r="X432" s="868"/>
      <c r="Y432" s="868"/>
      <c r="Z432" s="868"/>
    </row>
    <row r="433" spans="1:26" ht="19.5">
      <c r="A433" s="1002"/>
      <c r="B433" s="1003"/>
      <c r="C433" s="1003"/>
      <c r="D433" s="1013" t="s">
        <v>191</v>
      </c>
      <c r="E433" s="1010"/>
      <c r="F433" s="1010"/>
      <c r="G433" s="1011"/>
      <c r="H433" s="196" t="s">
        <v>35</v>
      </c>
      <c r="I433" s="1019">
        <f ca="1">I435</f>
        <v>15</v>
      </c>
      <c r="J433" s="1019">
        <f ca="1">IF(AND(J435=I435,J437=I437,J439=I439),I437+I439,IF(AND(J435=I437,J437=I437),I437,IF(AND(J435=I439,J439=I439),I439,0)))</f>
        <v>15</v>
      </c>
      <c r="K433" s="1020">
        <f t="shared" ref="K433:K435" ca="1" si="192">IF(I433&gt;0,J433*100/I433,0)</f>
        <v>100</v>
      </c>
      <c r="L433" s="881"/>
      <c r="M433" s="881"/>
      <c r="N433" s="881"/>
      <c r="O433" s="881"/>
      <c r="P433" s="881"/>
      <c r="Q433" s="868"/>
      <c r="R433" s="868"/>
      <c r="S433" s="868"/>
      <c r="T433" s="868"/>
      <c r="U433" s="868"/>
      <c r="V433" s="868"/>
      <c r="W433" s="868"/>
      <c r="X433" s="868"/>
      <c r="Y433" s="868"/>
      <c r="Z433" s="868"/>
    </row>
    <row r="434" spans="1:26" ht="19.5">
      <c r="A434" s="1002"/>
      <c r="B434" s="1003"/>
      <c r="C434" s="1003"/>
      <c r="D434" s="1013" t="s">
        <v>192</v>
      </c>
      <c r="E434" s="1010"/>
      <c r="F434" s="1010"/>
      <c r="G434" s="1011"/>
      <c r="H434" s="196" t="s">
        <v>49</v>
      </c>
      <c r="I434" s="1019">
        <f t="shared" ref="I434:J434" ca="1" si="193">I438+I440</f>
        <v>1</v>
      </c>
      <c r="J434" s="1019">
        <f t="shared" si="193"/>
        <v>1</v>
      </c>
      <c r="K434" s="1020">
        <f t="shared" ca="1" si="192"/>
        <v>100</v>
      </c>
      <c r="L434" s="881"/>
      <c r="M434" s="881"/>
      <c r="N434" s="881"/>
      <c r="O434" s="881"/>
      <c r="P434" s="881"/>
      <c r="Q434" s="868"/>
      <c r="R434" s="868"/>
      <c r="S434" s="868"/>
      <c r="T434" s="868"/>
      <c r="U434" s="868"/>
      <c r="V434" s="868"/>
      <c r="W434" s="868"/>
      <c r="X434" s="868"/>
      <c r="Y434" s="868"/>
      <c r="Z434" s="868"/>
    </row>
    <row r="435" spans="1:26" ht="18.75">
      <c r="A435" s="1002"/>
      <c r="B435" s="1003"/>
      <c r="C435" s="1003"/>
      <c r="D435" s="1009" t="s">
        <v>193</v>
      </c>
      <c r="E435" s="1010"/>
      <c r="F435" s="1010"/>
      <c r="G435" s="1011"/>
      <c r="H435" s="622" t="s">
        <v>35</v>
      </c>
      <c r="I435" s="582">
        <f ca="1">IFERROR(__xludf.DUMMYFUNCTION("IMPORTRANGE(""https://docs.google.com/spreadsheets/d/1QqKyyYR6Q21VydFLVH3TRQUabQu_ym0Zz7PgGX0-kHA/edit?usp=sharing"",""แผน!FC80"")"),15)</f>
        <v>15</v>
      </c>
      <c r="J435" s="583">
        <v>15</v>
      </c>
      <c r="K435" s="881">
        <f t="shared" ca="1" si="192"/>
        <v>100</v>
      </c>
      <c r="L435" s="881"/>
      <c r="M435" s="881"/>
      <c r="N435" s="881"/>
      <c r="O435" s="881"/>
      <c r="P435" s="881"/>
      <c r="Q435" s="868"/>
      <c r="R435" s="868"/>
      <c r="S435" s="868"/>
      <c r="T435" s="868"/>
      <c r="U435" s="868"/>
      <c r="V435" s="868"/>
      <c r="W435" s="868"/>
      <c r="X435" s="868"/>
      <c r="Y435" s="868"/>
      <c r="Z435" s="868"/>
    </row>
    <row r="436" spans="1:26" ht="18.75">
      <c r="A436" s="1002"/>
      <c r="B436" s="1003"/>
      <c r="C436" s="1003"/>
      <c r="D436" s="1009" t="s">
        <v>194</v>
      </c>
      <c r="E436" s="1010"/>
      <c r="F436" s="1010"/>
      <c r="G436" s="1011"/>
      <c r="H436" s="622"/>
      <c r="I436" s="880"/>
      <c r="J436" s="880"/>
      <c r="K436" s="881"/>
      <c r="L436" s="881"/>
      <c r="M436" s="881"/>
      <c r="N436" s="881"/>
      <c r="O436" s="881"/>
      <c r="P436" s="881"/>
      <c r="Q436" s="868"/>
      <c r="R436" s="868"/>
      <c r="S436" s="868"/>
      <c r="T436" s="868"/>
      <c r="U436" s="868"/>
      <c r="V436" s="868"/>
      <c r="W436" s="868"/>
      <c r="X436" s="868"/>
      <c r="Y436" s="868"/>
      <c r="Z436" s="868"/>
    </row>
    <row r="437" spans="1:26" ht="18.75">
      <c r="A437" s="1002"/>
      <c r="B437" s="1003"/>
      <c r="C437" s="1003"/>
      <c r="D437" s="1009" t="s">
        <v>195</v>
      </c>
      <c r="E437" s="1010"/>
      <c r="F437" s="1010"/>
      <c r="G437" s="1011"/>
      <c r="H437" s="622" t="s">
        <v>35</v>
      </c>
      <c r="I437" s="582">
        <f ca="1">IFERROR(__xludf.DUMMYFUNCTION("IMPORTRANGE(""https://docs.google.com/spreadsheets/d/1QqKyyYR6Q21VydFLVH3TRQUabQu_ym0Zz7PgGX0-kHA/edit?usp=sharing"",""แผน!FD80"")"),0)</f>
        <v>0</v>
      </c>
      <c r="J437" s="583">
        <v>0</v>
      </c>
      <c r="K437" s="881">
        <f t="shared" ref="K437:K443" ca="1" si="194">IF(I437&gt;0,J437*100/I437,0)</f>
        <v>0</v>
      </c>
      <c r="L437" s="881"/>
      <c r="M437" s="881"/>
      <c r="N437" s="881"/>
      <c r="O437" s="881"/>
      <c r="P437" s="881"/>
      <c r="Q437" s="868"/>
      <c r="R437" s="868"/>
      <c r="S437" s="868"/>
      <c r="T437" s="868"/>
      <c r="U437" s="868"/>
      <c r="V437" s="868"/>
      <c r="W437" s="868"/>
      <c r="X437" s="868"/>
      <c r="Y437" s="868"/>
      <c r="Z437" s="868"/>
    </row>
    <row r="438" spans="1:26" ht="18.75">
      <c r="A438" s="1002"/>
      <c r="B438" s="1003"/>
      <c r="C438" s="1003"/>
      <c r="D438" s="1009" t="s">
        <v>196</v>
      </c>
      <c r="E438" s="1010"/>
      <c r="F438" s="1010"/>
      <c r="G438" s="1011"/>
      <c r="H438" s="622" t="s">
        <v>49</v>
      </c>
      <c r="I438" s="880">
        <f ca="1">IFERROR(__xludf.DUMMYFUNCTION("IMPORTRANGE(""https://docs.google.com/spreadsheets/d/1QqKyyYR6Q21VydFLVH3TRQUabQu_ym0Zz7PgGX0-kHA/edit?usp=sharing"",""แผน!FE80"")"),0)</f>
        <v>0</v>
      </c>
      <c r="J438" s="1012">
        <v>0</v>
      </c>
      <c r="K438" s="881">
        <f t="shared" ca="1" si="194"/>
        <v>0</v>
      </c>
      <c r="L438" s="881"/>
      <c r="M438" s="881"/>
      <c r="N438" s="881"/>
      <c r="O438" s="881"/>
      <c r="P438" s="881"/>
      <c r="Q438" s="868"/>
      <c r="R438" s="868"/>
      <c r="S438" s="868"/>
      <c r="T438" s="868"/>
      <c r="U438" s="868"/>
      <c r="V438" s="868"/>
      <c r="W438" s="868"/>
      <c r="X438" s="868"/>
      <c r="Y438" s="868"/>
      <c r="Z438" s="868"/>
    </row>
    <row r="439" spans="1:26" ht="18.75">
      <c r="A439" s="1002"/>
      <c r="B439" s="1003"/>
      <c r="C439" s="1003"/>
      <c r="D439" s="1009" t="s">
        <v>197</v>
      </c>
      <c r="E439" s="1010"/>
      <c r="F439" s="1010"/>
      <c r="G439" s="1011"/>
      <c r="H439" s="622" t="s">
        <v>35</v>
      </c>
      <c r="I439" s="582">
        <f ca="1">IFERROR(__xludf.DUMMYFUNCTION("IMPORTRANGE(""https://docs.google.com/spreadsheets/d/1QqKyyYR6Q21VydFLVH3TRQUabQu_ym0Zz7PgGX0-kHA/edit?usp=sharing"",""แผน!FF80"")"),15)</f>
        <v>15</v>
      </c>
      <c r="J439" s="583">
        <v>15</v>
      </c>
      <c r="K439" s="881">
        <f t="shared" ca="1" si="194"/>
        <v>100</v>
      </c>
      <c r="L439" s="881"/>
      <c r="M439" s="881"/>
      <c r="N439" s="881"/>
      <c r="O439" s="881"/>
      <c r="P439" s="881"/>
      <c r="Q439" s="868"/>
      <c r="R439" s="868"/>
      <c r="S439" s="868"/>
      <c r="T439" s="868"/>
      <c r="U439" s="868"/>
      <c r="V439" s="868"/>
      <c r="W439" s="868"/>
      <c r="X439" s="868"/>
      <c r="Y439" s="868"/>
      <c r="Z439" s="868"/>
    </row>
    <row r="440" spans="1:26" ht="18.75">
      <c r="A440" s="1002"/>
      <c r="B440" s="1003"/>
      <c r="C440" s="1003"/>
      <c r="D440" s="1009" t="s">
        <v>198</v>
      </c>
      <c r="E440" s="1010"/>
      <c r="F440" s="1010"/>
      <c r="G440" s="1011"/>
      <c r="H440" s="622" t="s">
        <v>49</v>
      </c>
      <c r="I440" s="880">
        <f ca="1">IFERROR(__xludf.DUMMYFUNCTION("IMPORTRANGE(""https://docs.google.com/spreadsheets/d/1QqKyyYR6Q21VydFLVH3TRQUabQu_ym0Zz7PgGX0-kHA/edit?usp=sharing"",""แผน!FG80"")"),1)</f>
        <v>1</v>
      </c>
      <c r="J440" s="1012">
        <v>1</v>
      </c>
      <c r="K440" s="881">
        <f t="shared" ca="1" si="194"/>
        <v>100</v>
      </c>
      <c r="L440" s="881"/>
      <c r="M440" s="881"/>
      <c r="N440" s="881"/>
      <c r="O440" s="881"/>
      <c r="P440" s="881"/>
      <c r="Q440" s="868"/>
      <c r="R440" s="868"/>
      <c r="S440" s="868"/>
      <c r="T440" s="868"/>
      <c r="U440" s="868"/>
      <c r="V440" s="868"/>
      <c r="W440" s="868"/>
      <c r="X440" s="868"/>
      <c r="Y440" s="868"/>
      <c r="Z440" s="868"/>
    </row>
    <row r="441" spans="1:26" ht="18.75">
      <c r="A441" s="1002"/>
      <c r="B441" s="1003"/>
      <c r="C441" s="1003"/>
      <c r="D441" s="1009" t="s">
        <v>199</v>
      </c>
      <c r="E441" s="1010"/>
      <c r="F441" s="1010"/>
      <c r="G441" s="1011"/>
      <c r="H441" s="622" t="s">
        <v>35</v>
      </c>
      <c r="I441" s="880">
        <f ca="1">IFERROR(__xludf.DUMMYFUNCTION("IMPORTRANGE(""https://docs.google.com/spreadsheets/d/1QqKyyYR6Q21VydFLVH3TRQUabQu_ym0Zz7PgGX0-kHA/edit?usp=sharing"",""แผน!FH80"")"),0)</f>
        <v>0</v>
      </c>
      <c r="J441" s="880">
        <v>0</v>
      </c>
      <c r="K441" s="881">
        <f t="shared" ca="1" si="194"/>
        <v>0</v>
      </c>
      <c r="L441" s="881"/>
      <c r="M441" s="881"/>
      <c r="N441" s="881"/>
      <c r="O441" s="881"/>
      <c r="P441" s="881"/>
      <c r="Q441" s="868"/>
      <c r="R441" s="868"/>
      <c r="S441" s="868"/>
      <c r="T441" s="868"/>
      <c r="U441" s="868"/>
      <c r="V441" s="868"/>
      <c r="W441" s="868"/>
      <c r="X441" s="868"/>
      <c r="Y441" s="868"/>
      <c r="Z441" s="868"/>
    </row>
    <row r="442" spans="1:26" ht="19.5">
      <c r="A442" s="584">
        <v>2</v>
      </c>
      <c r="B442" s="1307" t="s">
        <v>200</v>
      </c>
      <c r="C442" s="1308"/>
      <c r="D442" s="1308"/>
      <c r="E442" s="1308"/>
      <c r="F442" s="1308"/>
      <c r="G442" s="1309"/>
      <c r="H442" s="588" t="s">
        <v>35</v>
      </c>
      <c r="I442" s="1310">
        <f t="shared" ref="I442:J442" ca="1" si="195">I460</f>
        <v>10</v>
      </c>
      <c r="J442" s="1310">
        <f t="shared" si="195"/>
        <v>10</v>
      </c>
      <c r="K442" s="1311">
        <f t="shared" ca="1" si="194"/>
        <v>100</v>
      </c>
      <c r="L442" s="1312"/>
      <c r="M442" s="1312"/>
      <c r="N442" s="1312"/>
      <c r="O442" s="1312"/>
      <c r="P442" s="1312"/>
      <c r="Q442" s="1302"/>
      <c r="R442" s="1302"/>
      <c r="S442" s="1302"/>
      <c r="T442" s="1302"/>
      <c r="U442" s="1302"/>
      <c r="V442" s="1302"/>
      <c r="W442" s="1302"/>
      <c r="X442" s="1302"/>
      <c r="Y442" s="1302"/>
      <c r="Z442" s="1302"/>
    </row>
    <row r="443" spans="1:26" ht="19.5">
      <c r="A443" s="1313"/>
      <c r="B443" s="1314"/>
      <c r="C443" s="1315"/>
      <c r="D443" s="1315"/>
      <c r="E443" s="1315"/>
      <c r="F443" s="1315"/>
      <c r="G443" s="1316"/>
      <c r="H443" s="568" t="s">
        <v>46</v>
      </c>
      <c r="I443" s="1294">
        <f t="shared" ref="I443:J443" ca="1" si="196">I462</f>
        <v>20</v>
      </c>
      <c r="J443" s="1294">
        <f t="shared" si="196"/>
        <v>20</v>
      </c>
      <c r="K443" s="1295">
        <f t="shared" ca="1" si="194"/>
        <v>100</v>
      </c>
      <c r="L443" s="1296"/>
      <c r="M443" s="1296"/>
      <c r="N443" s="1296"/>
      <c r="O443" s="1296"/>
      <c r="P443" s="1296"/>
      <c r="Q443" s="1302"/>
      <c r="R443" s="1302"/>
      <c r="S443" s="1302"/>
      <c r="T443" s="1302"/>
      <c r="U443" s="1302"/>
      <c r="V443" s="1302"/>
      <c r="W443" s="1302"/>
      <c r="X443" s="1302"/>
      <c r="Y443" s="1302"/>
      <c r="Z443" s="1302"/>
    </row>
    <row r="444" spans="1:26" ht="19.5">
      <c r="A444" s="1317"/>
      <c r="B444" s="1301"/>
      <c r="C444" s="1301" t="s">
        <v>16</v>
      </c>
      <c r="D444" s="1318" t="s">
        <v>17</v>
      </c>
      <c r="E444" s="841"/>
      <c r="F444" s="841"/>
      <c r="G444" s="1016"/>
      <c r="H444" s="597" t="s">
        <v>12</v>
      </c>
      <c r="I444" s="880"/>
      <c r="J444" s="880"/>
      <c r="K444" s="881"/>
      <c r="L444" s="1020">
        <f t="shared" ref="L444:N444" ca="1" si="197">L445+L446</f>
        <v>69160</v>
      </c>
      <c r="M444" s="1020">
        <f t="shared" ca="1" si="197"/>
        <v>69160</v>
      </c>
      <c r="N444" s="1020">
        <f t="shared" si="197"/>
        <v>52700</v>
      </c>
      <c r="O444" s="1020">
        <f t="shared" ref="O444:O449" ca="1" si="198">IF(L444&gt;0,N444*100/L444,0)</f>
        <v>76.200115673799885</v>
      </c>
      <c r="P444" s="1020">
        <f t="shared" ref="P444:P449" ca="1" si="199">IF(M444&gt;0,N444*100/M444,0)</f>
        <v>76.200115673799885</v>
      </c>
      <c r="Q444" s="1302"/>
      <c r="R444" s="1302"/>
      <c r="S444" s="1302"/>
      <c r="T444" s="1302"/>
      <c r="U444" s="1302"/>
      <c r="V444" s="1302"/>
      <c r="W444" s="1302"/>
      <c r="X444" s="1302"/>
      <c r="Y444" s="1302"/>
      <c r="Z444" s="1302"/>
    </row>
    <row r="445" spans="1:26" ht="18.75" hidden="1">
      <c r="A445" s="1319"/>
      <c r="B445" s="1320"/>
      <c r="C445" s="1320"/>
      <c r="D445" s="1321"/>
      <c r="E445" s="1320" t="s">
        <v>185</v>
      </c>
      <c r="F445" s="1320"/>
      <c r="G445" s="1322"/>
      <c r="H445" s="165" t="s">
        <v>12</v>
      </c>
      <c r="I445" s="886"/>
      <c r="J445" s="886"/>
      <c r="K445" s="887"/>
      <c r="L445" s="887">
        <f t="shared" ref="L445:N446" si="200">L448+L455</f>
        <v>0</v>
      </c>
      <c r="M445" s="887">
        <f t="shared" si="200"/>
        <v>0</v>
      </c>
      <c r="N445" s="887">
        <f t="shared" si="200"/>
        <v>0</v>
      </c>
      <c r="O445" s="887">
        <f t="shared" si="198"/>
        <v>0</v>
      </c>
      <c r="P445" s="887">
        <f t="shared" si="199"/>
        <v>0</v>
      </c>
      <c r="Q445" s="1323"/>
      <c r="R445" s="1323"/>
      <c r="S445" s="1323"/>
      <c r="T445" s="1323"/>
      <c r="U445" s="1323"/>
      <c r="V445" s="1323"/>
      <c r="W445" s="1323"/>
      <c r="X445" s="1323"/>
      <c r="Y445" s="1323"/>
      <c r="Z445" s="1323"/>
    </row>
    <row r="446" spans="1:26" ht="18.75" hidden="1">
      <c r="A446" s="1319"/>
      <c r="B446" s="1324"/>
      <c r="C446" s="1320"/>
      <c r="D446" s="1321"/>
      <c r="E446" s="1320" t="s">
        <v>186</v>
      </c>
      <c r="F446" s="1320"/>
      <c r="G446" s="1322"/>
      <c r="H446" s="165" t="s">
        <v>12</v>
      </c>
      <c r="I446" s="886"/>
      <c r="J446" s="886"/>
      <c r="K446" s="887"/>
      <c r="L446" s="887">
        <f t="shared" ca="1" si="200"/>
        <v>69160</v>
      </c>
      <c r="M446" s="887">
        <f t="shared" ca="1" si="200"/>
        <v>69160</v>
      </c>
      <c r="N446" s="887">
        <f t="shared" si="200"/>
        <v>52700</v>
      </c>
      <c r="O446" s="887">
        <f t="shared" ca="1" si="198"/>
        <v>76.200115673799885</v>
      </c>
      <c r="P446" s="887">
        <f t="shared" ca="1" si="199"/>
        <v>76.200115673799885</v>
      </c>
      <c r="Q446" s="1323"/>
      <c r="R446" s="1323"/>
      <c r="S446" s="1323"/>
      <c r="T446" s="1323"/>
      <c r="U446" s="1323"/>
      <c r="V446" s="1323"/>
      <c r="W446" s="1323"/>
      <c r="X446" s="1323"/>
      <c r="Y446" s="1323"/>
      <c r="Z446" s="1323"/>
    </row>
    <row r="447" spans="1:26" ht="18.75">
      <c r="A447" s="1317"/>
      <c r="B447" s="1300"/>
      <c r="C447" s="1301"/>
      <c r="D447" s="1325" t="s">
        <v>20</v>
      </c>
      <c r="E447" s="1301"/>
      <c r="F447" s="1301"/>
      <c r="G447" s="1016"/>
      <c r="H447" s="161" t="s">
        <v>12</v>
      </c>
      <c r="I447" s="997"/>
      <c r="J447" s="997"/>
      <c r="K447" s="998"/>
      <c r="L447" s="881">
        <f t="shared" ref="L447:N447" ca="1" si="201">L448+L449</f>
        <v>69160</v>
      </c>
      <c r="M447" s="881">
        <f t="shared" ca="1" si="201"/>
        <v>69160</v>
      </c>
      <c r="N447" s="881">
        <f t="shared" si="201"/>
        <v>52700</v>
      </c>
      <c r="O447" s="881">
        <f t="shared" ca="1" si="198"/>
        <v>76.200115673799885</v>
      </c>
      <c r="P447" s="881">
        <f t="shared" ca="1" si="199"/>
        <v>76.200115673799885</v>
      </c>
      <c r="Q447" s="1302"/>
      <c r="R447" s="1302"/>
      <c r="S447" s="1302"/>
      <c r="T447" s="1302"/>
      <c r="U447" s="1302"/>
      <c r="V447" s="1302"/>
      <c r="W447" s="1302"/>
      <c r="X447" s="1302"/>
      <c r="Y447" s="1302"/>
      <c r="Z447" s="1302"/>
    </row>
    <row r="448" spans="1:26" ht="18.75" hidden="1">
      <c r="A448" s="1319"/>
      <c r="B448" s="1324"/>
      <c r="C448" s="1320"/>
      <c r="D448" s="1321"/>
      <c r="E448" s="1320" t="s">
        <v>185</v>
      </c>
      <c r="F448" s="1320"/>
      <c r="G448" s="1322"/>
      <c r="H448" s="165" t="s">
        <v>12</v>
      </c>
      <c r="I448" s="886"/>
      <c r="J448" s="886"/>
      <c r="K448" s="887"/>
      <c r="L448" s="887">
        <v>0</v>
      </c>
      <c r="M448" s="887">
        <v>0</v>
      </c>
      <c r="N448" s="887">
        <v>0</v>
      </c>
      <c r="O448" s="887">
        <f t="shared" si="198"/>
        <v>0</v>
      </c>
      <c r="P448" s="887">
        <f t="shared" si="199"/>
        <v>0</v>
      </c>
      <c r="Q448" s="1323"/>
      <c r="R448" s="1323"/>
      <c r="S448" s="1323"/>
      <c r="T448" s="1323"/>
      <c r="U448" s="1323"/>
      <c r="V448" s="1323"/>
      <c r="W448" s="1323"/>
      <c r="X448" s="1323"/>
      <c r="Y448" s="1323"/>
      <c r="Z448" s="1323"/>
    </row>
    <row r="449" spans="1:26" ht="18.75" hidden="1">
      <c r="A449" s="1319"/>
      <c r="B449" s="1324"/>
      <c r="C449" s="1320"/>
      <c r="D449" s="1321"/>
      <c r="E449" s="1320" t="s">
        <v>186</v>
      </c>
      <c r="F449" s="1320"/>
      <c r="G449" s="1322"/>
      <c r="H449" s="165" t="s">
        <v>12</v>
      </c>
      <c r="I449" s="886"/>
      <c r="J449" s="886"/>
      <c r="K449" s="887"/>
      <c r="L449" s="887">
        <f ca="1">IFERROR(__xludf.DUMMYFUNCTION("IMPORTRANGE(""https://docs.google.com/spreadsheets/d/1QqKyyYR6Q21VydFLVH3TRQUabQu_ym0Zz7PgGX0-kHA/edit?usp=sharing"",""แผน!FJ80"")"),69160)</f>
        <v>69160</v>
      </c>
      <c r="M449" s="887">
        <f ca="1">L449</f>
        <v>69160</v>
      </c>
      <c r="N449" s="887">
        <f>N450+N451+N452+N453</f>
        <v>52700</v>
      </c>
      <c r="O449" s="887">
        <f t="shared" ca="1" si="198"/>
        <v>76.200115673799885</v>
      </c>
      <c r="P449" s="887">
        <f t="shared" ca="1" si="199"/>
        <v>76.200115673799885</v>
      </c>
      <c r="Q449" s="1323"/>
      <c r="R449" s="1323"/>
      <c r="S449" s="1323"/>
      <c r="T449" s="1323"/>
      <c r="U449" s="1323"/>
      <c r="V449" s="1323"/>
      <c r="W449" s="1323"/>
      <c r="X449" s="1323"/>
      <c r="Y449" s="1323"/>
      <c r="Z449" s="1323"/>
    </row>
    <row r="450" spans="1:26" ht="18.75">
      <c r="A450" s="1299"/>
      <c r="B450" s="1300"/>
      <c r="C450" s="1301"/>
      <c r="D450" s="1301"/>
      <c r="E450" s="1301"/>
      <c r="F450" s="1301" t="s">
        <v>187</v>
      </c>
      <c r="G450" s="1016"/>
      <c r="H450" s="161" t="s">
        <v>12</v>
      </c>
      <c r="I450" s="880"/>
      <c r="J450" s="880"/>
      <c r="K450" s="881"/>
      <c r="L450" s="881"/>
      <c r="M450" s="881"/>
      <c r="N450" s="1085">
        <v>17200</v>
      </c>
      <c r="O450" s="881"/>
      <c r="P450" s="881"/>
      <c r="Q450" s="1302"/>
      <c r="R450" s="1302"/>
      <c r="S450" s="1302"/>
      <c r="T450" s="1302"/>
      <c r="U450" s="1302"/>
      <c r="V450" s="1302"/>
      <c r="W450" s="1302"/>
      <c r="X450" s="1302"/>
      <c r="Y450" s="1302"/>
      <c r="Z450" s="1302"/>
    </row>
    <row r="451" spans="1:26" ht="18.75">
      <c r="A451" s="1299"/>
      <c r="B451" s="1300"/>
      <c r="C451" s="1301"/>
      <c r="D451" s="1301"/>
      <c r="E451" s="1301"/>
      <c r="F451" s="1301" t="s">
        <v>188</v>
      </c>
      <c r="G451" s="1016"/>
      <c r="H451" s="161" t="s">
        <v>12</v>
      </c>
      <c r="I451" s="880"/>
      <c r="J451" s="880"/>
      <c r="K451" s="881"/>
      <c r="L451" s="881"/>
      <c r="M451" s="881"/>
      <c r="N451" s="1085">
        <v>26000</v>
      </c>
      <c r="O451" s="881"/>
      <c r="P451" s="881"/>
      <c r="Q451" s="1302"/>
      <c r="R451" s="1302"/>
      <c r="S451" s="1302"/>
      <c r="T451" s="1302"/>
      <c r="U451" s="1302"/>
      <c r="V451" s="1302"/>
      <c r="W451" s="1302"/>
      <c r="X451" s="1302"/>
      <c r="Y451" s="1302"/>
      <c r="Z451" s="1302"/>
    </row>
    <row r="452" spans="1:26" ht="18.75">
      <c r="A452" s="1299"/>
      <c r="B452" s="1300"/>
      <c r="C452" s="1300"/>
      <c r="D452" s="1300"/>
      <c r="E452" s="1300"/>
      <c r="F452" s="1301" t="s">
        <v>189</v>
      </c>
      <c r="G452" s="1016"/>
      <c r="H452" s="161" t="s">
        <v>12</v>
      </c>
      <c r="I452" s="880"/>
      <c r="J452" s="880"/>
      <c r="K452" s="881"/>
      <c r="L452" s="881"/>
      <c r="M452" s="881"/>
      <c r="N452" s="1085">
        <v>0</v>
      </c>
      <c r="O452" s="881"/>
      <c r="P452" s="881"/>
      <c r="Q452" s="1302"/>
      <c r="R452" s="1302"/>
      <c r="S452" s="1302"/>
      <c r="T452" s="1302"/>
      <c r="U452" s="1302"/>
      <c r="V452" s="1302"/>
      <c r="W452" s="1302"/>
      <c r="X452" s="1302"/>
      <c r="Y452" s="1302"/>
      <c r="Z452" s="1302"/>
    </row>
    <row r="453" spans="1:26" ht="18.75">
      <c r="A453" s="1299"/>
      <c r="B453" s="1300"/>
      <c r="C453" s="1300"/>
      <c r="D453" s="1300"/>
      <c r="E453" s="1300"/>
      <c r="F453" s="1301" t="s">
        <v>190</v>
      </c>
      <c r="G453" s="1016"/>
      <c r="H453" s="161" t="s">
        <v>12</v>
      </c>
      <c r="I453" s="880"/>
      <c r="J453" s="880"/>
      <c r="K453" s="881"/>
      <c r="L453" s="881"/>
      <c r="M453" s="881"/>
      <c r="N453" s="1085">
        <v>9500</v>
      </c>
      <c r="O453" s="881"/>
      <c r="P453" s="881"/>
      <c r="Q453" s="1302"/>
      <c r="R453" s="1302"/>
      <c r="S453" s="1302"/>
      <c r="T453" s="1302"/>
      <c r="U453" s="1302"/>
      <c r="V453" s="1302"/>
      <c r="W453" s="1302"/>
      <c r="X453" s="1302"/>
      <c r="Y453" s="1302"/>
      <c r="Z453" s="1302"/>
    </row>
    <row r="454" spans="1:26" ht="18.75">
      <c r="A454" s="1317"/>
      <c r="B454" s="1300"/>
      <c r="C454" s="1300"/>
      <c r="D454" s="1325" t="s">
        <v>21</v>
      </c>
      <c r="E454" s="1300"/>
      <c r="F454" s="1301"/>
      <c r="G454" s="1016"/>
      <c r="H454" s="168" t="s">
        <v>12</v>
      </c>
      <c r="I454" s="997"/>
      <c r="J454" s="997"/>
      <c r="K454" s="998"/>
      <c r="L454" s="881">
        <f t="shared" ref="L454:N454" ca="1" si="202">L455+L456</f>
        <v>0</v>
      </c>
      <c r="M454" s="881">
        <f t="shared" si="202"/>
        <v>0</v>
      </c>
      <c r="N454" s="881">
        <f t="shared" si="202"/>
        <v>0</v>
      </c>
      <c r="O454" s="881">
        <f t="shared" ref="O454:O456" ca="1" si="203">IF(L454&gt;0,N454*100/L454,0)</f>
        <v>0</v>
      </c>
      <c r="P454" s="881">
        <f t="shared" ref="P454:P456" si="204">IF(M454&gt;0,N454*100/M454,0)</f>
        <v>0</v>
      </c>
      <c r="Q454" s="1302"/>
      <c r="R454" s="1302"/>
      <c r="S454" s="1302"/>
      <c r="T454" s="1302"/>
      <c r="U454" s="1302"/>
      <c r="V454" s="1302"/>
      <c r="W454" s="1302"/>
      <c r="X454" s="1302"/>
      <c r="Y454" s="1302"/>
      <c r="Z454" s="1302"/>
    </row>
    <row r="455" spans="1:26" ht="18.75" hidden="1">
      <c r="A455" s="1319"/>
      <c r="B455" s="1324"/>
      <c r="C455" s="1324"/>
      <c r="D455" s="1324"/>
      <c r="E455" s="1324" t="s">
        <v>18</v>
      </c>
      <c r="F455" s="1320"/>
      <c r="G455" s="1322"/>
      <c r="H455" s="165" t="s">
        <v>12</v>
      </c>
      <c r="I455" s="1000"/>
      <c r="J455" s="1000"/>
      <c r="K455" s="1001"/>
      <c r="L455" s="887">
        <v>0</v>
      </c>
      <c r="M455" s="887">
        <v>0</v>
      </c>
      <c r="N455" s="887">
        <v>0</v>
      </c>
      <c r="O455" s="887">
        <f t="shared" si="203"/>
        <v>0</v>
      </c>
      <c r="P455" s="887">
        <f t="shared" si="204"/>
        <v>0</v>
      </c>
      <c r="Q455" s="1323"/>
      <c r="R455" s="1323"/>
      <c r="S455" s="1323"/>
      <c r="T455" s="1323"/>
      <c r="U455" s="1323"/>
      <c r="V455" s="1323"/>
      <c r="W455" s="1323"/>
      <c r="X455" s="1323"/>
      <c r="Y455" s="1323"/>
      <c r="Z455" s="1323"/>
    </row>
    <row r="456" spans="1:26" ht="18.75" hidden="1">
      <c r="A456" s="1319"/>
      <c r="B456" s="1324"/>
      <c r="C456" s="1324"/>
      <c r="D456" s="1324"/>
      <c r="E456" s="1324" t="s">
        <v>19</v>
      </c>
      <c r="F456" s="1320"/>
      <c r="G456" s="1322"/>
      <c r="H456" s="169" t="s">
        <v>12</v>
      </c>
      <c r="I456" s="1000"/>
      <c r="J456" s="1000"/>
      <c r="K456" s="1001"/>
      <c r="L456" s="887">
        <f ca="1">IFERROR(__xludf.DUMMYFUNCTION("IMPORTRANGE(""https://docs.google.com/spreadsheets/d/1QqKyyYR6Q21VydFLVH3TRQUabQu_ym0Zz7PgGX0-kHA/edit?usp=sharing"",""แผน!FM80"")"),0)</f>
        <v>0</v>
      </c>
      <c r="M456" s="887">
        <v>0</v>
      </c>
      <c r="N456" s="887">
        <v>0</v>
      </c>
      <c r="O456" s="887">
        <f t="shared" ca="1" si="203"/>
        <v>0</v>
      </c>
      <c r="P456" s="887">
        <f t="shared" si="204"/>
        <v>0</v>
      </c>
      <c r="Q456" s="1323"/>
      <c r="R456" s="1323"/>
      <c r="S456" s="1323"/>
      <c r="T456" s="1323"/>
      <c r="U456" s="1323"/>
      <c r="V456" s="1323"/>
      <c r="W456" s="1323"/>
      <c r="X456" s="1323"/>
      <c r="Y456" s="1323"/>
      <c r="Z456" s="1323"/>
    </row>
    <row r="457" spans="1:26" ht="19.5">
      <c r="A457" s="1326"/>
      <c r="B457" s="1327"/>
      <c r="C457" s="1300" t="s">
        <v>16</v>
      </c>
      <c r="D457" s="1328" t="s">
        <v>38</v>
      </c>
      <c r="E457" s="1329"/>
      <c r="F457" s="1330"/>
      <c r="G457" s="1331"/>
      <c r="H457" s="1007"/>
      <c r="I457" s="880"/>
      <c r="J457" s="880"/>
      <c r="K457" s="881"/>
      <c r="L457" s="881"/>
      <c r="M457" s="881"/>
      <c r="N457" s="881"/>
      <c r="O457" s="881"/>
      <c r="P457" s="881"/>
      <c r="Q457" s="1302"/>
      <c r="R457" s="1302"/>
      <c r="S457" s="1302"/>
      <c r="T457" s="1302"/>
      <c r="U457" s="1302"/>
      <c r="V457" s="1302"/>
      <c r="W457" s="1302"/>
      <c r="X457" s="1302"/>
      <c r="Y457" s="1302"/>
      <c r="Z457" s="1302"/>
    </row>
    <row r="458" spans="1:26" ht="18.75" hidden="1">
      <c r="A458" s="1332"/>
      <c r="B458" s="1333"/>
      <c r="C458" s="1333"/>
      <c r="D458" s="1333" t="s">
        <v>201</v>
      </c>
      <c r="E458" s="1333"/>
      <c r="F458" s="1321"/>
      <c r="G458" s="1113"/>
      <c r="H458" s="370" t="s">
        <v>35</v>
      </c>
      <c r="I458" s="886">
        <v>0</v>
      </c>
      <c r="J458" s="886">
        <v>0</v>
      </c>
      <c r="K458" s="887">
        <f>IF(I458&gt;0,J458*100/I458,0)</f>
        <v>0</v>
      </c>
      <c r="L458" s="887"/>
      <c r="M458" s="887"/>
      <c r="N458" s="887"/>
      <c r="O458" s="887"/>
      <c r="P458" s="887"/>
      <c r="Q458" s="1323"/>
      <c r="R458" s="1323"/>
      <c r="S458" s="1323"/>
      <c r="T458" s="1323"/>
      <c r="U458" s="1323"/>
      <c r="V458" s="1323"/>
      <c r="W458" s="1323"/>
      <c r="X458" s="1323"/>
      <c r="Y458" s="1323"/>
      <c r="Z458" s="1323"/>
    </row>
    <row r="459" spans="1:26" ht="18.75" hidden="1">
      <c r="A459" s="1332"/>
      <c r="B459" s="1333"/>
      <c r="C459" s="1333"/>
      <c r="D459" s="1333" t="s">
        <v>202</v>
      </c>
      <c r="E459" s="1333"/>
      <c r="F459" s="1321"/>
      <c r="G459" s="1113"/>
      <c r="H459" s="370"/>
      <c r="I459" s="886"/>
      <c r="J459" s="886"/>
      <c r="K459" s="887"/>
      <c r="L459" s="887"/>
      <c r="M459" s="887"/>
      <c r="N459" s="887"/>
      <c r="O459" s="887"/>
      <c r="P459" s="887"/>
      <c r="Q459" s="1323"/>
      <c r="R459" s="1323"/>
      <c r="S459" s="1323"/>
      <c r="T459" s="1323"/>
      <c r="U459" s="1323"/>
      <c r="V459" s="1323"/>
      <c r="W459" s="1323"/>
      <c r="X459" s="1323"/>
      <c r="Y459" s="1323"/>
      <c r="Z459" s="1323"/>
    </row>
    <row r="460" spans="1:26" ht="18.75">
      <c r="A460" s="1326"/>
      <c r="B460" s="1327"/>
      <c r="C460" s="1327"/>
      <c r="D460" s="1327" t="s">
        <v>203</v>
      </c>
      <c r="E460" s="1327"/>
      <c r="F460" s="1014"/>
      <c r="G460" s="1007"/>
      <c r="H460" s="762" t="s">
        <v>35</v>
      </c>
      <c r="I460" s="880">
        <f ca="1">IFERROR(__xludf.DUMMYFUNCTION("IMPORTRANGE(""https://docs.google.com/spreadsheets/d/1QqKyyYR6Q21VydFLVH3TRQUabQu_ym0Zz7PgGX0-kHA/edit?usp=sharing"",""แผน!FN80"")"),10)</f>
        <v>10</v>
      </c>
      <c r="J460" s="1012">
        <v>10</v>
      </c>
      <c r="K460" s="881">
        <f ca="1">IF(I460&gt;0,J460*100/I460,0)</f>
        <v>100</v>
      </c>
      <c r="L460" s="881"/>
      <c r="M460" s="881"/>
      <c r="N460" s="881"/>
      <c r="O460" s="881"/>
      <c r="P460" s="881"/>
      <c r="Q460" s="1302"/>
      <c r="R460" s="1302"/>
      <c r="S460" s="1302"/>
      <c r="T460" s="1302"/>
      <c r="U460" s="1302"/>
      <c r="V460" s="1302"/>
      <c r="W460" s="1302"/>
      <c r="X460" s="1302"/>
      <c r="Y460" s="1302"/>
      <c r="Z460" s="1302"/>
    </row>
    <row r="461" spans="1:26" ht="18.75">
      <c r="A461" s="1326"/>
      <c r="B461" s="1327"/>
      <c r="C461" s="1327"/>
      <c r="D461" s="1327" t="s">
        <v>204</v>
      </c>
      <c r="E461" s="1014"/>
      <c r="F461" s="1014"/>
      <c r="G461" s="1007"/>
      <c r="H461" s="762"/>
      <c r="I461" s="880"/>
      <c r="J461" s="880"/>
      <c r="K461" s="881"/>
      <c r="L461" s="881"/>
      <c r="M461" s="881"/>
      <c r="N461" s="881"/>
      <c r="O461" s="881"/>
      <c r="P461" s="881"/>
      <c r="Q461" s="1302"/>
      <c r="R461" s="1302"/>
      <c r="S461" s="1302"/>
      <c r="T461" s="1302"/>
      <c r="U461" s="1302"/>
      <c r="V461" s="1302"/>
      <c r="W461" s="1302"/>
      <c r="X461" s="1302"/>
      <c r="Y461" s="1302"/>
      <c r="Z461" s="1302"/>
    </row>
    <row r="462" spans="1:26" ht="18.75">
      <c r="A462" s="1326"/>
      <c r="B462" s="1327"/>
      <c r="C462" s="1327"/>
      <c r="D462" s="1327" t="s">
        <v>205</v>
      </c>
      <c r="E462" s="1014"/>
      <c r="F462" s="1014"/>
      <c r="G462" s="1007"/>
      <c r="H462" s="762" t="s">
        <v>46</v>
      </c>
      <c r="I462" s="880">
        <f ca="1">IFERROR(__xludf.DUMMYFUNCTION("IMPORTRANGE(""https://docs.google.com/spreadsheets/d/1QqKyyYR6Q21VydFLVH3TRQUabQu_ym0Zz7PgGX0-kHA/edit?usp=sharing"",""แผน!FO80"")"),20)</f>
        <v>20</v>
      </c>
      <c r="J462" s="1012">
        <v>20</v>
      </c>
      <c r="K462" s="881">
        <f ca="1">IF(I462&gt;0,J462*100/I462,0)</f>
        <v>100</v>
      </c>
      <c r="L462" s="881"/>
      <c r="M462" s="881"/>
      <c r="N462" s="881"/>
      <c r="O462" s="881"/>
      <c r="P462" s="881"/>
      <c r="Q462" s="1302"/>
      <c r="R462" s="1302"/>
      <c r="S462" s="1302"/>
      <c r="T462" s="1302"/>
      <c r="U462" s="1302"/>
      <c r="V462" s="1302"/>
      <c r="W462" s="1302"/>
      <c r="X462" s="1302"/>
      <c r="Y462" s="1302"/>
      <c r="Z462" s="1302"/>
    </row>
    <row r="463" spans="1:26" ht="18.75">
      <c r="A463" s="1326"/>
      <c r="B463" s="1327"/>
      <c r="C463" s="1327"/>
      <c r="D463" s="1327" t="s">
        <v>59</v>
      </c>
      <c r="E463" s="1014"/>
      <c r="F463" s="1301"/>
      <c r="G463" s="1016"/>
      <c r="H463" s="762" t="s">
        <v>46</v>
      </c>
      <c r="I463" s="880">
        <f ca="1">IFERROR(__xludf.DUMMYFUNCTION("IMPORTRANGE(""https://docs.google.com/spreadsheets/d/1QqKyyYR6Q21VydFLVH3TRQUabQu_ym0Zz7PgGX0-kHA/edit?usp=sharing"",""แผน!FO80"")"),20)</f>
        <v>20</v>
      </c>
      <c r="J463" s="1012">
        <v>20</v>
      </c>
      <c r="K463" s="881"/>
      <c r="L463" s="881"/>
      <c r="M463" s="881"/>
      <c r="N463" s="881"/>
      <c r="O463" s="881"/>
      <c r="P463" s="881"/>
      <c r="Q463" s="1302"/>
      <c r="R463" s="1302"/>
      <c r="S463" s="1302"/>
      <c r="T463" s="1302"/>
      <c r="U463" s="1302"/>
      <c r="V463" s="1302"/>
      <c r="W463" s="1302"/>
      <c r="X463" s="1302"/>
      <c r="Y463" s="1302"/>
      <c r="Z463" s="1302"/>
    </row>
    <row r="464" spans="1:26" ht="19.5">
      <c r="A464" s="1326"/>
      <c r="B464" s="1327"/>
      <c r="C464" s="1327"/>
      <c r="D464" s="1327"/>
      <c r="E464" s="1014"/>
      <c r="F464" s="1014"/>
      <c r="G464" s="1334"/>
      <c r="H464" s="762" t="s">
        <v>35</v>
      </c>
      <c r="I464" s="880">
        <f ca="1">IFERROR(__xludf.DUMMYFUNCTION("IMPORTRANGE(""https://docs.google.com/spreadsheets/d/1QqKyyYR6Q21VydFLVH3TRQUabQu_ym0Zz7PgGX0-kHA/edit?usp=sharing"",""แผน!FN80"")"),10)</f>
        <v>10</v>
      </c>
      <c r="J464" s="1012">
        <v>10</v>
      </c>
      <c r="K464" s="881"/>
      <c r="L464" s="881"/>
      <c r="M464" s="881"/>
      <c r="N464" s="881"/>
      <c r="O464" s="881"/>
      <c r="P464" s="881"/>
      <c r="Q464" s="1302"/>
      <c r="R464" s="1302"/>
      <c r="S464" s="1302"/>
      <c r="T464" s="1302"/>
      <c r="U464" s="1302"/>
      <c r="V464" s="1302"/>
      <c r="W464" s="1302"/>
      <c r="X464" s="1302"/>
      <c r="Y464" s="1302"/>
      <c r="Z464" s="1302"/>
    </row>
    <row r="465" spans="1:26" ht="19.5">
      <c r="A465" s="584">
        <v>3</v>
      </c>
      <c r="B465" s="1307" t="s">
        <v>206</v>
      </c>
      <c r="C465" s="1308"/>
      <c r="D465" s="1308"/>
      <c r="E465" s="1308"/>
      <c r="F465" s="1308"/>
      <c r="G465" s="1309"/>
      <c r="H465" s="588" t="s">
        <v>35</v>
      </c>
      <c r="I465" s="1310">
        <f ca="1">IFERROR(__xludf.DUMMYFUNCTION("IMPORTRANGE(""https://docs.google.com/spreadsheets/d/1QqKyyYR6Q21VydFLVH3TRQUabQu_ym0Zz7PgGX0-kHA/edit?usp=sharing"",""แผน!FX80"")"),11)</f>
        <v>11</v>
      </c>
      <c r="J465" s="1310">
        <f>J485+J489+J492</f>
        <v>11</v>
      </c>
      <c r="K465" s="1311">
        <f t="shared" ref="K465:K466" ca="1" si="205">IF(I465&gt;0,J465*100/I465,0)</f>
        <v>100</v>
      </c>
      <c r="L465" s="1312"/>
      <c r="M465" s="1312"/>
      <c r="N465" s="1312"/>
      <c r="O465" s="1312"/>
      <c r="P465" s="1312"/>
      <c r="Q465" s="1302"/>
      <c r="R465" s="1302"/>
      <c r="S465" s="1302"/>
      <c r="T465" s="1302"/>
      <c r="U465" s="1302"/>
      <c r="V465" s="1302"/>
      <c r="W465" s="1302"/>
      <c r="X465" s="1302"/>
      <c r="Y465" s="1302"/>
      <c r="Z465" s="1302"/>
    </row>
    <row r="466" spans="1:26" ht="19.5">
      <c r="A466" s="1313"/>
      <c r="B466" s="1314"/>
      <c r="C466" s="1315"/>
      <c r="D466" s="1315"/>
      <c r="E466" s="1315"/>
      <c r="F466" s="1315"/>
      <c r="G466" s="1316"/>
      <c r="H466" s="568" t="s">
        <v>46</v>
      </c>
      <c r="I466" s="1294">
        <f ca="1">IFERROR(__xludf.DUMMYFUNCTION("IMPORTRANGE(""https://docs.google.com/spreadsheets/d/1QqKyyYR6Q21VydFLVH3TRQUabQu_ym0Zz7PgGX0-kHA/edit?usp=sharing"",""แผน!FW80"")"),100)</f>
        <v>100</v>
      </c>
      <c r="J466" s="1294">
        <f>J495+J498</f>
        <v>0</v>
      </c>
      <c r="K466" s="1295">
        <f t="shared" ca="1" si="205"/>
        <v>0</v>
      </c>
      <c r="L466" s="1296"/>
      <c r="M466" s="1296"/>
      <c r="N466" s="1296"/>
      <c r="O466" s="1296"/>
      <c r="P466" s="1296"/>
      <c r="Q466" s="1302"/>
      <c r="R466" s="1302"/>
      <c r="S466" s="1302"/>
      <c r="T466" s="1302"/>
      <c r="U466" s="1302"/>
      <c r="V466" s="1302"/>
      <c r="W466" s="1302"/>
      <c r="X466" s="1302"/>
      <c r="Y466" s="1302"/>
      <c r="Z466" s="1302"/>
    </row>
    <row r="467" spans="1:26" ht="19.5">
      <c r="A467" s="1317"/>
      <c r="B467" s="1301"/>
      <c r="C467" s="1301" t="s">
        <v>16</v>
      </c>
      <c r="D467" s="1318" t="s">
        <v>17</v>
      </c>
      <c r="E467" s="841"/>
      <c r="F467" s="841"/>
      <c r="G467" s="1016"/>
      <c r="H467" s="597" t="s">
        <v>12</v>
      </c>
      <c r="I467" s="880"/>
      <c r="J467" s="880"/>
      <c r="K467" s="881"/>
      <c r="L467" s="1020">
        <f t="shared" ref="L467:N467" ca="1" si="206">L468+L469</f>
        <v>114323</v>
      </c>
      <c r="M467" s="1020">
        <f t="shared" ca="1" si="206"/>
        <v>114323</v>
      </c>
      <c r="N467" s="1020">
        <f t="shared" si="206"/>
        <v>29633</v>
      </c>
      <c r="O467" s="1020">
        <f t="shared" ref="O467:O472" ca="1" si="207">IF(L467&gt;0,N467*100/L467,0)</f>
        <v>25.920418463476292</v>
      </c>
      <c r="P467" s="1020">
        <f t="shared" ref="P467:P472" ca="1" si="208">IF(M467&gt;0,N467*100/M467,0)</f>
        <v>25.920418463476292</v>
      </c>
      <c r="Q467" s="1302"/>
      <c r="R467" s="1302"/>
      <c r="S467" s="1302"/>
      <c r="T467" s="1302"/>
      <c r="U467" s="1302"/>
      <c r="V467" s="1302"/>
      <c r="W467" s="1302"/>
      <c r="X467" s="1302"/>
      <c r="Y467" s="1302"/>
      <c r="Z467" s="1302"/>
    </row>
    <row r="468" spans="1:26" ht="18.75" hidden="1">
      <c r="A468" s="1319"/>
      <c r="B468" s="1320"/>
      <c r="C468" s="1320"/>
      <c r="D468" s="1321"/>
      <c r="E468" s="1320" t="s">
        <v>185</v>
      </c>
      <c r="F468" s="1320"/>
      <c r="G468" s="1322"/>
      <c r="H468" s="165" t="s">
        <v>12</v>
      </c>
      <c r="I468" s="886"/>
      <c r="J468" s="886"/>
      <c r="K468" s="887"/>
      <c r="L468" s="887">
        <f t="shared" ref="L468:N469" si="209">L471+L478</f>
        <v>0</v>
      </c>
      <c r="M468" s="887">
        <f t="shared" si="209"/>
        <v>0</v>
      </c>
      <c r="N468" s="887">
        <f t="shared" si="209"/>
        <v>0</v>
      </c>
      <c r="O468" s="887">
        <f t="shared" si="207"/>
        <v>0</v>
      </c>
      <c r="P468" s="887">
        <f t="shared" si="208"/>
        <v>0</v>
      </c>
      <c r="Q468" s="1323"/>
      <c r="R468" s="1323"/>
      <c r="S468" s="1323"/>
      <c r="T468" s="1323"/>
      <c r="U468" s="1323"/>
      <c r="V468" s="1323"/>
      <c r="W468" s="1323"/>
      <c r="X468" s="1323"/>
      <c r="Y468" s="1323"/>
      <c r="Z468" s="1323"/>
    </row>
    <row r="469" spans="1:26" ht="18.75" hidden="1">
      <c r="A469" s="1319"/>
      <c r="B469" s="1324"/>
      <c r="C469" s="1320"/>
      <c r="D469" s="1321"/>
      <c r="E469" s="1320" t="s">
        <v>186</v>
      </c>
      <c r="F469" s="1320"/>
      <c r="G469" s="1322"/>
      <c r="H469" s="165" t="s">
        <v>12</v>
      </c>
      <c r="I469" s="886"/>
      <c r="J469" s="886"/>
      <c r="K469" s="887"/>
      <c r="L469" s="887">
        <f t="shared" ca="1" si="209"/>
        <v>114323</v>
      </c>
      <c r="M469" s="887">
        <f t="shared" ca="1" si="209"/>
        <v>114323</v>
      </c>
      <c r="N469" s="887">
        <f t="shared" si="209"/>
        <v>29633</v>
      </c>
      <c r="O469" s="887">
        <f t="shared" ca="1" si="207"/>
        <v>25.920418463476292</v>
      </c>
      <c r="P469" s="887">
        <f t="shared" ca="1" si="208"/>
        <v>25.920418463476292</v>
      </c>
      <c r="Q469" s="1323"/>
      <c r="R469" s="1323"/>
      <c r="S469" s="1323"/>
      <c r="T469" s="1323"/>
      <c r="U469" s="1323"/>
      <c r="V469" s="1323"/>
      <c r="W469" s="1323"/>
      <c r="X469" s="1323"/>
      <c r="Y469" s="1323"/>
      <c r="Z469" s="1323"/>
    </row>
    <row r="470" spans="1:26" ht="18.75">
      <c r="A470" s="1317"/>
      <c r="B470" s="1300"/>
      <c r="C470" s="1301"/>
      <c r="D470" s="1325" t="s">
        <v>20</v>
      </c>
      <c r="E470" s="1301"/>
      <c r="F470" s="1301"/>
      <c r="G470" s="1016"/>
      <c r="H470" s="161" t="s">
        <v>12</v>
      </c>
      <c r="I470" s="997"/>
      <c r="J470" s="997"/>
      <c r="K470" s="998"/>
      <c r="L470" s="881">
        <f t="shared" ref="L470:N470" ca="1" si="210">L471+L472</f>
        <v>114323</v>
      </c>
      <c r="M470" s="881">
        <f t="shared" ca="1" si="210"/>
        <v>114323</v>
      </c>
      <c r="N470" s="881">
        <f t="shared" si="210"/>
        <v>29633</v>
      </c>
      <c r="O470" s="881">
        <f t="shared" ca="1" si="207"/>
        <v>25.920418463476292</v>
      </c>
      <c r="P470" s="881">
        <f t="shared" ca="1" si="208"/>
        <v>25.920418463476292</v>
      </c>
      <c r="Q470" s="1302"/>
      <c r="R470" s="1302"/>
      <c r="S470" s="1302"/>
      <c r="T470" s="1302"/>
      <c r="U470" s="1302"/>
      <c r="V470" s="1302"/>
      <c r="W470" s="1302"/>
      <c r="X470" s="1302"/>
      <c r="Y470" s="1302"/>
      <c r="Z470" s="1302"/>
    </row>
    <row r="471" spans="1:26" ht="18.75" hidden="1">
      <c r="A471" s="1319"/>
      <c r="B471" s="1324"/>
      <c r="C471" s="1320"/>
      <c r="D471" s="1321"/>
      <c r="E471" s="1320" t="s">
        <v>185</v>
      </c>
      <c r="F471" s="1320"/>
      <c r="G471" s="1322"/>
      <c r="H471" s="165" t="s">
        <v>12</v>
      </c>
      <c r="I471" s="886"/>
      <c r="J471" s="886"/>
      <c r="K471" s="887"/>
      <c r="L471" s="887">
        <v>0</v>
      </c>
      <c r="M471" s="887">
        <v>0</v>
      </c>
      <c r="N471" s="887">
        <v>0</v>
      </c>
      <c r="O471" s="887">
        <f t="shared" si="207"/>
        <v>0</v>
      </c>
      <c r="P471" s="887">
        <f t="shared" si="208"/>
        <v>0</v>
      </c>
      <c r="Q471" s="1323"/>
      <c r="R471" s="1323"/>
      <c r="S471" s="1323"/>
      <c r="T471" s="1323"/>
      <c r="U471" s="1323"/>
      <c r="V471" s="1323"/>
      <c r="W471" s="1323"/>
      <c r="X471" s="1323"/>
      <c r="Y471" s="1323"/>
      <c r="Z471" s="1323"/>
    </row>
    <row r="472" spans="1:26" ht="18.75" hidden="1">
      <c r="A472" s="1319"/>
      <c r="B472" s="1324"/>
      <c r="C472" s="1320"/>
      <c r="D472" s="1321"/>
      <c r="E472" s="1320" t="s">
        <v>186</v>
      </c>
      <c r="F472" s="1320"/>
      <c r="G472" s="1322"/>
      <c r="H472" s="165" t="s">
        <v>12</v>
      </c>
      <c r="I472" s="886"/>
      <c r="J472" s="886"/>
      <c r="K472" s="887"/>
      <c r="L472" s="887">
        <f ca="1">IFERROR(__xludf.DUMMYFUNCTION("IMPORTRANGE(""https://docs.google.com/spreadsheets/d/1QqKyyYR6Q21VydFLVH3TRQUabQu_ym0Zz7PgGX0-kHA/edit?usp=sharing"",""แผน!FS80"")"),114323)</f>
        <v>114323</v>
      </c>
      <c r="M472" s="887">
        <f ca="1">L472</f>
        <v>114323</v>
      </c>
      <c r="N472" s="887">
        <f>N473+N474+N475+N476</f>
        <v>29633</v>
      </c>
      <c r="O472" s="887">
        <f t="shared" ca="1" si="207"/>
        <v>25.920418463476292</v>
      </c>
      <c r="P472" s="887">
        <f t="shared" ca="1" si="208"/>
        <v>25.920418463476292</v>
      </c>
      <c r="Q472" s="1323"/>
      <c r="R472" s="1323"/>
      <c r="S472" s="1323"/>
      <c r="T472" s="1323"/>
      <c r="U472" s="1323"/>
      <c r="V472" s="1323"/>
      <c r="W472" s="1323"/>
      <c r="X472" s="1323"/>
      <c r="Y472" s="1323"/>
      <c r="Z472" s="1323"/>
    </row>
    <row r="473" spans="1:26" ht="18.75">
      <c r="A473" s="1299"/>
      <c r="B473" s="1300"/>
      <c r="C473" s="1301"/>
      <c r="D473" s="1301"/>
      <c r="E473" s="1301"/>
      <c r="F473" s="1301" t="s">
        <v>187</v>
      </c>
      <c r="G473" s="1016"/>
      <c r="H473" s="161" t="s">
        <v>12</v>
      </c>
      <c r="I473" s="880"/>
      <c r="J473" s="880"/>
      <c r="K473" s="881"/>
      <c r="L473" s="881"/>
      <c r="M473" s="881"/>
      <c r="N473" s="1085">
        <v>26683</v>
      </c>
      <c r="O473" s="881"/>
      <c r="P473" s="881"/>
      <c r="Q473" s="1302"/>
      <c r="R473" s="1302"/>
      <c r="S473" s="1302"/>
      <c r="T473" s="1302"/>
      <c r="U473" s="1302"/>
      <c r="V473" s="1302"/>
      <c r="W473" s="1302"/>
      <c r="X473" s="1302"/>
      <c r="Y473" s="1302"/>
      <c r="Z473" s="1302"/>
    </row>
    <row r="474" spans="1:26" ht="18.75">
      <c r="A474" s="1299"/>
      <c r="B474" s="1300"/>
      <c r="C474" s="1301"/>
      <c r="D474" s="1301"/>
      <c r="E474" s="1301"/>
      <c r="F474" s="1301" t="s">
        <v>188</v>
      </c>
      <c r="G474" s="1016"/>
      <c r="H474" s="161" t="s">
        <v>12</v>
      </c>
      <c r="I474" s="880"/>
      <c r="J474" s="880"/>
      <c r="K474" s="881"/>
      <c r="L474" s="881"/>
      <c r="M474" s="881"/>
      <c r="N474" s="1085">
        <v>0</v>
      </c>
      <c r="O474" s="881"/>
      <c r="P474" s="881"/>
      <c r="Q474" s="1302"/>
      <c r="R474" s="1302"/>
      <c r="S474" s="1302"/>
      <c r="T474" s="1302"/>
      <c r="U474" s="1302"/>
      <c r="V474" s="1302"/>
      <c r="W474" s="1302"/>
      <c r="X474" s="1302"/>
      <c r="Y474" s="1302"/>
      <c r="Z474" s="1302"/>
    </row>
    <row r="475" spans="1:26" ht="18.75">
      <c r="A475" s="1299"/>
      <c r="B475" s="1300"/>
      <c r="C475" s="1300"/>
      <c r="D475" s="1300"/>
      <c r="E475" s="1300"/>
      <c r="F475" s="1301" t="s">
        <v>189</v>
      </c>
      <c r="G475" s="1016"/>
      <c r="H475" s="161" t="s">
        <v>12</v>
      </c>
      <c r="I475" s="880"/>
      <c r="J475" s="880"/>
      <c r="K475" s="881"/>
      <c r="L475" s="881"/>
      <c r="M475" s="881"/>
      <c r="N475" s="1085">
        <v>500</v>
      </c>
      <c r="O475" s="881"/>
      <c r="P475" s="881"/>
      <c r="Q475" s="1302"/>
      <c r="R475" s="1302"/>
      <c r="S475" s="1302"/>
      <c r="T475" s="1302"/>
      <c r="U475" s="1302"/>
      <c r="V475" s="1302"/>
      <c r="W475" s="1302"/>
      <c r="X475" s="1302"/>
      <c r="Y475" s="1302"/>
      <c r="Z475" s="1302"/>
    </row>
    <row r="476" spans="1:26" ht="18.75">
      <c r="A476" s="1299"/>
      <c r="B476" s="1300"/>
      <c r="C476" s="1300"/>
      <c r="D476" s="1300"/>
      <c r="E476" s="1300"/>
      <c r="F476" s="1301" t="s">
        <v>190</v>
      </c>
      <c r="G476" s="1016"/>
      <c r="H476" s="161" t="s">
        <v>12</v>
      </c>
      <c r="I476" s="880"/>
      <c r="J476" s="880"/>
      <c r="K476" s="881"/>
      <c r="L476" s="881"/>
      <c r="M476" s="881"/>
      <c r="N476" s="1085">
        <f>1400+300+750</f>
        <v>2450</v>
      </c>
      <c r="O476" s="881"/>
      <c r="P476" s="881"/>
      <c r="Q476" s="1302"/>
      <c r="R476" s="1302"/>
      <c r="S476" s="1302"/>
      <c r="T476" s="1302"/>
      <c r="U476" s="1302"/>
      <c r="V476" s="1302"/>
      <c r="W476" s="1302"/>
      <c r="X476" s="1302"/>
      <c r="Y476" s="1302"/>
      <c r="Z476" s="1302"/>
    </row>
    <row r="477" spans="1:26" ht="18.75">
      <c r="A477" s="1317"/>
      <c r="B477" s="1300"/>
      <c r="C477" s="1300"/>
      <c r="D477" s="1325" t="s">
        <v>21</v>
      </c>
      <c r="E477" s="1300"/>
      <c r="F477" s="1300"/>
      <c r="G477" s="1016"/>
      <c r="H477" s="168" t="s">
        <v>12</v>
      </c>
      <c r="I477" s="997"/>
      <c r="J477" s="997"/>
      <c r="K477" s="998"/>
      <c r="L477" s="881">
        <f t="shared" ref="L477:N477" ca="1" si="211">L478+L479</f>
        <v>0</v>
      </c>
      <c r="M477" s="881">
        <f t="shared" si="211"/>
        <v>0</v>
      </c>
      <c r="N477" s="881">
        <f t="shared" si="211"/>
        <v>0</v>
      </c>
      <c r="O477" s="881">
        <f t="shared" ref="O477:O479" ca="1" si="212">IF(L477&gt;0,N477*100/L477,0)</f>
        <v>0</v>
      </c>
      <c r="P477" s="881">
        <f t="shared" ref="P477:P479" si="213">IF(M477&gt;0,N477*100/M477,0)</f>
        <v>0</v>
      </c>
      <c r="Q477" s="1302"/>
      <c r="R477" s="1302"/>
      <c r="S477" s="1302"/>
      <c r="T477" s="1302"/>
      <c r="U477" s="1302"/>
      <c r="V477" s="1302"/>
      <c r="W477" s="1302"/>
      <c r="X477" s="1302"/>
      <c r="Y477" s="1302"/>
      <c r="Z477" s="1302"/>
    </row>
    <row r="478" spans="1:26" ht="18.75" hidden="1">
      <c r="A478" s="1319"/>
      <c r="B478" s="1324"/>
      <c r="C478" s="1324"/>
      <c r="D478" s="1324"/>
      <c r="E478" s="1324" t="s">
        <v>18</v>
      </c>
      <c r="F478" s="1324"/>
      <c r="G478" s="1322"/>
      <c r="H478" s="165" t="s">
        <v>12</v>
      </c>
      <c r="I478" s="1000"/>
      <c r="J478" s="1000"/>
      <c r="K478" s="1001"/>
      <c r="L478" s="887">
        <v>0</v>
      </c>
      <c r="M478" s="887">
        <v>0</v>
      </c>
      <c r="N478" s="887">
        <v>0</v>
      </c>
      <c r="O478" s="887">
        <f t="shared" si="212"/>
        <v>0</v>
      </c>
      <c r="P478" s="887">
        <f t="shared" si="213"/>
        <v>0</v>
      </c>
      <c r="Q478" s="1323"/>
      <c r="R478" s="1323"/>
      <c r="S478" s="1323"/>
      <c r="T478" s="1323"/>
      <c r="U478" s="1323"/>
      <c r="V478" s="1323"/>
      <c r="W478" s="1323"/>
      <c r="X478" s="1323"/>
      <c r="Y478" s="1323"/>
      <c r="Z478" s="1323"/>
    </row>
    <row r="479" spans="1:26" ht="18.75" hidden="1">
      <c r="A479" s="1319"/>
      <c r="B479" s="1324"/>
      <c r="C479" s="1324"/>
      <c r="D479" s="1324"/>
      <c r="E479" s="1324" t="s">
        <v>19</v>
      </c>
      <c r="F479" s="1324"/>
      <c r="G479" s="1322"/>
      <c r="H479" s="169" t="s">
        <v>12</v>
      </c>
      <c r="I479" s="1000"/>
      <c r="J479" s="1000"/>
      <c r="K479" s="1001"/>
      <c r="L479" s="887">
        <f ca="1">IFERROR(__xludf.DUMMYFUNCTION("IMPORTRANGE(""https://docs.google.com/spreadsheets/d/1QqKyyYR6Q21VydFLVH3TRQUabQu_ym0Zz7PgGX0-kHA/edit?usp=sharing"",""แผน!FV80"")"),0)</f>
        <v>0</v>
      </c>
      <c r="M479" s="887">
        <v>0</v>
      </c>
      <c r="N479" s="887">
        <v>0</v>
      </c>
      <c r="O479" s="887">
        <f t="shared" ca="1" si="212"/>
        <v>0</v>
      </c>
      <c r="P479" s="887">
        <f t="shared" si="213"/>
        <v>0</v>
      </c>
      <c r="Q479" s="1323"/>
      <c r="R479" s="1323"/>
      <c r="S479" s="1323"/>
      <c r="T479" s="1323"/>
      <c r="U479" s="1323"/>
      <c r="V479" s="1323"/>
      <c r="W479" s="1323"/>
      <c r="X479" s="1323"/>
      <c r="Y479" s="1323"/>
      <c r="Z479" s="1323"/>
    </row>
    <row r="480" spans="1:26" ht="19.5">
      <c r="A480" s="1326"/>
      <c r="B480" s="1327"/>
      <c r="C480" s="1300" t="s">
        <v>16</v>
      </c>
      <c r="D480" s="1335" t="s">
        <v>38</v>
      </c>
      <c r="E480" s="1329"/>
      <c r="F480" s="1330"/>
      <c r="G480" s="1331"/>
      <c r="H480" s="1007"/>
      <c r="I480" s="880"/>
      <c r="J480" s="880"/>
      <c r="K480" s="881"/>
      <c r="L480" s="881"/>
      <c r="M480" s="881"/>
      <c r="N480" s="881"/>
      <c r="O480" s="881"/>
      <c r="P480" s="881"/>
      <c r="Q480" s="1302"/>
      <c r="R480" s="1302"/>
      <c r="S480" s="1302"/>
      <c r="T480" s="1302"/>
      <c r="U480" s="1302"/>
      <c r="V480" s="1302"/>
      <c r="W480" s="1302"/>
      <c r="X480" s="1302"/>
      <c r="Y480" s="1302"/>
      <c r="Z480" s="1302"/>
    </row>
    <row r="481" spans="1:26" ht="19.5">
      <c r="A481" s="1326"/>
      <c r="B481" s="1327"/>
      <c r="C481" s="1327"/>
      <c r="D481" s="1336" t="s">
        <v>207</v>
      </c>
      <c r="E481" s="1327"/>
      <c r="F481" s="1327"/>
      <c r="G481" s="1007"/>
      <c r="H481" s="1016"/>
      <c r="I481" s="880"/>
      <c r="J481" s="880"/>
      <c r="K481" s="881"/>
      <c r="L481" s="881"/>
      <c r="M481" s="881"/>
      <c r="N481" s="881"/>
      <c r="O481" s="881"/>
      <c r="P481" s="881"/>
      <c r="Q481" s="1302"/>
      <c r="R481" s="1302"/>
      <c r="S481" s="1302"/>
      <c r="T481" s="1302"/>
      <c r="U481" s="1302"/>
      <c r="V481" s="1302"/>
      <c r="W481" s="1302"/>
      <c r="X481" s="1302"/>
      <c r="Y481" s="1302"/>
      <c r="Z481" s="1302"/>
    </row>
    <row r="482" spans="1:26" ht="18.75">
      <c r="A482" s="1326"/>
      <c r="B482" s="1327"/>
      <c r="C482" s="1327"/>
      <c r="D482" s="1327"/>
      <c r="E482" s="1327" t="s">
        <v>208</v>
      </c>
      <c r="F482" s="1327"/>
      <c r="G482" s="1007"/>
      <c r="H482" s="1016"/>
      <c r="I482" s="880"/>
      <c r="J482" s="880"/>
      <c r="K482" s="881"/>
      <c r="L482" s="881"/>
      <c r="M482" s="881"/>
      <c r="N482" s="881"/>
      <c r="O482" s="881"/>
      <c r="P482" s="881"/>
      <c r="Q482" s="1302"/>
      <c r="R482" s="1302"/>
      <c r="S482" s="1302"/>
      <c r="T482" s="1302"/>
      <c r="U482" s="1302"/>
      <c r="V482" s="1302"/>
      <c r="W482" s="1302"/>
      <c r="X482" s="1302"/>
      <c r="Y482" s="1302"/>
      <c r="Z482" s="1302"/>
    </row>
    <row r="483" spans="1:26" ht="18.75">
      <c r="A483" s="1326"/>
      <c r="B483" s="1327"/>
      <c r="C483" s="1327"/>
      <c r="D483" s="1327"/>
      <c r="E483" s="1327"/>
      <c r="F483" s="1327" t="s">
        <v>209</v>
      </c>
      <c r="G483" s="1007"/>
      <c r="H483" s="622" t="s">
        <v>46</v>
      </c>
      <c r="I483" s="880">
        <f ca="1">IFERROR(__xludf.DUMMYFUNCTION("IMPORTRANGE(""https://docs.google.com/spreadsheets/d/1QqKyyYR6Q21VydFLVH3TRQUabQu_ym0Zz7PgGX0-kHA/edit?usp=sharing"",""แผน!FY80"")"),90)</f>
        <v>90</v>
      </c>
      <c r="J483" s="1012">
        <v>90</v>
      </c>
      <c r="K483" s="881">
        <f ca="1">IF(I483&gt;0,J483*100/I483,0)</f>
        <v>100</v>
      </c>
      <c r="L483" s="881"/>
      <c r="M483" s="881"/>
      <c r="N483" s="881"/>
      <c r="O483" s="881"/>
      <c r="P483" s="881"/>
      <c r="Q483" s="1302"/>
      <c r="R483" s="1302"/>
      <c r="S483" s="1302"/>
      <c r="T483" s="1302"/>
      <c r="U483" s="1302"/>
      <c r="V483" s="1302"/>
      <c r="W483" s="1302"/>
      <c r="X483" s="1302"/>
      <c r="Y483" s="1302"/>
      <c r="Z483" s="1302"/>
    </row>
    <row r="484" spans="1:26" ht="18.75">
      <c r="A484" s="1326"/>
      <c r="B484" s="1327"/>
      <c r="C484" s="1327"/>
      <c r="D484" s="1327"/>
      <c r="E484" s="1327"/>
      <c r="F484" s="1327" t="s">
        <v>210</v>
      </c>
      <c r="G484" s="1007"/>
      <c r="H484" s="622" t="s">
        <v>35</v>
      </c>
      <c r="I484" s="880"/>
      <c r="J484" s="1012">
        <v>0</v>
      </c>
      <c r="K484" s="881"/>
      <c r="L484" s="881"/>
      <c r="M484" s="881"/>
      <c r="N484" s="881"/>
      <c r="O484" s="881"/>
      <c r="P484" s="881"/>
      <c r="Q484" s="1302"/>
      <c r="R484" s="1302"/>
      <c r="S484" s="1302"/>
      <c r="T484" s="1302"/>
      <c r="U484" s="1302"/>
      <c r="V484" s="1302"/>
      <c r="W484" s="1302"/>
      <c r="X484" s="1302"/>
      <c r="Y484" s="1302"/>
      <c r="Z484" s="1302"/>
    </row>
    <row r="485" spans="1:26" ht="18.75">
      <c r="A485" s="1326"/>
      <c r="B485" s="1327"/>
      <c r="C485" s="1327"/>
      <c r="D485" s="1327"/>
      <c r="E485" s="1327"/>
      <c r="F485" s="1327" t="s">
        <v>211</v>
      </c>
      <c r="G485" s="1007"/>
      <c r="H485" s="622" t="s">
        <v>35</v>
      </c>
      <c r="I485" s="880">
        <f ca="1">IFERROR(__xludf.DUMMYFUNCTION("IMPORTRANGE(""https://docs.google.com/spreadsheets/d/1QqKyyYR6Q21VydFLVH3TRQUabQu_ym0Zz7PgGX0-kHA/edit?usp=sharing"",""แผน!FZ80"")"),9)</f>
        <v>9</v>
      </c>
      <c r="J485" s="1012">
        <v>9</v>
      </c>
      <c r="K485" s="881">
        <f ca="1">IF(I485&gt;0,J485*100/I485,0)</f>
        <v>100</v>
      </c>
      <c r="L485" s="881"/>
      <c r="M485" s="881"/>
      <c r="N485" s="881"/>
      <c r="O485" s="881"/>
      <c r="P485" s="881"/>
      <c r="Q485" s="1302"/>
      <c r="R485" s="1302"/>
      <c r="S485" s="1302"/>
      <c r="T485" s="1302"/>
      <c r="U485" s="1302"/>
      <c r="V485" s="1302"/>
      <c r="W485" s="1302"/>
      <c r="X485" s="1302"/>
      <c r="Y485" s="1302"/>
      <c r="Z485" s="1302"/>
    </row>
    <row r="486" spans="1:26" ht="18.75">
      <c r="A486" s="1326"/>
      <c r="B486" s="1327"/>
      <c r="C486" s="1327"/>
      <c r="D486" s="1327"/>
      <c r="E486" s="1327" t="s">
        <v>62</v>
      </c>
      <c r="F486" s="1327"/>
      <c r="G486" s="1007"/>
      <c r="H486" s="622"/>
      <c r="I486" s="880"/>
      <c r="J486" s="880"/>
      <c r="K486" s="881"/>
      <c r="L486" s="881"/>
      <c r="M486" s="881"/>
      <c r="N486" s="881"/>
      <c r="O486" s="881"/>
      <c r="P486" s="881"/>
      <c r="Q486" s="1302"/>
      <c r="R486" s="1302"/>
      <c r="S486" s="1302"/>
      <c r="T486" s="1302"/>
      <c r="U486" s="1302"/>
      <c r="V486" s="1302"/>
      <c r="W486" s="1302"/>
      <c r="X486" s="1302"/>
      <c r="Y486" s="1302"/>
      <c r="Z486" s="1302"/>
    </row>
    <row r="487" spans="1:26" ht="18.75">
      <c r="A487" s="1326"/>
      <c r="B487" s="1327"/>
      <c r="C487" s="1327"/>
      <c r="D487" s="1327"/>
      <c r="E487" s="1327"/>
      <c r="F487" s="1327" t="s">
        <v>209</v>
      </c>
      <c r="G487" s="1007"/>
      <c r="H487" s="622" t="s">
        <v>46</v>
      </c>
      <c r="I487" s="880">
        <f ca="1">IFERROR(__xludf.DUMMYFUNCTION("IMPORTRANGE(""https://docs.google.com/spreadsheets/d/1QqKyyYR6Q21VydFLVH3TRQUabQu_ym0Zz7PgGX0-kHA/edit?usp=sharing"",""แผน!GA80"")"),10)</f>
        <v>10</v>
      </c>
      <c r="J487" s="1012">
        <v>10</v>
      </c>
      <c r="K487" s="881">
        <f ca="1">IF(I487&gt;0,J487*100/I487,0)</f>
        <v>100</v>
      </c>
      <c r="L487" s="881"/>
      <c r="M487" s="881"/>
      <c r="N487" s="881"/>
      <c r="O487" s="881"/>
      <c r="P487" s="881"/>
      <c r="Q487" s="1302"/>
      <c r="R487" s="1302"/>
      <c r="S487" s="1302"/>
      <c r="T487" s="1302"/>
      <c r="U487" s="1302"/>
      <c r="V487" s="1302"/>
      <c r="W487" s="1302"/>
      <c r="X487" s="1302"/>
      <c r="Y487" s="1302"/>
      <c r="Z487" s="1302"/>
    </row>
    <row r="488" spans="1:26" ht="18.75">
      <c r="A488" s="1326"/>
      <c r="B488" s="1327"/>
      <c r="C488" s="1327"/>
      <c r="D488" s="1327"/>
      <c r="E488" s="1327"/>
      <c r="F488" s="1327" t="s">
        <v>212</v>
      </c>
      <c r="G488" s="1007"/>
      <c r="H488" s="622" t="s">
        <v>35</v>
      </c>
      <c r="I488" s="880"/>
      <c r="J488" s="1012">
        <v>1</v>
      </c>
      <c r="K488" s="881"/>
      <c r="L488" s="881"/>
      <c r="M488" s="881"/>
      <c r="N488" s="881"/>
      <c r="O488" s="881"/>
      <c r="P488" s="881"/>
      <c r="Q488" s="1302"/>
      <c r="R488" s="1302"/>
      <c r="S488" s="1302"/>
      <c r="T488" s="1302"/>
      <c r="U488" s="1302"/>
      <c r="V488" s="1302"/>
      <c r="W488" s="1302"/>
      <c r="X488" s="1302"/>
      <c r="Y488" s="1302"/>
      <c r="Z488" s="1302"/>
    </row>
    <row r="489" spans="1:26" ht="18.75">
      <c r="A489" s="1326"/>
      <c r="B489" s="1327"/>
      <c r="C489" s="1327"/>
      <c r="D489" s="1327"/>
      <c r="E489" s="1327"/>
      <c r="F489" s="1327" t="s">
        <v>213</v>
      </c>
      <c r="G489" s="1007"/>
      <c r="H489" s="622" t="s">
        <v>35</v>
      </c>
      <c r="I489" s="880">
        <f ca="1">IFERROR(__xludf.DUMMYFUNCTION("IMPORTRANGE(""https://docs.google.com/spreadsheets/d/1QqKyyYR6Q21VydFLVH3TRQUabQu_ym0Zz7PgGX0-kHA/edit?usp=sharing"",""แผน!GB80"")"),1)</f>
        <v>1</v>
      </c>
      <c r="J489" s="1012">
        <v>1</v>
      </c>
      <c r="K489" s="881">
        <f ca="1">IF(I489&gt;0,J489*100/I489,0)</f>
        <v>100</v>
      </c>
      <c r="L489" s="881"/>
      <c r="M489" s="881"/>
      <c r="N489" s="881"/>
      <c r="O489" s="881"/>
      <c r="P489" s="881"/>
      <c r="Q489" s="1302"/>
      <c r="R489" s="1302"/>
      <c r="S489" s="1302"/>
      <c r="T489" s="1302"/>
      <c r="U489" s="1302"/>
      <c r="V489" s="1302"/>
      <c r="W489" s="1302"/>
      <c r="X489" s="1302"/>
      <c r="Y489" s="1302"/>
      <c r="Z489" s="1302"/>
    </row>
    <row r="490" spans="1:26" ht="18.75">
      <c r="A490" s="1326"/>
      <c r="B490" s="1327"/>
      <c r="C490" s="1327"/>
      <c r="D490" s="1327"/>
      <c r="E490" s="1327" t="s">
        <v>63</v>
      </c>
      <c r="F490" s="1014"/>
      <c r="G490" s="1007"/>
      <c r="H490" s="622"/>
      <c r="I490" s="880"/>
      <c r="J490" s="880"/>
      <c r="K490" s="881"/>
      <c r="L490" s="881"/>
      <c r="M490" s="881"/>
      <c r="N490" s="881"/>
      <c r="O490" s="881"/>
      <c r="P490" s="881"/>
      <c r="Q490" s="1302"/>
      <c r="R490" s="1302"/>
      <c r="S490" s="1302"/>
      <c r="T490" s="1302"/>
      <c r="U490" s="1302"/>
      <c r="V490" s="1302"/>
      <c r="W490" s="1302"/>
      <c r="X490" s="1302"/>
      <c r="Y490" s="1302"/>
      <c r="Z490" s="1302"/>
    </row>
    <row r="491" spans="1:26" ht="18.75">
      <c r="A491" s="1326"/>
      <c r="B491" s="1327"/>
      <c r="C491" s="1327"/>
      <c r="D491" s="1327"/>
      <c r="E491" s="1327"/>
      <c r="F491" s="1327" t="s">
        <v>214</v>
      </c>
      <c r="G491" s="1007"/>
      <c r="H491" s="622" t="s">
        <v>35</v>
      </c>
      <c r="I491" s="880"/>
      <c r="J491" s="1012">
        <v>1</v>
      </c>
      <c r="K491" s="881"/>
      <c r="L491" s="881"/>
      <c r="M491" s="881"/>
      <c r="N491" s="881"/>
      <c r="O491" s="881"/>
      <c r="P491" s="881"/>
      <c r="Q491" s="1302"/>
      <c r="R491" s="1302"/>
      <c r="S491" s="1302"/>
      <c r="T491" s="1302"/>
      <c r="U491" s="1302"/>
      <c r="V491" s="1302"/>
      <c r="W491" s="1302"/>
      <c r="X491" s="1302"/>
      <c r="Y491" s="1302"/>
      <c r="Z491" s="1302"/>
    </row>
    <row r="492" spans="1:26" ht="18.75">
      <c r="A492" s="1326"/>
      <c r="B492" s="1327"/>
      <c r="C492" s="1327"/>
      <c r="D492" s="1327"/>
      <c r="E492" s="1327"/>
      <c r="F492" s="1327" t="s">
        <v>215</v>
      </c>
      <c r="G492" s="1007"/>
      <c r="H492" s="622" t="s">
        <v>35</v>
      </c>
      <c r="I492" s="880">
        <f ca="1">IFERROR(__xludf.DUMMYFUNCTION("IMPORTRANGE(""https://docs.google.com/spreadsheets/d/1QqKyyYR6Q21VydFLVH3TRQUabQu_ym0Zz7PgGX0-kHA/edit?usp=sharing"",""แผน!GC80"")"),1)</f>
        <v>1</v>
      </c>
      <c r="J492" s="1012">
        <v>1</v>
      </c>
      <c r="K492" s="881">
        <f ca="1">IF(I492&gt;0,J492*100/I492,0)</f>
        <v>100</v>
      </c>
      <c r="L492" s="881"/>
      <c r="M492" s="881"/>
      <c r="N492" s="881"/>
      <c r="O492" s="881"/>
      <c r="P492" s="881"/>
      <c r="Q492" s="1302"/>
      <c r="R492" s="1302"/>
      <c r="S492" s="1302"/>
      <c r="T492" s="1302"/>
      <c r="U492" s="1302"/>
      <c r="V492" s="1302"/>
      <c r="W492" s="1302"/>
      <c r="X492" s="1302"/>
      <c r="Y492" s="1302"/>
      <c r="Z492" s="1302"/>
    </row>
    <row r="493" spans="1:26" ht="19.5">
      <c r="A493" s="1326"/>
      <c r="B493" s="1327"/>
      <c r="C493" s="1327"/>
      <c r="D493" s="1336" t="s">
        <v>59</v>
      </c>
      <c r="E493" s="1327"/>
      <c r="F493" s="1014"/>
      <c r="G493" s="1007"/>
      <c r="H493" s="1016"/>
      <c r="I493" s="880"/>
      <c r="J493" s="880"/>
      <c r="K493" s="881"/>
      <c r="L493" s="881"/>
      <c r="M493" s="881"/>
      <c r="N493" s="881"/>
      <c r="O493" s="881"/>
      <c r="P493" s="881"/>
      <c r="Q493" s="1302"/>
      <c r="R493" s="1302"/>
      <c r="S493" s="1302"/>
      <c r="T493" s="1302"/>
      <c r="U493" s="1302"/>
      <c r="V493" s="1302"/>
      <c r="W493" s="1302"/>
      <c r="X493" s="1302"/>
      <c r="Y493" s="1302"/>
      <c r="Z493" s="1302"/>
    </row>
    <row r="494" spans="1:26" ht="18.75">
      <c r="A494" s="1326"/>
      <c r="B494" s="1327"/>
      <c r="C494" s="1327"/>
      <c r="D494" s="1327"/>
      <c r="E494" s="1327" t="s">
        <v>208</v>
      </c>
      <c r="F494" s="1014"/>
      <c r="G494" s="1007"/>
      <c r="H494" s="1016"/>
      <c r="I494" s="880"/>
      <c r="J494" s="880"/>
      <c r="K494" s="881"/>
      <c r="L494" s="881"/>
      <c r="M494" s="881"/>
      <c r="N494" s="881"/>
      <c r="O494" s="881"/>
      <c r="P494" s="881"/>
      <c r="Q494" s="1302"/>
      <c r="R494" s="1302"/>
      <c r="S494" s="1302"/>
      <c r="T494" s="1302"/>
      <c r="U494" s="1302"/>
      <c r="V494" s="1302"/>
      <c r="W494" s="1302"/>
      <c r="X494" s="1302"/>
      <c r="Y494" s="1302"/>
      <c r="Z494" s="1302"/>
    </row>
    <row r="495" spans="1:26" ht="18.75">
      <c r="A495" s="1326"/>
      <c r="B495" s="1327"/>
      <c r="C495" s="1327"/>
      <c r="D495" s="1327"/>
      <c r="E495" s="1327"/>
      <c r="F495" s="1014" t="s">
        <v>216</v>
      </c>
      <c r="G495" s="1007"/>
      <c r="H495" s="622" t="s">
        <v>46</v>
      </c>
      <c r="I495" s="880">
        <f ca="1">IFERROR(__xludf.DUMMYFUNCTION("IMPORTRANGE(""https://docs.google.com/spreadsheets/d/1QqKyyYR6Q21VydFLVH3TRQUabQu_ym0Zz7PgGX0-kHA/edit?usp=sharing"",""แผน!FY80"")"),90)</f>
        <v>90</v>
      </c>
      <c r="J495" s="1012">
        <v>0</v>
      </c>
      <c r="K495" s="881">
        <f ca="1">IF(I495&gt;0,J495*100/I495,0)</f>
        <v>0</v>
      </c>
      <c r="L495" s="881"/>
      <c r="M495" s="881"/>
      <c r="N495" s="881"/>
      <c r="O495" s="881"/>
      <c r="P495" s="881"/>
      <c r="Q495" s="1302"/>
      <c r="R495" s="1302"/>
      <c r="S495" s="1302"/>
      <c r="T495" s="1302"/>
      <c r="U495" s="1302"/>
      <c r="V495" s="1302"/>
      <c r="W495" s="1302"/>
      <c r="X495" s="1302"/>
      <c r="Y495" s="1302"/>
      <c r="Z495" s="1302"/>
    </row>
    <row r="496" spans="1:26" ht="18.75">
      <c r="A496" s="1326"/>
      <c r="B496" s="1327"/>
      <c r="C496" s="1327"/>
      <c r="D496" s="1327"/>
      <c r="E496" s="1327"/>
      <c r="F496" s="1014" t="s">
        <v>217</v>
      </c>
      <c r="G496" s="1007"/>
      <c r="H496" s="622" t="s">
        <v>46</v>
      </c>
      <c r="I496" s="880"/>
      <c r="J496" s="1012">
        <v>0</v>
      </c>
      <c r="K496" s="881"/>
      <c r="L496" s="881"/>
      <c r="M496" s="881"/>
      <c r="N496" s="881"/>
      <c r="O496" s="881"/>
      <c r="P496" s="881"/>
      <c r="Q496" s="1302"/>
      <c r="R496" s="1302"/>
      <c r="S496" s="1302"/>
      <c r="T496" s="1302"/>
      <c r="U496" s="1302"/>
      <c r="V496" s="1302"/>
      <c r="W496" s="1302"/>
      <c r="X496" s="1302"/>
      <c r="Y496" s="1302"/>
      <c r="Z496" s="1302"/>
    </row>
    <row r="497" spans="1:26" ht="18.75">
      <c r="A497" s="1326"/>
      <c r="B497" s="1327"/>
      <c r="C497" s="1327"/>
      <c r="D497" s="1327"/>
      <c r="E497" s="1327" t="s">
        <v>62</v>
      </c>
      <c r="F497" s="1014"/>
      <c r="G497" s="1007"/>
      <c r="H497" s="1016"/>
      <c r="I497" s="880"/>
      <c r="J497" s="880"/>
      <c r="K497" s="881"/>
      <c r="L497" s="881"/>
      <c r="M497" s="881"/>
      <c r="N497" s="881"/>
      <c r="O497" s="881"/>
      <c r="P497" s="881"/>
      <c r="Q497" s="1302"/>
      <c r="R497" s="1302"/>
      <c r="S497" s="1302"/>
      <c r="T497" s="1302"/>
      <c r="U497" s="1302"/>
      <c r="V497" s="1302"/>
      <c r="W497" s="1302"/>
      <c r="X497" s="1302"/>
      <c r="Y497" s="1302"/>
      <c r="Z497" s="1302"/>
    </row>
    <row r="498" spans="1:26" ht="18.75">
      <c r="A498" s="1326"/>
      <c r="B498" s="1327"/>
      <c r="C498" s="1327"/>
      <c r="D498" s="1327"/>
      <c r="E498" s="1014"/>
      <c r="F498" s="1014" t="s">
        <v>218</v>
      </c>
      <c r="G498" s="1007"/>
      <c r="H498" s="622" t="s">
        <v>46</v>
      </c>
      <c r="I498" s="880">
        <f ca="1">IFERROR(__xludf.DUMMYFUNCTION("IMPORTRANGE(""https://docs.google.com/spreadsheets/d/1QqKyyYR6Q21VydFLVH3TRQUabQu_ym0Zz7PgGX0-kHA/edit?usp=sharing"",""แผน!GA80"")"),10)</f>
        <v>10</v>
      </c>
      <c r="J498" s="1012">
        <v>0</v>
      </c>
      <c r="K498" s="881">
        <f ca="1">IF(I498&gt;0,J498*100/I498,0)</f>
        <v>0</v>
      </c>
      <c r="L498" s="881"/>
      <c r="M498" s="881"/>
      <c r="N498" s="881"/>
      <c r="O498" s="881"/>
      <c r="P498" s="881"/>
      <c r="Q498" s="1302"/>
      <c r="R498" s="1302"/>
      <c r="S498" s="1302"/>
      <c r="T498" s="1302"/>
      <c r="U498" s="1302"/>
      <c r="V498" s="1302"/>
      <c r="W498" s="1302"/>
      <c r="X498" s="1302"/>
      <c r="Y498" s="1302"/>
      <c r="Z498" s="1302"/>
    </row>
    <row r="499" spans="1:26" ht="18.75">
      <c r="A499" s="1326"/>
      <c r="B499" s="1327"/>
      <c r="C499" s="1327"/>
      <c r="D499" s="1327"/>
      <c r="E499" s="1014"/>
      <c r="F499" s="1014" t="s">
        <v>219</v>
      </c>
      <c r="G499" s="1007"/>
      <c r="H499" s="622" t="s">
        <v>46</v>
      </c>
      <c r="I499" s="880"/>
      <c r="J499" s="1012">
        <v>0</v>
      </c>
      <c r="K499" s="881"/>
      <c r="L499" s="881"/>
      <c r="M499" s="881"/>
      <c r="N499" s="881"/>
      <c r="O499" s="881"/>
      <c r="P499" s="881"/>
      <c r="Q499" s="1302"/>
      <c r="R499" s="1302"/>
      <c r="S499" s="1302"/>
      <c r="T499" s="1302"/>
      <c r="U499" s="1302"/>
      <c r="V499" s="1302"/>
      <c r="W499" s="1302"/>
      <c r="X499" s="1302"/>
      <c r="Y499" s="1302"/>
      <c r="Z499" s="1302"/>
    </row>
    <row r="500" spans="1:26" ht="19.5" hidden="1">
      <c r="A500" s="626">
        <v>4</v>
      </c>
      <c r="B500" s="1337" t="s">
        <v>220</v>
      </c>
      <c r="C500" s="1338"/>
      <c r="D500" s="1339"/>
      <c r="E500" s="1339"/>
      <c r="F500" s="1339"/>
      <c r="G500" s="1340"/>
      <c r="H500" s="631" t="s">
        <v>109</v>
      </c>
      <c r="I500" s="1341"/>
      <c r="J500" s="1341">
        <f t="shared" ref="J500:J501" si="214">J516</f>
        <v>0</v>
      </c>
      <c r="K500" s="1342">
        <f t="shared" ref="K500:K501" si="215">IF(I500&gt;0,J500*100/I500,0)</f>
        <v>0</v>
      </c>
      <c r="L500" s="1343"/>
      <c r="M500" s="1343"/>
      <c r="N500" s="1343"/>
      <c r="O500" s="1343"/>
      <c r="P500" s="1343"/>
      <c r="Q500" s="1323"/>
      <c r="R500" s="1323"/>
      <c r="S500" s="1323"/>
      <c r="T500" s="1323"/>
      <c r="U500" s="1323"/>
      <c r="V500" s="1323"/>
      <c r="W500" s="1323"/>
      <c r="X500" s="1323"/>
      <c r="Y500" s="1323"/>
      <c r="Z500" s="1323"/>
    </row>
    <row r="501" spans="1:26" ht="19.5" hidden="1">
      <c r="A501" s="1344"/>
      <c r="B501" s="1345" t="s">
        <v>221</v>
      </c>
      <c r="C501" s="1345"/>
      <c r="D501" s="1346"/>
      <c r="E501" s="1346"/>
      <c r="F501" s="1346"/>
      <c r="G501" s="1347"/>
      <c r="H501" s="640" t="s">
        <v>35</v>
      </c>
      <c r="I501" s="1348"/>
      <c r="J501" s="1348">
        <f t="shared" si="214"/>
        <v>0</v>
      </c>
      <c r="K501" s="1349">
        <f t="shared" si="215"/>
        <v>0</v>
      </c>
      <c r="L501" s="1350"/>
      <c r="M501" s="1350"/>
      <c r="N501" s="1350"/>
      <c r="O501" s="1350"/>
      <c r="P501" s="1350"/>
      <c r="Q501" s="1323"/>
      <c r="R501" s="1323"/>
      <c r="S501" s="1323"/>
      <c r="T501" s="1323"/>
      <c r="U501" s="1323"/>
      <c r="V501" s="1323"/>
      <c r="W501" s="1323"/>
      <c r="X501" s="1323"/>
      <c r="Y501" s="1323"/>
      <c r="Z501" s="1323"/>
    </row>
    <row r="502" spans="1:26" ht="19.5" hidden="1">
      <c r="A502" s="1319"/>
      <c r="B502" s="1320"/>
      <c r="C502" s="1320" t="s">
        <v>16</v>
      </c>
      <c r="D502" s="1351" t="s">
        <v>17</v>
      </c>
      <c r="E502" s="841"/>
      <c r="F502" s="841"/>
      <c r="G502" s="1322"/>
      <c r="H502" s="644" t="s">
        <v>12</v>
      </c>
      <c r="I502" s="886"/>
      <c r="J502" s="886"/>
      <c r="K502" s="887"/>
      <c r="L502" s="1352">
        <f t="shared" ref="L502:N502" si="216">L503+L504</f>
        <v>0</v>
      </c>
      <c r="M502" s="1352">
        <f t="shared" si="216"/>
        <v>0</v>
      </c>
      <c r="N502" s="1352">
        <f t="shared" si="216"/>
        <v>0</v>
      </c>
      <c r="O502" s="1352">
        <f t="shared" ref="O502:O507" si="217">IF(L502&gt;0,N502*100/L502,0)</f>
        <v>0</v>
      </c>
      <c r="P502" s="1352">
        <f t="shared" ref="P502:P507" si="218">IF(M502&gt;0,N502*100/M502,0)</f>
        <v>0</v>
      </c>
      <c r="Q502" s="1323"/>
      <c r="R502" s="1323"/>
      <c r="S502" s="1323"/>
      <c r="T502" s="1323"/>
      <c r="U502" s="1323"/>
      <c r="V502" s="1323"/>
      <c r="W502" s="1323"/>
      <c r="X502" s="1323"/>
      <c r="Y502" s="1323"/>
      <c r="Z502" s="1323"/>
    </row>
    <row r="503" spans="1:26" ht="18.75" hidden="1">
      <c r="A503" s="1319"/>
      <c r="B503" s="1320"/>
      <c r="C503" s="1320"/>
      <c r="D503" s="1321"/>
      <c r="E503" s="1320" t="s">
        <v>185</v>
      </c>
      <c r="F503" s="1320"/>
      <c r="G503" s="1322"/>
      <c r="H503" s="165" t="s">
        <v>12</v>
      </c>
      <c r="I503" s="886"/>
      <c r="J503" s="886"/>
      <c r="K503" s="887"/>
      <c r="L503" s="887">
        <f t="shared" ref="L503:N504" si="219">L506+L513</f>
        <v>0</v>
      </c>
      <c r="M503" s="887">
        <f t="shared" si="219"/>
        <v>0</v>
      </c>
      <c r="N503" s="887">
        <f t="shared" si="219"/>
        <v>0</v>
      </c>
      <c r="O503" s="887">
        <f t="shared" si="217"/>
        <v>0</v>
      </c>
      <c r="P503" s="887">
        <f t="shared" si="218"/>
        <v>0</v>
      </c>
      <c r="Q503" s="1323"/>
      <c r="R503" s="1323"/>
      <c r="S503" s="1323"/>
      <c r="T503" s="1323"/>
      <c r="U503" s="1323"/>
      <c r="V503" s="1323"/>
      <c r="W503" s="1323"/>
      <c r="X503" s="1323"/>
      <c r="Y503" s="1323"/>
      <c r="Z503" s="1323"/>
    </row>
    <row r="504" spans="1:26" ht="18.75" hidden="1">
      <c r="A504" s="1319"/>
      <c r="B504" s="1324"/>
      <c r="C504" s="1320"/>
      <c r="D504" s="1321"/>
      <c r="E504" s="1320" t="s">
        <v>186</v>
      </c>
      <c r="F504" s="1320"/>
      <c r="G504" s="1322"/>
      <c r="H504" s="165" t="s">
        <v>12</v>
      </c>
      <c r="I504" s="886"/>
      <c r="J504" s="886"/>
      <c r="K504" s="887"/>
      <c r="L504" s="887">
        <f t="shared" si="219"/>
        <v>0</v>
      </c>
      <c r="M504" s="887">
        <f t="shared" si="219"/>
        <v>0</v>
      </c>
      <c r="N504" s="887">
        <f t="shared" si="219"/>
        <v>0</v>
      </c>
      <c r="O504" s="887">
        <f t="shared" si="217"/>
        <v>0</v>
      </c>
      <c r="P504" s="887">
        <f t="shared" si="218"/>
        <v>0</v>
      </c>
      <c r="Q504" s="1323"/>
      <c r="R504" s="1323"/>
      <c r="S504" s="1323"/>
      <c r="T504" s="1323"/>
      <c r="U504" s="1323"/>
      <c r="V504" s="1323"/>
      <c r="W504" s="1323"/>
      <c r="X504" s="1323"/>
      <c r="Y504" s="1323"/>
      <c r="Z504" s="1323"/>
    </row>
    <row r="505" spans="1:26" ht="18.75" hidden="1">
      <c r="A505" s="1319"/>
      <c r="B505" s="1324"/>
      <c r="C505" s="1320"/>
      <c r="D505" s="1353" t="s">
        <v>20</v>
      </c>
      <c r="E505" s="1320"/>
      <c r="F505" s="1320"/>
      <c r="G505" s="1322"/>
      <c r="H505" s="165" t="s">
        <v>12</v>
      </c>
      <c r="I505" s="1000"/>
      <c r="J505" s="1000"/>
      <c r="K505" s="1001"/>
      <c r="L505" s="887">
        <f t="shared" ref="L505:N505" si="220">L506+L507</f>
        <v>0</v>
      </c>
      <c r="M505" s="887">
        <f t="shared" si="220"/>
        <v>0</v>
      </c>
      <c r="N505" s="887">
        <f t="shared" si="220"/>
        <v>0</v>
      </c>
      <c r="O505" s="887">
        <f t="shared" si="217"/>
        <v>0</v>
      </c>
      <c r="P505" s="887">
        <f t="shared" si="218"/>
        <v>0</v>
      </c>
      <c r="Q505" s="1323"/>
      <c r="R505" s="1323"/>
      <c r="S505" s="1323"/>
      <c r="T505" s="1323"/>
      <c r="U505" s="1323"/>
      <c r="V505" s="1323"/>
      <c r="W505" s="1323"/>
      <c r="X505" s="1323"/>
      <c r="Y505" s="1323"/>
      <c r="Z505" s="1323"/>
    </row>
    <row r="506" spans="1:26" ht="18.75" hidden="1">
      <c r="A506" s="1319"/>
      <c r="B506" s="1324"/>
      <c r="C506" s="1320"/>
      <c r="D506" s="1321"/>
      <c r="E506" s="1320" t="s">
        <v>185</v>
      </c>
      <c r="F506" s="1320"/>
      <c r="G506" s="1322"/>
      <c r="H506" s="165" t="s">
        <v>12</v>
      </c>
      <c r="I506" s="886"/>
      <c r="J506" s="886"/>
      <c r="K506" s="887"/>
      <c r="L506" s="887">
        <v>0</v>
      </c>
      <c r="M506" s="887">
        <v>0</v>
      </c>
      <c r="N506" s="887">
        <v>0</v>
      </c>
      <c r="O506" s="887">
        <f t="shared" si="217"/>
        <v>0</v>
      </c>
      <c r="P506" s="887">
        <f t="shared" si="218"/>
        <v>0</v>
      </c>
      <c r="Q506" s="1323"/>
      <c r="R506" s="1323"/>
      <c r="S506" s="1323"/>
      <c r="T506" s="1323"/>
      <c r="U506" s="1323"/>
      <c r="V506" s="1323"/>
      <c r="W506" s="1323"/>
      <c r="X506" s="1323"/>
      <c r="Y506" s="1323"/>
      <c r="Z506" s="1323"/>
    </row>
    <row r="507" spans="1:26" ht="18.75" hidden="1">
      <c r="A507" s="1319"/>
      <c r="B507" s="1324"/>
      <c r="C507" s="1320"/>
      <c r="D507" s="1321"/>
      <c r="E507" s="1320" t="s">
        <v>186</v>
      </c>
      <c r="F507" s="1320"/>
      <c r="G507" s="1322"/>
      <c r="H507" s="165" t="s">
        <v>12</v>
      </c>
      <c r="I507" s="886"/>
      <c r="J507" s="886"/>
      <c r="K507" s="887"/>
      <c r="L507" s="887">
        <v>0</v>
      </c>
      <c r="M507" s="887">
        <v>0</v>
      </c>
      <c r="N507" s="887">
        <f>N508+N509+N510+N511</f>
        <v>0</v>
      </c>
      <c r="O507" s="887">
        <f t="shared" si="217"/>
        <v>0</v>
      </c>
      <c r="P507" s="887">
        <f t="shared" si="218"/>
        <v>0</v>
      </c>
      <c r="Q507" s="1323"/>
      <c r="R507" s="1323"/>
      <c r="S507" s="1323"/>
      <c r="T507" s="1323"/>
      <c r="U507" s="1323"/>
      <c r="V507" s="1323"/>
      <c r="W507" s="1323"/>
      <c r="X507" s="1323"/>
      <c r="Y507" s="1323"/>
      <c r="Z507" s="1323"/>
    </row>
    <row r="508" spans="1:26" ht="18.75" hidden="1">
      <c r="A508" s="1354"/>
      <c r="B508" s="1324"/>
      <c r="C508" s="1320"/>
      <c r="D508" s="1320"/>
      <c r="E508" s="1320"/>
      <c r="F508" s="1320" t="s">
        <v>187</v>
      </c>
      <c r="G508" s="1322"/>
      <c r="H508" s="165" t="s">
        <v>12</v>
      </c>
      <c r="I508" s="886"/>
      <c r="J508" s="886"/>
      <c r="K508" s="887"/>
      <c r="L508" s="887"/>
      <c r="M508" s="887"/>
      <c r="N508" s="887">
        <v>0</v>
      </c>
      <c r="O508" s="887"/>
      <c r="P508" s="887"/>
      <c r="Q508" s="1323"/>
      <c r="R508" s="1323"/>
      <c r="S508" s="1323"/>
      <c r="T508" s="1323"/>
      <c r="U508" s="1323"/>
      <c r="V508" s="1323"/>
      <c r="W508" s="1323"/>
      <c r="X508" s="1323"/>
      <c r="Y508" s="1323"/>
      <c r="Z508" s="1323"/>
    </row>
    <row r="509" spans="1:26" ht="18.75" hidden="1">
      <c r="A509" s="1354"/>
      <c r="B509" s="1324"/>
      <c r="C509" s="1320"/>
      <c r="D509" s="1320"/>
      <c r="E509" s="1320"/>
      <c r="F509" s="1320" t="s">
        <v>188</v>
      </c>
      <c r="G509" s="1322"/>
      <c r="H509" s="165" t="s">
        <v>12</v>
      </c>
      <c r="I509" s="886"/>
      <c r="J509" s="886"/>
      <c r="K509" s="887"/>
      <c r="L509" s="887"/>
      <c r="M509" s="887"/>
      <c r="N509" s="887">
        <v>0</v>
      </c>
      <c r="O509" s="887"/>
      <c r="P509" s="887"/>
      <c r="Q509" s="1323"/>
      <c r="R509" s="1323"/>
      <c r="S509" s="1323"/>
      <c r="T509" s="1323"/>
      <c r="U509" s="1323"/>
      <c r="V509" s="1323"/>
      <c r="W509" s="1323"/>
      <c r="X509" s="1323"/>
      <c r="Y509" s="1323"/>
      <c r="Z509" s="1323"/>
    </row>
    <row r="510" spans="1:26" ht="18.75" hidden="1">
      <c r="A510" s="1354"/>
      <c r="B510" s="1324"/>
      <c r="C510" s="1324"/>
      <c r="D510" s="1324"/>
      <c r="E510" s="1320"/>
      <c r="F510" s="1320" t="s">
        <v>189</v>
      </c>
      <c r="G510" s="1322"/>
      <c r="H510" s="165" t="s">
        <v>12</v>
      </c>
      <c r="I510" s="886"/>
      <c r="J510" s="886"/>
      <c r="K510" s="887"/>
      <c r="L510" s="887"/>
      <c r="M510" s="887"/>
      <c r="N510" s="887">
        <v>0</v>
      </c>
      <c r="O510" s="887"/>
      <c r="P510" s="887"/>
      <c r="Q510" s="1323"/>
      <c r="R510" s="1323"/>
      <c r="S510" s="1323"/>
      <c r="T510" s="1323"/>
      <c r="U510" s="1323"/>
      <c r="V510" s="1323"/>
      <c r="W510" s="1323"/>
      <c r="X510" s="1323"/>
      <c r="Y510" s="1323"/>
      <c r="Z510" s="1323"/>
    </row>
    <row r="511" spans="1:26" ht="18.75" hidden="1">
      <c r="A511" s="1354"/>
      <c r="B511" s="1324"/>
      <c r="C511" s="1324"/>
      <c r="D511" s="1324"/>
      <c r="E511" s="1320"/>
      <c r="F511" s="1320" t="s">
        <v>190</v>
      </c>
      <c r="G511" s="1322"/>
      <c r="H511" s="165" t="s">
        <v>12</v>
      </c>
      <c r="I511" s="886"/>
      <c r="J511" s="886"/>
      <c r="K511" s="887"/>
      <c r="L511" s="887"/>
      <c r="M511" s="887"/>
      <c r="N511" s="887">
        <v>0</v>
      </c>
      <c r="O511" s="887"/>
      <c r="P511" s="887"/>
      <c r="Q511" s="1323"/>
      <c r="R511" s="1323"/>
      <c r="S511" s="1323"/>
      <c r="T511" s="1323"/>
      <c r="U511" s="1323"/>
      <c r="V511" s="1323"/>
      <c r="W511" s="1323"/>
      <c r="X511" s="1323"/>
      <c r="Y511" s="1323"/>
      <c r="Z511" s="1323"/>
    </row>
    <row r="512" spans="1:26" ht="18.75" hidden="1">
      <c r="A512" s="1319"/>
      <c r="B512" s="1324"/>
      <c r="C512" s="1324"/>
      <c r="D512" s="1353" t="s">
        <v>21</v>
      </c>
      <c r="E512" s="1324"/>
      <c r="F512" s="1320"/>
      <c r="G512" s="1322"/>
      <c r="H512" s="169" t="s">
        <v>12</v>
      </c>
      <c r="I512" s="1000"/>
      <c r="J512" s="1000"/>
      <c r="K512" s="1001"/>
      <c r="L512" s="887">
        <f t="shared" ref="L512:N512" si="221">L513+L514</f>
        <v>0</v>
      </c>
      <c r="M512" s="887">
        <f t="shared" si="221"/>
        <v>0</v>
      </c>
      <c r="N512" s="887">
        <f t="shared" si="221"/>
        <v>0</v>
      </c>
      <c r="O512" s="887">
        <f t="shared" ref="O512:O514" si="222">IF(L512&gt;0,N512*100/L512,0)</f>
        <v>0</v>
      </c>
      <c r="P512" s="887">
        <f t="shared" ref="P512:P514" si="223">IF(M512&gt;0,N512*100/M512,0)</f>
        <v>0</v>
      </c>
      <c r="Q512" s="1323"/>
      <c r="R512" s="1323"/>
      <c r="S512" s="1323"/>
      <c r="T512" s="1323"/>
      <c r="U512" s="1323"/>
      <c r="V512" s="1323"/>
      <c r="W512" s="1323"/>
      <c r="X512" s="1323"/>
      <c r="Y512" s="1323"/>
      <c r="Z512" s="1323"/>
    </row>
    <row r="513" spans="1:26" ht="18.75" hidden="1">
      <c r="A513" s="1319"/>
      <c r="B513" s="1324"/>
      <c r="C513" s="1324"/>
      <c r="D513" s="1324"/>
      <c r="E513" s="1324" t="s">
        <v>18</v>
      </c>
      <c r="F513" s="1320"/>
      <c r="G513" s="1322"/>
      <c r="H513" s="165" t="s">
        <v>12</v>
      </c>
      <c r="I513" s="1000"/>
      <c r="J513" s="1000"/>
      <c r="K513" s="1001"/>
      <c r="L513" s="887">
        <v>0</v>
      </c>
      <c r="M513" s="887">
        <v>0</v>
      </c>
      <c r="N513" s="887">
        <v>0</v>
      </c>
      <c r="O513" s="887">
        <f t="shared" si="222"/>
        <v>0</v>
      </c>
      <c r="P513" s="887">
        <f t="shared" si="223"/>
        <v>0</v>
      </c>
      <c r="Q513" s="1323"/>
      <c r="R513" s="1323"/>
      <c r="S513" s="1323"/>
      <c r="T513" s="1323"/>
      <c r="U513" s="1323"/>
      <c r="V513" s="1323"/>
      <c r="W513" s="1323"/>
      <c r="X513" s="1323"/>
      <c r="Y513" s="1323"/>
      <c r="Z513" s="1323"/>
    </row>
    <row r="514" spans="1:26" ht="18.75" hidden="1">
      <c r="A514" s="1319"/>
      <c r="B514" s="1324"/>
      <c r="C514" s="1324"/>
      <c r="D514" s="1320"/>
      <c r="E514" s="1324" t="s">
        <v>19</v>
      </c>
      <c r="F514" s="1320"/>
      <c r="G514" s="1322"/>
      <c r="H514" s="169" t="s">
        <v>12</v>
      </c>
      <c r="I514" s="1000"/>
      <c r="J514" s="1000"/>
      <c r="K514" s="1001"/>
      <c r="L514" s="887">
        <v>0</v>
      </c>
      <c r="M514" s="887">
        <v>0</v>
      </c>
      <c r="N514" s="887">
        <v>0</v>
      </c>
      <c r="O514" s="887">
        <f t="shared" si="222"/>
        <v>0</v>
      </c>
      <c r="P514" s="887">
        <f t="shared" si="223"/>
        <v>0</v>
      </c>
      <c r="Q514" s="1323"/>
      <c r="R514" s="1323"/>
      <c r="S514" s="1323"/>
      <c r="T514" s="1323"/>
      <c r="U514" s="1323"/>
      <c r="V514" s="1323"/>
      <c r="W514" s="1323"/>
      <c r="X514" s="1323"/>
      <c r="Y514" s="1323"/>
      <c r="Z514" s="1323"/>
    </row>
    <row r="515" spans="1:26" ht="19.5" hidden="1">
      <c r="A515" s="1332"/>
      <c r="B515" s="1333"/>
      <c r="C515" s="1324" t="s">
        <v>16</v>
      </c>
      <c r="D515" s="1355" t="s">
        <v>38</v>
      </c>
      <c r="E515" s="1356"/>
      <c r="F515" s="1356"/>
      <c r="G515" s="1357"/>
      <c r="H515" s="1113"/>
      <c r="I515" s="1000"/>
      <c r="J515" s="1000"/>
      <c r="K515" s="1001"/>
      <c r="L515" s="1001"/>
      <c r="M515" s="1001"/>
      <c r="N515" s="1001"/>
      <c r="O515" s="1001"/>
      <c r="P515" s="1001"/>
      <c r="Q515" s="1323"/>
      <c r="R515" s="1323"/>
      <c r="S515" s="1323"/>
      <c r="T515" s="1323"/>
      <c r="U515" s="1323"/>
      <c r="V515" s="1323"/>
      <c r="W515" s="1323"/>
      <c r="X515" s="1323"/>
      <c r="Y515" s="1323"/>
      <c r="Z515" s="1323"/>
    </row>
    <row r="516" spans="1:26" ht="18.75" hidden="1">
      <c r="A516" s="1332"/>
      <c r="B516" s="1333"/>
      <c r="C516" s="1333"/>
      <c r="D516" s="1333" t="s">
        <v>222</v>
      </c>
      <c r="E516" s="1321"/>
      <c r="F516" s="1321"/>
      <c r="G516" s="1113"/>
      <c r="H516" s="651" t="s">
        <v>109</v>
      </c>
      <c r="I516" s="886"/>
      <c r="J516" s="886">
        <v>0</v>
      </c>
      <c r="K516" s="1001">
        <f t="shared" ref="K516:K517" si="224">IF(I516&gt;0,J516*100/I516,0)</f>
        <v>0</v>
      </c>
      <c r="L516" s="1001"/>
      <c r="M516" s="1001"/>
      <c r="N516" s="1001"/>
      <c r="O516" s="1001"/>
      <c r="P516" s="1001"/>
      <c r="Q516" s="1323"/>
      <c r="R516" s="1323"/>
      <c r="S516" s="1323"/>
      <c r="T516" s="1323"/>
      <c r="U516" s="1323"/>
      <c r="V516" s="1323"/>
      <c r="W516" s="1323"/>
      <c r="X516" s="1323"/>
      <c r="Y516" s="1323"/>
      <c r="Z516" s="1323"/>
    </row>
    <row r="517" spans="1:26" ht="19.5" hidden="1">
      <c r="A517" s="1332"/>
      <c r="B517" s="1333"/>
      <c r="C517" s="1333"/>
      <c r="D517" s="1333" t="s">
        <v>223</v>
      </c>
      <c r="E517" s="1321"/>
      <c r="F517" s="1321"/>
      <c r="G517" s="1113"/>
      <c r="H517" s="652" t="s">
        <v>35</v>
      </c>
      <c r="I517" s="1358"/>
      <c r="J517" s="1358">
        <f>J518+J519</f>
        <v>0</v>
      </c>
      <c r="K517" s="1359">
        <f t="shared" si="224"/>
        <v>0</v>
      </c>
      <c r="L517" s="1001"/>
      <c r="M517" s="1001"/>
      <c r="N517" s="1001"/>
      <c r="O517" s="1001"/>
      <c r="P517" s="1001"/>
      <c r="Q517" s="1323"/>
      <c r="R517" s="1323"/>
      <c r="S517" s="1323"/>
      <c r="T517" s="1323"/>
      <c r="U517" s="1323"/>
      <c r="V517" s="1323"/>
      <c r="W517" s="1323"/>
      <c r="X517" s="1323"/>
      <c r="Y517" s="1323"/>
      <c r="Z517" s="1323"/>
    </row>
    <row r="518" spans="1:26" ht="18.75" hidden="1">
      <c r="A518" s="1332"/>
      <c r="B518" s="1333"/>
      <c r="C518" s="1333"/>
      <c r="D518" s="1333"/>
      <c r="E518" s="1333" t="s">
        <v>224</v>
      </c>
      <c r="F518" s="1321"/>
      <c r="G518" s="1113"/>
      <c r="H518" s="370" t="s">
        <v>35</v>
      </c>
      <c r="I518" s="886"/>
      <c r="J518" s="886"/>
      <c r="K518" s="1001"/>
      <c r="L518" s="1001"/>
      <c r="M518" s="1001"/>
      <c r="N518" s="1001"/>
      <c r="O518" s="1001"/>
      <c r="P518" s="1001"/>
      <c r="Q518" s="1323"/>
      <c r="R518" s="1323"/>
      <c r="S518" s="1323"/>
      <c r="T518" s="1323"/>
      <c r="U518" s="1323"/>
      <c r="V518" s="1323"/>
      <c r="W518" s="1323"/>
      <c r="X518" s="1323"/>
      <c r="Y518" s="1323"/>
      <c r="Z518" s="1323"/>
    </row>
    <row r="519" spans="1:26" ht="18.75" hidden="1">
      <c r="A519" s="1332"/>
      <c r="B519" s="1333"/>
      <c r="C519" s="1333"/>
      <c r="D519" s="1333"/>
      <c r="E519" s="1333" t="s">
        <v>225</v>
      </c>
      <c r="F519" s="1321"/>
      <c r="G519" s="1113"/>
      <c r="H519" s="651" t="s">
        <v>35</v>
      </c>
      <c r="I519" s="886"/>
      <c r="J519" s="886"/>
      <c r="K519" s="1001"/>
      <c r="L519" s="1001"/>
      <c r="M519" s="1001"/>
      <c r="N519" s="1001"/>
      <c r="O519" s="1001"/>
      <c r="P519" s="1001"/>
      <c r="Q519" s="1323"/>
      <c r="R519" s="1323"/>
      <c r="S519" s="1323"/>
      <c r="T519" s="1323"/>
      <c r="U519" s="1323"/>
      <c r="V519" s="1323"/>
      <c r="W519" s="1323"/>
      <c r="X519" s="1323"/>
      <c r="Y519" s="1323"/>
      <c r="Z519" s="1323"/>
    </row>
    <row r="520" spans="1:26" ht="19.5">
      <c r="A520" s="1360" t="s">
        <v>137</v>
      </c>
      <c r="B520" s="1361"/>
      <c r="C520" s="1361"/>
      <c r="D520" s="1362"/>
      <c r="E520" s="1362"/>
      <c r="F520" s="1362"/>
      <c r="G520" s="1363"/>
      <c r="H520" s="1364"/>
      <c r="I520" s="1365"/>
      <c r="J520" s="1365"/>
      <c r="K520" s="1366"/>
      <c r="L520" s="1366"/>
      <c r="M520" s="1366"/>
      <c r="N520" s="1366"/>
      <c r="O520" s="1366"/>
      <c r="P520" s="1366"/>
    </row>
    <row r="521" spans="1:26" ht="19.5" hidden="1">
      <c r="A521" s="662">
        <v>5</v>
      </c>
      <c r="B521" s="1367" t="s">
        <v>226</v>
      </c>
      <c r="C521" s="1368"/>
      <c r="D521" s="1369"/>
      <c r="E521" s="1369"/>
      <c r="F521" s="1369"/>
      <c r="G521" s="1369"/>
      <c r="H521" s="1370"/>
      <c r="I521" s="1371"/>
      <c r="J521" s="1371"/>
      <c r="K521" s="1372"/>
      <c r="L521" s="1372"/>
      <c r="M521" s="1372"/>
      <c r="N521" s="1372"/>
      <c r="O521" s="1372"/>
      <c r="P521" s="1372"/>
      <c r="Q521" s="1302"/>
      <c r="R521" s="1302"/>
      <c r="S521" s="1302"/>
      <c r="T521" s="1302"/>
      <c r="U521" s="1302"/>
      <c r="V521" s="1302"/>
      <c r="W521" s="1302"/>
      <c r="X521" s="1302"/>
      <c r="Y521" s="1302"/>
      <c r="Z521" s="1302"/>
    </row>
    <row r="522" spans="1:26" ht="19.5" hidden="1">
      <c r="A522" s="1373"/>
      <c r="B522" s="1374" t="s">
        <v>227</v>
      </c>
      <c r="C522" s="1375"/>
      <c r="D522" s="1375"/>
      <c r="E522" s="1375"/>
      <c r="F522" s="1375"/>
      <c r="G522" s="1376"/>
      <c r="H522" s="673" t="s">
        <v>35</v>
      </c>
      <c r="I522" s="1377">
        <f t="shared" ref="I522:J522" ca="1" si="225">I537</f>
        <v>0</v>
      </c>
      <c r="J522" s="1377">
        <f t="shared" ca="1" si="225"/>
        <v>0</v>
      </c>
      <c r="K522" s="1378">
        <f ca="1">IF(I522&gt;0,J522*100/I522,0)</f>
        <v>0</v>
      </c>
      <c r="L522" s="1379"/>
      <c r="M522" s="1379"/>
      <c r="N522" s="1379"/>
      <c r="O522" s="1379"/>
      <c r="P522" s="1379"/>
      <c r="Q522" s="1302"/>
      <c r="R522" s="1302"/>
      <c r="S522" s="1302"/>
      <c r="T522" s="1302"/>
      <c r="U522" s="1302"/>
      <c r="V522" s="1302"/>
      <c r="W522" s="1302"/>
      <c r="X522" s="1302"/>
      <c r="Y522" s="1302"/>
      <c r="Z522" s="1302"/>
    </row>
    <row r="523" spans="1:26" ht="19.5" hidden="1">
      <c r="A523" s="1317"/>
      <c r="B523" s="1301"/>
      <c r="C523" s="1301" t="s">
        <v>16</v>
      </c>
      <c r="D523" s="1318" t="s">
        <v>17</v>
      </c>
      <c r="E523" s="841"/>
      <c r="F523" s="841"/>
      <c r="G523" s="1016"/>
      <c r="H523" s="597" t="s">
        <v>12</v>
      </c>
      <c r="I523" s="880"/>
      <c r="J523" s="880"/>
      <c r="K523" s="881"/>
      <c r="L523" s="1020">
        <f t="shared" ref="L523:N523" ca="1" si="226">L524+L525</f>
        <v>0</v>
      </c>
      <c r="M523" s="1020">
        <f t="shared" si="226"/>
        <v>0</v>
      </c>
      <c r="N523" s="1020">
        <f t="shared" si="226"/>
        <v>0</v>
      </c>
      <c r="O523" s="1020">
        <f t="shared" ref="O523:O528" ca="1" si="227">IF(L523&gt;0,N523*100/L523,0)</f>
        <v>0</v>
      </c>
      <c r="P523" s="1020">
        <f t="shared" ref="P523:P528" si="228">IF(M523&gt;0,N523*100/M523,0)</f>
        <v>0</v>
      </c>
      <c r="Q523" s="1302"/>
      <c r="R523" s="1302"/>
      <c r="S523" s="1302"/>
      <c r="T523" s="1302"/>
      <c r="U523" s="1302"/>
      <c r="V523" s="1302"/>
      <c r="W523" s="1302"/>
      <c r="X523" s="1302"/>
      <c r="Y523" s="1302"/>
      <c r="Z523" s="1302"/>
    </row>
    <row r="524" spans="1:26" ht="18.75" hidden="1">
      <c r="A524" s="1319"/>
      <c r="B524" s="1320"/>
      <c r="C524" s="1320"/>
      <c r="D524" s="1321"/>
      <c r="E524" s="1320" t="s">
        <v>185</v>
      </c>
      <c r="F524" s="1320"/>
      <c r="G524" s="1322"/>
      <c r="H524" s="165" t="s">
        <v>12</v>
      </c>
      <c r="I524" s="886"/>
      <c r="J524" s="886"/>
      <c r="K524" s="887"/>
      <c r="L524" s="887">
        <f t="shared" ref="L524:N525" si="229">L527+L534</f>
        <v>0</v>
      </c>
      <c r="M524" s="887">
        <f t="shared" si="229"/>
        <v>0</v>
      </c>
      <c r="N524" s="887">
        <f t="shared" si="229"/>
        <v>0</v>
      </c>
      <c r="O524" s="887">
        <f t="shared" si="227"/>
        <v>0</v>
      </c>
      <c r="P524" s="887">
        <f t="shared" si="228"/>
        <v>0</v>
      </c>
      <c r="Q524" s="1323"/>
      <c r="R524" s="1323"/>
      <c r="S524" s="1323"/>
      <c r="T524" s="1323"/>
      <c r="U524" s="1323"/>
      <c r="V524" s="1323"/>
      <c r="W524" s="1323"/>
      <c r="X524" s="1323"/>
      <c r="Y524" s="1323"/>
      <c r="Z524" s="1323"/>
    </row>
    <row r="525" spans="1:26" ht="18.75" hidden="1">
      <c r="A525" s="1319"/>
      <c r="B525" s="1324"/>
      <c r="C525" s="1320"/>
      <c r="D525" s="1321"/>
      <c r="E525" s="1320" t="s">
        <v>186</v>
      </c>
      <c r="F525" s="1320"/>
      <c r="G525" s="1322"/>
      <c r="H525" s="165" t="s">
        <v>12</v>
      </c>
      <c r="I525" s="886"/>
      <c r="J525" s="886"/>
      <c r="K525" s="887"/>
      <c r="L525" s="887">
        <f t="shared" ca="1" si="229"/>
        <v>0</v>
      </c>
      <c r="M525" s="887">
        <f t="shared" si="229"/>
        <v>0</v>
      </c>
      <c r="N525" s="887">
        <f t="shared" si="229"/>
        <v>0</v>
      </c>
      <c r="O525" s="887">
        <f t="shared" ca="1" si="227"/>
        <v>0</v>
      </c>
      <c r="P525" s="887">
        <f t="shared" si="228"/>
        <v>0</v>
      </c>
      <c r="Q525" s="1323"/>
      <c r="R525" s="1323"/>
      <c r="S525" s="1323"/>
      <c r="T525" s="1323"/>
      <c r="U525" s="1323"/>
      <c r="V525" s="1323"/>
      <c r="W525" s="1323"/>
      <c r="X525" s="1323"/>
      <c r="Y525" s="1323"/>
      <c r="Z525" s="1323"/>
    </row>
    <row r="526" spans="1:26" ht="18.75" hidden="1">
      <c r="A526" s="1317"/>
      <c r="B526" s="1300"/>
      <c r="C526" s="1301"/>
      <c r="D526" s="1325" t="s">
        <v>20</v>
      </c>
      <c r="E526" s="1301"/>
      <c r="F526" s="1301"/>
      <c r="G526" s="1016"/>
      <c r="H526" s="161" t="s">
        <v>12</v>
      </c>
      <c r="I526" s="997"/>
      <c r="J526" s="997"/>
      <c r="K526" s="998"/>
      <c r="L526" s="881">
        <f t="shared" ref="L526:N526" ca="1" si="230">L527+L528</f>
        <v>0</v>
      </c>
      <c r="M526" s="881">
        <f t="shared" si="230"/>
        <v>0</v>
      </c>
      <c r="N526" s="881">
        <f t="shared" si="230"/>
        <v>0</v>
      </c>
      <c r="O526" s="881">
        <f t="shared" ca="1" si="227"/>
        <v>0</v>
      </c>
      <c r="P526" s="881">
        <f t="shared" si="228"/>
        <v>0</v>
      </c>
      <c r="Q526" s="1302"/>
      <c r="R526" s="1302"/>
      <c r="S526" s="1302"/>
      <c r="T526" s="1302"/>
      <c r="U526" s="1302"/>
      <c r="V526" s="1302"/>
      <c r="W526" s="1302"/>
      <c r="X526" s="1302"/>
      <c r="Y526" s="1302"/>
      <c r="Z526" s="1302"/>
    </row>
    <row r="527" spans="1:26" ht="18.75" hidden="1">
      <c r="A527" s="1319"/>
      <c r="B527" s="1324"/>
      <c r="C527" s="1320"/>
      <c r="D527" s="1321"/>
      <c r="E527" s="1320" t="s">
        <v>185</v>
      </c>
      <c r="F527" s="1320"/>
      <c r="G527" s="1322"/>
      <c r="H527" s="165" t="s">
        <v>12</v>
      </c>
      <c r="I527" s="886"/>
      <c r="J527" s="886"/>
      <c r="K527" s="887"/>
      <c r="L527" s="887">
        <v>0</v>
      </c>
      <c r="M527" s="887">
        <v>0</v>
      </c>
      <c r="N527" s="887">
        <v>0</v>
      </c>
      <c r="O527" s="887">
        <f t="shared" si="227"/>
        <v>0</v>
      </c>
      <c r="P527" s="887">
        <f t="shared" si="228"/>
        <v>0</v>
      </c>
      <c r="Q527" s="1323"/>
      <c r="R527" s="1323"/>
      <c r="S527" s="1323"/>
      <c r="T527" s="1323"/>
      <c r="U527" s="1323"/>
      <c r="V527" s="1323"/>
      <c r="W527" s="1323"/>
      <c r="X527" s="1323"/>
      <c r="Y527" s="1323"/>
      <c r="Z527" s="1323"/>
    </row>
    <row r="528" spans="1:26" ht="18.75" hidden="1">
      <c r="A528" s="1319"/>
      <c r="B528" s="1324"/>
      <c r="C528" s="1320"/>
      <c r="D528" s="1321"/>
      <c r="E528" s="1320" t="s">
        <v>186</v>
      </c>
      <c r="F528" s="1320"/>
      <c r="G528" s="1322"/>
      <c r="H528" s="165" t="s">
        <v>12</v>
      </c>
      <c r="I528" s="886"/>
      <c r="J528" s="886"/>
      <c r="K528" s="887"/>
      <c r="L528" s="887">
        <f ca="1">IFERROR(__xludf.DUMMYFUNCTION("IMPORTRANGE(""https://docs.google.com/spreadsheets/d/1QqKyyYR6Q21VydFLVH3TRQUabQu_ym0Zz7PgGX0-kHA/edit?usp=sharing"",""แผน!GQ80"")"),0)</f>
        <v>0</v>
      </c>
      <c r="M528" s="887">
        <v>0</v>
      </c>
      <c r="N528" s="887">
        <f>N529+N530+N531+N532</f>
        <v>0</v>
      </c>
      <c r="O528" s="887">
        <f t="shared" ca="1" si="227"/>
        <v>0</v>
      </c>
      <c r="P528" s="887">
        <f t="shared" si="228"/>
        <v>0</v>
      </c>
      <c r="Q528" s="1323"/>
      <c r="R528" s="1323"/>
      <c r="S528" s="1323"/>
      <c r="T528" s="1323"/>
      <c r="U528" s="1323"/>
      <c r="V528" s="1323"/>
      <c r="W528" s="1323"/>
      <c r="X528" s="1323"/>
      <c r="Y528" s="1323"/>
      <c r="Z528" s="1323"/>
    </row>
    <row r="529" spans="1:26" ht="18.75" hidden="1">
      <c r="A529" s="1299"/>
      <c r="B529" s="1300"/>
      <c r="C529" s="1301"/>
      <c r="D529" s="1301"/>
      <c r="E529" s="1301"/>
      <c r="F529" s="1301" t="s">
        <v>187</v>
      </c>
      <c r="G529" s="1016"/>
      <c r="H529" s="161" t="s">
        <v>12</v>
      </c>
      <c r="I529" s="880"/>
      <c r="J529" s="880"/>
      <c r="K529" s="881"/>
      <c r="L529" s="881"/>
      <c r="M529" s="881"/>
      <c r="N529" s="1085">
        <v>0</v>
      </c>
      <c r="O529" s="881"/>
      <c r="P529" s="881"/>
      <c r="Q529" s="1302"/>
      <c r="R529" s="1302"/>
      <c r="S529" s="1302"/>
      <c r="T529" s="1302"/>
      <c r="U529" s="1302"/>
      <c r="V529" s="1302"/>
      <c r="W529" s="1302"/>
      <c r="X529" s="1302"/>
      <c r="Y529" s="1302"/>
      <c r="Z529" s="1302"/>
    </row>
    <row r="530" spans="1:26" ht="18.75" hidden="1">
      <c r="A530" s="1299"/>
      <c r="B530" s="1300"/>
      <c r="C530" s="1301"/>
      <c r="D530" s="1301"/>
      <c r="E530" s="1301"/>
      <c r="F530" s="1301" t="s">
        <v>188</v>
      </c>
      <c r="G530" s="1016"/>
      <c r="H530" s="161" t="s">
        <v>12</v>
      </c>
      <c r="I530" s="880"/>
      <c r="J530" s="880"/>
      <c r="K530" s="881"/>
      <c r="L530" s="881"/>
      <c r="M530" s="881"/>
      <c r="N530" s="1085">
        <v>0</v>
      </c>
      <c r="O530" s="881"/>
      <c r="P530" s="881"/>
      <c r="Q530" s="1302"/>
      <c r="R530" s="1302"/>
      <c r="S530" s="1302"/>
      <c r="T530" s="1302"/>
      <c r="U530" s="1302"/>
      <c r="V530" s="1302"/>
      <c r="W530" s="1302"/>
      <c r="X530" s="1302"/>
      <c r="Y530" s="1302"/>
      <c r="Z530" s="1302"/>
    </row>
    <row r="531" spans="1:26" ht="18.75" hidden="1">
      <c r="A531" s="1299"/>
      <c r="B531" s="1300"/>
      <c r="C531" s="1301"/>
      <c r="D531" s="1301"/>
      <c r="E531" s="1301"/>
      <c r="F531" s="1301" t="s">
        <v>189</v>
      </c>
      <c r="G531" s="1016"/>
      <c r="H531" s="161" t="s">
        <v>12</v>
      </c>
      <c r="I531" s="880"/>
      <c r="J531" s="880"/>
      <c r="K531" s="881"/>
      <c r="L531" s="881"/>
      <c r="M531" s="881"/>
      <c r="N531" s="1085">
        <v>0</v>
      </c>
      <c r="O531" s="881"/>
      <c r="P531" s="881"/>
      <c r="Q531" s="1302"/>
      <c r="R531" s="1302"/>
      <c r="S531" s="1302"/>
      <c r="T531" s="1302"/>
      <c r="U531" s="1302"/>
      <c r="V531" s="1302"/>
      <c r="W531" s="1302"/>
      <c r="X531" s="1302"/>
      <c r="Y531" s="1302"/>
      <c r="Z531" s="1302"/>
    </row>
    <row r="532" spans="1:26" ht="18.75" hidden="1">
      <c r="A532" s="1299"/>
      <c r="B532" s="1300"/>
      <c r="C532" s="1301"/>
      <c r="D532" s="1301"/>
      <c r="E532" s="1301"/>
      <c r="F532" s="1301" t="s">
        <v>190</v>
      </c>
      <c r="G532" s="1016"/>
      <c r="H532" s="161" t="s">
        <v>12</v>
      </c>
      <c r="I532" s="880"/>
      <c r="J532" s="880"/>
      <c r="K532" s="881"/>
      <c r="L532" s="881"/>
      <c r="M532" s="881"/>
      <c r="N532" s="1085">
        <v>0</v>
      </c>
      <c r="O532" s="881"/>
      <c r="P532" s="881"/>
      <c r="Q532" s="1302"/>
      <c r="R532" s="1302"/>
      <c r="S532" s="1302"/>
      <c r="T532" s="1302"/>
      <c r="U532" s="1302"/>
      <c r="V532" s="1302"/>
      <c r="W532" s="1302"/>
      <c r="X532" s="1302"/>
      <c r="Y532" s="1302"/>
      <c r="Z532" s="1302"/>
    </row>
    <row r="533" spans="1:26" ht="18.75" hidden="1">
      <c r="A533" s="1317"/>
      <c r="B533" s="1300"/>
      <c r="C533" s="1301"/>
      <c r="D533" s="1325" t="s">
        <v>21</v>
      </c>
      <c r="E533" s="1301"/>
      <c r="F533" s="1301"/>
      <c r="G533" s="1016"/>
      <c r="H533" s="168" t="s">
        <v>12</v>
      </c>
      <c r="I533" s="997"/>
      <c r="J533" s="997"/>
      <c r="K533" s="998"/>
      <c r="L533" s="881">
        <f t="shared" ref="L533:N533" ca="1" si="231">L534+L535</f>
        <v>0</v>
      </c>
      <c r="M533" s="881">
        <f t="shared" si="231"/>
        <v>0</v>
      </c>
      <c r="N533" s="881">
        <f t="shared" si="231"/>
        <v>0</v>
      </c>
      <c r="O533" s="881">
        <f t="shared" ref="O533:O535" ca="1" si="232">IF(L533&gt;0,N533*100/L533,0)</f>
        <v>0</v>
      </c>
      <c r="P533" s="881">
        <f t="shared" ref="P533:P535" si="233">IF(M533&gt;0,N533*100/M533,0)</f>
        <v>0</v>
      </c>
      <c r="Q533" s="1302"/>
      <c r="R533" s="1302"/>
      <c r="S533" s="1302"/>
      <c r="T533" s="1302"/>
      <c r="U533" s="1302"/>
      <c r="V533" s="1302"/>
      <c r="W533" s="1302"/>
      <c r="X533" s="1302"/>
      <c r="Y533" s="1302"/>
      <c r="Z533" s="1302"/>
    </row>
    <row r="534" spans="1:26" ht="18.75" hidden="1">
      <c r="A534" s="1319"/>
      <c r="B534" s="1324"/>
      <c r="C534" s="1320"/>
      <c r="D534" s="1320"/>
      <c r="E534" s="1320" t="s">
        <v>18</v>
      </c>
      <c r="F534" s="1320"/>
      <c r="G534" s="1322"/>
      <c r="H534" s="165" t="s">
        <v>12</v>
      </c>
      <c r="I534" s="1000"/>
      <c r="J534" s="1000"/>
      <c r="K534" s="1001"/>
      <c r="L534" s="887">
        <v>0</v>
      </c>
      <c r="M534" s="887">
        <v>0</v>
      </c>
      <c r="N534" s="887">
        <v>0</v>
      </c>
      <c r="O534" s="887">
        <f t="shared" si="232"/>
        <v>0</v>
      </c>
      <c r="P534" s="887">
        <f t="shared" si="233"/>
        <v>0</v>
      </c>
      <c r="Q534" s="1323"/>
      <c r="R534" s="1323"/>
      <c r="S534" s="1323"/>
      <c r="T534" s="1323"/>
      <c r="U534" s="1323"/>
      <c r="V534" s="1323"/>
      <c r="W534" s="1323"/>
      <c r="X534" s="1323"/>
      <c r="Y534" s="1323"/>
      <c r="Z534" s="1323"/>
    </row>
    <row r="535" spans="1:26" ht="18.75" hidden="1">
      <c r="A535" s="1319"/>
      <c r="B535" s="1324"/>
      <c r="C535" s="1320"/>
      <c r="D535" s="1320"/>
      <c r="E535" s="1320" t="s">
        <v>19</v>
      </c>
      <c r="F535" s="1320"/>
      <c r="G535" s="1322"/>
      <c r="H535" s="169" t="s">
        <v>12</v>
      </c>
      <c r="I535" s="1000"/>
      <c r="J535" s="1000"/>
      <c r="K535" s="1001"/>
      <c r="L535" s="887">
        <f ca="1">IFERROR(__xludf.DUMMYFUNCTION("IMPORTRANGE(""https://docs.google.com/spreadsheets/d/1QqKyyYR6Q21VydFLVH3TRQUabQu_ym0Zz7PgGX0-kHA/edit?usp=sharing"",""แผน!GT80"")"),0)</f>
        <v>0</v>
      </c>
      <c r="M535" s="887">
        <v>0</v>
      </c>
      <c r="N535" s="887">
        <v>0</v>
      </c>
      <c r="O535" s="887">
        <f t="shared" ca="1" si="232"/>
        <v>0</v>
      </c>
      <c r="P535" s="887">
        <f t="shared" si="233"/>
        <v>0</v>
      </c>
      <c r="Q535" s="1323"/>
      <c r="R535" s="1323"/>
      <c r="S535" s="1323"/>
      <c r="T535" s="1323"/>
      <c r="U535" s="1323"/>
      <c r="V535" s="1323"/>
      <c r="W535" s="1323"/>
      <c r="X535" s="1323"/>
      <c r="Y535" s="1323"/>
      <c r="Z535" s="1323"/>
    </row>
    <row r="536" spans="1:26" ht="19.5" hidden="1">
      <c r="A536" s="1326"/>
      <c r="B536" s="1327"/>
      <c r="C536" s="1301" t="s">
        <v>16</v>
      </c>
      <c r="D536" s="1380" t="s">
        <v>38</v>
      </c>
      <c r="E536" s="1330"/>
      <c r="F536" s="1330"/>
      <c r="G536" s="1331"/>
      <c r="H536" s="1007"/>
      <c r="I536" s="997"/>
      <c r="J536" s="997"/>
      <c r="K536" s="998"/>
      <c r="L536" s="998"/>
      <c r="M536" s="998"/>
      <c r="N536" s="998"/>
      <c r="O536" s="998"/>
      <c r="P536" s="998"/>
      <c r="Q536" s="1302"/>
      <c r="R536" s="1302"/>
      <c r="S536" s="1302"/>
      <c r="T536" s="1302"/>
      <c r="U536" s="1302"/>
      <c r="V536" s="1302"/>
      <c r="W536" s="1302"/>
      <c r="X536" s="1302"/>
      <c r="Y536" s="1302"/>
      <c r="Z536" s="1302"/>
    </row>
    <row r="537" spans="1:26" ht="19.5" hidden="1">
      <c r="A537" s="1299"/>
      <c r="B537" s="1300"/>
      <c r="C537" s="1301"/>
      <c r="D537" s="1301" t="s">
        <v>228</v>
      </c>
      <c r="E537" s="1301"/>
      <c r="F537" s="1301"/>
      <c r="G537" s="1016"/>
      <c r="H537" s="622" t="s">
        <v>35</v>
      </c>
      <c r="I537" s="1019">
        <f ca="1">IFERROR(__xludf.DUMMYFUNCTION("IMPORTRANGE(""https://docs.google.com/spreadsheets/d/1QqKyyYR6Q21VydFLVH3TRQUabQu_ym0Zz7PgGX0-kHA/edit?usp=sharing"",""แผน!GU80"")"),0)</f>
        <v>0</v>
      </c>
      <c r="J537" s="1019">
        <f ca="1">IF(AND(J538=I538,J539=I539,J540=I540,J541=I541),I537,0)</f>
        <v>0</v>
      </c>
      <c r="K537" s="881">
        <f t="shared" ref="K537:K543" ca="1" si="234">IF(I537&gt;0,J537*100/I537,0)</f>
        <v>0</v>
      </c>
      <c r="L537" s="881"/>
      <c r="M537" s="881"/>
      <c r="N537" s="881"/>
      <c r="O537" s="881"/>
      <c r="P537" s="881"/>
      <c r="Q537" s="1381"/>
      <c r="R537" s="1381"/>
      <c r="S537" s="1381"/>
      <c r="T537" s="1381"/>
      <c r="U537" s="1381"/>
      <c r="V537" s="1381"/>
      <c r="W537" s="1381"/>
      <c r="X537" s="1381"/>
      <c r="Y537" s="1381"/>
      <c r="Z537" s="1381"/>
    </row>
    <row r="538" spans="1:26" ht="18.75" hidden="1">
      <c r="A538" s="1299"/>
      <c r="B538" s="1300"/>
      <c r="C538" s="1301"/>
      <c r="D538" s="1301"/>
      <c r="E538" s="1301" t="s">
        <v>229</v>
      </c>
      <c r="F538" s="1301"/>
      <c r="G538" s="1016"/>
      <c r="H538" s="622" t="s">
        <v>35</v>
      </c>
      <c r="I538" s="880">
        <f ca="1">IFERROR(__xludf.DUMMYFUNCTION("IMPORTRANGE(""https://docs.google.com/spreadsheets/d/1QqKyyYR6Q21VydFLVH3TRQUabQu_ym0Zz7PgGX0-kHA/edit?usp=sharing"",""แผน!GV80"")"),0)</f>
        <v>0</v>
      </c>
      <c r="J538" s="1012">
        <v>0</v>
      </c>
      <c r="K538" s="881">
        <f t="shared" ca="1" si="234"/>
        <v>0</v>
      </c>
      <c r="L538" s="881"/>
      <c r="M538" s="881"/>
      <c r="N538" s="881"/>
      <c r="O538" s="881"/>
      <c r="P538" s="881"/>
      <c r="Q538" s="1381"/>
      <c r="R538" s="1381"/>
      <c r="S538" s="1381"/>
      <c r="T538" s="1381"/>
      <c r="U538" s="1381"/>
      <c r="V538" s="1381"/>
      <c r="W538" s="1381"/>
      <c r="X538" s="1381"/>
      <c r="Y538" s="1381"/>
      <c r="Z538" s="1381"/>
    </row>
    <row r="539" spans="1:26" ht="18.75" hidden="1">
      <c r="A539" s="1299"/>
      <c r="B539" s="1300"/>
      <c r="C539" s="1301"/>
      <c r="D539" s="1301"/>
      <c r="E539" s="1301" t="s">
        <v>230</v>
      </c>
      <c r="F539" s="1301"/>
      <c r="G539" s="1016"/>
      <c r="H539" s="622" t="s">
        <v>35</v>
      </c>
      <c r="I539" s="880">
        <f ca="1">IFERROR(__xludf.DUMMYFUNCTION("IMPORTRANGE(""https://docs.google.com/spreadsheets/d/1QqKyyYR6Q21VydFLVH3TRQUabQu_ym0Zz7PgGX0-kHA/edit?usp=sharing"",""แผน!GW80"")"),0)</f>
        <v>0</v>
      </c>
      <c r="J539" s="1012">
        <v>0</v>
      </c>
      <c r="K539" s="881">
        <f t="shared" ca="1" si="234"/>
        <v>0</v>
      </c>
      <c r="L539" s="881"/>
      <c r="M539" s="881"/>
      <c r="N539" s="881"/>
      <c r="O539" s="881"/>
      <c r="P539" s="881"/>
      <c r="Q539" s="1381"/>
      <c r="R539" s="1381"/>
      <c r="S539" s="1381"/>
      <c r="T539" s="1381"/>
      <c r="U539" s="1381"/>
      <c r="V539" s="1381"/>
      <c r="W539" s="1381"/>
      <c r="X539" s="1381"/>
      <c r="Y539" s="1381"/>
      <c r="Z539" s="1381"/>
    </row>
    <row r="540" spans="1:26" ht="18.75" hidden="1">
      <c r="A540" s="1299"/>
      <c r="B540" s="1300"/>
      <c r="C540" s="1301"/>
      <c r="D540" s="1301"/>
      <c r="E540" s="1301" t="s">
        <v>231</v>
      </c>
      <c r="F540" s="1301"/>
      <c r="G540" s="1016"/>
      <c r="H540" s="622" t="s">
        <v>35</v>
      </c>
      <c r="I540" s="880">
        <f ca="1">IFERROR(__xludf.DUMMYFUNCTION("IMPORTRANGE(""https://docs.google.com/spreadsheets/d/1QqKyyYR6Q21VydFLVH3TRQUabQu_ym0Zz7PgGX0-kHA/edit?usp=sharing"",""แผน!GX80"")"),0)</f>
        <v>0</v>
      </c>
      <c r="J540" s="1012">
        <v>0</v>
      </c>
      <c r="K540" s="881">
        <f t="shared" ca="1" si="234"/>
        <v>0</v>
      </c>
      <c r="L540" s="881"/>
      <c r="M540" s="881"/>
      <c r="N540" s="881"/>
      <c r="O540" s="881"/>
      <c r="P540" s="881"/>
      <c r="Q540" s="1381"/>
      <c r="R540" s="1381"/>
      <c r="S540" s="1381"/>
      <c r="T540" s="1381"/>
      <c r="U540" s="1381"/>
      <c r="V540" s="1381"/>
      <c r="W540" s="1381"/>
      <c r="X540" s="1381"/>
      <c r="Y540" s="1381"/>
      <c r="Z540" s="1381"/>
    </row>
    <row r="541" spans="1:26" ht="18.75" hidden="1">
      <c r="A541" s="1299"/>
      <c r="B541" s="1300"/>
      <c r="C541" s="1301"/>
      <c r="D541" s="1301"/>
      <c r="E541" s="1382" t="s">
        <v>232</v>
      </c>
      <c r="F541" s="1301"/>
      <c r="G541" s="1016"/>
      <c r="H541" s="622" t="s">
        <v>35</v>
      </c>
      <c r="I541" s="880">
        <f ca="1">IFERROR(__xludf.DUMMYFUNCTION("IMPORTRANGE(""https://docs.google.com/spreadsheets/d/1QqKyyYR6Q21VydFLVH3TRQUabQu_ym0Zz7PgGX0-kHA/edit?usp=sharing"",""แผน!GY80"")"),0)</f>
        <v>0</v>
      </c>
      <c r="J541" s="1012">
        <v>0</v>
      </c>
      <c r="K541" s="881">
        <f t="shared" ca="1" si="234"/>
        <v>0</v>
      </c>
      <c r="L541" s="881"/>
      <c r="M541" s="881"/>
      <c r="N541" s="881"/>
      <c r="O541" s="881"/>
      <c r="P541" s="881"/>
      <c r="Q541" s="1381"/>
      <c r="R541" s="1381"/>
      <c r="S541" s="1381"/>
      <c r="T541" s="1381"/>
      <c r="U541" s="1381"/>
      <c r="V541" s="1381"/>
      <c r="W541" s="1381"/>
      <c r="X541" s="1381"/>
      <c r="Y541" s="1381"/>
      <c r="Z541" s="1381"/>
    </row>
    <row r="542" spans="1:26" ht="18.75" hidden="1">
      <c r="A542" s="1299"/>
      <c r="B542" s="1300"/>
      <c r="C542" s="1301"/>
      <c r="D542" s="1301" t="s">
        <v>59</v>
      </c>
      <c r="E542" s="1301"/>
      <c r="F542" s="1301"/>
      <c r="G542" s="1016"/>
      <c r="H542" s="622" t="s">
        <v>35</v>
      </c>
      <c r="I542" s="880">
        <f ca="1">IFERROR(__xludf.DUMMYFUNCTION("IMPORTRANGE(""https://docs.google.com/spreadsheets/d/1QqKyyYR6Q21VydFLVH3TRQUabQu_ym0Zz7PgGX0-kHA/edit?usp=sharing"",""แผน!GZ80"")"),0)</f>
        <v>0</v>
      </c>
      <c r="J542" s="1012">
        <v>0</v>
      </c>
      <c r="K542" s="881">
        <f t="shared" ca="1" si="234"/>
        <v>0</v>
      </c>
      <c r="L542" s="881"/>
      <c r="M542" s="881"/>
      <c r="N542" s="881"/>
      <c r="O542" s="881"/>
      <c r="P542" s="881"/>
      <c r="Q542" s="1381"/>
      <c r="R542" s="1381"/>
      <c r="S542" s="1381"/>
      <c r="T542" s="1381"/>
      <c r="U542" s="1381"/>
      <c r="V542" s="1381"/>
      <c r="W542" s="1381"/>
      <c r="X542" s="1381"/>
      <c r="Y542" s="1381"/>
      <c r="Z542" s="1381"/>
    </row>
    <row r="543" spans="1:26" ht="19.5">
      <c r="A543" s="662">
        <v>6</v>
      </c>
      <c r="B543" s="1383" t="s">
        <v>233</v>
      </c>
      <c r="C543" s="1369"/>
      <c r="D543" s="1369"/>
      <c r="E543" s="1369"/>
      <c r="F543" s="1369"/>
      <c r="G543" s="1370"/>
      <c r="H543" s="684" t="s">
        <v>46</v>
      </c>
      <c r="I543" s="1384">
        <f t="shared" ref="I543:J543" ca="1" si="235">I559</f>
        <v>6591</v>
      </c>
      <c r="J543" s="1384">
        <f t="shared" si="235"/>
        <v>0</v>
      </c>
      <c r="K543" s="1385">
        <f t="shared" ca="1" si="234"/>
        <v>0</v>
      </c>
      <c r="L543" s="1372"/>
      <c r="M543" s="1372"/>
      <c r="N543" s="1372"/>
      <c r="O543" s="1372"/>
      <c r="P543" s="1372"/>
      <c r="Q543" s="1302"/>
      <c r="R543" s="1302"/>
      <c r="S543" s="1302"/>
      <c r="T543" s="1302"/>
      <c r="U543" s="1302"/>
      <c r="V543" s="1302"/>
      <c r="W543" s="1302"/>
      <c r="X543" s="1302"/>
      <c r="Y543" s="1302"/>
      <c r="Z543" s="1302"/>
    </row>
    <row r="544" spans="1:26" ht="19.5">
      <c r="A544" s="1386"/>
      <c r="B544" s="1387"/>
      <c r="C544" s="1387" t="s">
        <v>16</v>
      </c>
      <c r="D544" s="1388" t="s">
        <v>17</v>
      </c>
      <c r="E544" s="846"/>
      <c r="F544" s="846"/>
      <c r="G544" s="1389"/>
      <c r="H544" s="275" t="s">
        <v>12</v>
      </c>
      <c r="I544" s="990"/>
      <c r="J544" s="990"/>
      <c r="K544" s="991"/>
      <c r="L544" s="992">
        <f t="shared" ref="L544:N544" ca="1" si="236">L545+L546</f>
        <v>299718</v>
      </c>
      <c r="M544" s="992">
        <f t="shared" ca="1" si="236"/>
        <v>299718</v>
      </c>
      <c r="N544" s="992">
        <f t="shared" si="236"/>
        <v>110357</v>
      </c>
      <c r="O544" s="992">
        <f t="shared" ref="O544:O549" ca="1" si="237">IF(L544&gt;0,N544*100/L544,0)</f>
        <v>36.820277727730733</v>
      </c>
      <c r="P544" s="992">
        <f t="shared" ref="P544:P549" ca="1" si="238">IF(M544&gt;0,N544*100/M544,0)</f>
        <v>36.820277727730733</v>
      </c>
      <c r="Q544" s="1302"/>
      <c r="R544" s="1302"/>
      <c r="S544" s="1302"/>
      <c r="T544" s="1302"/>
      <c r="U544" s="1302"/>
      <c r="V544" s="1302"/>
      <c r="W544" s="1302"/>
      <c r="X544" s="1302"/>
      <c r="Y544" s="1302"/>
      <c r="Z544" s="1302"/>
    </row>
    <row r="545" spans="1:26" ht="18.75" hidden="1">
      <c r="A545" s="1319"/>
      <c r="B545" s="1320"/>
      <c r="C545" s="1320"/>
      <c r="D545" s="1320"/>
      <c r="E545" s="1320" t="s">
        <v>185</v>
      </c>
      <c r="F545" s="1320"/>
      <c r="G545" s="1322"/>
      <c r="H545" s="165" t="s">
        <v>12</v>
      </c>
      <c r="I545" s="886"/>
      <c r="J545" s="886"/>
      <c r="K545" s="887"/>
      <c r="L545" s="887">
        <f t="shared" ref="L545:L546" si="239">L548+L556</f>
        <v>0</v>
      </c>
      <c r="M545" s="887">
        <f t="shared" ref="M545:N546" si="240">M548+M555</f>
        <v>0</v>
      </c>
      <c r="N545" s="887">
        <f t="shared" si="240"/>
        <v>0</v>
      </c>
      <c r="O545" s="887">
        <f t="shared" si="237"/>
        <v>0</v>
      </c>
      <c r="P545" s="887">
        <f t="shared" si="238"/>
        <v>0</v>
      </c>
      <c r="Q545" s="1323"/>
      <c r="R545" s="1323"/>
      <c r="S545" s="1323"/>
      <c r="T545" s="1323"/>
      <c r="U545" s="1323"/>
      <c r="V545" s="1323"/>
      <c r="W545" s="1323"/>
      <c r="X545" s="1323"/>
      <c r="Y545" s="1323"/>
      <c r="Z545" s="1323"/>
    </row>
    <row r="546" spans="1:26" ht="18.75" hidden="1">
      <c r="A546" s="1319"/>
      <c r="B546" s="1324"/>
      <c r="C546" s="1320"/>
      <c r="D546" s="1320"/>
      <c r="E546" s="1320" t="s">
        <v>186</v>
      </c>
      <c r="F546" s="1320"/>
      <c r="G546" s="1322"/>
      <c r="H546" s="165" t="s">
        <v>12</v>
      </c>
      <c r="I546" s="886"/>
      <c r="J546" s="886"/>
      <c r="K546" s="887"/>
      <c r="L546" s="887">
        <f t="shared" ca="1" si="239"/>
        <v>299718</v>
      </c>
      <c r="M546" s="887">
        <f t="shared" ca="1" si="240"/>
        <v>299718</v>
      </c>
      <c r="N546" s="887">
        <f t="shared" si="240"/>
        <v>110357</v>
      </c>
      <c r="O546" s="887">
        <f t="shared" ca="1" si="237"/>
        <v>36.820277727730733</v>
      </c>
      <c r="P546" s="887">
        <f t="shared" ca="1" si="238"/>
        <v>36.820277727730733</v>
      </c>
      <c r="Q546" s="1323"/>
      <c r="R546" s="1323"/>
      <c r="S546" s="1323"/>
      <c r="T546" s="1323"/>
      <c r="U546" s="1323"/>
      <c r="V546" s="1323"/>
      <c r="W546" s="1323"/>
      <c r="X546" s="1323"/>
      <c r="Y546" s="1323"/>
      <c r="Z546" s="1323"/>
    </row>
    <row r="547" spans="1:26" ht="18.75">
      <c r="A547" s="1317"/>
      <c r="B547" s="1300"/>
      <c r="C547" s="1301"/>
      <c r="D547" s="1325" t="s">
        <v>20</v>
      </c>
      <c r="E547" s="1301"/>
      <c r="F547" s="1301"/>
      <c r="G547" s="1016"/>
      <c r="H547" s="161" t="s">
        <v>12</v>
      </c>
      <c r="I547" s="997"/>
      <c r="J547" s="997"/>
      <c r="K547" s="998"/>
      <c r="L547" s="881">
        <f t="shared" ref="L547:N547" ca="1" si="241">L548+L549</f>
        <v>299718</v>
      </c>
      <c r="M547" s="881">
        <f t="shared" ca="1" si="241"/>
        <v>299718</v>
      </c>
      <c r="N547" s="881">
        <f t="shared" si="241"/>
        <v>110357</v>
      </c>
      <c r="O547" s="881">
        <f t="shared" ca="1" si="237"/>
        <v>36.820277727730733</v>
      </c>
      <c r="P547" s="881">
        <f t="shared" ca="1" si="238"/>
        <v>36.820277727730733</v>
      </c>
      <c r="Q547" s="1302"/>
      <c r="R547" s="1302"/>
      <c r="S547" s="1302"/>
      <c r="T547" s="1302"/>
      <c r="U547" s="1302"/>
      <c r="V547" s="1302"/>
      <c r="W547" s="1302"/>
      <c r="X547" s="1302"/>
      <c r="Y547" s="1302"/>
      <c r="Z547" s="1302"/>
    </row>
    <row r="548" spans="1:26" ht="18.75" hidden="1">
      <c r="A548" s="1319"/>
      <c r="B548" s="1324"/>
      <c r="C548" s="1320"/>
      <c r="D548" s="1321"/>
      <c r="E548" s="1320" t="s">
        <v>185</v>
      </c>
      <c r="F548" s="1320"/>
      <c r="G548" s="1322"/>
      <c r="H548" s="165" t="s">
        <v>12</v>
      </c>
      <c r="I548" s="886"/>
      <c r="J548" s="886"/>
      <c r="K548" s="887"/>
      <c r="L548" s="887">
        <v>0</v>
      </c>
      <c r="M548" s="887">
        <v>0</v>
      </c>
      <c r="N548" s="887">
        <v>0</v>
      </c>
      <c r="O548" s="887">
        <f t="shared" si="237"/>
        <v>0</v>
      </c>
      <c r="P548" s="887">
        <f t="shared" si="238"/>
        <v>0</v>
      </c>
      <c r="Q548" s="1323"/>
      <c r="R548" s="1323"/>
      <c r="S548" s="1323"/>
      <c r="T548" s="1323"/>
      <c r="U548" s="1323"/>
      <c r="V548" s="1323"/>
      <c r="W548" s="1323"/>
      <c r="X548" s="1323"/>
      <c r="Y548" s="1323"/>
      <c r="Z548" s="1323"/>
    </row>
    <row r="549" spans="1:26" ht="18.75" hidden="1">
      <c r="A549" s="1319"/>
      <c r="B549" s="1324"/>
      <c r="C549" s="1320"/>
      <c r="D549" s="1321"/>
      <c r="E549" s="1320" t="s">
        <v>186</v>
      </c>
      <c r="F549" s="1320"/>
      <c r="G549" s="1322"/>
      <c r="H549" s="165" t="s">
        <v>12</v>
      </c>
      <c r="I549" s="886"/>
      <c r="J549" s="886"/>
      <c r="K549" s="887"/>
      <c r="L549" s="887">
        <f ca="1">IFERROR(__xludf.DUMMYFUNCTION("IMPORTRANGE(""https://docs.google.com/spreadsheets/d/1QqKyyYR6Q21VydFLVH3TRQUabQu_ym0Zz7PgGX0-kHA/edit?usp=sharing"",""แผน!HB80"")"),299718)</f>
        <v>299718</v>
      </c>
      <c r="M549" s="887">
        <f ca="1">L549</f>
        <v>299718</v>
      </c>
      <c r="N549" s="887">
        <f>N550+N551+N552+N553+N554</f>
        <v>110357</v>
      </c>
      <c r="O549" s="887">
        <f t="shared" ca="1" si="237"/>
        <v>36.820277727730733</v>
      </c>
      <c r="P549" s="887">
        <f t="shared" ca="1" si="238"/>
        <v>36.820277727730733</v>
      </c>
      <c r="Q549" s="1323"/>
      <c r="R549" s="1323"/>
      <c r="S549" s="1323"/>
      <c r="T549" s="1323"/>
      <c r="U549" s="1323"/>
      <c r="V549" s="1323"/>
      <c r="W549" s="1323"/>
      <c r="X549" s="1323"/>
      <c r="Y549" s="1323"/>
      <c r="Z549" s="1323"/>
    </row>
    <row r="550" spans="1:26" ht="18.75">
      <c r="A550" s="1299"/>
      <c r="B550" s="1300"/>
      <c r="C550" s="1301"/>
      <c r="D550" s="1301"/>
      <c r="E550" s="1301"/>
      <c r="F550" s="1301" t="s">
        <v>187</v>
      </c>
      <c r="G550" s="1016"/>
      <c r="H550" s="161" t="s">
        <v>12</v>
      </c>
      <c r="I550" s="880"/>
      <c r="J550" s="880"/>
      <c r="K550" s="881"/>
      <c r="L550" s="881"/>
      <c r="M550" s="881"/>
      <c r="N550" s="1085">
        <v>0</v>
      </c>
      <c r="O550" s="881"/>
      <c r="P550" s="881"/>
      <c r="Q550" s="1302"/>
      <c r="R550" s="1302"/>
      <c r="S550" s="1302"/>
      <c r="T550" s="1302"/>
      <c r="U550" s="1302"/>
      <c r="V550" s="1302"/>
      <c r="W550" s="1302"/>
      <c r="X550" s="1302"/>
      <c r="Y550" s="1302"/>
      <c r="Z550" s="1302"/>
    </row>
    <row r="551" spans="1:26" ht="18.75">
      <c r="A551" s="1299"/>
      <c r="B551" s="1300"/>
      <c r="C551" s="1300"/>
      <c r="D551" s="1300"/>
      <c r="E551" s="1301"/>
      <c r="F551" s="1301" t="s">
        <v>188</v>
      </c>
      <c r="G551" s="1016"/>
      <c r="H551" s="161" t="s">
        <v>12</v>
      </c>
      <c r="I551" s="880"/>
      <c r="J551" s="880"/>
      <c r="K551" s="881"/>
      <c r="L551" s="881"/>
      <c r="M551" s="881"/>
      <c r="N551" s="1085">
        <v>0</v>
      </c>
      <c r="O551" s="881"/>
      <c r="P551" s="881"/>
      <c r="Q551" s="1302"/>
      <c r="R551" s="1302"/>
      <c r="S551" s="1302"/>
      <c r="T551" s="1302"/>
      <c r="U551" s="1302"/>
      <c r="V551" s="1302"/>
      <c r="W551" s="1302"/>
      <c r="X551" s="1302"/>
      <c r="Y551" s="1302"/>
      <c r="Z551" s="1302"/>
    </row>
    <row r="552" spans="1:26" ht="18.75">
      <c r="A552" s="1299"/>
      <c r="B552" s="1300"/>
      <c r="C552" s="1301"/>
      <c r="D552" s="1301"/>
      <c r="E552" s="1301"/>
      <c r="F552" s="1301" t="s">
        <v>189</v>
      </c>
      <c r="G552" s="1016"/>
      <c r="H552" s="161" t="s">
        <v>12</v>
      </c>
      <c r="I552" s="880"/>
      <c r="J552" s="880"/>
      <c r="K552" s="881"/>
      <c r="L552" s="881"/>
      <c r="M552" s="881"/>
      <c r="N552" s="1085">
        <v>65000</v>
      </c>
      <c r="O552" s="881"/>
      <c r="P552" s="881"/>
      <c r="Q552" s="1302"/>
      <c r="R552" s="1302"/>
      <c r="S552" s="1302"/>
      <c r="T552" s="1302"/>
      <c r="U552" s="1302"/>
      <c r="V552" s="1302"/>
      <c r="W552" s="1302"/>
      <c r="X552" s="1302"/>
      <c r="Y552" s="1302"/>
      <c r="Z552" s="1302"/>
    </row>
    <row r="553" spans="1:26" ht="18.75">
      <c r="A553" s="1299"/>
      <c r="B553" s="1300"/>
      <c r="C553" s="1300"/>
      <c r="D553" s="1300"/>
      <c r="E553" s="1301"/>
      <c r="F553" s="1301" t="s">
        <v>190</v>
      </c>
      <c r="G553" s="1016"/>
      <c r="H553" s="161" t="s">
        <v>12</v>
      </c>
      <c r="I553" s="880"/>
      <c r="J553" s="880"/>
      <c r="K553" s="881"/>
      <c r="L553" s="881"/>
      <c r="M553" s="881"/>
      <c r="N553" s="1085">
        <v>45357</v>
      </c>
      <c r="O553" s="881"/>
      <c r="P553" s="881"/>
      <c r="Q553" s="1302"/>
      <c r="R553" s="1302"/>
      <c r="S553" s="1302"/>
      <c r="T553" s="1302"/>
      <c r="U553" s="1302"/>
      <c r="V553" s="1302"/>
      <c r="W553" s="1302"/>
      <c r="X553" s="1302"/>
      <c r="Y553" s="1302"/>
      <c r="Z553" s="1302"/>
    </row>
    <row r="554" spans="1:26" ht="18.75">
      <c r="A554" s="1299"/>
      <c r="B554" s="1300"/>
      <c r="C554" s="1300"/>
      <c r="D554" s="1300"/>
      <c r="E554" s="1301"/>
      <c r="F554" s="1301" t="s">
        <v>234</v>
      </c>
      <c r="G554" s="1016"/>
      <c r="H554" s="161" t="s">
        <v>12</v>
      </c>
      <c r="I554" s="880"/>
      <c r="J554" s="880"/>
      <c r="K554" s="881"/>
      <c r="L554" s="881"/>
      <c r="M554" s="881"/>
      <c r="N554" s="1085">
        <v>0</v>
      </c>
      <c r="O554" s="881"/>
      <c r="P554" s="881"/>
      <c r="Q554" s="1302"/>
      <c r="R554" s="1302"/>
      <c r="S554" s="1302"/>
      <c r="T554" s="1302"/>
      <c r="U554" s="1302"/>
      <c r="V554" s="1302"/>
      <c r="W554" s="1302"/>
      <c r="X554" s="1302"/>
      <c r="Y554" s="1302"/>
      <c r="Z554" s="1302"/>
    </row>
    <row r="555" spans="1:26" ht="18.75">
      <c r="A555" s="1317"/>
      <c r="B555" s="1300"/>
      <c r="C555" s="1300"/>
      <c r="D555" s="1325" t="s">
        <v>21</v>
      </c>
      <c r="E555" s="1301"/>
      <c r="F555" s="1301"/>
      <c r="G555" s="1016"/>
      <c r="H555" s="168" t="s">
        <v>12</v>
      </c>
      <c r="I555" s="997"/>
      <c r="J555" s="997"/>
      <c r="K555" s="998"/>
      <c r="L555" s="881">
        <f t="shared" ref="L555:N555" ca="1" si="242">L556+L557</f>
        <v>0</v>
      </c>
      <c r="M555" s="881">
        <f t="shared" si="242"/>
        <v>0</v>
      </c>
      <c r="N555" s="881">
        <f t="shared" si="242"/>
        <v>0</v>
      </c>
      <c r="O555" s="881">
        <f t="shared" ref="O555:O557" ca="1" si="243">IF(L555&gt;0,N555*100/L555,0)</f>
        <v>0</v>
      </c>
      <c r="P555" s="881">
        <f t="shared" ref="P555:P557" si="244">IF(M555&gt;0,N555*100/M555,0)</f>
        <v>0</v>
      </c>
      <c r="Q555" s="1302"/>
      <c r="R555" s="1302"/>
      <c r="S555" s="1302"/>
      <c r="T555" s="1302"/>
      <c r="U555" s="1302"/>
      <c r="V555" s="1302"/>
      <c r="W555" s="1302"/>
      <c r="X555" s="1302"/>
      <c r="Y555" s="1302"/>
      <c r="Z555" s="1302"/>
    </row>
    <row r="556" spans="1:26" ht="18.75" hidden="1">
      <c r="A556" s="1319"/>
      <c r="B556" s="1324"/>
      <c r="C556" s="1324"/>
      <c r="D556" s="1320"/>
      <c r="E556" s="1320" t="s">
        <v>18</v>
      </c>
      <c r="F556" s="1320"/>
      <c r="G556" s="1322"/>
      <c r="H556" s="165" t="s">
        <v>12</v>
      </c>
      <c r="I556" s="1000"/>
      <c r="J556" s="1000"/>
      <c r="K556" s="1001"/>
      <c r="L556" s="887">
        <v>0</v>
      </c>
      <c r="M556" s="887">
        <v>0</v>
      </c>
      <c r="N556" s="887">
        <v>0</v>
      </c>
      <c r="O556" s="887">
        <f t="shared" si="243"/>
        <v>0</v>
      </c>
      <c r="P556" s="887">
        <f t="shared" si="244"/>
        <v>0</v>
      </c>
      <c r="Q556" s="1323"/>
      <c r="R556" s="1323"/>
      <c r="S556" s="1323"/>
      <c r="T556" s="1323"/>
      <c r="U556" s="1323"/>
      <c r="V556" s="1323"/>
      <c r="W556" s="1323"/>
      <c r="X556" s="1323"/>
      <c r="Y556" s="1323"/>
      <c r="Z556" s="1323"/>
    </row>
    <row r="557" spans="1:26" ht="18.75" hidden="1">
      <c r="A557" s="1319"/>
      <c r="B557" s="1324"/>
      <c r="C557" s="1324"/>
      <c r="D557" s="1320"/>
      <c r="E557" s="1320" t="s">
        <v>19</v>
      </c>
      <c r="F557" s="1320"/>
      <c r="G557" s="1322"/>
      <c r="H557" s="169" t="s">
        <v>12</v>
      </c>
      <c r="I557" s="1000"/>
      <c r="J557" s="1000"/>
      <c r="K557" s="1001"/>
      <c r="L557" s="887">
        <f ca="1">IFERROR(__xludf.DUMMYFUNCTION("IMPORTRANGE(""https://docs.google.com/spreadsheets/d/1QqKyyYR6Q21VydFLVH3TRQUabQu_ym0Zz7PgGX0-kHA/edit?usp=sharing"",""แผน!HF80"")"),0)</f>
        <v>0</v>
      </c>
      <c r="M557" s="887">
        <v>0</v>
      </c>
      <c r="N557" s="887">
        <v>0</v>
      </c>
      <c r="O557" s="887">
        <f t="shared" ca="1" si="243"/>
        <v>0</v>
      </c>
      <c r="P557" s="887">
        <f t="shared" si="244"/>
        <v>0</v>
      </c>
      <c r="Q557" s="1323"/>
      <c r="R557" s="1323"/>
      <c r="S557" s="1323"/>
      <c r="T557" s="1323"/>
      <c r="U557" s="1323"/>
      <c r="V557" s="1323"/>
      <c r="W557" s="1323"/>
      <c r="X557" s="1323"/>
      <c r="Y557" s="1323"/>
      <c r="Z557" s="1323"/>
    </row>
    <row r="558" spans="1:26" ht="19.5">
      <c r="A558" s="1326"/>
      <c r="B558" s="1327"/>
      <c r="C558" s="1300" t="s">
        <v>16</v>
      </c>
      <c r="D558" s="1380" t="s">
        <v>38</v>
      </c>
      <c r="E558" s="1330"/>
      <c r="F558" s="1330"/>
      <c r="G558" s="1331"/>
      <c r="H558" s="1007"/>
      <c r="I558" s="997"/>
      <c r="J558" s="997"/>
      <c r="K558" s="998"/>
      <c r="L558" s="998"/>
      <c r="M558" s="998"/>
      <c r="N558" s="998"/>
      <c r="O558" s="998"/>
      <c r="P558" s="998"/>
      <c r="Q558" s="1302"/>
      <c r="R558" s="1302"/>
      <c r="S558" s="1302"/>
      <c r="T558" s="1302"/>
      <c r="U558" s="1302"/>
      <c r="V558" s="1302"/>
      <c r="W558" s="1302"/>
      <c r="X558" s="1302"/>
      <c r="Y558" s="1302"/>
      <c r="Z558" s="1302"/>
    </row>
    <row r="559" spans="1:26" ht="19.5">
      <c r="A559" s="1390"/>
      <c r="B559" s="1391" t="s">
        <v>235</v>
      </c>
      <c r="C559" s="1392"/>
      <c r="D559" s="1392"/>
      <c r="E559" s="1375"/>
      <c r="F559" s="1375"/>
      <c r="G559" s="1376"/>
      <c r="H559" s="693" t="s">
        <v>46</v>
      </c>
      <c r="I559" s="1377">
        <f t="shared" ref="I559:J559" ca="1" si="245">I576</f>
        <v>6591</v>
      </c>
      <c r="J559" s="1377">
        <f t="shared" si="245"/>
        <v>0</v>
      </c>
      <c r="K559" s="1378">
        <f t="shared" ref="K559:K561" ca="1" si="246">IF(I559&gt;0,J559*100/I559,0)</f>
        <v>0</v>
      </c>
      <c r="L559" s="1379"/>
      <c r="M559" s="1379"/>
      <c r="N559" s="1379"/>
      <c r="O559" s="1379"/>
      <c r="P559" s="1379"/>
      <c r="Q559" s="1302"/>
      <c r="R559" s="1302"/>
      <c r="S559" s="1302"/>
      <c r="T559" s="1302"/>
      <c r="U559" s="1302"/>
      <c r="V559" s="1302"/>
      <c r="W559" s="1302"/>
      <c r="X559" s="1302"/>
      <c r="Y559" s="1302"/>
      <c r="Z559" s="1302"/>
    </row>
    <row r="560" spans="1:26" ht="19.5">
      <c r="A560" s="1326"/>
      <c r="B560" s="1327"/>
      <c r="C560" s="1336" t="s">
        <v>236</v>
      </c>
      <c r="D560" s="1327"/>
      <c r="E560" s="1014"/>
      <c r="F560" s="1014"/>
      <c r="G560" s="1007"/>
      <c r="H560" s="765" t="s">
        <v>46</v>
      </c>
      <c r="I560" s="1018">
        <f ca="1">IFERROR(__xludf.DUMMYFUNCTION("IMPORTRANGE(""https://docs.google.com/spreadsheets/d/1QqKyyYR6Q21VydFLVH3TRQUabQu_ym0Zz7PgGX0-kHA/edit?usp=sharing"",""แผน!HH80"")"),6591)</f>
        <v>6591</v>
      </c>
      <c r="J560" s="1018">
        <f t="shared" ref="J560:J561" si="247">J562+J564+J566</f>
        <v>5490.8</v>
      </c>
      <c r="K560" s="1162">
        <f t="shared" ca="1" si="246"/>
        <v>83.307540585647089</v>
      </c>
      <c r="L560" s="998"/>
      <c r="M560" s="998"/>
      <c r="N560" s="998"/>
      <c r="O560" s="998"/>
      <c r="P560" s="998"/>
      <c r="Q560" s="1302"/>
      <c r="R560" s="1302"/>
      <c r="S560" s="1302"/>
      <c r="T560" s="1302"/>
      <c r="U560" s="1302"/>
      <c r="V560" s="1302"/>
      <c r="W560" s="1302"/>
      <c r="X560" s="1302"/>
      <c r="Y560" s="1302"/>
      <c r="Z560" s="1302"/>
    </row>
    <row r="561" spans="1:26" ht="19.5">
      <c r="A561" s="1326"/>
      <c r="B561" s="1327"/>
      <c r="C561" s="1327"/>
      <c r="D561" s="1014"/>
      <c r="E561" s="1014"/>
      <c r="F561" s="1014"/>
      <c r="G561" s="1007"/>
      <c r="H561" s="765" t="s">
        <v>34</v>
      </c>
      <c r="I561" s="1018">
        <f ca="1">IFERROR(__xludf.DUMMYFUNCTION("IMPORTRANGE(""https://docs.google.com/spreadsheets/d/1QqKyyYR6Q21VydFLVH3TRQUabQu_ym0Zz7PgGX0-kHA/edit?usp=sharing"",""แผน!HG80"")"),1075)</f>
        <v>1075</v>
      </c>
      <c r="J561" s="1018">
        <f t="shared" si="247"/>
        <v>920</v>
      </c>
      <c r="K561" s="1162">
        <f t="shared" ca="1" si="246"/>
        <v>85.581395348837205</v>
      </c>
      <c r="L561" s="998"/>
      <c r="M561" s="998"/>
      <c r="N561" s="998"/>
      <c r="O561" s="998"/>
      <c r="P561" s="998"/>
      <c r="Q561" s="1302"/>
      <c r="R561" s="1302"/>
      <c r="S561" s="1302"/>
      <c r="T561" s="1302"/>
      <c r="U561" s="1302"/>
      <c r="V561" s="1302"/>
      <c r="W561" s="1302"/>
      <c r="X561" s="1302"/>
      <c r="Y561" s="1302"/>
      <c r="Z561" s="1302"/>
    </row>
    <row r="562" spans="1:26" ht="18.75">
      <c r="A562" s="1326"/>
      <c r="B562" s="1327"/>
      <c r="C562" s="1327"/>
      <c r="D562" s="1014" t="s">
        <v>237</v>
      </c>
      <c r="E562" s="1014"/>
      <c r="F562" s="1014"/>
      <c r="G562" s="1007"/>
      <c r="H562" s="762" t="s">
        <v>46</v>
      </c>
      <c r="I562" s="997"/>
      <c r="J562" s="1012">
        <v>4171.7</v>
      </c>
      <c r="K562" s="998"/>
      <c r="L562" s="998"/>
      <c r="M562" s="998"/>
      <c r="N562" s="998"/>
      <c r="O562" s="998"/>
      <c r="P562" s="998"/>
      <c r="Q562" s="1302"/>
      <c r="R562" s="1302"/>
      <c r="S562" s="1302"/>
      <c r="T562" s="1302"/>
      <c r="U562" s="1302"/>
      <c r="V562" s="1302"/>
      <c r="W562" s="1302"/>
      <c r="X562" s="1302"/>
      <c r="Y562" s="1302"/>
      <c r="Z562" s="1302"/>
    </row>
    <row r="563" spans="1:26" ht="18.75">
      <c r="A563" s="1326"/>
      <c r="B563" s="1327"/>
      <c r="C563" s="1327"/>
      <c r="D563" s="1327"/>
      <c r="E563" s="1014"/>
      <c r="F563" s="1014"/>
      <c r="G563" s="1007"/>
      <c r="H563" s="762" t="s">
        <v>34</v>
      </c>
      <c r="I563" s="997"/>
      <c r="J563" s="1012">
        <v>716</v>
      </c>
      <c r="K563" s="998"/>
      <c r="L563" s="998"/>
      <c r="M563" s="998"/>
      <c r="N563" s="998"/>
      <c r="O563" s="998"/>
      <c r="P563" s="998"/>
      <c r="Q563" s="1302"/>
      <c r="R563" s="1302"/>
      <c r="S563" s="1302"/>
      <c r="T563" s="1302"/>
      <c r="U563" s="1302"/>
      <c r="V563" s="1302"/>
      <c r="W563" s="1302"/>
      <c r="X563" s="1302"/>
      <c r="Y563" s="1302"/>
      <c r="Z563" s="1302"/>
    </row>
    <row r="564" spans="1:26" ht="18.75">
      <c r="A564" s="1326"/>
      <c r="B564" s="1327"/>
      <c r="C564" s="1327"/>
      <c r="D564" s="1014" t="s">
        <v>238</v>
      </c>
      <c r="E564" s="1014"/>
      <c r="F564" s="1014"/>
      <c r="G564" s="1007"/>
      <c r="H564" s="762" t="s">
        <v>46</v>
      </c>
      <c r="I564" s="997"/>
      <c r="J564" s="1012">
        <v>968</v>
      </c>
      <c r="K564" s="998"/>
      <c r="L564" s="998"/>
      <c r="M564" s="998"/>
      <c r="N564" s="998"/>
      <c r="O564" s="998"/>
      <c r="P564" s="998"/>
      <c r="Q564" s="1302"/>
      <c r="R564" s="1302"/>
      <c r="S564" s="1302"/>
      <c r="T564" s="1302"/>
      <c r="U564" s="1302"/>
      <c r="V564" s="1302"/>
      <c r="W564" s="1302"/>
      <c r="X564" s="1302"/>
      <c r="Y564" s="1302"/>
      <c r="Z564" s="1302"/>
    </row>
    <row r="565" spans="1:26" ht="18.75">
      <c r="A565" s="1326"/>
      <c r="B565" s="1327"/>
      <c r="C565" s="1327"/>
      <c r="D565" s="1014"/>
      <c r="E565" s="1014"/>
      <c r="F565" s="1014"/>
      <c r="G565" s="1007"/>
      <c r="H565" s="762" t="s">
        <v>34</v>
      </c>
      <c r="I565" s="997"/>
      <c r="J565" s="1012">
        <v>143</v>
      </c>
      <c r="K565" s="998"/>
      <c r="L565" s="998"/>
      <c r="M565" s="998"/>
      <c r="N565" s="998"/>
      <c r="O565" s="998"/>
      <c r="P565" s="998"/>
      <c r="Q565" s="1302"/>
      <c r="R565" s="1302"/>
      <c r="S565" s="1302"/>
      <c r="T565" s="1302"/>
      <c r="U565" s="1302"/>
      <c r="V565" s="1302"/>
      <c r="W565" s="1302"/>
      <c r="X565" s="1302"/>
      <c r="Y565" s="1302"/>
      <c r="Z565" s="1302"/>
    </row>
    <row r="566" spans="1:26" ht="18.75">
      <c r="A566" s="1326"/>
      <c r="B566" s="1327"/>
      <c r="C566" s="1327"/>
      <c r="D566" s="1014" t="s">
        <v>239</v>
      </c>
      <c r="E566" s="1014"/>
      <c r="F566" s="1014"/>
      <c r="G566" s="1007"/>
      <c r="H566" s="762" t="s">
        <v>46</v>
      </c>
      <c r="I566" s="997"/>
      <c r="J566" s="1012">
        <v>351.1</v>
      </c>
      <c r="K566" s="998"/>
      <c r="L566" s="998"/>
      <c r="M566" s="998"/>
      <c r="N566" s="998"/>
      <c r="O566" s="998"/>
      <c r="P566" s="998"/>
      <c r="Q566" s="1302"/>
      <c r="R566" s="1302"/>
      <c r="S566" s="1302"/>
      <c r="T566" s="1302"/>
      <c r="U566" s="1302"/>
      <c r="V566" s="1302"/>
      <c r="W566" s="1302"/>
      <c r="X566" s="1302"/>
      <c r="Y566" s="1302"/>
      <c r="Z566" s="1302"/>
    </row>
    <row r="567" spans="1:26" ht="18.75">
      <c r="A567" s="1326"/>
      <c r="B567" s="1327"/>
      <c r="C567" s="1327"/>
      <c r="D567" s="1014"/>
      <c r="E567" s="1014"/>
      <c r="F567" s="1014"/>
      <c r="G567" s="1007"/>
      <c r="H567" s="762" t="s">
        <v>34</v>
      </c>
      <c r="I567" s="997"/>
      <c r="J567" s="1012">
        <v>61</v>
      </c>
      <c r="K567" s="998"/>
      <c r="L567" s="998"/>
      <c r="M567" s="998"/>
      <c r="N567" s="998"/>
      <c r="O567" s="998"/>
      <c r="P567" s="998"/>
      <c r="Q567" s="1302"/>
      <c r="R567" s="1302"/>
      <c r="S567" s="1302"/>
      <c r="T567" s="1302"/>
      <c r="U567" s="1302"/>
      <c r="V567" s="1302"/>
      <c r="W567" s="1302"/>
      <c r="X567" s="1302"/>
      <c r="Y567" s="1302"/>
      <c r="Z567" s="1302"/>
    </row>
    <row r="568" spans="1:26" ht="19.5">
      <c r="A568" s="1326"/>
      <c r="B568" s="1327"/>
      <c r="C568" s="1336" t="s">
        <v>240</v>
      </c>
      <c r="D568" s="1014"/>
      <c r="E568" s="1014"/>
      <c r="F568" s="1014"/>
      <c r="G568" s="1007"/>
      <c r="H568" s="765" t="s">
        <v>46</v>
      </c>
      <c r="I568" s="1018">
        <f ca="1">IFERROR(__xludf.DUMMYFUNCTION("IMPORTRANGE(""https://docs.google.com/spreadsheets/d/1QqKyyYR6Q21VydFLVH3TRQUabQu_ym0Zz7PgGX0-kHA/edit?usp=sharing"",""แผน!HH80"")"),6591)</f>
        <v>6591</v>
      </c>
      <c r="J568" s="1019">
        <f t="shared" ref="J568:J569" si="248">J570+J572+J574</f>
        <v>0</v>
      </c>
      <c r="K568" s="1162">
        <f t="shared" ref="K568:K569" ca="1" si="249">IF(I568&gt;0,J568*100/I568,0)</f>
        <v>0</v>
      </c>
      <c r="L568" s="998"/>
      <c r="M568" s="998"/>
      <c r="N568" s="998"/>
      <c r="O568" s="998"/>
      <c r="P568" s="998"/>
      <c r="Q568" s="1302"/>
      <c r="R568" s="1302"/>
      <c r="S568" s="1302"/>
      <c r="T568" s="1302"/>
      <c r="U568" s="1302"/>
      <c r="V568" s="1302"/>
      <c r="W568" s="1302"/>
      <c r="X568" s="1302"/>
      <c r="Y568" s="1302"/>
      <c r="Z568" s="1302"/>
    </row>
    <row r="569" spans="1:26" ht="19.5">
      <c r="A569" s="1326"/>
      <c r="B569" s="1327"/>
      <c r="C569" s="1327"/>
      <c r="D569" s="1327"/>
      <c r="E569" s="1014"/>
      <c r="F569" s="1014"/>
      <c r="G569" s="1007"/>
      <c r="H569" s="765" t="s">
        <v>34</v>
      </c>
      <c r="I569" s="1018">
        <f ca="1">IFERROR(__xludf.DUMMYFUNCTION("IMPORTRANGE(""https://docs.google.com/spreadsheets/d/1QqKyyYR6Q21VydFLVH3TRQUabQu_ym0Zz7PgGX0-kHA/edit?usp=sharing"",""แผน!HG80"")"),1075)</f>
        <v>1075</v>
      </c>
      <c r="J569" s="1019">
        <f t="shared" si="248"/>
        <v>0</v>
      </c>
      <c r="K569" s="1162">
        <f t="shared" ca="1" si="249"/>
        <v>0</v>
      </c>
      <c r="L569" s="998"/>
      <c r="M569" s="998"/>
      <c r="N569" s="998"/>
      <c r="O569" s="998"/>
      <c r="P569" s="998"/>
      <c r="Q569" s="1302"/>
      <c r="R569" s="1302"/>
      <c r="S569" s="1302"/>
      <c r="T569" s="1302"/>
      <c r="U569" s="1302"/>
      <c r="V569" s="1302"/>
      <c r="W569" s="1302"/>
      <c r="X569" s="1302"/>
      <c r="Y569" s="1302"/>
      <c r="Z569" s="1302"/>
    </row>
    <row r="570" spans="1:26" ht="18.75">
      <c r="A570" s="1326"/>
      <c r="B570" s="1327"/>
      <c r="C570" s="1327"/>
      <c r="D570" s="1014" t="s">
        <v>241</v>
      </c>
      <c r="E570" s="1327"/>
      <c r="F570" s="1014"/>
      <c r="G570" s="1007"/>
      <c r="H570" s="762" t="s">
        <v>46</v>
      </c>
      <c r="I570" s="997"/>
      <c r="J570" s="1012">
        <v>0</v>
      </c>
      <c r="K570" s="998"/>
      <c r="L570" s="998"/>
      <c r="M570" s="998"/>
      <c r="N570" s="998"/>
      <c r="O570" s="998"/>
      <c r="P570" s="998"/>
      <c r="Q570" s="1302"/>
      <c r="R570" s="1302"/>
      <c r="S570" s="1302"/>
      <c r="T570" s="1302"/>
      <c r="U570" s="1302"/>
      <c r="V570" s="1302"/>
      <c r="W570" s="1302"/>
      <c r="X570" s="1302"/>
      <c r="Y570" s="1302"/>
      <c r="Z570" s="1302"/>
    </row>
    <row r="571" spans="1:26" ht="18.75">
      <c r="A571" s="1326"/>
      <c r="B571" s="1327"/>
      <c r="C571" s="1327"/>
      <c r="D571" s="1327"/>
      <c r="E571" s="1014"/>
      <c r="F571" s="1014"/>
      <c r="G571" s="1007"/>
      <c r="H571" s="762" t="s">
        <v>34</v>
      </c>
      <c r="I571" s="997"/>
      <c r="J571" s="1012">
        <v>0</v>
      </c>
      <c r="K571" s="998"/>
      <c r="L571" s="998"/>
      <c r="M571" s="998"/>
      <c r="N571" s="998"/>
      <c r="O571" s="998"/>
      <c r="P571" s="998"/>
      <c r="Q571" s="1302"/>
      <c r="R571" s="1302"/>
      <c r="S571" s="1302"/>
      <c r="T571" s="1302"/>
      <c r="U571" s="1302"/>
      <c r="V571" s="1302"/>
      <c r="W571" s="1302"/>
      <c r="X571" s="1302"/>
      <c r="Y571" s="1302"/>
      <c r="Z571" s="1302"/>
    </row>
    <row r="572" spans="1:26" ht="18.75">
      <c r="A572" s="1326"/>
      <c r="B572" s="1327"/>
      <c r="C572" s="1327"/>
      <c r="D572" s="1014" t="s">
        <v>242</v>
      </c>
      <c r="E572" s="1014"/>
      <c r="F572" s="1014"/>
      <c r="G572" s="1007"/>
      <c r="H572" s="762" t="s">
        <v>46</v>
      </c>
      <c r="I572" s="997"/>
      <c r="J572" s="1012">
        <v>0</v>
      </c>
      <c r="K572" s="998"/>
      <c r="L572" s="998"/>
      <c r="M572" s="998"/>
      <c r="N572" s="998"/>
      <c r="O572" s="998"/>
      <c r="P572" s="998"/>
      <c r="Q572" s="1302"/>
      <c r="R572" s="1302"/>
      <c r="S572" s="1302"/>
      <c r="T572" s="1302"/>
      <c r="U572" s="1302"/>
      <c r="V572" s="1302"/>
      <c r="W572" s="1302"/>
      <c r="X572" s="1302"/>
      <c r="Y572" s="1302"/>
      <c r="Z572" s="1302"/>
    </row>
    <row r="573" spans="1:26" ht="18.75">
      <c r="A573" s="1326"/>
      <c r="B573" s="1327"/>
      <c r="C573" s="1327"/>
      <c r="D573" s="1014"/>
      <c r="E573" s="1014"/>
      <c r="F573" s="1014"/>
      <c r="G573" s="1007"/>
      <c r="H573" s="762" t="s">
        <v>34</v>
      </c>
      <c r="I573" s="997"/>
      <c r="J573" s="1012">
        <v>0</v>
      </c>
      <c r="K573" s="998"/>
      <c r="L573" s="998"/>
      <c r="M573" s="998"/>
      <c r="N573" s="998"/>
      <c r="O573" s="998"/>
      <c r="P573" s="998"/>
      <c r="Q573" s="1302"/>
      <c r="R573" s="1302"/>
      <c r="S573" s="1302"/>
      <c r="T573" s="1302"/>
      <c r="U573" s="1302"/>
      <c r="V573" s="1302"/>
      <c r="W573" s="1302"/>
      <c r="X573" s="1302"/>
      <c r="Y573" s="1302"/>
      <c r="Z573" s="1302"/>
    </row>
    <row r="574" spans="1:26" ht="18.75">
      <c r="A574" s="1326"/>
      <c r="B574" s="1327"/>
      <c r="C574" s="1327"/>
      <c r="D574" s="1014" t="s">
        <v>243</v>
      </c>
      <c r="E574" s="1014"/>
      <c r="F574" s="1014"/>
      <c r="G574" s="1007"/>
      <c r="H574" s="762" t="s">
        <v>46</v>
      </c>
      <c r="I574" s="997"/>
      <c r="J574" s="1012">
        <v>0</v>
      </c>
      <c r="K574" s="998"/>
      <c r="L574" s="998"/>
      <c r="M574" s="998"/>
      <c r="N574" s="998"/>
      <c r="O574" s="998"/>
      <c r="P574" s="998"/>
      <c r="Q574" s="1302"/>
      <c r="R574" s="1302"/>
      <c r="S574" s="1302"/>
      <c r="T574" s="1302"/>
      <c r="U574" s="1302"/>
      <c r="V574" s="1302"/>
      <c r="W574" s="1302"/>
      <c r="X574" s="1302"/>
      <c r="Y574" s="1302"/>
      <c r="Z574" s="1302"/>
    </row>
    <row r="575" spans="1:26" ht="18.75">
      <c r="A575" s="1326"/>
      <c r="B575" s="1327"/>
      <c r="C575" s="1327"/>
      <c r="D575" s="1327"/>
      <c r="E575" s="1014"/>
      <c r="F575" s="1014"/>
      <c r="G575" s="1007"/>
      <c r="H575" s="762" t="s">
        <v>34</v>
      </c>
      <c r="I575" s="997"/>
      <c r="J575" s="1012">
        <v>0</v>
      </c>
      <c r="K575" s="998"/>
      <c r="L575" s="998"/>
      <c r="M575" s="998"/>
      <c r="N575" s="998"/>
      <c r="O575" s="998"/>
      <c r="P575" s="998"/>
      <c r="Q575" s="1302"/>
      <c r="R575" s="1302"/>
      <c r="S575" s="1302"/>
      <c r="T575" s="1302"/>
      <c r="U575" s="1302"/>
      <c r="V575" s="1302"/>
      <c r="W575" s="1302"/>
      <c r="X575" s="1302"/>
      <c r="Y575" s="1302"/>
      <c r="Z575" s="1302"/>
    </row>
    <row r="576" spans="1:26" ht="19.5">
      <c r="A576" s="1326"/>
      <c r="B576" s="1327"/>
      <c r="C576" s="1336" t="s">
        <v>244</v>
      </c>
      <c r="D576" s="1327"/>
      <c r="E576" s="1327"/>
      <c r="F576" s="1014"/>
      <c r="G576" s="1007"/>
      <c r="H576" s="765" t="s">
        <v>46</v>
      </c>
      <c r="I576" s="1018">
        <f ca="1">IFERROR(__xludf.DUMMYFUNCTION("IMPORTRANGE(""https://docs.google.com/spreadsheets/d/1QqKyyYR6Q21VydFLVH3TRQUabQu_ym0Zz7PgGX0-kHA/edit?usp=sharing"",""แผน!HH80"")"),6591)</f>
        <v>6591</v>
      </c>
      <c r="J576" s="1019">
        <f t="shared" ref="J576:J577" si="250">J578+J580+J582+J588+J590</f>
        <v>0</v>
      </c>
      <c r="K576" s="1162">
        <f t="shared" ref="K576:K577" ca="1" si="251">IF(I576&gt;0,J576*100/I576,0)</f>
        <v>0</v>
      </c>
      <c r="L576" s="998"/>
      <c r="M576" s="998"/>
      <c r="N576" s="998"/>
      <c r="O576" s="998"/>
      <c r="P576" s="998"/>
      <c r="Q576" s="1302"/>
      <c r="R576" s="1302"/>
      <c r="S576" s="1302"/>
      <c r="T576" s="1302"/>
      <c r="U576" s="1302"/>
      <c r="V576" s="1302"/>
      <c r="W576" s="1302"/>
      <c r="X576" s="1302"/>
      <c r="Y576" s="1302"/>
      <c r="Z576" s="1302"/>
    </row>
    <row r="577" spans="1:26" ht="19.5">
      <c r="A577" s="1326"/>
      <c r="B577" s="1327"/>
      <c r="C577" s="1327"/>
      <c r="D577" s="1327"/>
      <c r="E577" s="1014"/>
      <c r="F577" s="1014"/>
      <c r="G577" s="1007"/>
      <c r="H577" s="765" t="s">
        <v>34</v>
      </c>
      <c r="I577" s="1018">
        <f ca="1">IFERROR(__xludf.DUMMYFUNCTION("IMPORTRANGE(""https://docs.google.com/spreadsheets/d/1QqKyyYR6Q21VydFLVH3TRQUabQu_ym0Zz7PgGX0-kHA/edit?usp=sharing"",""แผน!HG80"")"),1075)</f>
        <v>1075</v>
      </c>
      <c r="J577" s="1019">
        <f t="shared" si="250"/>
        <v>0</v>
      </c>
      <c r="K577" s="1162">
        <f t="shared" ca="1" si="251"/>
        <v>0</v>
      </c>
      <c r="L577" s="998"/>
      <c r="M577" s="998"/>
      <c r="N577" s="998"/>
      <c r="O577" s="998"/>
      <c r="P577" s="998"/>
      <c r="Q577" s="1302"/>
      <c r="R577" s="1302"/>
      <c r="S577" s="1302"/>
      <c r="T577" s="1302"/>
      <c r="U577" s="1302"/>
      <c r="V577" s="1302"/>
      <c r="W577" s="1302"/>
      <c r="X577" s="1302"/>
      <c r="Y577" s="1302"/>
      <c r="Z577" s="1302"/>
    </row>
    <row r="578" spans="1:26" ht="18.75">
      <c r="A578" s="1326"/>
      <c r="B578" s="1327"/>
      <c r="C578" s="1327"/>
      <c r="D578" s="1014" t="s">
        <v>245</v>
      </c>
      <c r="E578" s="1014"/>
      <c r="F578" s="1014"/>
      <c r="G578" s="1007"/>
      <c r="H578" s="762" t="s">
        <v>46</v>
      </c>
      <c r="I578" s="997"/>
      <c r="J578" s="1012">
        <v>0</v>
      </c>
      <c r="K578" s="998"/>
      <c r="L578" s="998"/>
      <c r="M578" s="998"/>
      <c r="N578" s="998"/>
      <c r="O578" s="998"/>
      <c r="P578" s="998"/>
      <c r="Q578" s="1302"/>
      <c r="R578" s="1302"/>
      <c r="S578" s="1302"/>
      <c r="T578" s="1302"/>
      <c r="U578" s="1302"/>
      <c r="V578" s="1302"/>
      <c r="W578" s="1302"/>
      <c r="X578" s="1302"/>
      <c r="Y578" s="1302"/>
      <c r="Z578" s="1302"/>
    </row>
    <row r="579" spans="1:26" ht="18.75">
      <c r="A579" s="1326"/>
      <c r="B579" s="1327"/>
      <c r="C579" s="1327"/>
      <c r="D579" s="1327"/>
      <c r="E579" s="1014"/>
      <c r="F579" s="1014"/>
      <c r="G579" s="1007"/>
      <c r="H579" s="762" t="s">
        <v>34</v>
      </c>
      <c r="I579" s="997"/>
      <c r="J579" s="1012">
        <v>0</v>
      </c>
      <c r="K579" s="998"/>
      <c r="L579" s="998"/>
      <c r="M579" s="998"/>
      <c r="N579" s="998"/>
      <c r="O579" s="998"/>
      <c r="P579" s="998"/>
      <c r="Q579" s="1302"/>
      <c r="R579" s="1302"/>
      <c r="S579" s="1302"/>
      <c r="T579" s="1302"/>
      <c r="U579" s="1302"/>
      <c r="V579" s="1302"/>
      <c r="W579" s="1302"/>
      <c r="X579" s="1302"/>
      <c r="Y579" s="1302"/>
      <c r="Z579" s="1302"/>
    </row>
    <row r="580" spans="1:26" ht="18.75">
      <c r="A580" s="1326"/>
      <c r="B580" s="1327"/>
      <c r="C580" s="1327"/>
      <c r="D580" s="1014" t="s">
        <v>246</v>
      </c>
      <c r="E580" s="1014"/>
      <c r="F580" s="1014"/>
      <c r="G580" s="1007"/>
      <c r="H580" s="762" t="s">
        <v>46</v>
      </c>
      <c r="I580" s="997"/>
      <c r="J580" s="1012">
        <v>0</v>
      </c>
      <c r="K580" s="998"/>
      <c r="L580" s="998"/>
      <c r="M580" s="998"/>
      <c r="N580" s="998"/>
      <c r="O580" s="998"/>
      <c r="P580" s="998"/>
      <c r="Q580" s="1302"/>
      <c r="R580" s="1302"/>
      <c r="S580" s="1302"/>
      <c r="T580" s="1302"/>
      <c r="U580" s="1302"/>
      <c r="V580" s="1302"/>
      <c r="W580" s="1302"/>
      <c r="X580" s="1302"/>
      <c r="Y580" s="1302"/>
      <c r="Z580" s="1302"/>
    </row>
    <row r="581" spans="1:26" ht="18.75">
      <c r="A581" s="1326"/>
      <c r="B581" s="1327"/>
      <c r="C581" s="1327"/>
      <c r="D581" s="1327"/>
      <c r="E581" s="1014"/>
      <c r="F581" s="1014"/>
      <c r="G581" s="1007"/>
      <c r="H581" s="762" t="s">
        <v>34</v>
      </c>
      <c r="I581" s="997"/>
      <c r="J581" s="1012">
        <v>0</v>
      </c>
      <c r="K581" s="998"/>
      <c r="L581" s="998"/>
      <c r="M581" s="998"/>
      <c r="N581" s="998"/>
      <c r="O581" s="998"/>
      <c r="P581" s="998"/>
      <c r="Q581" s="1302"/>
      <c r="R581" s="1302"/>
      <c r="S581" s="1302"/>
      <c r="T581" s="1302"/>
      <c r="U581" s="1302"/>
      <c r="V581" s="1302"/>
      <c r="W581" s="1302"/>
      <c r="X581" s="1302"/>
      <c r="Y581" s="1302"/>
      <c r="Z581" s="1302"/>
    </row>
    <row r="582" spans="1:26" ht="19.5">
      <c r="A582" s="1326"/>
      <c r="B582" s="1327"/>
      <c r="C582" s="1327"/>
      <c r="D582" s="1014" t="s">
        <v>247</v>
      </c>
      <c r="E582" s="1014"/>
      <c r="F582" s="1014"/>
      <c r="G582" s="1007"/>
      <c r="H582" s="762" t="s">
        <v>46</v>
      </c>
      <c r="I582" s="997"/>
      <c r="J582" s="1019">
        <f t="shared" ref="J582:J583" si="252">J584+J586</f>
        <v>0</v>
      </c>
      <c r="K582" s="1162"/>
      <c r="L582" s="998"/>
      <c r="M582" s="998"/>
      <c r="N582" s="998"/>
      <c r="O582" s="998"/>
      <c r="P582" s="998"/>
      <c r="Q582" s="1302"/>
      <c r="R582" s="1302"/>
      <c r="S582" s="1302"/>
      <c r="T582" s="1302"/>
      <c r="U582" s="1302"/>
      <c r="V582" s="1302"/>
      <c r="W582" s="1302"/>
      <c r="X582" s="1302"/>
      <c r="Y582" s="1302"/>
      <c r="Z582" s="1302"/>
    </row>
    <row r="583" spans="1:26" ht="19.5">
      <c r="A583" s="1326"/>
      <c r="B583" s="1327"/>
      <c r="C583" s="1327"/>
      <c r="D583" s="1327"/>
      <c r="E583" s="1014"/>
      <c r="F583" s="1014"/>
      <c r="G583" s="1007"/>
      <c r="H583" s="762" t="s">
        <v>34</v>
      </c>
      <c r="I583" s="997"/>
      <c r="J583" s="1019">
        <f t="shared" si="252"/>
        <v>0</v>
      </c>
      <c r="K583" s="1162"/>
      <c r="L583" s="998"/>
      <c r="M583" s="998"/>
      <c r="N583" s="998"/>
      <c r="O583" s="998"/>
      <c r="P583" s="998"/>
      <c r="Q583" s="1302"/>
      <c r="R583" s="1302"/>
      <c r="S583" s="1302"/>
      <c r="T583" s="1302"/>
      <c r="U583" s="1302"/>
      <c r="V583" s="1302"/>
      <c r="W583" s="1302"/>
      <c r="X583" s="1302"/>
      <c r="Y583" s="1302"/>
      <c r="Z583" s="1302"/>
    </row>
    <row r="584" spans="1:26" ht="18.75">
      <c r="A584" s="1326"/>
      <c r="B584" s="1327"/>
      <c r="C584" s="1327"/>
      <c r="D584" s="1327"/>
      <c r="E584" s="1014" t="s">
        <v>248</v>
      </c>
      <c r="F584" s="1014"/>
      <c r="G584" s="1007"/>
      <c r="H584" s="762" t="s">
        <v>46</v>
      </c>
      <c r="I584" s="997"/>
      <c r="J584" s="1012">
        <v>0</v>
      </c>
      <c r="K584" s="998"/>
      <c r="L584" s="998"/>
      <c r="M584" s="998"/>
      <c r="N584" s="998"/>
      <c r="O584" s="998"/>
      <c r="P584" s="998"/>
      <c r="Q584" s="1302"/>
      <c r="R584" s="1302"/>
      <c r="S584" s="1302"/>
      <c r="T584" s="1302"/>
      <c r="U584" s="1302"/>
      <c r="V584" s="1302"/>
      <c r="W584" s="1302"/>
      <c r="X584" s="1302"/>
      <c r="Y584" s="1302"/>
      <c r="Z584" s="1302"/>
    </row>
    <row r="585" spans="1:26" ht="18.75">
      <c r="A585" s="1326"/>
      <c r="B585" s="1327"/>
      <c r="C585" s="1327"/>
      <c r="D585" s="1327"/>
      <c r="E585" s="1014"/>
      <c r="F585" s="1014"/>
      <c r="G585" s="1007"/>
      <c r="H585" s="762" t="s">
        <v>34</v>
      </c>
      <c r="I585" s="997"/>
      <c r="J585" s="1012">
        <v>0</v>
      </c>
      <c r="K585" s="998"/>
      <c r="L585" s="998"/>
      <c r="M585" s="998"/>
      <c r="N585" s="998"/>
      <c r="O585" s="998"/>
      <c r="P585" s="998"/>
      <c r="Q585" s="1302"/>
      <c r="R585" s="1302"/>
      <c r="S585" s="1302"/>
      <c r="T585" s="1302"/>
      <c r="U585" s="1302"/>
      <c r="V585" s="1302"/>
      <c r="W585" s="1302"/>
      <c r="X585" s="1302"/>
      <c r="Y585" s="1302"/>
      <c r="Z585" s="1302"/>
    </row>
    <row r="586" spans="1:26" ht="18.75">
      <c r="A586" s="1326"/>
      <c r="B586" s="1327"/>
      <c r="C586" s="1327"/>
      <c r="D586" s="1327"/>
      <c r="E586" s="1014" t="s">
        <v>249</v>
      </c>
      <c r="F586" s="1014"/>
      <c r="G586" s="1007"/>
      <c r="H586" s="762" t="s">
        <v>46</v>
      </c>
      <c r="I586" s="997"/>
      <c r="J586" s="1012">
        <v>0</v>
      </c>
      <c r="K586" s="998"/>
      <c r="L586" s="998"/>
      <c r="M586" s="998"/>
      <c r="N586" s="998"/>
      <c r="O586" s="998"/>
      <c r="P586" s="998"/>
      <c r="Q586" s="1302"/>
      <c r="R586" s="1302"/>
      <c r="S586" s="1302"/>
      <c r="T586" s="1302"/>
      <c r="U586" s="1302"/>
      <c r="V586" s="1302"/>
      <c r="W586" s="1302"/>
      <c r="X586" s="1302"/>
      <c r="Y586" s="1302"/>
      <c r="Z586" s="1302"/>
    </row>
    <row r="587" spans="1:26" ht="18.75">
      <c r="A587" s="1326"/>
      <c r="B587" s="1327"/>
      <c r="C587" s="1327"/>
      <c r="D587" s="1327"/>
      <c r="E587" s="1327"/>
      <c r="F587" s="1014"/>
      <c r="G587" s="1007"/>
      <c r="H587" s="762" t="s">
        <v>34</v>
      </c>
      <c r="I587" s="997"/>
      <c r="J587" s="1012">
        <v>0</v>
      </c>
      <c r="K587" s="998"/>
      <c r="L587" s="998"/>
      <c r="M587" s="998"/>
      <c r="N587" s="998"/>
      <c r="O587" s="998"/>
      <c r="P587" s="998"/>
      <c r="Q587" s="1302"/>
      <c r="R587" s="1302"/>
      <c r="S587" s="1302"/>
      <c r="T587" s="1302"/>
      <c r="U587" s="1302"/>
      <c r="V587" s="1302"/>
      <c r="W587" s="1302"/>
      <c r="X587" s="1302"/>
      <c r="Y587" s="1302"/>
      <c r="Z587" s="1302"/>
    </row>
    <row r="588" spans="1:26" ht="18.75">
      <c r="A588" s="1326"/>
      <c r="B588" s="1327"/>
      <c r="C588" s="1327"/>
      <c r="D588" s="1014" t="s">
        <v>250</v>
      </c>
      <c r="E588" s="1014"/>
      <c r="F588" s="1014"/>
      <c r="G588" s="1007"/>
      <c r="H588" s="762" t="s">
        <v>46</v>
      </c>
      <c r="I588" s="997"/>
      <c r="J588" s="1012">
        <v>0</v>
      </c>
      <c r="K588" s="998"/>
      <c r="L588" s="998"/>
      <c r="M588" s="998"/>
      <c r="N588" s="998"/>
      <c r="O588" s="998"/>
      <c r="P588" s="998"/>
      <c r="Q588" s="1302"/>
      <c r="R588" s="1302"/>
      <c r="S588" s="1302"/>
      <c r="T588" s="1302"/>
      <c r="U588" s="1302"/>
      <c r="V588" s="1302"/>
      <c r="W588" s="1302"/>
      <c r="X588" s="1302"/>
      <c r="Y588" s="1302"/>
      <c r="Z588" s="1302"/>
    </row>
    <row r="589" spans="1:26" ht="18.75">
      <c r="A589" s="1326"/>
      <c r="B589" s="1327"/>
      <c r="C589" s="1327"/>
      <c r="D589" s="1327"/>
      <c r="E589" s="1327"/>
      <c r="F589" s="1014"/>
      <c r="G589" s="1007"/>
      <c r="H589" s="762" t="s">
        <v>34</v>
      </c>
      <c r="I589" s="997"/>
      <c r="J589" s="1012">
        <v>0</v>
      </c>
      <c r="K589" s="998"/>
      <c r="L589" s="998"/>
      <c r="M589" s="998"/>
      <c r="N589" s="998"/>
      <c r="O589" s="998"/>
      <c r="P589" s="998"/>
      <c r="Q589" s="1302"/>
      <c r="R589" s="1302"/>
      <c r="S589" s="1302"/>
      <c r="T589" s="1302"/>
      <c r="U589" s="1302"/>
      <c r="V589" s="1302"/>
      <c r="W589" s="1302"/>
      <c r="X589" s="1302"/>
      <c r="Y589" s="1302"/>
      <c r="Z589" s="1302"/>
    </row>
    <row r="590" spans="1:26" ht="18.75">
      <c r="A590" s="1326"/>
      <c r="B590" s="1327"/>
      <c r="C590" s="1327"/>
      <c r="D590" s="1014" t="s">
        <v>251</v>
      </c>
      <c r="E590" s="1014"/>
      <c r="F590" s="1014"/>
      <c r="G590" s="1007"/>
      <c r="H590" s="762" t="s">
        <v>46</v>
      </c>
      <c r="I590" s="997"/>
      <c r="J590" s="1012">
        <v>0</v>
      </c>
      <c r="K590" s="998"/>
      <c r="L590" s="998"/>
      <c r="M590" s="998"/>
      <c r="N590" s="998"/>
      <c r="O590" s="998"/>
      <c r="P590" s="998"/>
      <c r="Q590" s="1302"/>
      <c r="R590" s="1302"/>
      <c r="S590" s="1302"/>
      <c r="T590" s="1302"/>
      <c r="U590" s="1302"/>
      <c r="V590" s="1302"/>
      <c r="W590" s="1302"/>
      <c r="X590" s="1302"/>
      <c r="Y590" s="1302"/>
      <c r="Z590" s="1302"/>
    </row>
    <row r="591" spans="1:26" ht="18.75">
      <c r="A591" s="1393"/>
      <c r="B591" s="1394"/>
      <c r="C591" s="1394"/>
      <c r="D591" s="1394"/>
      <c r="E591" s="1302"/>
      <c r="F591" s="1302"/>
      <c r="G591" s="1395"/>
      <c r="H591" s="697" t="s">
        <v>34</v>
      </c>
      <c r="I591" s="1396"/>
      <c r="J591" s="1397">
        <v>0</v>
      </c>
      <c r="K591" s="1398"/>
      <c r="L591" s="1398"/>
      <c r="M591" s="1398"/>
      <c r="N591" s="1398"/>
      <c r="O591" s="1398"/>
      <c r="P591" s="1398"/>
      <c r="Q591" s="1302"/>
      <c r="R591" s="1302"/>
      <c r="S591" s="1302"/>
      <c r="T591" s="1302"/>
      <c r="U591" s="1302"/>
      <c r="V591" s="1302"/>
      <c r="W591" s="1302"/>
      <c r="X591" s="1302"/>
      <c r="Y591" s="1302"/>
      <c r="Z591" s="1302"/>
    </row>
    <row r="592" spans="1:26" ht="19.5">
      <c r="A592" s="1390"/>
      <c r="B592" s="1391" t="s">
        <v>252</v>
      </c>
      <c r="C592" s="1392"/>
      <c r="D592" s="1392"/>
      <c r="E592" s="1375"/>
      <c r="F592" s="1375"/>
      <c r="G592" s="1376"/>
      <c r="H592" s="693" t="s">
        <v>46</v>
      </c>
      <c r="I592" s="1399">
        <f t="shared" ref="I592:J592" ca="1" si="253">I593</f>
        <v>1539.76</v>
      </c>
      <c r="J592" s="1377">
        <f t="shared" si="253"/>
        <v>0</v>
      </c>
      <c r="K592" s="1378">
        <f t="shared" ref="K592:K594" ca="1" si="254">IF(I592&gt;0,J592*100/I592,0)</f>
        <v>0</v>
      </c>
      <c r="L592" s="1379"/>
      <c r="M592" s="1379"/>
      <c r="N592" s="1379"/>
      <c r="O592" s="1379"/>
      <c r="P592" s="1379"/>
      <c r="Q592" s="1302"/>
      <c r="R592" s="1302"/>
      <c r="S592" s="1302"/>
      <c r="T592" s="1302"/>
      <c r="U592" s="1302"/>
      <c r="V592" s="1302"/>
      <c r="W592" s="1302"/>
      <c r="X592" s="1302"/>
      <c r="Y592" s="1302"/>
      <c r="Z592" s="1302"/>
    </row>
    <row r="593" spans="1:26" ht="19.5">
      <c r="A593" s="1326"/>
      <c r="B593" s="1327"/>
      <c r="C593" s="1336" t="s">
        <v>253</v>
      </c>
      <c r="D593" s="1327"/>
      <c r="E593" s="1327"/>
      <c r="F593" s="1014"/>
      <c r="G593" s="1007"/>
      <c r="H593" s="765" t="s">
        <v>46</v>
      </c>
      <c r="I593" s="1400">
        <f ca="1">IFERROR(__xludf.DUMMYFUNCTION("IMPORTRANGE(""https://docs.google.com/spreadsheets/d/1QqKyyYR6Q21VydFLVH3TRQUabQu_ym0Zz7PgGX0-kHA/edit?usp=sharing"",""แผน!HJ80"")"),1539.76)</f>
        <v>1539.76</v>
      </c>
      <c r="J593" s="1018">
        <f t="shared" ref="J593:J594" si="255">J595+J603+J609</f>
        <v>0</v>
      </c>
      <c r="K593" s="1162">
        <f t="shared" ca="1" si="254"/>
        <v>0</v>
      </c>
      <c r="L593" s="998"/>
      <c r="M593" s="998"/>
      <c r="N593" s="998"/>
      <c r="O593" s="998"/>
      <c r="P593" s="998"/>
      <c r="Q593" s="1302"/>
      <c r="R593" s="1302"/>
      <c r="S593" s="1302"/>
      <c r="T593" s="1302"/>
      <c r="U593" s="1302"/>
      <c r="V593" s="1302"/>
      <c r="W593" s="1302"/>
      <c r="X593" s="1302"/>
      <c r="Y593" s="1302"/>
      <c r="Z593" s="1302"/>
    </row>
    <row r="594" spans="1:26" ht="19.5">
      <c r="A594" s="1326"/>
      <c r="B594" s="1327"/>
      <c r="C594" s="1327"/>
      <c r="D594" s="1327"/>
      <c r="E594" s="1014"/>
      <c r="F594" s="1014"/>
      <c r="G594" s="1007"/>
      <c r="H594" s="765" t="s">
        <v>34</v>
      </c>
      <c r="I594" s="1018">
        <f ca="1">IFERROR(__xludf.DUMMYFUNCTION("IMPORTRANGE(""https://docs.google.com/spreadsheets/d/1QqKyyYR6Q21VydFLVH3TRQUabQu_ym0Zz7PgGX0-kHA/edit?usp=sharing"",""แผน!HI80"")"),224)</f>
        <v>224</v>
      </c>
      <c r="J594" s="1018">
        <f t="shared" si="255"/>
        <v>0</v>
      </c>
      <c r="K594" s="1162">
        <f t="shared" ca="1" si="254"/>
        <v>0</v>
      </c>
      <c r="L594" s="998"/>
      <c r="M594" s="998"/>
      <c r="N594" s="998"/>
      <c r="O594" s="998"/>
      <c r="P594" s="998"/>
      <c r="Q594" s="1302"/>
      <c r="R594" s="1302"/>
      <c r="S594" s="1302"/>
      <c r="T594" s="1302"/>
      <c r="U594" s="1302"/>
      <c r="V594" s="1302"/>
      <c r="W594" s="1302"/>
      <c r="X594" s="1302"/>
      <c r="Y594" s="1302"/>
      <c r="Z594" s="1302"/>
    </row>
    <row r="595" spans="1:26" ht="18.75">
      <c r="A595" s="1326"/>
      <c r="B595" s="1327"/>
      <c r="C595" s="1327" t="s">
        <v>254</v>
      </c>
      <c r="D595" s="1327"/>
      <c r="E595" s="1327"/>
      <c r="F595" s="1014"/>
      <c r="G595" s="1007"/>
      <c r="H595" s="762" t="s">
        <v>46</v>
      </c>
      <c r="I595" s="997"/>
      <c r="J595" s="997">
        <f t="shared" ref="J595:J596" si="256">J597+J599</f>
        <v>0</v>
      </c>
      <c r="K595" s="998"/>
      <c r="L595" s="998"/>
      <c r="M595" s="998"/>
      <c r="N595" s="998"/>
      <c r="O595" s="998"/>
      <c r="P595" s="998"/>
      <c r="Q595" s="1302"/>
      <c r="R595" s="1302"/>
      <c r="S595" s="1302"/>
      <c r="T595" s="1302"/>
      <c r="U595" s="1302"/>
      <c r="V595" s="1302"/>
      <c r="W595" s="1302"/>
      <c r="X595" s="1302"/>
      <c r="Y595" s="1302"/>
      <c r="Z595" s="1302"/>
    </row>
    <row r="596" spans="1:26" ht="18.75">
      <c r="A596" s="1326"/>
      <c r="B596" s="1327"/>
      <c r="C596" s="1327"/>
      <c r="D596" s="1327"/>
      <c r="E596" s="1014"/>
      <c r="F596" s="1014"/>
      <c r="G596" s="1007"/>
      <c r="H596" s="762" t="s">
        <v>34</v>
      </c>
      <c r="I596" s="997"/>
      <c r="J596" s="997">
        <f t="shared" si="256"/>
        <v>0</v>
      </c>
      <c r="K596" s="998"/>
      <c r="L596" s="998"/>
      <c r="M596" s="998"/>
      <c r="N596" s="998"/>
      <c r="O596" s="998"/>
      <c r="P596" s="998"/>
      <c r="Q596" s="1302"/>
      <c r="R596" s="1302"/>
      <c r="S596" s="1302"/>
      <c r="T596" s="1302"/>
      <c r="U596" s="1302"/>
      <c r="V596" s="1302"/>
      <c r="W596" s="1302"/>
      <c r="X596" s="1302"/>
      <c r="Y596" s="1302"/>
      <c r="Z596" s="1302"/>
    </row>
    <row r="597" spans="1:26" ht="18.75">
      <c r="A597" s="1326"/>
      <c r="B597" s="1327"/>
      <c r="C597" s="1327"/>
      <c r="D597" s="1069" t="s">
        <v>255</v>
      </c>
      <c r="E597" s="1014"/>
      <c r="F597" s="1014"/>
      <c r="G597" s="1007"/>
      <c r="H597" s="762" t="s">
        <v>46</v>
      </c>
      <c r="I597" s="997"/>
      <c r="J597" s="1012">
        <v>0</v>
      </c>
      <c r="K597" s="998"/>
      <c r="L597" s="998"/>
      <c r="M597" s="998"/>
      <c r="N597" s="998"/>
      <c r="O597" s="998"/>
      <c r="P597" s="998"/>
      <c r="Q597" s="1302"/>
      <c r="R597" s="1302"/>
      <c r="S597" s="1302"/>
      <c r="T597" s="1302"/>
      <c r="U597" s="1302"/>
      <c r="V597" s="1302"/>
      <c r="W597" s="1302"/>
      <c r="X597" s="1302"/>
      <c r="Y597" s="1302"/>
      <c r="Z597" s="1302"/>
    </row>
    <row r="598" spans="1:26" ht="18.75">
      <c r="A598" s="1326"/>
      <c r="B598" s="1327"/>
      <c r="C598" s="1327"/>
      <c r="D598" s="1327"/>
      <c r="E598" s="1014"/>
      <c r="F598" s="1014"/>
      <c r="G598" s="1007"/>
      <c r="H598" s="762" t="s">
        <v>34</v>
      </c>
      <c r="I598" s="880"/>
      <c r="J598" s="1012">
        <v>0</v>
      </c>
      <c r="K598" s="998"/>
      <c r="L598" s="998"/>
      <c r="M598" s="998"/>
      <c r="N598" s="998"/>
      <c r="O598" s="998"/>
      <c r="P598" s="998"/>
      <c r="Q598" s="1302"/>
      <c r="R598" s="1302"/>
      <c r="S598" s="1302"/>
      <c r="T598" s="1302"/>
      <c r="U598" s="1302"/>
      <c r="V598" s="1302"/>
      <c r="W598" s="1302"/>
      <c r="X598" s="1302"/>
      <c r="Y598" s="1302"/>
      <c r="Z598" s="1302"/>
    </row>
    <row r="599" spans="1:26" ht="18.75">
      <c r="A599" s="1326"/>
      <c r="B599" s="1327"/>
      <c r="C599" s="1327"/>
      <c r="D599" s="1069" t="s">
        <v>256</v>
      </c>
      <c r="E599" s="1014"/>
      <c r="F599" s="1014"/>
      <c r="G599" s="1007"/>
      <c r="H599" s="762" t="s">
        <v>46</v>
      </c>
      <c r="I599" s="880"/>
      <c r="J599" s="1012">
        <v>0</v>
      </c>
      <c r="K599" s="998"/>
      <c r="L599" s="998"/>
      <c r="M599" s="998"/>
      <c r="N599" s="998"/>
      <c r="O599" s="998"/>
      <c r="P599" s="998"/>
      <c r="Q599" s="1302"/>
      <c r="R599" s="1302"/>
      <c r="S599" s="1302"/>
      <c r="T599" s="1302"/>
      <c r="U599" s="1302"/>
      <c r="V599" s="1302"/>
      <c r="W599" s="1302"/>
      <c r="X599" s="1302"/>
      <c r="Y599" s="1302"/>
      <c r="Z599" s="1302"/>
    </row>
    <row r="600" spans="1:26" ht="18.75">
      <c r="A600" s="1326"/>
      <c r="B600" s="1327"/>
      <c r="C600" s="1327"/>
      <c r="D600" s="1327"/>
      <c r="E600" s="1014"/>
      <c r="F600" s="1014"/>
      <c r="G600" s="1007"/>
      <c r="H600" s="762" t="s">
        <v>34</v>
      </c>
      <c r="I600" s="880"/>
      <c r="J600" s="1012">
        <v>0</v>
      </c>
      <c r="K600" s="998"/>
      <c r="L600" s="998"/>
      <c r="M600" s="998"/>
      <c r="N600" s="998"/>
      <c r="O600" s="998"/>
      <c r="P600" s="998"/>
      <c r="Q600" s="1302"/>
      <c r="R600" s="1302"/>
      <c r="S600" s="1302"/>
      <c r="T600" s="1302"/>
      <c r="U600" s="1302"/>
      <c r="V600" s="1302"/>
      <c r="W600" s="1302"/>
      <c r="X600" s="1302"/>
      <c r="Y600" s="1302"/>
      <c r="Z600" s="1302"/>
    </row>
    <row r="601" spans="1:26" ht="18.75">
      <c r="A601" s="1326"/>
      <c r="B601" s="1327"/>
      <c r="C601" s="1327"/>
      <c r="D601" s="1069" t="s">
        <v>257</v>
      </c>
      <c r="E601" s="1014"/>
      <c r="F601" s="1014"/>
      <c r="G601" s="1007"/>
      <c r="H601" s="762" t="s">
        <v>46</v>
      </c>
      <c r="I601" s="880"/>
      <c r="J601" s="1012">
        <v>0</v>
      </c>
      <c r="K601" s="998"/>
      <c r="L601" s="998"/>
      <c r="M601" s="998"/>
      <c r="N601" s="998"/>
      <c r="O601" s="998"/>
      <c r="P601" s="998"/>
      <c r="Q601" s="1302"/>
      <c r="R601" s="1302"/>
      <c r="S601" s="1302"/>
      <c r="T601" s="1302"/>
      <c r="U601" s="1302"/>
      <c r="V601" s="1302"/>
      <c r="W601" s="1302"/>
      <c r="X601" s="1302"/>
      <c r="Y601" s="1302"/>
      <c r="Z601" s="1302"/>
    </row>
    <row r="602" spans="1:26" ht="18.75">
      <c r="A602" s="1326"/>
      <c r="B602" s="1327"/>
      <c r="C602" s="1327"/>
      <c r="D602" s="1327"/>
      <c r="E602" s="1014"/>
      <c r="F602" s="1014"/>
      <c r="G602" s="1007"/>
      <c r="H602" s="762" t="s">
        <v>34</v>
      </c>
      <c r="I602" s="880"/>
      <c r="J602" s="1012">
        <v>0</v>
      </c>
      <c r="K602" s="998"/>
      <c r="L602" s="998"/>
      <c r="M602" s="998"/>
      <c r="N602" s="998"/>
      <c r="O602" s="998"/>
      <c r="P602" s="998"/>
      <c r="Q602" s="1302"/>
      <c r="R602" s="1302"/>
      <c r="S602" s="1302"/>
      <c r="T602" s="1302"/>
      <c r="U602" s="1302"/>
      <c r="V602" s="1302"/>
      <c r="W602" s="1302"/>
      <c r="X602" s="1302"/>
      <c r="Y602" s="1302"/>
      <c r="Z602" s="1302"/>
    </row>
    <row r="603" spans="1:26" ht="18.75">
      <c r="A603" s="1326"/>
      <c r="B603" s="1327"/>
      <c r="C603" s="1401" t="s">
        <v>258</v>
      </c>
      <c r="D603" s="1327"/>
      <c r="E603" s="1327"/>
      <c r="F603" s="1014"/>
      <c r="G603" s="1007"/>
      <c r="H603" s="762" t="s">
        <v>46</v>
      </c>
      <c r="I603" s="880"/>
      <c r="J603" s="880">
        <f t="shared" ref="J603:J604" si="257">J605+J607</f>
        <v>0</v>
      </c>
      <c r="K603" s="998"/>
      <c r="L603" s="998"/>
      <c r="M603" s="998"/>
      <c r="N603" s="998"/>
      <c r="O603" s="998"/>
      <c r="P603" s="998"/>
      <c r="Q603" s="1302"/>
      <c r="R603" s="1302"/>
      <c r="S603" s="1302"/>
      <c r="T603" s="1302"/>
      <c r="U603" s="1302"/>
      <c r="V603" s="1302"/>
      <c r="W603" s="1302"/>
      <c r="X603" s="1302"/>
      <c r="Y603" s="1302"/>
      <c r="Z603" s="1302"/>
    </row>
    <row r="604" spans="1:26" ht="18.75">
      <c r="A604" s="1326"/>
      <c r="B604" s="1327"/>
      <c r="C604" s="1327"/>
      <c r="D604" s="1327"/>
      <c r="E604" s="1014"/>
      <c r="F604" s="1014"/>
      <c r="G604" s="1007"/>
      <c r="H604" s="762" t="s">
        <v>34</v>
      </c>
      <c r="I604" s="880"/>
      <c r="J604" s="880">
        <f t="shared" si="257"/>
        <v>0</v>
      </c>
      <c r="K604" s="998"/>
      <c r="L604" s="998"/>
      <c r="M604" s="998"/>
      <c r="N604" s="998"/>
      <c r="O604" s="998"/>
      <c r="P604" s="998"/>
      <c r="Q604" s="1302"/>
      <c r="R604" s="1302"/>
      <c r="S604" s="1302"/>
      <c r="T604" s="1302"/>
      <c r="U604" s="1302"/>
      <c r="V604" s="1302"/>
      <c r="W604" s="1302"/>
      <c r="X604" s="1302"/>
      <c r="Y604" s="1302"/>
      <c r="Z604" s="1302"/>
    </row>
    <row r="605" spans="1:26" ht="18.75">
      <c r="A605" s="1326"/>
      <c r="B605" s="1327"/>
      <c r="C605" s="1327"/>
      <c r="D605" s="1401" t="s">
        <v>259</v>
      </c>
      <c r="E605" s="1014"/>
      <c r="F605" s="1014"/>
      <c r="G605" s="1007"/>
      <c r="H605" s="762" t="s">
        <v>46</v>
      </c>
      <c r="I605" s="880"/>
      <c r="J605" s="1012">
        <v>0</v>
      </c>
      <c r="K605" s="998"/>
      <c r="L605" s="998"/>
      <c r="M605" s="998"/>
      <c r="N605" s="998"/>
      <c r="O605" s="998"/>
      <c r="P605" s="998"/>
      <c r="Q605" s="1302"/>
      <c r="R605" s="1302"/>
      <c r="S605" s="1302"/>
      <c r="T605" s="1302"/>
      <c r="U605" s="1302"/>
      <c r="V605" s="1302"/>
      <c r="W605" s="1302"/>
      <c r="X605" s="1302"/>
      <c r="Y605" s="1302"/>
      <c r="Z605" s="1302"/>
    </row>
    <row r="606" spans="1:26" ht="18.75">
      <c r="A606" s="1326"/>
      <c r="B606" s="1327"/>
      <c r="C606" s="1327"/>
      <c r="D606" s="1327"/>
      <c r="E606" s="1327"/>
      <c r="F606" s="1014"/>
      <c r="G606" s="1007"/>
      <c r="H606" s="762" t="s">
        <v>34</v>
      </c>
      <c r="I606" s="880"/>
      <c r="J606" s="1012">
        <v>0</v>
      </c>
      <c r="K606" s="998"/>
      <c r="L606" s="998"/>
      <c r="M606" s="998"/>
      <c r="N606" s="998"/>
      <c r="O606" s="998"/>
      <c r="P606" s="998"/>
      <c r="Q606" s="1302"/>
      <c r="R606" s="1302"/>
      <c r="S606" s="1302"/>
      <c r="T606" s="1302"/>
      <c r="U606" s="1302"/>
      <c r="V606" s="1302"/>
      <c r="W606" s="1302"/>
      <c r="X606" s="1302"/>
      <c r="Y606" s="1302"/>
      <c r="Z606" s="1302"/>
    </row>
    <row r="607" spans="1:26" ht="18.75">
      <c r="A607" s="1326"/>
      <c r="B607" s="1327"/>
      <c r="C607" s="1327"/>
      <c r="D607" s="1401" t="s">
        <v>260</v>
      </c>
      <c r="E607" s="1327"/>
      <c r="F607" s="1014"/>
      <c r="G607" s="1007"/>
      <c r="H607" s="762" t="s">
        <v>46</v>
      </c>
      <c r="I607" s="880"/>
      <c r="J607" s="1012">
        <v>0</v>
      </c>
      <c r="K607" s="998"/>
      <c r="L607" s="998"/>
      <c r="M607" s="998"/>
      <c r="N607" s="998"/>
      <c r="O607" s="998"/>
      <c r="P607" s="998"/>
      <c r="Q607" s="1302"/>
      <c r="R607" s="1302"/>
      <c r="S607" s="1302"/>
      <c r="T607" s="1302"/>
      <c r="U607" s="1302"/>
      <c r="V607" s="1302"/>
      <c r="W607" s="1302"/>
      <c r="X607" s="1302"/>
      <c r="Y607" s="1302"/>
      <c r="Z607" s="1302"/>
    </row>
    <row r="608" spans="1:26" ht="18.75">
      <c r="A608" s="1326"/>
      <c r="B608" s="1327"/>
      <c r="C608" s="1327"/>
      <c r="D608" s="1327"/>
      <c r="E608" s="1014"/>
      <c r="F608" s="1014"/>
      <c r="G608" s="1007"/>
      <c r="H608" s="762" t="s">
        <v>34</v>
      </c>
      <c r="I608" s="880"/>
      <c r="J608" s="1012">
        <v>0</v>
      </c>
      <c r="K608" s="998"/>
      <c r="L608" s="998"/>
      <c r="M608" s="998"/>
      <c r="N608" s="998"/>
      <c r="O608" s="998"/>
      <c r="P608" s="998"/>
      <c r="Q608" s="1302"/>
      <c r="R608" s="1302"/>
      <c r="S608" s="1302"/>
      <c r="T608" s="1302"/>
      <c r="U608" s="1302"/>
      <c r="V608" s="1302"/>
      <c r="W608" s="1302"/>
      <c r="X608" s="1302"/>
      <c r="Y608" s="1302"/>
      <c r="Z608" s="1302"/>
    </row>
    <row r="609" spans="1:26" ht="18.75">
      <c r="A609" s="1326"/>
      <c r="B609" s="1327"/>
      <c r="C609" s="1327" t="s">
        <v>261</v>
      </c>
      <c r="D609" s="1327"/>
      <c r="E609" s="1327"/>
      <c r="F609" s="1014"/>
      <c r="G609" s="1007"/>
      <c r="H609" s="762" t="s">
        <v>46</v>
      </c>
      <c r="I609" s="880"/>
      <c r="J609" s="1012">
        <v>0</v>
      </c>
      <c r="K609" s="998"/>
      <c r="L609" s="998"/>
      <c r="M609" s="998"/>
      <c r="N609" s="998"/>
      <c r="O609" s="998"/>
      <c r="P609" s="998"/>
      <c r="Q609" s="1302"/>
      <c r="R609" s="1302"/>
      <c r="S609" s="1302"/>
      <c r="T609" s="1302"/>
      <c r="U609" s="1302"/>
      <c r="V609" s="1302"/>
      <c r="W609" s="1302"/>
      <c r="X609" s="1302"/>
      <c r="Y609" s="1302"/>
      <c r="Z609" s="1302"/>
    </row>
    <row r="610" spans="1:26" ht="18.75">
      <c r="A610" s="1326"/>
      <c r="B610" s="1327"/>
      <c r="C610" s="1327"/>
      <c r="D610" s="1327"/>
      <c r="E610" s="1014"/>
      <c r="F610" s="1014"/>
      <c r="G610" s="1007"/>
      <c r="H610" s="762" t="s">
        <v>34</v>
      </c>
      <c r="I610" s="880"/>
      <c r="J610" s="1012">
        <v>0</v>
      </c>
      <c r="K610" s="998"/>
      <c r="L610" s="998"/>
      <c r="M610" s="998"/>
      <c r="N610" s="998"/>
      <c r="O610" s="998"/>
      <c r="P610" s="998"/>
      <c r="Q610" s="1302"/>
      <c r="R610" s="1302"/>
      <c r="S610" s="1302"/>
      <c r="T610" s="1302"/>
      <c r="U610" s="1302"/>
      <c r="V610" s="1302"/>
      <c r="W610" s="1302"/>
      <c r="X610" s="1302"/>
      <c r="Y610" s="1302"/>
      <c r="Z610" s="1302"/>
    </row>
    <row r="611" spans="1:26" ht="19.5" hidden="1">
      <c r="A611" s="1390"/>
      <c r="B611" s="1402" t="s">
        <v>262</v>
      </c>
      <c r="C611" s="1392"/>
      <c r="D611" s="1392"/>
      <c r="E611" s="1375"/>
      <c r="F611" s="1375"/>
      <c r="G611" s="1376"/>
      <c r="H611" s="705" t="s">
        <v>46</v>
      </c>
      <c r="I611" s="1377">
        <v>0</v>
      </c>
      <c r="J611" s="1377">
        <f>J614+J616</f>
        <v>0</v>
      </c>
      <c r="K611" s="1378">
        <f t="shared" ref="K611:K613" si="258">IF(I611&gt;0,J611*100/I611,0)</f>
        <v>0</v>
      </c>
      <c r="L611" s="1379"/>
      <c r="M611" s="1379"/>
      <c r="N611" s="1379"/>
      <c r="O611" s="1379"/>
      <c r="P611" s="1379"/>
      <c r="Q611" s="1302"/>
      <c r="R611" s="1302"/>
      <c r="S611" s="1302"/>
      <c r="T611" s="1302"/>
      <c r="U611" s="1302"/>
      <c r="V611" s="1302"/>
      <c r="W611" s="1302"/>
      <c r="X611" s="1302"/>
      <c r="Y611" s="1302"/>
      <c r="Z611" s="1302"/>
    </row>
    <row r="612" spans="1:26" ht="19.5" hidden="1">
      <c r="A612" s="1403"/>
      <c r="B612" s="1404"/>
      <c r="C612" s="1405" t="s">
        <v>263</v>
      </c>
      <c r="D612" s="1404"/>
      <c r="E612" s="1404"/>
      <c r="F612" s="1406"/>
      <c r="G612" s="1407"/>
      <c r="H612" s="712" t="s">
        <v>46</v>
      </c>
      <c r="I612" s="1408">
        <v>0</v>
      </c>
      <c r="J612" s="1408">
        <f t="shared" ref="J612:J613" si="259">J614+J616</f>
        <v>0</v>
      </c>
      <c r="K612" s="1409">
        <f t="shared" si="258"/>
        <v>0</v>
      </c>
      <c r="L612" s="1410"/>
      <c r="M612" s="1410"/>
      <c r="N612" s="1410"/>
      <c r="O612" s="1410"/>
      <c r="P612" s="1410"/>
      <c r="Q612" s="1323"/>
      <c r="R612" s="1323"/>
      <c r="S612" s="1323"/>
      <c r="T612" s="1323"/>
      <c r="U612" s="1323"/>
      <c r="V612" s="1323"/>
      <c r="W612" s="1323"/>
      <c r="X612" s="1323"/>
      <c r="Y612" s="1323"/>
      <c r="Z612" s="1323"/>
    </row>
    <row r="613" spans="1:26" ht="19.5" hidden="1">
      <c r="A613" s="1403"/>
      <c r="B613" s="1404"/>
      <c r="C613" s="1404" t="s">
        <v>264</v>
      </c>
      <c r="D613" s="1404"/>
      <c r="E613" s="1404"/>
      <c r="F613" s="1406"/>
      <c r="G613" s="1407"/>
      <c r="H613" s="712" t="s">
        <v>34</v>
      </c>
      <c r="I613" s="1408">
        <v>0</v>
      </c>
      <c r="J613" s="1408">
        <f t="shared" si="259"/>
        <v>0</v>
      </c>
      <c r="K613" s="1409">
        <f t="shared" si="258"/>
        <v>0</v>
      </c>
      <c r="L613" s="1410"/>
      <c r="M613" s="1410"/>
      <c r="N613" s="1410"/>
      <c r="O613" s="1410"/>
      <c r="P613" s="1410"/>
      <c r="Q613" s="1323"/>
      <c r="R613" s="1323"/>
      <c r="S613" s="1323"/>
      <c r="T613" s="1323"/>
      <c r="U613" s="1323"/>
      <c r="V613" s="1323"/>
      <c r="W613" s="1323"/>
      <c r="X613" s="1323"/>
      <c r="Y613" s="1323"/>
      <c r="Z613" s="1323"/>
    </row>
    <row r="614" spans="1:26" ht="18.75" hidden="1">
      <c r="A614" s="1332"/>
      <c r="B614" s="1333"/>
      <c r="C614" s="1333"/>
      <c r="D614" s="1321" t="s">
        <v>265</v>
      </c>
      <c r="E614" s="1333"/>
      <c r="F614" s="1321"/>
      <c r="G614" s="1113"/>
      <c r="H614" s="370" t="s">
        <v>46</v>
      </c>
      <c r="I614" s="886"/>
      <c r="J614" s="886">
        <v>0</v>
      </c>
      <c r="K614" s="1001"/>
      <c r="L614" s="1001"/>
      <c r="M614" s="1001"/>
      <c r="N614" s="1001"/>
      <c r="O614" s="1001"/>
      <c r="P614" s="1001"/>
      <c r="Q614" s="1323"/>
      <c r="R614" s="1323"/>
      <c r="S614" s="1323"/>
      <c r="T614" s="1323"/>
      <c r="U614" s="1323"/>
      <c r="V614" s="1323"/>
      <c r="W614" s="1323"/>
      <c r="X614" s="1323"/>
      <c r="Y614" s="1323"/>
      <c r="Z614" s="1323"/>
    </row>
    <row r="615" spans="1:26" ht="18.75" hidden="1">
      <c r="A615" s="1332"/>
      <c r="B615" s="1333"/>
      <c r="C615" s="1333"/>
      <c r="D615" s="1333"/>
      <c r="E615" s="1333"/>
      <c r="F615" s="1321"/>
      <c r="G615" s="1113"/>
      <c r="H615" s="370" t="s">
        <v>34</v>
      </c>
      <c r="I615" s="886"/>
      <c r="J615" s="886">
        <v>0</v>
      </c>
      <c r="K615" s="1001"/>
      <c r="L615" s="1001"/>
      <c r="M615" s="1001"/>
      <c r="N615" s="1001"/>
      <c r="O615" s="1001"/>
      <c r="P615" s="1001"/>
      <c r="Q615" s="1323"/>
      <c r="R615" s="1323"/>
      <c r="S615" s="1323"/>
      <c r="T615" s="1323"/>
      <c r="U615" s="1323"/>
      <c r="V615" s="1323"/>
      <c r="W615" s="1323"/>
      <c r="X615" s="1323"/>
      <c r="Y615" s="1323"/>
      <c r="Z615" s="1323"/>
    </row>
    <row r="616" spans="1:26" ht="18.75" hidden="1">
      <c r="A616" s="1332"/>
      <c r="B616" s="1333"/>
      <c r="C616" s="1333"/>
      <c r="D616" s="1411" t="s">
        <v>265</v>
      </c>
      <c r="E616" s="1321"/>
      <c r="F616" s="1321"/>
      <c r="G616" s="1113"/>
      <c r="H616" s="370" t="s">
        <v>46</v>
      </c>
      <c r="I616" s="886"/>
      <c r="J616" s="886">
        <v>0</v>
      </c>
      <c r="K616" s="1001"/>
      <c r="L616" s="1001"/>
      <c r="M616" s="1001"/>
      <c r="N616" s="1001"/>
      <c r="O616" s="1001"/>
      <c r="P616" s="1001"/>
      <c r="Q616" s="1323"/>
      <c r="R616" s="1323"/>
      <c r="S616" s="1323"/>
      <c r="T616" s="1323"/>
      <c r="U616" s="1323"/>
      <c r="V616" s="1323"/>
      <c r="W616" s="1323"/>
      <c r="X616" s="1323"/>
      <c r="Y616" s="1323"/>
      <c r="Z616" s="1323"/>
    </row>
    <row r="617" spans="1:26" ht="18.75" hidden="1">
      <c r="A617" s="1332"/>
      <c r="B617" s="1333"/>
      <c r="C617" s="1333"/>
      <c r="D617" s="1333"/>
      <c r="E617" s="1321"/>
      <c r="F617" s="1321"/>
      <c r="G617" s="1113"/>
      <c r="H617" s="370" t="s">
        <v>34</v>
      </c>
      <c r="I617" s="886"/>
      <c r="J617" s="886">
        <v>0</v>
      </c>
      <c r="K617" s="1001"/>
      <c r="L617" s="1001"/>
      <c r="M617" s="1001"/>
      <c r="N617" s="1001"/>
      <c r="O617" s="1001"/>
      <c r="P617" s="1001"/>
      <c r="Q617" s="1323"/>
      <c r="R617" s="1323"/>
      <c r="S617" s="1323"/>
      <c r="T617" s="1323"/>
      <c r="U617" s="1323"/>
      <c r="V617" s="1323"/>
      <c r="W617" s="1323"/>
      <c r="X617" s="1323"/>
      <c r="Y617" s="1323"/>
      <c r="Z617" s="1323"/>
    </row>
    <row r="618" spans="1:26" ht="18.75" hidden="1">
      <c r="A618" s="1332"/>
      <c r="B618" s="1333"/>
      <c r="C618" s="1333"/>
      <c r="D618" s="1411" t="s">
        <v>266</v>
      </c>
      <c r="E618" s="1321"/>
      <c r="F618" s="1321"/>
      <c r="G618" s="1113"/>
      <c r="H618" s="370" t="s">
        <v>46</v>
      </c>
      <c r="I618" s="886"/>
      <c r="J618" s="886">
        <v>0</v>
      </c>
      <c r="K618" s="1001"/>
      <c r="L618" s="1001"/>
      <c r="M618" s="1001"/>
      <c r="N618" s="1001"/>
      <c r="O618" s="1001"/>
      <c r="P618" s="1001"/>
      <c r="Q618" s="1323"/>
      <c r="R618" s="1323"/>
      <c r="S618" s="1323"/>
      <c r="T618" s="1323"/>
      <c r="U618" s="1323"/>
      <c r="V618" s="1323"/>
      <c r="W618" s="1323"/>
      <c r="X618" s="1323"/>
      <c r="Y618" s="1323"/>
      <c r="Z618" s="1323"/>
    </row>
    <row r="619" spans="1:26" ht="18.75" hidden="1">
      <c r="A619" s="1332"/>
      <c r="B619" s="1333"/>
      <c r="C619" s="1333"/>
      <c r="D619" s="1333"/>
      <c r="E619" s="1321"/>
      <c r="F619" s="1321"/>
      <c r="G619" s="1113"/>
      <c r="H619" s="370" t="s">
        <v>34</v>
      </c>
      <c r="I619" s="886"/>
      <c r="J619" s="886">
        <v>0</v>
      </c>
      <c r="K619" s="1001"/>
      <c r="L619" s="1001"/>
      <c r="M619" s="1001"/>
      <c r="N619" s="1001"/>
      <c r="O619" s="1001"/>
      <c r="P619" s="1001"/>
      <c r="Q619" s="1323"/>
      <c r="R619" s="1323"/>
      <c r="S619" s="1323"/>
      <c r="T619" s="1323"/>
      <c r="U619" s="1323"/>
      <c r="V619" s="1323"/>
      <c r="W619" s="1323"/>
      <c r="X619" s="1323"/>
      <c r="Y619" s="1323"/>
      <c r="Z619" s="1323"/>
    </row>
    <row r="620" spans="1:26" ht="19.5" hidden="1">
      <c r="A620" s="1412"/>
      <c r="B620" s="1413"/>
      <c r="C620" s="1414" t="s">
        <v>267</v>
      </c>
      <c r="D620" s="1413"/>
      <c r="E620" s="1413"/>
      <c r="F620" s="1415"/>
      <c r="G620" s="1416"/>
      <c r="H620" s="725" t="s">
        <v>46</v>
      </c>
      <c r="I620" s="1417">
        <f ca="1">IFERROR(__xludf.DUMMYFUNCTION("IMPORTRANGE(""https://docs.google.com/spreadsheets/d/1QqKyyYR6Q21VydFLVH3TRQUabQu_ym0Zz7PgGX0-kHA/edit?usp=sharing"",""แผน!HL80"")"),0)</f>
        <v>0</v>
      </c>
      <c r="J620" s="1417">
        <f t="shared" ref="J620:J621" si="260">J622+J624+J626</f>
        <v>0</v>
      </c>
      <c r="K620" s="1418">
        <f t="shared" ref="K620:K621" ca="1" si="261">IF(I620&gt;0,J620*100/I620,0)</f>
        <v>0</v>
      </c>
      <c r="L620" s="1419"/>
      <c r="M620" s="1419"/>
      <c r="N620" s="1419"/>
      <c r="O620" s="1419"/>
      <c r="P620" s="1419"/>
      <c r="Q620" s="1302"/>
      <c r="R620" s="1302"/>
      <c r="S620" s="1302"/>
      <c r="T620" s="1302"/>
      <c r="U620" s="1302"/>
      <c r="V620" s="1302"/>
      <c r="W620" s="1302"/>
      <c r="X620" s="1302"/>
      <c r="Y620" s="1302"/>
      <c r="Z620" s="1302"/>
    </row>
    <row r="621" spans="1:26" ht="19.5" hidden="1">
      <c r="A621" s="1412"/>
      <c r="B621" s="1413"/>
      <c r="C621" s="1413" t="s">
        <v>268</v>
      </c>
      <c r="D621" s="1413"/>
      <c r="E621" s="1413"/>
      <c r="F621" s="1415"/>
      <c r="G621" s="1416"/>
      <c r="H621" s="725" t="s">
        <v>34</v>
      </c>
      <c r="I621" s="1417">
        <f ca="1">IFERROR(__xludf.DUMMYFUNCTION("IMPORTRANGE(""https://docs.google.com/spreadsheets/d/1QqKyyYR6Q21VydFLVH3TRQUabQu_ym0Zz7PgGX0-kHA/edit?usp=sharing"",""แผน!HK80"")"),0)</f>
        <v>0</v>
      </c>
      <c r="J621" s="1417">
        <f t="shared" si="260"/>
        <v>0</v>
      </c>
      <c r="K621" s="1418">
        <f t="shared" ca="1" si="261"/>
        <v>0</v>
      </c>
      <c r="L621" s="1419"/>
      <c r="M621" s="1419"/>
      <c r="N621" s="1419"/>
      <c r="O621" s="1419"/>
      <c r="P621" s="1419"/>
      <c r="Q621" s="1302"/>
      <c r="R621" s="1302"/>
      <c r="S621" s="1302"/>
      <c r="T621" s="1302"/>
      <c r="U621" s="1302"/>
      <c r="V621" s="1302"/>
      <c r="W621" s="1302"/>
      <c r="X621" s="1302"/>
      <c r="Y621" s="1302"/>
      <c r="Z621" s="1302"/>
    </row>
    <row r="622" spans="1:26" ht="18.75" hidden="1">
      <c r="A622" s="1326"/>
      <c r="B622" s="1327"/>
      <c r="C622" s="1327"/>
      <c r="D622" s="1069" t="s">
        <v>269</v>
      </c>
      <c r="E622" s="1014"/>
      <c r="F622" s="1014"/>
      <c r="G622" s="1007"/>
      <c r="H622" s="762" t="s">
        <v>46</v>
      </c>
      <c r="I622" s="880"/>
      <c r="J622" s="1012">
        <v>0</v>
      </c>
      <c r="K622" s="998"/>
      <c r="L622" s="998"/>
      <c r="M622" s="998"/>
      <c r="N622" s="998"/>
      <c r="O622" s="998"/>
      <c r="P622" s="998"/>
      <c r="Q622" s="1302"/>
      <c r="R622" s="1302"/>
      <c r="S622" s="1302"/>
      <c r="T622" s="1302"/>
      <c r="U622" s="1302"/>
      <c r="V622" s="1302"/>
      <c r="W622" s="1302"/>
      <c r="X622" s="1302"/>
      <c r="Y622" s="1302"/>
      <c r="Z622" s="1302"/>
    </row>
    <row r="623" spans="1:26" ht="18.75" hidden="1">
      <c r="A623" s="1326"/>
      <c r="B623" s="1327"/>
      <c r="C623" s="1327"/>
      <c r="D623" s="1327"/>
      <c r="E623" s="1014"/>
      <c r="F623" s="1014"/>
      <c r="G623" s="1007"/>
      <c r="H623" s="762" t="s">
        <v>34</v>
      </c>
      <c r="I623" s="880"/>
      <c r="J623" s="1012">
        <v>0</v>
      </c>
      <c r="K623" s="998"/>
      <c r="L623" s="998"/>
      <c r="M623" s="998"/>
      <c r="N623" s="998"/>
      <c r="O623" s="998"/>
      <c r="P623" s="998"/>
      <c r="Q623" s="1302"/>
      <c r="R623" s="1302"/>
      <c r="S623" s="1302"/>
      <c r="T623" s="1302"/>
      <c r="U623" s="1302"/>
      <c r="V623" s="1302"/>
      <c r="W623" s="1302"/>
      <c r="X623" s="1302"/>
      <c r="Y623" s="1302"/>
      <c r="Z623" s="1302"/>
    </row>
    <row r="624" spans="1:26" ht="18.75" hidden="1">
      <c r="A624" s="1326"/>
      <c r="B624" s="1327"/>
      <c r="C624" s="1327"/>
      <c r="D624" s="1069" t="s">
        <v>265</v>
      </c>
      <c r="E624" s="1014"/>
      <c r="F624" s="1014"/>
      <c r="G624" s="1007"/>
      <c r="H624" s="762" t="s">
        <v>46</v>
      </c>
      <c r="I624" s="880"/>
      <c r="J624" s="1012">
        <v>0</v>
      </c>
      <c r="K624" s="998"/>
      <c r="L624" s="998"/>
      <c r="M624" s="998"/>
      <c r="N624" s="998"/>
      <c r="O624" s="998"/>
      <c r="P624" s="998"/>
      <c r="Q624" s="1302"/>
      <c r="R624" s="1302"/>
      <c r="S624" s="1302"/>
      <c r="T624" s="1302"/>
      <c r="U624" s="1302"/>
      <c r="V624" s="1302"/>
      <c r="W624" s="1302"/>
      <c r="X624" s="1302"/>
      <c r="Y624" s="1302"/>
      <c r="Z624" s="1302"/>
    </row>
    <row r="625" spans="1:26" ht="18.75" hidden="1">
      <c r="A625" s="1326"/>
      <c r="B625" s="1327"/>
      <c r="C625" s="1327"/>
      <c r="D625" s="1327"/>
      <c r="E625" s="1014"/>
      <c r="F625" s="1014"/>
      <c r="G625" s="1007"/>
      <c r="H625" s="762" t="s">
        <v>34</v>
      </c>
      <c r="I625" s="880"/>
      <c r="J625" s="1012">
        <v>0</v>
      </c>
      <c r="K625" s="998"/>
      <c r="L625" s="998"/>
      <c r="M625" s="998"/>
      <c r="N625" s="998"/>
      <c r="O625" s="998"/>
      <c r="P625" s="998"/>
      <c r="Q625" s="1302"/>
      <c r="R625" s="1302"/>
      <c r="S625" s="1302"/>
      <c r="T625" s="1302"/>
      <c r="U625" s="1302"/>
      <c r="V625" s="1302"/>
      <c r="W625" s="1302"/>
      <c r="X625" s="1302"/>
      <c r="Y625" s="1302"/>
      <c r="Z625" s="1302"/>
    </row>
    <row r="626" spans="1:26" ht="18.75" hidden="1">
      <c r="A626" s="1326"/>
      <c r="B626" s="1327"/>
      <c r="C626" s="1327"/>
      <c r="D626" s="1069" t="s">
        <v>270</v>
      </c>
      <c r="E626" s="1014"/>
      <c r="F626" s="1014"/>
      <c r="G626" s="1007"/>
      <c r="H626" s="762" t="s">
        <v>46</v>
      </c>
      <c r="I626" s="880"/>
      <c r="J626" s="1012">
        <v>0</v>
      </c>
      <c r="K626" s="998"/>
      <c r="L626" s="998"/>
      <c r="M626" s="998"/>
      <c r="N626" s="998"/>
      <c r="O626" s="998"/>
      <c r="P626" s="998"/>
      <c r="Q626" s="1302"/>
      <c r="R626" s="1302"/>
      <c r="S626" s="1302"/>
      <c r="T626" s="1302"/>
      <c r="U626" s="1302"/>
      <c r="V626" s="1302"/>
      <c r="W626" s="1302"/>
      <c r="X626" s="1302"/>
      <c r="Y626" s="1302"/>
      <c r="Z626" s="1302"/>
    </row>
    <row r="627" spans="1:26" ht="18.75" hidden="1">
      <c r="A627" s="1420"/>
      <c r="B627" s="1421"/>
      <c r="C627" s="1421"/>
      <c r="D627" s="1421"/>
      <c r="E627" s="1169"/>
      <c r="F627" s="1169"/>
      <c r="G627" s="1422"/>
      <c r="H627" s="423" t="s">
        <v>34</v>
      </c>
      <c r="I627" s="1138"/>
      <c r="J627" s="1171">
        <v>0</v>
      </c>
      <c r="K627" s="1139"/>
      <c r="L627" s="1139"/>
      <c r="M627" s="1139"/>
      <c r="N627" s="1139"/>
      <c r="O627" s="1139"/>
      <c r="P627" s="1139"/>
      <c r="Q627" s="1302"/>
      <c r="R627" s="1302"/>
      <c r="S627" s="1302"/>
      <c r="T627" s="1302"/>
      <c r="U627" s="1302"/>
      <c r="V627" s="1302"/>
      <c r="W627" s="1302"/>
      <c r="X627" s="1302"/>
      <c r="Y627" s="1302"/>
      <c r="Z627" s="1302"/>
    </row>
    <row r="628" spans="1:26" ht="19.5" hidden="1">
      <c r="A628" s="734">
        <v>7</v>
      </c>
      <c r="B628" s="1423" t="s">
        <v>271</v>
      </c>
      <c r="C628" s="1424"/>
      <c r="D628" s="1424"/>
      <c r="E628" s="1424"/>
      <c r="F628" s="1424"/>
      <c r="G628" s="1425"/>
      <c r="H628" s="738" t="s">
        <v>35</v>
      </c>
      <c r="I628" s="1426">
        <f t="shared" ref="I628:J628" ca="1" si="262">I651</f>
        <v>0</v>
      </c>
      <c r="J628" s="1426">
        <f t="shared" ca="1" si="262"/>
        <v>0</v>
      </c>
      <c r="K628" s="1427">
        <f ca="1">IF(I628&gt;0,J628*100/I628,0)</f>
        <v>0</v>
      </c>
      <c r="L628" s="1428"/>
      <c r="M628" s="1428"/>
      <c r="N628" s="1428"/>
      <c r="O628" s="1428"/>
      <c r="P628" s="1428"/>
      <c r="Q628" s="1302"/>
      <c r="R628" s="1302"/>
      <c r="S628" s="1302"/>
      <c r="T628" s="1302"/>
      <c r="U628" s="1302"/>
      <c r="V628" s="1302"/>
      <c r="W628" s="1302"/>
      <c r="X628" s="1302"/>
      <c r="Y628" s="1302"/>
      <c r="Z628" s="1302"/>
    </row>
    <row r="629" spans="1:26" ht="19.5" hidden="1">
      <c r="A629" s="1317"/>
      <c r="B629" s="1301"/>
      <c r="C629" s="1301" t="s">
        <v>16</v>
      </c>
      <c r="D629" s="1318" t="s">
        <v>17</v>
      </c>
      <c r="E629" s="841"/>
      <c r="F629" s="841"/>
      <c r="G629" s="1016"/>
      <c r="H629" s="597" t="s">
        <v>12</v>
      </c>
      <c r="I629" s="880"/>
      <c r="J629" s="880"/>
      <c r="K629" s="881"/>
      <c r="L629" s="1020">
        <f t="shared" ref="L629:N629" ca="1" si="263">L630+L631</f>
        <v>0</v>
      </c>
      <c r="M629" s="1020">
        <f t="shared" si="263"/>
        <v>0</v>
      </c>
      <c r="N629" s="1020">
        <f t="shared" si="263"/>
        <v>0</v>
      </c>
      <c r="O629" s="1020">
        <f t="shared" ref="O629:O634" ca="1" si="264">IF(L629&gt;0,N629*100/L629,0)</f>
        <v>0</v>
      </c>
      <c r="P629" s="1020">
        <f t="shared" ref="P629:P634" si="265">IF(M629&gt;0,N629*100/M629,0)</f>
        <v>0</v>
      </c>
      <c r="Q629" s="1302"/>
      <c r="R629" s="1302"/>
      <c r="S629" s="1302"/>
      <c r="T629" s="1302"/>
      <c r="U629" s="1302"/>
      <c r="V629" s="1302"/>
      <c r="W629" s="1302"/>
      <c r="X629" s="1302"/>
      <c r="Y629" s="1302"/>
      <c r="Z629" s="1302"/>
    </row>
    <row r="630" spans="1:26" ht="18.75" hidden="1">
      <c r="A630" s="1319"/>
      <c r="B630" s="1320"/>
      <c r="C630" s="1320"/>
      <c r="D630" s="1321"/>
      <c r="E630" s="1320" t="s">
        <v>185</v>
      </c>
      <c r="F630" s="1320"/>
      <c r="G630" s="1322"/>
      <c r="H630" s="165" t="s">
        <v>12</v>
      </c>
      <c r="I630" s="886"/>
      <c r="J630" s="886"/>
      <c r="K630" s="887"/>
      <c r="L630" s="887">
        <f t="shared" ref="L630:N631" si="266">L633+L640</f>
        <v>0</v>
      </c>
      <c r="M630" s="887">
        <f t="shared" si="266"/>
        <v>0</v>
      </c>
      <c r="N630" s="887">
        <f t="shared" si="266"/>
        <v>0</v>
      </c>
      <c r="O630" s="887">
        <f t="shared" si="264"/>
        <v>0</v>
      </c>
      <c r="P630" s="887">
        <f t="shared" si="265"/>
        <v>0</v>
      </c>
      <c r="Q630" s="1323"/>
      <c r="R630" s="1323"/>
      <c r="S630" s="1323"/>
      <c r="T630" s="1323"/>
      <c r="U630" s="1323"/>
      <c r="V630" s="1323"/>
      <c r="W630" s="1323"/>
      <c r="X630" s="1323"/>
      <c r="Y630" s="1323"/>
      <c r="Z630" s="1323"/>
    </row>
    <row r="631" spans="1:26" ht="18.75" hidden="1">
      <c r="A631" s="1319"/>
      <c r="B631" s="1324"/>
      <c r="C631" s="1320"/>
      <c r="D631" s="1321"/>
      <c r="E631" s="1320" t="s">
        <v>186</v>
      </c>
      <c r="F631" s="1320"/>
      <c r="G631" s="1322"/>
      <c r="H631" s="165" t="s">
        <v>12</v>
      </c>
      <c r="I631" s="886"/>
      <c r="J631" s="886"/>
      <c r="K631" s="887"/>
      <c r="L631" s="887">
        <f t="shared" ca="1" si="266"/>
        <v>0</v>
      </c>
      <c r="M631" s="887">
        <f t="shared" si="266"/>
        <v>0</v>
      </c>
      <c r="N631" s="887">
        <f t="shared" si="266"/>
        <v>0</v>
      </c>
      <c r="O631" s="887">
        <f t="shared" ca="1" si="264"/>
        <v>0</v>
      </c>
      <c r="P631" s="887">
        <f t="shared" si="265"/>
        <v>0</v>
      </c>
      <c r="Q631" s="1323"/>
      <c r="R631" s="1323"/>
      <c r="S631" s="1323"/>
      <c r="T631" s="1323"/>
      <c r="U631" s="1323"/>
      <c r="V631" s="1323"/>
      <c r="W631" s="1323"/>
      <c r="X631" s="1323"/>
      <c r="Y631" s="1323"/>
      <c r="Z631" s="1323"/>
    </row>
    <row r="632" spans="1:26" ht="18.75" hidden="1">
      <c r="A632" s="1317"/>
      <c r="B632" s="1300"/>
      <c r="C632" s="1301"/>
      <c r="D632" s="1325" t="s">
        <v>20</v>
      </c>
      <c r="E632" s="1301"/>
      <c r="F632" s="1301"/>
      <c r="G632" s="1016"/>
      <c r="H632" s="161" t="s">
        <v>12</v>
      </c>
      <c r="I632" s="997"/>
      <c r="J632" s="997"/>
      <c r="K632" s="998"/>
      <c r="L632" s="881">
        <f t="shared" ref="L632:N632" ca="1" si="267">L633+L634</f>
        <v>0</v>
      </c>
      <c r="M632" s="881">
        <f t="shared" si="267"/>
        <v>0</v>
      </c>
      <c r="N632" s="881">
        <f t="shared" si="267"/>
        <v>0</v>
      </c>
      <c r="O632" s="881">
        <f t="shared" ca="1" si="264"/>
        <v>0</v>
      </c>
      <c r="P632" s="881">
        <f t="shared" si="265"/>
        <v>0</v>
      </c>
      <c r="Q632" s="1302"/>
      <c r="R632" s="1302"/>
      <c r="S632" s="1302"/>
      <c r="T632" s="1302"/>
      <c r="U632" s="1302"/>
      <c r="V632" s="1302"/>
      <c r="W632" s="1302"/>
      <c r="X632" s="1302"/>
      <c r="Y632" s="1302"/>
      <c r="Z632" s="1302"/>
    </row>
    <row r="633" spans="1:26" ht="18.75" hidden="1">
      <c r="A633" s="1319"/>
      <c r="B633" s="1324"/>
      <c r="C633" s="1320"/>
      <c r="D633" s="1321"/>
      <c r="E633" s="1320" t="s">
        <v>185</v>
      </c>
      <c r="F633" s="1320"/>
      <c r="G633" s="1322"/>
      <c r="H633" s="165" t="s">
        <v>12</v>
      </c>
      <c r="I633" s="886"/>
      <c r="J633" s="886"/>
      <c r="K633" s="887"/>
      <c r="L633" s="887">
        <v>0</v>
      </c>
      <c r="M633" s="887">
        <v>0</v>
      </c>
      <c r="N633" s="887">
        <v>0</v>
      </c>
      <c r="O633" s="887">
        <f t="shared" si="264"/>
        <v>0</v>
      </c>
      <c r="P633" s="887">
        <f t="shared" si="265"/>
        <v>0</v>
      </c>
      <c r="Q633" s="1323"/>
      <c r="R633" s="1323"/>
      <c r="S633" s="1323"/>
      <c r="T633" s="1323"/>
      <c r="U633" s="1323"/>
      <c r="V633" s="1323"/>
      <c r="W633" s="1323"/>
      <c r="X633" s="1323"/>
      <c r="Y633" s="1323"/>
      <c r="Z633" s="1323"/>
    </row>
    <row r="634" spans="1:26" ht="18.75" hidden="1">
      <c r="A634" s="1319"/>
      <c r="B634" s="1324"/>
      <c r="C634" s="1320"/>
      <c r="D634" s="1321"/>
      <c r="E634" s="1320" t="s">
        <v>186</v>
      </c>
      <c r="F634" s="1320"/>
      <c r="G634" s="1322"/>
      <c r="H634" s="165" t="s">
        <v>12</v>
      </c>
      <c r="I634" s="886"/>
      <c r="J634" s="886"/>
      <c r="K634" s="887"/>
      <c r="L634" s="887">
        <f ca="1">IFERROR(__xludf.DUMMYFUNCTION("IMPORTRANGE(""https://docs.google.com/spreadsheets/d/1QqKyyYR6Q21VydFLVH3TRQUabQu_ym0Zz7PgGX0-kHA/edit?usp=sharing"",""แผน!HN80"")"),0)</f>
        <v>0</v>
      </c>
      <c r="M634" s="887">
        <v>0</v>
      </c>
      <c r="N634" s="887">
        <f>N635+N636+N637+N638</f>
        <v>0</v>
      </c>
      <c r="O634" s="887">
        <f t="shared" ca="1" si="264"/>
        <v>0</v>
      </c>
      <c r="P634" s="887">
        <f t="shared" si="265"/>
        <v>0</v>
      </c>
      <c r="Q634" s="1323"/>
      <c r="R634" s="1323"/>
      <c r="S634" s="1323"/>
      <c r="T634" s="1323"/>
      <c r="U634" s="1323"/>
      <c r="V634" s="1323"/>
      <c r="W634" s="1323"/>
      <c r="X634" s="1323"/>
      <c r="Y634" s="1323"/>
      <c r="Z634" s="1323"/>
    </row>
    <row r="635" spans="1:26" ht="18.75" hidden="1">
      <c r="A635" s="1299"/>
      <c r="B635" s="1300"/>
      <c r="C635" s="1301"/>
      <c r="D635" s="1301"/>
      <c r="E635" s="1301"/>
      <c r="F635" s="1301" t="s">
        <v>187</v>
      </c>
      <c r="G635" s="1016"/>
      <c r="H635" s="161" t="s">
        <v>12</v>
      </c>
      <c r="I635" s="880"/>
      <c r="J635" s="880"/>
      <c r="K635" s="881"/>
      <c r="L635" s="881"/>
      <c r="M635" s="881"/>
      <c r="N635" s="1085">
        <v>0</v>
      </c>
      <c r="O635" s="881"/>
      <c r="P635" s="881"/>
      <c r="Q635" s="1302"/>
      <c r="R635" s="1302"/>
      <c r="S635" s="1302"/>
      <c r="T635" s="1302"/>
      <c r="U635" s="1302"/>
      <c r="V635" s="1302"/>
      <c r="W635" s="1302"/>
      <c r="X635" s="1302"/>
      <c r="Y635" s="1302"/>
      <c r="Z635" s="1302"/>
    </row>
    <row r="636" spans="1:26" ht="18.75" hidden="1">
      <c r="A636" s="1299"/>
      <c r="B636" s="1300"/>
      <c r="C636" s="1301"/>
      <c r="D636" s="1301"/>
      <c r="E636" s="1301"/>
      <c r="F636" s="1301" t="s">
        <v>188</v>
      </c>
      <c r="G636" s="1016"/>
      <c r="H636" s="161" t="s">
        <v>12</v>
      </c>
      <c r="I636" s="880"/>
      <c r="J636" s="880"/>
      <c r="K636" s="881"/>
      <c r="L636" s="881"/>
      <c r="M636" s="881"/>
      <c r="N636" s="1085">
        <v>0</v>
      </c>
      <c r="O636" s="881"/>
      <c r="P636" s="881"/>
      <c r="Q636" s="1302"/>
      <c r="R636" s="1302"/>
      <c r="S636" s="1302"/>
      <c r="T636" s="1302"/>
      <c r="U636" s="1302"/>
      <c r="V636" s="1302"/>
      <c r="W636" s="1302"/>
      <c r="X636" s="1302"/>
      <c r="Y636" s="1302"/>
      <c r="Z636" s="1302"/>
    </row>
    <row r="637" spans="1:26" ht="18.75" hidden="1">
      <c r="A637" s="1299"/>
      <c r="B637" s="1300"/>
      <c r="C637" s="1301"/>
      <c r="D637" s="1301"/>
      <c r="E637" s="1301"/>
      <c r="F637" s="1301" t="s">
        <v>189</v>
      </c>
      <c r="G637" s="1016"/>
      <c r="H637" s="161" t="s">
        <v>12</v>
      </c>
      <c r="I637" s="880"/>
      <c r="J637" s="880"/>
      <c r="K637" s="881"/>
      <c r="L637" s="881"/>
      <c r="M637" s="881"/>
      <c r="N637" s="1085">
        <v>0</v>
      </c>
      <c r="O637" s="881"/>
      <c r="P637" s="881"/>
      <c r="Q637" s="1302"/>
      <c r="R637" s="1302"/>
      <c r="S637" s="1302"/>
      <c r="T637" s="1302"/>
      <c r="U637" s="1302"/>
      <c r="V637" s="1302"/>
      <c r="W637" s="1302"/>
      <c r="X637" s="1302"/>
      <c r="Y637" s="1302"/>
      <c r="Z637" s="1302"/>
    </row>
    <row r="638" spans="1:26" ht="18.75" hidden="1">
      <c r="A638" s="1299"/>
      <c r="B638" s="1300"/>
      <c r="C638" s="1301"/>
      <c r="D638" s="1301"/>
      <c r="E638" s="1301"/>
      <c r="F638" s="1301" t="s">
        <v>190</v>
      </c>
      <c r="G638" s="1016"/>
      <c r="H638" s="161" t="s">
        <v>12</v>
      </c>
      <c r="I638" s="880"/>
      <c r="J638" s="880"/>
      <c r="K638" s="881"/>
      <c r="L638" s="881"/>
      <c r="M638" s="881"/>
      <c r="N638" s="1085">
        <v>0</v>
      </c>
      <c r="O638" s="881"/>
      <c r="P638" s="881"/>
      <c r="Q638" s="1302"/>
      <c r="R638" s="1302"/>
      <c r="S638" s="1302"/>
      <c r="T638" s="1302"/>
      <c r="U638" s="1302"/>
      <c r="V638" s="1302"/>
      <c r="W638" s="1302"/>
      <c r="X638" s="1302"/>
      <c r="Y638" s="1302"/>
      <c r="Z638" s="1302"/>
    </row>
    <row r="639" spans="1:26" ht="18.75" hidden="1">
      <c r="A639" s="1317"/>
      <c r="B639" s="1300"/>
      <c r="C639" s="1301"/>
      <c r="D639" s="1325" t="s">
        <v>21</v>
      </c>
      <c r="E639" s="1301"/>
      <c r="F639" s="1301"/>
      <c r="G639" s="1016"/>
      <c r="H639" s="168" t="s">
        <v>12</v>
      </c>
      <c r="I639" s="997"/>
      <c r="J639" s="997"/>
      <c r="K639" s="998"/>
      <c r="L639" s="881">
        <f t="shared" ref="L639:N639" ca="1" si="268">L640+L641</f>
        <v>0</v>
      </c>
      <c r="M639" s="881">
        <f t="shared" si="268"/>
        <v>0</v>
      </c>
      <c r="N639" s="881">
        <f t="shared" si="268"/>
        <v>0</v>
      </c>
      <c r="O639" s="881">
        <f t="shared" ref="O639:O641" ca="1" si="269">IF(L639&gt;0,N639*100/L639,0)</f>
        <v>0</v>
      </c>
      <c r="P639" s="881">
        <f t="shared" ref="P639:P641" si="270">IF(M639&gt;0,N639*100/M639,0)</f>
        <v>0</v>
      </c>
      <c r="Q639" s="1302"/>
      <c r="R639" s="1302"/>
      <c r="S639" s="1302"/>
      <c r="T639" s="1302"/>
      <c r="U639" s="1302"/>
      <c r="V639" s="1302"/>
      <c r="W639" s="1302"/>
      <c r="X639" s="1302"/>
      <c r="Y639" s="1302"/>
      <c r="Z639" s="1302"/>
    </row>
    <row r="640" spans="1:26" ht="18.75" hidden="1">
      <c r="A640" s="1319"/>
      <c r="B640" s="1324"/>
      <c r="C640" s="1320"/>
      <c r="D640" s="1320"/>
      <c r="E640" s="1320" t="s">
        <v>18</v>
      </c>
      <c r="F640" s="1320"/>
      <c r="G640" s="1322"/>
      <c r="H640" s="165" t="s">
        <v>12</v>
      </c>
      <c r="I640" s="1000"/>
      <c r="J640" s="1000"/>
      <c r="K640" s="1001"/>
      <c r="L640" s="887">
        <v>0</v>
      </c>
      <c r="M640" s="887">
        <v>0</v>
      </c>
      <c r="N640" s="887">
        <v>0</v>
      </c>
      <c r="O640" s="887">
        <f t="shared" si="269"/>
        <v>0</v>
      </c>
      <c r="P640" s="887">
        <f t="shared" si="270"/>
        <v>0</v>
      </c>
      <c r="Q640" s="1323"/>
      <c r="R640" s="1323"/>
      <c r="S640" s="1323"/>
      <c r="T640" s="1323"/>
      <c r="U640" s="1323"/>
      <c r="V640" s="1323"/>
      <c r="W640" s="1323"/>
      <c r="X640" s="1323"/>
      <c r="Y640" s="1323"/>
      <c r="Z640" s="1323"/>
    </row>
    <row r="641" spans="1:26" ht="18.75" hidden="1">
      <c r="A641" s="1319"/>
      <c r="B641" s="1324"/>
      <c r="C641" s="1320"/>
      <c r="D641" s="1320"/>
      <c r="E641" s="1320" t="s">
        <v>19</v>
      </c>
      <c r="F641" s="1320"/>
      <c r="G641" s="1322"/>
      <c r="H641" s="169" t="s">
        <v>12</v>
      </c>
      <c r="I641" s="1000"/>
      <c r="J641" s="1000"/>
      <c r="K641" s="1001"/>
      <c r="L641" s="887">
        <f ca="1">IFERROR(__xludf.DUMMYFUNCTION("IMPORTRANGE(""https://docs.google.com/spreadsheets/d/1QqKyyYR6Q21VydFLVH3TRQUabQu_ym0Zz7PgGX0-kHA/edit?usp=sharing"",""แผน!HQ80"")"),0)</f>
        <v>0</v>
      </c>
      <c r="M641" s="887">
        <v>0</v>
      </c>
      <c r="N641" s="887">
        <v>0</v>
      </c>
      <c r="O641" s="887">
        <f t="shared" ca="1" si="269"/>
        <v>0</v>
      </c>
      <c r="P641" s="887">
        <f t="shared" si="270"/>
        <v>0</v>
      </c>
      <c r="Q641" s="1323"/>
      <c r="R641" s="1323"/>
      <c r="S641" s="1323"/>
      <c r="T641" s="1323"/>
      <c r="U641" s="1323"/>
      <c r="V641" s="1323"/>
      <c r="W641" s="1323"/>
      <c r="X641" s="1323"/>
      <c r="Y641" s="1323"/>
      <c r="Z641" s="1323"/>
    </row>
    <row r="642" spans="1:26" ht="19.5" hidden="1">
      <c r="A642" s="1326"/>
      <c r="B642" s="1327"/>
      <c r="C642" s="1301" t="s">
        <v>16</v>
      </c>
      <c r="D642" s="1380" t="s">
        <v>38</v>
      </c>
      <c r="E642" s="1330"/>
      <c r="F642" s="1330"/>
      <c r="G642" s="1331"/>
      <c r="H642" s="1007"/>
      <c r="I642" s="997"/>
      <c r="J642" s="997"/>
      <c r="K642" s="998"/>
      <c r="L642" s="998"/>
      <c r="M642" s="998"/>
      <c r="N642" s="998"/>
      <c r="O642" s="998"/>
      <c r="P642" s="998"/>
      <c r="Q642" s="1302"/>
      <c r="R642" s="1302"/>
      <c r="S642" s="1302"/>
      <c r="T642" s="1302"/>
      <c r="U642" s="1302"/>
      <c r="V642" s="1302"/>
      <c r="W642" s="1302"/>
      <c r="X642" s="1302"/>
      <c r="Y642" s="1302"/>
      <c r="Z642" s="1302"/>
    </row>
    <row r="643" spans="1:26" ht="18.75" hidden="1">
      <c r="A643" s="1429"/>
      <c r="B643" s="1300"/>
      <c r="C643" s="1301"/>
      <c r="D643" s="1014"/>
      <c r="E643" s="1069" t="s">
        <v>272</v>
      </c>
      <c r="F643" s="1014"/>
      <c r="G643" s="1007"/>
      <c r="H643" s="762" t="s">
        <v>273</v>
      </c>
      <c r="I643" s="880">
        <f ca="1">IFERROR(__xludf.DUMMYFUNCTION("IMPORTRANGE(""https://docs.google.com/spreadsheets/d/1QqKyyYR6Q21VydFLVH3TRQUabQu_ym0Zz7PgGX0-kHA/edit?usp=sharing"",""แผน!HR80"")"),0)</f>
        <v>0</v>
      </c>
      <c r="J643" s="1012">
        <v>0</v>
      </c>
      <c r="K643" s="998">
        <f t="shared" ref="K643:K652" ca="1" si="271">IF(I643&gt;0,J643*100/I643,0)</f>
        <v>0</v>
      </c>
      <c r="L643" s="998"/>
      <c r="M643" s="998"/>
      <c r="N643" s="881"/>
      <c r="O643" s="998"/>
      <c r="P643" s="998"/>
      <c r="Q643" s="1302"/>
      <c r="R643" s="1302"/>
      <c r="S643" s="1302"/>
      <c r="T643" s="1302"/>
      <c r="U643" s="1302"/>
      <c r="V643" s="1302"/>
      <c r="W643" s="1302"/>
      <c r="X643" s="1302"/>
      <c r="Y643" s="1302"/>
      <c r="Z643" s="1302"/>
    </row>
    <row r="644" spans="1:26" ht="18.75" hidden="1">
      <c r="A644" s="1429"/>
      <c r="B644" s="1300"/>
      <c r="C644" s="1301"/>
      <c r="D644" s="1014"/>
      <c r="E644" s="1069" t="s">
        <v>274</v>
      </c>
      <c r="F644" s="1014"/>
      <c r="G644" s="1007"/>
      <c r="H644" s="762" t="s">
        <v>275</v>
      </c>
      <c r="I644" s="880">
        <f ca="1">IFERROR(__xludf.DUMMYFUNCTION("IMPORTRANGE(""https://docs.google.com/spreadsheets/d/1QqKyyYR6Q21VydFLVH3TRQUabQu_ym0Zz7PgGX0-kHA/edit?usp=sharing"",""แผน!HR80"")"),0)</f>
        <v>0</v>
      </c>
      <c r="J644" s="1012">
        <v>0</v>
      </c>
      <c r="K644" s="998">
        <f t="shared" ca="1" si="271"/>
        <v>0</v>
      </c>
      <c r="L644" s="998"/>
      <c r="M644" s="998"/>
      <c r="N644" s="881"/>
      <c r="O644" s="998"/>
      <c r="P644" s="998"/>
      <c r="Q644" s="1302"/>
      <c r="R644" s="1302"/>
      <c r="S644" s="1302"/>
      <c r="T644" s="1302"/>
      <c r="U644" s="1302"/>
      <c r="V644" s="1302"/>
      <c r="W644" s="1302"/>
      <c r="X644" s="1302"/>
      <c r="Y644" s="1302"/>
      <c r="Z644" s="1302"/>
    </row>
    <row r="645" spans="1:26" ht="18.75" hidden="1">
      <c r="A645" s="1429"/>
      <c r="B645" s="1300"/>
      <c r="C645" s="1301"/>
      <c r="D645" s="1014"/>
      <c r="E645" s="1069" t="s">
        <v>276</v>
      </c>
      <c r="F645" s="1014"/>
      <c r="G645" s="1007"/>
      <c r="H645" s="762" t="s">
        <v>34</v>
      </c>
      <c r="I645" s="880">
        <v>0</v>
      </c>
      <c r="J645" s="880">
        <f ca="1">IFERROR(__xludf.DUMMYFUNCTION("IMPORTRANGE(""https://docs.google.com/spreadsheets/d/1XWAQStnk-4SwqDmLtmXYiTMKHgktTP8We1SCoS47DrQ/edit?usp=sharing"",""จัดที่ดิน!AS80"")"),0)</f>
        <v>0</v>
      </c>
      <c r="K645" s="998">
        <f t="shared" si="271"/>
        <v>0</v>
      </c>
      <c r="L645" s="998"/>
      <c r="M645" s="998"/>
      <c r="N645" s="881"/>
      <c r="O645" s="998"/>
      <c r="P645" s="998"/>
      <c r="Q645" s="1302"/>
      <c r="R645" s="1302"/>
      <c r="S645" s="1302"/>
      <c r="T645" s="1302"/>
      <c r="U645" s="1302"/>
      <c r="V645" s="1302"/>
      <c r="W645" s="1302"/>
      <c r="X645" s="1302"/>
      <c r="Y645" s="1302"/>
      <c r="Z645" s="1302"/>
    </row>
    <row r="646" spans="1:26" ht="18.75" hidden="1">
      <c r="A646" s="1429"/>
      <c r="B646" s="1300"/>
      <c r="C646" s="1301"/>
      <c r="D646" s="1014"/>
      <c r="E646" s="1014"/>
      <c r="F646" s="1014"/>
      <c r="G646" s="1007"/>
      <c r="H646" s="762" t="s">
        <v>46</v>
      </c>
      <c r="I646" s="880">
        <v>0</v>
      </c>
      <c r="J646" s="880">
        <f ca="1">IFERROR(__xludf.DUMMYFUNCTION("IMPORTRANGE(""https://docs.google.com/spreadsheets/d/1XWAQStnk-4SwqDmLtmXYiTMKHgktTP8We1SCoS47DrQ/edit?usp=sharing"",""จัดที่ดิน!AT80"")"),0)</f>
        <v>0</v>
      </c>
      <c r="K646" s="881">
        <f t="shared" si="271"/>
        <v>0</v>
      </c>
      <c r="L646" s="998"/>
      <c r="M646" s="998"/>
      <c r="N646" s="881"/>
      <c r="O646" s="998"/>
      <c r="P646" s="998"/>
      <c r="Q646" s="1302"/>
      <c r="R646" s="1302"/>
      <c r="S646" s="1302"/>
      <c r="T646" s="1302"/>
      <c r="U646" s="1302"/>
      <c r="V646" s="1302"/>
      <c r="W646" s="1302"/>
      <c r="X646" s="1302"/>
      <c r="Y646" s="1302"/>
      <c r="Z646" s="1302"/>
    </row>
    <row r="647" spans="1:26" ht="18.75" hidden="1">
      <c r="A647" s="1429"/>
      <c r="B647" s="1300"/>
      <c r="C647" s="1301"/>
      <c r="D647" s="1014"/>
      <c r="E647" s="1069" t="s">
        <v>162</v>
      </c>
      <c r="F647" s="1014"/>
      <c r="G647" s="1007"/>
      <c r="H647" s="762" t="s">
        <v>35</v>
      </c>
      <c r="I647" s="880">
        <f ca="1">IFERROR(__xludf.DUMMYFUNCTION("IMPORTRANGE(""https://docs.google.com/spreadsheets/d/1QqKyyYR6Q21VydFLVH3TRQUabQu_ym0Zz7PgGX0-kHA/edit?usp=sharing"",""แผน!HS80"")"),0)</f>
        <v>0</v>
      </c>
      <c r="J647" s="880">
        <f ca="1">IFERROR(__xludf.DUMMYFUNCTION("IMPORTRANGE(""https://docs.google.com/spreadsheets/d/1XWAQStnk-4SwqDmLtmXYiTMKHgktTP8We1SCoS47DrQ/edit?usp=sharing"",""จัดที่ดิน!AU80"")"),0)</f>
        <v>0</v>
      </c>
      <c r="K647" s="998">
        <f t="shared" ca="1" si="271"/>
        <v>0</v>
      </c>
      <c r="L647" s="998"/>
      <c r="M647" s="998"/>
      <c r="N647" s="998"/>
      <c r="O647" s="998"/>
      <c r="P647" s="998"/>
      <c r="Q647" s="1302"/>
      <c r="R647" s="1302"/>
      <c r="S647" s="1302"/>
      <c r="T647" s="1302"/>
      <c r="U647" s="1302"/>
      <c r="V647" s="1302"/>
      <c r="W647" s="1302"/>
      <c r="X647" s="1302"/>
      <c r="Y647" s="1302"/>
      <c r="Z647" s="1302"/>
    </row>
    <row r="648" spans="1:26" ht="18.75" hidden="1">
      <c r="A648" s="1429"/>
      <c r="B648" s="1300"/>
      <c r="C648" s="1301"/>
      <c r="D648" s="1014"/>
      <c r="E648" s="1014"/>
      <c r="F648" s="1014"/>
      <c r="G648" s="1007"/>
      <c r="H648" s="762" t="s">
        <v>46</v>
      </c>
      <c r="I648" s="880">
        <v>0</v>
      </c>
      <c r="J648" s="880">
        <f ca="1">IFERROR(__xludf.DUMMYFUNCTION("IMPORTRANGE(""https://docs.google.com/spreadsheets/d/1XWAQStnk-4SwqDmLtmXYiTMKHgktTP8We1SCoS47DrQ/edit?usp=sharing"",""จัดที่ดิน!AV80"")"),0)</f>
        <v>0</v>
      </c>
      <c r="K648" s="881">
        <f t="shared" si="271"/>
        <v>0</v>
      </c>
      <c r="L648" s="998"/>
      <c r="M648" s="998"/>
      <c r="N648" s="998"/>
      <c r="O648" s="998"/>
      <c r="P648" s="998"/>
      <c r="Q648" s="1302"/>
      <c r="R648" s="1302"/>
      <c r="S648" s="1302"/>
      <c r="T648" s="1302"/>
      <c r="U648" s="1302"/>
      <c r="V648" s="1302"/>
      <c r="W648" s="1302"/>
      <c r="X648" s="1302"/>
      <c r="Y648" s="1302"/>
      <c r="Z648" s="1302"/>
    </row>
    <row r="649" spans="1:26" ht="18.75" hidden="1">
      <c r="A649" s="1429"/>
      <c r="B649" s="1300"/>
      <c r="C649" s="1301"/>
      <c r="D649" s="1014"/>
      <c r="E649" s="1069" t="s">
        <v>277</v>
      </c>
      <c r="F649" s="1014"/>
      <c r="G649" s="1007"/>
      <c r="H649" s="762" t="s">
        <v>35</v>
      </c>
      <c r="I649" s="880">
        <f ca="1">IFERROR(__xludf.DUMMYFUNCTION("IMPORTRANGE(""https://docs.google.com/spreadsheets/d/1QqKyyYR6Q21VydFLVH3TRQUabQu_ym0Zz7PgGX0-kHA/edit?usp=sharing"",""แผน!HS80"")"),0)</f>
        <v>0</v>
      </c>
      <c r="J649" s="880">
        <f ca="1">IFERROR(__xludf.DUMMYFUNCTION("IMPORTRANGE(""https://docs.google.com/spreadsheets/d/1XWAQStnk-4SwqDmLtmXYiTMKHgktTP8We1SCoS47DrQ/edit?usp=sharing"",""จัดที่ดิน!AW80"")"),0)</f>
        <v>0</v>
      </c>
      <c r="K649" s="998">
        <f t="shared" ca="1" si="271"/>
        <v>0</v>
      </c>
      <c r="L649" s="998"/>
      <c r="M649" s="998"/>
      <c r="N649" s="998"/>
      <c r="O649" s="998"/>
      <c r="P649" s="998"/>
      <c r="Q649" s="1302"/>
      <c r="R649" s="1302"/>
      <c r="S649" s="1302"/>
      <c r="T649" s="1302"/>
      <c r="U649" s="1302"/>
      <c r="V649" s="1302"/>
      <c r="W649" s="1302"/>
      <c r="X649" s="1302"/>
      <c r="Y649" s="1302"/>
      <c r="Z649" s="1302"/>
    </row>
    <row r="650" spans="1:26" ht="18.75" hidden="1">
      <c r="A650" s="1429"/>
      <c r="B650" s="1300"/>
      <c r="C650" s="1301"/>
      <c r="D650" s="1014"/>
      <c r="E650" s="1014"/>
      <c r="F650" s="1014"/>
      <c r="G650" s="1007"/>
      <c r="H650" s="762" t="s">
        <v>46</v>
      </c>
      <c r="I650" s="880">
        <v>0</v>
      </c>
      <c r="J650" s="880">
        <f ca="1">IFERROR(__xludf.DUMMYFUNCTION("IMPORTRANGE(""https://docs.google.com/spreadsheets/d/1XWAQStnk-4SwqDmLtmXYiTMKHgktTP8We1SCoS47DrQ/edit?usp=sharing"",""จัดที่ดิน!AX80"")"),0)</f>
        <v>0</v>
      </c>
      <c r="K650" s="881">
        <f t="shared" si="271"/>
        <v>0</v>
      </c>
      <c r="L650" s="998"/>
      <c r="M650" s="998"/>
      <c r="N650" s="998"/>
      <c r="O650" s="998"/>
      <c r="P650" s="998"/>
      <c r="Q650" s="1302"/>
      <c r="R650" s="1302"/>
      <c r="S650" s="1302"/>
      <c r="T650" s="1302"/>
      <c r="U650" s="1302"/>
      <c r="V650" s="1302"/>
      <c r="W650" s="1302"/>
      <c r="X650" s="1302"/>
      <c r="Y650" s="1302"/>
      <c r="Z650" s="1302"/>
    </row>
    <row r="651" spans="1:26" ht="18.75" hidden="1">
      <c r="A651" s="1429"/>
      <c r="B651" s="1300"/>
      <c r="C651" s="1301"/>
      <c r="D651" s="1014"/>
      <c r="E651" s="1069" t="s">
        <v>278</v>
      </c>
      <c r="F651" s="1014"/>
      <c r="G651" s="1007"/>
      <c r="H651" s="762" t="s">
        <v>35</v>
      </c>
      <c r="I651" s="880">
        <f ca="1">IFERROR(__xludf.DUMMYFUNCTION("IMPORTRANGE(""https://docs.google.com/spreadsheets/d/1QqKyyYR6Q21VydFLVH3TRQUabQu_ym0Zz7PgGX0-kHA/edit?usp=sharing"",""แผน!HS80"")"),0)</f>
        <v>0</v>
      </c>
      <c r="J651" s="880">
        <f ca="1">IFERROR(__xludf.DUMMYFUNCTION("IMPORTRANGE(""https://docs.google.com/spreadsheets/d/1XWAQStnk-4SwqDmLtmXYiTMKHgktTP8We1SCoS47DrQ/edit?usp=sharing"",""จัดที่ดิน!AY80"")"),0)</f>
        <v>0</v>
      </c>
      <c r="K651" s="998">
        <f t="shared" ca="1" si="271"/>
        <v>0</v>
      </c>
      <c r="L651" s="998"/>
      <c r="M651" s="998"/>
      <c r="N651" s="998"/>
      <c r="O651" s="998"/>
      <c r="P651" s="998"/>
      <c r="Q651" s="1302"/>
      <c r="R651" s="1302"/>
      <c r="S651" s="1302"/>
      <c r="T651" s="1302"/>
      <c r="U651" s="1302"/>
      <c r="V651" s="1302"/>
      <c r="W651" s="1302"/>
      <c r="X651" s="1302"/>
      <c r="Y651" s="1302"/>
      <c r="Z651" s="1302"/>
    </row>
    <row r="652" spans="1:26" ht="18.75" hidden="1">
      <c r="A652" s="1430"/>
      <c r="B652" s="1431"/>
      <c r="C652" s="1432"/>
      <c r="D652" s="1169"/>
      <c r="E652" s="1169"/>
      <c r="F652" s="1169"/>
      <c r="G652" s="1422"/>
      <c r="H652" s="504" t="s">
        <v>46</v>
      </c>
      <c r="I652" s="1138">
        <v>0</v>
      </c>
      <c r="J652" s="1138">
        <f ca="1">IFERROR(__xludf.DUMMYFUNCTION("IMPORTRANGE(""https://docs.google.com/spreadsheets/d/1XWAQStnk-4SwqDmLtmXYiTMKHgktTP8We1SCoS47DrQ/edit?usp=sharing"",""จัดที่ดิน!AZ80"")"),0)</f>
        <v>0</v>
      </c>
      <c r="K652" s="1239">
        <f t="shared" si="271"/>
        <v>0</v>
      </c>
      <c r="L652" s="1139"/>
      <c r="M652" s="1139"/>
      <c r="N652" s="1139"/>
      <c r="O652" s="1139"/>
      <c r="P652" s="1139"/>
      <c r="Q652" s="1302"/>
      <c r="R652" s="1302"/>
      <c r="S652" s="1302"/>
      <c r="T652" s="1302"/>
      <c r="U652" s="1302"/>
      <c r="V652" s="1302"/>
      <c r="W652" s="1302"/>
      <c r="X652" s="1302"/>
      <c r="Y652" s="1302"/>
      <c r="Z652" s="1302"/>
    </row>
    <row r="653" spans="1:26" ht="19.5">
      <c r="A653" s="748">
        <v>8</v>
      </c>
      <c r="B653" s="1423" t="s">
        <v>279</v>
      </c>
      <c r="C653" s="1424"/>
      <c r="D653" s="1424"/>
      <c r="E653" s="1424"/>
      <c r="F653" s="1424"/>
      <c r="G653" s="1425"/>
      <c r="H653" s="1425"/>
      <c r="I653" s="1433"/>
      <c r="J653" s="1433"/>
      <c r="K653" s="1428"/>
      <c r="L653" s="1428"/>
      <c r="M653" s="1428"/>
      <c r="N653" s="1428"/>
      <c r="O653" s="1428"/>
      <c r="P653" s="1428"/>
      <c r="Q653" s="1302"/>
      <c r="R653" s="1302"/>
      <c r="S653" s="1302"/>
      <c r="T653" s="1302"/>
      <c r="U653" s="1302"/>
      <c r="V653" s="1302"/>
      <c r="W653" s="1302"/>
      <c r="X653" s="1302"/>
      <c r="Y653" s="1302"/>
      <c r="Z653" s="1302"/>
    </row>
    <row r="654" spans="1:26" ht="19.5">
      <c r="A654" s="1375"/>
      <c r="B654" s="1374" t="s">
        <v>280</v>
      </c>
      <c r="C654" s="1375"/>
      <c r="D654" s="1375"/>
      <c r="E654" s="1375"/>
      <c r="F654" s="1375"/>
      <c r="G654" s="1376"/>
      <c r="H654" s="705" t="s">
        <v>46</v>
      </c>
      <c r="I654" s="1377">
        <f t="shared" ref="I654:J654" ca="1" si="272">I669</f>
        <v>50</v>
      </c>
      <c r="J654" s="1377">
        <f t="shared" si="272"/>
        <v>0</v>
      </c>
      <c r="K654" s="1378">
        <f ca="1">IF(I654&gt;0,J654*100/I654,0)</f>
        <v>0</v>
      </c>
      <c r="L654" s="1379"/>
      <c r="M654" s="1379"/>
      <c r="N654" s="1379"/>
      <c r="O654" s="1379"/>
      <c r="P654" s="1379"/>
      <c r="Q654" s="1302"/>
      <c r="R654" s="1302"/>
      <c r="S654" s="1302"/>
      <c r="T654" s="1302"/>
      <c r="U654" s="1302"/>
      <c r="V654" s="1302"/>
      <c r="W654" s="1302"/>
      <c r="X654" s="1302"/>
      <c r="Y654" s="1302"/>
      <c r="Z654" s="1302"/>
    </row>
    <row r="655" spans="1:26" ht="19.5">
      <c r="A655" s="1317"/>
      <c r="B655" s="1301"/>
      <c r="C655" s="1301" t="s">
        <v>16</v>
      </c>
      <c r="D655" s="1318" t="s">
        <v>17</v>
      </c>
      <c r="E655" s="841"/>
      <c r="F655" s="841"/>
      <c r="G655" s="1016"/>
      <c r="H655" s="597" t="s">
        <v>12</v>
      </c>
      <c r="I655" s="880"/>
      <c r="J655" s="880"/>
      <c r="K655" s="881"/>
      <c r="L655" s="1020">
        <f t="shared" ref="L655:N655" ca="1" si="273">L656+L657</f>
        <v>11000</v>
      </c>
      <c r="M655" s="1020">
        <f t="shared" ca="1" si="273"/>
        <v>11000</v>
      </c>
      <c r="N655" s="1020">
        <f t="shared" si="273"/>
        <v>6616</v>
      </c>
      <c r="O655" s="1020">
        <f t="shared" ref="O655:O660" ca="1" si="274">IF(L655&gt;0,N655*100/L655,0)</f>
        <v>60.145454545454548</v>
      </c>
      <c r="P655" s="1020">
        <f t="shared" ref="P655:P660" ca="1" si="275">IF(M655&gt;0,N655*100/M655,0)</f>
        <v>60.145454545454548</v>
      </c>
      <c r="Q655" s="1302"/>
      <c r="R655" s="1302"/>
      <c r="S655" s="1302"/>
      <c r="T655" s="1302"/>
      <c r="U655" s="1302"/>
      <c r="V655" s="1302"/>
      <c r="W655" s="1302"/>
      <c r="X655" s="1302"/>
      <c r="Y655" s="1302"/>
      <c r="Z655" s="1302"/>
    </row>
    <row r="656" spans="1:26" ht="18.75" hidden="1">
      <c r="A656" s="1319"/>
      <c r="B656" s="1320"/>
      <c r="C656" s="1320"/>
      <c r="D656" s="1321"/>
      <c r="E656" s="1320" t="s">
        <v>185</v>
      </c>
      <c r="F656" s="1320"/>
      <c r="G656" s="1322"/>
      <c r="H656" s="165" t="s">
        <v>12</v>
      </c>
      <c r="I656" s="886"/>
      <c r="J656" s="886"/>
      <c r="K656" s="887"/>
      <c r="L656" s="887">
        <f t="shared" ref="L656:N657" si="276">L659+L666</f>
        <v>0</v>
      </c>
      <c r="M656" s="887">
        <f t="shared" si="276"/>
        <v>0</v>
      </c>
      <c r="N656" s="887">
        <f t="shared" si="276"/>
        <v>0</v>
      </c>
      <c r="O656" s="887">
        <f t="shared" si="274"/>
        <v>0</v>
      </c>
      <c r="P656" s="887">
        <f t="shared" si="275"/>
        <v>0</v>
      </c>
      <c r="Q656" s="1323"/>
      <c r="R656" s="1323"/>
      <c r="S656" s="1323"/>
      <c r="T656" s="1323"/>
      <c r="U656" s="1323"/>
      <c r="V656" s="1323"/>
      <c r="W656" s="1323"/>
      <c r="X656" s="1323"/>
      <c r="Y656" s="1323"/>
      <c r="Z656" s="1323"/>
    </row>
    <row r="657" spans="1:26" ht="18.75" hidden="1">
      <c r="A657" s="1319"/>
      <c r="B657" s="1324"/>
      <c r="C657" s="1320"/>
      <c r="D657" s="1321"/>
      <c r="E657" s="1320" t="s">
        <v>186</v>
      </c>
      <c r="F657" s="1320"/>
      <c r="G657" s="1322"/>
      <c r="H657" s="165" t="s">
        <v>12</v>
      </c>
      <c r="I657" s="886"/>
      <c r="J657" s="886"/>
      <c r="K657" s="887"/>
      <c r="L657" s="887">
        <f t="shared" ca="1" si="276"/>
        <v>11000</v>
      </c>
      <c r="M657" s="887">
        <f t="shared" ca="1" si="276"/>
        <v>11000</v>
      </c>
      <c r="N657" s="887">
        <f t="shared" si="276"/>
        <v>6616</v>
      </c>
      <c r="O657" s="887">
        <f t="shared" ca="1" si="274"/>
        <v>60.145454545454548</v>
      </c>
      <c r="P657" s="887">
        <f t="shared" ca="1" si="275"/>
        <v>60.145454545454548</v>
      </c>
      <c r="Q657" s="1323"/>
      <c r="R657" s="1323"/>
      <c r="S657" s="1323"/>
      <c r="T657" s="1323"/>
      <c r="U657" s="1323"/>
      <c r="V657" s="1323"/>
      <c r="W657" s="1323"/>
      <c r="X657" s="1323"/>
      <c r="Y657" s="1323"/>
      <c r="Z657" s="1323"/>
    </row>
    <row r="658" spans="1:26" ht="18.75">
      <c r="A658" s="1317"/>
      <c r="B658" s="1300"/>
      <c r="C658" s="1301"/>
      <c r="D658" s="1325" t="s">
        <v>20</v>
      </c>
      <c r="E658" s="1301"/>
      <c r="F658" s="1301"/>
      <c r="G658" s="1016"/>
      <c r="H658" s="161" t="s">
        <v>12</v>
      </c>
      <c r="I658" s="997"/>
      <c r="J658" s="997"/>
      <c r="K658" s="998"/>
      <c r="L658" s="881">
        <f t="shared" ref="L658:N658" ca="1" si="277">L659+L660</f>
        <v>11000</v>
      </c>
      <c r="M658" s="881">
        <f t="shared" ca="1" si="277"/>
        <v>11000</v>
      </c>
      <c r="N658" s="881">
        <f t="shared" si="277"/>
        <v>6616</v>
      </c>
      <c r="O658" s="881">
        <f t="shared" ca="1" si="274"/>
        <v>60.145454545454548</v>
      </c>
      <c r="P658" s="881">
        <f t="shared" ca="1" si="275"/>
        <v>60.145454545454548</v>
      </c>
      <c r="Q658" s="1302"/>
      <c r="R658" s="1302"/>
      <c r="S658" s="1302"/>
      <c r="T658" s="1302"/>
      <c r="U658" s="1302"/>
      <c r="V658" s="1302"/>
      <c r="W658" s="1302"/>
      <c r="X658" s="1302"/>
      <c r="Y658" s="1302"/>
      <c r="Z658" s="1302"/>
    </row>
    <row r="659" spans="1:26" ht="18.75" hidden="1">
      <c r="A659" s="1319"/>
      <c r="B659" s="1324"/>
      <c r="C659" s="1320"/>
      <c r="D659" s="1321"/>
      <c r="E659" s="1320" t="s">
        <v>185</v>
      </c>
      <c r="F659" s="1320"/>
      <c r="G659" s="1322"/>
      <c r="H659" s="165" t="s">
        <v>12</v>
      </c>
      <c r="I659" s="886"/>
      <c r="J659" s="886"/>
      <c r="K659" s="887"/>
      <c r="L659" s="887">
        <v>0</v>
      </c>
      <c r="M659" s="887">
        <v>0</v>
      </c>
      <c r="N659" s="887">
        <v>0</v>
      </c>
      <c r="O659" s="887">
        <f t="shared" si="274"/>
        <v>0</v>
      </c>
      <c r="P659" s="887">
        <f t="shared" si="275"/>
        <v>0</v>
      </c>
      <c r="Q659" s="1323"/>
      <c r="R659" s="1323"/>
      <c r="S659" s="1323"/>
      <c r="T659" s="1323"/>
      <c r="U659" s="1323"/>
      <c r="V659" s="1323"/>
      <c r="W659" s="1323"/>
      <c r="X659" s="1323"/>
      <c r="Y659" s="1323"/>
      <c r="Z659" s="1323"/>
    </row>
    <row r="660" spans="1:26" ht="18.75" hidden="1">
      <c r="A660" s="1319"/>
      <c r="B660" s="1324"/>
      <c r="C660" s="1320"/>
      <c r="D660" s="1321"/>
      <c r="E660" s="1320" t="s">
        <v>186</v>
      </c>
      <c r="F660" s="1320"/>
      <c r="G660" s="1322"/>
      <c r="H660" s="165" t="s">
        <v>12</v>
      </c>
      <c r="I660" s="886"/>
      <c r="J660" s="886"/>
      <c r="K660" s="887"/>
      <c r="L660" s="887">
        <f ca="1">IFERROR(__xludf.DUMMYFUNCTION("IMPORTRANGE(""https://docs.google.com/spreadsheets/d/1QqKyyYR6Q21VydFLVH3TRQUabQu_ym0Zz7PgGX0-kHA/edit?usp=sharing"",""แผน!HV80"")"),11000)</f>
        <v>11000</v>
      </c>
      <c r="M660" s="887">
        <f ca="1">L660</f>
        <v>11000</v>
      </c>
      <c r="N660" s="887">
        <f>N661+N662+N663+N664</f>
        <v>6616</v>
      </c>
      <c r="O660" s="887">
        <f t="shared" ca="1" si="274"/>
        <v>60.145454545454548</v>
      </c>
      <c r="P660" s="887">
        <f t="shared" ca="1" si="275"/>
        <v>60.145454545454548</v>
      </c>
      <c r="Q660" s="1323"/>
      <c r="R660" s="1323"/>
      <c r="S660" s="1323"/>
      <c r="T660" s="1323"/>
      <c r="U660" s="1323"/>
      <c r="V660" s="1323"/>
      <c r="W660" s="1323"/>
      <c r="X660" s="1323"/>
      <c r="Y660" s="1323"/>
      <c r="Z660" s="1323"/>
    </row>
    <row r="661" spans="1:26" ht="18.75">
      <c r="A661" s="1299"/>
      <c r="B661" s="1300"/>
      <c r="C661" s="1301"/>
      <c r="D661" s="1301"/>
      <c r="E661" s="1301"/>
      <c r="F661" s="1301" t="s">
        <v>187</v>
      </c>
      <c r="G661" s="1016"/>
      <c r="H661" s="161" t="s">
        <v>12</v>
      </c>
      <c r="I661" s="880"/>
      <c r="J661" s="880"/>
      <c r="K661" s="881"/>
      <c r="L661" s="881"/>
      <c r="M661" s="881"/>
      <c r="N661" s="1085">
        <v>0</v>
      </c>
      <c r="O661" s="881"/>
      <c r="P661" s="881"/>
      <c r="Q661" s="1302"/>
      <c r="R661" s="1302"/>
      <c r="S661" s="1302"/>
      <c r="T661" s="1302"/>
      <c r="U661" s="1302"/>
      <c r="V661" s="1302"/>
      <c r="W661" s="1302"/>
      <c r="X661" s="1302"/>
      <c r="Y661" s="1302"/>
      <c r="Z661" s="1302"/>
    </row>
    <row r="662" spans="1:26" ht="18.75">
      <c r="A662" s="1299"/>
      <c r="B662" s="1300"/>
      <c r="C662" s="1301"/>
      <c r="D662" s="1301"/>
      <c r="E662" s="1301"/>
      <c r="F662" s="1301" t="s">
        <v>188</v>
      </c>
      <c r="G662" s="1016"/>
      <c r="H662" s="161" t="s">
        <v>12</v>
      </c>
      <c r="I662" s="880"/>
      <c r="J662" s="880"/>
      <c r="K662" s="881"/>
      <c r="L662" s="881"/>
      <c r="M662" s="881"/>
      <c r="N662" s="1085">
        <v>0</v>
      </c>
      <c r="O662" s="881"/>
      <c r="P662" s="881"/>
      <c r="Q662" s="1302"/>
      <c r="R662" s="1302"/>
      <c r="S662" s="1302"/>
      <c r="T662" s="1302"/>
      <c r="U662" s="1302"/>
      <c r="V662" s="1302"/>
      <c r="W662" s="1302"/>
      <c r="X662" s="1302"/>
      <c r="Y662" s="1302"/>
      <c r="Z662" s="1302"/>
    </row>
    <row r="663" spans="1:26" ht="18.75">
      <c r="A663" s="1299"/>
      <c r="B663" s="1300"/>
      <c r="C663" s="1300"/>
      <c r="D663" s="1301"/>
      <c r="E663" s="1301"/>
      <c r="F663" s="1301" t="s">
        <v>189</v>
      </c>
      <c r="G663" s="1016"/>
      <c r="H663" s="161" t="s">
        <v>12</v>
      </c>
      <c r="I663" s="880"/>
      <c r="J663" s="880"/>
      <c r="K663" s="881"/>
      <c r="L663" s="881"/>
      <c r="M663" s="881"/>
      <c r="N663" s="1085">
        <v>0</v>
      </c>
      <c r="O663" s="881"/>
      <c r="P663" s="881"/>
      <c r="Q663" s="1302"/>
      <c r="R663" s="1302"/>
      <c r="S663" s="1302"/>
      <c r="T663" s="1302"/>
      <c r="U663" s="1302"/>
      <c r="V663" s="1302"/>
      <c r="W663" s="1302"/>
      <c r="X663" s="1302"/>
      <c r="Y663" s="1302"/>
      <c r="Z663" s="1302"/>
    </row>
    <row r="664" spans="1:26" ht="18.75">
      <c r="A664" s="1299"/>
      <c r="B664" s="1300"/>
      <c r="C664" s="1300"/>
      <c r="D664" s="1300"/>
      <c r="E664" s="1301"/>
      <c r="F664" s="1301" t="s">
        <v>190</v>
      </c>
      <c r="G664" s="1016"/>
      <c r="H664" s="161" t="s">
        <v>12</v>
      </c>
      <c r="I664" s="880"/>
      <c r="J664" s="880"/>
      <c r="K664" s="881"/>
      <c r="L664" s="881"/>
      <c r="M664" s="881"/>
      <c r="N664" s="1085">
        <v>6616</v>
      </c>
      <c r="O664" s="881"/>
      <c r="P664" s="881"/>
      <c r="Q664" s="1302"/>
      <c r="R664" s="1302"/>
      <c r="S664" s="1302"/>
      <c r="T664" s="1302"/>
      <c r="U664" s="1302"/>
      <c r="V664" s="1302"/>
      <c r="W664" s="1302"/>
      <c r="X664" s="1302"/>
      <c r="Y664" s="1302"/>
      <c r="Z664" s="1302"/>
    </row>
    <row r="665" spans="1:26" ht="18.75">
      <c r="A665" s="1317"/>
      <c r="B665" s="1300"/>
      <c r="C665" s="1300"/>
      <c r="D665" s="1325" t="s">
        <v>21</v>
      </c>
      <c r="E665" s="1301"/>
      <c r="F665" s="1301"/>
      <c r="G665" s="1016"/>
      <c r="H665" s="168" t="s">
        <v>12</v>
      </c>
      <c r="I665" s="997"/>
      <c r="J665" s="997"/>
      <c r="K665" s="998"/>
      <c r="L665" s="881">
        <f t="shared" ref="L665:N665" si="278">L666+L667</f>
        <v>0</v>
      </c>
      <c r="M665" s="881">
        <f t="shared" si="278"/>
        <v>0</v>
      </c>
      <c r="N665" s="881">
        <f t="shared" si="278"/>
        <v>0</v>
      </c>
      <c r="O665" s="881">
        <f t="shared" ref="O665:O667" si="279">IF(L665&gt;0,N665*100/L665,0)</f>
        <v>0</v>
      </c>
      <c r="P665" s="881">
        <f t="shared" ref="P665:P667" si="280">IF(M665&gt;0,N665*100/M665,0)</f>
        <v>0</v>
      </c>
      <c r="Q665" s="1302"/>
      <c r="R665" s="1302"/>
      <c r="S665" s="1302"/>
      <c r="T665" s="1302"/>
      <c r="U665" s="1302"/>
      <c r="V665" s="1302"/>
      <c r="W665" s="1302"/>
      <c r="X665" s="1302"/>
      <c r="Y665" s="1302"/>
      <c r="Z665" s="1302"/>
    </row>
    <row r="666" spans="1:26" ht="18.75" hidden="1">
      <c r="A666" s="1319"/>
      <c r="B666" s="1324"/>
      <c r="C666" s="1324"/>
      <c r="D666" s="1324"/>
      <c r="E666" s="1320" t="s">
        <v>18</v>
      </c>
      <c r="F666" s="1320"/>
      <c r="G666" s="1322"/>
      <c r="H666" s="165" t="s">
        <v>12</v>
      </c>
      <c r="I666" s="1000"/>
      <c r="J666" s="1000"/>
      <c r="K666" s="1001"/>
      <c r="L666" s="887">
        <v>0</v>
      </c>
      <c r="M666" s="887">
        <v>0</v>
      </c>
      <c r="N666" s="887">
        <v>0</v>
      </c>
      <c r="O666" s="887">
        <f t="shared" si="279"/>
        <v>0</v>
      </c>
      <c r="P666" s="887">
        <f t="shared" si="280"/>
        <v>0</v>
      </c>
      <c r="Q666" s="1323"/>
      <c r="R666" s="1323"/>
      <c r="S666" s="1323"/>
      <c r="T666" s="1323"/>
      <c r="U666" s="1323"/>
      <c r="V666" s="1323"/>
      <c r="W666" s="1323"/>
      <c r="X666" s="1323"/>
      <c r="Y666" s="1323"/>
      <c r="Z666" s="1323"/>
    </row>
    <row r="667" spans="1:26" ht="18.75" hidden="1">
      <c r="A667" s="1319"/>
      <c r="B667" s="1324"/>
      <c r="C667" s="1324"/>
      <c r="D667" s="1324"/>
      <c r="E667" s="1320" t="s">
        <v>19</v>
      </c>
      <c r="F667" s="1320"/>
      <c r="G667" s="1322"/>
      <c r="H667" s="169" t="s">
        <v>12</v>
      </c>
      <c r="I667" s="1000"/>
      <c r="J667" s="1000"/>
      <c r="K667" s="1001"/>
      <c r="L667" s="887">
        <v>0</v>
      </c>
      <c r="M667" s="887">
        <v>0</v>
      </c>
      <c r="N667" s="887">
        <v>0</v>
      </c>
      <c r="O667" s="887">
        <f t="shared" si="279"/>
        <v>0</v>
      </c>
      <c r="P667" s="887">
        <f t="shared" si="280"/>
        <v>0</v>
      </c>
      <c r="Q667" s="1323"/>
      <c r="R667" s="1323"/>
      <c r="S667" s="1323"/>
      <c r="T667" s="1323"/>
      <c r="U667" s="1323"/>
      <c r="V667" s="1323"/>
      <c r="W667" s="1323"/>
      <c r="X667" s="1323"/>
      <c r="Y667" s="1323"/>
      <c r="Z667" s="1323"/>
    </row>
    <row r="668" spans="1:26" ht="19.5">
      <c r="A668" s="1326"/>
      <c r="B668" s="1327"/>
      <c r="C668" s="1300" t="s">
        <v>16</v>
      </c>
      <c r="D668" s="1328" t="s">
        <v>38</v>
      </c>
      <c r="E668" s="1330"/>
      <c r="F668" s="1330"/>
      <c r="G668" s="1331"/>
      <c r="H668" s="1007"/>
      <c r="I668" s="997"/>
      <c r="J668" s="997"/>
      <c r="K668" s="998"/>
      <c r="L668" s="998"/>
      <c r="M668" s="998"/>
      <c r="N668" s="998"/>
      <c r="O668" s="998"/>
      <c r="P668" s="998"/>
      <c r="Q668" s="1302"/>
      <c r="R668" s="1302"/>
      <c r="S668" s="1302"/>
      <c r="T668" s="1302"/>
      <c r="U668" s="1302"/>
      <c r="V668" s="1302"/>
      <c r="W668" s="1302"/>
      <c r="X668" s="1302"/>
      <c r="Y668" s="1302"/>
      <c r="Z668" s="1302"/>
    </row>
    <row r="669" spans="1:26" ht="19.5">
      <c r="A669" s="1326"/>
      <c r="B669" s="1327"/>
      <c r="C669" s="1327"/>
      <c r="D669" s="1327" t="s">
        <v>281</v>
      </c>
      <c r="E669" s="1014"/>
      <c r="F669" s="1014"/>
      <c r="G669" s="1007"/>
      <c r="H669" s="765" t="s">
        <v>46</v>
      </c>
      <c r="I669" s="1019">
        <f ca="1">IFERROR(__xludf.DUMMYFUNCTION("IMPORTRANGE(""https://docs.google.com/spreadsheets/d/1QqKyyYR6Q21VydFLVH3TRQUabQu_ym0Zz7PgGX0-kHA/edit?usp=sharing"",""แผน!IA80"")"),50)</f>
        <v>50</v>
      </c>
      <c r="J669" s="1019">
        <f>J675</f>
        <v>0</v>
      </c>
      <c r="K669" s="1020">
        <f ca="1">IF(I669&gt;0,J669*100/I669,0)</f>
        <v>0</v>
      </c>
      <c r="L669" s="998"/>
      <c r="M669" s="998"/>
      <c r="N669" s="998"/>
      <c r="O669" s="998"/>
      <c r="P669" s="998"/>
      <c r="Q669" s="1302"/>
      <c r="R669" s="1302"/>
      <c r="S669" s="1302"/>
      <c r="T669" s="1302"/>
      <c r="U669" s="1302"/>
      <c r="V669" s="1302"/>
      <c r="W669" s="1302"/>
      <c r="X669" s="1302"/>
      <c r="Y669" s="1302"/>
      <c r="Z669" s="1302"/>
    </row>
    <row r="670" spans="1:26" ht="18.75">
      <c r="A670" s="1326"/>
      <c r="B670" s="1327"/>
      <c r="C670" s="1327"/>
      <c r="D670" s="1327"/>
      <c r="E670" s="1014" t="s">
        <v>282</v>
      </c>
      <c r="F670" s="1014"/>
      <c r="G670" s="1007"/>
      <c r="H670" s="762" t="s">
        <v>66</v>
      </c>
      <c r="I670" s="880">
        <f ca="1">IFERROR(__xludf.DUMMYFUNCTION("IMPORTRANGE(""https://docs.google.com/spreadsheets/d/1QqKyyYR6Q21VydFLVH3TRQUabQu_ym0Zz7PgGX0-kHA/edit?usp=sharing"",""แผน!HZ80"")"),5)</f>
        <v>5</v>
      </c>
      <c r="J670" s="1012">
        <v>5</v>
      </c>
      <c r="K670" s="881">
        <f ca="1">IF(I670&gt;0,(J670*100)/I670,0)</f>
        <v>100</v>
      </c>
      <c r="L670" s="998"/>
      <c r="M670" s="998"/>
      <c r="N670" s="998"/>
      <c r="O670" s="998"/>
      <c r="P670" s="998"/>
      <c r="Q670" s="1302"/>
      <c r="R670" s="1302"/>
      <c r="S670" s="1302"/>
      <c r="T670" s="1302"/>
      <c r="U670" s="1302"/>
      <c r="V670" s="1302"/>
      <c r="W670" s="1302"/>
      <c r="X670" s="1302"/>
      <c r="Y670" s="1302"/>
      <c r="Z670" s="1302"/>
    </row>
    <row r="671" spans="1:26" ht="18.75">
      <c r="A671" s="1326"/>
      <c r="B671" s="1327"/>
      <c r="C671" s="1327"/>
      <c r="D671" s="1327"/>
      <c r="E671" s="1014" t="s">
        <v>283</v>
      </c>
      <c r="F671" s="1014"/>
      <c r="G671" s="1007"/>
      <c r="H671" s="762" t="s">
        <v>66</v>
      </c>
      <c r="I671" s="880">
        <f ca="1">IFERROR(__xludf.DUMMYFUNCTION("IMPORTRANGE(""https://docs.google.com/spreadsheets/d/1QqKyyYR6Q21VydFLVH3TRQUabQu_ym0Zz7PgGX0-kHA/edit?usp=sharing"",""แผน!HZ80"")"),5)</f>
        <v>5</v>
      </c>
      <c r="J671" s="1012">
        <v>5</v>
      </c>
      <c r="K671" s="881">
        <f ca="1">IF(I$671&gt;0,J671*100/I$671,0)</f>
        <v>100</v>
      </c>
      <c r="L671" s="998"/>
      <c r="M671" s="998"/>
      <c r="N671" s="998"/>
      <c r="O671" s="998"/>
      <c r="P671" s="998"/>
      <c r="Q671" s="1302"/>
      <c r="R671" s="1302"/>
      <c r="S671" s="1302"/>
      <c r="T671" s="1302"/>
      <c r="U671" s="1302"/>
      <c r="V671" s="1302"/>
      <c r="W671" s="1302"/>
      <c r="X671" s="1302"/>
      <c r="Y671" s="1302"/>
      <c r="Z671" s="1302"/>
    </row>
    <row r="672" spans="1:26" ht="18.75">
      <c r="A672" s="1326"/>
      <c r="B672" s="1327"/>
      <c r="C672" s="1327"/>
      <c r="D672" s="1327"/>
      <c r="E672" s="1014" t="s">
        <v>284</v>
      </c>
      <c r="F672" s="1014"/>
      <c r="G672" s="1007"/>
      <c r="H672" s="762" t="s">
        <v>46</v>
      </c>
      <c r="I672" s="880"/>
      <c r="J672" s="1012">
        <v>0</v>
      </c>
      <c r="K672" s="881">
        <f t="shared" ref="K672:K675" ca="1" si="281">IF(I$669&gt;0,J672*100/I$669,0)</f>
        <v>0</v>
      </c>
      <c r="L672" s="998"/>
      <c r="M672" s="998"/>
      <c r="N672" s="998"/>
      <c r="O672" s="998"/>
      <c r="P672" s="998"/>
      <c r="Q672" s="1302"/>
      <c r="R672" s="1302"/>
      <c r="S672" s="1302"/>
      <c r="T672" s="1302"/>
      <c r="U672" s="1302"/>
      <c r="V672" s="1302"/>
      <c r="W672" s="1302"/>
      <c r="X672" s="1302"/>
      <c r="Y672" s="1302"/>
      <c r="Z672" s="1302"/>
    </row>
    <row r="673" spans="1:26" ht="18.75">
      <c r="A673" s="1326"/>
      <c r="B673" s="1327"/>
      <c r="C673" s="1327"/>
      <c r="D673" s="1327"/>
      <c r="E673" s="1014" t="s">
        <v>285</v>
      </c>
      <c r="F673" s="1014"/>
      <c r="G673" s="1007"/>
      <c r="H673" s="762" t="s">
        <v>46</v>
      </c>
      <c r="I673" s="880"/>
      <c r="J673" s="1012">
        <v>0</v>
      </c>
      <c r="K673" s="881">
        <f t="shared" ca="1" si="281"/>
        <v>0</v>
      </c>
      <c r="L673" s="998"/>
      <c r="M673" s="998"/>
      <c r="N673" s="998"/>
      <c r="O673" s="998"/>
      <c r="P673" s="998"/>
      <c r="Q673" s="1302"/>
      <c r="R673" s="1302"/>
      <c r="S673" s="1302"/>
      <c r="T673" s="1302"/>
      <c r="U673" s="1302"/>
      <c r="V673" s="1302"/>
      <c r="W673" s="1302"/>
      <c r="X673" s="1302"/>
      <c r="Y673" s="1302"/>
      <c r="Z673" s="1302"/>
    </row>
    <row r="674" spans="1:26" ht="18.75">
      <c r="A674" s="1326"/>
      <c r="B674" s="1327"/>
      <c r="C674" s="1327"/>
      <c r="D674" s="1327"/>
      <c r="E674" s="1014" t="s">
        <v>286</v>
      </c>
      <c r="F674" s="1014"/>
      <c r="G674" s="1007"/>
      <c r="H674" s="762" t="s">
        <v>46</v>
      </c>
      <c r="I674" s="880"/>
      <c r="J674" s="1012">
        <v>0</v>
      </c>
      <c r="K674" s="881">
        <f t="shared" ca="1" si="281"/>
        <v>0</v>
      </c>
      <c r="L674" s="998"/>
      <c r="M674" s="998"/>
      <c r="N674" s="998"/>
      <c r="O674" s="998"/>
      <c r="P674" s="998"/>
      <c r="Q674" s="1302"/>
      <c r="R674" s="1302"/>
      <c r="S674" s="1302"/>
      <c r="T674" s="1302"/>
      <c r="U674" s="1302"/>
      <c r="V674" s="1302"/>
      <c r="W674" s="1302"/>
      <c r="X674" s="1302"/>
      <c r="Y674" s="1302"/>
      <c r="Z674" s="1302"/>
    </row>
    <row r="675" spans="1:26" ht="19.5">
      <c r="A675" s="1326"/>
      <c r="B675" s="1327"/>
      <c r="C675" s="1327"/>
      <c r="D675" s="1327"/>
      <c r="E675" s="1014" t="s">
        <v>287</v>
      </c>
      <c r="F675" s="1014"/>
      <c r="G675" s="1007"/>
      <c r="H675" s="762" t="s">
        <v>46</v>
      </c>
      <c r="I675" s="880"/>
      <c r="J675" s="1019">
        <f>J676+J677</f>
        <v>0</v>
      </c>
      <c r="K675" s="1020">
        <f t="shared" ca="1" si="281"/>
        <v>0</v>
      </c>
      <c r="L675" s="998"/>
      <c r="M675" s="998"/>
      <c r="N675" s="998"/>
      <c r="O675" s="998"/>
      <c r="P675" s="998"/>
      <c r="Q675" s="1302"/>
      <c r="R675" s="1302"/>
      <c r="S675" s="1302"/>
      <c r="T675" s="1302"/>
      <c r="U675" s="1302"/>
      <c r="V675" s="1302"/>
      <c r="W675" s="1302"/>
      <c r="X675" s="1302"/>
      <c r="Y675" s="1302"/>
      <c r="Z675" s="1302"/>
    </row>
    <row r="676" spans="1:26" ht="18.75">
      <c r="A676" s="1326"/>
      <c r="B676" s="1327"/>
      <c r="C676" s="1327"/>
      <c r="D676" s="1327"/>
      <c r="E676" s="1014"/>
      <c r="F676" s="1014" t="s">
        <v>288</v>
      </c>
      <c r="G676" s="1007"/>
      <c r="H676" s="762" t="s">
        <v>46</v>
      </c>
      <c r="I676" s="880"/>
      <c r="J676" s="1012">
        <v>0</v>
      </c>
      <c r="K676" s="881"/>
      <c r="L676" s="998"/>
      <c r="M676" s="998"/>
      <c r="N676" s="998"/>
      <c r="O676" s="998"/>
      <c r="P676" s="998"/>
      <c r="Q676" s="1302"/>
      <c r="R676" s="1302"/>
      <c r="S676" s="1302"/>
      <c r="T676" s="1302"/>
      <c r="U676" s="1302"/>
      <c r="V676" s="1302"/>
      <c r="W676" s="1302"/>
      <c r="X676" s="1302"/>
      <c r="Y676" s="1302"/>
      <c r="Z676" s="1302"/>
    </row>
    <row r="677" spans="1:26" ht="18.75">
      <c r="A677" s="1326"/>
      <c r="B677" s="1327"/>
      <c r="C677" s="1327"/>
      <c r="D677" s="1327"/>
      <c r="E677" s="1014"/>
      <c r="F677" s="1014" t="s">
        <v>289</v>
      </c>
      <c r="G677" s="1007"/>
      <c r="H677" s="762" t="s">
        <v>46</v>
      </c>
      <c r="I677" s="880"/>
      <c r="J677" s="1012">
        <v>0</v>
      </c>
      <c r="K677" s="881"/>
      <c r="L677" s="998"/>
      <c r="M677" s="998"/>
      <c r="N677" s="998"/>
      <c r="O677" s="998"/>
      <c r="P677" s="998"/>
      <c r="Q677" s="1302"/>
      <c r="R677" s="1302"/>
      <c r="S677" s="1302"/>
      <c r="T677" s="1302"/>
      <c r="U677" s="1302"/>
      <c r="V677" s="1302"/>
      <c r="W677" s="1302"/>
      <c r="X677" s="1302"/>
      <c r="Y677" s="1302"/>
      <c r="Z677" s="1302"/>
    </row>
    <row r="678" spans="1:26" ht="19.5">
      <c r="A678" s="1326"/>
      <c r="B678" s="1327"/>
      <c r="C678" s="1327"/>
      <c r="D678" s="1327" t="s">
        <v>290</v>
      </c>
      <c r="E678" s="1014"/>
      <c r="F678" s="1014"/>
      <c r="G678" s="1007"/>
      <c r="H678" s="762" t="s">
        <v>46</v>
      </c>
      <c r="I678" s="1019">
        <f ca="1">IFERROR(__xludf.DUMMYFUNCTION("IMPORTRANGE(""https://docs.google.com/spreadsheets/d/1QqKyyYR6Q21VydFLVH3TRQUabQu_ym0Zz7PgGX0-kHA/edit?usp=sharing"",""แผน!IB80"")"),0)</f>
        <v>0</v>
      </c>
      <c r="J678" s="1019">
        <f>J679</f>
        <v>0</v>
      </c>
      <c r="K678" s="1020">
        <f ca="1">IF(I678&gt;0,J678*100/I678,0)</f>
        <v>0</v>
      </c>
      <c r="L678" s="998"/>
      <c r="M678" s="998"/>
      <c r="N678" s="998"/>
      <c r="O678" s="998"/>
      <c r="P678" s="998"/>
      <c r="Q678" s="1302"/>
      <c r="R678" s="1302"/>
      <c r="S678" s="1302"/>
      <c r="T678" s="1302"/>
      <c r="U678" s="1302"/>
      <c r="V678" s="1302"/>
      <c r="W678" s="1302"/>
      <c r="X678" s="1302"/>
      <c r="Y678" s="1302"/>
      <c r="Z678" s="1302"/>
    </row>
    <row r="679" spans="1:26" ht="18.75">
      <c r="A679" s="1326"/>
      <c r="B679" s="1327"/>
      <c r="C679" s="1327"/>
      <c r="D679" s="1327"/>
      <c r="E679" s="1014" t="s">
        <v>291</v>
      </c>
      <c r="F679" s="1014"/>
      <c r="G679" s="1007"/>
      <c r="H679" s="762" t="s">
        <v>46</v>
      </c>
      <c r="I679" s="880"/>
      <c r="J679" s="880">
        <f>J680+J681</f>
        <v>0</v>
      </c>
      <c r="K679" s="881"/>
      <c r="L679" s="998"/>
      <c r="M679" s="998"/>
      <c r="N679" s="998"/>
      <c r="O679" s="998"/>
      <c r="P679" s="998"/>
      <c r="Q679" s="1302"/>
      <c r="R679" s="1302"/>
      <c r="S679" s="1302"/>
      <c r="T679" s="1302"/>
      <c r="U679" s="1302"/>
      <c r="V679" s="1302"/>
      <c r="W679" s="1302"/>
      <c r="X679" s="1302"/>
      <c r="Y679" s="1302"/>
      <c r="Z679" s="1302"/>
    </row>
    <row r="680" spans="1:26" ht="18.75">
      <c r="A680" s="1326"/>
      <c r="B680" s="1327"/>
      <c r="C680" s="1327"/>
      <c r="D680" s="1327"/>
      <c r="E680" s="1014"/>
      <c r="F680" s="1014" t="s">
        <v>288</v>
      </c>
      <c r="G680" s="1007"/>
      <c r="H680" s="762" t="s">
        <v>46</v>
      </c>
      <c r="I680" s="880"/>
      <c r="J680" s="1012">
        <v>0</v>
      </c>
      <c r="K680" s="881"/>
      <c r="L680" s="998"/>
      <c r="M680" s="998"/>
      <c r="N680" s="998"/>
      <c r="O680" s="998"/>
      <c r="P680" s="998"/>
      <c r="Q680" s="1302"/>
      <c r="R680" s="1302"/>
      <c r="S680" s="1302"/>
      <c r="T680" s="1302"/>
      <c r="U680" s="1302"/>
      <c r="V680" s="1302"/>
      <c r="W680" s="1302"/>
      <c r="X680" s="1302"/>
      <c r="Y680" s="1302"/>
      <c r="Z680" s="1302"/>
    </row>
    <row r="681" spans="1:26" ht="18.75">
      <c r="A681" s="1326"/>
      <c r="B681" s="1327"/>
      <c r="C681" s="1327"/>
      <c r="D681" s="1327"/>
      <c r="E681" s="1014"/>
      <c r="F681" s="1014" t="s">
        <v>289</v>
      </c>
      <c r="G681" s="1007"/>
      <c r="H681" s="762" t="s">
        <v>46</v>
      </c>
      <c r="I681" s="880"/>
      <c r="J681" s="1012">
        <v>0</v>
      </c>
      <c r="K681" s="881"/>
      <c r="L681" s="998"/>
      <c r="M681" s="998"/>
      <c r="N681" s="998"/>
      <c r="O681" s="998"/>
      <c r="P681" s="998"/>
      <c r="Q681" s="1302"/>
      <c r="R681" s="1302"/>
      <c r="S681" s="1302"/>
      <c r="T681" s="1302"/>
      <c r="U681" s="1302"/>
      <c r="V681" s="1302"/>
      <c r="W681" s="1302"/>
      <c r="X681" s="1302"/>
      <c r="Y681" s="1302"/>
      <c r="Z681" s="1302"/>
    </row>
    <row r="682" spans="1:26" ht="18.75">
      <c r="A682" s="1326"/>
      <c r="B682" s="1327"/>
      <c r="C682" s="1327"/>
      <c r="D682" s="1327"/>
      <c r="E682" s="1014" t="s">
        <v>292</v>
      </c>
      <c r="F682" s="1014"/>
      <c r="G682" s="1007"/>
      <c r="H682" s="762" t="s">
        <v>46</v>
      </c>
      <c r="I682" s="880"/>
      <c r="J682" s="1012">
        <v>0</v>
      </c>
      <c r="K682" s="881"/>
      <c r="L682" s="998"/>
      <c r="M682" s="998"/>
      <c r="N682" s="998"/>
      <c r="O682" s="998"/>
      <c r="P682" s="998"/>
      <c r="Q682" s="1302"/>
      <c r="R682" s="1302"/>
      <c r="S682" s="1302"/>
      <c r="T682" s="1302"/>
      <c r="U682" s="1302"/>
      <c r="V682" s="1302"/>
      <c r="W682" s="1302"/>
      <c r="X682" s="1302"/>
      <c r="Y682" s="1302"/>
      <c r="Z682" s="1302"/>
    </row>
    <row r="683" spans="1:26" ht="18.75">
      <c r="A683" s="1326"/>
      <c r="B683" s="1327"/>
      <c r="C683" s="1327"/>
      <c r="D683" s="1327"/>
      <c r="E683" s="1014"/>
      <c r="F683" s="1014" t="s">
        <v>293</v>
      </c>
      <c r="G683" s="1007"/>
      <c r="H683" s="762" t="s">
        <v>46</v>
      </c>
      <c r="I683" s="880"/>
      <c r="J683" s="1012">
        <v>0</v>
      </c>
      <c r="K683" s="881"/>
      <c r="L683" s="998"/>
      <c r="M683" s="998"/>
      <c r="N683" s="998"/>
      <c r="O683" s="998"/>
      <c r="P683" s="998"/>
      <c r="Q683" s="1302"/>
      <c r="R683" s="1302"/>
      <c r="S683" s="1302"/>
      <c r="T683" s="1302"/>
      <c r="U683" s="1302"/>
      <c r="V683" s="1302"/>
      <c r="W683" s="1302"/>
      <c r="X683" s="1302"/>
      <c r="Y683" s="1302"/>
      <c r="Z683" s="1302"/>
    </row>
    <row r="684" spans="1:26" ht="19.5">
      <c r="A684" s="1434"/>
      <c r="B684" s="1435" t="s">
        <v>294</v>
      </c>
      <c r="C684" s="1434"/>
      <c r="D684" s="1434"/>
      <c r="E684" s="1434"/>
      <c r="F684" s="1434"/>
      <c r="G684" s="1436"/>
      <c r="H684" s="1436"/>
      <c r="I684" s="1437"/>
      <c r="J684" s="1437"/>
      <c r="K684" s="1438"/>
      <c r="L684" s="1438"/>
      <c r="M684" s="1438"/>
      <c r="N684" s="1438"/>
      <c r="O684" s="1438"/>
      <c r="P684" s="1438"/>
      <c r="Q684" s="1302"/>
      <c r="R684" s="1302"/>
      <c r="S684" s="1302"/>
      <c r="T684" s="1302"/>
      <c r="U684" s="1302"/>
      <c r="V684" s="1302"/>
      <c r="W684" s="1302"/>
      <c r="X684" s="1302"/>
      <c r="Y684" s="1302"/>
      <c r="Z684" s="1302"/>
    </row>
    <row r="685" spans="1:26" ht="19.5">
      <c r="A685" s="1317"/>
      <c r="B685" s="1301"/>
      <c r="C685" s="1301" t="s">
        <v>16</v>
      </c>
      <c r="D685" s="1318" t="s">
        <v>17</v>
      </c>
      <c r="E685" s="841"/>
      <c r="F685" s="841"/>
      <c r="G685" s="1016"/>
      <c r="H685" s="597" t="s">
        <v>12</v>
      </c>
      <c r="I685" s="880"/>
      <c r="J685" s="880"/>
      <c r="K685" s="881"/>
      <c r="L685" s="1020">
        <f t="shared" ref="L685:N685" ca="1" si="282">L686+L687</f>
        <v>23560</v>
      </c>
      <c r="M685" s="1020">
        <f t="shared" ca="1" si="282"/>
        <v>23560</v>
      </c>
      <c r="N685" s="1020">
        <f t="shared" si="282"/>
        <v>1000</v>
      </c>
      <c r="O685" s="1020">
        <f t="shared" ref="O685:O688" ca="1" si="283">IF(L685&gt;0,N685*100/L685,0)</f>
        <v>4.2444821731748723</v>
      </c>
      <c r="P685" s="1020">
        <f t="shared" ref="P685:P688" ca="1" si="284">IF(M685&gt;0,N685*100/M685,0)</f>
        <v>4.2444821731748723</v>
      </c>
      <c r="Q685" s="1302"/>
      <c r="R685" s="1302"/>
      <c r="S685" s="1302"/>
      <c r="T685" s="1302"/>
      <c r="U685" s="1302"/>
      <c r="V685" s="1302"/>
      <c r="W685" s="1302"/>
      <c r="X685" s="1302"/>
      <c r="Y685" s="1302"/>
      <c r="Z685" s="1302"/>
    </row>
    <row r="686" spans="1:26" ht="18.75" hidden="1">
      <c r="A686" s="1319"/>
      <c r="B686" s="1320"/>
      <c r="C686" s="1320"/>
      <c r="D686" s="1321"/>
      <c r="E686" s="1320" t="s">
        <v>185</v>
      </c>
      <c r="F686" s="1320"/>
      <c r="G686" s="1322"/>
      <c r="H686" s="165" t="s">
        <v>12</v>
      </c>
      <c r="I686" s="886"/>
      <c r="J686" s="886"/>
      <c r="K686" s="887"/>
      <c r="L686" s="887">
        <f t="shared" ref="L686:N687" si="285">L689+L696</f>
        <v>0</v>
      </c>
      <c r="M686" s="887">
        <f t="shared" si="285"/>
        <v>0</v>
      </c>
      <c r="N686" s="887">
        <f t="shared" si="285"/>
        <v>0</v>
      </c>
      <c r="O686" s="887">
        <f t="shared" si="283"/>
        <v>0</v>
      </c>
      <c r="P686" s="887">
        <f t="shared" si="284"/>
        <v>0</v>
      </c>
      <c r="Q686" s="1323"/>
      <c r="R686" s="1323"/>
      <c r="S686" s="1323"/>
      <c r="T686" s="1323"/>
      <c r="U686" s="1323"/>
      <c r="V686" s="1323"/>
      <c r="W686" s="1323"/>
      <c r="X686" s="1323"/>
      <c r="Y686" s="1323"/>
      <c r="Z686" s="1323"/>
    </row>
    <row r="687" spans="1:26" ht="18.75" hidden="1">
      <c r="A687" s="1319"/>
      <c r="B687" s="1324"/>
      <c r="C687" s="1320"/>
      <c r="D687" s="1321"/>
      <c r="E687" s="1320" t="s">
        <v>186</v>
      </c>
      <c r="F687" s="1320"/>
      <c r="G687" s="1322"/>
      <c r="H687" s="165" t="s">
        <v>12</v>
      </c>
      <c r="I687" s="886"/>
      <c r="J687" s="886"/>
      <c r="K687" s="887"/>
      <c r="L687" s="887">
        <f t="shared" ca="1" si="285"/>
        <v>23560</v>
      </c>
      <c r="M687" s="887">
        <f t="shared" ca="1" si="285"/>
        <v>23560</v>
      </c>
      <c r="N687" s="887">
        <f t="shared" si="285"/>
        <v>1000</v>
      </c>
      <c r="O687" s="887">
        <f t="shared" ca="1" si="283"/>
        <v>4.2444821731748723</v>
      </c>
      <c r="P687" s="887">
        <f t="shared" ca="1" si="284"/>
        <v>4.2444821731748723</v>
      </c>
      <c r="Q687" s="1323"/>
      <c r="R687" s="1323"/>
      <c r="S687" s="1323"/>
      <c r="T687" s="1323"/>
      <c r="U687" s="1323"/>
      <c r="V687" s="1323"/>
      <c r="W687" s="1323"/>
      <c r="X687" s="1323"/>
      <c r="Y687" s="1323"/>
      <c r="Z687" s="1323"/>
    </row>
    <row r="688" spans="1:26" ht="18.75">
      <c r="A688" s="1317"/>
      <c r="B688" s="1300"/>
      <c r="C688" s="1301"/>
      <c r="D688" s="1325" t="s">
        <v>20</v>
      </c>
      <c r="E688" s="1301"/>
      <c r="F688" s="1301"/>
      <c r="G688" s="1016"/>
      <c r="H688" s="161" t="s">
        <v>12</v>
      </c>
      <c r="I688" s="997"/>
      <c r="J688" s="997"/>
      <c r="K688" s="998"/>
      <c r="L688" s="881">
        <f t="shared" ref="L688:N688" ca="1" si="286">L689+L690</f>
        <v>23560</v>
      </c>
      <c r="M688" s="881">
        <f t="shared" ca="1" si="286"/>
        <v>23560</v>
      </c>
      <c r="N688" s="881">
        <f t="shared" si="286"/>
        <v>1000</v>
      </c>
      <c r="O688" s="881">
        <f t="shared" ca="1" si="283"/>
        <v>4.2444821731748723</v>
      </c>
      <c r="P688" s="881">
        <f t="shared" ca="1" si="284"/>
        <v>4.2444821731748723</v>
      </c>
      <c r="Q688" s="1302"/>
      <c r="R688" s="1302"/>
      <c r="S688" s="1302"/>
      <c r="T688" s="1302"/>
      <c r="U688" s="1302"/>
      <c r="V688" s="1302"/>
      <c r="W688" s="1302"/>
      <c r="X688" s="1302"/>
      <c r="Y688" s="1302"/>
      <c r="Z688" s="1302"/>
    </row>
    <row r="689" spans="1:26" ht="18.75" hidden="1">
      <c r="A689" s="1319"/>
      <c r="B689" s="1324"/>
      <c r="C689" s="1320"/>
      <c r="D689" s="1321"/>
      <c r="E689" s="1320" t="s">
        <v>185</v>
      </c>
      <c r="F689" s="1320"/>
      <c r="G689" s="1322"/>
      <c r="H689" s="165" t="s">
        <v>12</v>
      </c>
      <c r="I689" s="886"/>
      <c r="J689" s="886"/>
      <c r="K689" s="887"/>
      <c r="L689" s="887">
        <v>0</v>
      </c>
      <c r="M689" s="887">
        <v>0</v>
      </c>
      <c r="N689" s="887">
        <v>0</v>
      </c>
      <c r="O689" s="887"/>
      <c r="P689" s="887"/>
      <c r="Q689" s="1323"/>
      <c r="R689" s="1323"/>
      <c r="S689" s="1323"/>
      <c r="T689" s="1323"/>
      <c r="U689" s="1323"/>
      <c r="V689" s="1323"/>
      <c r="W689" s="1323"/>
      <c r="X689" s="1323"/>
      <c r="Y689" s="1323"/>
      <c r="Z689" s="1323"/>
    </row>
    <row r="690" spans="1:26" ht="18.75" hidden="1">
      <c r="A690" s="1319"/>
      <c r="B690" s="1324"/>
      <c r="C690" s="1320"/>
      <c r="D690" s="1321"/>
      <c r="E690" s="1320" t="s">
        <v>186</v>
      </c>
      <c r="F690" s="1320"/>
      <c r="G690" s="1322"/>
      <c r="H690" s="165" t="s">
        <v>12</v>
      </c>
      <c r="I690" s="886"/>
      <c r="J690" s="886"/>
      <c r="K690" s="887"/>
      <c r="L690" s="887">
        <f ca="1">IFERROR(__xludf.DUMMYFUNCTION("IMPORTRANGE(""https://docs.google.com/spreadsheets/d/1QqKyyYR6Q21VydFLVH3TRQUabQu_ym0Zz7PgGX0-kHA/edit?usp=sharing"",""แผน!HW80"")"),23560)</f>
        <v>23560</v>
      </c>
      <c r="M690" s="887">
        <f ca="1">L690</f>
        <v>23560</v>
      </c>
      <c r="N690" s="887">
        <f>N691+N692+N693+N694</f>
        <v>1000</v>
      </c>
      <c r="O690" s="887">
        <f ca="1">IF(L690&gt;0,N690*100/L690,0)</f>
        <v>4.2444821731748723</v>
      </c>
      <c r="P690" s="887">
        <f ca="1">IF(M690&gt;0,N690*100/M690,0)</f>
        <v>4.2444821731748723</v>
      </c>
      <c r="Q690" s="1323"/>
      <c r="R690" s="1323"/>
      <c r="S690" s="1323"/>
      <c r="T690" s="1323"/>
      <c r="U690" s="1323"/>
      <c r="V690" s="1323"/>
      <c r="W690" s="1323"/>
      <c r="X690" s="1323"/>
      <c r="Y690" s="1323"/>
      <c r="Z690" s="1323"/>
    </row>
    <row r="691" spans="1:26" ht="18.75">
      <c r="A691" s="1299"/>
      <c r="B691" s="1300"/>
      <c r="C691" s="1301"/>
      <c r="D691" s="1301"/>
      <c r="E691" s="1301"/>
      <c r="F691" s="1301" t="s">
        <v>187</v>
      </c>
      <c r="G691" s="1016"/>
      <c r="H691" s="161" t="s">
        <v>12</v>
      </c>
      <c r="I691" s="880"/>
      <c r="J691" s="880"/>
      <c r="K691" s="881"/>
      <c r="L691" s="881"/>
      <c r="M691" s="881"/>
      <c r="N691" s="1085">
        <v>0</v>
      </c>
      <c r="O691" s="881"/>
      <c r="P691" s="881"/>
      <c r="Q691" s="1302"/>
      <c r="R691" s="1302"/>
      <c r="S691" s="1302"/>
      <c r="T691" s="1302"/>
      <c r="U691" s="1302"/>
      <c r="V691" s="1302"/>
      <c r="W691" s="1302"/>
      <c r="X691" s="1302"/>
      <c r="Y691" s="1302"/>
      <c r="Z691" s="1302"/>
    </row>
    <row r="692" spans="1:26" ht="18.75">
      <c r="A692" s="1299"/>
      <c r="B692" s="1300"/>
      <c r="C692" s="1301"/>
      <c r="D692" s="1301"/>
      <c r="E692" s="1301"/>
      <c r="F692" s="1301" t="s">
        <v>188</v>
      </c>
      <c r="G692" s="1016"/>
      <c r="H692" s="161" t="s">
        <v>12</v>
      </c>
      <c r="I692" s="880"/>
      <c r="J692" s="880"/>
      <c r="K692" s="881"/>
      <c r="L692" s="881"/>
      <c r="M692" s="881"/>
      <c r="N692" s="1085">
        <v>0</v>
      </c>
      <c r="O692" s="881"/>
      <c r="P692" s="881"/>
      <c r="Q692" s="1302"/>
      <c r="R692" s="1302"/>
      <c r="S692" s="1302"/>
      <c r="T692" s="1302"/>
      <c r="U692" s="1302"/>
      <c r="V692" s="1302"/>
      <c r="W692" s="1302"/>
      <c r="X692" s="1302"/>
      <c r="Y692" s="1302"/>
      <c r="Z692" s="1302"/>
    </row>
    <row r="693" spans="1:26" ht="18.75">
      <c r="A693" s="1299"/>
      <c r="B693" s="1300"/>
      <c r="C693" s="1301"/>
      <c r="D693" s="1301"/>
      <c r="E693" s="1301"/>
      <c r="F693" s="1301" t="s">
        <v>189</v>
      </c>
      <c r="G693" s="1016"/>
      <c r="H693" s="161" t="s">
        <v>12</v>
      </c>
      <c r="I693" s="880"/>
      <c r="J693" s="880"/>
      <c r="K693" s="881"/>
      <c r="L693" s="881"/>
      <c r="M693" s="881"/>
      <c r="N693" s="1085">
        <v>0</v>
      </c>
      <c r="O693" s="881"/>
      <c r="P693" s="881"/>
      <c r="Q693" s="1302"/>
      <c r="R693" s="1302"/>
      <c r="S693" s="1302"/>
      <c r="T693" s="1302"/>
      <c r="U693" s="1302"/>
      <c r="V693" s="1302"/>
      <c r="W693" s="1302"/>
      <c r="X693" s="1302"/>
      <c r="Y693" s="1302"/>
      <c r="Z693" s="1302"/>
    </row>
    <row r="694" spans="1:26" ht="18.75">
      <c r="A694" s="1299"/>
      <c r="B694" s="1300"/>
      <c r="C694" s="1301"/>
      <c r="D694" s="1301"/>
      <c r="E694" s="1301"/>
      <c r="F694" s="1301" t="s">
        <v>190</v>
      </c>
      <c r="G694" s="1016"/>
      <c r="H694" s="161" t="s">
        <v>12</v>
      </c>
      <c r="I694" s="880"/>
      <c r="J694" s="880"/>
      <c r="K694" s="881"/>
      <c r="L694" s="881"/>
      <c r="M694" s="881"/>
      <c r="N694" s="1085">
        <v>1000</v>
      </c>
      <c r="O694" s="881"/>
      <c r="P694" s="881"/>
      <c r="Q694" s="1302"/>
      <c r="R694" s="1302"/>
      <c r="S694" s="1302"/>
      <c r="T694" s="1302"/>
      <c r="U694" s="1302"/>
      <c r="V694" s="1302"/>
      <c r="W694" s="1302"/>
      <c r="X694" s="1302"/>
      <c r="Y694" s="1302"/>
      <c r="Z694" s="1302"/>
    </row>
    <row r="695" spans="1:26" ht="18.75">
      <c r="A695" s="1317"/>
      <c r="B695" s="1300"/>
      <c r="C695" s="1301"/>
      <c r="D695" s="1325" t="s">
        <v>21</v>
      </c>
      <c r="E695" s="1301"/>
      <c r="F695" s="1301"/>
      <c r="G695" s="1016"/>
      <c r="H695" s="168" t="s">
        <v>12</v>
      </c>
      <c r="I695" s="997"/>
      <c r="J695" s="997"/>
      <c r="K695" s="998"/>
      <c r="L695" s="881">
        <f t="shared" ref="L695:N695" si="287">L696+L697</f>
        <v>0</v>
      </c>
      <c r="M695" s="881">
        <f t="shared" si="287"/>
        <v>0</v>
      </c>
      <c r="N695" s="881">
        <f t="shared" si="287"/>
        <v>0</v>
      </c>
      <c r="O695" s="881">
        <f t="shared" ref="O695:O697" si="288">IF(L695&gt;0,N695*100/L695,0)</f>
        <v>0</v>
      </c>
      <c r="P695" s="881">
        <f t="shared" ref="P695:P697" si="289">IF(M695&gt;0,N695*100/M695,0)</f>
        <v>0</v>
      </c>
      <c r="Q695" s="1302"/>
      <c r="R695" s="1302"/>
      <c r="S695" s="1302"/>
      <c r="T695" s="1302"/>
      <c r="U695" s="1302"/>
      <c r="V695" s="1302"/>
      <c r="W695" s="1302"/>
      <c r="X695" s="1302"/>
      <c r="Y695" s="1302"/>
      <c r="Z695" s="1302"/>
    </row>
    <row r="696" spans="1:26" ht="18.75" hidden="1">
      <c r="A696" s="1319"/>
      <c r="B696" s="1324"/>
      <c r="C696" s="1320"/>
      <c r="D696" s="1320"/>
      <c r="E696" s="1320" t="s">
        <v>18</v>
      </c>
      <c r="F696" s="1320"/>
      <c r="G696" s="1322"/>
      <c r="H696" s="165" t="s">
        <v>12</v>
      </c>
      <c r="I696" s="1000"/>
      <c r="J696" s="1000"/>
      <c r="K696" s="1001"/>
      <c r="L696" s="887">
        <v>0</v>
      </c>
      <c r="M696" s="887">
        <v>0</v>
      </c>
      <c r="N696" s="887">
        <v>0</v>
      </c>
      <c r="O696" s="887">
        <f t="shared" si="288"/>
        <v>0</v>
      </c>
      <c r="P696" s="887">
        <f t="shared" si="289"/>
        <v>0</v>
      </c>
      <c r="Q696" s="1323"/>
      <c r="R696" s="1323"/>
      <c r="S696" s="1323"/>
      <c r="T696" s="1323"/>
      <c r="U696" s="1323"/>
      <c r="V696" s="1323"/>
      <c r="W696" s="1323"/>
      <c r="X696" s="1323"/>
      <c r="Y696" s="1323"/>
      <c r="Z696" s="1323"/>
    </row>
    <row r="697" spans="1:26" ht="18.75" hidden="1">
      <c r="A697" s="1319"/>
      <c r="B697" s="1324"/>
      <c r="C697" s="1320"/>
      <c r="D697" s="1320"/>
      <c r="E697" s="1320" t="s">
        <v>19</v>
      </c>
      <c r="F697" s="1320"/>
      <c r="G697" s="1322"/>
      <c r="H697" s="169" t="s">
        <v>12</v>
      </c>
      <c r="I697" s="1000"/>
      <c r="J697" s="1000"/>
      <c r="K697" s="1001"/>
      <c r="L697" s="887">
        <v>0</v>
      </c>
      <c r="M697" s="887">
        <v>0</v>
      </c>
      <c r="N697" s="887">
        <v>0</v>
      </c>
      <c r="O697" s="887">
        <f t="shared" si="288"/>
        <v>0</v>
      </c>
      <c r="P697" s="887">
        <f t="shared" si="289"/>
        <v>0</v>
      </c>
      <c r="Q697" s="1323"/>
      <c r="R697" s="1323"/>
      <c r="S697" s="1323"/>
      <c r="T697" s="1323"/>
      <c r="U697" s="1323"/>
      <c r="V697" s="1323"/>
      <c r="W697" s="1323"/>
      <c r="X697" s="1323"/>
      <c r="Y697" s="1323"/>
      <c r="Z697" s="1323"/>
    </row>
    <row r="698" spans="1:26" ht="19.5">
      <c r="A698" s="1326"/>
      <c r="B698" s="1327"/>
      <c r="C698" s="1301" t="s">
        <v>16</v>
      </c>
      <c r="D698" s="1439" t="s">
        <v>38</v>
      </c>
      <c r="E698" s="1330"/>
      <c r="F698" s="1330"/>
      <c r="G698" s="1331"/>
      <c r="H698" s="1007"/>
      <c r="I698" s="997"/>
      <c r="J698" s="997"/>
      <c r="K698" s="998"/>
      <c r="L698" s="998"/>
      <c r="M698" s="998"/>
      <c r="N698" s="998"/>
      <c r="O698" s="998"/>
      <c r="P698" s="998"/>
      <c r="Q698" s="1302"/>
      <c r="R698" s="1302"/>
      <c r="S698" s="1302"/>
      <c r="T698" s="1302"/>
      <c r="U698" s="1302"/>
      <c r="V698" s="1302"/>
      <c r="W698" s="1302"/>
      <c r="X698" s="1302"/>
      <c r="Y698" s="1302"/>
      <c r="Z698" s="1302"/>
    </row>
    <row r="699" spans="1:26" ht="18.75">
      <c r="A699" s="1429"/>
      <c r="B699" s="1301"/>
      <c r="C699" s="1301"/>
      <c r="D699" s="1301" t="s">
        <v>295</v>
      </c>
      <c r="E699" s="1301"/>
      <c r="F699" s="1301"/>
      <c r="G699" s="1016"/>
      <c r="H699" s="762" t="s">
        <v>46</v>
      </c>
      <c r="I699" s="1440">
        <f ca="1">IFERROR(__xludf.DUMMYFUNCTION("IMPORTRANGE(""https://docs.google.com/spreadsheets/d/1QqKyyYR6Q21VydFLVH3TRQUabQu_ym0Zz7PgGX0-kHA/edit?usp=sharing"",""แผน!IC80"")"),0)</f>
        <v>0</v>
      </c>
      <c r="J699" s="880">
        <f ca="1">IFERROR(__xludf.DUMMYFUNCTION("IMPORTRANGE(""https://docs.google.com/spreadsheets/d/1XWAQStnk-4SwqDmLtmXYiTMKHgktTP8We1SCoS47DrQ/edit?usp=sharing"",""จัดที่ดิน!BB80"")"),0)</f>
        <v>0</v>
      </c>
      <c r="K699" s="881">
        <f t="shared" ref="K699:K701" ca="1" si="290">IF(I699&gt;0,J699*100/I699,0)</f>
        <v>0</v>
      </c>
      <c r="L699" s="881"/>
      <c r="M699" s="1016"/>
      <c r="N699" s="1441"/>
      <c r="O699" s="881"/>
      <c r="P699" s="881"/>
      <c r="Q699" s="1302"/>
      <c r="R699" s="1302"/>
      <c r="S699" s="1302"/>
      <c r="T699" s="1302"/>
      <c r="U699" s="1302"/>
      <c r="V699" s="1302"/>
      <c r="W699" s="1302"/>
      <c r="X699" s="1302"/>
      <c r="Y699" s="1302"/>
      <c r="Z699" s="1302"/>
    </row>
    <row r="700" spans="1:26" ht="18.75">
      <c r="A700" s="1429"/>
      <c r="B700" s="1301"/>
      <c r="C700" s="1301"/>
      <c r="D700" s="1301" t="s">
        <v>296</v>
      </c>
      <c r="E700" s="1301"/>
      <c r="F700" s="1301"/>
      <c r="G700" s="1016"/>
      <c r="H700" s="762" t="s">
        <v>35</v>
      </c>
      <c r="I700" s="1440">
        <f ca="1">IFERROR(__xludf.DUMMYFUNCTION("IMPORTRANGE(""https://docs.google.com/spreadsheets/d/1QqKyyYR6Q21VydFLVH3TRQUabQu_ym0Zz7PgGX0-kHA/edit?usp=sharing"",""แผน!ID80"")"),1)</f>
        <v>1</v>
      </c>
      <c r="J700" s="880">
        <f ca="1">IFERROR(__xludf.DUMMYFUNCTION("IMPORTRANGE(""https://docs.google.com/spreadsheets/d/1XWAQStnk-4SwqDmLtmXYiTMKHgktTP8We1SCoS47DrQ/edit?usp=sharing"",""จัดที่ดิน!BD80"")"),0)</f>
        <v>0</v>
      </c>
      <c r="K700" s="881">
        <f t="shared" ca="1" si="290"/>
        <v>0</v>
      </c>
      <c r="L700" s="881"/>
      <c r="M700" s="1016"/>
      <c r="N700" s="1441"/>
      <c r="O700" s="881"/>
      <c r="P700" s="881"/>
      <c r="Q700" s="1302"/>
      <c r="R700" s="1302"/>
      <c r="S700" s="1302"/>
      <c r="T700" s="1302"/>
      <c r="U700" s="1302"/>
      <c r="V700" s="1302"/>
      <c r="W700" s="1302"/>
      <c r="X700" s="1302"/>
      <c r="Y700" s="1302"/>
      <c r="Z700" s="1302"/>
    </row>
    <row r="701" spans="1:26" ht="19.5">
      <c r="A701" s="1429"/>
      <c r="B701" s="1301"/>
      <c r="C701" s="1301"/>
      <c r="D701" s="1301" t="s">
        <v>297</v>
      </c>
      <c r="E701" s="1301"/>
      <c r="F701" s="1301"/>
      <c r="G701" s="1016"/>
      <c r="H701" s="765" t="s">
        <v>46</v>
      </c>
      <c r="I701" s="1442">
        <f ca="1">IFERROR(__xludf.DUMMYFUNCTION("IMPORTRANGE(""https://docs.google.com/spreadsheets/d/1QqKyyYR6Q21VydFLVH3TRQUabQu_ym0Zz7PgGX0-kHA/edit?usp=sharing"",""แผน!IE80"")"),0)</f>
        <v>0</v>
      </c>
      <c r="J701" s="1019">
        <f>J704+J707</f>
        <v>0</v>
      </c>
      <c r="K701" s="1020">
        <f t="shared" ca="1" si="290"/>
        <v>0</v>
      </c>
      <c r="L701" s="881"/>
      <c r="M701" s="1016"/>
      <c r="N701" s="1441"/>
      <c r="O701" s="881"/>
      <c r="P701" s="881"/>
      <c r="Q701" s="1302"/>
      <c r="R701" s="1302"/>
      <c r="S701" s="1302"/>
      <c r="T701" s="1302"/>
      <c r="U701" s="1302"/>
      <c r="V701" s="1302"/>
      <c r="W701" s="1302"/>
      <c r="X701" s="1302"/>
      <c r="Y701" s="1302"/>
      <c r="Z701" s="1302"/>
    </row>
    <row r="702" spans="1:26" ht="18.75">
      <c r="A702" s="1429"/>
      <c r="B702" s="1301"/>
      <c r="C702" s="1301"/>
      <c r="D702" s="1301"/>
      <c r="E702" s="1301" t="s">
        <v>298</v>
      </c>
      <c r="F702" s="1301"/>
      <c r="G702" s="1016"/>
      <c r="H702" s="762" t="s">
        <v>35</v>
      </c>
      <c r="I702" s="1440"/>
      <c r="J702" s="1012">
        <v>0</v>
      </c>
      <c r="K702" s="881"/>
      <c r="L702" s="881"/>
      <c r="M702" s="1016"/>
      <c r="N702" s="1441"/>
      <c r="O702" s="881"/>
      <c r="P702" s="881"/>
      <c r="Q702" s="1302"/>
      <c r="R702" s="1302"/>
      <c r="S702" s="1302"/>
      <c r="T702" s="1302"/>
      <c r="U702" s="1302"/>
      <c r="V702" s="1302"/>
      <c r="W702" s="1302"/>
      <c r="X702" s="1302"/>
      <c r="Y702" s="1302"/>
      <c r="Z702" s="1302"/>
    </row>
    <row r="703" spans="1:26" ht="18.75">
      <c r="A703" s="1429"/>
      <c r="B703" s="1301"/>
      <c r="C703" s="1301"/>
      <c r="D703" s="1301"/>
      <c r="E703" s="1301"/>
      <c r="F703" s="1301"/>
      <c r="G703" s="1016"/>
      <c r="H703" s="762" t="s">
        <v>34</v>
      </c>
      <c r="I703" s="1440"/>
      <c r="J703" s="1012">
        <v>0</v>
      </c>
      <c r="K703" s="881"/>
      <c r="L703" s="881"/>
      <c r="M703" s="1016"/>
      <c r="N703" s="1441"/>
      <c r="O703" s="881"/>
      <c r="P703" s="881"/>
      <c r="Q703" s="1302"/>
      <c r="R703" s="1302"/>
      <c r="S703" s="1302"/>
      <c r="T703" s="1302"/>
      <c r="U703" s="1302"/>
      <c r="V703" s="1302"/>
      <c r="W703" s="1302"/>
      <c r="X703" s="1302"/>
      <c r="Y703" s="1302"/>
      <c r="Z703" s="1302"/>
    </row>
    <row r="704" spans="1:26" ht="18.75">
      <c r="A704" s="1429"/>
      <c r="B704" s="1301"/>
      <c r="C704" s="1301"/>
      <c r="D704" s="1301"/>
      <c r="E704" s="1301"/>
      <c r="F704" s="1301"/>
      <c r="G704" s="1016"/>
      <c r="H704" s="762" t="s">
        <v>46</v>
      </c>
      <c r="I704" s="1440">
        <f ca="1">IFERROR(__xludf.DUMMYFUNCTION("IMPORTRANGE(""https://docs.google.com/spreadsheets/d/1QqKyyYR6Q21VydFLVH3TRQUabQu_ym0Zz7PgGX0-kHA/edit?usp=sharing"",""แผน!IF80"")"),0)</f>
        <v>0</v>
      </c>
      <c r="J704" s="1012">
        <v>0</v>
      </c>
      <c r="K704" s="881"/>
      <c r="L704" s="881"/>
      <c r="M704" s="1016"/>
      <c r="N704" s="1441"/>
      <c r="O704" s="881"/>
      <c r="P704" s="881"/>
      <c r="Q704" s="1302"/>
      <c r="R704" s="1302"/>
      <c r="S704" s="1302"/>
      <c r="T704" s="1302"/>
      <c r="U704" s="1302"/>
      <c r="V704" s="1302"/>
      <c r="W704" s="1302"/>
      <c r="X704" s="1302"/>
      <c r="Y704" s="1302"/>
      <c r="Z704" s="1302"/>
    </row>
    <row r="705" spans="1:26" ht="18.75">
      <c r="A705" s="1429"/>
      <c r="B705" s="1301"/>
      <c r="C705" s="1301"/>
      <c r="D705" s="1301"/>
      <c r="E705" s="1301" t="s">
        <v>299</v>
      </c>
      <c r="F705" s="1301"/>
      <c r="G705" s="1016"/>
      <c r="H705" s="762" t="s">
        <v>35</v>
      </c>
      <c r="I705" s="1440"/>
      <c r="J705" s="1012">
        <v>0</v>
      </c>
      <c r="K705" s="881"/>
      <c r="L705" s="881"/>
      <c r="M705" s="1016"/>
      <c r="N705" s="1441"/>
      <c r="O705" s="881"/>
      <c r="P705" s="881"/>
      <c r="Q705" s="1302"/>
      <c r="R705" s="1302"/>
      <c r="S705" s="1302"/>
      <c r="T705" s="1302"/>
      <c r="U705" s="1302"/>
      <c r="V705" s="1302"/>
      <c r="W705" s="1302"/>
      <c r="X705" s="1302"/>
      <c r="Y705" s="1302"/>
      <c r="Z705" s="1302"/>
    </row>
    <row r="706" spans="1:26" ht="18.75">
      <c r="A706" s="1429"/>
      <c r="B706" s="1301"/>
      <c r="C706" s="1301"/>
      <c r="D706" s="1301"/>
      <c r="E706" s="1301"/>
      <c r="F706" s="1301"/>
      <c r="G706" s="1016"/>
      <c r="H706" s="762" t="s">
        <v>34</v>
      </c>
      <c r="I706" s="1440"/>
      <c r="J706" s="1012">
        <v>0</v>
      </c>
      <c r="K706" s="881"/>
      <c r="L706" s="881"/>
      <c r="M706" s="1016"/>
      <c r="N706" s="1441"/>
      <c r="O706" s="881"/>
      <c r="P706" s="881"/>
      <c r="Q706" s="1302"/>
      <c r="R706" s="1302"/>
      <c r="S706" s="1302"/>
      <c r="T706" s="1302"/>
      <c r="U706" s="1302"/>
      <c r="V706" s="1302"/>
      <c r="W706" s="1302"/>
      <c r="X706" s="1302"/>
      <c r="Y706" s="1302"/>
      <c r="Z706" s="1302"/>
    </row>
    <row r="707" spans="1:26" ht="18.75">
      <c r="A707" s="1429"/>
      <c r="B707" s="1301"/>
      <c r="C707" s="1301"/>
      <c r="D707" s="1301"/>
      <c r="E707" s="1301"/>
      <c r="F707" s="1301"/>
      <c r="G707" s="1016"/>
      <c r="H707" s="762" t="s">
        <v>46</v>
      </c>
      <c r="I707" s="1440">
        <f ca="1">IFERROR(__xludf.DUMMYFUNCTION("IMPORTRANGE(""https://docs.google.com/spreadsheets/d/1QqKyyYR6Q21VydFLVH3TRQUabQu_ym0Zz7PgGX0-kHA/edit?usp=sharing"",""แผน!IG80"")"),0)</f>
        <v>0</v>
      </c>
      <c r="J707" s="1012">
        <v>0</v>
      </c>
      <c r="K707" s="881"/>
      <c r="L707" s="881"/>
      <c r="M707" s="1016"/>
      <c r="N707" s="1441"/>
      <c r="O707" s="881"/>
      <c r="P707" s="881"/>
      <c r="Q707" s="1302"/>
      <c r="R707" s="1302"/>
      <c r="S707" s="1302"/>
      <c r="T707" s="1302"/>
      <c r="U707" s="1302"/>
      <c r="V707" s="1302"/>
      <c r="W707" s="1302"/>
      <c r="X707" s="1302"/>
      <c r="Y707" s="1302"/>
      <c r="Z707" s="1302"/>
    </row>
    <row r="708" spans="1:26" ht="19.5">
      <c r="A708" s="1429"/>
      <c r="B708" s="1301"/>
      <c r="C708" s="1301"/>
      <c r="D708" s="1382" t="s">
        <v>300</v>
      </c>
      <c r="E708" s="1301"/>
      <c r="F708" s="1301"/>
      <c r="G708" s="1016"/>
      <c r="H708" s="765" t="s">
        <v>46</v>
      </c>
      <c r="I708" s="1442">
        <f ca="1">IFERROR(__xludf.DUMMYFUNCTION("IMPORTRANGE(""https://docs.google.com/spreadsheets/d/1QqKyyYR6Q21VydFLVH3TRQUabQu_ym0Zz7PgGX0-kHA/edit?usp=sharing"",""แผน!IH80"")"),0)</f>
        <v>0</v>
      </c>
      <c r="J708" s="1019">
        <f>J714+J717</f>
        <v>0</v>
      </c>
      <c r="K708" s="1020">
        <f ca="1">IF(I708&gt;0,J708*100/I708,0)</f>
        <v>0</v>
      </c>
      <c r="L708" s="881"/>
      <c r="M708" s="1016"/>
      <c r="N708" s="1441"/>
      <c r="O708" s="881"/>
      <c r="P708" s="881"/>
      <c r="Q708" s="1302"/>
      <c r="R708" s="1302"/>
      <c r="S708" s="1302"/>
      <c r="T708" s="1302"/>
      <c r="U708" s="1302"/>
      <c r="V708" s="1302"/>
      <c r="W708" s="1302"/>
      <c r="X708" s="1302"/>
      <c r="Y708" s="1302"/>
      <c r="Z708" s="1302"/>
    </row>
    <row r="709" spans="1:26" ht="18.75">
      <c r="A709" s="1429"/>
      <c r="B709" s="1301"/>
      <c r="C709" s="1301"/>
      <c r="D709" s="1301"/>
      <c r="E709" s="1301" t="s">
        <v>301</v>
      </c>
      <c r="F709" s="1301"/>
      <c r="G709" s="1016"/>
      <c r="H709" s="762" t="s">
        <v>34</v>
      </c>
      <c r="I709" s="1440"/>
      <c r="J709" s="1012">
        <v>0</v>
      </c>
      <c r="K709" s="881"/>
      <c r="L709" s="1441"/>
      <c r="M709" s="1016"/>
      <c r="N709" s="1441"/>
      <c r="O709" s="881"/>
      <c r="P709" s="881"/>
      <c r="Q709" s="1302"/>
      <c r="R709" s="1302"/>
      <c r="S709" s="1302"/>
      <c r="T709" s="1302"/>
      <c r="U709" s="1302"/>
      <c r="V709" s="1302"/>
      <c r="W709" s="1302"/>
      <c r="X709" s="1302"/>
      <c r="Y709" s="1302"/>
      <c r="Z709" s="1302"/>
    </row>
    <row r="710" spans="1:26" ht="18.75">
      <c r="A710" s="1429"/>
      <c r="B710" s="1301"/>
      <c r="C710" s="1301"/>
      <c r="D710" s="1301"/>
      <c r="E710" s="1301"/>
      <c r="F710" s="1301"/>
      <c r="G710" s="1016"/>
      <c r="H710" s="762" t="s">
        <v>46</v>
      </c>
      <c r="I710" s="1440"/>
      <c r="J710" s="1012">
        <v>0</v>
      </c>
      <c r="K710" s="881"/>
      <c r="L710" s="1441"/>
      <c r="M710" s="1016"/>
      <c r="N710" s="1441"/>
      <c r="O710" s="881"/>
      <c r="P710" s="881"/>
      <c r="Q710" s="1302"/>
      <c r="R710" s="1302"/>
      <c r="S710" s="1302"/>
      <c r="T710" s="1302"/>
      <c r="U710" s="1302"/>
      <c r="V710" s="1302"/>
      <c r="W710" s="1302"/>
      <c r="X710" s="1302"/>
      <c r="Y710" s="1302"/>
      <c r="Z710" s="1302"/>
    </row>
    <row r="711" spans="1:26" ht="18.75">
      <c r="A711" s="1429"/>
      <c r="B711" s="1301"/>
      <c r="C711" s="1301"/>
      <c r="D711" s="1301"/>
      <c r="E711" s="1301" t="s">
        <v>302</v>
      </c>
      <c r="F711" s="1301"/>
      <c r="G711" s="1016"/>
      <c r="H711" s="1007"/>
      <c r="I711" s="1440"/>
      <c r="J711" s="880"/>
      <c r="K711" s="881"/>
      <c r="L711" s="1441"/>
      <c r="M711" s="1016"/>
      <c r="N711" s="1441"/>
      <c r="O711" s="881"/>
      <c r="P711" s="881"/>
      <c r="Q711" s="1302"/>
      <c r="R711" s="1302"/>
      <c r="S711" s="1302"/>
      <c r="T711" s="1302"/>
      <c r="U711" s="1302"/>
      <c r="V711" s="1302"/>
      <c r="W711" s="1302"/>
      <c r="X711" s="1302"/>
      <c r="Y711" s="1302"/>
      <c r="Z711" s="1302"/>
    </row>
    <row r="712" spans="1:26" ht="18.75">
      <c r="A712" s="1429"/>
      <c r="B712" s="1301"/>
      <c r="C712" s="1301"/>
      <c r="D712" s="1301"/>
      <c r="E712" s="1301"/>
      <c r="F712" s="1301" t="s">
        <v>303</v>
      </c>
      <c r="G712" s="1016"/>
      <c r="H712" s="762" t="s">
        <v>35</v>
      </c>
      <c r="I712" s="1440"/>
      <c r="J712" s="1012">
        <v>0</v>
      </c>
      <c r="K712" s="881"/>
      <c r="L712" s="1441"/>
      <c r="M712" s="1016"/>
      <c r="N712" s="1441"/>
      <c r="O712" s="881"/>
      <c r="P712" s="881"/>
      <c r="Q712" s="1302"/>
      <c r="R712" s="1302"/>
      <c r="S712" s="1302"/>
      <c r="T712" s="1302"/>
      <c r="U712" s="1302"/>
      <c r="V712" s="1302"/>
      <c r="W712" s="1302"/>
      <c r="X712" s="1302"/>
      <c r="Y712" s="1302"/>
      <c r="Z712" s="1302"/>
    </row>
    <row r="713" spans="1:26" ht="18.75">
      <c r="A713" s="1429"/>
      <c r="B713" s="1301"/>
      <c r="C713" s="1301"/>
      <c r="D713" s="1301"/>
      <c r="E713" s="1301"/>
      <c r="F713" s="1301"/>
      <c r="G713" s="1016"/>
      <c r="H713" s="762" t="s">
        <v>34</v>
      </c>
      <c r="I713" s="1440"/>
      <c r="J713" s="1012">
        <v>0</v>
      </c>
      <c r="K713" s="881"/>
      <c r="L713" s="1441"/>
      <c r="M713" s="1016"/>
      <c r="N713" s="1441"/>
      <c r="O713" s="881"/>
      <c r="P713" s="881"/>
      <c r="Q713" s="1302"/>
      <c r="R713" s="1302"/>
      <c r="S713" s="1302"/>
      <c r="T713" s="1302"/>
      <c r="U713" s="1302"/>
      <c r="V713" s="1302"/>
      <c r="W713" s="1302"/>
      <c r="X713" s="1302"/>
      <c r="Y713" s="1302"/>
      <c r="Z713" s="1302"/>
    </row>
    <row r="714" spans="1:26" ht="18.75">
      <c r="A714" s="1429"/>
      <c r="B714" s="1301"/>
      <c r="C714" s="1301"/>
      <c r="D714" s="1301"/>
      <c r="E714" s="1301"/>
      <c r="F714" s="1301"/>
      <c r="G714" s="1016"/>
      <c r="H714" s="762" t="s">
        <v>46</v>
      </c>
      <c r="I714" s="1440"/>
      <c r="J714" s="1012">
        <v>0</v>
      </c>
      <c r="K714" s="881"/>
      <c r="L714" s="1441"/>
      <c r="M714" s="1016"/>
      <c r="N714" s="1441"/>
      <c r="O714" s="881"/>
      <c r="P714" s="881"/>
      <c r="Q714" s="1302"/>
      <c r="R714" s="1302"/>
      <c r="S714" s="1302"/>
      <c r="T714" s="1302"/>
      <c r="U714" s="1302"/>
      <c r="V714" s="1302"/>
      <c r="W714" s="1302"/>
      <c r="X714" s="1302"/>
      <c r="Y714" s="1302"/>
      <c r="Z714" s="1302"/>
    </row>
    <row r="715" spans="1:26" ht="18.75">
      <c r="A715" s="1429"/>
      <c r="B715" s="1301"/>
      <c r="C715" s="1301"/>
      <c r="D715" s="1301"/>
      <c r="E715" s="1301"/>
      <c r="F715" s="1301" t="s">
        <v>304</v>
      </c>
      <c r="G715" s="1016"/>
      <c r="H715" s="762" t="s">
        <v>35</v>
      </c>
      <c r="I715" s="1440"/>
      <c r="J715" s="1012">
        <v>0</v>
      </c>
      <c r="K715" s="881"/>
      <c r="L715" s="1441"/>
      <c r="M715" s="1016"/>
      <c r="N715" s="1441"/>
      <c r="O715" s="881"/>
      <c r="P715" s="881"/>
      <c r="Q715" s="1302"/>
      <c r="R715" s="1302"/>
      <c r="S715" s="1302"/>
      <c r="T715" s="1302"/>
      <c r="U715" s="1302"/>
      <c r="V715" s="1302"/>
      <c r="W715" s="1302"/>
      <c r="X715" s="1302"/>
      <c r="Y715" s="1302"/>
      <c r="Z715" s="1302"/>
    </row>
    <row r="716" spans="1:26" ht="18.75">
      <c r="A716" s="1429"/>
      <c r="B716" s="1301"/>
      <c r="C716" s="1301"/>
      <c r="D716" s="1301"/>
      <c r="E716" s="1301"/>
      <c r="F716" s="1301"/>
      <c r="G716" s="1016"/>
      <c r="H716" s="762" t="s">
        <v>34</v>
      </c>
      <c r="I716" s="1440"/>
      <c r="J716" s="1012">
        <v>0</v>
      </c>
      <c r="K716" s="881"/>
      <c r="L716" s="1441"/>
      <c r="M716" s="1016"/>
      <c r="N716" s="1441"/>
      <c r="O716" s="881"/>
      <c r="P716" s="881"/>
      <c r="Q716" s="1302"/>
      <c r="R716" s="1302"/>
      <c r="S716" s="1302"/>
      <c r="T716" s="1302"/>
      <c r="U716" s="1302"/>
      <c r="V716" s="1302"/>
      <c r="W716" s="1302"/>
      <c r="X716" s="1302"/>
      <c r="Y716" s="1302"/>
      <c r="Z716" s="1302"/>
    </row>
    <row r="717" spans="1:26" ht="18.75">
      <c r="A717" s="1429"/>
      <c r="B717" s="1301"/>
      <c r="C717" s="1301"/>
      <c r="D717" s="1301"/>
      <c r="E717" s="1301"/>
      <c r="F717" s="1301"/>
      <c r="G717" s="1016"/>
      <c r="H717" s="762" t="s">
        <v>46</v>
      </c>
      <c r="I717" s="1440"/>
      <c r="J717" s="1012">
        <v>0</v>
      </c>
      <c r="K717" s="881"/>
      <c r="L717" s="1441"/>
      <c r="M717" s="1016"/>
      <c r="N717" s="1441"/>
      <c r="O717" s="881"/>
      <c r="P717" s="881"/>
      <c r="Q717" s="1302"/>
      <c r="R717" s="1302"/>
      <c r="S717" s="1302"/>
      <c r="T717" s="1302"/>
      <c r="U717" s="1302"/>
      <c r="V717" s="1302"/>
      <c r="W717" s="1302"/>
      <c r="X717" s="1302"/>
      <c r="Y717" s="1302"/>
      <c r="Z717" s="1302"/>
    </row>
    <row r="718" spans="1:26" ht="18.75">
      <c r="A718" s="1429"/>
      <c r="B718" s="1301"/>
      <c r="C718" s="1301"/>
      <c r="D718" s="1301" t="s">
        <v>305</v>
      </c>
      <c r="E718" s="1301"/>
      <c r="F718" s="1301"/>
      <c r="G718" s="1016"/>
      <c r="H718" s="762" t="s">
        <v>35</v>
      </c>
      <c r="I718" s="1440"/>
      <c r="J718" s="880">
        <f ca="1">IFERROR(__xludf.DUMMYFUNCTION("IMPORTRANGE(""https://docs.google.com/spreadsheets/d/1XWAQStnk-4SwqDmLtmXYiTMKHgktTP8We1SCoS47DrQ/edit?usp=sharing"",""จัดที่ดิน!BF80"")"),0)</f>
        <v>0</v>
      </c>
      <c r="K718" s="881"/>
      <c r="L718" s="881"/>
      <c r="M718" s="1016"/>
      <c r="N718" s="1441"/>
      <c r="O718" s="881"/>
      <c r="P718" s="881"/>
      <c r="Q718" s="1302"/>
      <c r="R718" s="1302"/>
      <c r="S718" s="1302"/>
      <c r="T718" s="1302"/>
      <c r="U718" s="1302"/>
      <c r="V718" s="1302"/>
      <c r="W718" s="1302"/>
      <c r="X718" s="1302"/>
      <c r="Y718" s="1302"/>
      <c r="Z718" s="1302"/>
    </row>
    <row r="719" spans="1:26" ht="18.75">
      <c r="A719" s="1429"/>
      <c r="B719" s="1301"/>
      <c r="C719" s="1301"/>
      <c r="D719" s="1301"/>
      <c r="E719" s="1301"/>
      <c r="F719" s="1301"/>
      <c r="G719" s="1016"/>
      <c r="H719" s="762" t="s">
        <v>34</v>
      </c>
      <c r="I719" s="1440"/>
      <c r="J719" s="880">
        <f ca="1">IFERROR(__xludf.DUMMYFUNCTION("IMPORTRANGE(""https://docs.google.com/spreadsheets/d/1XWAQStnk-4SwqDmLtmXYiTMKHgktTP8We1SCoS47DrQ/edit?usp=sharing"",""จัดที่ดิน!BG80"")"),0)</f>
        <v>0</v>
      </c>
      <c r="K719" s="881"/>
      <c r="L719" s="1441"/>
      <c r="M719" s="1016"/>
      <c r="N719" s="1441"/>
      <c r="O719" s="881"/>
      <c r="P719" s="881"/>
      <c r="Q719" s="1302"/>
      <c r="R719" s="1302"/>
      <c r="S719" s="1302"/>
      <c r="T719" s="1302"/>
      <c r="U719" s="1302"/>
      <c r="V719" s="1302"/>
      <c r="W719" s="1302"/>
      <c r="X719" s="1302"/>
      <c r="Y719" s="1302"/>
      <c r="Z719" s="1302"/>
    </row>
    <row r="720" spans="1:26" ht="18.75">
      <c r="A720" s="1429"/>
      <c r="B720" s="1301"/>
      <c r="C720" s="1301"/>
      <c r="D720" s="1301"/>
      <c r="E720" s="1301"/>
      <c r="F720" s="1301"/>
      <c r="G720" s="1016"/>
      <c r="H720" s="762" t="s">
        <v>46</v>
      </c>
      <c r="I720" s="1440">
        <f ca="1">IFERROR(__xludf.DUMMYFUNCTION("IMPORTRANGE(""https://docs.google.com/spreadsheets/d/1QqKyyYR6Q21VydFLVH3TRQUabQu_ym0Zz7PgGX0-kHA/edit?usp=sharing"",""แผน!II80"")"),0)</f>
        <v>0</v>
      </c>
      <c r="J720" s="880">
        <f ca="1">IFERROR(__xludf.DUMMYFUNCTION("IMPORTRANGE(""https://docs.google.com/spreadsheets/d/1XWAQStnk-4SwqDmLtmXYiTMKHgktTP8We1SCoS47DrQ/edit?usp=sharing"",""จัดที่ดิน!BH80"")"),0)</f>
        <v>0</v>
      </c>
      <c r="K720" s="881">
        <f t="shared" ref="K720:K723" ca="1" si="291">IF(I720&gt;0,J720*100/I720,0)</f>
        <v>0</v>
      </c>
      <c r="L720" s="1441"/>
      <c r="M720" s="1016"/>
      <c r="N720" s="1441"/>
      <c r="O720" s="881"/>
      <c r="P720" s="881"/>
      <c r="Q720" s="1302"/>
      <c r="R720" s="1302"/>
      <c r="S720" s="1302"/>
      <c r="T720" s="1302"/>
      <c r="U720" s="1302"/>
      <c r="V720" s="1302"/>
      <c r="W720" s="1302"/>
      <c r="X720" s="1302"/>
      <c r="Y720" s="1302"/>
      <c r="Z720" s="1302"/>
    </row>
    <row r="721" spans="1:26" ht="19.5">
      <c r="A721" s="1429"/>
      <c r="B721" s="1301"/>
      <c r="C721" s="1301"/>
      <c r="D721" s="1301" t="s">
        <v>306</v>
      </c>
      <c r="E721" s="1301"/>
      <c r="F721" s="1301"/>
      <c r="G721" s="1016"/>
      <c r="H721" s="765" t="s">
        <v>35</v>
      </c>
      <c r="I721" s="1442">
        <f ca="1">IFERROR(__xludf.DUMMYFUNCTION("IMPORTRANGE(""https://docs.google.com/spreadsheets/d/1QqKyyYR6Q21VydFLVH3TRQUabQu_ym0Zz7PgGX0-kHA/edit?usp=sharing"",""แผน!IJ80"")"),87)</f>
        <v>87</v>
      </c>
      <c r="J721" s="1019">
        <f ca="1">J723+J726</f>
        <v>0</v>
      </c>
      <c r="K721" s="1020">
        <f t="shared" ca="1" si="291"/>
        <v>0</v>
      </c>
      <c r="L721" s="1441"/>
      <c r="M721" s="1016"/>
      <c r="N721" s="1441"/>
      <c r="O721" s="881"/>
      <c r="P721" s="881"/>
      <c r="Q721" s="1302"/>
      <c r="R721" s="1302"/>
      <c r="S721" s="1302"/>
      <c r="T721" s="1302"/>
      <c r="U721" s="1302"/>
      <c r="V721" s="1302"/>
      <c r="W721" s="1302"/>
      <c r="X721" s="1302"/>
      <c r="Y721" s="1302"/>
      <c r="Z721" s="1302"/>
    </row>
    <row r="722" spans="1:26" ht="19.5">
      <c r="A722" s="1429"/>
      <c r="B722" s="1301"/>
      <c r="C722" s="1301"/>
      <c r="D722" s="1301"/>
      <c r="E722" s="1301"/>
      <c r="F722" s="1301"/>
      <c r="G722" s="1016"/>
      <c r="H722" s="765" t="s">
        <v>46</v>
      </c>
      <c r="I722" s="1442">
        <f ca="1">IFERROR(__xludf.DUMMYFUNCTION("IMPORTRANGE(""https://docs.google.com/spreadsheets/d/1QqKyyYR6Q21VydFLVH3TRQUabQu_ym0Zz7PgGX0-kHA/edit?usp=sharing"",""แผน!IK80"")"),332)</f>
        <v>332</v>
      </c>
      <c r="J722" s="1019">
        <f ca="1">J725+J728</f>
        <v>0</v>
      </c>
      <c r="K722" s="1020">
        <f t="shared" ca="1" si="291"/>
        <v>0</v>
      </c>
      <c r="L722" s="881"/>
      <c r="M722" s="1016"/>
      <c r="N722" s="1441"/>
      <c r="O722" s="881"/>
      <c r="P722" s="881"/>
      <c r="Q722" s="1302"/>
      <c r="R722" s="1302"/>
      <c r="S722" s="1302"/>
      <c r="T722" s="1302"/>
      <c r="U722" s="1302"/>
      <c r="V722" s="1302"/>
      <c r="W722" s="1302"/>
      <c r="X722" s="1302"/>
      <c r="Y722" s="1302"/>
      <c r="Z722" s="1302"/>
    </row>
    <row r="723" spans="1:26" ht="18.75">
      <c r="A723" s="1429"/>
      <c r="B723" s="1301"/>
      <c r="C723" s="1301"/>
      <c r="D723" s="1301"/>
      <c r="E723" s="1301" t="s">
        <v>307</v>
      </c>
      <c r="F723" s="1301"/>
      <c r="G723" s="1016"/>
      <c r="H723" s="762" t="s">
        <v>35</v>
      </c>
      <c r="I723" s="1440">
        <f ca="1">IFERROR(__xludf.DUMMYFUNCTION("IMPORTRANGE(""https://docs.google.com/spreadsheets/d/1QqKyyYR6Q21VydFLVH3TRQUabQu_ym0Zz7PgGX0-kHA/edit?usp=sharing"",""แผน!IL80"")"),50)</f>
        <v>50</v>
      </c>
      <c r="J723" s="880">
        <f ca="1">IFERROR(__xludf.DUMMYFUNCTION("IMPORTRANGE(""https://docs.google.com/spreadsheets/d/1XWAQStnk-4SwqDmLtmXYiTMKHgktTP8We1SCoS47DrQ/edit?usp=sharing"",""จัดที่ดิน!BM80"")"),0)</f>
        <v>0</v>
      </c>
      <c r="K723" s="881">
        <f t="shared" ca="1" si="291"/>
        <v>0</v>
      </c>
      <c r="L723" s="881"/>
      <c r="M723" s="1016"/>
      <c r="N723" s="1441"/>
      <c r="O723" s="881"/>
      <c r="P723" s="881"/>
      <c r="Q723" s="1302"/>
      <c r="R723" s="1302"/>
      <c r="S723" s="1302"/>
      <c r="T723" s="1302"/>
      <c r="U723" s="1302"/>
      <c r="V723" s="1302"/>
      <c r="W723" s="1302"/>
      <c r="X723" s="1302"/>
      <c r="Y723" s="1302"/>
      <c r="Z723" s="1302"/>
    </row>
    <row r="724" spans="1:26" ht="18.75">
      <c r="A724" s="1429"/>
      <c r="B724" s="1301"/>
      <c r="C724" s="1301"/>
      <c r="D724" s="1301"/>
      <c r="E724" s="1301"/>
      <c r="F724" s="1301"/>
      <c r="G724" s="1016"/>
      <c r="H724" s="762" t="s">
        <v>34</v>
      </c>
      <c r="I724" s="1440"/>
      <c r="J724" s="880">
        <f ca="1">IFERROR(__xludf.DUMMYFUNCTION("IMPORTRANGE(""https://docs.google.com/spreadsheets/d/1XWAQStnk-4SwqDmLtmXYiTMKHgktTP8We1SCoS47DrQ/edit?usp=sharing"",""จัดที่ดิน!BN80"")"),0)</f>
        <v>0</v>
      </c>
      <c r="K724" s="881"/>
      <c r="L724" s="1441"/>
      <c r="M724" s="1016"/>
      <c r="N724" s="1441"/>
      <c r="O724" s="881"/>
      <c r="P724" s="881"/>
      <c r="Q724" s="1302"/>
      <c r="R724" s="1302"/>
      <c r="S724" s="1302"/>
      <c r="T724" s="1302"/>
      <c r="U724" s="1302"/>
      <c r="V724" s="1302"/>
      <c r="W724" s="1302"/>
      <c r="X724" s="1302"/>
      <c r="Y724" s="1302"/>
      <c r="Z724" s="1302"/>
    </row>
    <row r="725" spans="1:26" ht="18.75">
      <c r="A725" s="1429"/>
      <c r="B725" s="1301"/>
      <c r="C725" s="1301"/>
      <c r="D725" s="1301"/>
      <c r="E725" s="1301"/>
      <c r="F725" s="1301"/>
      <c r="G725" s="1016"/>
      <c r="H725" s="762" t="s">
        <v>46</v>
      </c>
      <c r="I725" s="1440">
        <f ca="1">IFERROR(__xludf.DUMMYFUNCTION("IMPORTRANGE(""https://docs.google.com/spreadsheets/d/1QqKyyYR6Q21VydFLVH3TRQUabQu_ym0Zz7PgGX0-kHA/edit?usp=sharing"",""แผน!IM80"")"),212)</f>
        <v>212</v>
      </c>
      <c r="J725" s="880">
        <f ca="1">IFERROR(__xludf.DUMMYFUNCTION("IMPORTRANGE(""https://docs.google.com/spreadsheets/d/1XWAQStnk-4SwqDmLtmXYiTMKHgktTP8We1SCoS47DrQ/edit?usp=sharing"",""จัดที่ดิน!BO80"")"),0)</f>
        <v>0</v>
      </c>
      <c r="K725" s="881">
        <f t="shared" ref="K725:K726" ca="1" si="292">IF(I725&gt;0,J725*100/I725,0)</f>
        <v>0</v>
      </c>
      <c r="L725" s="1441"/>
      <c r="M725" s="1016"/>
      <c r="N725" s="1441"/>
      <c r="O725" s="881"/>
      <c r="P725" s="881"/>
      <c r="Q725" s="1302"/>
      <c r="R725" s="1302"/>
      <c r="S725" s="1302"/>
      <c r="T725" s="1302"/>
      <c r="U725" s="1302"/>
      <c r="V725" s="1302"/>
      <c r="W725" s="1302"/>
      <c r="X725" s="1302"/>
      <c r="Y725" s="1302"/>
      <c r="Z725" s="1302"/>
    </row>
    <row r="726" spans="1:26" ht="18.75">
      <c r="A726" s="1429"/>
      <c r="B726" s="1301"/>
      <c r="C726" s="1301"/>
      <c r="D726" s="1301"/>
      <c r="E726" s="1301" t="s">
        <v>308</v>
      </c>
      <c r="F726" s="1301"/>
      <c r="G726" s="1016"/>
      <c r="H726" s="762" t="s">
        <v>35</v>
      </c>
      <c r="I726" s="1440">
        <f ca="1">IFERROR(__xludf.DUMMYFUNCTION("IMPORTRANGE(""https://docs.google.com/spreadsheets/d/1QqKyyYR6Q21VydFLVH3TRQUabQu_ym0Zz7PgGX0-kHA/edit?usp=sharing"",""แผน!IN80"")"),37)</f>
        <v>37</v>
      </c>
      <c r="J726" s="880">
        <f ca="1">IFERROR(__xludf.DUMMYFUNCTION("IMPORTRANGE(""https://docs.google.com/spreadsheets/d/1XWAQStnk-4SwqDmLtmXYiTMKHgktTP8We1SCoS47DrQ/edit?usp=sharing"",""จัดที่ดิน!BR80"")"),0)</f>
        <v>0</v>
      </c>
      <c r="K726" s="881">
        <f t="shared" ca="1" si="292"/>
        <v>0</v>
      </c>
      <c r="L726" s="881"/>
      <c r="M726" s="1016"/>
      <c r="N726" s="1441"/>
      <c r="O726" s="881"/>
      <c r="P726" s="881"/>
      <c r="Q726" s="1302"/>
      <c r="R726" s="1302"/>
      <c r="S726" s="1302"/>
      <c r="T726" s="1302"/>
      <c r="U726" s="1302"/>
      <c r="V726" s="1302"/>
      <c r="W726" s="1302"/>
      <c r="X726" s="1302"/>
      <c r="Y726" s="1302"/>
      <c r="Z726" s="1302"/>
    </row>
    <row r="727" spans="1:26" ht="18.75">
      <c r="A727" s="1429"/>
      <c r="B727" s="1301"/>
      <c r="C727" s="1301"/>
      <c r="D727" s="1301"/>
      <c r="E727" s="1301"/>
      <c r="F727" s="1301"/>
      <c r="G727" s="1016"/>
      <c r="H727" s="762" t="s">
        <v>34</v>
      </c>
      <c r="I727" s="1440"/>
      <c r="J727" s="880">
        <f ca="1">IFERROR(__xludf.DUMMYFUNCTION("IMPORTRANGE(""https://docs.google.com/spreadsheets/d/1XWAQStnk-4SwqDmLtmXYiTMKHgktTP8We1SCoS47DrQ/edit?usp=sharing"",""จัดที่ดิน!BS80"")"),0)</f>
        <v>0</v>
      </c>
      <c r="K727" s="881"/>
      <c r="L727" s="1441"/>
      <c r="M727" s="1016"/>
      <c r="N727" s="1441"/>
      <c r="O727" s="881"/>
      <c r="P727" s="881"/>
      <c r="Q727" s="1302"/>
      <c r="R727" s="1302"/>
      <c r="S727" s="1302"/>
      <c r="T727" s="1302"/>
      <c r="U727" s="1302"/>
      <c r="V727" s="1302"/>
      <c r="W727" s="1302"/>
      <c r="X727" s="1302"/>
      <c r="Y727" s="1302"/>
      <c r="Z727" s="1302"/>
    </row>
    <row r="728" spans="1:26" ht="18.75">
      <c r="A728" s="1429"/>
      <c r="B728" s="1301"/>
      <c r="C728" s="1301"/>
      <c r="D728" s="1301"/>
      <c r="E728" s="1301"/>
      <c r="F728" s="1301"/>
      <c r="G728" s="1016"/>
      <c r="H728" s="762" t="s">
        <v>46</v>
      </c>
      <c r="I728" s="1440">
        <f ca="1">IFERROR(__xludf.DUMMYFUNCTION("IMPORTRANGE(""https://docs.google.com/spreadsheets/d/1QqKyyYR6Q21VydFLVH3TRQUabQu_ym0Zz7PgGX0-kHA/edit?usp=sharing"",""แผน!IO80"")"),120)</f>
        <v>120</v>
      </c>
      <c r="J728" s="880">
        <f ca="1">IFERROR(__xludf.DUMMYFUNCTION("IMPORTRANGE(""https://docs.google.com/spreadsheets/d/1XWAQStnk-4SwqDmLtmXYiTMKHgktTP8We1SCoS47DrQ/edit?usp=sharing"",""จัดที่ดิน!BT80"")"),0)</f>
        <v>0</v>
      </c>
      <c r="K728" s="881">
        <f t="shared" ref="K728:K729" ca="1" si="293">IF(I728&gt;0,J728*100/I728,0)</f>
        <v>0</v>
      </c>
      <c r="L728" s="1441"/>
      <c r="M728" s="1016"/>
      <c r="N728" s="1441"/>
      <c r="O728" s="881"/>
      <c r="P728" s="881"/>
      <c r="Q728" s="1302"/>
      <c r="R728" s="1302"/>
      <c r="S728" s="1302"/>
      <c r="T728" s="1302"/>
      <c r="U728" s="1302"/>
      <c r="V728" s="1302"/>
      <c r="W728" s="1302"/>
      <c r="X728" s="1302"/>
      <c r="Y728" s="1302"/>
      <c r="Z728" s="1302"/>
    </row>
    <row r="729" spans="1:26" ht="19.5">
      <c r="A729" s="1429"/>
      <c r="B729" s="1301"/>
      <c r="C729" s="1301"/>
      <c r="D729" s="1301" t="s">
        <v>309</v>
      </c>
      <c r="E729" s="1301"/>
      <c r="F729" s="1301"/>
      <c r="G729" s="1016"/>
      <c r="H729" s="765" t="s">
        <v>46</v>
      </c>
      <c r="I729" s="1442">
        <f ca="1">IFERROR(__xludf.DUMMYFUNCTION("IMPORTRANGE(""https://docs.google.com/spreadsheets/d/1QqKyyYR6Q21VydFLVH3TRQUabQu_ym0Zz7PgGX0-kHA/edit?usp=sharing"",""แผน!IP80"")"),0)</f>
        <v>0</v>
      </c>
      <c r="J729" s="1019">
        <f>J732+J735</f>
        <v>0</v>
      </c>
      <c r="K729" s="1020">
        <f t="shared" ca="1" si="293"/>
        <v>0</v>
      </c>
      <c r="L729" s="881"/>
      <c r="M729" s="1016"/>
      <c r="N729" s="1441"/>
      <c r="O729" s="881"/>
      <c r="P729" s="881"/>
      <c r="Q729" s="1302"/>
      <c r="R729" s="1302"/>
      <c r="S729" s="1302"/>
      <c r="T729" s="1302"/>
      <c r="U729" s="1302"/>
      <c r="V729" s="1302"/>
      <c r="W729" s="1302"/>
      <c r="X729" s="1302"/>
      <c r="Y729" s="1302"/>
      <c r="Z729" s="1302"/>
    </row>
    <row r="730" spans="1:26" ht="18.75">
      <c r="A730" s="1429"/>
      <c r="B730" s="1301"/>
      <c r="C730" s="1301"/>
      <c r="D730" s="1301"/>
      <c r="E730" s="1301" t="s">
        <v>310</v>
      </c>
      <c r="F730" s="1301"/>
      <c r="G730" s="1016"/>
      <c r="H730" s="762" t="s">
        <v>35</v>
      </c>
      <c r="I730" s="1440"/>
      <c r="J730" s="1012">
        <v>0</v>
      </c>
      <c r="K730" s="881"/>
      <c r="L730" s="1441"/>
      <c r="M730" s="881"/>
      <c r="N730" s="1441"/>
      <c r="O730" s="881"/>
      <c r="P730" s="881"/>
      <c r="Q730" s="1302"/>
      <c r="R730" s="1302"/>
      <c r="S730" s="1302"/>
      <c r="T730" s="1302"/>
      <c r="U730" s="1302"/>
      <c r="V730" s="1302"/>
      <c r="W730" s="1302"/>
      <c r="X730" s="1302"/>
      <c r="Y730" s="1302"/>
      <c r="Z730" s="1302"/>
    </row>
    <row r="731" spans="1:26" ht="18.75">
      <c r="A731" s="1429"/>
      <c r="B731" s="1301"/>
      <c r="C731" s="1301"/>
      <c r="D731" s="1301"/>
      <c r="E731" s="1301"/>
      <c r="F731" s="1301"/>
      <c r="G731" s="1016"/>
      <c r="H731" s="762" t="s">
        <v>34</v>
      </c>
      <c r="I731" s="1440"/>
      <c r="J731" s="1012">
        <v>0</v>
      </c>
      <c r="K731" s="881"/>
      <c r="L731" s="1441"/>
      <c r="M731" s="881"/>
      <c r="N731" s="1441"/>
      <c r="O731" s="881"/>
      <c r="P731" s="881"/>
      <c r="Q731" s="1302"/>
      <c r="R731" s="1302"/>
      <c r="S731" s="1302"/>
      <c r="T731" s="1302"/>
      <c r="U731" s="1302"/>
      <c r="V731" s="1302"/>
      <c r="W731" s="1302"/>
      <c r="X731" s="1302"/>
      <c r="Y731" s="1302"/>
      <c r="Z731" s="1302"/>
    </row>
    <row r="732" spans="1:26" ht="18.75">
      <c r="A732" s="1429"/>
      <c r="B732" s="1301"/>
      <c r="C732" s="1301"/>
      <c r="D732" s="1301"/>
      <c r="E732" s="1301"/>
      <c r="F732" s="1301"/>
      <c r="G732" s="1016"/>
      <c r="H732" s="762" t="s">
        <v>46</v>
      </c>
      <c r="I732" s="1440"/>
      <c r="J732" s="1012">
        <v>0</v>
      </c>
      <c r="K732" s="881"/>
      <c r="L732" s="1441"/>
      <c r="M732" s="881"/>
      <c r="N732" s="1441"/>
      <c r="O732" s="881"/>
      <c r="P732" s="881"/>
      <c r="Q732" s="1302"/>
      <c r="R732" s="1302"/>
      <c r="S732" s="1302"/>
      <c r="T732" s="1302"/>
      <c r="U732" s="1302"/>
      <c r="V732" s="1302"/>
      <c r="W732" s="1302"/>
      <c r="X732" s="1302"/>
      <c r="Y732" s="1302"/>
      <c r="Z732" s="1302"/>
    </row>
    <row r="733" spans="1:26" ht="18.75">
      <c r="A733" s="1429"/>
      <c r="B733" s="1301"/>
      <c r="C733" s="1301"/>
      <c r="D733" s="1301"/>
      <c r="E733" s="1301" t="s">
        <v>311</v>
      </c>
      <c r="F733" s="1301"/>
      <c r="G733" s="1016"/>
      <c r="H733" s="762" t="s">
        <v>35</v>
      </c>
      <c r="I733" s="1440"/>
      <c r="J733" s="1012">
        <v>0</v>
      </c>
      <c r="K733" s="881"/>
      <c r="L733" s="1441"/>
      <c r="M733" s="881"/>
      <c r="N733" s="1441"/>
      <c r="O733" s="881"/>
      <c r="P733" s="881"/>
      <c r="Q733" s="1302"/>
      <c r="R733" s="1302"/>
      <c r="S733" s="1302"/>
      <c r="T733" s="1302"/>
      <c r="U733" s="1302"/>
      <c r="V733" s="1302"/>
      <c r="W733" s="1302"/>
      <c r="X733" s="1302"/>
      <c r="Y733" s="1302"/>
      <c r="Z733" s="1302"/>
    </row>
    <row r="734" spans="1:26" ht="18.75">
      <c r="A734" s="1429"/>
      <c r="B734" s="1301"/>
      <c r="C734" s="1301"/>
      <c r="D734" s="1301"/>
      <c r="E734" s="1301"/>
      <c r="F734" s="1301"/>
      <c r="G734" s="1016"/>
      <c r="H734" s="762" t="s">
        <v>34</v>
      </c>
      <c r="I734" s="1440"/>
      <c r="J734" s="1012">
        <v>0</v>
      </c>
      <c r="K734" s="881"/>
      <c r="L734" s="1441"/>
      <c r="M734" s="881"/>
      <c r="N734" s="1441"/>
      <c r="O734" s="881"/>
      <c r="P734" s="881"/>
      <c r="Q734" s="1302"/>
      <c r="R734" s="1302"/>
      <c r="S734" s="1302"/>
      <c r="T734" s="1302"/>
      <c r="U734" s="1302"/>
      <c r="V734" s="1302"/>
      <c r="W734" s="1302"/>
      <c r="X734" s="1302"/>
      <c r="Y734" s="1302"/>
      <c r="Z734" s="1302"/>
    </row>
    <row r="735" spans="1:26" ht="19.5">
      <c r="A735" s="1443"/>
      <c r="B735" s="1444" t="s">
        <v>312</v>
      </c>
      <c r="C735" s="1169"/>
      <c r="D735" s="1169"/>
      <c r="E735" s="1169"/>
      <c r="F735" s="1169"/>
      <c r="G735" s="1422"/>
      <c r="H735" s="423" t="s">
        <v>46</v>
      </c>
      <c r="I735" s="1445"/>
      <c r="J735" s="1171">
        <v>0</v>
      </c>
      <c r="K735" s="1239"/>
      <c r="L735" s="1446"/>
      <c r="M735" s="1239"/>
      <c r="N735" s="1446"/>
      <c r="O735" s="1239"/>
      <c r="P735" s="1239"/>
      <c r="Q735" s="1302"/>
      <c r="R735" s="1302"/>
      <c r="S735" s="1302"/>
      <c r="T735" s="1302"/>
      <c r="U735" s="1302"/>
      <c r="V735" s="1302"/>
      <c r="W735" s="1302"/>
      <c r="X735" s="1302"/>
      <c r="Y735" s="1302"/>
      <c r="Z735" s="1302"/>
    </row>
    <row r="736" spans="1:26" ht="19.5" hidden="1">
      <c r="A736" s="772">
        <v>9</v>
      </c>
      <c r="B736" s="1447" t="s">
        <v>313</v>
      </c>
      <c r="C736" s="1448"/>
      <c r="D736" s="1448"/>
      <c r="E736" s="1448"/>
      <c r="F736" s="1448"/>
      <c r="G736" s="1449"/>
      <c r="H736" s="776" t="s">
        <v>46</v>
      </c>
      <c r="I736" s="1450"/>
      <c r="J736" s="1450">
        <f>J751</f>
        <v>0</v>
      </c>
      <c r="K736" s="1451">
        <f>IF(I736&gt;0,J736*100/I736,0)</f>
        <v>0</v>
      </c>
      <c r="L736" s="1452"/>
      <c r="M736" s="1452"/>
      <c r="N736" s="1452"/>
      <c r="O736" s="1452"/>
      <c r="P736" s="1452"/>
      <c r="Q736" s="1323"/>
      <c r="R736" s="1323"/>
      <c r="S736" s="1323"/>
      <c r="T736" s="1323"/>
      <c r="U736" s="1323"/>
      <c r="V736" s="1323"/>
      <c r="W736" s="1323"/>
      <c r="X736" s="1323"/>
      <c r="Y736" s="1323"/>
      <c r="Z736" s="1323"/>
    </row>
    <row r="737" spans="1:26" ht="19.5" hidden="1">
      <c r="A737" s="1319"/>
      <c r="B737" s="1320"/>
      <c r="C737" s="1320" t="s">
        <v>16</v>
      </c>
      <c r="D737" s="1351" t="s">
        <v>17</v>
      </c>
      <c r="E737" s="841"/>
      <c r="F737" s="841"/>
      <c r="G737" s="1322"/>
      <c r="H737" s="644" t="s">
        <v>12</v>
      </c>
      <c r="I737" s="886"/>
      <c r="J737" s="886"/>
      <c r="K737" s="887"/>
      <c r="L737" s="1352">
        <f t="shared" ref="L737:N737" si="294">L738+L739</f>
        <v>0</v>
      </c>
      <c r="M737" s="1352">
        <f t="shared" si="294"/>
        <v>0</v>
      </c>
      <c r="N737" s="1352">
        <f t="shared" si="294"/>
        <v>0</v>
      </c>
      <c r="O737" s="1352">
        <f t="shared" ref="O737:O742" si="295">IF(L737&gt;0,N737*100/L737,0)</f>
        <v>0</v>
      </c>
      <c r="P737" s="1352">
        <f t="shared" ref="P737:P742" si="296">IF(M737&gt;0,N737*100/M737,0)</f>
        <v>0</v>
      </c>
      <c r="Q737" s="1323"/>
      <c r="R737" s="1323"/>
      <c r="S737" s="1323"/>
      <c r="T737" s="1323"/>
      <c r="U737" s="1323"/>
      <c r="V737" s="1323"/>
      <c r="W737" s="1323"/>
      <c r="X737" s="1323"/>
      <c r="Y737" s="1323"/>
      <c r="Z737" s="1323"/>
    </row>
    <row r="738" spans="1:26" ht="18.75" hidden="1">
      <c r="A738" s="1319"/>
      <c r="B738" s="1320"/>
      <c r="C738" s="1320"/>
      <c r="D738" s="1321"/>
      <c r="E738" s="1320" t="s">
        <v>185</v>
      </c>
      <c r="F738" s="1320"/>
      <c r="G738" s="1322"/>
      <c r="H738" s="165" t="s">
        <v>12</v>
      </c>
      <c r="I738" s="886"/>
      <c r="J738" s="886"/>
      <c r="K738" s="887"/>
      <c r="L738" s="887">
        <f t="shared" ref="L738:N739" si="297">L741+L748</f>
        <v>0</v>
      </c>
      <c r="M738" s="887">
        <f t="shared" si="297"/>
        <v>0</v>
      </c>
      <c r="N738" s="887">
        <f t="shared" si="297"/>
        <v>0</v>
      </c>
      <c r="O738" s="887">
        <f t="shared" si="295"/>
        <v>0</v>
      </c>
      <c r="P738" s="887">
        <f t="shared" si="296"/>
        <v>0</v>
      </c>
      <c r="Q738" s="1323"/>
      <c r="R738" s="1323"/>
      <c r="S738" s="1323"/>
      <c r="T738" s="1323"/>
      <c r="U738" s="1323"/>
      <c r="V738" s="1323"/>
      <c r="W738" s="1323"/>
      <c r="X738" s="1323"/>
      <c r="Y738" s="1323"/>
      <c r="Z738" s="1323"/>
    </row>
    <row r="739" spans="1:26" ht="18.75" hidden="1">
      <c r="A739" s="1319"/>
      <c r="B739" s="1324"/>
      <c r="C739" s="1320"/>
      <c r="D739" s="1321"/>
      <c r="E739" s="1320" t="s">
        <v>186</v>
      </c>
      <c r="F739" s="1320"/>
      <c r="G739" s="1322"/>
      <c r="H739" s="165" t="s">
        <v>12</v>
      </c>
      <c r="I739" s="886"/>
      <c r="J739" s="886"/>
      <c r="K739" s="887"/>
      <c r="L739" s="887">
        <f t="shared" si="297"/>
        <v>0</v>
      </c>
      <c r="M739" s="887">
        <f t="shared" si="297"/>
        <v>0</v>
      </c>
      <c r="N739" s="887">
        <f t="shared" si="297"/>
        <v>0</v>
      </c>
      <c r="O739" s="887">
        <f t="shared" si="295"/>
        <v>0</v>
      </c>
      <c r="P739" s="887">
        <f t="shared" si="296"/>
        <v>0</v>
      </c>
      <c r="Q739" s="1323"/>
      <c r="R739" s="1323"/>
      <c r="S739" s="1323"/>
      <c r="T739" s="1323"/>
      <c r="U739" s="1323"/>
      <c r="V739" s="1323"/>
      <c r="W739" s="1323"/>
      <c r="X739" s="1323"/>
      <c r="Y739" s="1323"/>
      <c r="Z739" s="1323"/>
    </row>
    <row r="740" spans="1:26" ht="19.5" hidden="1">
      <c r="A740" s="1319"/>
      <c r="B740" s="1324"/>
      <c r="C740" s="1320"/>
      <c r="D740" s="1453" t="s">
        <v>20</v>
      </c>
      <c r="E740" s="1320"/>
      <c r="F740" s="1320"/>
      <c r="G740" s="1322"/>
      <c r="H740" s="644" t="s">
        <v>12</v>
      </c>
      <c r="I740" s="1000"/>
      <c r="J740" s="1000"/>
      <c r="K740" s="1001"/>
      <c r="L740" s="1352">
        <f t="shared" ref="L740:N740" si="298">L741+L742</f>
        <v>0</v>
      </c>
      <c r="M740" s="1352">
        <f t="shared" si="298"/>
        <v>0</v>
      </c>
      <c r="N740" s="1352">
        <f t="shared" si="298"/>
        <v>0</v>
      </c>
      <c r="O740" s="1352">
        <f t="shared" si="295"/>
        <v>0</v>
      </c>
      <c r="P740" s="1352">
        <f t="shared" si="296"/>
        <v>0</v>
      </c>
      <c r="Q740" s="1323"/>
      <c r="R740" s="1323"/>
      <c r="S740" s="1323"/>
      <c r="T740" s="1323"/>
      <c r="U740" s="1323"/>
      <c r="V740" s="1323"/>
      <c r="W740" s="1323"/>
      <c r="X740" s="1323"/>
      <c r="Y740" s="1323"/>
      <c r="Z740" s="1323"/>
    </row>
    <row r="741" spans="1:26" ht="18.75" hidden="1">
      <c r="A741" s="1319"/>
      <c r="B741" s="1324"/>
      <c r="C741" s="1320"/>
      <c r="D741" s="1321"/>
      <c r="E741" s="1320" t="s">
        <v>185</v>
      </c>
      <c r="F741" s="1320"/>
      <c r="G741" s="1322"/>
      <c r="H741" s="165" t="s">
        <v>12</v>
      </c>
      <c r="I741" s="886"/>
      <c r="J741" s="886"/>
      <c r="K741" s="887"/>
      <c r="L741" s="887">
        <v>0</v>
      </c>
      <c r="M741" s="887">
        <v>0</v>
      </c>
      <c r="N741" s="887">
        <v>0</v>
      </c>
      <c r="O741" s="887">
        <f t="shared" si="295"/>
        <v>0</v>
      </c>
      <c r="P741" s="887">
        <f t="shared" si="296"/>
        <v>0</v>
      </c>
      <c r="Q741" s="1323"/>
      <c r="R741" s="1323"/>
      <c r="S741" s="1323"/>
      <c r="T741" s="1323"/>
      <c r="U741" s="1323"/>
      <c r="V741" s="1323"/>
      <c r="W741" s="1323"/>
      <c r="X741" s="1323"/>
      <c r="Y741" s="1323"/>
      <c r="Z741" s="1323"/>
    </row>
    <row r="742" spans="1:26" ht="18.75" hidden="1">
      <c r="A742" s="1319"/>
      <c r="B742" s="1324"/>
      <c r="C742" s="1320"/>
      <c r="D742" s="1321"/>
      <c r="E742" s="1320" t="s">
        <v>186</v>
      </c>
      <c r="F742" s="1320"/>
      <c r="G742" s="1322"/>
      <c r="H742" s="165" t="s">
        <v>12</v>
      </c>
      <c r="I742" s="886"/>
      <c r="J742" s="886"/>
      <c r="K742" s="887"/>
      <c r="L742" s="887">
        <v>0</v>
      </c>
      <c r="M742" s="887">
        <v>0</v>
      </c>
      <c r="N742" s="887">
        <f>N743+N744+N745+N746</f>
        <v>0</v>
      </c>
      <c r="O742" s="887">
        <f t="shared" si="295"/>
        <v>0</v>
      </c>
      <c r="P742" s="887">
        <f t="shared" si="296"/>
        <v>0</v>
      </c>
      <c r="Q742" s="1323"/>
      <c r="R742" s="1323"/>
      <c r="S742" s="1323"/>
      <c r="T742" s="1323"/>
      <c r="U742" s="1323"/>
      <c r="V742" s="1323"/>
      <c r="W742" s="1323"/>
      <c r="X742" s="1323"/>
      <c r="Y742" s="1323"/>
      <c r="Z742" s="1323"/>
    </row>
    <row r="743" spans="1:26" ht="18.75" hidden="1">
      <c r="A743" s="1354"/>
      <c r="B743" s="1324"/>
      <c r="C743" s="1320"/>
      <c r="D743" s="1320"/>
      <c r="E743" s="1320"/>
      <c r="F743" s="1320" t="s">
        <v>187</v>
      </c>
      <c r="G743" s="1322"/>
      <c r="H743" s="165" t="s">
        <v>12</v>
      </c>
      <c r="I743" s="886"/>
      <c r="J743" s="886"/>
      <c r="K743" s="887"/>
      <c r="L743" s="887"/>
      <c r="M743" s="887"/>
      <c r="N743" s="887"/>
      <c r="O743" s="887"/>
      <c r="P743" s="887"/>
      <c r="Q743" s="1323"/>
      <c r="R743" s="1323"/>
      <c r="S743" s="1323"/>
      <c r="T743" s="1323"/>
      <c r="U743" s="1323"/>
      <c r="V743" s="1323"/>
      <c r="W743" s="1323"/>
      <c r="X743" s="1323"/>
      <c r="Y743" s="1323"/>
      <c r="Z743" s="1323"/>
    </row>
    <row r="744" spans="1:26" ht="18.75" hidden="1">
      <c r="A744" s="1354"/>
      <c r="B744" s="1324"/>
      <c r="C744" s="1320"/>
      <c r="D744" s="1320"/>
      <c r="E744" s="1320"/>
      <c r="F744" s="1320" t="s">
        <v>188</v>
      </c>
      <c r="G744" s="1322"/>
      <c r="H744" s="165" t="s">
        <v>12</v>
      </c>
      <c r="I744" s="886"/>
      <c r="J744" s="886"/>
      <c r="K744" s="887"/>
      <c r="L744" s="887"/>
      <c r="M744" s="887"/>
      <c r="N744" s="887"/>
      <c r="O744" s="887"/>
      <c r="P744" s="887"/>
      <c r="Q744" s="1323"/>
      <c r="R744" s="1323"/>
      <c r="S744" s="1323"/>
      <c r="T744" s="1323"/>
      <c r="U744" s="1323"/>
      <c r="V744" s="1323"/>
      <c r="W744" s="1323"/>
      <c r="X744" s="1323"/>
      <c r="Y744" s="1323"/>
      <c r="Z744" s="1323"/>
    </row>
    <row r="745" spans="1:26" ht="18.75" hidden="1">
      <c r="A745" s="1354"/>
      <c r="B745" s="1324"/>
      <c r="C745" s="1320"/>
      <c r="D745" s="1320"/>
      <c r="E745" s="1320"/>
      <c r="F745" s="1320" t="s">
        <v>189</v>
      </c>
      <c r="G745" s="1322"/>
      <c r="H745" s="165" t="s">
        <v>12</v>
      </c>
      <c r="I745" s="886"/>
      <c r="J745" s="886"/>
      <c r="K745" s="887"/>
      <c r="L745" s="887"/>
      <c r="M745" s="887"/>
      <c r="N745" s="887"/>
      <c r="O745" s="887"/>
      <c r="P745" s="887"/>
      <c r="Q745" s="1323"/>
      <c r="R745" s="1323"/>
      <c r="S745" s="1323"/>
      <c r="T745" s="1323"/>
      <c r="U745" s="1323"/>
      <c r="V745" s="1323"/>
      <c r="W745" s="1323"/>
      <c r="X745" s="1323"/>
      <c r="Y745" s="1323"/>
      <c r="Z745" s="1323"/>
    </row>
    <row r="746" spans="1:26" ht="18.75" hidden="1">
      <c r="A746" s="1354"/>
      <c r="B746" s="1324"/>
      <c r="C746" s="1320"/>
      <c r="D746" s="1320"/>
      <c r="E746" s="1320"/>
      <c r="F746" s="1320" t="s">
        <v>190</v>
      </c>
      <c r="G746" s="1322"/>
      <c r="H746" s="165" t="s">
        <v>12</v>
      </c>
      <c r="I746" s="886"/>
      <c r="J746" s="886"/>
      <c r="K746" s="887"/>
      <c r="L746" s="887"/>
      <c r="M746" s="887"/>
      <c r="N746" s="887"/>
      <c r="O746" s="887"/>
      <c r="P746" s="887"/>
      <c r="Q746" s="1323"/>
      <c r="R746" s="1323"/>
      <c r="S746" s="1323"/>
      <c r="T746" s="1323"/>
      <c r="U746" s="1323"/>
      <c r="V746" s="1323"/>
      <c r="W746" s="1323"/>
      <c r="X746" s="1323"/>
      <c r="Y746" s="1323"/>
      <c r="Z746" s="1323"/>
    </row>
    <row r="747" spans="1:26" ht="19.5" hidden="1">
      <c r="A747" s="1319"/>
      <c r="B747" s="1324"/>
      <c r="C747" s="1320"/>
      <c r="D747" s="1453" t="s">
        <v>21</v>
      </c>
      <c r="E747" s="1320"/>
      <c r="F747" s="1320"/>
      <c r="G747" s="1322"/>
      <c r="H747" s="781" t="s">
        <v>12</v>
      </c>
      <c r="I747" s="1000"/>
      <c r="J747" s="1000"/>
      <c r="K747" s="1001"/>
      <c r="L747" s="1352">
        <f t="shared" ref="L747:N747" si="299">L748+L749</f>
        <v>0</v>
      </c>
      <c r="M747" s="1352">
        <f t="shared" si="299"/>
        <v>0</v>
      </c>
      <c r="N747" s="1352">
        <f t="shared" si="299"/>
        <v>0</v>
      </c>
      <c r="O747" s="1352">
        <f t="shared" ref="O747:O749" si="300">IF(L747&gt;0,N747*100/L747,0)</f>
        <v>0</v>
      </c>
      <c r="P747" s="1352">
        <f t="shared" ref="P747:P749" si="301">IF(M747&gt;0,N747*100/M747,0)</f>
        <v>0</v>
      </c>
      <c r="Q747" s="1323"/>
      <c r="R747" s="1323"/>
      <c r="S747" s="1323"/>
      <c r="T747" s="1323"/>
      <c r="U747" s="1323"/>
      <c r="V747" s="1323"/>
      <c r="W747" s="1323"/>
      <c r="X747" s="1323"/>
      <c r="Y747" s="1323"/>
      <c r="Z747" s="1323"/>
    </row>
    <row r="748" spans="1:26" ht="18.75" hidden="1">
      <c r="A748" s="1319"/>
      <c r="B748" s="1324"/>
      <c r="C748" s="1320"/>
      <c r="D748" s="1320"/>
      <c r="E748" s="1320" t="s">
        <v>18</v>
      </c>
      <c r="F748" s="1320"/>
      <c r="G748" s="1322"/>
      <c r="H748" s="165" t="s">
        <v>12</v>
      </c>
      <c r="I748" s="1000"/>
      <c r="J748" s="1000"/>
      <c r="K748" s="1001"/>
      <c r="L748" s="887">
        <v>0</v>
      </c>
      <c r="M748" s="887">
        <v>0</v>
      </c>
      <c r="N748" s="887">
        <v>0</v>
      </c>
      <c r="O748" s="887">
        <f t="shared" si="300"/>
        <v>0</v>
      </c>
      <c r="P748" s="887">
        <f t="shared" si="301"/>
        <v>0</v>
      </c>
      <c r="Q748" s="1323"/>
      <c r="R748" s="1323"/>
      <c r="S748" s="1323"/>
      <c r="T748" s="1323"/>
      <c r="U748" s="1323"/>
      <c r="V748" s="1323"/>
      <c r="W748" s="1323"/>
      <c r="X748" s="1323"/>
      <c r="Y748" s="1323"/>
      <c r="Z748" s="1323"/>
    </row>
    <row r="749" spans="1:26" ht="18.75" hidden="1">
      <c r="A749" s="1319"/>
      <c r="B749" s="1324"/>
      <c r="C749" s="1320"/>
      <c r="D749" s="1320"/>
      <c r="E749" s="1320" t="s">
        <v>19</v>
      </c>
      <c r="F749" s="1320"/>
      <c r="G749" s="1322"/>
      <c r="H749" s="169" t="s">
        <v>12</v>
      </c>
      <c r="I749" s="1000"/>
      <c r="J749" s="1000"/>
      <c r="K749" s="1001"/>
      <c r="L749" s="887">
        <v>0</v>
      </c>
      <c r="M749" s="887">
        <v>0</v>
      </c>
      <c r="N749" s="887">
        <v>0</v>
      </c>
      <c r="O749" s="887">
        <f t="shared" si="300"/>
        <v>0</v>
      </c>
      <c r="P749" s="887">
        <f t="shared" si="301"/>
        <v>0</v>
      </c>
      <c r="Q749" s="1323"/>
      <c r="R749" s="1323"/>
      <c r="S749" s="1323"/>
      <c r="T749" s="1323"/>
      <c r="U749" s="1323"/>
      <c r="V749" s="1323"/>
      <c r="W749" s="1323"/>
      <c r="X749" s="1323"/>
      <c r="Y749" s="1323"/>
      <c r="Z749" s="1323"/>
    </row>
    <row r="750" spans="1:26" ht="19.5" hidden="1">
      <c r="A750" s="1332"/>
      <c r="B750" s="1333"/>
      <c r="C750" s="1320" t="s">
        <v>16</v>
      </c>
      <c r="D750" s="1454" t="s">
        <v>38</v>
      </c>
      <c r="E750" s="1356"/>
      <c r="F750" s="1356"/>
      <c r="G750" s="1357"/>
      <c r="H750" s="1113"/>
      <c r="I750" s="1000"/>
      <c r="J750" s="1000"/>
      <c r="K750" s="1001"/>
      <c r="L750" s="1001"/>
      <c r="M750" s="1001"/>
      <c r="N750" s="1001"/>
      <c r="O750" s="1001"/>
      <c r="P750" s="1001"/>
      <c r="Q750" s="1323"/>
      <c r="R750" s="1323"/>
      <c r="S750" s="1323"/>
      <c r="T750" s="1323"/>
      <c r="U750" s="1323"/>
      <c r="V750" s="1323"/>
      <c r="W750" s="1323"/>
      <c r="X750" s="1323"/>
      <c r="Y750" s="1323"/>
      <c r="Z750" s="1323"/>
    </row>
    <row r="751" spans="1:26" ht="18.75" hidden="1">
      <c r="A751" s="1354"/>
      <c r="B751" s="1324"/>
      <c r="C751" s="1320"/>
      <c r="D751" s="1320"/>
      <c r="E751" s="1320" t="s">
        <v>314</v>
      </c>
      <c r="F751" s="1320"/>
      <c r="G751" s="1322"/>
      <c r="H751" s="165" t="s">
        <v>46</v>
      </c>
      <c r="I751" s="886"/>
      <c r="J751" s="886"/>
      <c r="K751" s="887"/>
      <c r="L751" s="887"/>
      <c r="M751" s="887"/>
      <c r="N751" s="887"/>
      <c r="O751" s="887"/>
      <c r="P751" s="887"/>
      <c r="Q751" s="1323"/>
      <c r="R751" s="1323"/>
      <c r="S751" s="1323"/>
      <c r="T751" s="1323"/>
      <c r="U751" s="1323"/>
      <c r="V751" s="1323"/>
      <c r="W751" s="1323"/>
      <c r="X751" s="1323"/>
      <c r="Y751" s="1323"/>
      <c r="Z751" s="1323"/>
    </row>
    <row r="752" spans="1:26" ht="18.75" hidden="1">
      <c r="A752" s="1354"/>
      <c r="B752" s="1324"/>
      <c r="C752" s="1320"/>
      <c r="D752" s="1320"/>
      <c r="E752" s="1320"/>
      <c r="F752" s="1320"/>
      <c r="G752" s="1322"/>
      <c r="H752" s="165" t="s">
        <v>315</v>
      </c>
      <c r="I752" s="886"/>
      <c r="J752" s="886"/>
      <c r="K752" s="887"/>
      <c r="L752" s="887"/>
      <c r="M752" s="887"/>
      <c r="N752" s="887"/>
      <c r="O752" s="887"/>
      <c r="P752" s="887"/>
      <c r="Q752" s="1323"/>
      <c r="R752" s="1323"/>
      <c r="S752" s="1323"/>
      <c r="T752" s="1323"/>
      <c r="U752" s="1323"/>
      <c r="V752" s="1323"/>
      <c r="W752" s="1323"/>
      <c r="X752" s="1323"/>
      <c r="Y752" s="1323"/>
      <c r="Z752" s="1323"/>
    </row>
    <row r="753" spans="1:26" ht="19.5" hidden="1">
      <c r="A753" s="783">
        <v>10</v>
      </c>
      <c r="B753" s="1455" t="s">
        <v>316</v>
      </c>
      <c r="C753" s="1456"/>
      <c r="D753" s="1456"/>
      <c r="E753" s="1456"/>
      <c r="F753" s="1456"/>
      <c r="G753" s="1457"/>
      <c r="H753" s="787" t="s">
        <v>46</v>
      </c>
      <c r="I753" s="1458"/>
      <c r="J753" s="1458">
        <f>J768</f>
        <v>0</v>
      </c>
      <c r="K753" s="1459">
        <f>IF(I753&gt;0,J753*100/I753,0)</f>
        <v>0</v>
      </c>
      <c r="L753" s="1460"/>
      <c r="M753" s="1460"/>
      <c r="N753" s="1460"/>
      <c r="O753" s="1460"/>
      <c r="P753" s="1460"/>
      <c r="Q753" s="1323"/>
      <c r="R753" s="1323"/>
      <c r="S753" s="1323"/>
      <c r="T753" s="1323"/>
      <c r="U753" s="1323"/>
      <c r="V753" s="1323"/>
      <c r="W753" s="1323"/>
      <c r="X753" s="1323"/>
      <c r="Y753" s="1323"/>
      <c r="Z753" s="1323"/>
    </row>
    <row r="754" spans="1:26" ht="19.5" hidden="1">
      <c r="A754" s="1319"/>
      <c r="B754" s="1320"/>
      <c r="C754" s="1320" t="s">
        <v>16</v>
      </c>
      <c r="D754" s="1351" t="s">
        <v>17</v>
      </c>
      <c r="E754" s="841"/>
      <c r="F754" s="841"/>
      <c r="G754" s="1322"/>
      <c r="H754" s="644" t="s">
        <v>12</v>
      </c>
      <c r="I754" s="886"/>
      <c r="J754" s="886"/>
      <c r="K754" s="887"/>
      <c r="L754" s="1352">
        <f t="shared" ref="L754:N754" si="302">L755+L756</f>
        <v>0</v>
      </c>
      <c r="M754" s="1352">
        <f t="shared" si="302"/>
        <v>0</v>
      </c>
      <c r="N754" s="1352">
        <f t="shared" si="302"/>
        <v>0</v>
      </c>
      <c r="O754" s="1352">
        <f t="shared" ref="O754:O759" si="303">IF(L754&gt;0,N754*100/L754,0)</f>
        <v>0</v>
      </c>
      <c r="P754" s="1352">
        <f t="shared" ref="P754:P759" si="304">IF(M754&gt;0,N754*100/M754,0)</f>
        <v>0</v>
      </c>
      <c r="Q754" s="1323"/>
      <c r="R754" s="1323"/>
      <c r="S754" s="1323"/>
      <c r="T754" s="1323"/>
      <c r="U754" s="1323"/>
      <c r="V754" s="1323"/>
      <c r="W754" s="1323"/>
      <c r="X754" s="1323"/>
      <c r="Y754" s="1323"/>
      <c r="Z754" s="1323"/>
    </row>
    <row r="755" spans="1:26" ht="18.75" hidden="1">
      <c r="A755" s="1319"/>
      <c r="B755" s="1320"/>
      <c r="C755" s="1320"/>
      <c r="D755" s="1321"/>
      <c r="E755" s="1320" t="s">
        <v>185</v>
      </c>
      <c r="F755" s="1320"/>
      <c r="G755" s="1322"/>
      <c r="H755" s="165" t="s">
        <v>12</v>
      </c>
      <c r="I755" s="886"/>
      <c r="J755" s="886"/>
      <c r="K755" s="887"/>
      <c r="L755" s="887">
        <f t="shared" ref="L755:N756" si="305">L758+L765</f>
        <v>0</v>
      </c>
      <c r="M755" s="887">
        <f t="shared" si="305"/>
        <v>0</v>
      </c>
      <c r="N755" s="887">
        <f t="shared" si="305"/>
        <v>0</v>
      </c>
      <c r="O755" s="887">
        <f t="shared" si="303"/>
        <v>0</v>
      </c>
      <c r="P755" s="887">
        <f t="shared" si="304"/>
        <v>0</v>
      </c>
      <c r="Q755" s="1323"/>
      <c r="R755" s="1323"/>
      <c r="S755" s="1323"/>
      <c r="T755" s="1323"/>
      <c r="U755" s="1323"/>
      <c r="V755" s="1323"/>
      <c r="W755" s="1323"/>
      <c r="X755" s="1323"/>
      <c r="Y755" s="1323"/>
      <c r="Z755" s="1323"/>
    </row>
    <row r="756" spans="1:26" ht="18.75" hidden="1">
      <c r="A756" s="1319"/>
      <c r="B756" s="1324"/>
      <c r="C756" s="1320"/>
      <c r="D756" s="1321"/>
      <c r="E756" s="1320" t="s">
        <v>186</v>
      </c>
      <c r="F756" s="1320"/>
      <c r="G756" s="1322"/>
      <c r="H756" s="165" t="s">
        <v>12</v>
      </c>
      <c r="I756" s="886"/>
      <c r="J756" s="886"/>
      <c r="K756" s="887"/>
      <c r="L756" s="887">
        <f t="shared" si="305"/>
        <v>0</v>
      </c>
      <c r="M756" s="887">
        <f t="shared" si="305"/>
        <v>0</v>
      </c>
      <c r="N756" s="887">
        <f t="shared" si="305"/>
        <v>0</v>
      </c>
      <c r="O756" s="887">
        <f t="shared" si="303"/>
        <v>0</v>
      </c>
      <c r="P756" s="887">
        <f t="shared" si="304"/>
        <v>0</v>
      </c>
      <c r="Q756" s="1323"/>
      <c r="R756" s="1323"/>
      <c r="S756" s="1323"/>
      <c r="T756" s="1323"/>
      <c r="U756" s="1323"/>
      <c r="V756" s="1323"/>
      <c r="W756" s="1323"/>
      <c r="X756" s="1323"/>
      <c r="Y756" s="1323"/>
      <c r="Z756" s="1323"/>
    </row>
    <row r="757" spans="1:26" ht="19.5" hidden="1">
      <c r="A757" s="1319"/>
      <c r="B757" s="1324"/>
      <c r="C757" s="1320"/>
      <c r="D757" s="1453" t="s">
        <v>20</v>
      </c>
      <c r="E757" s="1320"/>
      <c r="F757" s="1320"/>
      <c r="G757" s="1322"/>
      <c r="H757" s="644" t="s">
        <v>12</v>
      </c>
      <c r="I757" s="1000"/>
      <c r="J757" s="1000"/>
      <c r="K757" s="1001"/>
      <c r="L757" s="1352">
        <f t="shared" ref="L757:N757" si="306">L758+L759</f>
        <v>0</v>
      </c>
      <c r="M757" s="1352">
        <f t="shared" si="306"/>
        <v>0</v>
      </c>
      <c r="N757" s="1352">
        <f t="shared" si="306"/>
        <v>0</v>
      </c>
      <c r="O757" s="1352">
        <f t="shared" si="303"/>
        <v>0</v>
      </c>
      <c r="P757" s="1352">
        <f t="shared" si="304"/>
        <v>0</v>
      </c>
      <c r="Q757" s="1323"/>
      <c r="R757" s="1323"/>
      <c r="S757" s="1323"/>
      <c r="T757" s="1323"/>
      <c r="U757" s="1323"/>
      <c r="V757" s="1323"/>
      <c r="W757" s="1323"/>
      <c r="X757" s="1323"/>
      <c r="Y757" s="1323"/>
      <c r="Z757" s="1323"/>
    </row>
    <row r="758" spans="1:26" ht="18.75" hidden="1">
      <c r="A758" s="1319"/>
      <c r="B758" s="1324"/>
      <c r="C758" s="1320"/>
      <c r="D758" s="1321"/>
      <c r="E758" s="1320" t="s">
        <v>185</v>
      </c>
      <c r="F758" s="1320"/>
      <c r="G758" s="1322"/>
      <c r="H758" s="165" t="s">
        <v>12</v>
      </c>
      <c r="I758" s="886"/>
      <c r="J758" s="886"/>
      <c r="K758" s="887"/>
      <c r="L758" s="887">
        <v>0</v>
      </c>
      <c r="M758" s="887">
        <v>0</v>
      </c>
      <c r="N758" s="887">
        <v>0</v>
      </c>
      <c r="O758" s="887">
        <f t="shared" si="303"/>
        <v>0</v>
      </c>
      <c r="P758" s="887">
        <f t="shared" si="304"/>
        <v>0</v>
      </c>
      <c r="Q758" s="1323"/>
      <c r="R758" s="1323"/>
      <c r="S758" s="1323"/>
      <c r="T758" s="1323"/>
      <c r="U758" s="1323"/>
      <c r="V758" s="1323"/>
      <c r="W758" s="1323"/>
      <c r="X758" s="1323"/>
      <c r="Y758" s="1323"/>
      <c r="Z758" s="1323"/>
    </row>
    <row r="759" spans="1:26" ht="18.75" hidden="1">
      <c r="A759" s="1319"/>
      <c r="B759" s="1324"/>
      <c r="C759" s="1320"/>
      <c r="D759" s="1321"/>
      <c r="E759" s="1320" t="s">
        <v>186</v>
      </c>
      <c r="F759" s="1320"/>
      <c r="G759" s="1322"/>
      <c r="H759" s="165" t="s">
        <v>12</v>
      </c>
      <c r="I759" s="886"/>
      <c r="J759" s="886"/>
      <c r="K759" s="887"/>
      <c r="L759" s="887">
        <v>0</v>
      </c>
      <c r="M759" s="887">
        <v>0</v>
      </c>
      <c r="N759" s="887">
        <f>N760+N761+N762+N763</f>
        <v>0</v>
      </c>
      <c r="O759" s="887">
        <f t="shared" si="303"/>
        <v>0</v>
      </c>
      <c r="P759" s="887">
        <f t="shared" si="304"/>
        <v>0</v>
      </c>
      <c r="Q759" s="1323"/>
      <c r="R759" s="1323"/>
      <c r="S759" s="1323"/>
      <c r="T759" s="1323"/>
      <c r="U759" s="1323"/>
      <c r="V759" s="1323"/>
      <c r="W759" s="1323"/>
      <c r="X759" s="1323"/>
      <c r="Y759" s="1323"/>
      <c r="Z759" s="1323"/>
    </row>
    <row r="760" spans="1:26" ht="18.75" hidden="1">
      <c r="A760" s="1354"/>
      <c r="B760" s="1324"/>
      <c r="C760" s="1320"/>
      <c r="D760" s="1320"/>
      <c r="E760" s="1320"/>
      <c r="F760" s="1320" t="s">
        <v>187</v>
      </c>
      <c r="G760" s="1322"/>
      <c r="H760" s="165" t="s">
        <v>12</v>
      </c>
      <c r="I760" s="886"/>
      <c r="J760" s="886"/>
      <c r="K760" s="887"/>
      <c r="L760" s="887"/>
      <c r="M760" s="887"/>
      <c r="N760" s="887"/>
      <c r="O760" s="887"/>
      <c r="P760" s="887"/>
      <c r="Q760" s="1323"/>
      <c r="R760" s="1323"/>
      <c r="S760" s="1323"/>
      <c r="T760" s="1323"/>
      <c r="U760" s="1323"/>
      <c r="V760" s="1323"/>
      <c r="W760" s="1323"/>
      <c r="X760" s="1323"/>
      <c r="Y760" s="1323"/>
      <c r="Z760" s="1323"/>
    </row>
    <row r="761" spans="1:26" ht="18.75" hidden="1">
      <c r="A761" s="1354"/>
      <c r="B761" s="1324"/>
      <c r="C761" s="1320"/>
      <c r="D761" s="1320"/>
      <c r="E761" s="1320"/>
      <c r="F761" s="1320" t="s">
        <v>188</v>
      </c>
      <c r="G761" s="1322"/>
      <c r="H761" s="165" t="s">
        <v>12</v>
      </c>
      <c r="I761" s="886"/>
      <c r="J761" s="886"/>
      <c r="K761" s="887"/>
      <c r="L761" s="887"/>
      <c r="M761" s="887"/>
      <c r="N761" s="887"/>
      <c r="O761" s="887"/>
      <c r="P761" s="887"/>
      <c r="Q761" s="1323"/>
      <c r="R761" s="1323"/>
      <c r="S761" s="1323"/>
      <c r="T761" s="1323"/>
      <c r="U761" s="1323"/>
      <c r="V761" s="1323"/>
      <c r="W761" s="1323"/>
      <c r="X761" s="1323"/>
      <c r="Y761" s="1323"/>
      <c r="Z761" s="1323"/>
    </row>
    <row r="762" spans="1:26" ht="18.75" hidden="1">
      <c r="A762" s="1354"/>
      <c r="B762" s="1324"/>
      <c r="C762" s="1320"/>
      <c r="D762" s="1320"/>
      <c r="E762" s="1320"/>
      <c r="F762" s="1320" t="s">
        <v>189</v>
      </c>
      <c r="G762" s="1322"/>
      <c r="H762" s="165" t="s">
        <v>12</v>
      </c>
      <c r="I762" s="886"/>
      <c r="J762" s="886"/>
      <c r="K762" s="887"/>
      <c r="L762" s="887"/>
      <c r="M762" s="887"/>
      <c r="N762" s="887"/>
      <c r="O762" s="887"/>
      <c r="P762" s="887"/>
      <c r="Q762" s="1323"/>
      <c r="R762" s="1323"/>
      <c r="S762" s="1323"/>
      <c r="T762" s="1323"/>
      <c r="U762" s="1323"/>
      <c r="V762" s="1323"/>
      <c r="W762" s="1323"/>
      <c r="X762" s="1323"/>
      <c r="Y762" s="1323"/>
      <c r="Z762" s="1323"/>
    </row>
    <row r="763" spans="1:26" ht="18.75" hidden="1">
      <c r="A763" s="1354"/>
      <c r="B763" s="1324"/>
      <c r="C763" s="1320"/>
      <c r="D763" s="1320"/>
      <c r="E763" s="1320"/>
      <c r="F763" s="1320" t="s">
        <v>190</v>
      </c>
      <c r="G763" s="1322"/>
      <c r="H763" s="165" t="s">
        <v>12</v>
      </c>
      <c r="I763" s="886"/>
      <c r="J763" s="886"/>
      <c r="K763" s="887"/>
      <c r="L763" s="887"/>
      <c r="M763" s="887"/>
      <c r="N763" s="887"/>
      <c r="O763" s="887"/>
      <c r="P763" s="887"/>
      <c r="Q763" s="1323"/>
      <c r="R763" s="1323"/>
      <c r="S763" s="1323"/>
      <c r="T763" s="1323"/>
      <c r="U763" s="1323"/>
      <c r="V763" s="1323"/>
      <c r="W763" s="1323"/>
      <c r="X763" s="1323"/>
      <c r="Y763" s="1323"/>
      <c r="Z763" s="1323"/>
    </row>
    <row r="764" spans="1:26" ht="19.5" hidden="1">
      <c r="A764" s="1319"/>
      <c r="B764" s="1324"/>
      <c r="C764" s="1320"/>
      <c r="D764" s="1453" t="s">
        <v>21</v>
      </c>
      <c r="E764" s="1320"/>
      <c r="F764" s="1320"/>
      <c r="G764" s="1322"/>
      <c r="H764" s="781" t="s">
        <v>12</v>
      </c>
      <c r="I764" s="1000"/>
      <c r="J764" s="1000"/>
      <c r="K764" s="1001"/>
      <c r="L764" s="1352">
        <f t="shared" ref="L764:N764" si="307">L765+L766</f>
        <v>0</v>
      </c>
      <c r="M764" s="1352">
        <f t="shared" si="307"/>
        <v>0</v>
      </c>
      <c r="N764" s="1352">
        <f t="shared" si="307"/>
        <v>0</v>
      </c>
      <c r="O764" s="1352">
        <f t="shared" ref="O764:O766" si="308">IF(L764&gt;0,N764*100/L764,0)</f>
        <v>0</v>
      </c>
      <c r="P764" s="1352">
        <f t="shared" ref="P764:P766" si="309">IF(M764&gt;0,N764*100/M764,0)</f>
        <v>0</v>
      </c>
      <c r="Q764" s="1323"/>
      <c r="R764" s="1323"/>
      <c r="S764" s="1323"/>
      <c r="T764" s="1323"/>
      <c r="U764" s="1323"/>
      <c r="V764" s="1323"/>
      <c r="W764" s="1323"/>
      <c r="X764" s="1323"/>
      <c r="Y764" s="1323"/>
      <c r="Z764" s="1323"/>
    </row>
    <row r="765" spans="1:26" ht="18.75" hidden="1">
      <c r="A765" s="1319"/>
      <c r="B765" s="1324"/>
      <c r="C765" s="1320"/>
      <c r="D765" s="1320"/>
      <c r="E765" s="1320" t="s">
        <v>18</v>
      </c>
      <c r="F765" s="1320"/>
      <c r="G765" s="1322"/>
      <c r="H765" s="165" t="s">
        <v>12</v>
      </c>
      <c r="I765" s="1000"/>
      <c r="J765" s="1000"/>
      <c r="K765" s="1001"/>
      <c r="L765" s="887">
        <v>0</v>
      </c>
      <c r="M765" s="887">
        <v>0</v>
      </c>
      <c r="N765" s="887">
        <v>0</v>
      </c>
      <c r="O765" s="887">
        <f t="shared" si="308"/>
        <v>0</v>
      </c>
      <c r="P765" s="887">
        <f t="shared" si="309"/>
        <v>0</v>
      </c>
      <c r="Q765" s="1323"/>
      <c r="R765" s="1323"/>
      <c r="S765" s="1323"/>
      <c r="T765" s="1323"/>
      <c r="U765" s="1323"/>
      <c r="V765" s="1323"/>
      <c r="W765" s="1323"/>
      <c r="X765" s="1323"/>
      <c r="Y765" s="1323"/>
      <c r="Z765" s="1323"/>
    </row>
    <row r="766" spans="1:26" ht="18.75" hidden="1">
      <c r="A766" s="1319"/>
      <c r="B766" s="1324"/>
      <c r="C766" s="1320"/>
      <c r="D766" s="1320"/>
      <c r="E766" s="1320" t="s">
        <v>19</v>
      </c>
      <c r="F766" s="1320"/>
      <c r="G766" s="1322"/>
      <c r="H766" s="169" t="s">
        <v>12</v>
      </c>
      <c r="I766" s="1000"/>
      <c r="J766" s="1000"/>
      <c r="K766" s="1001"/>
      <c r="L766" s="887">
        <v>0</v>
      </c>
      <c r="M766" s="887">
        <v>0</v>
      </c>
      <c r="N766" s="887">
        <v>0</v>
      </c>
      <c r="O766" s="887">
        <f t="shared" si="308"/>
        <v>0</v>
      </c>
      <c r="P766" s="887">
        <f t="shared" si="309"/>
        <v>0</v>
      </c>
      <c r="Q766" s="1323"/>
      <c r="R766" s="1323"/>
      <c r="S766" s="1323"/>
      <c r="T766" s="1323"/>
      <c r="U766" s="1323"/>
      <c r="V766" s="1323"/>
      <c r="W766" s="1323"/>
      <c r="X766" s="1323"/>
      <c r="Y766" s="1323"/>
      <c r="Z766" s="1323"/>
    </row>
    <row r="767" spans="1:26" ht="19.5" hidden="1">
      <c r="A767" s="1332"/>
      <c r="B767" s="1333"/>
      <c r="C767" s="1320" t="s">
        <v>16</v>
      </c>
      <c r="D767" s="1454" t="s">
        <v>38</v>
      </c>
      <c r="E767" s="1356"/>
      <c r="F767" s="1356"/>
      <c r="G767" s="1357"/>
      <c r="H767" s="1113"/>
      <c r="I767" s="1000"/>
      <c r="J767" s="1000"/>
      <c r="K767" s="1001"/>
      <c r="L767" s="1001"/>
      <c r="M767" s="1001"/>
      <c r="N767" s="1001"/>
      <c r="O767" s="1001"/>
      <c r="P767" s="1001"/>
      <c r="Q767" s="1323"/>
      <c r="R767" s="1323"/>
      <c r="S767" s="1323"/>
      <c r="T767" s="1323"/>
      <c r="U767" s="1323"/>
      <c r="V767" s="1323"/>
      <c r="W767" s="1323"/>
      <c r="X767" s="1323"/>
      <c r="Y767" s="1323"/>
      <c r="Z767" s="1323"/>
    </row>
    <row r="768" spans="1:26" ht="18.75" hidden="1">
      <c r="A768" s="1354"/>
      <c r="B768" s="1324"/>
      <c r="C768" s="1320"/>
      <c r="D768" s="1320"/>
      <c r="E768" s="1320" t="s">
        <v>317</v>
      </c>
      <c r="F768" s="1320"/>
      <c r="G768" s="1322"/>
      <c r="H768" s="165" t="s">
        <v>46</v>
      </c>
      <c r="I768" s="886"/>
      <c r="J768" s="886"/>
      <c r="K768" s="887"/>
      <c r="L768" s="887"/>
      <c r="M768" s="887"/>
      <c r="N768" s="887"/>
      <c r="O768" s="887"/>
      <c r="P768" s="887"/>
      <c r="Q768" s="1323"/>
      <c r="R768" s="1323"/>
      <c r="S768" s="1323"/>
      <c r="T768" s="1323"/>
      <c r="U768" s="1323"/>
      <c r="V768" s="1323"/>
      <c r="W768" s="1323"/>
      <c r="X768" s="1323"/>
      <c r="Y768" s="1323"/>
      <c r="Z768" s="1323"/>
    </row>
    <row r="769" spans="1:26" ht="19.5" hidden="1">
      <c r="A769" s="791">
        <v>11</v>
      </c>
      <c r="B769" s="1461" t="s">
        <v>318</v>
      </c>
      <c r="C769" s="1462"/>
      <c r="D769" s="1462"/>
      <c r="E769" s="1462"/>
      <c r="F769" s="1462"/>
      <c r="G769" s="1463"/>
      <c r="H769" s="795" t="s">
        <v>46</v>
      </c>
      <c r="I769" s="1464"/>
      <c r="J769" s="1464">
        <f>J784</f>
        <v>0</v>
      </c>
      <c r="K769" s="1465">
        <f>IF(I769&gt;0,J769*100/I769,0)</f>
        <v>0</v>
      </c>
      <c r="L769" s="1466"/>
      <c r="M769" s="1466"/>
      <c r="N769" s="1466"/>
      <c r="O769" s="1466"/>
      <c r="P769" s="1466"/>
      <c r="Q769" s="1323"/>
      <c r="R769" s="1323"/>
      <c r="S769" s="1323"/>
      <c r="T769" s="1323"/>
      <c r="U769" s="1323"/>
      <c r="V769" s="1323"/>
      <c r="W769" s="1323"/>
      <c r="X769" s="1323"/>
      <c r="Y769" s="1323"/>
      <c r="Z769" s="1323"/>
    </row>
    <row r="770" spans="1:26" ht="19.5" hidden="1">
      <c r="A770" s="1319"/>
      <c r="B770" s="1320"/>
      <c r="C770" s="1320" t="s">
        <v>16</v>
      </c>
      <c r="D770" s="1351" t="s">
        <v>17</v>
      </c>
      <c r="E770" s="841"/>
      <c r="F770" s="841"/>
      <c r="G770" s="1322"/>
      <c r="H770" s="644" t="s">
        <v>12</v>
      </c>
      <c r="I770" s="886"/>
      <c r="J770" s="886"/>
      <c r="K770" s="887"/>
      <c r="L770" s="1352">
        <f t="shared" ref="L770:N770" si="310">L771+L772</f>
        <v>0</v>
      </c>
      <c r="M770" s="1352">
        <f t="shared" si="310"/>
        <v>0</v>
      </c>
      <c r="N770" s="1352">
        <f t="shared" si="310"/>
        <v>0</v>
      </c>
      <c r="O770" s="1352">
        <f t="shared" ref="O770:O775" si="311">IF(L770&gt;0,N770*100/L770,0)</f>
        <v>0</v>
      </c>
      <c r="P770" s="1352">
        <f t="shared" ref="P770:P775" si="312">IF(M770&gt;0,N770*100/M770,0)</f>
        <v>0</v>
      </c>
      <c r="Q770" s="1323"/>
      <c r="R770" s="1323"/>
      <c r="S770" s="1323"/>
      <c r="T770" s="1323"/>
      <c r="U770" s="1323"/>
      <c r="V770" s="1323"/>
      <c r="W770" s="1323"/>
      <c r="X770" s="1323"/>
      <c r="Y770" s="1323"/>
      <c r="Z770" s="1323"/>
    </row>
    <row r="771" spans="1:26" ht="18.75" hidden="1">
      <c r="A771" s="1319"/>
      <c r="B771" s="1320"/>
      <c r="C771" s="1320"/>
      <c r="D771" s="1321"/>
      <c r="E771" s="1320" t="s">
        <v>185</v>
      </c>
      <c r="F771" s="1320"/>
      <c r="G771" s="1322"/>
      <c r="H771" s="165" t="s">
        <v>12</v>
      </c>
      <c r="I771" s="886"/>
      <c r="J771" s="886"/>
      <c r="K771" s="887"/>
      <c r="L771" s="887">
        <f t="shared" ref="L771:N772" si="313">L774+L781</f>
        <v>0</v>
      </c>
      <c r="M771" s="887">
        <f t="shared" si="313"/>
        <v>0</v>
      </c>
      <c r="N771" s="887">
        <f t="shared" si="313"/>
        <v>0</v>
      </c>
      <c r="O771" s="887">
        <f t="shared" si="311"/>
        <v>0</v>
      </c>
      <c r="P771" s="887">
        <f t="shared" si="312"/>
        <v>0</v>
      </c>
      <c r="Q771" s="1323"/>
      <c r="R771" s="1323"/>
      <c r="S771" s="1323"/>
      <c r="T771" s="1323"/>
      <c r="U771" s="1323"/>
      <c r="V771" s="1323"/>
      <c r="W771" s="1323"/>
      <c r="X771" s="1323"/>
      <c r="Y771" s="1323"/>
      <c r="Z771" s="1323"/>
    </row>
    <row r="772" spans="1:26" ht="18.75" hidden="1">
      <c r="A772" s="1319"/>
      <c r="B772" s="1324"/>
      <c r="C772" s="1320"/>
      <c r="D772" s="1321"/>
      <c r="E772" s="1320" t="s">
        <v>186</v>
      </c>
      <c r="F772" s="1320"/>
      <c r="G772" s="1322"/>
      <c r="H772" s="165" t="s">
        <v>12</v>
      </c>
      <c r="I772" s="886"/>
      <c r="J772" s="886"/>
      <c r="K772" s="887"/>
      <c r="L772" s="887">
        <f t="shared" si="313"/>
        <v>0</v>
      </c>
      <c r="M772" s="887">
        <f t="shared" si="313"/>
        <v>0</v>
      </c>
      <c r="N772" s="887">
        <f t="shared" si="313"/>
        <v>0</v>
      </c>
      <c r="O772" s="887">
        <f t="shared" si="311"/>
        <v>0</v>
      </c>
      <c r="P772" s="887">
        <f t="shared" si="312"/>
        <v>0</v>
      </c>
      <c r="Q772" s="1323"/>
      <c r="R772" s="1323"/>
      <c r="S772" s="1323"/>
      <c r="T772" s="1323"/>
      <c r="U772" s="1323"/>
      <c r="V772" s="1323"/>
      <c r="W772" s="1323"/>
      <c r="X772" s="1323"/>
      <c r="Y772" s="1323"/>
      <c r="Z772" s="1323"/>
    </row>
    <row r="773" spans="1:26" ht="19.5" hidden="1">
      <c r="A773" s="1319"/>
      <c r="B773" s="1324"/>
      <c r="C773" s="1320"/>
      <c r="D773" s="1453" t="s">
        <v>20</v>
      </c>
      <c r="E773" s="1320"/>
      <c r="F773" s="1320"/>
      <c r="G773" s="1322"/>
      <c r="H773" s="644" t="s">
        <v>12</v>
      </c>
      <c r="I773" s="1000"/>
      <c r="J773" s="1000"/>
      <c r="K773" s="1001"/>
      <c r="L773" s="1352">
        <f t="shared" ref="L773:N773" si="314">L774+L775</f>
        <v>0</v>
      </c>
      <c r="M773" s="1352">
        <f t="shared" si="314"/>
        <v>0</v>
      </c>
      <c r="N773" s="1352">
        <f t="shared" si="314"/>
        <v>0</v>
      </c>
      <c r="O773" s="1352">
        <f t="shared" si="311"/>
        <v>0</v>
      </c>
      <c r="P773" s="1352">
        <f t="shared" si="312"/>
        <v>0</v>
      </c>
      <c r="Q773" s="1323"/>
      <c r="R773" s="1323"/>
      <c r="S773" s="1323"/>
      <c r="T773" s="1323"/>
      <c r="U773" s="1323"/>
      <c r="V773" s="1323"/>
      <c r="W773" s="1323"/>
      <c r="X773" s="1323"/>
      <c r="Y773" s="1323"/>
      <c r="Z773" s="1323"/>
    </row>
    <row r="774" spans="1:26" ht="18.75" hidden="1">
      <c r="A774" s="1319"/>
      <c r="B774" s="1324"/>
      <c r="C774" s="1320"/>
      <c r="D774" s="1321"/>
      <c r="E774" s="1320" t="s">
        <v>185</v>
      </c>
      <c r="F774" s="1320"/>
      <c r="G774" s="1322"/>
      <c r="H774" s="165" t="s">
        <v>12</v>
      </c>
      <c r="I774" s="886"/>
      <c r="J774" s="886"/>
      <c r="K774" s="887"/>
      <c r="L774" s="887">
        <v>0</v>
      </c>
      <c r="M774" s="887">
        <v>0</v>
      </c>
      <c r="N774" s="887">
        <v>0</v>
      </c>
      <c r="O774" s="887">
        <f t="shared" si="311"/>
        <v>0</v>
      </c>
      <c r="P774" s="887">
        <f t="shared" si="312"/>
        <v>0</v>
      </c>
      <c r="Q774" s="1323"/>
      <c r="R774" s="1323"/>
      <c r="S774" s="1323"/>
      <c r="T774" s="1323"/>
      <c r="U774" s="1323"/>
      <c r="V774" s="1323"/>
      <c r="W774" s="1323"/>
      <c r="X774" s="1323"/>
      <c r="Y774" s="1323"/>
      <c r="Z774" s="1323"/>
    </row>
    <row r="775" spans="1:26" ht="18.75" hidden="1">
      <c r="A775" s="1319"/>
      <c r="B775" s="1324"/>
      <c r="C775" s="1320"/>
      <c r="D775" s="1321"/>
      <c r="E775" s="1320" t="s">
        <v>186</v>
      </c>
      <c r="F775" s="1320"/>
      <c r="G775" s="1322"/>
      <c r="H775" s="165" t="s">
        <v>12</v>
      </c>
      <c r="I775" s="886"/>
      <c r="J775" s="886"/>
      <c r="K775" s="887"/>
      <c r="L775" s="887">
        <v>0</v>
      </c>
      <c r="M775" s="887">
        <v>0</v>
      </c>
      <c r="N775" s="887">
        <f>N776+N777+N778+N779</f>
        <v>0</v>
      </c>
      <c r="O775" s="887">
        <f t="shared" si="311"/>
        <v>0</v>
      </c>
      <c r="P775" s="887">
        <f t="shared" si="312"/>
        <v>0</v>
      </c>
      <c r="Q775" s="1323"/>
      <c r="R775" s="1323"/>
      <c r="S775" s="1323"/>
      <c r="T775" s="1323"/>
      <c r="U775" s="1323"/>
      <c r="V775" s="1323"/>
      <c r="W775" s="1323"/>
      <c r="X775" s="1323"/>
      <c r="Y775" s="1323"/>
      <c r="Z775" s="1323"/>
    </row>
    <row r="776" spans="1:26" ht="18.75" hidden="1">
      <c r="A776" s="1354"/>
      <c r="B776" s="1324"/>
      <c r="C776" s="1320"/>
      <c r="D776" s="1320"/>
      <c r="E776" s="1320"/>
      <c r="F776" s="1320" t="s">
        <v>187</v>
      </c>
      <c r="G776" s="1322"/>
      <c r="H776" s="165" t="s">
        <v>12</v>
      </c>
      <c r="I776" s="886"/>
      <c r="J776" s="886"/>
      <c r="K776" s="887"/>
      <c r="L776" s="887"/>
      <c r="M776" s="887"/>
      <c r="N776" s="887"/>
      <c r="O776" s="887"/>
      <c r="P776" s="887"/>
      <c r="Q776" s="1323"/>
      <c r="R776" s="1323"/>
      <c r="S776" s="1323"/>
      <c r="T776" s="1323"/>
      <c r="U776" s="1323"/>
      <c r="V776" s="1323"/>
      <c r="W776" s="1323"/>
      <c r="X776" s="1323"/>
      <c r="Y776" s="1323"/>
      <c r="Z776" s="1323"/>
    </row>
    <row r="777" spans="1:26" ht="18.75" hidden="1">
      <c r="A777" s="1354"/>
      <c r="B777" s="1324"/>
      <c r="C777" s="1320"/>
      <c r="D777" s="1320"/>
      <c r="E777" s="1320"/>
      <c r="F777" s="1320" t="s">
        <v>188</v>
      </c>
      <c r="G777" s="1322"/>
      <c r="H777" s="165" t="s">
        <v>12</v>
      </c>
      <c r="I777" s="886"/>
      <c r="J777" s="886"/>
      <c r="K777" s="887"/>
      <c r="L777" s="887"/>
      <c r="M777" s="887"/>
      <c r="N777" s="887"/>
      <c r="O777" s="887"/>
      <c r="P777" s="887"/>
      <c r="Q777" s="1323"/>
      <c r="R777" s="1323"/>
      <c r="S777" s="1323"/>
      <c r="T777" s="1323"/>
      <c r="U777" s="1323"/>
      <c r="V777" s="1323"/>
      <c r="W777" s="1323"/>
      <c r="X777" s="1323"/>
      <c r="Y777" s="1323"/>
      <c r="Z777" s="1323"/>
    </row>
    <row r="778" spans="1:26" ht="18.75" hidden="1">
      <c r="A778" s="1354"/>
      <c r="B778" s="1324"/>
      <c r="C778" s="1320"/>
      <c r="D778" s="1320"/>
      <c r="E778" s="1320"/>
      <c r="F778" s="1320" t="s">
        <v>189</v>
      </c>
      <c r="G778" s="1322"/>
      <c r="H778" s="165" t="s">
        <v>12</v>
      </c>
      <c r="I778" s="886"/>
      <c r="J778" s="886"/>
      <c r="K778" s="887"/>
      <c r="L778" s="887"/>
      <c r="M778" s="887"/>
      <c r="N778" s="887"/>
      <c r="O778" s="887"/>
      <c r="P778" s="887"/>
      <c r="Q778" s="1323"/>
      <c r="R778" s="1323"/>
      <c r="S778" s="1323"/>
      <c r="T778" s="1323"/>
      <c r="U778" s="1323"/>
      <c r="V778" s="1323"/>
      <c r="W778" s="1323"/>
      <c r="X778" s="1323"/>
      <c r="Y778" s="1323"/>
      <c r="Z778" s="1323"/>
    </row>
    <row r="779" spans="1:26" ht="18.75" hidden="1">
      <c r="A779" s="1354"/>
      <c r="B779" s="1324"/>
      <c r="C779" s="1320"/>
      <c r="D779" s="1320"/>
      <c r="E779" s="1320"/>
      <c r="F779" s="1320" t="s">
        <v>190</v>
      </c>
      <c r="G779" s="1322"/>
      <c r="H779" s="165" t="s">
        <v>12</v>
      </c>
      <c r="I779" s="886"/>
      <c r="J779" s="886"/>
      <c r="K779" s="887"/>
      <c r="L779" s="887"/>
      <c r="M779" s="887"/>
      <c r="N779" s="887"/>
      <c r="O779" s="887"/>
      <c r="P779" s="887"/>
      <c r="Q779" s="1323"/>
      <c r="R779" s="1323"/>
      <c r="S779" s="1323"/>
      <c r="T779" s="1323"/>
      <c r="U779" s="1323"/>
      <c r="V779" s="1323"/>
      <c r="W779" s="1323"/>
      <c r="X779" s="1323"/>
      <c r="Y779" s="1323"/>
      <c r="Z779" s="1323"/>
    </row>
    <row r="780" spans="1:26" ht="19.5" hidden="1">
      <c r="A780" s="1319"/>
      <c r="B780" s="1324"/>
      <c r="C780" s="1320"/>
      <c r="D780" s="1453" t="s">
        <v>21</v>
      </c>
      <c r="E780" s="1320"/>
      <c r="F780" s="1320"/>
      <c r="G780" s="1322"/>
      <c r="H780" s="781" t="s">
        <v>12</v>
      </c>
      <c r="I780" s="1000"/>
      <c r="J780" s="1000"/>
      <c r="K780" s="1001"/>
      <c r="L780" s="1352">
        <f t="shared" ref="L780:N780" si="315">L781+L782</f>
        <v>0</v>
      </c>
      <c r="M780" s="1352">
        <f t="shared" si="315"/>
        <v>0</v>
      </c>
      <c r="N780" s="1352">
        <f t="shared" si="315"/>
        <v>0</v>
      </c>
      <c r="O780" s="1352">
        <f t="shared" ref="O780:O782" si="316">IF(L780&gt;0,N780*100/L780,0)</f>
        <v>0</v>
      </c>
      <c r="P780" s="1352">
        <f t="shared" ref="P780:P782" si="317">IF(M780&gt;0,N780*100/M780,0)</f>
        <v>0</v>
      </c>
      <c r="Q780" s="1323"/>
      <c r="R780" s="1323"/>
      <c r="S780" s="1323"/>
      <c r="T780" s="1323"/>
      <c r="U780" s="1323"/>
      <c r="V780" s="1323"/>
      <c r="W780" s="1323"/>
      <c r="X780" s="1323"/>
      <c r="Y780" s="1323"/>
      <c r="Z780" s="1323"/>
    </row>
    <row r="781" spans="1:26" ht="18.75" hidden="1">
      <c r="A781" s="1319"/>
      <c r="B781" s="1324"/>
      <c r="C781" s="1320"/>
      <c r="D781" s="1320"/>
      <c r="E781" s="1320" t="s">
        <v>18</v>
      </c>
      <c r="F781" s="1320"/>
      <c r="G781" s="1322"/>
      <c r="H781" s="165" t="s">
        <v>12</v>
      </c>
      <c r="I781" s="1000"/>
      <c r="J781" s="1000"/>
      <c r="K781" s="1001"/>
      <c r="L781" s="887">
        <v>0</v>
      </c>
      <c r="M781" s="887">
        <v>0</v>
      </c>
      <c r="N781" s="887">
        <v>0</v>
      </c>
      <c r="O781" s="887">
        <f t="shared" si="316"/>
        <v>0</v>
      </c>
      <c r="P781" s="887">
        <f t="shared" si="317"/>
        <v>0</v>
      </c>
      <c r="Q781" s="1323"/>
      <c r="R781" s="1323"/>
      <c r="S781" s="1323"/>
      <c r="T781" s="1323"/>
      <c r="U781" s="1323"/>
      <c r="V781" s="1323"/>
      <c r="W781" s="1323"/>
      <c r="X781" s="1323"/>
      <c r="Y781" s="1323"/>
      <c r="Z781" s="1323"/>
    </row>
    <row r="782" spans="1:26" ht="18.75" hidden="1">
      <c r="A782" s="1319"/>
      <c r="B782" s="1324"/>
      <c r="C782" s="1320"/>
      <c r="D782" s="1320"/>
      <c r="E782" s="1320" t="s">
        <v>19</v>
      </c>
      <c r="F782" s="1320"/>
      <c r="G782" s="1322"/>
      <c r="H782" s="169" t="s">
        <v>12</v>
      </c>
      <c r="I782" s="1000"/>
      <c r="J782" s="1000"/>
      <c r="K782" s="1001"/>
      <c r="L782" s="887">
        <v>0</v>
      </c>
      <c r="M782" s="887">
        <v>0</v>
      </c>
      <c r="N782" s="887">
        <v>0</v>
      </c>
      <c r="O782" s="887">
        <f t="shared" si="316"/>
        <v>0</v>
      </c>
      <c r="P782" s="887">
        <f t="shared" si="317"/>
        <v>0</v>
      </c>
      <c r="Q782" s="1323"/>
      <c r="R782" s="1323"/>
      <c r="S782" s="1323"/>
      <c r="T782" s="1323"/>
      <c r="U782" s="1323"/>
      <c r="V782" s="1323"/>
      <c r="W782" s="1323"/>
      <c r="X782" s="1323"/>
      <c r="Y782" s="1323"/>
      <c r="Z782" s="1323"/>
    </row>
    <row r="783" spans="1:26" ht="19.5" hidden="1">
      <c r="A783" s="1332"/>
      <c r="B783" s="1333"/>
      <c r="C783" s="1320" t="s">
        <v>16</v>
      </c>
      <c r="D783" s="1454" t="s">
        <v>38</v>
      </c>
      <c r="E783" s="1356"/>
      <c r="F783" s="1356"/>
      <c r="G783" s="1357"/>
      <c r="H783" s="1467"/>
      <c r="I783" s="1000"/>
      <c r="J783" s="1000"/>
      <c r="K783" s="1001"/>
      <c r="L783" s="1001"/>
      <c r="M783" s="1001"/>
      <c r="N783" s="1001"/>
      <c r="O783" s="1001"/>
      <c r="P783" s="1001"/>
      <c r="Q783" s="1323"/>
      <c r="R783" s="1323"/>
      <c r="S783" s="1323"/>
      <c r="T783" s="1323"/>
      <c r="U783" s="1323"/>
      <c r="V783" s="1323"/>
      <c r="W783" s="1323"/>
      <c r="X783" s="1323"/>
      <c r="Y783" s="1323"/>
      <c r="Z783" s="1323"/>
    </row>
    <row r="784" spans="1:26" ht="18.75" hidden="1">
      <c r="A784" s="1354"/>
      <c r="B784" s="1324"/>
      <c r="C784" s="1320"/>
      <c r="D784" s="1320"/>
      <c r="E784" s="1320" t="s">
        <v>319</v>
      </c>
      <c r="F784" s="1320"/>
      <c r="G784" s="1322"/>
      <c r="H784" s="165" t="s">
        <v>46</v>
      </c>
      <c r="I784" s="886"/>
      <c r="J784" s="886"/>
      <c r="K784" s="887"/>
      <c r="L784" s="887"/>
      <c r="M784" s="887"/>
      <c r="N784" s="887"/>
      <c r="O784" s="887"/>
      <c r="P784" s="887"/>
      <c r="Q784" s="1323"/>
      <c r="R784" s="1323"/>
      <c r="S784" s="1323"/>
      <c r="T784" s="1323"/>
      <c r="U784" s="1323"/>
      <c r="V784" s="1323"/>
      <c r="W784" s="1323"/>
      <c r="X784" s="1323"/>
      <c r="Y784" s="1323"/>
      <c r="Z784" s="1323"/>
    </row>
    <row r="785" spans="1:26" ht="19.5" hidden="1">
      <c r="A785" s="800">
        <v>12</v>
      </c>
      <c r="B785" s="1468" t="s">
        <v>320</v>
      </c>
      <c r="C785" s="1469"/>
      <c r="D785" s="1469"/>
      <c r="E785" s="1469"/>
      <c r="F785" s="1469"/>
      <c r="G785" s="1470"/>
      <c r="H785" s="804" t="s">
        <v>46</v>
      </c>
      <c r="I785" s="1471">
        <f t="shared" ref="I785:J785" ca="1" si="318">I800</f>
        <v>0</v>
      </c>
      <c r="J785" s="1472">
        <f t="shared" ca="1" si="318"/>
        <v>0</v>
      </c>
      <c r="K785" s="1473">
        <f ca="1">IF(I785&gt;0,J785*100/I785,0)</f>
        <v>0</v>
      </c>
      <c r="L785" s="1474"/>
      <c r="M785" s="1474"/>
      <c r="N785" s="1474"/>
      <c r="O785" s="1474"/>
      <c r="P785" s="1474"/>
      <c r="Q785" s="1302"/>
      <c r="R785" s="1302"/>
      <c r="S785" s="1302"/>
      <c r="T785" s="1302"/>
      <c r="U785" s="1302"/>
      <c r="V785" s="1302"/>
      <c r="W785" s="1302"/>
      <c r="X785" s="1302"/>
      <c r="Y785" s="1302"/>
      <c r="Z785" s="1302"/>
    </row>
    <row r="786" spans="1:26" ht="19.5" hidden="1">
      <c r="A786" s="1317"/>
      <c r="B786" s="1300"/>
      <c r="C786" s="1301" t="s">
        <v>16</v>
      </c>
      <c r="D786" s="1318" t="s">
        <v>17</v>
      </c>
      <c r="E786" s="841"/>
      <c r="F786" s="841"/>
      <c r="G786" s="1016"/>
      <c r="H786" s="597" t="s">
        <v>12</v>
      </c>
      <c r="I786" s="880"/>
      <c r="J786" s="880"/>
      <c r="K786" s="881"/>
      <c r="L786" s="1020">
        <f t="shared" ref="L786:N786" ca="1" si="319">L787+L788</f>
        <v>0</v>
      </c>
      <c r="M786" s="1020">
        <f t="shared" si="319"/>
        <v>0</v>
      </c>
      <c r="N786" s="1020">
        <f t="shared" si="319"/>
        <v>0</v>
      </c>
      <c r="O786" s="1020">
        <f t="shared" ref="O786:O791" ca="1" si="320">IF(L786&gt;0,N786*100/L786,0)</f>
        <v>0</v>
      </c>
      <c r="P786" s="1020">
        <f t="shared" ref="P786:P791" si="321">IF(M786&gt;0,N786*100/M786,0)</f>
        <v>0</v>
      </c>
      <c r="Q786" s="1302"/>
      <c r="R786" s="1302"/>
      <c r="S786" s="1302"/>
      <c r="T786" s="1302"/>
      <c r="U786" s="1302"/>
      <c r="V786" s="1302"/>
      <c r="W786" s="1302"/>
      <c r="X786" s="1302"/>
      <c r="Y786" s="1302"/>
      <c r="Z786" s="1302"/>
    </row>
    <row r="787" spans="1:26" ht="18.75" hidden="1">
      <c r="A787" s="1319"/>
      <c r="B787" s="1324"/>
      <c r="C787" s="1320"/>
      <c r="D787" s="1321"/>
      <c r="E787" s="1320" t="s">
        <v>185</v>
      </c>
      <c r="F787" s="1320"/>
      <c r="G787" s="1322"/>
      <c r="H787" s="165" t="s">
        <v>12</v>
      </c>
      <c r="I787" s="886"/>
      <c r="J787" s="886"/>
      <c r="K787" s="887"/>
      <c r="L787" s="887">
        <f t="shared" ref="L787:N788" si="322">L790+L797</f>
        <v>0</v>
      </c>
      <c r="M787" s="887">
        <f t="shared" si="322"/>
        <v>0</v>
      </c>
      <c r="N787" s="887">
        <f t="shared" si="322"/>
        <v>0</v>
      </c>
      <c r="O787" s="887">
        <f t="shared" si="320"/>
        <v>0</v>
      </c>
      <c r="P787" s="887">
        <f t="shared" si="321"/>
        <v>0</v>
      </c>
      <c r="Q787" s="1323"/>
      <c r="R787" s="1323"/>
      <c r="S787" s="1323"/>
      <c r="T787" s="1323"/>
      <c r="U787" s="1323"/>
      <c r="V787" s="1323"/>
      <c r="W787" s="1323"/>
      <c r="X787" s="1323"/>
      <c r="Y787" s="1323"/>
      <c r="Z787" s="1323"/>
    </row>
    <row r="788" spans="1:26" ht="18.75" hidden="1">
      <c r="A788" s="1319"/>
      <c r="B788" s="1324"/>
      <c r="C788" s="1324"/>
      <c r="D788" s="1333"/>
      <c r="E788" s="1320" t="s">
        <v>186</v>
      </c>
      <c r="F788" s="1320"/>
      <c r="G788" s="1322"/>
      <c r="H788" s="165" t="s">
        <v>12</v>
      </c>
      <c r="I788" s="886"/>
      <c r="J788" s="886"/>
      <c r="K788" s="887"/>
      <c r="L788" s="887">
        <f t="shared" ca="1" si="322"/>
        <v>0</v>
      </c>
      <c r="M788" s="887">
        <f t="shared" si="322"/>
        <v>0</v>
      </c>
      <c r="N788" s="887">
        <f t="shared" si="322"/>
        <v>0</v>
      </c>
      <c r="O788" s="887">
        <f t="shared" ca="1" si="320"/>
        <v>0</v>
      </c>
      <c r="P788" s="887">
        <f t="shared" si="321"/>
        <v>0</v>
      </c>
      <c r="Q788" s="1323"/>
      <c r="R788" s="1323"/>
      <c r="S788" s="1323"/>
      <c r="T788" s="1323"/>
      <c r="U788" s="1323"/>
      <c r="V788" s="1323"/>
      <c r="W788" s="1323"/>
      <c r="X788" s="1323"/>
      <c r="Y788" s="1323"/>
      <c r="Z788" s="1323"/>
    </row>
    <row r="789" spans="1:26" ht="18.75" hidden="1">
      <c r="A789" s="1317"/>
      <c r="B789" s="1300"/>
      <c r="C789" s="1300"/>
      <c r="D789" s="1325" t="s">
        <v>20</v>
      </c>
      <c r="E789" s="1301"/>
      <c r="F789" s="1301"/>
      <c r="G789" s="1016"/>
      <c r="H789" s="161" t="s">
        <v>12</v>
      </c>
      <c r="I789" s="997"/>
      <c r="J789" s="997"/>
      <c r="K789" s="998"/>
      <c r="L789" s="881">
        <f t="shared" ref="L789:N789" ca="1" si="323">L790+L791</f>
        <v>0</v>
      </c>
      <c r="M789" s="881">
        <f t="shared" si="323"/>
        <v>0</v>
      </c>
      <c r="N789" s="881">
        <f t="shared" si="323"/>
        <v>0</v>
      </c>
      <c r="O789" s="881">
        <f t="shared" ca="1" si="320"/>
        <v>0</v>
      </c>
      <c r="P789" s="881">
        <f t="shared" si="321"/>
        <v>0</v>
      </c>
      <c r="Q789" s="1302"/>
      <c r="R789" s="1302"/>
      <c r="S789" s="1302"/>
      <c r="T789" s="1302"/>
      <c r="U789" s="1302"/>
      <c r="V789" s="1302"/>
      <c r="W789" s="1302"/>
      <c r="X789" s="1302"/>
      <c r="Y789" s="1302"/>
      <c r="Z789" s="1302"/>
    </row>
    <row r="790" spans="1:26" ht="18.75" hidden="1">
      <c r="A790" s="1319"/>
      <c r="B790" s="1324"/>
      <c r="C790" s="1324"/>
      <c r="D790" s="1333"/>
      <c r="E790" s="1320" t="s">
        <v>185</v>
      </c>
      <c r="F790" s="1320"/>
      <c r="G790" s="1322"/>
      <c r="H790" s="165" t="s">
        <v>12</v>
      </c>
      <c r="I790" s="886"/>
      <c r="J790" s="886"/>
      <c r="K790" s="887"/>
      <c r="L790" s="887">
        <v>0</v>
      </c>
      <c r="M790" s="887">
        <v>0</v>
      </c>
      <c r="N790" s="887">
        <v>0</v>
      </c>
      <c r="O790" s="887">
        <f t="shared" si="320"/>
        <v>0</v>
      </c>
      <c r="P790" s="887">
        <f t="shared" si="321"/>
        <v>0</v>
      </c>
      <c r="Q790" s="1323"/>
      <c r="R790" s="1323"/>
      <c r="S790" s="1323"/>
      <c r="T790" s="1323"/>
      <c r="U790" s="1323"/>
      <c r="V790" s="1323"/>
      <c r="W790" s="1323"/>
      <c r="X790" s="1323"/>
      <c r="Y790" s="1323"/>
      <c r="Z790" s="1323"/>
    </row>
    <row r="791" spans="1:26" ht="18.75" hidden="1">
      <c r="A791" s="1319"/>
      <c r="B791" s="1324"/>
      <c r="C791" s="1324"/>
      <c r="D791" s="1333"/>
      <c r="E791" s="1320" t="s">
        <v>186</v>
      </c>
      <c r="F791" s="1320"/>
      <c r="G791" s="1322"/>
      <c r="H791" s="165" t="s">
        <v>12</v>
      </c>
      <c r="I791" s="886"/>
      <c r="J791" s="886"/>
      <c r="K791" s="887"/>
      <c r="L791" s="887">
        <f ca="1">IFERROR(__xludf.DUMMYFUNCTION("IMPORTRANGE(""https://docs.google.com/spreadsheets/d/1QqKyyYR6Q21VydFLVH3TRQUabQu_ym0Zz7PgGX0-kHA/edit?usp=sharing"",""แผน!JJ80"")"),0)</f>
        <v>0</v>
      </c>
      <c r="M791" s="887">
        <v>0</v>
      </c>
      <c r="N791" s="887">
        <f>N792+N793+N794+N795</f>
        <v>0</v>
      </c>
      <c r="O791" s="887">
        <f t="shared" ca="1" si="320"/>
        <v>0</v>
      </c>
      <c r="P791" s="887">
        <f t="shared" si="321"/>
        <v>0</v>
      </c>
      <c r="Q791" s="1323"/>
      <c r="R791" s="1323"/>
      <c r="S791" s="1323"/>
      <c r="T791" s="1323"/>
      <c r="U791" s="1323"/>
      <c r="V791" s="1323"/>
      <c r="W791" s="1323"/>
      <c r="X791" s="1323"/>
      <c r="Y791" s="1323"/>
      <c r="Z791" s="1323"/>
    </row>
    <row r="792" spans="1:26" ht="18.75" hidden="1">
      <c r="A792" s="1299"/>
      <c r="B792" s="1300"/>
      <c r="C792" s="1301"/>
      <c r="D792" s="1301"/>
      <c r="E792" s="1301"/>
      <c r="F792" s="1301" t="s">
        <v>187</v>
      </c>
      <c r="G792" s="1016"/>
      <c r="H792" s="161" t="s">
        <v>12</v>
      </c>
      <c r="I792" s="880"/>
      <c r="J792" s="880"/>
      <c r="K792" s="881"/>
      <c r="L792" s="881"/>
      <c r="M792" s="881"/>
      <c r="N792" s="1085">
        <v>0</v>
      </c>
      <c r="O792" s="881"/>
      <c r="P792" s="881"/>
      <c r="Q792" s="1302"/>
      <c r="R792" s="1302"/>
      <c r="S792" s="1302"/>
      <c r="T792" s="1302"/>
      <c r="U792" s="1302"/>
      <c r="V792" s="1302"/>
      <c r="W792" s="1302"/>
      <c r="X792" s="1302"/>
      <c r="Y792" s="1302"/>
      <c r="Z792" s="1302"/>
    </row>
    <row r="793" spans="1:26" ht="18.75" hidden="1">
      <c r="A793" s="1299"/>
      <c r="B793" s="1300"/>
      <c r="C793" s="1301"/>
      <c r="D793" s="1301"/>
      <c r="E793" s="1301"/>
      <c r="F793" s="1301" t="s">
        <v>188</v>
      </c>
      <c r="G793" s="1016"/>
      <c r="H793" s="161" t="s">
        <v>12</v>
      </c>
      <c r="I793" s="880"/>
      <c r="J793" s="880"/>
      <c r="K793" s="881"/>
      <c r="L793" s="881"/>
      <c r="M793" s="881"/>
      <c r="N793" s="1085">
        <v>0</v>
      </c>
      <c r="O793" s="881"/>
      <c r="P793" s="881"/>
      <c r="Q793" s="1302"/>
      <c r="R793" s="1302"/>
      <c r="S793" s="1302"/>
      <c r="T793" s="1302"/>
      <c r="U793" s="1302"/>
      <c r="V793" s="1302"/>
      <c r="W793" s="1302"/>
      <c r="X793" s="1302"/>
      <c r="Y793" s="1302"/>
      <c r="Z793" s="1302"/>
    </row>
    <row r="794" spans="1:26" ht="18.75" hidden="1">
      <c r="A794" s="1299"/>
      <c r="B794" s="1300"/>
      <c r="C794" s="1301"/>
      <c r="D794" s="1301"/>
      <c r="E794" s="1301"/>
      <c r="F794" s="1301" t="s">
        <v>189</v>
      </c>
      <c r="G794" s="1016"/>
      <c r="H794" s="161" t="s">
        <v>12</v>
      </c>
      <c r="I794" s="880"/>
      <c r="J794" s="880"/>
      <c r="K794" s="881"/>
      <c r="L794" s="881"/>
      <c r="M794" s="881"/>
      <c r="N794" s="1085">
        <v>0</v>
      </c>
      <c r="O794" s="881"/>
      <c r="P794" s="881"/>
      <c r="Q794" s="1302"/>
      <c r="R794" s="1302"/>
      <c r="S794" s="1302"/>
      <c r="T794" s="1302"/>
      <c r="U794" s="1302"/>
      <c r="V794" s="1302"/>
      <c r="W794" s="1302"/>
      <c r="X794" s="1302"/>
      <c r="Y794" s="1302"/>
      <c r="Z794" s="1302"/>
    </row>
    <row r="795" spans="1:26" ht="18.75" hidden="1">
      <c r="A795" s="1299"/>
      <c r="B795" s="1300"/>
      <c r="C795" s="1301"/>
      <c r="D795" s="1301"/>
      <c r="E795" s="1301"/>
      <c r="F795" s="1301" t="s">
        <v>190</v>
      </c>
      <c r="G795" s="1016"/>
      <c r="H795" s="161" t="s">
        <v>12</v>
      </c>
      <c r="I795" s="880"/>
      <c r="J795" s="880"/>
      <c r="K795" s="881"/>
      <c r="L795" s="881"/>
      <c r="M795" s="881"/>
      <c r="N795" s="1085">
        <v>0</v>
      </c>
      <c r="O795" s="881"/>
      <c r="P795" s="881"/>
      <c r="Q795" s="1302"/>
      <c r="R795" s="1302"/>
      <c r="S795" s="1302"/>
      <c r="T795" s="1302"/>
      <c r="U795" s="1302"/>
      <c r="V795" s="1302"/>
      <c r="W795" s="1302"/>
      <c r="X795" s="1302"/>
      <c r="Y795" s="1302"/>
      <c r="Z795" s="1302"/>
    </row>
    <row r="796" spans="1:26" ht="18.75" hidden="1">
      <c r="A796" s="1317"/>
      <c r="B796" s="1300"/>
      <c r="C796" s="1301"/>
      <c r="D796" s="1325" t="s">
        <v>21</v>
      </c>
      <c r="E796" s="1301"/>
      <c r="F796" s="1301"/>
      <c r="G796" s="1016"/>
      <c r="H796" s="168" t="s">
        <v>12</v>
      </c>
      <c r="I796" s="997"/>
      <c r="J796" s="997"/>
      <c r="K796" s="998"/>
      <c r="L796" s="881">
        <f t="shared" ref="L796:N796" si="324">L797+L798</f>
        <v>0</v>
      </c>
      <c r="M796" s="881">
        <f t="shared" si="324"/>
        <v>0</v>
      </c>
      <c r="N796" s="881">
        <f t="shared" si="324"/>
        <v>0</v>
      </c>
      <c r="O796" s="881">
        <f t="shared" ref="O796:O798" si="325">IF(L796&gt;0,N796*100/L796,0)</f>
        <v>0</v>
      </c>
      <c r="P796" s="881">
        <f t="shared" ref="P796:P798" si="326">IF(M796&gt;0,N796*100/M796,0)</f>
        <v>0</v>
      </c>
      <c r="Q796" s="1302"/>
      <c r="R796" s="1302"/>
      <c r="S796" s="1302"/>
      <c r="T796" s="1302"/>
      <c r="U796" s="1302"/>
      <c r="V796" s="1302"/>
      <c r="W796" s="1302"/>
      <c r="X796" s="1302"/>
      <c r="Y796" s="1302"/>
      <c r="Z796" s="1302"/>
    </row>
    <row r="797" spans="1:26" ht="18.75" hidden="1">
      <c r="A797" s="1319"/>
      <c r="B797" s="1324"/>
      <c r="C797" s="1320"/>
      <c r="D797" s="1320"/>
      <c r="E797" s="1320" t="s">
        <v>18</v>
      </c>
      <c r="F797" s="1320"/>
      <c r="G797" s="1322"/>
      <c r="H797" s="165" t="s">
        <v>12</v>
      </c>
      <c r="I797" s="1000"/>
      <c r="J797" s="1000"/>
      <c r="K797" s="1001"/>
      <c r="L797" s="887">
        <v>0</v>
      </c>
      <c r="M797" s="887">
        <v>0</v>
      </c>
      <c r="N797" s="887">
        <v>0</v>
      </c>
      <c r="O797" s="887">
        <f t="shared" si="325"/>
        <v>0</v>
      </c>
      <c r="P797" s="887">
        <f t="shared" si="326"/>
        <v>0</v>
      </c>
      <c r="Q797" s="1323"/>
      <c r="R797" s="1323"/>
      <c r="S797" s="1323"/>
      <c r="T797" s="1323"/>
      <c r="U797" s="1323"/>
      <c r="V797" s="1323"/>
      <c r="W797" s="1323"/>
      <c r="X797" s="1323"/>
      <c r="Y797" s="1323"/>
      <c r="Z797" s="1323"/>
    </row>
    <row r="798" spans="1:26" ht="18.75" hidden="1">
      <c r="A798" s="1319"/>
      <c r="B798" s="1324"/>
      <c r="C798" s="1320"/>
      <c r="D798" s="1320"/>
      <c r="E798" s="1320" t="s">
        <v>19</v>
      </c>
      <c r="F798" s="1320"/>
      <c r="G798" s="1322"/>
      <c r="H798" s="169" t="s">
        <v>12</v>
      </c>
      <c r="I798" s="1000"/>
      <c r="J798" s="1000"/>
      <c r="K798" s="1001"/>
      <c r="L798" s="887">
        <v>0</v>
      </c>
      <c r="M798" s="887">
        <v>0</v>
      </c>
      <c r="N798" s="887">
        <v>0</v>
      </c>
      <c r="O798" s="887">
        <f t="shared" si="325"/>
        <v>0</v>
      </c>
      <c r="P798" s="887">
        <f t="shared" si="326"/>
        <v>0</v>
      </c>
      <c r="Q798" s="1323"/>
      <c r="R798" s="1323"/>
      <c r="S798" s="1323"/>
      <c r="T798" s="1323"/>
      <c r="U798" s="1323"/>
      <c r="V798" s="1323"/>
      <c r="W798" s="1323"/>
      <c r="X798" s="1323"/>
      <c r="Y798" s="1323"/>
      <c r="Z798" s="1323"/>
    </row>
    <row r="799" spans="1:26" ht="19.5" hidden="1">
      <c r="A799" s="1326"/>
      <c r="B799" s="1327"/>
      <c r="C799" s="1301" t="s">
        <v>16</v>
      </c>
      <c r="D799" s="1439" t="s">
        <v>38</v>
      </c>
      <c r="E799" s="1330"/>
      <c r="F799" s="1330"/>
      <c r="G799" s="1331"/>
      <c r="H799" s="1475"/>
      <c r="I799" s="997"/>
      <c r="J799" s="997"/>
      <c r="K799" s="998"/>
      <c r="L799" s="998"/>
      <c r="M799" s="998"/>
      <c r="N799" s="998"/>
      <c r="O799" s="998"/>
      <c r="P799" s="998"/>
      <c r="Q799" s="1302"/>
      <c r="R799" s="1302"/>
      <c r="S799" s="1302"/>
      <c r="T799" s="1302"/>
      <c r="U799" s="1302"/>
      <c r="V799" s="1302"/>
      <c r="W799" s="1302"/>
      <c r="X799" s="1302"/>
      <c r="Y799" s="1302"/>
      <c r="Z799" s="1302"/>
    </row>
    <row r="800" spans="1:26" ht="18.75" hidden="1">
      <c r="A800" s="1326"/>
      <c r="B800" s="1327"/>
      <c r="C800" s="1327"/>
      <c r="D800" s="1327"/>
      <c r="E800" s="1014"/>
      <c r="F800" s="1014" t="s">
        <v>321</v>
      </c>
      <c r="G800" s="1007"/>
      <c r="H800" s="185" t="s">
        <v>46</v>
      </c>
      <c r="I800" s="997">
        <f ca="1">IFERROR(__xludf.DUMMYFUNCTION("IMPORTRANGE(""https://docs.google.com/spreadsheets/d/1QqKyyYR6Q21VydFLVH3TRQUabQu_ym0Zz7PgGX0-kHA/edit?usp=sharing"",""แผน!JN80"")"),0)</f>
        <v>0</v>
      </c>
      <c r="J800" s="997">
        <f ca="1">IFERROR(__xludf.DUMMYFUNCTION("IMPORTRANGE(""https://docs.google.com/spreadsheets/d/1MaWodYyGHDf7siQLGxnXhG4mBNTNIuy296niS2xXulU/edit?usp=sharing"",""RTK!H80"")"),0)</f>
        <v>0</v>
      </c>
      <c r="K800" s="881">
        <f ca="1">IF(I800&gt;0,J800*100/I800,0)</f>
        <v>0</v>
      </c>
      <c r="L800" s="881"/>
      <c r="M800" s="881"/>
      <c r="N800" s="881"/>
      <c r="O800" s="998"/>
      <c r="P800" s="998"/>
      <c r="Q800" s="1302"/>
      <c r="R800" s="1302"/>
      <c r="S800" s="1302"/>
      <c r="T800" s="1302"/>
      <c r="U800" s="1302"/>
      <c r="V800" s="1302"/>
      <c r="W800" s="1302"/>
      <c r="X800" s="1302"/>
      <c r="Y800" s="1302"/>
      <c r="Z800" s="1302"/>
    </row>
    <row r="801" spans="1:26" ht="18.75" hidden="1">
      <c r="A801" s="1326"/>
      <c r="B801" s="1327"/>
      <c r="C801" s="1327"/>
      <c r="D801" s="1327"/>
      <c r="E801" s="1014"/>
      <c r="F801" s="1014"/>
      <c r="G801" s="1007"/>
      <c r="H801" s="161" t="s">
        <v>34</v>
      </c>
      <c r="I801" s="997"/>
      <c r="J801" s="880">
        <f ca="1">IFERROR(__xludf.DUMMYFUNCTION("IMPORTRANGE(""https://docs.google.com/spreadsheets/d/1MaWodYyGHDf7siQLGxnXhG4mBNTNIuy296niS2xXulU/edit?usp=sharing"",""RTK!I80"")"),0)</f>
        <v>0</v>
      </c>
      <c r="K801" s="881"/>
      <c r="L801" s="881"/>
      <c r="M801" s="881"/>
      <c r="N801" s="881"/>
      <c r="O801" s="998"/>
      <c r="P801" s="998"/>
      <c r="Q801" s="1302"/>
      <c r="R801" s="1302"/>
      <c r="S801" s="1302"/>
      <c r="T801" s="1302"/>
      <c r="U801" s="1302"/>
      <c r="V801" s="1302"/>
      <c r="W801" s="1302"/>
      <c r="X801" s="1302"/>
      <c r="Y801" s="1302"/>
      <c r="Z801" s="1302"/>
    </row>
    <row r="802" spans="1:26" ht="18.75" hidden="1">
      <c r="A802" s="1332"/>
      <c r="B802" s="1333"/>
      <c r="C802" s="1333"/>
      <c r="D802" s="1333"/>
      <c r="E802" s="1321"/>
      <c r="F802" s="1321" t="s">
        <v>322</v>
      </c>
      <c r="G802" s="1113"/>
      <c r="H802" s="651" t="s">
        <v>46</v>
      </c>
      <c r="I802" s="1000"/>
      <c r="J802" s="886"/>
      <c r="K802" s="1001">
        <f>IF(I802&gt;0,J802*100/I802,0)</f>
        <v>0</v>
      </c>
      <c r="L802" s="1001"/>
      <c r="M802" s="1001"/>
      <c r="N802" s="1001"/>
      <c r="O802" s="1001"/>
      <c r="P802" s="1001"/>
      <c r="Q802" s="1323"/>
      <c r="R802" s="1323"/>
      <c r="S802" s="1323"/>
      <c r="T802" s="1323"/>
      <c r="U802" s="1323"/>
      <c r="V802" s="1323"/>
      <c r="W802" s="1323"/>
      <c r="X802" s="1323"/>
      <c r="Y802" s="1323"/>
      <c r="Z802" s="1323"/>
    </row>
    <row r="803" spans="1:26" ht="18.75" hidden="1">
      <c r="A803" s="1332"/>
      <c r="B803" s="1333"/>
      <c r="C803" s="1333"/>
      <c r="D803" s="1333"/>
      <c r="E803" s="1321"/>
      <c r="F803" s="1321"/>
      <c r="G803" s="1113"/>
      <c r="H803" s="651" t="s">
        <v>34</v>
      </c>
      <c r="I803" s="1000"/>
      <c r="J803" s="886"/>
      <c r="K803" s="1001"/>
      <c r="L803" s="1001"/>
      <c r="M803" s="1001"/>
      <c r="N803" s="1001"/>
      <c r="O803" s="1001"/>
      <c r="P803" s="1001"/>
      <c r="Q803" s="1323"/>
      <c r="R803" s="1323"/>
      <c r="S803" s="1323"/>
      <c r="T803" s="1323"/>
      <c r="U803" s="1323"/>
      <c r="V803" s="1323"/>
      <c r="W803" s="1323"/>
      <c r="X803" s="1323"/>
      <c r="Y803" s="1323"/>
      <c r="Z803" s="1323"/>
    </row>
    <row r="804" spans="1:26" ht="19.5" hidden="1">
      <c r="A804" s="791">
        <v>13</v>
      </c>
      <c r="B804" s="1461" t="s">
        <v>323</v>
      </c>
      <c r="C804" s="1462"/>
      <c r="D804" s="1476"/>
      <c r="E804" s="1462"/>
      <c r="F804" s="1462"/>
      <c r="G804" s="1463"/>
      <c r="H804" s="795" t="s">
        <v>46</v>
      </c>
      <c r="I804" s="1464"/>
      <c r="J804" s="1464">
        <f>J819</f>
        <v>0</v>
      </c>
      <c r="K804" s="1465">
        <f>IF(I804&gt;0,J804*100/I804,0)</f>
        <v>0</v>
      </c>
      <c r="L804" s="1466"/>
      <c r="M804" s="1466"/>
      <c r="N804" s="1466"/>
      <c r="O804" s="1466"/>
      <c r="P804" s="1466"/>
      <c r="Q804" s="1323"/>
      <c r="R804" s="1323"/>
      <c r="S804" s="1323"/>
      <c r="T804" s="1323"/>
      <c r="U804" s="1323"/>
      <c r="V804" s="1323"/>
      <c r="W804" s="1323"/>
      <c r="X804" s="1323"/>
      <c r="Y804" s="1323"/>
      <c r="Z804" s="1323"/>
    </row>
    <row r="805" spans="1:26" ht="19.5" hidden="1">
      <c r="A805" s="1319"/>
      <c r="B805" s="1320"/>
      <c r="C805" s="1320" t="s">
        <v>16</v>
      </c>
      <c r="D805" s="1351" t="s">
        <v>17</v>
      </c>
      <c r="E805" s="841"/>
      <c r="F805" s="841"/>
      <c r="G805" s="1322"/>
      <c r="H805" s="644" t="s">
        <v>12</v>
      </c>
      <c r="I805" s="886"/>
      <c r="J805" s="886"/>
      <c r="K805" s="887"/>
      <c r="L805" s="1352">
        <f t="shared" ref="L805:N805" si="327">L806+L807</f>
        <v>0</v>
      </c>
      <c r="M805" s="1352">
        <f t="shared" si="327"/>
        <v>0</v>
      </c>
      <c r="N805" s="1352">
        <f t="shared" si="327"/>
        <v>0</v>
      </c>
      <c r="O805" s="1352">
        <f t="shared" ref="O805:O810" si="328">IF(L805&gt;0,N805*100/L805,0)</f>
        <v>0</v>
      </c>
      <c r="P805" s="1352">
        <f t="shared" ref="P805:P810" si="329">IF(M805&gt;0,N805*100/M805,0)</f>
        <v>0</v>
      </c>
      <c r="Q805" s="1323"/>
      <c r="R805" s="1323"/>
      <c r="S805" s="1323"/>
      <c r="T805" s="1323"/>
      <c r="U805" s="1323"/>
      <c r="V805" s="1323"/>
      <c r="W805" s="1323"/>
      <c r="X805" s="1323"/>
      <c r="Y805" s="1323"/>
      <c r="Z805" s="1323"/>
    </row>
    <row r="806" spans="1:26" ht="18.75" hidden="1">
      <c r="A806" s="1319"/>
      <c r="B806" s="1320"/>
      <c r="C806" s="1320"/>
      <c r="D806" s="1333"/>
      <c r="E806" s="1320" t="s">
        <v>185</v>
      </c>
      <c r="F806" s="1320"/>
      <c r="G806" s="1322"/>
      <c r="H806" s="165" t="s">
        <v>12</v>
      </c>
      <c r="I806" s="886"/>
      <c r="J806" s="886"/>
      <c r="K806" s="887"/>
      <c r="L806" s="887">
        <f t="shared" ref="L806:N807" si="330">L809+L816</f>
        <v>0</v>
      </c>
      <c r="M806" s="887">
        <f t="shared" si="330"/>
        <v>0</v>
      </c>
      <c r="N806" s="887">
        <f t="shared" si="330"/>
        <v>0</v>
      </c>
      <c r="O806" s="887">
        <f t="shared" si="328"/>
        <v>0</v>
      </c>
      <c r="P806" s="887">
        <f t="shared" si="329"/>
        <v>0</v>
      </c>
      <c r="Q806" s="1323"/>
      <c r="R806" s="1323"/>
      <c r="S806" s="1323"/>
      <c r="T806" s="1323"/>
      <c r="U806" s="1323"/>
      <c r="V806" s="1323"/>
      <c r="W806" s="1323"/>
      <c r="X806" s="1323"/>
      <c r="Y806" s="1323"/>
      <c r="Z806" s="1323"/>
    </row>
    <row r="807" spans="1:26" ht="18.75" hidden="1">
      <c r="A807" s="1319"/>
      <c r="B807" s="1320"/>
      <c r="C807" s="1320"/>
      <c r="D807" s="1333"/>
      <c r="E807" s="1320" t="s">
        <v>186</v>
      </c>
      <c r="F807" s="1320"/>
      <c r="G807" s="1322"/>
      <c r="H807" s="165" t="s">
        <v>12</v>
      </c>
      <c r="I807" s="886"/>
      <c r="J807" s="886"/>
      <c r="K807" s="887"/>
      <c r="L807" s="887">
        <f t="shared" si="330"/>
        <v>0</v>
      </c>
      <c r="M807" s="887">
        <f t="shared" si="330"/>
        <v>0</v>
      </c>
      <c r="N807" s="887">
        <f t="shared" si="330"/>
        <v>0</v>
      </c>
      <c r="O807" s="887">
        <f t="shared" si="328"/>
        <v>0</v>
      </c>
      <c r="P807" s="887">
        <f t="shared" si="329"/>
        <v>0</v>
      </c>
      <c r="Q807" s="1323"/>
      <c r="R807" s="1323"/>
      <c r="S807" s="1323"/>
      <c r="T807" s="1323"/>
      <c r="U807" s="1323"/>
      <c r="V807" s="1323"/>
      <c r="W807" s="1323"/>
      <c r="X807" s="1323"/>
      <c r="Y807" s="1323"/>
      <c r="Z807" s="1323"/>
    </row>
    <row r="808" spans="1:26" ht="19.5" hidden="1">
      <c r="A808" s="1319"/>
      <c r="B808" s="1324"/>
      <c r="C808" s="1320"/>
      <c r="D808" s="1477" t="s">
        <v>20</v>
      </c>
      <c r="E808" s="841"/>
      <c r="F808" s="841"/>
      <c r="G808" s="1322"/>
      <c r="H808" s="644" t="s">
        <v>12</v>
      </c>
      <c r="I808" s="1000"/>
      <c r="J808" s="1000"/>
      <c r="K808" s="1001"/>
      <c r="L808" s="1352">
        <f t="shared" ref="L808:N808" si="331">L809+L810</f>
        <v>0</v>
      </c>
      <c r="M808" s="1352">
        <f t="shared" si="331"/>
        <v>0</v>
      </c>
      <c r="N808" s="1352">
        <f t="shared" si="331"/>
        <v>0</v>
      </c>
      <c r="O808" s="1352">
        <f t="shared" si="328"/>
        <v>0</v>
      </c>
      <c r="P808" s="1352">
        <f t="shared" si="329"/>
        <v>0</v>
      </c>
      <c r="Q808" s="1323"/>
      <c r="R808" s="1323"/>
      <c r="S808" s="1323"/>
      <c r="T808" s="1323"/>
      <c r="U808" s="1323"/>
      <c r="V808" s="1323"/>
      <c r="W808" s="1323"/>
      <c r="X808" s="1323"/>
      <c r="Y808" s="1323"/>
      <c r="Z808" s="1323"/>
    </row>
    <row r="809" spans="1:26" ht="18.75" hidden="1">
      <c r="A809" s="1319"/>
      <c r="B809" s="1320"/>
      <c r="C809" s="1320"/>
      <c r="D809" s="1333"/>
      <c r="E809" s="1320" t="s">
        <v>185</v>
      </c>
      <c r="F809" s="1320"/>
      <c r="G809" s="1322"/>
      <c r="H809" s="165" t="s">
        <v>12</v>
      </c>
      <c r="I809" s="886"/>
      <c r="J809" s="886"/>
      <c r="K809" s="887"/>
      <c r="L809" s="887">
        <v>0</v>
      </c>
      <c r="M809" s="887">
        <v>0</v>
      </c>
      <c r="N809" s="887">
        <v>0</v>
      </c>
      <c r="O809" s="887">
        <f t="shared" si="328"/>
        <v>0</v>
      </c>
      <c r="P809" s="887">
        <f t="shared" si="329"/>
        <v>0</v>
      </c>
      <c r="Q809" s="1323"/>
      <c r="R809" s="1323"/>
      <c r="S809" s="1323"/>
      <c r="T809" s="1323"/>
      <c r="U809" s="1323"/>
      <c r="V809" s="1323"/>
      <c r="W809" s="1323"/>
      <c r="X809" s="1323"/>
      <c r="Y809" s="1323"/>
      <c r="Z809" s="1323"/>
    </row>
    <row r="810" spans="1:26" ht="18.75" hidden="1">
      <c r="A810" s="1319"/>
      <c r="B810" s="1320"/>
      <c r="C810" s="1320"/>
      <c r="D810" s="1333"/>
      <c r="E810" s="1320" t="s">
        <v>186</v>
      </c>
      <c r="F810" s="1320"/>
      <c r="G810" s="1322"/>
      <c r="H810" s="165" t="s">
        <v>12</v>
      </c>
      <c r="I810" s="886"/>
      <c r="J810" s="886"/>
      <c r="K810" s="887"/>
      <c r="L810" s="887">
        <v>0</v>
      </c>
      <c r="M810" s="887">
        <v>0</v>
      </c>
      <c r="N810" s="887">
        <f>N811+N812+N813+N814</f>
        <v>0</v>
      </c>
      <c r="O810" s="887">
        <f t="shared" si="328"/>
        <v>0</v>
      </c>
      <c r="P810" s="887">
        <f t="shared" si="329"/>
        <v>0</v>
      </c>
      <c r="Q810" s="1323"/>
      <c r="R810" s="1323"/>
      <c r="S810" s="1323"/>
      <c r="T810" s="1323"/>
      <c r="U810" s="1323"/>
      <c r="V810" s="1323"/>
      <c r="W810" s="1323"/>
      <c r="X810" s="1323"/>
      <c r="Y810" s="1323"/>
      <c r="Z810" s="1323"/>
    </row>
    <row r="811" spans="1:26" ht="18.75" hidden="1">
      <c r="A811" s="1354"/>
      <c r="B811" s="1324"/>
      <c r="C811" s="1320"/>
      <c r="D811" s="1324"/>
      <c r="E811" s="1320"/>
      <c r="F811" s="1320" t="s">
        <v>187</v>
      </c>
      <c r="G811" s="1322"/>
      <c r="H811" s="165" t="s">
        <v>12</v>
      </c>
      <c r="I811" s="886"/>
      <c r="J811" s="886"/>
      <c r="K811" s="887"/>
      <c r="L811" s="887"/>
      <c r="M811" s="887"/>
      <c r="N811" s="887"/>
      <c r="O811" s="887"/>
      <c r="P811" s="887"/>
      <c r="Q811" s="1323"/>
      <c r="R811" s="1323"/>
      <c r="S811" s="1323"/>
      <c r="T811" s="1323"/>
      <c r="U811" s="1323"/>
      <c r="V811" s="1323"/>
      <c r="W811" s="1323"/>
      <c r="X811" s="1323"/>
      <c r="Y811" s="1323"/>
      <c r="Z811" s="1323"/>
    </row>
    <row r="812" spans="1:26" ht="18.75" hidden="1">
      <c r="A812" s="1354"/>
      <c r="B812" s="1324"/>
      <c r="C812" s="1320"/>
      <c r="D812" s="1324"/>
      <c r="E812" s="1320"/>
      <c r="F812" s="1320" t="s">
        <v>188</v>
      </c>
      <c r="G812" s="1322"/>
      <c r="H812" s="165" t="s">
        <v>12</v>
      </c>
      <c r="I812" s="886"/>
      <c r="J812" s="886"/>
      <c r="K812" s="887"/>
      <c r="L812" s="887"/>
      <c r="M812" s="887"/>
      <c r="N812" s="887"/>
      <c r="O812" s="887"/>
      <c r="P812" s="887"/>
      <c r="Q812" s="1323"/>
      <c r="R812" s="1323"/>
      <c r="S812" s="1323"/>
      <c r="T812" s="1323"/>
      <c r="U812" s="1323"/>
      <c r="V812" s="1323"/>
      <c r="W812" s="1323"/>
      <c r="X812" s="1323"/>
      <c r="Y812" s="1323"/>
      <c r="Z812" s="1323"/>
    </row>
    <row r="813" spans="1:26" ht="18.75" hidden="1">
      <c r="A813" s="1354"/>
      <c r="B813" s="1324"/>
      <c r="C813" s="1320"/>
      <c r="D813" s="1324"/>
      <c r="E813" s="1320"/>
      <c r="F813" s="1320" t="s">
        <v>189</v>
      </c>
      <c r="G813" s="1322"/>
      <c r="H813" s="165" t="s">
        <v>12</v>
      </c>
      <c r="I813" s="886"/>
      <c r="J813" s="886"/>
      <c r="K813" s="887"/>
      <c r="L813" s="887"/>
      <c r="M813" s="887"/>
      <c r="N813" s="887"/>
      <c r="O813" s="887"/>
      <c r="P813" s="887"/>
      <c r="Q813" s="1323"/>
      <c r="R813" s="1323"/>
      <c r="S813" s="1323"/>
      <c r="T813" s="1323"/>
      <c r="U813" s="1323"/>
      <c r="V813" s="1323"/>
      <c r="W813" s="1323"/>
      <c r="X813" s="1323"/>
      <c r="Y813" s="1323"/>
      <c r="Z813" s="1323"/>
    </row>
    <row r="814" spans="1:26" ht="18.75" hidden="1">
      <c r="A814" s="1354"/>
      <c r="B814" s="1324"/>
      <c r="C814" s="1320"/>
      <c r="D814" s="1324"/>
      <c r="E814" s="1320"/>
      <c r="F814" s="1320" t="s">
        <v>190</v>
      </c>
      <c r="G814" s="1322"/>
      <c r="H814" s="165" t="s">
        <v>12</v>
      </c>
      <c r="I814" s="886"/>
      <c r="J814" s="886"/>
      <c r="K814" s="887"/>
      <c r="L814" s="887"/>
      <c r="M814" s="887"/>
      <c r="N814" s="887"/>
      <c r="O814" s="887"/>
      <c r="P814" s="887"/>
      <c r="Q814" s="1323"/>
      <c r="R814" s="1323"/>
      <c r="S814" s="1323"/>
      <c r="T814" s="1323"/>
      <c r="U814" s="1323"/>
      <c r="V814" s="1323"/>
      <c r="W814" s="1323"/>
      <c r="X814" s="1323"/>
      <c r="Y814" s="1323"/>
      <c r="Z814" s="1323"/>
    </row>
    <row r="815" spans="1:26" ht="19.5" hidden="1">
      <c r="A815" s="1319"/>
      <c r="B815" s="1324"/>
      <c r="C815" s="1320"/>
      <c r="D815" s="1477" t="s">
        <v>21</v>
      </c>
      <c r="E815" s="841"/>
      <c r="F815" s="841"/>
      <c r="G815" s="1322"/>
      <c r="H815" s="781" t="s">
        <v>12</v>
      </c>
      <c r="I815" s="1000"/>
      <c r="J815" s="1000"/>
      <c r="K815" s="1001"/>
      <c r="L815" s="1352">
        <f t="shared" ref="L815:N815" si="332">L816+L817</f>
        <v>0</v>
      </c>
      <c r="M815" s="1352">
        <f t="shared" si="332"/>
        <v>0</v>
      </c>
      <c r="N815" s="1352">
        <f t="shared" si="332"/>
        <v>0</v>
      </c>
      <c r="O815" s="1352">
        <f t="shared" ref="O815:O817" si="333">IF(L815&gt;0,N815*100/L815,0)</f>
        <v>0</v>
      </c>
      <c r="P815" s="1352">
        <f t="shared" ref="P815:P817" si="334">IF(M815&gt;0,N815*100/M815,0)</f>
        <v>0</v>
      </c>
      <c r="Q815" s="1323"/>
      <c r="R815" s="1323"/>
      <c r="S815" s="1323"/>
      <c r="T815" s="1323"/>
      <c r="U815" s="1323"/>
      <c r="V815" s="1323"/>
      <c r="W815" s="1323"/>
      <c r="X815" s="1323"/>
      <c r="Y815" s="1323"/>
      <c r="Z815" s="1323"/>
    </row>
    <row r="816" spans="1:26" ht="18.75" hidden="1">
      <c r="A816" s="1319"/>
      <c r="B816" s="1324"/>
      <c r="C816" s="1320"/>
      <c r="D816" s="1324"/>
      <c r="E816" s="1320" t="s">
        <v>18</v>
      </c>
      <c r="F816" s="1320"/>
      <c r="G816" s="1322"/>
      <c r="H816" s="165" t="s">
        <v>12</v>
      </c>
      <c r="I816" s="1000"/>
      <c r="J816" s="1000"/>
      <c r="K816" s="1001"/>
      <c r="L816" s="887">
        <v>0</v>
      </c>
      <c r="M816" s="887">
        <v>0</v>
      </c>
      <c r="N816" s="887">
        <v>0</v>
      </c>
      <c r="O816" s="887">
        <f t="shared" si="333"/>
        <v>0</v>
      </c>
      <c r="P816" s="887">
        <f t="shared" si="334"/>
        <v>0</v>
      </c>
      <c r="Q816" s="1323"/>
      <c r="R816" s="1323"/>
      <c r="S816" s="1323"/>
      <c r="T816" s="1323"/>
      <c r="U816" s="1323"/>
      <c r="V816" s="1323"/>
      <c r="W816" s="1323"/>
      <c r="X816" s="1323"/>
      <c r="Y816" s="1323"/>
      <c r="Z816" s="1323"/>
    </row>
    <row r="817" spans="1:26" ht="18.75" hidden="1">
      <c r="A817" s="1319"/>
      <c r="B817" s="1324"/>
      <c r="C817" s="1320"/>
      <c r="D817" s="1324"/>
      <c r="E817" s="1320" t="s">
        <v>19</v>
      </c>
      <c r="F817" s="1320"/>
      <c r="G817" s="1322"/>
      <c r="H817" s="169" t="s">
        <v>12</v>
      </c>
      <c r="I817" s="1000"/>
      <c r="J817" s="1000"/>
      <c r="K817" s="1001"/>
      <c r="L817" s="887">
        <v>0</v>
      </c>
      <c r="M817" s="887">
        <v>0</v>
      </c>
      <c r="N817" s="887">
        <v>0</v>
      </c>
      <c r="O817" s="887">
        <f t="shared" si="333"/>
        <v>0</v>
      </c>
      <c r="P817" s="887">
        <f t="shared" si="334"/>
        <v>0</v>
      </c>
      <c r="Q817" s="1323"/>
      <c r="R817" s="1323"/>
      <c r="S817" s="1323"/>
      <c r="T817" s="1323"/>
      <c r="U817" s="1323"/>
      <c r="V817" s="1323"/>
      <c r="W817" s="1323"/>
      <c r="X817" s="1323"/>
      <c r="Y817" s="1323"/>
      <c r="Z817" s="1323"/>
    </row>
    <row r="818" spans="1:26" ht="19.5" hidden="1">
      <c r="A818" s="1332"/>
      <c r="B818" s="1333"/>
      <c r="C818" s="1320" t="s">
        <v>16</v>
      </c>
      <c r="D818" s="1478" t="s">
        <v>38</v>
      </c>
      <c r="E818" s="1356"/>
      <c r="F818" s="1356"/>
      <c r="G818" s="1357"/>
      <c r="H818" s="1113"/>
      <c r="I818" s="1000"/>
      <c r="J818" s="1000"/>
      <c r="K818" s="1001"/>
      <c r="L818" s="1001"/>
      <c r="M818" s="1001"/>
      <c r="N818" s="1001"/>
      <c r="O818" s="1001"/>
      <c r="P818" s="1001"/>
      <c r="Q818" s="1323"/>
      <c r="R818" s="1323"/>
      <c r="S818" s="1323"/>
      <c r="T818" s="1323"/>
      <c r="U818" s="1323"/>
      <c r="V818" s="1323"/>
      <c r="W818" s="1323"/>
      <c r="X818" s="1323"/>
      <c r="Y818" s="1323"/>
      <c r="Z818" s="1323"/>
    </row>
    <row r="819" spans="1:26" ht="19.5" hidden="1" thickBot="1">
      <c r="A819" s="1479"/>
      <c r="B819" s="1480"/>
      <c r="C819" s="1481"/>
      <c r="D819" s="1480"/>
      <c r="E819" s="1481" t="s">
        <v>324</v>
      </c>
      <c r="F819" s="1481"/>
      <c r="G819" s="1482"/>
      <c r="H819" s="817" t="s">
        <v>46</v>
      </c>
      <c r="I819" s="1483"/>
      <c r="J819" s="1483"/>
      <c r="K819" s="1484"/>
      <c r="L819" s="1484"/>
      <c r="M819" s="1484"/>
      <c r="N819" s="1484"/>
      <c r="O819" s="1484"/>
      <c r="P819" s="1484"/>
      <c r="Q819" s="1323"/>
      <c r="R819" s="1323"/>
      <c r="S819" s="1323"/>
      <c r="T819" s="1323"/>
      <c r="U819" s="1323"/>
      <c r="V819" s="1323"/>
      <c r="W819" s="1323"/>
      <c r="X819" s="1323"/>
      <c r="Y819" s="1323"/>
      <c r="Z819" s="1323"/>
    </row>
    <row r="820" spans="1:26" ht="19.5">
      <c r="A820" s="1485" t="s">
        <v>342</v>
      </c>
      <c r="B820" s="1486"/>
      <c r="C820" s="1486"/>
      <c r="D820" s="1487"/>
      <c r="E820" s="1486"/>
      <c r="F820" s="1486"/>
      <c r="G820" s="1488"/>
      <c r="H820" s="1489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0"/>
      <c r="J820" s="1490"/>
      <c r="K820" s="1491"/>
      <c r="L820" s="1491"/>
      <c r="M820" s="1491"/>
      <c r="N820" s="1491"/>
      <c r="O820" s="1491"/>
      <c r="P820" s="1491"/>
      <c r="Q820" s="1302"/>
      <c r="R820" s="1302"/>
      <c r="S820" s="1302"/>
      <c r="T820" s="1302"/>
      <c r="U820" s="1302"/>
      <c r="V820" s="1302"/>
      <c r="W820" s="1302"/>
      <c r="X820" s="1302"/>
      <c r="Y820" s="1302"/>
      <c r="Z820" s="1302"/>
    </row>
    <row r="821" spans="1:26" ht="18.75">
      <c r="A821" s="1429"/>
      <c r="B821" s="1301" t="s">
        <v>326</v>
      </c>
      <c r="C821" s="1301"/>
      <c r="D821" s="1300"/>
      <c r="E821" s="1301"/>
      <c r="F821" s="1301"/>
      <c r="G821" s="1016"/>
      <c r="H821" s="622" t="s">
        <v>12</v>
      </c>
      <c r="I821" s="880">
        <f ca="1">IFERROR(__xludf.DUMMYFUNCTION("IMPORTRANGE(""https://docs.google.com/spreadsheets/d/19vJNZY_5yjcGF2XGBMNZRCAIB0Kwfpjp8YEOfu-bneM/edit?usp=sharing"",""งานกองทุน!D80"")"),473241.86)</f>
        <v>473241.86</v>
      </c>
      <c r="J821" s="880">
        <f ca="1">IFERROR(__xludf.DUMMYFUNCTION("IMPORTRANGE(""https://docs.google.com/spreadsheets/d/19vJNZY_5yjcGF2XGBMNZRCAIB0Kwfpjp8YEOfu-bneM/edit?usp=sharing"",""งานกองทุน!F80"")"),25550.99)</f>
        <v>25550.99</v>
      </c>
      <c r="K821" s="881">
        <f t="shared" ref="K821:K828" ca="1" si="335">IF(I821&gt;0,J821*100/I821,0)</f>
        <v>5.3991398816664278</v>
      </c>
      <c r="L821" s="881"/>
      <c r="M821" s="881"/>
      <c r="N821" s="881"/>
      <c r="O821" s="881"/>
      <c r="P821" s="881"/>
      <c r="Q821" s="1302"/>
      <c r="R821" s="1302"/>
      <c r="S821" s="1302"/>
      <c r="T821" s="1302"/>
      <c r="U821" s="1302"/>
      <c r="V821" s="1302"/>
      <c r="W821" s="1302"/>
      <c r="X821" s="1302"/>
      <c r="Y821" s="1302"/>
      <c r="Z821" s="1302"/>
    </row>
    <row r="822" spans="1:26" ht="18.75">
      <c r="A822" s="1429"/>
      <c r="B822" s="1301"/>
      <c r="C822" s="1301"/>
      <c r="D822" s="1300"/>
      <c r="E822" s="1301"/>
      <c r="F822" s="1301"/>
      <c r="G822" s="1016"/>
      <c r="H822" s="622" t="s">
        <v>35</v>
      </c>
      <c r="I822" s="880">
        <f ca="1">IFERROR(__xludf.DUMMYFUNCTION("IMPORTRANGE(""https://docs.google.com/spreadsheets/d/19vJNZY_5yjcGF2XGBMNZRCAIB0Kwfpjp8YEOfu-bneM/edit?usp=sharing"",""งานกองทุน!C80"")"),31)</f>
        <v>31</v>
      </c>
      <c r="J822" s="880">
        <f ca="1">IFERROR(__xludf.DUMMYFUNCTION("IMPORTRANGE(""https://docs.google.com/spreadsheets/d/19vJNZY_5yjcGF2XGBMNZRCAIB0Kwfpjp8YEOfu-bneM/edit?usp=sharing"",""งานกองทุน!E80"")"),9)</f>
        <v>9</v>
      </c>
      <c r="K822" s="881">
        <f t="shared" ca="1" si="335"/>
        <v>29.032258064516128</v>
      </c>
      <c r="L822" s="881"/>
      <c r="M822" s="881"/>
      <c r="N822" s="881"/>
      <c r="O822" s="881"/>
      <c r="P822" s="881"/>
      <c r="Q822" s="1302"/>
      <c r="R822" s="1302"/>
      <c r="S822" s="1302"/>
      <c r="T822" s="1302"/>
      <c r="U822" s="1302"/>
      <c r="V822" s="1302"/>
      <c r="W822" s="1302"/>
      <c r="X822" s="1302"/>
      <c r="Y822" s="1302"/>
      <c r="Z822" s="1302"/>
    </row>
    <row r="823" spans="1:26" ht="18.75">
      <c r="A823" s="1429"/>
      <c r="B823" s="1301" t="s">
        <v>327</v>
      </c>
      <c r="C823" s="1301"/>
      <c r="D823" s="1300"/>
      <c r="E823" s="1301"/>
      <c r="F823" s="1301"/>
      <c r="G823" s="1016"/>
      <c r="H823" s="622" t="s">
        <v>12</v>
      </c>
      <c r="I823" s="880">
        <f ca="1">IFERROR(__xludf.DUMMYFUNCTION("IMPORTRANGE(""https://docs.google.com/spreadsheets/d/19vJNZY_5yjcGF2XGBMNZRCAIB0Kwfpjp8YEOfu-bneM/edit?usp=sharing"",""งานกองทุน!I80"")"),1882523.56)</f>
        <v>1882523.56</v>
      </c>
      <c r="J823" s="880">
        <f ca="1">IFERROR(__xludf.DUMMYFUNCTION("IMPORTRANGE(""https://docs.google.com/spreadsheets/d/19vJNZY_5yjcGF2XGBMNZRCAIB0Kwfpjp8YEOfu-bneM/edit?usp=sharing"",""งานกองทุน!K80"")"),69936.62)</f>
        <v>69936.62</v>
      </c>
      <c r="K823" s="881">
        <f t="shared" ca="1" si="335"/>
        <v>3.7150462010685272</v>
      </c>
      <c r="L823" s="881"/>
      <c r="M823" s="881"/>
      <c r="N823" s="881"/>
      <c r="O823" s="881"/>
      <c r="P823" s="881"/>
      <c r="Q823" s="1302"/>
      <c r="R823" s="1302"/>
      <c r="S823" s="1302"/>
      <c r="T823" s="1302"/>
      <c r="U823" s="1302"/>
      <c r="V823" s="1302"/>
      <c r="W823" s="1302"/>
      <c r="X823" s="1302"/>
      <c r="Y823" s="1302"/>
      <c r="Z823" s="1302"/>
    </row>
    <row r="824" spans="1:26" ht="18.75">
      <c r="A824" s="1429"/>
      <c r="B824" s="1301"/>
      <c r="C824" s="1301"/>
      <c r="D824" s="1300"/>
      <c r="E824" s="1301"/>
      <c r="F824" s="1301"/>
      <c r="G824" s="1016"/>
      <c r="H824" s="622" t="s">
        <v>35</v>
      </c>
      <c r="I824" s="880">
        <f ca="1">IFERROR(__xludf.DUMMYFUNCTION("IMPORTRANGE(""https://docs.google.com/spreadsheets/d/19vJNZY_5yjcGF2XGBMNZRCAIB0Kwfpjp8YEOfu-bneM/edit?usp=sharing"",""งานกองทุน!H80"")"),131)</f>
        <v>131</v>
      </c>
      <c r="J824" s="880">
        <f ca="1">IFERROR(__xludf.DUMMYFUNCTION("IMPORTRANGE(""https://docs.google.com/spreadsheets/d/19vJNZY_5yjcGF2XGBMNZRCAIB0Kwfpjp8YEOfu-bneM/edit?usp=sharing"",""งานกองทุน!J80"")"),98)</f>
        <v>98</v>
      </c>
      <c r="K824" s="881">
        <f t="shared" ca="1" si="335"/>
        <v>74.809160305343511</v>
      </c>
      <c r="L824" s="881"/>
      <c r="M824" s="881"/>
      <c r="N824" s="881"/>
      <c r="O824" s="881"/>
      <c r="P824" s="881"/>
      <c r="Q824" s="1302"/>
      <c r="R824" s="1302"/>
      <c r="S824" s="1302"/>
      <c r="T824" s="1302"/>
      <c r="U824" s="1302"/>
      <c r="V824" s="1302"/>
      <c r="W824" s="1302"/>
      <c r="X824" s="1302"/>
      <c r="Y824" s="1302"/>
      <c r="Z824" s="1302"/>
    </row>
    <row r="825" spans="1:26" ht="18.75">
      <c r="A825" s="1429"/>
      <c r="B825" s="1301" t="s">
        <v>328</v>
      </c>
      <c r="C825" s="1301"/>
      <c r="D825" s="1300"/>
      <c r="E825" s="1301"/>
      <c r="F825" s="1301"/>
      <c r="G825" s="1016"/>
      <c r="H825" s="622" t="s">
        <v>12</v>
      </c>
      <c r="I825" s="880">
        <f ca="1">IFERROR(__xludf.DUMMYFUNCTION("IMPORTRANGE(""https://docs.google.com/spreadsheets/d/19vJNZY_5yjcGF2XGBMNZRCAIB0Kwfpjp8YEOfu-bneM/edit?usp=sharing"",""งานกองทุน!N80"")"),26632.55)</f>
        <v>26632.55</v>
      </c>
      <c r="J825" s="880">
        <f ca="1">IFERROR(__xludf.DUMMYFUNCTION("IMPORTRANGE(""https://docs.google.com/spreadsheets/d/19vJNZY_5yjcGF2XGBMNZRCAIB0Kwfpjp8YEOfu-bneM/edit?usp=sharing"",""งานกองทุน!P80"")"),43.67)</f>
        <v>43.67</v>
      </c>
      <c r="K825" s="881">
        <f t="shared" ca="1" si="335"/>
        <v>0.16397228203833281</v>
      </c>
      <c r="L825" s="881"/>
      <c r="M825" s="881"/>
      <c r="N825" s="881"/>
      <c r="O825" s="881"/>
      <c r="P825" s="881"/>
      <c r="Q825" s="1302"/>
      <c r="R825" s="1302"/>
      <c r="S825" s="1302"/>
      <c r="T825" s="1302"/>
      <c r="U825" s="1302"/>
      <c r="V825" s="1302"/>
      <c r="W825" s="1302"/>
      <c r="X825" s="1302"/>
      <c r="Y825" s="1302"/>
      <c r="Z825" s="1302"/>
    </row>
    <row r="826" spans="1:26" ht="18.75">
      <c r="A826" s="1429"/>
      <c r="B826" s="1301"/>
      <c r="C826" s="1301"/>
      <c r="D826" s="1300"/>
      <c r="E826" s="1301"/>
      <c r="F826" s="1301"/>
      <c r="G826" s="1016"/>
      <c r="H826" s="622" t="s">
        <v>35</v>
      </c>
      <c r="I826" s="880">
        <f ca="1">IFERROR(__xludf.DUMMYFUNCTION("IMPORTRANGE(""https://docs.google.com/spreadsheets/d/19vJNZY_5yjcGF2XGBMNZRCAIB0Kwfpjp8YEOfu-bneM/edit?usp=sharing"",""งานกองทุน!M80"")"),83)</f>
        <v>83</v>
      </c>
      <c r="J826" s="880">
        <f ca="1">IFERROR(__xludf.DUMMYFUNCTION("IMPORTRANGE(""https://docs.google.com/spreadsheets/d/19vJNZY_5yjcGF2XGBMNZRCAIB0Kwfpjp8YEOfu-bneM/edit?usp=sharing"",""งานกองทุน!O80"")"),1)</f>
        <v>1</v>
      </c>
      <c r="K826" s="881">
        <f t="shared" ca="1" si="335"/>
        <v>1.2048192771084338</v>
      </c>
      <c r="L826" s="881"/>
      <c r="M826" s="881"/>
      <c r="N826" s="881"/>
      <c r="O826" s="881"/>
      <c r="P826" s="881"/>
      <c r="Q826" s="1302"/>
      <c r="R826" s="1302"/>
      <c r="S826" s="1302"/>
      <c r="T826" s="1302"/>
      <c r="U826" s="1302"/>
      <c r="V826" s="1302"/>
      <c r="W826" s="1302"/>
      <c r="X826" s="1302"/>
      <c r="Y826" s="1302"/>
      <c r="Z826" s="1302"/>
    </row>
    <row r="827" spans="1:26" ht="18.75">
      <c r="A827" s="1429"/>
      <c r="B827" s="1301" t="s">
        <v>329</v>
      </c>
      <c r="C827" s="1301"/>
      <c r="D827" s="1300"/>
      <c r="E827" s="1301"/>
      <c r="F827" s="1301"/>
      <c r="G827" s="1016"/>
      <c r="H827" s="622" t="s">
        <v>12</v>
      </c>
      <c r="I827" s="880">
        <f ca="1">IFERROR(__xludf.DUMMYFUNCTION("IMPORTRANGE(""https://docs.google.com/spreadsheets/d/19vJNZY_5yjcGF2XGBMNZRCAIB0Kwfpjp8YEOfu-bneM/edit?usp=sharing"",""งานกองทุน!S80"")"),300000)</f>
        <v>300000</v>
      </c>
      <c r="J827" s="880">
        <f ca="1">IFERROR(__xludf.DUMMYFUNCTION("IMPORTRANGE(""https://docs.google.com/spreadsheets/d/19vJNZY_5yjcGF2XGBMNZRCAIB0Kwfpjp8YEOfu-bneM/edit?usp=sharing"",""งานกองทุน!U80"")"),200000)</f>
        <v>200000</v>
      </c>
      <c r="K827" s="881">
        <f t="shared" ca="1" si="335"/>
        <v>66.666666666666671</v>
      </c>
      <c r="L827" s="881"/>
      <c r="M827" s="881"/>
      <c r="N827" s="881"/>
      <c r="O827" s="881"/>
      <c r="P827" s="881"/>
      <c r="Q827" s="1302"/>
      <c r="R827" s="1302"/>
      <c r="S827" s="1302"/>
      <c r="T827" s="1302"/>
      <c r="U827" s="1302"/>
      <c r="V827" s="1302"/>
      <c r="W827" s="1302"/>
      <c r="X827" s="1302"/>
      <c r="Y827" s="1302"/>
      <c r="Z827" s="1302"/>
    </row>
    <row r="828" spans="1:26" ht="18.75">
      <c r="A828" s="1430"/>
      <c r="B828" s="1432"/>
      <c r="C828" s="1432"/>
      <c r="D828" s="1431"/>
      <c r="E828" s="1432"/>
      <c r="F828" s="1432"/>
      <c r="G828" s="1492"/>
      <c r="H828" s="827" t="s">
        <v>35</v>
      </c>
      <c r="I828" s="1138">
        <f ca="1">IFERROR(__xludf.DUMMYFUNCTION("IMPORTRANGE(""https://docs.google.com/spreadsheets/d/19vJNZY_5yjcGF2XGBMNZRCAIB0Kwfpjp8YEOfu-bneM/edit?usp=sharing"",""งานกองทุน!R80"")"),7)</f>
        <v>7</v>
      </c>
      <c r="J828" s="1138">
        <f ca="1">IFERROR(__xludf.DUMMYFUNCTION("IMPORTRANGE(""https://docs.google.com/spreadsheets/d/19vJNZY_5yjcGF2XGBMNZRCAIB0Kwfpjp8YEOfu-bneM/edit?usp=sharing"",""งานกองทุน!T80"")"),4)</f>
        <v>4</v>
      </c>
      <c r="K828" s="1239">
        <f t="shared" ca="1" si="335"/>
        <v>57.142857142857146</v>
      </c>
      <c r="L828" s="1239"/>
      <c r="M828" s="1239"/>
      <c r="N828" s="1239"/>
      <c r="O828" s="1239"/>
      <c r="P828" s="1239"/>
      <c r="Q828" s="1302"/>
      <c r="R828" s="1302"/>
      <c r="S828" s="1302"/>
      <c r="T828" s="1302"/>
      <c r="U828" s="1302"/>
      <c r="V828" s="1302"/>
      <c r="W828" s="1302"/>
      <c r="X828" s="1302"/>
      <c r="Y828" s="1302"/>
      <c r="Z828" s="130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F3891-8651-4027-94B3-24E2AC1BCA9D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52" customWidth="1"/>
    <col min="4" max="6" width="5.85546875" style="852" customWidth="1"/>
    <col min="7" max="7" width="56.42578125" style="852" customWidth="1"/>
    <col min="8" max="8" width="9.42578125" style="852" customWidth="1"/>
    <col min="9" max="9" width="16.140625" style="852" bestFit="1" customWidth="1"/>
    <col min="10" max="10" width="13.7109375" style="852" bestFit="1" customWidth="1"/>
    <col min="11" max="11" width="13.28515625" style="852" bestFit="1" customWidth="1"/>
    <col min="12" max="15" width="20.28515625" style="852" bestFit="1" customWidth="1"/>
    <col min="16" max="16" width="22.140625" style="852" bestFit="1" customWidth="1"/>
    <col min="17" max="16384" width="12.5703125" style="852"/>
  </cols>
  <sheetData>
    <row r="1" spans="1:26" ht="19.5">
      <c r="A1" s="828" t="s">
        <v>0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51"/>
    </row>
    <row r="2" spans="1:26" ht="19.5">
      <c r="A2" s="828" t="s">
        <v>344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</row>
    <row r="3" spans="1:26" ht="19.5">
      <c r="A3" s="828" t="s">
        <v>330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</row>
    <row r="4" spans="1:26" ht="12.75">
      <c r="A4" s="853"/>
      <c r="B4" s="853"/>
      <c r="C4" s="853"/>
      <c r="D4" s="853"/>
      <c r="E4" s="853"/>
      <c r="F4" s="853"/>
      <c r="G4" s="853"/>
      <c r="H4" s="853"/>
      <c r="I4" s="853"/>
      <c r="J4" s="854"/>
      <c r="K4" s="855"/>
      <c r="L4" s="854"/>
      <c r="M4" s="854"/>
      <c r="N4" s="854"/>
      <c r="O4" s="853"/>
      <c r="P4" s="853"/>
    </row>
    <row r="5" spans="1:26" ht="19.5">
      <c r="A5" s="836" t="s">
        <v>2</v>
      </c>
      <c r="B5" s="851"/>
      <c r="C5" s="851"/>
      <c r="D5" s="851"/>
      <c r="E5" s="851"/>
      <c r="F5" s="851"/>
      <c r="G5" s="837"/>
      <c r="H5" s="830" t="s">
        <v>3</v>
      </c>
      <c r="I5" s="832" t="s">
        <v>4</v>
      </c>
      <c r="J5" s="833"/>
      <c r="K5" s="831"/>
      <c r="L5" s="834" t="s">
        <v>5</v>
      </c>
      <c r="M5" s="831"/>
      <c r="N5" s="835" t="s">
        <v>6</v>
      </c>
      <c r="O5" s="833"/>
      <c r="P5" s="831"/>
    </row>
    <row r="6" spans="1:26" ht="19.5">
      <c r="A6" s="838"/>
      <c r="B6" s="833"/>
      <c r="C6" s="833"/>
      <c r="D6" s="833"/>
      <c r="E6" s="833"/>
      <c r="F6" s="833"/>
      <c r="G6" s="831"/>
      <c r="H6" s="83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6" t="s">
        <v>15</v>
      </c>
      <c r="B7" s="833"/>
      <c r="C7" s="833"/>
      <c r="D7" s="833"/>
      <c r="E7" s="833"/>
      <c r="F7" s="833"/>
      <c r="G7" s="831"/>
      <c r="H7" s="857"/>
      <c r="I7" s="858"/>
      <c r="J7" s="858"/>
      <c r="K7" s="859"/>
      <c r="L7" s="859"/>
      <c r="M7" s="859"/>
      <c r="N7" s="859"/>
      <c r="O7" s="859"/>
      <c r="P7" s="859"/>
    </row>
    <row r="8" spans="1:26" ht="19.5">
      <c r="A8" s="860"/>
      <c r="B8" s="861"/>
      <c r="C8" s="862" t="s">
        <v>16</v>
      </c>
      <c r="D8" s="863" t="s">
        <v>17</v>
      </c>
      <c r="E8" s="861"/>
      <c r="F8" s="861"/>
      <c r="G8" s="864"/>
      <c r="H8" s="19" t="s">
        <v>12</v>
      </c>
      <c r="I8" s="865"/>
      <c r="J8" s="865"/>
      <c r="K8" s="866"/>
      <c r="L8" s="867">
        <f t="shared" ref="L8:N8" ca="1" si="0">L9+L10</f>
        <v>7772113</v>
      </c>
      <c r="M8" s="867">
        <f t="shared" ca="1" si="0"/>
        <v>7273583</v>
      </c>
      <c r="N8" s="867">
        <f t="shared" ca="1" si="0"/>
        <v>1859337.38</v>
      </c>
      <c r="O8" s="867">
        <f t="shared" ref="O8:O16" ca="1" si="1">IF(L8&gt;0,N8*100/L8,0)</f>
        <v>23.923190257269805</v>
      </c>
      <c r="P8" s="867">
        <f t="shared" ref="P8:P16" ca="1" si="2">IF(M8&gt;0,N8*100/M8,0)</f>
        <v>25.562881182492866</v>
      </c>
      <c r="Q8" s="868"/>
      <c r="R8" s="868"/>
      <c r="S8" s="868"/>
      <c r="T8" s="868"/>
      <c r="U8" s="868"/>
      <c r="V8" s="868"/>
      <c r="W8" s="868"/>
      <c r="X8" s="868"/>
      <c r="Y8" s="868"/>
      <c r="Z8" s="868"/>
    </row>
    <row r="9" spans="1:26" ht="18.75" hidden="1">
      <c r="A9" s="869"/>
      <c r="B9" s="870"/>
      <c r="C9" s="870"/>
      <c r="D9" s="870"/>
      <c r="E9" s="871" t="s">
        <v>18</v>
      </c>
      <c r="F9" s="870"/>
      <c r="G9" s="872"/>
      <c r="H9" s="28" t="s">
        <v>12</v>
      </c>
      <c r="I9" s="873"/>
      <c r="J9" s="873"/>
      <c r="K9" s="874"/>
      <c r="L9" s="874">
        <f t="shared" ref="L9:N10" si="3">L12+L15</f>
        <v>0</v>
      </c>
      <c r="M9" s="874">
        <f t="shared" si="3"/>
        <v>0</v>
      </c>
      <c r="N9" s="874">
        <f t="shared" si="3"/>
        <v>0</v>
      </c>
      <c r="O9" s="874">
        <f t="shared" si="1"/>
        <v>0</v>
      </c>
      <c r="P9" s="874">
        <f t="shared" si="2"/>
        <v>0</v>
      </c>
      <c r="Q9" s="875"/>
      <c r="R9" s="875"/>
      <c r="S9" s="875"/>
      <c r="T9" s="875"/>
      <c r="U9" s="875"/>
      <c r="V9" s="875"/>
      <c r="W9" s="875"/>
      <c r="X9" s="875"/>
      <c r="Y9" s="875"/>
      <c r="Z9" s="875"/>
    </row>
    <row r="10" spans="1:26" ht="18.75" hidden="1">
      <c r="A10" s="869"/>
      <c r="B10" s="870"/>
      <c r="C10" s="870"/>
      <c r="D10" s="870"/>
      <c r="E10" s="871" t="s">
        <v>19</v>
      </c>
      <c r="F10" s="870"/>
      <c r="G10" s="872"/>
      <c r="H10" s="28" t="s">
        <v>12</v>
      </c>
      <c r="I10" s="873"/>
      <c r="J10" s="873"/>
      <c r="K10" s="874"/>
      <c r="L10" s="874">
        <f t="shared" ca="1" si="3"/>
        <v>7772113</v>
      </c>
      <c r="M10" s="874">
        <f t="shared" ca="1" si="3"/>
        <v>7273583</v>
      </c>
      <c r="N10" s="874">
        <f t="shared" ca="1" si="3"/>
        <v>1859337.38</v>
      </c>
      <c r="O10" s="874">
        <f t="shared" ca="1" si="1"/>
        <v>23.923190257269805</v>
      </c>
      <c r="P10" s="874">
        <f t="shared" ca="1" si="2"/>
        <v>25.562881182492866</v>
      </c>
      <c r="Q10" s="875"/>
      <c r="R10" s="875"/>
      <c r="S10" s="875"/>
      <c r="T10" s="875"/>
      <c r="U10" s="875"/>
      <c r="V10" s="875"/>
      <c r="W10" s="875"/>
      <c r="X10" s="875"/>
      <c r="Y10" s="875"/>
      <c r="Z10" s="875"/>
    </row>
    <row r="11" spans="1:26" ht="18.75">
      <c r="A11" s="876"/>
      <c r="B11" s="877"/>
      <c r="C11" s="877"/>
      <c r="D11" s="878" t="s">
        <v>20</v>
      </c>
      <c r="E11" s="877"/>
      <c r="F11" s="877"/>
      <c r="G11" s="879"/>
      <c r="H11" s="622" t="s">
        <v>12</v>
      </c>
      <c r="I11" s="880"/>
      <c r="J11" s="880"/>
      <c r="K11" s="881"/>
      <c r="L11" s="881">
        <f t="shared" ref="L11:N11" ca="1" si="4">L12+L13</f>
        <v>3026113</v>
      </c>
      <c r="M11" s="881">
        <f t="shared" ca="1" si="4"/>
        <v>2527783</v>
      </c>
      <c r="N11" s="881">
        <f t="shared" ca="1" si="4"/>
        <v>1783537.38</v>
      </c>
      <c r="O11" s="881">
        <f t="shared" ca="1" si="1"/>
        <v>58.93822801726175</v>
      </c>
      <c r="P11" s="881">
        <f t="shared" ca="1" si="2"/>
        <v>70.557376958386058</v>
      </c>
      <c r="Q11" s="868"/>
      <c r="R11" s="868"/>
      <c r="S11" s="868"/>
      <c r="T11" s="868"/>
      <c r="U11" s="868"/>
      <c r="V11" s="868"/>
      <c r="W11" s="868"/>
      <c r="X11" s="868"/>
      <c r="Y11" s="868"/>
      <c r="Z11" s="868"/>
    </row>
    <row r="12" spans="1:26" ht="18.75" hidden="1">
      <c r="A12" s="882"/>
      <c r="B12" s="883"/>
      <c r="C12" s="883"/>
      <c r="D12" s="883"/>
      <c r="E12" s="884" t="s">
        <v>18</v>
      </c>
      <c r="F12" s="883"/>
      <c r="G12" s="885"/>
      <c r="H12" s="43" t="s">
        <v>12</v>
      </c>
      <c r="I12" s="886"/>
      <c r="J12" s="886"/>
      <c r="K12" s="887"/>
      <c r="L12" s="887">
        <f t="shared" ref="L12:N13" si="5">L22+L32</f>
        <v>0</v>
      </c>
      <c r="M12" s="887">
        <f t="shared" si="5"/>
        <v>0</v>
      </c>
      <c r="N12" s="887">
        <f t="shared" si="5"/>
        <v>0</v>
      </c>
      <c r="O12" s="887">
        <f t="shared" si="1"/>
        <v>0</v>
      </c>
      <c r="P12" s="887">
        <f t="shared" si="2"/>
        <v>0</v>
      </c>
      <c r="Q12" s="875"/>
      <c r="R12" s="875"/>
      <c r="S12" s="875"/>
      <c r="T12" s="875"/>
      <c r="U12" s="875"/>
      <c r="V12" s="875"/>
      <c r="W12" s="875"/>
      <c r="X12" s="875"/>
      <c r="Y12" s="875"/>
      <c r="Z12" s="875"/>
    </row>
    <row r="13" spans="1:26" ht="18.75" hidden="1">
      <c r="A13" s="882"/>
      <c r="B13" s="883"/>
      <c r="C13" s="883"/>
      <c r="D13" s="883"/>
      <c r="E13" s="884" t="s">
        <v>19</v>
      </c>
      <c r="F13" s="883"/>
      <c r="G13" s="885"/>
      <c r="H13" s="43" t="s">
        <v>12</v>
      </c>
      <c r="I13" s="886"/>
      <c r="J13" s="886"/>
      <c r="K13" s="887"/>
      <c r="L13" s="887">
        <f t="shared" ca="1" si="5"/>
        <v>3026113</v>
      </c>
      <c r="M13" s="887">
        <f t="shared" ca="1" si="5"/>
        <v>2527783</v>
      </c>
      <c r="N13" s="887">
        <f t="shared" ca="1" si="5"/>
        <v>1783537.38</v>
      </c>
      <c r="O13" s="887">
        <f t="shared" ca="1" si="1"/>
        <v>58.93822801726175</v>
      </c>
      <c r="P13" s="887">
        <f t="shared" ca="1" si="2"/>
        <v>70.557376958386058</v>
      </c>
      <c r="Q13" s="875"/>
      <c r="R13" s="875"/>
      <c r="S13" s="875"/>
      <c r="T13" s="875"/>
      <c r="U13" s="875"/>
      <c r="V13" s="875"/>
      <c r="W13" s="875"/>
      <c r="X13" s="875"/>
      <c r="Y13" s="875"/>
      <c r="Z13" s="875"/>
    </row>
    <row r="14" spans="1:26" ht="18.75">
      <c r="A14" s="876"/>
      <c r="B14" s="877"/>
      <c r="C14" s="877"/>
      <c r="D14" s="878" t="s">
        <v>21</v>
      </c>
      <c r="E14" s="877"/>
      <c r="F14" s="877"/>
      <c r="G14" s="879"/>
      <c r="H14" s="622" t="s">
        <v>12</v>
      </c>
      <c r="I14" s="880"/>
      <c r="J14" s="880"/>
      <c r="K14" s="881"/>
      <c r="L14" s="881">
        <f t="shared" ref="L14:N14" ca="1" si="6">L15+L16</f>
        <v>4746000</v>
      </c>
      <c r="M14" s="881">
        <f t="shared" ca="1" si="6"/>
        <v>4745800</v>
      </c>
      <c r="N14" s="881">
        <f t="shared" ca="1" si="6"/>
        <v>75800</v>
      </c>
      <c r="O14" s="881">
        <f t="shared" ca="1" si="1"/>
        <v>1.597134428992836</v>
      </c>
      <c r="P14" s="881">
        <f t="shared" ca="1" si="2"/>
        <v>1.5972017362720721</v>
      </c>
      <c r="Q14" s="868"/>
      <c r="R14" s="868"/>
      <c r="S14" s="868"/>
      <c r="T14" s="868"/>
      <c r="U14" s="868"/>
      <c r="V14" s="868"/>
      <c r="W14" s="868"/>
      <c r="X14" s="868"/>
      <c r="Y14" s="868"/>
      <c r="Z14" s="868"/>
    </row>
    <row r="15" spans="1:26" ht="18.75" hidden="1">
      <c r="A15" s="882"/>
      <c r="B15" s="883"/>
      <c r="C15" s="883"/>
      <c r="D15" s="883"/>
      <c r="E15" s="884" t="s">
        <v>18</v>
      </c>
      <c r="F15" s="883"/>
      <c r="G15" s="885"/>
      <c r="H15" s="43" t="s">
        <v>12</v>
      </c>
      <c r="I15" s="886"/>
      <c r="J15" s="886"/>
      <c r="K15" s="887"/>
      <c r="L15" s="887">
        <f t="shared" ref="L15:N16" si="7">L25+L35</f>
        <v>0</v>
      </c>
      <c r="M15" s="887">
        <f t="shared" si="7"/>
        <v>0</v>
      </c>
      <c r="N15" s="887">
        <f t="shared" si="7"/>
        <v>0</v>
      </c>
      <c r="O15" s="887">
        <f t="shared" si="1"/>
        <v>0</v>
      </c>
      <c r="P15" s="887">
        <f t="shared" si="2"/>
        <v>0</v>
      </c>
      <c r="Q15" s="875"/>
      <c r="R15" s="875"/>
      <c r="S15" s="875"/>
      <c r="T15" s="875"/>
      <c r="U15" s="875"/>
      <c r="V15" s="875"/>
      <c r="W15" s="875"/>
      <c r="X15" s="875"/>
      <c r="Y15" s="875"/>
      <c r="Z15" s="875"/>
    </row>
    <row r="16" spans="1:26" ht="18.75" hidden="1">
      <c r="A16" s="888"/>
      <c r="B16" s="889"/>
      <c r="C16" s="889"/>
      <c r="D16" s="889"/>
      <c r="E16" s="890" t="s">
        <v>19</v>
      </c>
      <c r="F16" s="889"/>
      <c r="G16" s="891"/>
      <c r="H16" s="50" t="s">
        <v>12</v>
      </c>
      <c r="I16" s="892"/>
      <c r="J16" s="892"/>
      <c r="K16" s="893"/>
      <c r="L16" s="893">
        <f t="shared" ca="1" si="7"/>
        <v>4746000</v>
      </c>
      <c r="M16" s="893">
        <f t="shared" ca="1" si="7"/>
        <v>4745800</v>
      </c>
      <c r="N16" s="893">
        <f t="shared" ca="1" si="7"/>
        <v>75800</v>
      </c>
      <c r="O16" s="893">
        <f t="shared" ca="1" si="1"/>
        <v>1.597134428992836</v>
      </c>
      <c r="P16" s="893">
        <f t="shared" ca="1" si="2"/>
        <v>1.5972017362720721</v>
      </c>
      <c r="Q16" s="875"/>
      <c r="R16" s="875"/>
      <c r="S16" s="875"/>
      <c r="T16" s="875"/>
      <c r="U16" s="875"/>
      <c r="V16" s="875"/>
      <c r="W16" s="875"/>
      <c r="X16" s="875"/>
      <c r="Y16" s="875"/>
      <c r="Z16" s="875"/>
    </row>
    <row r="17" spans="1:26" ht="19.5">
      <c r="A17" s="856" t="s">
        <v>22</v>
      </c>
      <c r="B17" s="833"/>
      <c r="C17" s="833"/>
      <c r="D17" s="833"/>
      <c r="E17" s="833"/>
      <c r="F17" s="833"/>
      <c r="G17" s="831"/>
      <c r="H17" s="857"/>
      <c r="I17" s="858"/>
      <c r="J17" s="858"/>
      <c r="K17" s="859"/>
      <c r="L17" s="859"/>
      <c r="M17" s="859"/>
      <c r="N17" s="859"/>
      <c r="O17" s="859"/>
      <c r="P17" s="859"/>
    </row>
    <row r="18" spans="1:26" ht="19.5">
      <c r="A18" s="860"/>
      <c r="B18" s="861"/>
      <c r="C18" s="862" t="s">
        <v>16</v>
      </c>
      <c r="D18" s="863" t="s">
        <v>17</v>
      </c>
      <c r="E18" s="861"/>
      <c r="F18" s="861"/>
      <c r="G18" s="864"/>
      <c r="H18" s="19" t="s">
        <v>12</v>
      </c>
      <c r="I18" s="865"/>
      <c r="J18" s="865"/>
      <c r="K18" s="866"/>
      <c r="L18" s="867">
        <f t="shared" ref="L18:N18" ca="1" si="8">L19+L20</f>
        <v>7037367</v>
      </c>
      <c r="M18" s="867">
        <f t="shared" ca="1" si="8"/>
        <v>6538837</v>
      </c>
      <c r="N18" s="867">
        <f t="shared" ca="1" si="8"/>
        <v>1308726.3799999999</v>
      </c>
      <c r="O18" s="867">
        <f t="shared" ref="O18:O26" ca="1" si="9">IF(L18&gt;0,N18*100/L18,0)</f>
        <v>18.596818668118345</v>
      </c>
      <c r="P18" s="867">
        <f t="shared" ref="P18:P26" ca="1" si="10">IF(M18&gt;0,N18*100/M18,0)</f>
        <v>20.014665910772816</v>
      </c>
      <c r="Q18" s="868"/>
      <c r="R18" s="868"/>
      <c r="S18" s="868"/>
      <c r="T18" s="868"/>
      <c r="U18" s="868"/>
      <c r="V18" s="868"/>
      <c r="W18" s="868"/>
      <c r="X18" s="868"/>
      <c r="Y18" s="868"/>
      <c r="Z18" s="868"/>
    </row>
    <row r="19" spans="1:26" ht="18.75" hidden="1">
      <c r="A19" s="869"/>
      <c r="B19" s="870"/>
      <c r="C19" s="870"/>
      <c r="D19" s="870"/>
      <c r="E19" s="871" t="s">
        <v>18</v>
      </c>
      <c r="F19" s="870"/>
      <c r="G19" s="872"/>
      <c r="H19" s="28" t="s">
        <v>12</v>
      </c>
      <c r="I19" s="873"/>
      <c r="J19" s="873"/>
      <c r="K19" s="874"/>
      <c r="L19" s="874">
        <f t="shared" ref="L19:N20" si="11">L22+L25</f>
        <v>0</v>
      </c>
      <c r="M19" s="874">
        <f t="shared" si="11"/>
        <v>0</v>
      </c>
      <c r="N19" s="874">
        <f t="shared" si="11"/>
        <v>0</v>
      </c>
      <c r="O19" s="874">
        <f t="shared" si="9"/>
        <v>0</v>
      </c>
      <c r="P19" s="874">
        <f t="shared" si="10"/>
        <v>0</v>
      </c>
      <c r="Q19" s="875"/>
      <c r="R19" s="875"/>
      <c r="S19" s="875"/>
      <c r="T19" s="875"/>
      <c r="U19" s="875"/>
      <c r="V19" s="875"/>
      <c r="W19" s="875"/>
      <c r="X19" s="875"/>
      <c r="Y19" s="875"/>
      <c r="Z19" s="875"/>
    </row>
    <row r="20" spans="1:26" ht="18.75" hidden="1">
      <c r="A20" s="869"/>
      <c r="B20" s="870"/>
      <c r="C20" s="870"/>
      <c r="D20" s="870"/>
      <c r="E20" s="871" t="s">
        <v>19</v>
      </c>
      <c r="F20" s="870"/>
      <c r="G20" s="872"/>
      <c r="H20" s="28" t="s">
        <v>12</v>
      </c>
      <c r="I20" s="873"/>
      <c r="J20" s="873"/>
      <c r="K20" s="874"/>
      <c r="L20" s="874">
        <f t="shared" ca="1" si="11"/>
        <v>7037367</v>
      </c>
      <c r="M20" s="874">
        <f t="shared" ca="1" si="11"/>
        <v>6538837</v>
      </c>
      <c r="N20" s="874">
        <f t="shared" ca="1" si="11"/>
        <v>1308726.3799999999</v>
      </c>
      <c r="O20" s="874">
        <f t="shared" ca="1" si="9"/>
        <v>18.596818668118345</v>
      </c>
      <c r="P20" s="874">
        <f t="shared" ca="1" si="10"/>
        <v>20.014665910772816</v>
      </c>
      <c r="Q20" s="875"/>
      <c r="R20" s="875"/>
      <c r="S20" s="875"/>
      <c r="T20" s="875"/>
      <c r="U20" s="875"/>
      <c r="V20" s="875"/>
      <c r="W20" s="875"/>
      <c r="X20" s="875"/>
      <c r="Y20" s="875"/>
      <c r="Z20" s="875"/>
    </row>
    <row r="21" spans="1:26" ht="18.75">
      <c r="A21" s="876"/>
      <c r="B21" s="877"/>
      <c r="C21" s="877"/>
      <c r="D21" s="878" t="s">
        <v>20</v>
      </c>
      <c r="E21" s="877"/>
      <c r="F21" s="877"/>
      <c r="G21" s="879"/>
      <c r="H21" s="622" t="s">
        <v>12</v>
      </c>
      <c r="I21" s="880"/>
      <c r="J21" s="880"/>
      <c r="K21" s="881"/>
      <c r="L21" s="881">
        <f t="shared" ref="L21:N21" ca="1" si="12">L22+L23</f>
        <v>2291367</v>
      </c>
      <c r="M21" s="881">
        <f t="shared" ca="1" si="12"/>
        <v>1793037</v>
      </c>
      <c r="N21" s="881">
        <f t="shared" ca="1" si="12"/>
        <v>1232926.3799999999</v>
      </c>
      <c r="O21" s="881">
        <f t="shared" ca="1" si="9"/>
        <v>53.807459913667252</v>
      </c>
      <c r="P21" s="881">
        <f t="shared" ca="1" si="10"/>
        <v>68.761903965171925</v>
      </c>
      <c r="Q21" s="868"/>
      <c r="R21" s="868"/>
      <c r="S21" s="868"/>
      <c r="T21" s="868"/>
      <c r="U21" s="868"/>
      <c r="V21" s="868"/>
      <c r="W21" s="868"/>
      <c r="X21" s="868"/>
      <c r="Y21" s="868"/>
      <c r="Z21" s="868"/>
    </row>
    <row r="22" spans="1:26" ht="18.75" hidden="1">
      <c r="A22" s="882"/>
      <c r="B22" s="883"/>
      <c r="C22" s="883"/>
      <c r="D22" s="883"/>
      <c r="E22" s="884" t="s">
        <v>18</v>
      </c>
      <c r="F22" s="883"/>
      <c r="G22" s="885"/>
      <c r="H22" s="43" t="s">
        <v>12</v>
      </c>
      <c r="I22" s="886"/>
      <c r="J22" s="886"/>
      <c r="K22" s="887"/>
      <c r="L22" s="887">
        <f t="shared" ref="L22:N23" si="13">L45+L57+L70+L92+L123+L136+L153+L185+L169+L265+L281+L302+L319+L332+L349+L393+L406</f>
        <v>0</v>
      </c>
      <c r="M22" s="887">
        <f t="shared" si="13"/>
        <v>0</v>
      </c>
      <c r="N22" s="887">
        <f t="shared" si="13"/>
        <v>0</v>
      </c>
      <c r="O22" s="887">
        <f t="shared" si="9"/>
        <v>0</v>
      </c>
      <c r="P22" s="887">
        <f t="shared" si="10"/>
        <v>0</v>
      </c>
      <c r="Q22" s="875"/>
      <c r="R22" s="875"/>
      <c r="S22" s="875"/>
      <c r="T22" s="875"/>
      <c r="U22" s="875"/>
      <c r="V22" s="875"/>
      <c r="W22" s="875"/>
      <c r="X22" s="875"/>
      <c r="Y22" s="875"/>
      <c r="Z22" s="875"/>
    </row>
    <row r="23" spans="1:26" ht="18.75" hidden="1">
      <c r="A23" s="882"/>
      <c r="B23" s="883"/>
      <c r="C23" s="883"/>
      <c r="D23" s="883"/>
      <c r="E23" s="884" t="s">
        <v>19</v>
      </c>
      <c r="F23" s="883"/>
      <c r="G23" s="885"/>
      <c r="H23" s="43" t="s">
        <v>12</v>
      </c>
      <c r="I23" s="886"/>
      <c r="J23" s="886"/>
      <c r="K23" s="887"/>
      <c r="L23" s="887">
        <f t="shared" ca="1" si="13"/>
        <v>2291367</v>
      </c>
      <c r="M23" s="887">
        <f t="shared" ca="1" si="13"/>
        <v>1793037</v>
      </c>
      <c r="N23" s="887">
        <f t="shared" ca="1" si="13"/>
        <v>1232926.3799999999</v>
      </c>
      <c r="O23" s="887">
        <f t="shared" ca="1" si="9"/>
        <v>53.807459913667252</v>
      </c>
      <c r="P23" s="887">
        <f t="shared" ca="1" si="10"/>
        <v>68.761903965171925</v>
      </c>
      <c r="Q23" s="875"/>
      <c r="R23" s="875"/>
      <c r="S23" s="875"/>
      <c r="T23" s="875"/>
      <c r="U23" s="875"/>
      <c r="V23" s="875"/>
      <c r="W23" s="875"/>
      <c r="X23" s="875"/>
      <c r="Y23" s="875"/>
      <c r="Z23" s="875"/>
    </row>
    <row r="24" spans="1:26" ht="18.75">
      <c r="A24" s="876"/>
      <c r="B24" s="877"/>
      <c r="C24" s="877"/>
      <c r="D24" s="878" t="s">
        <v>21</v>
      </c>
      <c r="E24" s="877"/>
      <c r="F24" s="877"/>
      <c r="G24" s="879"/>
      <c r="H24" s="622" t="s">
        <v>12</v>
      </c>
      <c r="I24" s="880"/>
      <c r="J24" s="880"/>
      <c r="K24" s="881"/>
      <c r="L24" s="881">
        <f t="shared" ref="L24:N24" ca="1" si="14">L25+L26</f>
        <v>4746000</v>
      </c>
      <c r="M24" s="881">
        <f t="shared" ca="1" si="14"/>
        <v>4745800</v>
      </c>
      <c r="N24" s="881">
        <f t="shared" ca="1" si="14"/>
        <v>75800</v>
      </c>
      <c r="O24" s="881">
        <f t="shared" ca="1" si="9"/>
        <v>1.597134428992836</v>
      </c>
      <c r="P24" s="881">
        <f t="shared" ca="1" si="10"/>
        <v>1.5972017362720721</v>
      </c>
      <c r="Q24" s="868"/>
      <c r="R24" s="868"/>
      <c r="S24" s="868"/>
      <c r="T24" s="868"/>
      <c r="U24" s="868"/>
      <c r="V24" s="868"/>
      <c r="W24" s="868"/>
      <c r="X24" s="868"/>
      <c r="Y24" s="868"/>
      <c r="Z24" s="868"/>
    </row>
    <row r="25" spans="1:26" ht="18.75" hidden="1">
      <c r="A25" s="882"/>
      <c r="B25" s="883"/>
      <c r="C25" s="883"/>
      <c r="D25" s="883"/>
      <c r="E25" s="884" t="s">
        <v>18</v>
      </c>
      <c r="F25" s="883"/>
      <c r="G25" s="885"/>
      <c r="H25" s="43" t="s">
        <v>12</v>
      </c>
      <c r="I25" s="886"/>
      <c r="J25" s="886"/>
      <c r="K25" s="887"/>
      <c r="L25" s="887">
        <f t="shared" ref="L25:N26" si="15">L48+L60+L73+L95+L126+L139+L156+L188+L172+L268+L284+L305+L322+L335+L352+L396+L409</f>
        <v>0</v>
      </c>
      <c r="M25" s="887">
        <f t="shared" si="15"/>
        <v>0</v>
      </c>
      <c r="N25" s="887">
        <f t="shared" si="15"/>
        <v>0</v>
      </c>
      <c r="O25" s="887">
        <f t="shared" si="9"/>
        <v>0</v>
      </c>
      <c r="P25" s="887">
        <f t="shared" si="10"/>
        <v>0</v>
      </c>
      <c r="Q25" s="875"/>
      <c r="R25" s="875"/>
      <c r="S25" s="875"/>
      <c r="T25" s="875"/>
      <c r="U25" s="875"/>
      <c r="V25" s="875"/>
      <c r="W25" s="875"/>
      <c r="X25" s="875"/>
      <c r="Y25" s="875"/>
      <c r="Z25" s="875"/>
    </row>
    <row r="26" spans="1:26" ht="18.75" hidden="1">
      <c r="A26" s="888"/>
      <c r="B26" s="889"/>
      <c r="C26" s="889"/>
      <c r="D26" s="889"/>
      <c r="E26" s="890" t="s">
        <v>19</v>
      </c>
      <c r="F26" s="889"/>
      <c r="G26" s="891"/>
      <c r="H26" s="50" t="s">
        <v>12</v>
      </c>
      <c r="I26" s="892"/>
      <c r="J26" s="892"/>
      <c r="K26" s="893"/>
      <c r="L26" s="893">
        <f t="shared" ca="1" si="15"/>
        <v>4746000</v>
      </c>
      <c r="M26" s="893">
        <f t="shared" ca="1" si="15"/>
        <v>4745800</v>
      </c>
      <c r="N26" s="893">
        <f t="shared" ca="1" si="15"/>
        <v>75800</v>
      </c>
      <c r="O26" s="893">
        <f t="shared" ca="1" si="9"/>
        <v>1.597134428992836</v>
      </c>
      <c r="P26" s="893">
        <f t="shared" ca="1" si="10"/>
        <v>1.5972017362720721</v>
      </c>
      <c r="Q26" s="875"/>
      <c r="R26" s="875"/>
      <c r="S26" s="875"/>
      <c r="T26" s="875"/>
      <c r="U26" s="875"/>
      <c r="V26" s="875"/>
      <c r="W26" s="875"/>
      <c r="X26" s="875"/>
      <c r="Y26" s="875"/>
      <c r="Z26" s="875"/>
    </row>
    <row r="27" spans="1:26" ht="19.5">
      <c r="A27" s="856" t="s">
        <v>23</v>
      </c>
      <c r="B27" s="833"/>
      <c r="C27" s="833"/>
      <c r="D27" s="833"/>
      <c r="E27" s="833"/>
      <c r="F27" s="833"/>
      <c r="G27" s="831"/>
      <c r="H27" s="857"/>
      <c r="I27" s="858"/>
      <c r="J27" s="858"/>
      <c r="K27" s="859"/>
      <c r="L27" s="859"/>
      <c r="M27" s="859"/>
      <c r="N27" s="859"/>
      <c r="O27" s="859"/>
      <c r="P27" s="859"/>
    </row>
    <row r="28" spans="1:26" ht="19.5">
      <c r="A28" s="860"/>
      <c r="B28" s="861"/>
      <c r="C28" s="862" t="s">
        <v>16</v>
      </c>
      <c r="D28" s="863" t="s">
        <v>17</v>
      </c>
      <c r="E28" s="861"/>
      <c r="F28" s="861"/>
      <c r="G28" s="864"/>
      <c r="H28" s="19" t="s">
        <v>12</v>
      </c>
      <c r="I28" s="865"/>
      <c r="J28" s="865"/>
      <c r="K28" s="866"/>
      <c r="L28" s="867">
        <f t="shared" ref="L28:N28" ca="1" si="16">L29+L30</f>
        <v>734746</v>
      </c>
      <c r="M28" s="867">
        <f t="shared" ca="1" si="16"/>
        <v>734746</v>
      </c>
      <c r="N28" s="867">
        <f t="shared" si="16"/>
        <v>550611</v>
      </c>
      <c r="O28" s="867">
        <f t="shared" ref="O28:O37" ca="1" si="17">IF(L28&gt;0,N28*100/L28,0)</f>
        <v>74.938958497222174</v>
      </c>
      <c r="P28" s="867">
        <f t="shared" ref="P28:P37" ca="1" si="18">IF(M28&gt;0,N28*100/M28,0)</f>
        <v>74.938958497222174</v>
      </c>
      <c r="Q28" s="868"/>
      <c r="R28" s="868"/>
      <c r="S28" s="868"/>
      <c r="T28" s="868"/>
      <c r="U28" s="868"/>
      <c r="V28" s="868"/>
      <c r="W28" s="868"/>
      <c r="X28" s="868"/>
      <c r="Y28" s="868"/>
      <c r="Z28" s="868"/>
    </row>
    <row r="29" spans="1:26" ht="18.75" hidden="1">
      <c r="A29" s="869"/>
      <c r="B29" s="870"/>
      <c r="C29" s="870"/>
      <c r="D29" s="870"/>
      <c r="E29" s="871" t="s">
        <v>18</v>
      </c>
      <c r="F29" s="870"/>
      <c r="G29" s="872"/>
      <c r="H29" s="28" t="s">
        <v>12</v>
      </c>
      <c r="I29" s="873"/>
      <c r="J29" s="873"/>
      <c r="K29" s="874"/>
      <c r="L29" s="874">
        <f t="shared" ref="L29:N30" si="19">L32+L35</f>
        <v>0</v>
      </c>
      <c r="M29" s="874">
        <f t="shared" si="19"/>
        <v>0</v>
      </c>
      <c r="N29" s="874">
        <f t="shared" si="19"/>
        <v>0</v>
      </c>
      <c r="O29" s="874">
        <f t="shared" si="17"/>
        <v>0</v>
      </c>
      <c r="P29" s="874">
        <f t="shared" si="18"/>
        <v>0</v>
      </c>
      <c r="Q29" s="875"/>
      <c r="R29" s="875"/>
      <c r="S29" s="875"/>
      <c r="T29" s="875"/>
      <c r="U29" s="875"/>
      <c r="V29" s="875"/>
      <c r="W29" s="875"/>
      <c r="X29" s="875"/>
      <c r="Y29" s="875"/>
      <c r="Z29" s="875"/>
    </row>
    <row r="30" spans="1:26" ht="18.75" hidden="1">
      <c r="A30" s="869"/>
      <c r="B30" s="870"/>
      <c r="C30" s="870"/>
      <c r="D30" s="870"/>
      <c r="E30" s="871" t="s">
        <v>19</v>
      </c>
      <c r="F30" s="870"/>
      <c r="G30" s="872"/>
      <c r="H30" s="28" t="s">
        <v>12</v>
      </c>
      <c r="I30" s="873"/>
      <c r="J30" s="873"/>
      <c r="K30" s="874"/>
      <c r="L30" s="874">
        <f t="shared" ca="1" si="19"/>
        <v>734746</v>
      </c>
      <c r="M30" s="874">
        <f t="shared" ca="1" si="19"/>
        <v>734746</v>
      </c>
      <c r="N30" s="874">
        <f t="shared" si="19"/>
        <v>550611</v>
      </c>
      <c r="O30" s="874">
        <f t="shared" ca="1" si="17"/>
        <v>74.938958497222174</v>
      </c>
      <c r="P30" s="874">
        <f t="shared" ca="1" si="18"/>
        <v>74.938958497222174</v>
      </c>
      <c r="Q30" s="875"/>
      <c r="R30" s="875"/>
      <c r="S30" s="875"/>
      <c r="T30" s="875"/>
      <c r="U30" s="875"/>
      <c r="V30" s="875"/>
      <c r="W30" s="875"/>
      <c r="X30" s="875"/>
      <c r="Y30" s="875"/>
      <c r="Z30" s="875"/>
    </row>
    <row r="31" spans="1:26" ht="18.75">
      <c r="A31" s="876"/>
      <c r="B31" s="877"/>
      <c r="C31" s="877"/>
      <c r="D31" s="878" t="s">
        <v>20</v>
      </c>
      <c r="E31" s="877"/>
      <c r="F31" s="877"/>
      <c r="G31" s="879"/>
      <c r="H31" s="622" t="s">
        <v>12</v>
      </c>
      <c r="I31" s="880"/>
      <c r="J31" s="880"/>
      <c r="K31" s="881"/>
      <c r="L31" s="881">
        <f t="shared" ref="L31:N31" ca="1" si="20">L32+L33</f>
        <v>734746</v>
      </c>
      <c r="M31" s="881">
        <f t="shared" ca="1" si="20"/>
        <v>734746</v>
      </c>
      <c r="N31" s="881">
        <f t="shared" si="20"/>
        <v>550611</v>
      </c>
      <c r="O31" s="881">
        <f t="shared" ca="1" si="17"/>
        <v>74.938958497222174</v>
      </c>
      <c r="P31" s="881">
        <f t="shared" ca="1" si="18"/>
        <v>74.938958497222174</v>
      </c>
      <c r="Q31" s="868"/>
      <c r="R31" s="868"/>
      <c r="S31" s="868"/>
      <c r="T31" s="868"/>
      <c r="U31" s="868"/>
      <c r="V31" s="868"/>
      <c r="W31" s="868"/>
      <c r="X31" s="868"/>
      <c r="Y31" s="868"/>
      <c r="Z31" s="868"/>
    </row>
    <row r="32" spans="1:26" ht="18.75" hidden="1">
      <c r="A32" s="882"/>
      <c r="B32" s="883"/>
      <c r="C32" s="883"/>
      <c r="D32" s="883"/>
      <c r="E32" s="884" t="s">
        <v>18</v>
      </c>
      <c r="F32" s="883"/>
      <c r="G32" s="885"/>
      <c r="H32" s="43" t="s">
        <v>12</v>
      </c>
      <c r="I32" s="886"/>
      <c r="J32" s="886"/>
      <c r="K32" s="887"/>
      <c r="L32" s="887">
        <f t="shared" ref="L32:N33" si="21">L423+L448+L471+L506+L527+L548+L633+L659+L689+L741+L758+L774+L790+L809</f>
        <v>0</v>
      </c>
      <c r="M32" s="887">
        <f t="shared" si="21"/>
        <v>0</v>
      </c>
      <c r="N32" s="887">
        <f t="shared" si="21"/>
        <v>0</v>
      </c>
      <c r="O32" s="887">
        <f t="shared" si="17"/>
        <v>0</v>
      </c>
      <c r="P32" s="887">
        <f t="shared" si="18"/>
        <v>0</v>
      </c>
      <c r="Q32" s="875"/>
      <c r="R32" s="875"/>
      <c r="S32" s="875"/>
      <c r="T32" s="875"/>
      <c r="U32" s="875"/>
      <c r="V32" s="875"/>
      <c r="W32" s="875"/>
      <c r="X32" s="875"/>
      <c r="Y32" s="875"/>
      <c r="Z32" s="875"/>
    </row>
    <row r="33" spans="1:26" ht="18.75" hidden="1">
      <c r="A33" s="882"/>
      <c r="B33" s="883"/>
      <c r="C33" s="883"/>
      <c r="D33" s="883"/>
      <c r="E33" s="884" t="s">
        <v>19</v>
      </c>
      <c r="F33" s="883"/>
      <c r="G33" s="885"/>
      <c r="H33" s="43" t="s">
        <v>12</v>
      </c>
      <c r="I33" s="886"/>
      <c r="J33" s="886"/>
      <c r="K33" s="887"/>
      <c r="L33" s="887">
        <f t="shared" ca="1" si="21"/>
        <v>734746</v>
      </c>
      <c r="M33" s="887">
        <f t="shared" ca="1" si="21"/>
        <v>734746</v>
      </c>
      <c r="N33" s="887">
        <f t="shared" si="21"/>
        <v>550611</v>
      </c>
      <c r="O33" s="887">
        <f t="shared" ca="1" si="17"/>
        <v>74.938958497222174</v>
      </c>
      <c r="P33" s="887">
        <f t="shared" ca="1" si="18"/>
        <v>74.938958497222174</v>
      </c>
      <c r="Q33" s="875"/>
      <c r="R33" s="875"/>
      <c r="S33" s="875"/>
      <c r="T33" s="875"/>
      <c r="U33" s="875"/>
      <c r="V33" s="875"/>
      <c r="W33" s="875"/>
      <c r="X33" s="875"/>
      <c r="Y33" s="875"/>
      <c r="Z33" s="875"/>
    </row>
    <row r="34" spans="1:26" ht="18.75">
      <c r="A34" s="876"/>
      <c r="B34" s="877"/>
      <c r="C34" s="877"/>
      <c r="D34" s="878" t="s">
        <v>21</v>
      </c>
      <c r="E34" s="877"/>
      <c r="F34" s="877"/>
      <c r="G34" s="879"/>
      <c r="H34" s="622" t="s">
        <v>12</v>
      </c>
      <c r="I34" s="880"/>
      <c r="J34" s="880"/>
      <c r="K34" s="881"/>
      <c r="L34" s="881">
        <f t="shared" ref="L34:N34" ca="1" si="22">L35+L36</f>
        <v>0</v>
      </c>
      <c r="M34" s="881">
        <f t="shared" si="22"/>
        <v>0</v>
      </c>
      <c r="N34" s="881">
        <f t="shared" si="22"/>
        <v>0</v>
      </c>
      <c r="O34" s="881">
        <f t="shared" ca="1" si="17"/>
        <v>0</v>
      </c>
      <c r="P34" s="881">
        <f t="shared" si="18"/>
        <v>0</v>
      </c>
      <c r="Q34" s="868"/>
      <c r="R34" s="868"/>
      <c r="S34" s="868"/>
      <c r="T34" s="868"/>
      <c r="U34" s="868"/>
      <c r="V34" s="868"/>
      <c r="W34" s="868"/>
      <c r="X34" s="868"/>
      <c r="Y34" s="868"/>
      <c r="Z34" s="868"/>
    </row>
    <row r="35" spans="1:26" ht="18.75" hidden="1">
      <c r="A35" s="882"/>
      <c r="B35" s="883"/>
      <c r="C35" s="883"/>
      <c r="D35" s="883"/>
      <c r="E35" s="884" t="s">
        <v>18</v>
      </c>
      <c r="F35" s="883"/>
      <c r="G35" s="885"/>
      <c r="H35" s="43" t="s">
        <v>12</v>
      </c>
      <c r="I35" s="886"/>
      <c r="J35" s="886"/>
      <c r="K35" s="887"/>
      <c r="L35" s="887">
        <f t="shared" ref="L35:N36" si="23">L430+L455+L478+L513+L534+L556+L640+L666+L696+L748+L765+L781+L797+L816</f>
        <v>0</v>
      </c>
      <c r="M35" s="887">
        <f t="shared" si="23"/>
        <v>0</v>
      </c>
      <c r="N35" s="887">
        <f t="shared" si="23"/>
        <v>0</v>
      </c>
      <c r="O35" s="887">
        <f t="shared" si="17"/>
        <v>0</v>
      </c>
      <c r="P35" s="887">
        <f t="shared" si="18"/>
        <v>0</v>
      </c>
      <c r="Q35" s="875"/>
      <c r="R35" s="875"/>
      <c r="S35" s="875"/>
      <c r="T35" s="875"/>
      <c r="U35" s="875"/>
      <c r="V35" s="875"/>
      <c r="W35" s="875"/>
      <c r="X35" s="875"/>
      <c r="Y35" s="875"/>
      <c r="Z35" s="875"/>
    </row>
    <row r="36" spans="1:26" ht="18.75" hidden="1">
      <c r="A36" s="888"/>
      <c r="B36" s="889"/>
      <c r="C36" s="889"/>
      <c r="D36" s="889"/>
      <c r="E36" s="890" t="s">
        <v>19</v>
      </c>
      <c r="F36" s="889"/>
      <c r="G36" s="891"/>
      <c r="H36" s="50" t="s">
        <v>12</v>
      </c>
      <c r="I36" s="892"/>
      <c r="J36" s="892"/>
      <c r="K36" s="893"/>
      <c r="L36" s="893">
        <f t="shared" ca="1" si="23"/>
        <v>0</v>
      </c>
      <c r="M36" s="893">
        <f t="shared" si="23"/>
        <v>0</v>
      </c>
      <c r="N36" s="893">
        <f t="shared" si="23"/>
        <v>0</v>
      </c>
      <c r="O36" s="893">
        <f t="shared" ca="1" si="17"/>
        <v>0</v>
      </c>
      <c r="P36" s="893">
        <f t="shared" si="18"/>
        <v>0</v>
      </c>
      <c r="Q36" s="875"/>
      <c r="R36" s="875"/>
      <c r="S36" s="875"/>
      <c r="T36" s="875"/>
      <c r="U36" s="875"/>
      <c r="V36" s="875"/>
      <c r="W36" s="875"/>
      <c r="X36" s="875"/>
      <c r="Y36" s="875"/>
      <c r="Z36" s="875"/>
    </row>
    <row r="37" spans="1:26" ht="19.5">
      <c r="A37" s="894" t="s">
        <v>24</v>
      </c>
      <c r="B37" s="895"/>
      <c r="C37" s="895"/>
      <c r="D37" s="895"/>
      <c r="E37" s="895"/>
      <c r="F37" s="895"/>
      <c r="G37" s="896"/>
      <c r="H37" s="897"/>
      <c r="I37" s="898"/>
      <c r="J37" s="898"/>
      <c r="K37" s="899"/>
      <c r="L37" s="900">
        <f t="shared" ref="L37:N37" ca="1" si="24">L41+L53+L66+L88+L119+L132+L149+L165+L181+L261+L277+L298+L315+L328+L345+L389+L402</f>
        <v>7037367</v>
      </c>
      <c r="M37" s="900">
        <f t="shared" ca="1" si="24"/>
        <v>6538837</v>
      </c>
      <c r="N37" s="900">
        <f t="shared" ca="1" si="24"/>
        <v>1308726.3799999999</v>
      </c>
      <c r="O37" s="900">
        <f t="shared" ca="1" si="17"/>
        <v>18.596818668118345</v>
      </c>
      <c r="P37" s="900">
        <f t="shared" ca="1" si="18"/>
        <v>20.014665910772816</v>
      </c>
    </row>
    <row r="38" spans="1:26" ht="19.5">
      <c r="A38" s="901" t="s">
        <v>25</v>
      </c>
      <c r="B38" s="902"/>
      <c r="C38" s="902"/>
      <c r="D38" s="902"/>
      <c r="E38" s="902"/>
      <c r="F38" s="902"/>
      <c r="G38" s="903"/>
      <c r="H38" s="904"/>
      <c r="I38" s="905"/>
      <c r="J38" s="905"/>
      <c r="K38" s="906"/>
      <c r="L38" s="906"/>
      <c r="M38" s="906"/>
      <c r="N38" s="906"/>
      <c r="O38" s="906"/>
      <c r="P38" s="906"/>
    </row>
    <row r="39" spans="1:26" ht="19.5">
      <c r="A39" s="907"/>
      <c r="B39" s="908" t="s">
        <v>26</v>
      </c>
      <c r="C39" s="909"/>
      <c r="D39" s="909"/>
      <c r="E39" s="909"/>
      <c r="F39" s="909"/>
      <c r="G39" s="910"/>
      <c r="H39" s="911"/>
      <c r="I39" s="912"/>
      <c r="J39" s="912"/>
      <c r="K39" s="913"/>
      <c r="L39" s="913"/>
      <c r="M39" s="913"/>
      <c r="N39" s="913"/>
      <c r="O39" s="913"/>
      <c r="P39" s="913"/>
    </row>
    <row r="40" spans="1:26" ht="19.5">
      <c r="A40" s="914"/>
      <c r="B40" s="915" t="s">
        <v>27</v>
      </c>
      <c r="C40" s="841"/>
      <c r="D40" s="841"/>
      <c r="E40" s="841"/>
      <c r="F40" s="841"/>
      <c r="G40" s="842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82" t="s">
        <v>12</v>
      </c>
      <c r="I41" s="924"/>
      <c r="J41" s="924"/>
      <c r="K41" s="925"/>
      <c r="L41" s="926">
        <f t="shared" ref="L41:N41" ca="1" si="25">L42+L43</f>
        <v>193842</v>
      </c>
      <c r="M41" s="926">
        <f t="shared" ca="1" si="25"/>
        <v>207932</v>
      </c>
      <c r="N41" s="926">
        <f t="shared" ca="1" si="25"/>
        <v>117990.5</v>
      </c>
      <c r="O41" s="926">
        <f t="shared" ref="O41:O49" ca="1" si="26">IF(L41&gt;0,N41*100/L41,0)</f>
        <v>60.869419424067026</v>
      </c>
      <c r="P41" s="926">
        <f t="shared" ref="P41:P49" ca="1" si="27">IF(M41&gt;0,N41*100/M41,0)</f>
        <v>56.744753092357115</v>
      </c>
      <c r="Q41" s="868"/>
      <c r="R41" s="868"/>
      <c r="S41" s="868"/>
      <c r="T41" s="868"/>
      <c r="U41" s="868"/>
      <c r="V41" s="868"/>
      <c r="W41" s="868"/>
      <c r="X41" s="868"/>
      <c r="Y41" s="868"/>
      <c r="Z41" s="868"/>
    </row>
    <row r="42" spans="1:26" ht="18.75" hidden="1">
      <c r="A42" s="927"/>
      <c r="B42" s="928"/>
      <c r="C42" s="928"/>
      <c r="D42" s="928"/>
      <c r="E42" s="929" t="s">
        <v>18</v>
      </c>
      <c r="F42" s="928"/>
      <c r="G42" s="930"/>
      <c r="H42" s="90" t="s">
        <v>12</v>
      </c>
      <c r="I42" s="931"/>
      <c r="J42" s="931"/>
      <c r="K42" s="932"/>
      <c r="L42" s="932">
        <f t="shared" ref="L42:N43" si="28">L45+L48</f>
        <v>0</v>
      </c>
      <c r="M42" s="932">
        <f t="shared" si="28"/>
        <v>0</v>
      </c>
      <c r="N42" s="932">
        <f t="shared" si="28"/>
        <v>0</v>
      </c>
      <c r="O42" s="932">
        <f t="shared" si="26"/>
        <v>0</v>
      </c>
      <c r="P42" s="932">
        <f t="shared" si="27"/>
        <v>0</v>
      </c>
      <c r="Q42" s="875"/>
      <c r="R42" s="875"/>
      <c r="S42" s="875"/>
      <c r="T42" s="875"/>
      <c r="U42" s="875"/>
      <c r="V42" s="875"/>
      <c r="W42" s="875"/>
      <c r="X42" s="875"/>
      <c r="Y42" s="875"/>
      <c r="Z42" s="875"/>
    </row>
    <row r="43" spans="1:26" ht="18.75" hidden="1">
      <c r="A43" s="927"/>
      <c r="B43" s="928"/>
      <c r="C43" s="928"/>
      <c r="D43" s="928"/>
      <c r="E43" s="929" t="s">
        <v>19</v>
      </c>
      <c r="F43" s="928"/>
      <c r="G43" s="930"/>
      <c r="H43" s="90" t="s">
        <v>12</v>
      </c>
      <c r="I43" s="931"/>
      <c r="J43" s="931"/>
      <c r="K43" s="932"/>
      <c r="L43" s="932">
        <f t="shared" ca="1" si="28"/>
        <v>193842</v>
      </c>
      <c r="M43" s="932">
        <f t="shared" ca="1" si="28"/>
        <v>207932</v>
      </c>
      <c r="N43" s="932">
        <f t="shared" ca="1" si="28"/>
        <v>117990.5</v>
      </c>
      <c r="O43" s="932">
        <f t="shared" ca="1" si="26"/>
        <v>60.869419424067026</v>
      </c>
      <c r="P43" s="932">
        <f t="shared" ca="1" si="27"/>
        <v>56.744753092357115</v>
      </c>
      <c r="Q43" s="875"/>
      <c r="R43" s="875"/>
      <c r="S43" s="875"/>
      <c r="T43" s="875"/>
      <c r="U43" s="875"/>
      <c r="V43" s="875"/>
      <c r="W43" s="875"/>
      <c r="X43" s="875"/>
      <c r="Y43" s="875"/>
      <c r="Z43" s="875"/>
    </row>
    <row r="44" spans="1:26" ht="18.75">
      <c r="A44" s="876"/>
      <c r="B44" s="877"/>
      <c r="C44" s="877"/>
      <c r="D44" s="878" t="s">
        <v>20</v>
      </c>
      <c r="E44" s="877"/>
      <c r="F44" s="877"/>
      <c r="G44" s="879"/>
      <c r="H44" s="622" t="s">
        <v>12</v>
      </c>
      <c r="I44" s="880"/>
      <c r="J44" s="880"/>
      <c r="K44" s="881"/>
      <c r="L44" s="881">
        <f t="shared" ref="L44:N44" ca="1" si="29">L45+L46</f>
        <v>193842</v>
      </c>
      <c r="M44" s="881">
        <f t="shared" ca="1" si="29"/>
        <v>207932</v>
      </c>
      <c r="N44" s="881">
        <f t="shared" ca="1" si="29"/>
        <v>117990.5</v>
      </c>
      <c r="O44" s="881">
        <f t="shared" ca="1" si="26"/>
        <v>60.869419424067026</v>
      </c>
      <c r="P44" s="881">
        <f t="shared" ca="1" si="27"/>
        <v>56.744753092357115</v>
      </c>
      <c r="Q44" s="868"/>
      <c r="R44" s="868"/>
      <c r="S44" s="868"/>
      <c r="T44" s="868"/>
      <c r="U44" s="868"/>
      <c r="V44" s="868"/>
      <c r="W44" s="868"/>
      <c r="X44" s="868"/>
      <c r="Y44" s="868"/>
      <c r="Z44" s="868"/>
    </row>
    <row r="45" spans="1:26" ht="18.75" hidden="1">
      <c r="A45" s="882"/>
      <c r="B45" s="883"/>
      <c r="C45" s="883"/>
      <c r="D45" s="883"/>
      <c r="E45" s="884" t="s">
        <v>18</v>
      </c>
      <c r="F45" s="883"/>
      <c r="G45" s="885"/>
      <c r="H45" s="43" t="s">
        <v>12</v>
      </c>
      <c r="I45" s="886"/>
      <c r="J45" s="886"/>
      <c r="K45" s="887"/>
      <c r="L45" s="887">
        <v>0</v>
      </c>
      <c r="M45" s="887">
        <v>0</v>
      </c>
      <c r="N45" s="887">
        <v>0</v>
      </c>
      <c r="O45" s="887">
        <f t="shared" si="26"/>
        <v>0</v>
      </c>
      <c r="P45" s="887">
        <f t="shared" si="27"/>
        <v>0</v>
      </c>
      <c r="Q45" s="875"/>
      <c r="R45" s="875"/>
      <c r="S45" s="875"/>
      <c r="T45" s="875"/>
      <c r="U45" s="875"/>
      <c r="V45" s="875"/>
      <c r="W45" s="875"/>
      <c r="X45" s="875"/>
      <c r="Y45" s="875"/>
      <c r="Z45" s="875"/>
    </row>
    <row r="46" spans="1:26" ht="18.75" hidden="1">
      <c r="A46" s="882"/>
      <c r="B46" s="883"/>
      <c r="C46" s="883"/>
      <c r="D46" s="883"/>
      <c r="E46" s="884" t="s">
        <v>19</v>
      </c>
      <c r="F46" s="883"/>
      <c r="G46" s="885"/>
      <c r="H46" s="43" t="s">
        <v>12</v>
      </c>
      <c r="I46" s="886"/>
      <c r="J46" s="886"/>
      <c r="K46" s="887"/>
      <c r="L46" s="887">
        <f ca="1">IFERROR(__xludf.DUMMYFUNCTION("IMPORTRANGE(""https://docs.google.com/spreadsheets/d/1MeEWN-I1oV_STSDYn1IFDPWt_1FKiwhDph83XaGc0o0/edit?usp=sharing"",""งบพรบ!M81"")"),193842)</f>
        <v>193842</v>
      </c>
      <c r="M46" s="887">
        <f ca="1">IFERROR(__xludf.DUMMYFUNCTION("IMPORTRANGE(""https://docs.google.com/spreadsheets/d/1MeEWN-I1oV_STSDYn1IFDPWt_1FKiwhDph83XaGc0o0/edit?usp=sharing"",""งบพรบ!R81"")"),207932)</f>
        <v>207932</v>
      </c>
      <c r="N46" s="887">
        <f ca="1">IFERROR(__xludf.DUMMYFUNCTION("IMPORTRANGE(""https://docs.google.com/spreadsheets/d/1MeEWN-I1oV_STSDYn1IFDPWt_1FKiwhDph83XaGc0o0/edit?usp=sharing"",""งบพรบ!T81"")"),117990.5)</f>
        <v>117990.5</v>
      </c>
      <c r="O46" s="887">
        <f t="shared" ca="1" si="26"/>
        <v>60.869419424067026</v>
      </c>
      <c r="P46" s="887">
        <f t="shared" ca="1" si="27"/>
        <v>56.744753092357115</v>
      </c>
      <c r="Q46" s="875"/>
      <c r="R46" s="875"/>
      <c r="S46" s="875"/>
      <c r="T46" s="875"/>
      <c r="U46" s="875"/>
      <c r="V46" s="875"/>
      <c r="W46" s="875"/>
      <c r="X46" s="875"/>
      <c r="Y46" s="875"/>
      <c r="Z46" s="875"/>
    </row>
    <row r="47" spans="1:26" ht="18.75">
      <c r="A47" s="876"/>
      <c r="B47" s="877"/>
      <c r="C47" s="877"/>
      <c r="D47" s="878" t="s">
        <v>21</v>
      </c>
      <c r="E47" s="877"/>
      <c r="F47" s="877"/>
      <c r="G47" s="879"/>
      <c r="H47" s="622" t="s">
        <v>12</v>
      </c>
      <c r="I47" s="880"/>
      <c r="J47" s="880"/>
      <c r="K47" s="881"/>
      <c r="L47" s="881">
        <f t="shared" ref="L47:N47" ca="1" si="30">L48+L49</f>
        <v>0</v>
      </c>
      <c r="M47" s="881">
        <f t="shared" ca="1" si="30"/>
        <v>0</v>
      </c>
      <c r="N47" s="881">
        <f t="shared" ca="1" si="30"/>
        <v>0</v>
      </c>
      <c r="O47" s="881">
        <f t="shared" ca="1" si="26"/>
        <v>0</v>
      </c>
      <c r="P47" s="881">
        <f t="shared" ca="1" si="27"/>
        <v>0</v>
      </c>
      <c r="Q47" s="868"/>
      <c r="R47" s="868"/>
      <c r="S47" s="868"/>
      <c r="T47" s="868"/>
      <c r="U47" s="868"/>
      <c r="V47" s="868"/>
      <c r="W47" s="868"/>
      <c r="X47" s="868"/>
      <c r="Y47" s="868"/>
      <c r="Z47" s="868"/>
    </row>
    <row r="48" spans="1:26" ht="18.75" hidden="1">
      <c r="A48" s="882"/>
      <c r="B48" s="883"/>
      <c r="C48" s="883"/>
      <c r="D48" s="883"/>
      <c r="E48" s="884" t="s">
        <v>18</v>
      </c>
      <c r="F48" s="883"/>
      <c r="G48" s="885"/>
      <c r="H48" s="43" t="s">
        <v>12</v>
      </c>
      <c r="I48" s="886"/>
      <c r="J48" s="886"/>
      <c r="K48" s="887"/>
      <c r="L48" s="887">
        <v>0</v>
      </c>
      <c r="M48" s="887">
        <v>0</v>
      </c>
      <c r="N48" s="887">
        <v>0</v>
      </c>
      <c r="O48" s="887">
        <f t="shared" si="26"/>
        <v>0</v>
      </c>
      <c r="P48" s="887">
        <f t="shared" si="27"/>
        <v>0</v>
      </c>
      <c r="Q48" s="875"/>
      <c r="R48" s="875"/>
      <c r="S48" s="875"/>
      <c r="T48" s="875"/>
      <c r="U48" s="875"/>
      <c r="V48" s="875"/>
      <c r="W48" s="875"/>
      <c r="X48" s="875"/>
      <c r="Y48" s="875"/>
      <c r="Z48" s="875"/>
    </row>
    <row r="49" spans="1:26" ht="18.75" hidden="1">
      <c r="A49" s="888"/>
      <c r="B49" s="889"/>
      <c r="C49" s="889"/>
      <c r="D49" s="889"/>
      <c r="E49" s="890" t="s">
        <v>19</v>
      </c>
      <c r="F49" s="889"/>
      <c r="G49" s="891"/>
      <c r="H49" s="50" t="s">
        <v>12</v>
      </c>
      <c r="I49" s="892"/>
      <c r="J49" s="892"/>
      <c r="K49" s="893"/>
      <c r="L49" s="893">
        <f ca="1">IFERROR(__xludf.DUMMYFUNCTION("IMPORTRANGE(""https://docs.google.com/spreadsheets/d/1MeEWN-I1oV_STSDYn1IFDPWt_1FKiwhDph83XaGc0o0/edit?usp=sharing"",""งบพรบ!P81"")"),0)</f>
        <v>0</v>
      </c>
      <c r="M49" s="893">
        <f ca="1">IFERROR(__xludf.DUMMYFUNCTION("IMPORTRANGE(""https://docs.google.com/spreadsheets/d/1MeEWN-I1oV_STSDYn1IFDPWt_1FKiwhDph83XaGc0o0/edit?usp=sharing"",""งบพรบ!S81"")"),0)</f>
        <v>0</v>
      </c>
      <c r="N49" s="893">
        <f ca="1">IFERROR(__xludf.DUMMYFUNCTION("IMPORTRANGE(""https://docs.google.com/spreadsheets/d/1MeEWN-I1oV_STSDYn1IFDPWt_1FKiwhDph83XaGc0o0/edit?usp=sharing"",""งบพรบ!U81"")"),0)</f>
        <v>0</v>
      </c>
      <c r="O49" s="893">
        <f t="shared" ca="1" si="26"/>
        <v>0</v>
      </c>
      <c r="P49" s="893">
        <f t="shared" ca="1" si="27"/>
        <v>0</v>
      </c>
      <c r="Q49" s="875"/>
      <c r="R49" s="875"/>
      <c r="S49" s="875"/>
      <c r="T49" s="875"/>
      <c r="U49" s="875"/>
      <c r="V49" s="875"/>
      <c r="W49" s="875"/>
      <c r="X49" s="875"/>
      <c r="Y49" s="875"/>
      <c r="Z49" s="875"/>
    </row>
    <row r="50" spans="1:26" ht="19.5">
      <c r="A50" s="933" t="s">
        <v>28</v>
      </c>
      <c r="B50" s="833"/>
      <c r="C50" s="833"/>
      <c r="D50" s="833"/>
      <c r="E50" s="833"/>
      <c r="F50" s="833"/>
      <c r="G50" s="831"/>
      <c r="H50" s="934"/>
      <c r="I50" s="935"/>
      <c r="J50" s="935"/>
      <c r="K50" s="936"/>
      <c r="L50" s="936"/>
      <c r="M50" s="936"/>
      <c r="N50" s="936"/>
      <c r="O50" s="936"/>
      <c r="P50" s="936"/>
    </row>
    <row r="51" spans="1:26" ht="19.5">
      <c r="A51" s="937"/>
      <c r="B51" s="938" t="s">
        <v>29</v>
      </c>
      <c r="C51" s="841"/>
      <c r="D51" s="841"/>
      <c r="E51" s="841"/>
      <c r="F51" s="841"/>
      <c r="G51" s="842"/>
      <c r="H51" s="939"/>
      <c r="I51" s="940"/>
      <c r="J51" s="940"/>
      <c r="K51" s="941"/>
      <c r="L51" s="941"/>
      <c r="M51" s="941"/>
      <c r="N51" s="941"/>
      <c r="O51" s="941"/>
      <c r="P51" s="941"/>
    </row>
    <row r="52" spans="1:26" ht="19.5">
      <c r="A52" s="942"/>
      <c r="B52" s="943" t="s">
        <v>30</v>
      </c>
      <c r="C52" s="944"/>
      <c r="D52" s="944"/>
      <c r="E52" s="944"/>
      <c r="F52" s="944"/>
      <c r="G52" s="945"/>
      <c r="H52" s="946"/>
      <c r="I52" s="947"/>
      <c r="J52" s="947"/>
      <c r="K52" s="948"/>
      <c r="L52" s="948"/>
      <c r="M52" s="948"/>
      <c r="N52" s="948"/>
      <c r="O52" s="948"/>
      <c r="P52" s="948"/>
    </row>
    <row r="53" spans="1:26" ht="19.5">
      <c r="A53" s="949"/>
      <c r="B53" s="950"/>
      <c r="C53" s="951" t="s">
        <v>16</v>
      </c>
      <c r="D53" s="952" t="s">
        <v>17</v>
      </c>
      <c r="E53" s="950"/>
      <c r="F53" s="950"/>
      <c r="G53" s="953"/>
      <c r="H53" s="113" t="s">
        <v>12</v>
      </c>
      <c r="I53" s="954"/>
      <c r="J53" s="954"/>
      <c r="K53" s="955"/>
      <c r="L53" s="956">
        <f t="shared" ref="L53:N53" ca="1" si="31">L54+L55</f>
        <v>5589500</v>
      </c>
      <c r="M53" s="956">
        <f t="shared" ca="1" si="31"/>
        <v>5359625</v>
      </c>
      <c r="N53" s="956">
        <f t="shared" ca="1" si="31"/>
        <v>603747.56999999995</v>
      </c>
      <c r="O53" s="956">
        <f t="shared" ref="O53:O61" ca="1" si="32">IF(L53&gt;0,N53*100/L53,0)</f>
        <v>10.801459343411754</v>
      </c>
      <c r="P53" s="956">
        <f t="shared" ref="P53:P61" ca="1" si="33">IF(M53&gt;0,N53*100/M53,0)</f>
        <v>11.264735312638477</v>
      </c>
      <c r="Q53" s="868"/>
      <c r="R53" s="868"/>
      <c r="S53" s="868"/>
      <c r="T53" s="868"/>
      <c r="U53" s="868"/>
      <c r="V53" s="868"/>
      <c r="W53" s="868"/>
      <c r="X53" s="868"/>
      <c r="Y53" s="868"/>
      <c r="Z53" s="868"/>
    </row>
    <row r="54" spans="1:26" ht="18.75" hidden="1">
      <c r="A54" s="957"/>
      <c r="B54" s="958"/>
      <c r="C54" s="958"/>
      <c r="D54" s="958"/>
      <c r="E54" s="959" t="s">
        <v>18</v>
      </c>
      <c r="F54" s="958"/>
      <c r="G54" s="960"/>
      <c r="H54" s="121" t="s">
        <v>12</v>
      </c>
      <c r="I54" s="961"/>
      <c r="J54" s="961"/>
      <c r="K54" s="962"/>
      <c r="L54" s="962">
        <f t="shared" ref="L54:N55" si="34">L57+L60</f>
        <v>0</v>
      </c>
      <c r="M54" s="962">
        <f t="shared" si="34"/>
        <v>0</v>
      </c>
      <c r="N54" s="962">
        <f t="shared" si="34"/>
        <v>0</v>
      </c>
      <c r="O54" s="962">
        <f t="shared" si="32"/>
        <v>0</v>
      </c>
      <c r="P54" s="962">
        <f t="shared" si="33"/>
        <v>0</v>
      </c>
      <c r="Q54" s="875"/>
      <c r="R54" s="875"/>
      <c r="S54" s="875"/>
      <c r="T54" s="875"/>
      <c r="U54" s="875"/>
      <c r="V54" s="875"/>
      <c r="W54" s="875"/>
      <c r="X54" s="875"/>
      <c r="Y54" s="875"/>
      <c r="Z54" s="875"/>
    </row>
    <row r="55" spans="1:26" ht="18.75" hidden="1">
      <c r="A55" s="957"/>
      <c r="B55" s="958"/>
      <c r="C55" s="958"/>
      <c r="D55" s="958"/>
      <c r="E55" s="959" t="s">
        <v>19</v>
      </c>
      <c r="F55" s="958"/>
      <c r="G55" s="960"/>
      <c r="H55" s="121" t="s">
        <v>12</v>
      </c>
      <c r="I55" s="961"/>
      <c r="J55" s="961"/>
      <c r="K55" s="962"/>
      <c r="L55" s="962">
        <f t="shared" ca="1" si="34"/>
        <v>5589500</v>
      </c>
      <c r="M55" s="962">
        <f t="shared" ca="1" si="34"/>
        <v>5359625</v>
      </c>
      <c r="N55" s="962">
        <f t="shared" ca="1" si="34"/>
        <v>603747.56999999995</v>
      </c>
      <c r="O55" s="962">
        <f t="shared" ca="1" si="32"/>
        <v>10.801459343411754</v>
      </c>
      <c r="P55" s="962">
        <f t="shared" ca="1" si="33"/>
        <v>11.264735312638477</v>
      </c>
      <c r="Q55" s="875"/>
      <c r="R55" s="875"/>
      <c r="S55" s="875"/>
      <c r="T55" s="875"/>
      <c r="U55" s="875"/>
      <c r="V55" s="875"/>
      <c r="W55" s="875"/>
      <c r="X55" s="875"/>
      <c r="Y55" s="875"/>
      <c r="Z55" s="875"/>
    </row>
    <row r="56" spans="1:26" ht="18.75">
      <c r="A56" s="876"/>
      <c r="B56" s="877"/>
      <c r="C56" s="877"/>
      <c r="D56" s="878" t="s">
        <v>20</v>
      </c>
      <c r="E56" s="877"/>
      <c r="F56" s="877"/>
      <c r="G56" s="879"/>
      <c r="H56" s="622" t="s">
        <v>12</v>
      </c>
      <c r="I56" s="880"/>
      <c r="J56" s="880"/>
      <c r="K56" s="881"/>
      <c r="L56" s="881">
        <f t="shared" ref="L56:N56" ca="1" si="35">L57+L58</f>
        <v>919500</v>
      </c>
      <c r="M56" s="881">
        <f t="shared" ca="1" si="35"/>
        <v>689625</v>
      </c>
      <c r="N56" s="881">
        <f t="shared" ca="1" si="35"/>
        <v>603747.56999999995</v>
      </c>
      <c r="O56" s="881">
        <f t="shared" ca="1" si="32"/>
        <v>65.660420880913534</v>
      </c>
      <c r="P56" s="881">
        <f t="shared" ca="1" si="33"/>
        <v>87.547227841218046</v>
      </c>
      <c r="Q56" s="868"/>
      <c r="R56" s="868"/>
      <c r="S56" s="868"/>
      <c r="T56" s="868"/>
      <c r="U56" s="868"/>
      <c r="V56" s="868"/>
      <c r="W56" s="868"/>
      <c r="X56" s="868"/>
      <c r="Y56" s="868"/>
      <c r="Z56" s="868"/>
    </row>
    <row r="57" spans="1:26" ht="18.75" hidden="1">
      <c r="A57" s="882"/>
      <c r="B57" s="883"/>
      <c r="C57" s="883"/>
      <c r="D57" s="883"/>
      <c r="E57" s="884" t="s">
        <v>18</v>
      </c>
      <c r="F57" s="883"/>
      <c r="G57" s="885"/>
      <c r="H57" s="43" t="s">
        <v>12</v>
      </c>
      <c r="I57" s="886"/>
      <c r="J57" s="886"/>
      <c r="K57" s="887"/>
      <c r="L57" s="887">
        <v>0</v>
      </c>
      <c r="M57" s="887">
        <v>0</v>
      </c>
      <c r="N57" s="887">
        <v>0</v>
      </c>
      <c r="O57" s="887">
        <f t="shared" si="32"/>
        <v>0</v>
      </c>
      <c r="P57" s="887">
        <f t="shared" si="33"/>
        <v>0</v>
      </c>
      <c r="Q57" s="875"/>
      <c r="R57" s="875"/>
      <c r="S57" s="875"/>
      <c r="T57" s="875"/>
      <c r="U57" s="875"/>
      <c r="V57" s="875"/>
      <c r="W57" s="875"/>
      <c r="X57" s="875"/>
      <c r="Y57" s="875"/>
      <c r="Z57" s="875"/>
    </row>
    <row r="58" spans="1:26" ht="18.75" hidden="1">
      <c r="A58" s="882"/>
      <c r="B58" s="883"/>
      <c r="C58" s="883"/>
      <c r="D58" s="883"/>
      <c r="E58" s="884" t="s">
        <v>19</v>
      </c>
      <c r="F58" s="883"/>
      <c r="G58" s="885"/>
      <c r="H58" s="43" t="s">
        <v>12</v>
      </c>
      <c r="I58" s="886"/>
      <c r="J58" s="886"/>
      <c r="K58" s="887"/>
      <c r="L58" s="887">
        <f ca="1">IFERROR(__xludf.DUMMYFUNCTION("IMPORTRANGE(""https://docs.google.com/spreadsheets/d/1MeEWN-I1oV_STSDYn1IFDPWt_1FKiwhDph83XaGc0o0/edit?usp=sharing"",""งบพรบ!W81"")"),919500)</f>
        <v>919500</v>
      </c>
      <c r="M58" s="887">
        <f ca="1">IFERROR(__xludf.DUMMYFUNCTION("IMPORTRANGE(""https://docs.google.com/spreadsheets/d/1MeEWN-I1oV_STSDYn1IFDPWt_1FKiwhDph83XaGc0o0/edit?usp=sharing"",""งบพรบ!AB81"")"),689625)</f>
        <v>689625</v>
      </c>
      <c r="N58" s="887">
        <f ca="1">IFERROR(__xludf.DUMMYFUNCTION("IMPORTRANGE(""https://docs.google.com/spreadsheets/d/1MeEWN-I1oV_STSDYn1IFDPWt_1FKiwhDph83XaGc0o0/edit?usp=sharing"",""งบพรบ!AD81"")"),603747.57)</f>
        <v>603747.56999999995</v>
      </c>
      <c r="O58" s="887">
        <f t="shared" ca="1" si="32"/>
        <v>65.660420880913534</v>
      </c>
      <c r="P58" s="887">
        <f t="shared" ca="1" si="33"/>
        <v>87.547227841218046</v>
      </c>
      <c r="Q58" s="875"/>
      <c r="R58" s="875"/>
      <c r="S58" s="875"/>
      <c r="T58" s="875"/>
      <c r="U58" s="875"/>
      <c r="V58" s="875"/>
      <c r="W58" s="875"/>
      <c r="X58" s="875"/>
      <c r="Y58" s="875"/>
      <c r="Z58" s="875"/>
    </row>
    <row r="59" spans="1:26" ht="18.75">
      <c r="A59" s="876"/>
      <c r="B59" s="877"/>
      <c r="C59" s="877"/>
      <c r="D59" s="878" t="s">
        <v>21</v>
      </c>
      <c r="E59" s="877"/>
      <c r="F59" s="877"/>
      <c r="G59" s="879"/>
      <c r="H59" s="622" t="s">
        <v>12</v>
      </c>
      <c r="I59" s="880"/>
      <c r="J59" s="880"/>
      <c r="K59" s="881"/>
      <c r="L59" s="881">
        <f t="shared" ref="L59:N59" ca="1" si="36">L60+L61</f>
        <v>4670000</v>
      </c>
      <c r="M59" s="881">
        <f t="shared" ca="1" si="36"/>
        <v>4670000</v>
      </c>
      <c r="N59" s="881">
        <f t="shared" ca="1" si="36"/>
        <v>0</v>
      </c>
      <c r="O59" s="881">
        <f t="shared" ca="1" si="32"/>
        <v>0</v>
      </c>
      <c r="P59" s="881">
        <f t="shared" ca="1" si="33"/>
        <v>0</v>
      </c>
      <c r="Q59" s="868"/>
      <c r="R59" s="868"/>
      <c r="S59" s="868"/>
      <c r="T59" s="868"/>
      <c r="U59" s="868"/>
      <c r="V59" s="868"/>
      <c r="W59" s="868"/>
      <c r="X59" s="868"/>
      <c r="Y59" s="868"/>
      <c r="Z59" s="868"/>
    </row>
    <row r="60" spans="1:26" ht="18.75" hidden="1">
      <c r="A60" s="882"/>
      <c r="B60" s="883"/>
      <c r="C60" s="883"/>
      <c r="D60" s="883"/>
      <c r="E60" s="884" t="s">
        <v>18</v>
      </c>
      <c r="F60" s="883"/>
      <c r="G60" s="885"/>
      <c r="H60" s="43" t="s">
        <v>12</v>
      </c>
      <c r="I60" s="886"/>
      <c r="J60" s="886"/>
      <c r="K60" s="887"/>
      <c r="L60" s="887">
        <v>0</v>
      </c>
      <c r="M60" s="887">
        <v>0</v>
      </c>
      <c r="N60" s="887">
        <v>0</v>
      </c>
      <c r="O60" s="887">
        <f t="shared" si="32"/>
        <v>0</v>
      </c>
      <c r="P60" s="887">
        <f t="shared" si="33"/>
        <v>0</v>
      </c>
      <c r="Q60" s="875"/>
      <c r="R60" s="875"/>
      <c r="S60" s="875"/>
      <c r="T60" s="875"/>
      <c r="U60" s="875"/>
      <c r="V60" s="875"/>
      <c r="W60" s="875"/>
      <c r="X60" s="875"/>
      <c r="Y60" s="875"/>
      <c r="Z60" s="875"/>
    </row>
    <row r="61" spans="1:26" ht="18.75" hidden="1">
      <c r="A61" s="888"/>
      <c r="B61" s="889"/>
      <c r="C61" s="889"/>
      <c r="D61" s="889"/>
      <c r="E61" s="890" t="s">
        <v>19</v>
      </c>
      <c r="F61" s="889"/>
      <c r="G61" s="891"/>
      <c r="H61" s="50" t="s">
        <v>12</v>
      </c>
      <c r="I61" s="892"/>
      <c r="J61" s="892"/>
      <c r="K61" s="893"/>
      <c r="L61" s="893">
        <f ca="1">IFERROR(__xludf.DUMMYFUNCTION("IMPORTRANGE(""https://docs.google.com/spreadsheets/d/1MeEWN-I1oV_STSDYn1IFDPWt_1FKiwhDph83XaGc0o0/edit?usp=sharing"",""งบพรบ!Z81"")"),4670000)</f>
        <v>4670000</v>
      </c>
      <c r="M61" s="893">
        <f ca="1">IFERROR(__xludf.DUMMYFUNCTION("IMPORTRANGE(""https://docs.google.com/spreadsheets/d/1MeEWN-I1oV_STSDYn1IFDPWt_1FKiwhDph83XaGc0o0/edit?usp=sharing"",""งบพรบ!AC81"")"),4670000)</f>
        <v>4670000</v>
      </c>
      <c r="N61" s="893">
        <f ca="1">IFERROR(__xludf.DUMMYFUNCTION("IMPORTRANGE(""https://docs.google.com/spreadsheets/d/1MeEWN-I1oV_STSDYn1IFDPWt_1FKiwhDph83XaGc0o0/edit?usp=sharing"",""งบพรบ!AE81"")"),0)</f>
        <v>0</v>
      </c>
      <c r="O61" s="893">
        <f t="shared" ca="1" si="32"/>
        <v>0</v>
      </c>
      <c r="P61" s="893">
        <f t="shared" ca="1" si="33"/>
        <v>0</v>
      </c>
      <c r="Q61" s="875"/>
      <c r="R61" s="875"/>
      <c r="S61" s="875"/>
      <c r="T61" s="875"/>
      <c r="U61" s="875"/>
      <c r="V61" s="875"/>
      <c r="W61" s="875"/>
      <c r="X61" s="875"/>
      <c r="Y61" s="875"/>
      <c r="Z61" s="875"/>
    </row>
    <row r="62" spans="1:26" ht="19.5">
      <c r="A62" s="963" t="s">
        <v>31</v>
      </c>
      <c r="B62" s="964"/>
      <c r="C62" s="964"/>
      <c r="D62" s="964"/>
      <c r="E62" s="965"/>
      <c r="F62" s="965"/>
      <c r="G62" s="966"/>
      <c r="H62" s="967"/>
      <c r="I62" s="968"/>
      <c r="J62" s="968"/>
      <c r="K62" s="969"/>
      <c r="L62" s="969"/>
      <c r="M62" s="969"/>
      <c r="N62" s="969"/>
      <c r="O62" s="969"/>
      <c r="P62" s="969"/>
    </row>
    <row r="63" spans="1:26" ht="19.5" hidden="1">
      <c r="A63" s="970" t="s">
        <v>32</v>
      </c>
      <c r="B63" s="971"/>
      <c r="C63" s="972"/>
      <c r="D63" s="971"/>
      <c r="E63" s="971"/>
      <c r="F63" s="971"/>
      <c r="G63" s="973"/>
      <c r="H63" s="974"/>
      <c r="I63" s="975"/>
      <c r="J63" s="975"/>
      <c r="K63" s="976"/>
      <c r="L63" s="976"/>
      <c r="M63" s="976"/>
      <c r="N63" s="976"/>
      <c r="O63" s="976"/>
      <c r="P63" s="976"/>
    </row>
    <row r="64" spans="1:26" ht="19.5" hidden="1">
      <c r="A64" s="977"/>
      <c r="B64" s="978" t="s">
        <v>33</v>
      </c>
      <c r="C64" s="979"/>
      <c r="D64" s="980"/>
      <c r="E64" s="979"/>
      <c r="F64" s="979"/>
      <c r="G64" s="981"/>
      <c r="H64" s="205" t="s">
        <v>34</v>
      </c>
      <c r="I64" s="982">
        <f t="shared" ref="I64:J65" ca="1" si="37">I76</f>
        <v>0</v>
      </c>
      <c r="J64" s="982">
        <f t="shared" si="37"/>
        <v>0</v>
      </c>
      <c r="K64" s="983">
        <f t="shared" ref="K64:K65" ca="1" si="38">IF(I64&gt;0,J64*100/I64,0)</f>
        <v>0</v>
      </c>
      <c r="L64" s="984"/>
      <c r="M64" s="984"/>
      <c r="N64" s="984"/>
      <c r="O64" s="984"/>
      <c r="P64" s="984"/>
    </row>
    <row r="65" spans="1:26" ht="19.5" hidden="1">
      <c r="A65" s="977"/>
      <c r="B65" s="979"/>
      <c r="C65" s="979"/>
      <c r="D65" s="980"/>
      <c r="E65" s="979"/>
      <c r="F65" s="979"/>
      <c r="G65" s="981"/>
      <c r="H65" s="205" t="s">
        <v>35</v>
      </c>
      <c r="I65" s="982">
        <f t="shared" ca="1" si="37"/>
        <v>0</v>
      </c>
      <c r="J65" s="982">
        <f t="shared" si="37"/>
        <v>0</v>
      </c>
      <c r="K65" s="983">
        <f t="shared" ca="1" si="38"/>
        <v>0</v>
      </c>
      <c r="L65" s="984"/>
      <c r="M65" s="984"/>
      <c r="N65" s="984"/>
      <c r="O65" s="984"/>
      <c r="P65" s="984"/>
    </row>
    <row r="66" spans="1:26" ht="19.5" hidden="1">
      <c r="A66" s="985"/>
      <c r="B66" s="986"/>
      <c r="C66" s="987" t="s">
        <v>16</v>
      </c>
      <c r="D66" s="988" t="s">
        <v>17</v>
      </c>
      <c r="E66" s="986"/>
      <c r="F66" s="986"/>
      <c r="G66" s="989"/>
      <c r="H66" s="152" t="s">
        <v>12</v>
      </c>
      <c r="I66" s="990"/>
      <c r="J66" s="990"/>
      <c r="K66" s="991"/>
      <c r="L66" s="992">
        <f t="shared" ref="L66:N66" ca="1" si="39">L67+L68</f>
        <v>0</v>
      </c>
      <c r="M66" s="992">
        <f t="shared" ca="1" si="39"/>
        <v>0</v>
      </c>
      <c r="N66" s="992">
        <f t="shared" ca="1" si="39"/>
        <v>0</v>
      </c>
      <c r="O66" s="992">
        <f t="shared" ref="O66:O74" ca="1" si="40">IF(L66&gt;0,N66*100/L66,0)</f>
        <v>0</v>
      </c>
      <c r="P66" s="992">
        <f t="shared" ref="P66:P74" ca="1" si="41">IF(M66&gt;0,N66*100/M66,0)</f>
        <v>0</v>
      </c>
      <c r="Q66" s="868"/>
      <c r="R66" s="868"/>
      <c r="S66" s="868"/>
      <c r="T66" s="868"/>
      <c r="U66" s="868"/>
      <c r="V66" s="868"/>
      <c r="W66" s="868"/>
      <c r="X66" s="868"/>
      <c r="Y66" s="868"/>
      <c r="Z66" s="868"/>
    </row>
    <row r="67" spans="1:26" ht="18.75" hidden="1">
      <c r="A67" s="993"/>
      <c r="B67" s="883"/>
      <c r="C67" s="883"/>
      <c r="D67" s="883"/>
      <c r="E67" s="884" t="s">
        <v>18</v>
      </c>
      <c r="F67" s="883"/>
      <c r="G67" s="994"/>
      <c r="H67" s="158" t="s">
        <v>12</v>
      </c>
      <c r="I67" s="886"/>
      <c r="J67" s="886"/>
      <c r="K67" s="887"/>
      <c r="L67" s="887">
        <f t="shared" ref="L67:N68" si="42">L70+L73</f>
        <v>0</v>
      </c>
      <c r="M67" s="887">
        <f t="shared" si="42"/>
        <v>0</v>
      </c>
      <c r="N67" s="887">
        <f t="shared" si="42"/>
        <v>0</v>
      </c>
      <c r="O67" s="887">
        <f t="shared" si="40"/>
        <v>0</v>
      </c>
      <c r="P67" s="887">
        <f t="shared" si="41"/>
        <v>0</v>
      </c>
      <c r="Q67" s="875"/>
      <c r="R67" s="875"/>
      <c r="S67" s="875"/>
      <c r="T67" s="875"/>
      <c r="U67" s="875"/>
      <c r="V67" s="875"/>
      <c r="W67" s="875"/>
      <c r="X67" s="875"/>
      <c r="Y67" s="875"/>
      <c r="Z67" s="875"/>
    </row>
    <row r="68" spans="1:26" ht="18.75" hidden="1">
      <c r="A68" s="993"/>
      <c r="B68" s="883"/>
      <c r="C68" s="883"/>
      <c r="D68" s="883"/>
      <c r="E68" s="884" t="s">
        <v>19</v>
      </c>
      <c r="F68" s="883"/>
      <c r="G68" s="994"/>
      <c r="H68" s="158" t="s">
        <v>12</v>
      </c>
      <c r="I68" s="886"/>
      <c r="J68" s="886"/>
      <c r="K68" s="887"/>
      <c r="L68" s="887">
        <f t="shared" ca="1" si="42"/>
        <v>0</v>
      </c>
      <c r="M68" s="887">
        <f t="shared" ca="1" si="42"/>
        <v>0</v>
      </c>
      <c r="N68" s="887">
        <f t="shared" ca="1" si="42"/>
        <v>0</v>
      </c>
      <c r="O68" s="887">
        <f t="shared" ca="1" si="40"/>
        <v>0</v>
      </c>
      <c r="P68" s="887">
        <f t="shared" ca="1" si="41"/>
        <v>0</v>
      </c>
      <c r="Q68" s="875"/>
      <c r="R68" s="875"/>
      <c r="S68" s="875"/>
      <c r="T68" s="875"/>
      <c r="U68" s="875"/>
      <c r="V68" s="875"/>
      <c r="W68" s="875"/>
      <c r="X68" s="875"/>
      <c r="Y68" s="875"/>
      <c r="Z68" s="875"/>
    </row>
    <row r="69" spans="1:26" ht="18.75" hidden="1">
      <c r="A69" s="995"/>
      <c r="B69" s="877"/>
      <c r="C69" s="996"/>
      <c r="D69" s="878" t="s">
        <v>20</v>
      </c>
      <c r="E69" s="877"/>
      <c r="F69" s="877"/>
      <c r="G69" s="879"/>
      <c r="H69" s="161" t="s">
        <v>12</v>
      </c>
      <c r="I69" s="997"/>
      <c r="J69" s="997"/>
      <c r="K69" s="998"/>
      <c r="L69" s="881">
        <f t="shared" ref="L69:N69" ca="1" si="43">L70+L71</f>
        <v>0</v>
      </c>
      <c r="M69" s="881">
        <f t="shared" ca="1" si="43"/>
        <v>0</v>
      </c>
      <c r="N69" s="881">
        <f t="shared" ca="1" si="43"/>
        <v>0</v>
      </c>
      <c r="O69" s="881">
        <f t="shared" ca="1" si="40"/>
        <v>0</v>
      </c>
      <c r="P69" s="881">
        <f t="shared" ca="1" si="41"/>
        <v>0</v>
      </c>
      <c r="Q69" s="868"/>
      <c r="R69" s="868"/>
      <c r="S69" s="868"/>
      <c r="T69" s="868"/>
      <c r="U69" s="868"/>
      <c r="V69" s="868"/>
      <c r="W69" s="868"/>
      <c r="X69" s="868"/>
      <c r="Y69" s="868"/>
      <c r="Z69" s="868"/>
    </row>
    <row r="70" spans="1:26" ht="19.5" hidden="1">
      <c r="A70" s="993"/>
      <c r="B70" s="883"/>
      <c r="C70" s="999"/>
      <c r="D70" s="883"/>
      <c r="E70" s="884" t="s">
        <v>36</v>
      </c>
      <c r="F70" s="883"/>
      <c r="G70" s="994"/>
      <c r="H70" s="165" t="s">
        <v>12</v>
      </c>
      <c r="I70" s="1000"/>
      <c r="J70" s="1000"/>
      <c r="K70" s="1001"/>
      <c r="L70" s="887">
        <v>0</v>
      </c>
      <c r="M70" s="887">
        <v>0</v>
      </c>
      <c r="N70" s="887">
        <v>0</v>
      </c>
      <c r="O70" s="887">
        <f t="shared" si="40"/>
        <v>0</v>
      </c>
      <c r="P70" s="887">
        <f t="shared" si="41"/>
        <v>0</v>
      </c>
      <c r="Q70" s="875"/>
      <c r="R70" s="875"/>
      <c r="S70" s="875"/>
      <c r="T70" s="875"/>
      <c r="U70" s="875"/>
      <c r="V70" s="875"/>
      <c r="W70" s="875"/>
      <c r="X70" s="875"/>
      <c r="Y70" s="875"/>
      <c r="Z70" s="875"/>
    </row>
    <row r="71" spans="1:26" ht="19.5" hidden="1">
      <c r="A71" s="993"/>
      <c r="B71" s="883"/>
      <c r="C71" s="999"/>
      <c r="D71" s="883"/>
      <c r="E71" s="884" t="s">
        <v>37</v>
      </c>
      <c r="F71" s="883"/>
      <c r="G71" s="994"/>
      <c r="H71" s="165" t="s">
        <v>12</v>
      </c>
      <c r="I71" s="1000"/>
      <c r="J71" s="1000"/>
      <c r="K71" s="1001"/>
      <c r="L71" s="887">
        <f ca="1">IFERROR(__xludf.DUMMYFUNCTION("IMPORTRANGE(""https://docs.google.com/spreadsheets/d/1MeEWN-I1oV_STSDYn1IFDPWt_1FKiwhDph83XaGc0o0/edit?usp=sharing"",""งบพรบ!AG81"")"),0)</f>
        <v>0</v>
      </c>
      <c r="M71" s="887">
        <f ca="1">IFERROR(__xludf.DUMMYFUNCTION("IMPORTRANGE(""https://docs.google.com/spreadsheets/d/1MeEWN-I1oV_STSDYn1IFDPWt_1FKiwhDph83XaGc0o0/edit?usp=sharing"",""งบพรบ!AL81"")"),0)</f>
        <v>0</v>
      </c>
      <c r="N71" s="887">
        <f ca="1">IFERROR(__xludf.DUMMYFUNCTION("IMPORTRANGE(""https://docs.google.com/spreadsheets/d/1MeEWN-I1oV_STSDYn1IFDPWt_1FKiwhDph83XaGc0o0/edit?usp=sharing"",""งบพรบ!AN81"")"),0)</f>
        <v>0</v>
      </c>
      <c r="O71" s="887">
        <f t="shared" ca="1" si="40"/>
        <v>0</v>
      </c>
      <c r="P71" s="887">
        <f t="shared" ca="1" si="41"/>
        <v>0</v>
      </c>
      <c r="Q71" s="875"/>
      <c r="R71" s="875"/>
      <c r="S71" s="875"/>
      <c r="T71" s="875"/>
      <c r="U71" s="875"/>
      <c r="V71" s="875"/>
      <c r="W71" s="875"/>
      <c r="X71" s="875"/>
      <c r="Y71" s="875"/>
      <c r="Z71" s="875"/>
    </row>
    <row r="72" spans="1:26" ht="18.75" hidden="1">
      <c r="A72" s="995"/>
      <c r="B72" s="877"/>
      <c r="C72" s="996"/>
      <c r="D72" s="878" t="s">
        <v>21</v>
      </c>
      <c r="E72" s="877"/>
      <c r="F72" s="877"/>
      <c r="G72" s="879"/>
      <c r="H72" s="168" t="s">
        <v>12</v>
      </c>
      <c r="I72" s="997"/>
      <c r="J72" s="997"/>
      <c r="K72" s="998"/>
      <c r="L72" s="881">
        <f t="shared" ref="L72:N72" ca="1" si="44">L73+L74</f>
        <v>0</v>
      </c>
      <c r="M72" s="881">
        <f t="shared" ca="1" si="44"/>
        <v>0</v>
      </c>
      <c r="N72" s="881">
        <f t="shared" ca="1" si="44"/>
        <v>0</v>
      </c>
      <c r="O72" s="881">
        <f t="shared" ca="1" si="40"/>
        <v>0</v>
      </c>
      <c r="P72" s="881">
        <f t="shared" ca="1" si="41"/>
        <v>0</v>
      </c>
      <c r="Q72" s="868"/>
      <c r="R72" s="868"/>
      <c r="S72" s="868"/>
      <c r="T72" s="868"/>
      <c r="U72" s="868"/>
      <c r="V72" s="868"/>
      <c r="W72" s="868"/>
      <c r="X72" s="868"/>
      <c r="Y72" s="868"/>
      <c r="Z72" s="868"/>
    </row>
    <row r="73" spans="1:26" ht="19.5" hidden="1">
      <c r="A73" s="993"/>
      <c r="B73" s="883"/>
      <c r="C73" s="999"/>
      <c r="D73" s="883"/>
      <c r="E73" s="884" t="s">
        <v>18</v>
      </c>
      <c r="F73" s="883"/>
      <c r="G73" s="994"/>
      <c r="H73" s="165" t="s">
        <v>12</v>
      </c>
      <c r="I73" s="1000"/>
      <c r="J73" s="1000"/>
      <c r="K73" s="1001"/>
      <c r="L73" s="887">
        <v>0</v>
      </c>
      <c r="M73" s="887"/>
      <c r="N73" s="887"/>
      <c r="O73" s="887">
        <f t="shared" si="40"/>
        <v>0</v>
      </c>
      <c r="P73" s="887">
        <f t="shared" si="41"/>
        <v>0</v>
      </c>
      <c r="Q73" s="875"/>
      <c r="R73" s="875"/>
      <c r="S73" s="875"/>
      <c r="T73" s="875"/>
      <c r="U73" s="875"/>
      <c r="V73" s="875"/>
      <c r="W73" s="875"/>
      <c r="X73" s="875"/>
      <c r="Y73" s="875"/>
      <c r="Z73" s="875"/>
    </row>
    <row r="74" spans="1:26" ht="19.5" hidden="1">
      <c r="A74" s="993"/>
      <c r="B74" s="883"/>
      <c r="C74" s="999"/>
      <c r="D74" s="883"/>
      <c r="E74" s="884" t="s">
        <v>19</v>
      </c>
      <c r="F74" s="883"/>
      <c r="G74" s="994"/>
      <c r="H74" s="169" t="s">
        <v>12</v>
      </c>
      <c r="I74" s="1000"/>
      <c r="J74" s="1000"/>
      <c r="K74" s="1001"/>
      <c r="L74" s="887">
        <f ca="1">IFERROR(__xludf.DUMMYFUNCTION("IMPORTRANGE(""https://docs.google.com/spreadsheets/d/1MeEWN-I1oV_STSDYn1IFDPWt_1FKiwhDph83XaGc0o0/edit?usp=sharing"",""งบพรบ!AJ81"")"),0)</f>
        <v>0</v>
      </c>
      <c r="M74" s="887">
        <f ca="1">IFERROR(__xludf.DUMMYFUNCTION("IMPORTRANGE(""https://docs.google.com/spreadsheets/d/1MeEWN-I1oV_STSDYn1IFDPWt_1FKiwhDph83XaGc0o0/edit?usp=sharing"",""งบพรบ!AM81"")"),0)</f>
        <v>0</v>
      </c>
      <c r="N74" s="887">
        <f ca="1">IFERROR(__xludf.DUMMYFUNCTION("IMPORTRANGE(""https://docs.google.com/spreadsheets/d/1MeEWN-I1oV_STSDYn1IFDPWt_1FKiwhDph83XaGc0o0/edit?usp=sharing"",""งบพรบ!AO81"")"),0)</f>
        <v>0</v>
      </c>
      <c r="O74" s="887">
        <f t="shared" ca="1" si="40"/>
        <v>0</v>
      </c>
      <c r="P74" s="887">
        <f t="shared" ca="1" si="41"/>
        <v>0</v>
      </c>
      <c r="Q74" s="875"/>
      <c r="R74" s="875"/>
      <c r="S74" s="875"/>
      <c r="T74" s="875"/>
      <c r="U74" s="875"/>
      <c r="V74" s="875"/>
      <c r="W74" s="875"/>
      <c r="X74" s="875"/>
      <c r="Y74" s="875"/>
      <c r="Z74" s="875"/>
    </row>
    <row r="75" spans="1:26" ht="19.5" hidden="1">
      <c r="A75" s="1002"/>
      <c r="B75" s="1003"/>
      <c r="C75" s="999" t="s">
        <v>16</v>
      </c>
      <c r="D75" s="1004" t="s">
        <v>38</v>
      </c>
      <c r="E75" s="1005"/>
      <c r="F75" s="1005"/>
      <c r="G75" s="1006"/>
      <c r="H75" s="1007"/>
      <c r="I75" s="997"/>
      <c r="J75" s="997"/>
      <c r="K75" s="998"/>
      <c r="L75" s="998"/>
      <c r="M75" s="998"/>
      <c r="N75" s="998"/>
      <c r="O75" s="998"/>
      <c r="P75" s="998"/>
    </row>
    <row r="76" spans="1:26" ht="19.5" hidden="1">
      <c r="A76" s="1002"/>
      <c r="B76" s="1003"/>
      <c r="C76" s="1003"/>
      <c r="D76" s="1008" t="s">
        <v>39</v>
      </c>
      <c r="E76" s="1009"/>
      <c r="F76" s="1010"/>
      <c r="G76" s="1011"/>
      <c r="H76" s="180" t="s">
        <v>34</v>
      </c>
      <c r="I76" s="880">
        <f t="shared" ref="I76:J77" ca="1" si="45">I78+I80+I82</f>
        <v>0</v>
      </c>
      <c r="J76" s="880">
        <f t="shared" si="45"/>
        <v>0</v>
      </c>
      <c r="K76" s="998">
        <f t="shared" ref="K76:K84" ca="1" si="46">IF(I76&gt;0,J76*100/I76,0)</f>
        <v>0</v>
      </c>
      <c r="L76" s="998"/>
      <c r="M76" s="998"/>
      <c r="N76" s="998"/>
      <c r="O76" s="998"/>
      <c r="P76" s="998"/>
    </row>
    <row r="77" spans="1:26" ht="19.5" hidden="1">
      <c r="A77" s="1002"/>
      <c r="B77" s="1003"/>
      <c r="C77" s="1003"/>
      <c r="D77" s="1003"/>
      <c r="E77" s="1010"/>
      <c r="F77" s="1010"/>
      <c r="G77" s="1011"/>
      <c r="H77" s="180" t="s">
        <v>35</v>
      </c>
      <c r="I77" s="880">
        <f t="shared" ca="1" si="45"/>
        <v>0</v>
      </c>
      <c r="J77" s="880">
        <f t="shared" si="45"/>
        <v>0</v>
      </c>
      <c r="K77" s="998">
        <f t="shared" ca="1" si="46"/>
        <v>0</v>
      </c>
      <c r="L77" s="998"/>
      <c r="M77" s="998"/>
      <c r="N77" s="998"/>
      <c r="O77" s="998"/>
      <c r="P77" s="998"/>
    </row>
    <row r="78" spans="1:26" ht="18.75" hidden="1">
      <c r="A78" s="1002"/>
      <c r="B78" s="1003"/>
      <c r="C78" s="1003"/>
      <c r="D78" s="1003"/>
      <c r="E78" s="1009" t="s">
        <v>40</v>
      </c>
      <c r="F78" s="1009"/>
      <c r="G78" s="1011"/>
      <c r="H78" s="762" t="s">
        <v>34</v>
      </c>
      <c r="I78" s="997">
        <f ca="1">IFERROR(__xludf.DUMMYFUNCTION("IMPORTRANGE(""https://docs.google.com/spreadsheets/d/1QqKyyYR6Q21VydFLVH3TRQUabQu_ym0Zz7PgGX0-kHA/edit?usp=sharing"",""แผน!H81"")"),0)</f>
        <v>0</v>
      </c>
      <c r="J78" s="1012">
        <v>0</v>
      </c>
      <c r="K78" s="998">
        <f t="shared" ca="1" si="46"/>
        <v>0</v>
      </c>
      <c r="L78" s="998"/>
      <c r="M78" s="998"/>
      <c r="N78" s="998"/>
      <c r="O78" s="998"/>
      <c r="P78" s="998"/>
    </row>
    <row r="79" spans="1:26" ht="18.75" hidden="1">
      <c r="A79" s="1002"/>
      <c r="B79" s="1003"/>
      <c r="C79" s="1003"/>
      <c r="D79" s="1003"/>
      <c r="E79" s="1010"/>
      <c r="F79" s="1010"/>
      <c r="G79" s="1011"/>
      <c r="H79" s="762" t="s">
        <v>35</v>
      </c>
      <c r="I79" s="997">
        <f ca="1">IFERROR(__xludf.DUMMYFUNCTION("IMPORTRANGE(""https://docs.google.com/spreadsheets/d/1QqKyyYR6Q21VydFLVH3TRQUabQu_ym0Zz7PgGX0-kHA/edit?usp=sharing"",""แผน!I81"")"),0)</f>
        <v>0</v>
      </c>
      <c r="J79" s="1012">
        <v>0</v>
      </c>
      <c r="K79" s="998">
        <f t="shared" ca="1" si="46"/>
        <v>0</v>
      </c>
      <c r="L79" s="998"/>
      <c r="M79" s="998"/>
      <c r="N79" s="998"/>
      <c r="O79" s="998"/>
      <c r="P79" s="998"/>
    </row>
    <row r="80" spans="1:26" ht="18.75" hidden="1">
      <c r="A80" s="1002"/>
      <c r="B80" s="1003"/>
      <c r="C80" s="1003"/>
      <c r="D80" s="1003"/>
      <c r="E80" s="1009" t="s">
        <v>41</v>
      </c>
      <c r="F80" s="1009"/>
      <c r="G80" s="1011"/>
      <c r="H80" s="762" t="s">
        <v>34</v>
      </c>
      <c r="I80" s="997">
        <f ca="1">IFERROR(__xludf.DUMMYFUNCTION("IMPORTRANGE(""https://docs.google.com/spreadsheets/d/1QqKyyYR6Q21VydFLVH3TRQUabQu_ym0Zz7PgGX0-kHA/edit?usp=sharing"",""แผน!F81"")"),0)</f>
        <v>0</v>
      </c>
      <c r="J80" s="1012">
        <v>0</v>
      </c>
      <c r="K80" s="998">
        <f t="shared" ca="1" si="46"/>
        <v>0</v>
      </c>
      <c r="L80" s="998"/>
      <c r="M80" s="998"/>
      <c r="N80" s="998"/>
      <c r="O80" s="998"/>
      <c r="P80" s="998"/>
    </row>
    <row r="81" spans="1:26" ht="18.75" hidden="1">
      <c r="A81" s="1002"/>
      <c r="B81" s="1003"/>
      <c r="C81" s="1003"/>
      <c r="D81" s="1003"/>
      <c r="E81" s="1010"/>
      <c r="F81" s="1010"/>
      <c r="G81" s="1011"/>
      <c r="H81" s="762" t="s">
        <v>35</v>
      </c>
      <c r="I81" s="997">
        <f ca="1">IFERROR(__xludf.DUMMYFUNCTION("IMPORTRANGE(""https://docs.google.com/spreadsheets/d/1QqKyyYR6Q21VydFLVH3TRQUabQu_ym0Zz7PgGX0-kHA/edit?usp=sharing"",""แผน!G81"")"),0)</f>
        <v>0</v>
      </c>
      <c r="J81" s="1012">
        <v>0</v>
      </c>
      <c r="K81" s="998">
        <f t="shared" ca="1" si="46"/>
        <v>0</v>
      </c>
      <c r="L81" s="998"/>
      <c r="M81" s="998"/>
      <c r="N81" s="998"/>
      <c r="O81" s="998"/>
      <c r="P81" s="998"/>
    </row>
    <row r="82" spans="1:26" ht="18.75" hidden="1">
      <c r="A82" s="1002"/>
      <c r="B82" s="1003"/>
      <c r="C82" s="1003"/>
      <c r="D82" s="1003"/>
      <c r="E82" s="1009" t="s">
        <v>42</v>
      </c>
      <c r="F82" s="1009"/>
      <c r="G82" s="1011"/>
      <c r="H82" s="762" t="s">
        <v>34</v>
      </c>
      <c r="I82" s="997">
        <f ca="1">IFERROR(__xludf.DUMMYFUNCTION("IMPORTRANGE(""https://docs.google.com/spreadsheets/d/1QqKyyYR6Q21VydFLVH3TRQUabQu_ym0Zz7PgGX0-kHA/edit?usp=sharing"",""แผน!D81"")"),0)</f>
        <v>0</v>
      </c>
      <c r="J82" s="1012">
        <v>0</v>
      </c>
      <c r="K82" s="998">
        <f t="shared" ca="1" si="46"/>
        <v>0</v>
      </c>
      <c r="L82" s="998"/>
      <c r="M82" s="998"/>
      <c r="N82" s="998"/>
      <c r="O82" s="998"/>
      <c r="P82" s="998"/>
    </row>
    <row r="83" spans="1:26" ht="18.75" hidden="1">
      <c r="A83" s="1002"/>
      <c r="B83" s="1003"/>
      <c r="C83" s="1003"/>
      <c r="D83" s="1003"/>
      <c r="E83" s="1010"/>
      <c r="F83" s="1010"/>
      <c r="G83" s="1011"/>
      <c r="H83" s="762" t="s">
        <v>35</v>
      </c>
      <c r="I83" s="997">
        <f ca="1">IFERROR(__xludf.DUMMYFUNCTION("IMPORTRANGE(""https://docs.google.com/spreadsheets/d/1QqKyyYR6Q21VydFLVH3TRQUabQu_ym0Zz7PgGX0-kHA/edit?usp=sharing"",""แผน!E81"")"),0)</f>
        <v>0</v>
      </c>
      <c r="J83" s="1012">
        <v>0</v>
      </c>
      <c r="K83" s="998">
        <f t="shared" ca="1" si="46"/>
        <v>0</v>
      </c>
      <c r="L83" s="998"/>
      <c r="M83" s="998"/>
      <c r="N83" s="998"/>
      <c r="O83" s="998"/>
      <c r="P83" s="998"/>
    </row>
    <row r="84" spans="1:26" ht="18.75" hidden="1">
      <c r="A84" s="1002"/>
      <c r="B84" s="1003"/>
      <c r="C84" s="1003"/>
      <c r="D84" s="1008" t="s">
        <v>43</v>
      </c>
      <c r="E84" s="1009"/>
      <c r="F84" s="1010"/>
      <c r="G84" s="1011"/>
      <c r="H84" s="185" t="s">
        <v>34</v>
      </c>
      <c r="I84" s="997">
        <f ca="1">IFERROR(__xludf.DUMMYFUNCTION("IMPORTRANGE(""https://docs.google.com/spreadsheets/d/1QqKyyYR6Q21VydFLVH3TRQUabQu_ym0Zz7PgGX0-kHA/edit?usp=sharing"",""แผน!J81"")"),0)</f>
        <v>0</v>
      </c>
      <c r="J84" s="1012">
        <v>0</v>
      </c>
      <c r="K84" s="998">
        <f t="shared" ca="1" si="46"/>
        <v>0</v>
      </c>
      <c r="L84" s="998"/>
      <c r="M84" s="998"/>
      <c r="N84" s="998"/>
      <c r="O84" s="998"/>
      <c r="P84" s="998"/>
    </row>
    <row r="85" spans="1:26" ht="19.5">
      <c r="A85" s="970" t="s">
        <v>44</v>
      </c>
      <c r="B85" s="971"/>
      <c r="C85" s="972"/>
      <c r="D85" s="971"/>
      <c r="E85" s="971"/>
      <c r="F85" s="971"/>
      <c r="G85" s="973"/>
      <c r="H85" s="974"/>
      <c r="I85" s="975"/>
      <c r="J85" s="975"/>
      <c r="K85" s="976"/>
      <c r="L85" s="976"/>
      <c r="M85" s="976"/>
      <c r="N85" s="976"/>
      <c r="O85" s="976"/>
      <c r="P85" s="976"/>
    </row>
    <row r="86" spans="1:26" ht="19.5">
      <c r="A86" s="977"/>
      <c r="B86" s="978" t="s">
        <v>45</v>
      </c>
      <c r="C86" s="979"/>
      <c r="D86" s="980"/>
      <c r="E86" s="979"/>
      <c r="F86" s="979"/>
      <c r="G86" s="981"/>
      <c r="H86" s="205" t="s">
        <v>46</v>
      </c>
      <c r="I86" s="982">
        <f t="shared" ref="I86:J87" ca="1" si="47">I98</f>
        <v>0</v>
      </c>
      <c r="J86" s="982">
        <f t="shared" si="47"/>
        <v>0</v>
      </c>
      <c r="K86" s="983">
        <f t="shared" ref="K86:K87" ca="1" si="48">IF(I86&gt;0,J86*100/I86,0)</f>
        <v>0</v>
      </c>
      <c r="L86" s="984"/>
      <c r="M86" s="984"/>
      <c r="N86" s="984"/>
      <c r="O86" s="984"/>
      <c r="P86" s="984"/>
    </row>
    <row r="87" spans="1:26" ht="19.5">
      <c r="A87" s="977"/>
      <c r="B87" s="979"/>
      <c r="C87" s="979"/>
      <c r="D87" s="980"/>
      <c r="E87" s="979"/>
      <c r="F87" s="979"/>
      <c r="G87" s="981"/>
      <c r="H87" s="205" t="s">
        <v>35</v>
      </c>
      <c r="I87" s="982">
        <f t="shared" ca="1" si="47"/>
        <v>0</v>
      </c>
      <c r="J87" s="982">
        <f t="shared" si="47"/>
        <v>0</v>
      </c>
      <c r="K87" s="983">
        <f t="shared" ca="1" si="48"/>
        <v>0</v>
      </c>
      <c r="L87" s="984"/>
      <c r="M87" s="984"/>
      <c r="N87" s="984"/>
      <c r="O87" s="984"/>
      <c r="P87" s="984"/>
    </row>
    <row r="88" spans="1:26" ht="19.5">
      <c r="A88" s="985"/>
      <c r="B88" s="986"/>
      <c r="C88" s="987" t="s">
        <v>16</v>
      </c>
      <c r="D88" s="988" t="s">
        <v>17</v>
      </c>
      <c r="E88" s="986"/>
      <c r="F88" s="986"/>
      <c r="G88" s="989"/>
      <c r="H88" s="152" t="s">
        <v>12</v>
      </c>
      <c r="I88" s="990"/>
      <c r="J88" s="990"/>
      <c r="K88" s="991"/>
      <c r="L88" s="992">
        <f t="shared" ref="L88:N88" ca="1" si="49">L89+L90</f>
        <v>333500</v>
      </c>
      <c r="M88" s="992">
        <f t="shared" ca="1" si="49"/>
        <v>252800</v>
      </c>
      <c r="N88" s="992">
        <f t="shared" ca="1" si="49"/>
        <v>151650.78</v>
      </c>
      <c r="O88" s="992">
        <f t="shared" ref="O88:O96" ca="1" si="50">IF(L88&gt;0,N88*100/L88,0)</f>
        <v>45.472497751124436</v>
      </c>
      <c r="P88" s="992">
        <f t="shared" ref="P88:P96" ca="1" si="51">IF(M88&gt;0,N88*100/M88,0)</f>
        <v>59.988441455696204</v>
      </c>
      <c r="Q88" s="868"/>
      <c r="R88" s="868"/>
      <c r="S88" s="868"/>
      <c r="T88" s="868"/>
      <c r="U88" s="868"/>
      <c r="V88" s="868"/>
      <c r="W88" s="868"/>
      <c r="X88" s="868"/>
      <c r="Y88" s="868"/>
      <c r="Z88" s="868"/>
    </row>
    <row r="89" spans="1:26" ht="18.75" hidden="1">
      <c r="A89" s="993"/>
      <c r="B89" s="883"/>
      <c r="C89" s="883"/>
      <c r="D89" s="883"/>
      <c r="E89" s="884" t="s">
        <v>18</v>
      </c>
      <c r="F89" s="883"/>
      <c r="G89" s="994"/>
      <c r="H89" s="158" t="s">
        <v>12</v>
      </c>
      <c r="I89" s="886"/>
      <c r="J89" s="886"/>
      <c r="K89" s="887"/>
      <c r="L89" s="887">
        <f t="shared" ref="L89:N90" si="52">L92+L95</f>
        <v>0</v>
      </c>
      <c r="M89" s="887">
        <f t="shared" si="52"/>
        <v>0</v>
      </c>
      <c r="N89" s="887">
        <f t="shared" si="52"/>
        <v>0</v>
      </c>
      <c r="O89" s="887">
        <f t="shared" si="50"/>
        <v>0</v>
      </c>
      <c r="P89" s="887">
        <f t="shared" si="51"/>
        <v>0</v>
      </c>
      <c r="Q89" s="875"/>
      <c r="R89" s="875"/>
      <c r="S89" s="875"/>
      <c r="T89" s="875"/>
      <c r="U89" s="875"/>
      <c r="V89" s="875"/>
      <c r="W89" s="875"/>
      <c r="X89" s="875"/>
      <c r="Y89" s="875"/>
      <c r="Z89" s="875"/>
    </row>
    <row r="90" spans="1:26" ht="18.75" hidden="1">
      <c r="A90" s="993"/>
      <c r="B90" s="883"/>
      <c r="C90" s="883"/>
      <c r="D90" s="883"/>
      <c r="E90" s="884" t="s">
        <v>19</v>
      </c>
      <c r="F90" s="883"/>
      <c r="G90" s="994"/>
      <c r="H90" s="158" t="s">
        <v>12</v>
      </c>
      <c r="I90" s="886"/>
      <c r="J90" s="886"/>
      <c r="K90" s="887"/>
      <c r="L90" s="887">
        <f t="shared" ca="1" si="52"/>
        <v>333500</v>
      </c>
      <c r="M90" s="887">
        <f t="shared" ca="1" si="52"/>
        <v>252800</v>
      </c>
      <c r="N90" s="887">
        <f t="shared" ca="1" si="52"/>
        <v>151650.78</v>
      </c>
      <c r="O90" s="887">
        <f t="shared" ca="1" si="50"/>
        <v>45.472497751124436</v>
      </c>
      <c r="P90" s="887">
        <f t="shared" ca="1" si="51"/>
        <v>59.988441455696204</v>
      </c>
      <c r="Q90" s="875"/>
      <c r="R90" s="875"/>
      <c r="S90" s="875"/>
      <c r="T90" s="875"/>
      <c r="U90" s="875"/>
      <c r="V90" s="875"/>
      <c r="W90" s="875"/>
      <c r="X90" s="875"/>
      <c r="Y90" s="875"/>
      <c r="Z90" s="875"/>
    </row>
    <row r="91" spans="1:26" ht="18.75">
      <c r="A91" s="995"/>
      <c r="B91" s="877"/>
      <c r="C91" s="996"/>
      <c r="D91" s="878" t="s">
        <v>20</v>
      </c>
      <c r="E91" s="877"/>
      <c r="F91" s="877"/>
      <c r="G91" s="879"/>
      <c r="H91" s="161" t="s">
        <v>12</v>
      </c>
      <c r="I91" s="997"/>
      <c r="J91" s="997"/>
      <c r="K91" s="998"/>
      <c r="L91" s="881">
        <f t="shared" ref="L91:N91" ca="1" si="53">L92+L93</f>
        <v>333500</v>
      </c>
      <c r="M91" s="881">
        <f t="shared" ca="1" si="53"/>
        <v>252800</v>
      </c>
      <c r="N91" s="881">
        <f t="shared" ca="1" si="53"/>
        <v>151650.78</v>
      </c>
      <c r="O91" s="881">
        <f t="shared" ca="1" si="50"/>
        <v>45.472497751124436</v>
      </c>
      <c r="P91" s="881">
        <f t="shared" ca="1" si="51"/>
        <v>59.988441455696204</v>
      </c>
      <c r="Q91" s="868"/>
      <c r="R91" s="868"/>
      <c r="S91" s="868"/>
      <c r="T91" s="868"/>
      <c r="U91" s="868"/>
      <c r="V91" s="868"/>
      <c r="W91" s="868"/>
      <c r="X91" s="868"/>
      <c r="Y91" s="868"/>
      <c r="Z91" s="868"/>
    </row>
    <row r="92" spans="1:26" ht="19.5" hidden="1">
      <c r="A92" s="993"/>
      <c r="B92" s="883"/>
      <c r="C92" s="999"/>
      <c r="D92" s="883"/>
      <c r="E92" s="884" t="s">
        <v>36</v>
      </c>
      <c r="F92" s="883"/>
      <c r="G92" s="994"/>
      <c r="H92" s="165" t="s">
        <v>12</v>
      </c>
      <c r="I92" s="1000"/>
      <c r="J92" s="1000"/>
      <c r="K92" s="1001"/>
      <c r="L92" s="887">
        <v>0</v>
      </c>
      <c r="M92" s="887">
        <v>0</v>
      </c>
      <c r="N92" s="887">
        <v>0</v>
      </c>
      <c r="O92" s="887">
        <f t="shared" si="50"/>
        <v>0</v>
      </c>
      <c r="P92" s="887">
        <f t="shared" si="51"/>
        <v>0</v>
      </c>
      <c r="Q92" s="875"/>
      <c r="R92" s="875"/>
      <c r="S92" s="875"/>
      <c r="T92" s="875"/>
      <c r="U92" s="875"/>
      <c r="V92" s="875"/>
      <c r="W92" s="875"/>
      <c r="X92" s="875"/>
      <c r="Y92" s="875"/>
      <c r="Z92" s="875"/>
    </row>
    <row r="93" spans="1:26" ht="19.5" hidden="1">
      <c r="A93" s="993"/>
      <c r="B93" s="883"/>
      <c r="C93" s="999"/>
      <c r="D93" s="883"/>
      <c r="E93" s="884" t="s">
        <v>37</v>
      </c>
      <c r="F93" s="883"/>
      <c r="G93" s="994"/>
      <c r="H93" s="165" t="s">
        <v>12</v>
      </c>
      <c r="I93" s="1000"/>
      <c r="J93" s="1000"/>
      <c r="K93" s="1001"/>
      <c r="L93" s="887">
        <f ca="1">IFERROR(__xludf.DUMMYFUNCTION("IMPORTRANGE(""https://docs.google.com/spreadsheets/d/1MeEWN-I1oV_STSDYn1IFDPWt_1FKiwhDph83XaGc0o0/edit?usp=sharing"",""งบพรบ!AQ81"")"),333500)</f>
        <v>333500</v>
      </c>
      <c r="M93" s="887">
        <f ca="1">IFERROR(__xludf.DUMMYFUNCTION("IMPORTRANGE(""https://docs.google.com/spreadsheets/d/1MeEWN-I1oV_STSDYn1IFDPWt_1FKiwhDph83XaGc0o0/edit?usp=sharing"",""งบพรบ!AV81"")"),252800)</f>
        <v>252800</v>
      </c>
      <c r="N93" s="887">
        <f ca="1">IFERROR(__xludf.DUMMYFUNCTION("IMPORTRANGE(""https://docs.google.com/spreadsheets/d/1MeEWN-I1oV_STSDYn1IFDPWt_1FKiwhDph83XaGc0o0/edit?usp=sharing"",""งบพรบ!AX81"")"),151650.78)</f>
        <v>151650.78</v>
      </c>
      <c r="O93" s="887">
        <f t="shared" ca="1" si="50"/>
        <v>45.472497751124436</v>
      </c>
      <c r="P93" s="887">
        <f t="shared" ca="1" si="51"/>
        <v>59.988441455696204</v>
      </c>
      <c r="Q93" s="875"/>
      <c r="R93" s="875"/>
      <c r="S93" s="875"/>
      <c r="T93" s="875"/>
      <c r="U93" s="875"/>
      <c r="V93" s="875"/>
      <c r="W93" s="875"/>
      <c r="X93" s="875"/>
      <c r="Y93" s="875"/>
      <c r="Z93" s="875"/>
    </row>
    <row r="94" spans="1:26" ht="18.75">
      <c r="A94" s="995"/>
      <c r="B94" s="877"/>
      <c r="C94" s="996"/>
      <c r="D94" s="878" t="s">
        <v>21</v>
      </c>
      <c r="E94" s="877"/>
      <c r="F94" s="877"/>
      <c r="G94" s="879"/>
      <c r="H94" s="168" t="s">
        <v>12</v>
      </c>
      <c r="I94" s="997"/>
      <c r="J94" s="997"/>
      <c r="K94" s="998"/>
      <c r="L94" s="881">
        <f t="shared" ref="L94:N94" ca="1" si="54">L95+L96</f>
        <v>0</v>
      </c>
      <c r="M94" s="881">
        <f t="shared" ca="1" si="54"/>
        <v>0</v>
      </c>
      <c r="N94" s="881">
        <f t="shared" ca="1" si="54"/>
        <v>0</v>
      </c>
      <c r="O94" s="881">
        <f t="shared" ca="1" si="50"/>
        <v>0</v>
      </c>
      <c r="P94" s="881">
        <f t="shared" ca="1" si="51"/>
        <v>0</v>
      </c>
      <c r="Q94" s="868"/>
      <c r="R94" s="868"/>
      <c r="S94" s="868"/>
      <c r="T94" s="868"/>
      <c r="U94" s="868"/>
      <c r="V94" s="868"/>
      <c r="W94" s="868"/>
      <c r="X94" s="868"/>
      <c r="Y94" s="868"/>
      <c r="Z94" s="868"/>
    </row>
    <row r="95" spans="1:26" ht="19.5" hidden="1">
      <c r="A95" s="993"/>
      <c r="B95" s="883"/>
      <c r="C95" s="999"/>
      <c r="D95" s="883"/>
      <c r="E95" s="884" t="s">
        <v>18</v>
      </c>
      <c r="F95" s="883"/>
      <c r="G95" s="994"/>
      <c r="H95" s="165" t="s">
        <v>12</v>
      </c>
      <c r="I95" s="1000"/>
      <c r="J95" s="1000"/>
      <c r="K95" s="1001"/>
      <c r="L95" s="887">
        <v>0</v>
      </c>
      <c r="M95" s="887">
        <v>0</v>
      </c>
      <c r="N95" s="887">
        <v>0</v>
      </c>
      <c r="O95" s="887">
        <f t="shared" si="50"/>
        <v>0</v>
      </c>
      <c r="P95" s="887">
        <f t="shared" si="51"/>
        <v>0</v>
      </c>
      <c r="Q95" s="875"/>
      <c r="R95" s="875"/>
      <c r="S95" s="875"/>
      <c r="T95" s="875"/>
      <c r="U95" s="875"/>
      <c r="V95" s="875"/>
      <c r="W95" s="875"/>
      <c r="X95" s="875"/>
      <c r="Y95" s="875"/>
      <c r="Z95" s="875"/>
    </row>
    <row r="96" spans="1:26" ht="19.5" hidden="1">
      <c r="A96" s="993"/>
      <c r="B96" s="883"/>
      <c r="C96" s="999"/>
      <c r="D96" s="883"/>
      <c r="E96" s="884" t="s">
        <v>19</v>
      </c>
      <c r="F96" s="883"/>
      <c r="G96" s="994"/>
      <c r="H96" s="169" t="s">
        <v>12</v>
      </c>
      <c r="I96" s="1000"/>
      <c r="J96" s="1000"/>
      <c r="K96" s="1001"/>
      <c r="L96" s="887">
        <f ca="1">IFERROR(__xludf.DUMMYFUNCTION("IMPORTRANGE(""https://docs.google.com/spreadsheets/d/1MeEWN-I1oV_STSDYn1IFDPWt_1FKiwhDph83XaGc0o0/edit?usp=sharing"",""งบพรบ!AT81"")"),0)</f>
        <v>0</v>
      </c>
      <c r="M96" s="887">
        <f ca="1">IFERROR(__xludf.DUMMYFUNCTION("IMPORTRANGE(""https://docs.google.com/spreadsheets/d/1MeEWN-I1oV_STSDYn1IFDPWt_1FKiwhDph83XaGc0o0/edit?usp=sharing"",""งบพรบ!AW81"")"),0)</f>
        <v>0</v>
      </c>
      <c r="N96" s="887">
        <f ca="1">IFERROR(__xludf.DUMMYFUNCTION("IMPORTRANGE(""https://docs.google.com/spreadsheets/d/1MeEWN-I1oV_STSDYn1IFDPWt_1FKiwhDph83XaGc0o0/edit?usp=sharing"",""งบพรบ!AY81"")"),0)</f>
        <v>0</v>
      </c>
      <c r="O96" s="887">
        <f t="shared" ca="1" si="50"/>
        <v>0</v>
      </c>
      <c r="P96" s="887">
        <f t="shared" ca="1" si="51"/>
        <v>0</v>
      </c>
      <c r="Q96" s="875"/>
      <c r="R96" s="875"/>
      <c r="S96" s="875"/>
      <c r="T96" s="875"/>
      <c r="U96" s="875"/>
      <c r="V96" s="875"/>
      <c r="W96" s="875"/>
      <c r="X96" s="875"/>
      <c r="Y96" s="875"/>
      <c r="Z96" s="875"/>
    </row>
    <row r="97" spans="1:16" ht="19.5">
      <c r="A97" s="1002"/>
      <c r="B97" s="1003"/>
      <c r="C97" s="999" t="s">
        <v>16</v>
      </c>
      <c r="D97" s="1004" t="s">
        <v>38</v>
      </c>
      <c r="E97" s="1005"/>
      <c r="F97" s="1005"/>
      <c r="G97" s="1006"/>
      <c r="H97" s="1007"/>
      <c r="I97" s="997"/>
      <c r="J97" s="880"/>
      <c r="K97" s="881"/>
      <c r="L97" s="881"/>
      <c r="M97" s="881"/>
      <c r="N97" s="881"/>
      <c r="O97" s="998"/>
      <c r="P97" s="998"/>
    </row>
    <row r="98" spans="1:16" ht="18.75">
      <c r="A98" s="1002"/>
      <c r="B98" s="1003"/>
      <c r="C98" s="1003"/>
      <c r="D98" s="1009" t="s">
        <v>47</v>
      </c>
      <c r="E98" s="1009"/>
      <c r="F98" s="1010"/>
      <c r="G98" s="1011"/>
      <c r="H98" s="622" t="s">
        <v>46</v>
      </c>
      <c r="I98" s="880">
        <f ca="1">IFERROR(__xludf.DUMMYFUNCTION("IMPORTRANGE(""https://docs.google.com/spreadsheets/d/1QqKyyYR6Q21VydFLVH3TRQUabQu_ym0Zz7PgGX0-kHA/edit?usp=sharing"",""แผน!K81"")"),0)</f>
        <v>0</v>
      </c>
      <c r="J98" s="880">
        <f>J102</f>
        <v>0</v>
      </c>
      <c r="K98" s="881">
        <f t="shared" ref="K98:K100" ca="1" si="55">IF(I98&gt;0,J98*100/I98,0)</f>
        <v>0</v>
      </c>
      <c r="L98" s="881"/>
      <c r="M98" s="881"/>
      <c r="N98" s="881"/>
      <c r="O98" s="998"/>
      <c r="P98" s="998"/>
    </row>
    <row r="99" spans="1:16" ht="18.75">
      <c r="A99" s="1002"/>
      <c r="B99" s="1003"/>
      <c r="C99" s="1003"/>
      <c r="D99" s="1009" t="s">
        <v>48</v>
      </c>
      <c r="E99" s="1009"/>
      <c r="F99" s="1010"/>
      <c r="G99" s="1011"/>
      <c r="H99" s="622" t="s">
        <v>35</v>
      </c>
      <c r="I99" s="880">
        <f ca="1">IFERROR(__xludf.DUMMYFUNCTION("IMPORTRANGE(""https://docs.google.com/spreadsheets/d/1QqKyyYR6Q21VydFLVH3TRQUabQu_ym0Zz7PgGX0-kHA/edit?usp=sharing"",""แผน!L81"")"),0)</f>
        <v>0</v>
      </c>
      <c r="J99" s="880">
        <f>J104</f>
        <v>0</v>
      </c>
      <c r="K99" s="881">
        <f t="shared" ca="1" si="55"/>
        <v>0</v>
      </c>
      <c r="L99" s="881"/>
      <c r="M99" s="881"/>
      <c r="N99" s="881"/>
      <c r="O99" s="998"/>
      <c r="P99" s="998"/>
    </row>
    <row r="100" spans="1:16" ht="18.75">
      <c r="A100" s="1002"/>
      <c r="B100" s="1003"/>
      <c r="C100" s="1003"/>
      <c r="D100" s="1003"/>
      <c r="E100" s="1010"/>
      <c r="F100" s="1010"/>
      <c r="G100" s="1011"/>
      <c r="H100" s="622" t="s">
        <v>49</v>
      </c>
      <c r="I100" s="880">
        <f ca="1">IFERROR(__xludf.DUMMYFUNCTION("IMPORTRANGE(""https://docs.google.com/spreadsheets/d/1QqKyyYR6Q21VydFLVH3TRQUabQu_ym0Zz7PgGX0-kHA/edit?usp=sharing"",""แผน!M81"")"),1)</f>
        <v>1</v>
      </c>
      <c r="J100" s="880">
        <f>J107+J110</f>
        <v>1</v>
      </c>
      <c r="K100" s="881">
        <f t="shared" ca="1" si="55"/>
        <v>100</v>
      </c>
      <c r="L100" s="881"/>
      <c r="M100" s="881"/>
      <c r="N100" s="881"/>
      <c r="O100" s="998"/>
      <c r="P100" s="998"/>
    </row>
    <row r="101" spans="1:16" ht="19.5">
      <c r="A101" s="1002"/>
      <c r="B101" s="1003"/>
      <c r="C101" s="1003"/>
      <c r="D101" s="1010"/>
      <c r="E101" s="1013" t="s">
        <v>50</v>
      </c>
      <c r="F101" s="1010"/>
      <c r="G101" s="1011"/>
      <c r="H101" s="622"/>
      <c r="I101" s="880"/>
      <c r="J101" s="880"/>
      <c r="K101" s="881"/>
      <c r="L101" s="881"/>
      <c r="M101" s="881"/>
      <c r="N101" s="881"/>
      <c r="O101" s="998"/>
      <c r="P101" s="998"/>
    </row>
    <row r="102" spans="1:16" ht="18.75">
      <c r="A102" s="1002"/>
      <c r="B102" s="1003"/>
      <c r="C102" s="1003"/>
      <c r="D102" s="1010"/>
      <c r="E102" s="1014" t="s">
        <v>47</v>
      </c>
      <c r="F102" s="1010"/>
      <c r="G102" s="1011"/>
      <c r="H102" s="622" t="s">
        <v>46</v>
      </c>
      <c r="I102" s="880">
        <f ca="1">IFERROR(__xludf.DUMMYFUNCTION("IMPORTRANGE(""https://docs.google.com/spreadsheets/d/1QqKyyYR6Q21VydFLVH3TRQUabQu_ym0Zz7PgGX0-kHA/edit?usp=sharing"",""แผน!N81"")"),0)</f>
        <v>0</v>
      </c>
      <c r="J102" s="1012">
        <v>0</v>
      </c>
      <c r="K102" s="881">
        <f t="shared" ref="K102:K104" ca="1" si="56">IF(I102&gt;0,J102*100/I102,0)</f>
        <v>0</v>
      </c>
      <c r="L102" s="881"/>
      <c r="M102" s="881"/>
      <c r="N102" s="881"/>
      <c r="O102" s="998"/>
      <c r="P102" s="998"/>
    </row>
    <row r="103" spans="1:16" ht="19.5">
      <c r="A103" s="1002"/>
      <c r="B103" s="1003"/>
      <c r="C103" s="1003"/>
      <c r="D103" s="1010"/>
      <c r="E103" s="1009" t="s">
        <v>51</v>
      </c>
      <c r="F103" s="1010"/>
      <c r="G103" s="1011"/>
      <c r="H103" s="622" t="s">
        <v>35</v>
      </c>
      <c r="I103" s="880">
        <f ca="1">IFERROR(__xludf.DUMMYFUNCTION("IMPORTRANGE(""https://docs.google.com/spreadsheets/d/1QqKyyYR6Q21VydFLVH3TRQUabQu_ym0Zz7PgGX0-kHA/edit?usp=sharing"",""แผน!O81"")"),0)</f>
        <v>0</v>
      </c>
      <c r="J103" s="1012">
        <v>0</v>
      </c>
      <c r="K103" s="881">
        <f t="shared" ca="1" si="56"/>
        <v>0</v>
      </c>
      <c r="L103" s="881"/>
      <c r="M103" s="881"/>
      <c r="N103" s="881"/>
      <c r="O103" s="998"/>
      <c r="P103" s="998"/>
    </row>
    <row r="104" spans="1:16" ht="18.75">
      <c r="A104" s="1002"/>
      <c r="B104" s="1003"/>
      <c r="C104" s="1003"/>
      <c r="D104" s="1010"/>
      <c r="E104" s="1015" t="s">
        <v>52</v>
      </c>
      <c r="F104" s="1010"/>
      <c r="G104" s="1011"/>
      <c r="H104" s="622" t="s">
        <v>35</v>
      </c>
      <c r="I104" s="880">
        <f ca="1">IFERROR(__xludf.DUMMYFUNCTION("IMPORTRANGE(""https://docs.google.com/spreadsheets/d/1QqKyyYR6Q21VydFLVH3TRQUabQu_ym0Zz7PgGX0-kHA/edit?usp=sharing"",""แผน!O81"")"),0)</f>
        <v>0</v>
      </c>
      <c r="J104" s="1012">
        <v>0</v>
      </c>
      <c r="K104" s="881">
        <f t="shared" ca="1" si="56"/>
        <v>0</v>
      </c>
      <c r="L104" s="881"/>
      <c r="M104" s="881"/>
      <c r="N104" s="881"/>
      <c r="O104" s="998"/>
      <c r="P104" s="998"/>
    </row>
    <row r="105" spans="1:16" ht="19.5">
      <c r="A105" s="1002"/>
      <c r="B105" s="1003"/>
      <c r="C105" s="1003"/>
      <c r="D105" s="1010"/>
      <c r="E105" s="1013" t="s">
        <v>53</v>
      </c>
      <c r="F105" s="1010"/>
      <c r="G105" s="1011"/>
      <c r="H105" s="1016"/>
      <c r="I105" s="880"/>
      <c r="J105" s="880"/>
      <c r="K105" s="881"/>
      <c r="L105" s="881"/>
      <c r="M105" s="881"/>
      <c r="N105" s="881"/>
      <c r="O105" s="998"/>
      <c r="P105" s="998"/>
    </row>
    <row r="106" spans="1:16" ht="19.5">
      <c r="A106" s="1002"/>
      <c r="B106" s="1003"/>
      <c r="C106" s="1003"/>
      <c r="D106" s="1010"/>
      <c r="E106" s="1009" t="s">
        <v>54</v>
      </c>
      <c r="F106" s="1010"/>
      <c r="G106" s="1011"/>
      <c r="H106" s="622" t="s">
        <v>49</v>
      </c>
      <c r="I106" s="880">
        <f ca="1">IFERROR(__xludf.DUMMYFUNCTION("IMPORTRANGE(""https://docs.google.com/spreadsheets/d/1QqKyyYR6Q21VydFLVH3TRQUabQu_ym0Zz7PgGX0-kHA/edit?usp=sharing"",""แผน!P81"")"),1)</f>
        <v>1</v>
      </c>
      <c r="J106" s="1012">
        <v>1</v>
      </c>
      <c r="K106" s="881">
        <f t="shared" ref="K106:K107" ca="1" si="57">IF(I106&gt;0,J106*100/I106,0)</f>
        <v>100</v>
      </c>
      <c r="L106" s="881"/>
      <c r="M106" s="881"/>
      <c r="N106" s="881"/>
      <c r="O106" s="998"/>
      <c r="P106" s="998"/>
    </row>
    <row r="107" spans="1:16" ht="18.75">
      <c r="A107" s="1002"/>
      <c r="B107" s="1003"/>
      <c r="C107" s="1003"/>
      <c r="D107" s="1010"/>
      <c r="E107" s="1015" t="s">
        <v>55</v>
      </c>
      <c r="F107" s="1010"/>
      <c r="G107" s="1011"/>
      <c r="H107" s="622" t="s">
        <v>49</v>
      </c>
      <c r="I107" s="880">
        <f ca="1">IFERROR(__xludf.DUMMYFUNCTION("IMPORTRANGE(""https://docs.google.com/spreadsheets/d/1QqKyyYR6Q21VydFLVH3TRQUabQu_ym0Zz7PgGX0-kHA/edit?usp=sharing"",""แผน!P81"")"),1)</f>
        <v>1</v>
      </c>
      <c r="J107" s="1012">
        <v>1</v>
      </c>
      <c r="K107" s="881">
        <f t="shared" ca="1" si="57"/>
        <v>100</v>
      </c>
      <c r="L107" s="881"/>
      <c r="M107" s="881"/>
      <c r="N107" s="881"/>
      <c r="O107" s="998"/>
      <c r="P107" s="998"/>
    </row>
    <row r="108" spans="1:16" ht="19.5">
      <c r="A108" s="1002"/>
      <c r="B108" s="1003"/>
      <c r="C108" s="1003"/>
      <c r="D108" s="1010"/>
      <c r="E108" s="1013" t="s">
        <v>56</v>
      </c>
      <c r="F108" s="1010"/>
      <c r="G108" s="1011"/>
      <c r="H108" s="1016"/>
      <c r="I108" s="880"/>
      <c r="J108" s="880"/>
      <c r="K108" s="881"/>
      <c r="L108" s="881"/>
      <c r="M108" s="881"/>
      <c r="N108" s="881"/>
      <c r="O108" s="998"/>
      <c r="P108" s="998"/>
    </row>
    <row r="109" spans="1:16" ht="19.5">
      <c r="A109" s="1002"/>
      <c r="B109" s="1003"/>
      <c r="C109" s="1003"/>
      <c r="D109" s="1010"/>
      <c r="E109" s="1009" t="s">
        <v>57</v>
      </c>
      <c r="F109" s="1010"/>
      <c r="G109" s="1011"/>
      <c r="H109" s="622" t="s">
        <v>49</v>
      </c>
      <c r="I109" s="880">
        <f ca="1">IFERROR(__xludf.DUMMYFUNCTION("IMPORTRANGE(""https://docs.google.com/spreadsheets/d/1QqKyyYR6Q21VydFLVH3TRQUabQu_ym0Zz7PgGX0-kHA/edit?usp=sharing"",""แผน!Q81"")"),0)</f>
        <v>0</v>
      </c>
      <c r="J109" s="1012">
        <v>0</v>
      </c>
      <c r="K109" s="881">
        <f t="shared" ref="K109:K116" ca="1" si="58">IF(I109&gt;0,J109*100/I109,0)</f>
        <v>0</v>
      </c>
      <c r="L109" s="881"/>
      <c r="M109" s="881"/>
      <c r="N109" s="881"/>
      <c r="O109" s="998"/>
      <c r="P109" s="998"/>
    </row>
    <row r="110" spans="1:16" ht="18.75">
      <c r="A110" s="1002"/>
      <c r="B110" s="1003"/>
      <c r="C110" s="1003"/>
      <c r="D110" s="1010"/>
      <c r="E110" s="1017" t="s">
        <v>58</v>
      </c>
      <c r="F110" s="1010"/>
      <c r="G110" s="1011"/>
      <c r="H110" s="622" t="s">
        <v>49</v>
      </c>
      <c r="I110" s="880">
        <f ca="1">IFERROR(__xludf.DUMMYFUNCTION("IMPORTRANGE(""https://docs.google.com/spreadsheets/d/1QqKyyYR6Q21VydFLVH3TRQUabQu_ym0Zz7PgGX0-kHA/edit?usp=sharing"",""แผน!Q81"")"),0)</f>
        <v>0</v>
      </c>
      <c r="J110" s="1012">
        <v>0</v>
      </c>
      <c r="K110" s="881">
        <f t="shared" ca="1" si="58"/>
        <v>0</v>
      </c>
      <c r="L110" s="881"/>
      <c r="M110" s="881"/>
      <c r="N110" s="881"/>
      <c r="O110" s="998"/>
      <c r="P110" s="998"/>
    </row>
    <row r="111" spans="1:16" ht="19.5">
      <c r="A111" s="1002"/>
      <c r="B111" s="1003"/>
      <c r="C111" s="1003"/>
      <c r="D111" s="1013" t="s">
        <v>59</v>
      </c>
      <c r="E111" s="1013"/>
      <c r="F111" s="1010"/>
      <c r="G111" s="1011"/>
      <c r="H111" s="765" t="s">
        <v>35</v>
      </c>
      <c r="I111" s="1018">
        <f ca="1">IFERROR(__xludf.DUMMYFUNCTION("IMPORTRANGE(""https://docs.google.com/spreadsheets/d/1QqKyyYR6Q21VydFLVH3TRQUabQu_ym0Zz7PgGX0-kHA/edit?usp=sharing"",""แผน!R81"")"),0)</f>
        <v>0</v>
      </c>
      <c r="J111" s="1019">
        <f>J114</f>
        <v>0</v>
      </c>
      <c r="K111" s="1020">
        <f t="shared" ca="1" si="58"/>
        <v>0</v>
      </c>
      <c r="L111" s="881"/>
      <c r="M111" s="881"/>
      <c r="N111" s="881"/>
      <c r="O111" s="998"/>
      <c r="P111" s="998"/>
    </row>
    <row r="112" spans="1:16" ht="19.5">
      <c r="A112" s="1002"/>
      <c r="B112" s="1003"/>
      <c r="C112" s="1003"/>
      <c r="D112" s="1003"/>
      <c r="E112" s="1010"/>
      <c r="F112" s="1010"/>
      <c r="G112" s="1011"/>
      <c r="H112" s="196" t="s">
        <v>49</v>
      </c>
      <c r="I112" s="1018">
        <f t="shared" ref="I112:J112" ca="1" si="59">I115+I116</f>
        <v>1</v>
      </c>
      <c r="J112" s="1019">
        <f t="shared" si="59"/>
        <v>0</v>
      </c>
      <c r="K112" s="1020">
        <f t="shared" ca="1" si="58"/>
        <v>0</v>
      </c>
      <c r="L112" s="881"/>
      <c r="M112" s="881"/>
      <c r="N112" s="881"/>
      <c r="O112" s="998"/>
      <c r="P112" s="998"/>
    </row>
    <row r="113" spans="1:26" ht="19.5">
      <c r="A113" s="1002"/>
      <c r="B113" s="1003"/>
      <c r="C113" s="1003"/>
      <c r="D113" s="1003"/>
      <c r="E113" s="1021" t="s">
        <v>60</v>
      </c>
      <c r="F113" s="1010"/>
      <c r="G113" s="1011"/>
      <c r="H113" s="198" t="s">
        <v>35</v>
      </c>
      <c r="I113" s="997">
        <f ca="1">IFERROR(__xludf.DUMMYFUNCTION("IMPORTRANGE(""https://docs.google.com/spreadsheets/d/1QqKyyYR6Q21VydFLVH3TRQUabQu_ym0Zz7PgGX0-kHA/edit?usp=sharing"",""แผน!R81"")"),0)</f>
        <v>0</v>
      </c>
      <c r="J113" s="1012">
        <v>0</v>
      </c>
      <c r="K113" s="881">
        <f t="shared" ca="1" si="58"/>
        <v>0</v>
      </c>
      <c r="L113" s="881"/>
      <c r="M113" s="881"/>
      <c r="N113" s="881"/>
      <c r="O113" s="998"/>
      <c r="P113" s="998"/>
    </row>
    <row r="114" spans="1:26" ht="19.5">
      <c r="A114" s="1002"/>
      <c r="B114" s="1003"/>
      <c r="C114" s="1003"/>
      <c r="D114" s="1003"/>
      <c r="E114" s="1009" t="s">
        <v>61</v>
      </c>
      <c r="F114" s="1010"/>
      <c r="G114" s="1011"/>
      <c r="H114" s="199" t="s">
        <v>35</v>
      </c>
      <c r="I114" s="997">
        <f ca="1">IFERROR(__xludf.DUMMYFUNCTION("IMPORTRANGE(""https://docs.google.com/spreadsheets/d/1QqKyyYR6Q21VydFLVH3TRQUabQu_ym0Zz7PgGX0-kHA/edit?usp=sharing"",""แผน!R81"")"),0)</f>
        <v>0</v>
      </c>
      <c r="J114" s="1012">
        <v>0</v>
      </c>
      <c r="K114" s="881">
        <f t="shared" ca="1" si="58"/>
        <v>0</v>
      </c>
      <c r="L114" s="881"/>
      <c r="M114" s="881"/>
      <c r="N114" s="881"/>
      <c r="O114" s="998"/>
      <c r="P114" s="998"/>
    </row>
    <row r="115" spans="1:26" ht="18.75">
      <c r="A115" s="1002"/>
      <c r="B115" s="1003"/>
      <c r="C115" s="1003"/>
      <c r="D115" s="1003"/>
      <c r="E115" s="1009" t="s">
        <v>62</v>
      </c>
      <c r="F115" s="1010"/>
      <c r="G115" s="1011"/>
      <c r="H115" s="199" t="s">
        <v>49</v>
      </c>
      <c r="I115" s="997">
        <f ca="1">IFERROR(__xludf.DUMMYFUNCTION("IMPORTRANGE(""https://docs.google.com/spreadsheets/d/1QqKyyYR6Q21VydFLVH3TRQUabQu_ym0Zz7PgGX0-kHA/edit?usp=sharing"",""แผน!S81"")"),1)</f>
        <v>1</v>
      </c>
      <c r="J115" s="1012">
        <v>0</v>
      </c>
      <c r="K115" s="881">
        <f t="shared" ca="1" si="58"/>
        <v>0</v>
      </c>
      <c r="L115" s="881"/>
      <c r="M115" s="881"/>
      <c r="N115" s="881"/>
      <c r="O115" s="998"/>
      <c r="P115" s="998"/>
    </row>
    <row r="116" spans="1:26" ht="18.75">
      <c r="A116" s="1002"/>
      <c r="B116" s="1003"/>
      <c r="C116" s="1003"/>
      <c r="D116" s="1003"/>
      <c r="E116" s="1009" t="s">
        <v>63</v>
      </c>
      <c r="F116" s="1010"/>
      <c r="G116" s="1011"/>
      <c r="H116" s="199" t="s">
        <v>49</v>
      </c>
      <c r="I116" s="997">
        <f ca="1">IFERROR(__xludf.DUMMYFUNCTION("IMPORTRANGE(""https://docs.google.com/spreadsheets/d/1QqKyyYR6Q21VydFLVH3TRQUabQu_ym0Zz7PgGX0-kHA/edit?usp=sharing"",""แผน!T81"")"),0)</f>
        <v>0</v>
      </c>
      <c r="J116" s="1012">
        <v>0</v>
      </c>
      <c r="K116" s="881">
        <f t="shared" ca="1" si="58"/>
        <v>0</v>
      </c>
      <c r="L116" s="881"/>
      <c r="M116" s="881"/>
      <c r="N116" s="881"/>
      <c r="O116" s="998"/>
      <c r="P116" s="998"/>
    </row>
    <row r="117" spans="1:26" ht="19.5" hidden="1">
      <c r="A117" s="970" t="s">
        <v>64</v>
      </c>
      <c r="B117" s="971"/>
      <c r="C117" s="1022"/>
      <c r="D117" s="971"/>
      <c r="E117" s="971"/>
      <c r="F117" s="971"/>
      <c r="G117" s="971"/>
      <c r="H117" s="1023"/>
      <c r="I117" s="1024"/>
      <c r="J117" s="1024"/>
      <c r="K117" s="1025"/>
      <c r="L117" s="976"/>
      <c r="M117" s="976"/>
      <c r="N117" s="976"/>
      <c r="O117" s="976"/>
      <c r="P117" s="976"/>
    </row>
    <row r="118" spans="1:26" ht="19.5" hidden="1">
      <c r="A118" s="977"/>
      <c r="B118" s="978" t="s">
        <v>65</v>
      </c>
      <c r="C118" s="1026"/>
      <c r="D118" s="980"/>
      <c r="E118" s="979"/>
      <c r="F118" s="979"/>
      <c r="G118" s="981"/>
      <c r="H118" s="205"/>
      <c r="I118" s="1027"/>
      <c r="J118" s="1027"/>
      <c r="K118" s="984"/>
      <c r="L118" s="984"/>
      <c r="M118" s="984"/>
      <c r="N118" s="984"/>
      <c r="O118" s="984"/>
      <c r="P118" s="984"/>
    </row>
    <row r="119" spans="1:26" ht="19.5" hidden="1">
      <c r="A119" s="985"/>
      <c r="B119" s="986"/>
      <c r="C119" s="987" t="s">
        <v>16</v>
      </c>
      <c r="D119" s="988" t="s">
        <v>17</v>
      </c>
      <c r="E119" s="986"/>
      <c r="F119" s="986"/>
      <c r="G119" s="989"/>
      <c r="H119" s="152" t="s">
        <v>12</v>
      </c>
      <c r="I119" s="990"/>
      <c r="J119" s="990"/>
      <c r="K119" s="991"/>
      <c r="L119" s="992">
        <f t="shared" ref="L119:N119" ca="1" si="60">L120+L121</f>
        <v>0</v>
      </c>
      <c r="M119" s="992">
        <f t="shared" ca="1" si="60"/>
        <v>0</v>
      </c>
      <c r="N119" s="992">
        <f t="shared" ca="1" si="60"/>
        <v>0</v>
      </c>
      <c r="O119" s="992">
        <f t="shared" ref="O119:O127" ca="1" si="61">IF(L119&gt;0,N119*100/L119,0)</f>
        <v>0</v>
      </c>
      <c r="P119" s="992">
        <f t="shared" ref="P119:P127" ca="1" si="62">IF(M119&gt;0,N119*100/M119,0)</f>
        <v>0</v>
      </c>
      <c r="Q119" s="868"/>
      <c r="R119" s="868"/>
      <c r="S119" s="868"/>
      <c r="T119" s="868"/>
      <c r="U119" s="868"/>
      <c r="V119" s="868"/>
      <c r="W119" s="868"/>
      <c r="X119" s="868"/>
      <c r="Y119" s="868"/>
      <c r="Z119" s="868"/>
    </row>
    <row r="120" spans="1:26" ht="18.75" hidden="1">
      <c r="A120" s="993"/>
      <c r="B120" s="883"/>
      <c r="C120" s="883"/>
      <c r="D120" s="883"/>
      <c r="E120" s="884" t="s">
        <v>18</v>
      </c>
      <c r="F120" s="883"/>
      <c r="G120" s="994"/>
      <c r="H120" s="158" t="s">
        <v>12</v>
      </c>
      <c r="I120" s="886"/>
      <c r="J120" s="886"/>
      <c r="K120" s="887"/>
      <c r="L120" s="887">
        <f t="shared" ref="L120:N121" si="63">L123+L126</f>
        <v>0</v>
      </c>
      <c r="M120" s="887">
        <f t="shared" si="63"/>
        <v>0</v>
      </c>
      <c r="N120" s="887">
        <f t="shared" si="63"/>
        <v>0</v>
      </c>
      <c r="O120" s="887">
        <f t="shared" si="61"/>
        <v>0</v>
      </c>
      <c r="P120" s="887">
        <f t="shared" si="62"/>
        <v>0</v>
      </c>
      <c r="Q120" s="875"/>
      <c r="R120" s="875"/>
      <c r="S120" s="875"/>
      <c r="T120" s="875"/>
      <c r="U120" s="875"/>
      <c r="V120" s="875"/>
      <c r="W120" s="875"/>
      <c r="X120" s="875"/>
      <c r="Y120" s="875"/>
      <c r="Z120" s="875"/>
    </row>
    <row r="121" spans="1:26" ht="18.75" hidden="1">
      <c r="A121" s="993"/>
      <c r="B121" s="883"/>
      <c r="C121" s="883"/>
      <c r="D121" s="883"/>
      <c r="E121" s="884" t="s">
        <v>19</v>
      </c>
      <c r="F121" s="883"/>
      <c r="G121" s="994"/>
      <c r="H121" s="158" t="s">
        <v>12</v>
      </c>
      <c r="I121" s="886"/>
      <c r="J121" s="886"/>
      <c r="K121" s="887"/>
      <c r="L121" s="887">
        <f t="shared" ca="1" si="63"/>
        <v>0</v>
      </c>
      <c r="M121" s="887">
        <f t="shared" ca="1" si="63"/>
        <v>0</v>
      </c>
      <c r="N121" s="887">
        <f t="shared" ca="1" si="63"/>
        <v>0</v>
      </c>
      <c r="O121" s="887">
        <f t="shared" ca="1" si="61"/>
        <v>0</v>
      </c>
      <c r="P121" s="887">
        <f t="shared" ca="1" si="62"/>
        <v>0</v>
      </c>
      <c r="Q121" s="875"/>
      <c r="R121" s="875"/>
      <c r="S121" s="875"/>
      <c r="T121" s="875"/>
      <c r="U121" s="875"/>
      <c r="V121" s="875"/>
      <c r="W121" s="875"/>
      <c r="X121" s="875"/>
      <c r="Y121" s="875"/>
      <c r="Z121" s="875"/>
    </row>
    <row r="122" spans="1:26" ht="18.75" hidden="1">
      <c r="A122" s="995"/>
      <c r="B122" s="877"/>
      <c r="C122" s="996"/>
      <c r="D122" s="878" t="s">
        <v>20</v>
      </c>
      <c r="E122" s="877"/>
      <c r="F122" s="877"/>
      <c r="G122" s="879"/>
      <c r="H122" s="161" t="s">
        <v>12</v>
      </c>
      <c r="I122" s="997"/>
      <c r="J122" s="997"/>
      <c r="K122" s="998"/>
      <c r="L122" s="881">
        <f t="shared" ref="L122:N122" ca="1" si="64">L123+L124</f>
        <v>0</v>
      </c>
      <c r="M122" s="881">
        <f t="shared" ca="1" si="64"/>
        <v>0</v>
      </c>
      <c r="N122" s="881">
        <f t="shared" ca="1" si="64"/>
        <v>0</v>
      </c>
      <c r="O122" s="881">
        <f t="shared" ca="1" si="61"/>
        <v>0</v>
      </c>
      <c r="P122" s="881">
        <f t="shared" ca="1" si="62"/>
        <v>0</v>
      </c>
      <c r="Q122" s="868"/>
      <c r="R122" s="868"/>
      <c r="S122" s="868"/>
      <c r="T122" s="868"/>
      <c r="U122" s="868"/>
      <c r="V122" s="868"/>
      <c r="W122" s="868"/>
      <c r="X122" s="868"/>
      <c r="Y122" s="868"/>
      <c r="Z122" s="868"/>
    </row>
    <row r="123" spans="1:26" ht="18.75" hidden="1">
      <c r="A123" s="993"/>
      <c r="B123" s="883"/>
      <c r="C123" s="884"/>
      <c r="D123" s="883"/>
      <c r="E123" s="884" t="s">
        <v>36</v>
      </c>
      <c r="F123" s="883"/>
      <c r="G123" s="994"/>
      <c r="H123" s="165" t="s">
        <v>12</v>
      </c>
      <c r="I123" s="1000"/>
      <c r="J123" s="1000"/>
      <c r="K123" s="1001"/>
      <c r="L123" s="887">
        <v>0</v>
      </c>
      <c r="M123" s="887">
        <v>0</v>
      </c>
      <c r="N123" s="887">
        <v>0</v>
      </c>
      <c r="O123" s="887">
        <f t="shared" si="61"/>
        <v>0</v>
      </c>
      <c r="P123" s="887">
        <f t="shared" si="62"/>
        <v>0</v>
      </c>
      <c r="Q123" s="875"/>
      <c r="R123" s="875"/>
      <c r="S123" s="875"/>
      <c r="T123" s="875"/>
      <c r="U123" s="875"/>
      <c r="V123" s="875"/>
      <c r="W123" s="875"/>
      <c r="X123" s="875"/>
      <c r="Y123" s="875"/>
      <c r="Z123" s="875"/>
    </row>
    <row r="124" spans="1:26" ht="18.75" hidden="1">
      <c r="A124" s="993"/>
      <c r="B124" s="883"/>
      <c r="C124" s="884"/>
      <c r="D124" s="883"/>
      <c r="E124" s="884" t="s">
        <v>37</v>
      </c>
      <c r="F124" s="883"/>
      <c r="G124" s="994"/>
      <c r="H124" s="165" t="s">
        <v>12</v>
      </c>
      <c r="I124" s="1000"/>
      <c r="J124" s="1000"/>
      <c r="K124" s="1001"/>
      <c r="L124" s="887">
        <f ca="1">IFERROR(__xludf.DUMMYFUNCTION("IMPORTRANGE(""https://docs.google.com/spreadsheets/d/1MeEWN-I1oV_STSDYn1IFDPWt_1FKiwhDph83XaGc0o0/edit?usp=sharing"",""งบพรบ!BA81"")"),0)</f>
        <v>0</v>
      </c>
      <c r="M124" s="887">
        <f ca="1">IFERROR(__xludf.DUMMYFUNCTION("IMPORTRANGE(""https://docs.google.com/spreadsheets/d/1MeEWN-I1oV_STSDYn1IFDPWt_1FKiwhDph83XaGc0o0/edit?usp=sharing"",""งบพรบ!BF81"")"),0)</f>
        <v>0</v>
      </c>
      <c r="N124" s="887">
        <f ca="1">IFERROR(__xludf.DUMMYFUNCTION("IMPORTRANGE(""https://docs.google.com/spreadsheets/d/1MeEWN-I1oV_STSDYn1IFDPWt_1FKiwhDph83XaGc0o0/edit?usp=sharing"",""งบพรบ!BH81"")"),0)</f>
        <v>0</v>
      </c>
      <c r="O124" s="887">
        <f t="shared" ca="1" si="61"/>
        <v>0</v>
      </c>
      <c r="P124" s="887">
        <f t="shared" ca="1" si="62"/>
        <v>0</v>
      </c>
      <c r="Q124" s="875"/>
      <c r="R124" s="875"/>
      <c r="S124" s="875"/>
      <c r="T124" s="875"/>
      <c r="U124" s="875"/>
      <c r="V124" s="875"/>
      <c r="W124" s="875"/>
      <c r="X124" s="875"/>
      <c r="Y124" s="875"/>
      <c r="Z124" s="875"/>
    </row>
    <row r="125" spans="1:26" ht="18.75" hidden="1">
      <c r="A125" s="995"/>
      <c r="B125" s="877"/>
      <c r="C125" s="996"/>
      <c r="D125" s="878" t="s">
        <v>21</v>
      </c>
      <c r="E125" s="877"/>
      <c r="F125" s="877"/>
      <c r="G125" s="879"/>
      <c r="H125" s="168" t="s">
        <v>12</v>
      </c>
      <c r="I125" s="997"/>
      <c r="J125" s="997"/>
      <c r="K125" s="998"/>
      <c r="L125" s="881">
        <f t="shared" ref="L125:N125" ca="1" si="65">L126+L127</f>
        <v>0</v>
      </c>
      <c r="M125" s="881">
        <f t="shared" ca="1" si="65"/>
        <v>0</v>
      </c>
      <c r="N125" s="881">
        <f t="shared" ca="1" si="65"/>
        <v>0</v>
      </c>
      <c r="O125" s="881">
        <f t="shared" ca="1" si="61"/>
        <v>0</v>
      </c>
      <c r="P125" s="881">
        <f t="shared" ca="1" si="62"/>
        <v>0</v>
      </c>
      <c r="Q125" s="868"/>
      <c r="R125" s="868"/>
      <c r="S125" s="868"/>
      <c r="T125" s="868"/>
      <c r="U125" s="868"/>
      <c r="V125" s="868"/>
      <c r="W125" s="868"/>
      <c r="X125" s="868"/>
      <c r="Y125" s="868"/>
      <c r="Z125" s="868"/>
    </row>
    <row r="126" spans="1:26" ht="19.5" hidden="1">
      <c r="A126" s="993"/>
      <c r="B126" s="883"/>
      <c r="C126" s="999"/>
      <c r="D126" s="883"/>
      <c r="E126" s="884" t="s">
        <v>18</v>
      </c>
      <c r="F126" s="883"/>
      <c r="G126" s="994"/>
      <c r="H126" s="165" t="s">
        <v>12</v>
      </c>
      <c r="I126" s="1000"/>
      <c r="J126" s="1000"/>
      <c r="K126" s="1001"/>
      <c r="L126" s="887">
        <v>0</v>
      </c>
      <c r="M126" s="887">
        <v>0</v>
      </c>
      <c r="N126" s="887">
        <v>0</v>
      </c>
      <c r="O126" s="887">
        <f t="shared" si="61"/>
        <v>0</v>
      </c>
      <c r="P126" s="887">
        <f t="shared" si="62"/>
        <v>0</v>
      </c>
      <c r="Q126" s="875"/>
      <c r="R126" s="875"/>
      <c r="S126" s="875"/>
      <c r="T126" s="875"/>
      <c r="U126" s="875"/>
      <c r="V126" s="875"/>
      <c r="W126" s="875"/>
      <c r="X126" s="875"/>
      <c r="Y126" s="875"/>
      <c r="Z126" s="875"/>
    </row>
    <row r="127" spans="1:26" ht="19.5" hidden="1">
      <c r="A127" s="993"/>
      <c r="B127" s="883"/>
      <c r="C127" s="999"/>
      <c r="D127" s="883"/>
      <c r="E127" s="884" t="s">
        <v>19</v>
      </c>
      <c r="F127" s="883"/>
      <c r="G127" s="994"/>
      <c r="H127" s="169" t="s">
        <v>12</v>
      </c>
      <c r="I127" s="1000"/>
      <c r="J127" s="1000"/>
      <c r="K127" s="1001"/>
      <c r="L127" s="887">
        <f ca="1">IFERROR(__xludf.DUMMYFUNCTION("IMPORTRANGE(""https://docs.google.com/spreadsheets/d/1MeEWN-I1oV_STSDYn1IFDPWt_1FKiwhDph83XaGc0o0/edit?usp=sharing"",""งบพรบ!BD81"")"),0)</f>
        <v>0</v>
      </c>
      <c r="M127" s="887">
        <f ca="1">IFERROR(__xludf.DUMMYFUNCTION("IMPORTRANGE(""https://docs.google.com/spreadsheets/d/1MeEWN-I1oV_STSDYn1IFDPWt_1FKiwhDph83XaGc0o0/edit?usp=sharing"",""งบพรบ!BG81"")"),0)</f>
        <v>0</v>
      </c>
      <c r="N127" s="887">
        <f ca="1">IFERROR(__xludf.DUMMYFUNCTION("IMPORTRANGE(""https://docs.google.com/spreadsheets/d/1MeEWN-I1oV_STSDYn1IFDPWt_1FKiwhDph83XaGc0o0/edit?usp=sharing"",""งบพรบ!BI81"")"),0)</f>
        <v>0</v>
      </c>
      <c r="O127" s="887">
        <f t="shared" ca="1" si="61"/>
        <v>0</v>
      </c>
      <c r="P127" s="887">
        <f t="shared" ca="1" si="62"/>
        <v>0</v>
      </c>
      <c r="Q127" s="875"/>
      <c r="R127" s="875"/>
      <c r="S127" s="875"/>
      <c r="T127" s="875"/>
      <c r="U127" s="875"/>
      <c r="V127" s="875"/>
      <c r="W127" s="875"/>
      <c r="X127" s="875"/>
      <c r="Y127" s="875"/>
      <c r="Z127" s="875"/>
    </row>
    <row r="128" spans="1:26" ht="19.5" hidden="1">
      <c r="A128" s="970" t="s">
        <v>67</v>
      </c>
      <c r="B128" s="971"/>
      <c r="C128" s="1022"/>
      <c r="D128" s="971"/>
      <c r="E128" s="971"/>
      <c r="F128" s="971"/>
      <c r="G128" s="971"/>
      <c r="H128" s="1023"/>
      <c r="I128" s="1024"/>
      <c r="J128" s="1024"/>
      <c r="K128" s="1025"/>
      <c r="L128" s="976"/>
      <c r="M128" s="976"/>
      <c r="N128" s="976"/>
      <c r="O128" s="976"/>
      <c r="P128" s="976"/>
    </row>
    <row r="129" spans="1:26" ht="19.5" hidden="1">
      <c r="A129" s="977"/>
      <c r="B129" s="978" t="s">
        <v>68</v>
      </c>
      <c r="C129" s="1026"/>
      <c r="D129" s="980"/>
      <c r="E129" s="979"/>
      <c r="F129" s="979"/>
      <c r="G129" s="979"/>
      <c r="H129" s="207"/>
      <c r="I129" s="1027"/>
      <c r="J129" s="1027"/>
      <c r="K129" s="984"/>
      <c r="L129" s="984"/>
      <c r="M129" s="984"/>
      <c r="N129" s="984"/>
      <c r="O129" s="984"/>
      <c r="P129" s="984"/>
    </row>
    <row r="130" spans="1:26" ht="19.5" hidden="1">
      <c r="A130" s="977"/>
      <c r="B130" s="978"/>
      <c r="C130" s="1028" t="s">
        <v>69</v>
      </c>
      <c r="D130" s="980"/>
      <c r="E130" s="979"/>
      <c r="F130" s="979"/>
      <c r="G130" s="981"/>
      <c r="H130" s="205" t="s">
        <v>66</v>
      </c>
      <c r="I130" s="982">
        <f t="shared" ref="I130:J130" ca="1" si="66">I146</f>
        <v>0</v>
      </c>
      <c r="J130" s="982">
        <f t="shared" si="66"/>
        <v>0</v>
      </c>
      <c r="K130" s="983">
        <f t="shared" ref="K130:K131" ca="1" si="67">IF(I130&gt;0,J130*100/I130,0)</f>
        <v>0</v>
      </c>
      <c r="L130" s="984"/>
      <c r="M130" s="984"/>
      <c r="N130" s="984"/>
      <c r="O130" s="984"/>
      <c r="P130" s="984"/>
    </row>
    <row r="131" spans="1:26" ht="19.5" hidden="1">
      <c r="A131" s="977"/>
      <c r="B131" s="978"/>
      <c r="C131" s="1028" t="s">
        <v>70</v>
      </c>
      <c r="D131" s="980"/>
      <c r="E131" s="979"/>
      <c r="F131" s="979"/>
      <c r="G131" s="981"/>
      <c r="H131" s="205" t="s">
        <v>35</v>
      </c>
      <c r="I131" s="982">
        <f t="shared" ref="I131:J131" ca="1" si="68">I143</f>
        <v>0</v>
      </c>
      <c r="J131" s="982">
        <f t="shared" ca="1" si="68"/>
        <v>0</v>
      </c>
      <c r="K131" s="983">
        <f t="shared" ca="1" si="67"/>
        <v>0</v>
      </c>
      <c r="L131" s="984"/>
      <c r="M131" s="984"/>
      <c r="N131" s="984"/>
      <c r="O131" s="984"/>
      <c r="P131" s="984"/>
    </row>
    <row r="132" spans="1:26" ht="19.5" hidden="1">
      <c r="A132" s="985"/>
      <c r="B132" s="986"/>
      <c r="C132" s="987" t="s">
        <v>16</v>
      </c>
      <c r="D132" s="988" t="s">
        <v>17</v>
      </c>
      <c r="E132" s="986"/>
      <c r="F132" s="986"/>
      <c r="G132" s="989"/>
      <c r="H132" s="152" t="s">
        <v>12</v>
      </c>
      <c r="I132" s="990"/>
      <c r="J132" s="990"/>
      <c r="K132" s="991"/>
      <c r="L132" s="992">
        <f t="shared" ref="L132:N132" ca="1" si="69">L133+L134</f>
        <v>0</v>
      </c>
      <c r="M132" s="992">
        <f t="shared" ca="1" si="69"/>
        <v>0</v>
      </c>
      <c r="N132" s="992">
        <f t="shared" ca="1" si="69"/>
        <v>0</v>
      </c>
      <c r="O132" s="992">
        <f t="shared" ref="O132:O140" ca="1" si="70">IF(L132&gt;0,N132*100/L132,0)</f>
        <v>0</v>
      </c>
      <c r="P132" s="992">
        <f t="shared" ref="P132:P140" ca="1" si="71">IF(M132&gt;0,N132*100/M132,0)</f>
        <v>0</v>
      </c>
      <c r="Q132" s="868"/>
      <c r="R132" s="868"/>
      <c r="S132" s="868"/>
      <c r="T132" s="868"/>
      <c r="U132" s="868"/>
      <c r="V132" s="868"/>
      <c r="W132" s="868"/>
      <c r="X132" s="868"/>
      <c r="Y132" s="868"/>
      <c r="Z132" s="868"/>
    </row>
    <row r="133" spans="1:26" ht="18.75" hidden="1">
      <c r="A133" s="993"/>
      <c r="B133" s="883"/>
      <c r="C133" s="883"/>
      <c r="D133" s="883"/>
      <c r="E133" s="884" t="s">
        <v>18</v>
      </c>
      <c r="F133" s="883"/>
      <c r="G133" s="994"/>
      <c r="H133" s="158" t="s">
        <v>12</v>
      </c>
      <c r="I133" s="886"/>
      <c r="J133" s="886"/>
      <c r="K133" s="887"/>
      <c r="L133" s="887">
        <f t="shared" ref="L133:N134" si="72">L136+L139</f>
        <v>0</v>
      </c>
      <c r="M133" s="887">
        <f t="shared" si="72"/>
        <v>0</v>
      </c>
      <c r="N133" s="887">
        <f t="shared" si="72"/>
        <v>0</v>
      </c>
      <c r="O133" s="887">
        <f t="shared" si="70"/>
        <v>0</v>
      </c>
      <c r="P133" s="887">
        <f t="shared" si="71"/>
        <v>0</v>
      </c>
      <c r="Q133" s="875"/>
      <c r="R133" s="875"/>
      <c r="S133" s="875"/>
      <c r="T133" s="875"/>
      <c r="U133" s="875"/>
      <c r="V133" s="875"/>
      <c r="W133" s="875"/>
      <c r="X133" s="875"/>
      <c r="Y133" s="875"/>
      <c r="Z133" s="875"/>
    </row>
    <row r="134" spans="1:26" ht="18.75" hidden="1">
      <c r="A134" s="993"/>
      <c r="B134" s="883"/>
      <c r="C134" s="883"/>
      <c r="D134" s="883"/>
      <c r="E134" s="884" t="s">
        <v>19</v>
      </c>
      <c r="F134" s="883"/>
      <c r="G134" s="994"/>
      <c r="H134" s="158" t="s">
        <v>12</v>
      </c>
      <c r="I134" s="886"/>
      <c r="J134" s="886"/>
      <c r="K134" s="887"/>
      <c r="L134" s="887">
        <f t="shared" ca="1" si="72"/>
        <v>0</v>
      </c>
      <c r="M134" s="887">
        <f t="shared" ca="1" si="72"/>
        <v>0</v>
      </c>
      <c r="N134" s="887">
        <f t="shared" ca="1" si="72"/>
        <v>0</v>
      </c>
      <c r="O134" s="887">
        <f t="shared" ca="1" si="70"/>
        <v>0</v>
      </c>
      <c r="P134" s="887">
        <f t="shared" ca="1" si="71"/>
        <v>0</v>
      </c>
      <c r="Q134" s="875"/>
      <c r="R134" s="875"/>
      <c r="S134" s="875"/>
      <c r="T134" s="875"/>
      <c r="U134" s="875"/>
      <c r="V134" s="875"/>
      <c r="W134" s="875"/>
      <c r="X134" s="875"/>
      <c r="Y134" s="875"/>
      <c r="Z134" s="875"/>
    </row>
    <row r="135" spans="1:26" ht="18.75" hidden="1">
      <c r="A135" s="995"/>
      <c r="B135" s="877"/>
      <c r="C135" s="996"/>
      <c r="D135" s="878" t="s">
        <v>20</v>
      </c>
      <c r="E135" s="877"/>
      <c r="F135" s="877"/>
      <c r="G135" s="879"/>
      <c r="H135" s="161" t="s">
        <v>12</v>
      </c>
      <c r="I135" s="997"/>
      <c r="J135" s="997"/>
      <c r="K135" s="998"/>
      <c r="L135" s="881">
        <f t="shared" ref="L135:N135" ca="1" si="73">L136+L137</f>
        <v>0</v>
      </c>
      <c r="M135" s="881">
        <f t="shared" ca="1" si="73"/>
        <v>0</v>
      </c>
      <c r="N135" s="881">
        <f t="shared" ca="1" si="73"/>
        <v>0</v>
      </c>
      <c r="O135" s="881">
        <f t="shared" ca="1" si="70"/>
        <v>0</v>
      </c>
      <c r="P135" s="881">
        <f t="shared" ca="1" si="71"/>
        <v>0</v>
      </c>
      <c r="Q135" s="868"/>
      <c r="R135" s="868"/>
      <c r="S135" s="868"/>
      <c r="T135" s="868"/>
      <c r="U135" s="868"/>
      <c r="V135" s="868"/>
      <c r="W135" s="868"/>
      <c r="X135" s="868"/>
      <c r="Y135" s="868"/>
      <c r="Z135" s="868"/>
    </row>
    <row r="136" spans="1:26" ht="19.5" hidden="1">
      <c r="A136" s="993"/>
      <c r="B136" s="883"/>
      <c r="C136" s="999"/>
      <c r="D136" s="883"/>
      <c r="E136" s="884" t="s">
        <v>36</v>
      </c>
      <c r="F136" s="883"/>
      <c r="G136" s="994"/>
      <c r="H136" s="165" t="s">
        <v>12</v>
      </c>
      <c r="I136" s="1000"/>
      <c r="J136" s="1000"/>
      <c r="K136" s="1001"/>
      <c r="L136" s="887">
        <v>0</v>
      </c>
      <c r="M136" s="887">
        <v>0</v>
      </c>
      <c r="N136" s="887">
        <v>0</v>
      </c>
      <c r="O136" s="887">
        <f t="shared" si="70"/>
        <v>0</v>
      </c>
      <c r="P136" s="887">
        <f t="shared" si="71"/>
        <v>0</v>
      </c>
      <c r="Q136" s="875"/>
      <c r="R136" s="875"/>
      <c r="S136" s="875"/>
      <c r="T136" s="875"/>
      <c r="U136" s="875"/>
      <c r="V136" s="875"/>
      <c r="W136" s="875"/>
      <c r="X136" s="875"/>
      <c r="Y136" s="875"/>
      <c r="Z136" s="875"/>
    </row>
    <row r="137" spans="1:26" ht="19.5" hidden="1">
      <c r="A137" s="993"/>
      <c r="B137" s="883"/>
      <c r="C137" s="999"/>
      <c r="D137" s="883"/>
      <c r="E137" s="884" t="s">
        <v>37</v>
      </c>
      <c r="F137" s="883"/>
      <c r="G137" s="994"/>
      <c r="H137" s="165" t="s">
        <v>12</v>
      </c>
      <c r="I137" s="1000"/>
      <c r="J137" s="1000"/>
      <c r="K137" s="1001"/>
      <c r="L137" s="887">
        <f ca="1">IFERROR(__xludf.DUMMYFUNCTION("IMPORTRANGE(""https://docs.google.com/spreadsheets/d/1MeEWN-I1oV_STSDYn1IFDPWt_1FKiwhDph83XaGc0o0/edit?usp=sharing"",""งบพรบ!BK81"")"),0)</f>
        <v>0</v>
      </c>
      <c r="M137" s="887">
        <f ca="1">IFERROR(__xludf.DUMMYFUNCTION("IMPORTRANGE(""https://docs.google.com/spreadsheets/d/1MeEWN-I1oV_STSDYn1IFDPWt_1FKiwhDph83XaGc0o0/edit?usp=sharing"",""งบพรบ!BP81"")"),0)</f>
        <v>0</v>
      </c>
      <c r="N137" s="887">
        <f ca="1">IFERROR(__xludf.DUMMYFUNCTION("IMPORTRANGE(""https://docs.google.com/spreadsheets/d/1MeEWN-I1oV_STSDYn1IFDPWt_1FKiwhDph83XaGc0o0/edit?usp=sharing"",""งบพรบ!BR81"")"),0)</f>
        <v>0</v>
      </c>
      <c r="O137" s="887">
        <f t="shared" ca="1" si="70"/>
        <v>0</v>
      </c>
      <c r="P137" s="887">
        <f t="shared" ca="1" si="71"/>
        <v>0</v>
      </c>
      <c r="Q137" s="875"/>
      <c r="R137" s="875"/>
      <c r="S137" s="875"/>
      <c r="T137" s="875"/>
      <c r="U137" s="875"/>
      <c r="V137" s="875"/>
      <c r="W137" s="875"/>
      <c r="X137" s="875"/>
      <c r="Y137" s="875"/>
      <c r="Z137" s="875"/>
    </row>
    <row r="138" spans="1:26" ht="18.75" hidden="1">
      <c r="A138" s="995"/>
      <c r="B138" s="877"/>
      <c r="C138" s="996"/>
      <c r="D138" s="878" t="s">
        <v>21</v>
      </c>
      <c r="E138" s="877"/>
      <c r="F138" s="877"/>
      <c r="G138" s="879"/>
      <c r="H138" s="168" t="s">
        <v>12</v>
      </c>
      <c r="I138" s="997"/>
      <c r="J138" s="997"/>
      <c r="K138" s="998"/>
      <c r="L138" s="881">
        <f t="shared" ref="L138:N138" ca="1" si="74">L139+L140</f>
        <v>0</v>
      </c>
      <c r="M138" s="881">
        <f t="shared" ca="1" si="74"/>
        <v>0</v>
      </c>
      <c r="N138" s="881">
        <f t="shared" ca="1" si="74"/>
        <v>0</v>
      </c>
      <c r="O138" s="881">
        <f t="shared" ca="1" si="70"/>
        <v>0</v>
      </c>
      <c r="P138" s="881">
        <f t="shared" ca="1" si="71"/>
        <v>0</v>
      </c>
      <c r="Q138" s="868"/>
      <c r="R138" s="868"/>
      <c r="S138" s="868"/>
      <c r="T138" s="868"/>
      <c r="U138" s="868"/>
      <c r="V138" s="868"/>
      <c r="W138" s="868"/>
      <c r="X138" s="868"/>
      <c r="Y138" s="868"/>
      <c r="Z138" s="868"/>
    </row>
    <row r="139" spans="1:26" ht="19.5" hidden="1">
      <c r="A139" s="993"/>
      <c r="B139" s="883"/>
      <c r="C139" s="999"/>
      <c r="D139" s="883"/>
      <c r="E139" s="884" t="s">
        <v>18</v>
      </c>
      <c r="F139" s="883"/>
      <c r="G139" s="994"/>
      <c r="H139" s="165" t="s">
        <v>12</v>
      </c>
      <c r="I139" s="1000"/>
      <c r="J139" s="1000"/>
      <c r="K139" s="1001"/>
      <c r="L139" s="887">
        <v>0</v>
      </c>
      <c r="M139" s="887">
        <v>0</v>
      </c>
      <c r="N139" s="887">
        <v>0</v>
      </c>
      <c r="O139" s="887">
        <f t="shared" si="70"/>
        <v>0</v>
      </c>
      <c r="P139" s="887">
        <f t="shared" si="71"/>
        <v>0</v>
      </c>
      <c r="Q139" s="875"/>
      <c r="R139" s="875"/>
      <c r="S139" s="875"/>
      <c r="T139" s="875"/>
      <c r="U139" s="875"/>
      <c r="V139" s="875"/>
      <c r="W139" s="875"/>
      <c r="X139" s="875"/>
      <c r="Y139" s="875"/>
      <c r="Z139" s="875"/>
    </row>
    <row r="140" spans="1:26" ht="19.5" hidden="1">
      <c r="A140" s="993"/>
      <c r="B140" s="883"/>
      <c r="C140" s="999"/>
      <c r="D140" s="883"/>
      <c r="E140" s="884" t="s">
        <v>19</v>
      </c>
      <c r="F140" s="883"/>
      <c r="G140" s="994"/>
      <c r="H140" s="169" t="s">
        <v>12</v>
      </c>
      <c r="I140" s="1000"/>
      <c r="J140" s="1000"/>
      <c r="K140" s="1001"/>
      <c r="L140" s="887">
        <f ca="1">IFERROR(__xludf.DUMMYFUNCTION("IMPORTRANGE(""https://docs.google.com/spreadsheets/d/1MeEWN-I1oV_STSDYn1IFDPWt_1FKiwhDph83XaGc0o0/edit?usp=sharing"",""งบพรบ!BN81"")"),0)</f>
        <v>0</v>
      </c>
      <c r="M140" s="887">
        <f ca="1">IFERROR(__xludf.DUMMYFUNCTION("IMPORTRANGE(""https://docs.google.com/spreadsheets/d/1MeEWN-I1oV_STSDYn1IFDPWt_1FKiwhDph83XaGc0o0/edit?usp=sharing"",""งบพรบ!BQ81"")"),0)</f>
        <v>0</v>
      </c>
      <c r="N140" s="887">
        <f ca="1">IFERROR(__xludf.DUMMYFUNCTION("IMPORTRANGE(""https://docs.google.com/spreadsheets/d/1MeEWN-I1oV_STSDYn1IFDPWt_1FKiwhDph83XaGc0o0/edit?usp=sharing"",""งบพรบ!BS81"")"),0)</f>
        <v>0</v>
      </c>
      <c r="O140" s="887">
        <f t="shared" ca="1" si="70"/>
        <v>0</v>
      </c>
      <c r="P140" s="887">
        <f t="shared" ca="1" si="71"/>
        <v>0</v>
      </c>
      <c r="Q140" s="875"/>
      <c r="R140" s="875"/>
      <c r="S140" s="875"/>
      <c r="T140" s="875"/>
      <c r="U140" s="875"/>
      <c r="V140" s="875"/>
      <c r="W140" s="875"/>
      <c r="X140" s="875"/>
      <c r="Y140" s="875"/>
      <c r="Z140" s="875"/>
    </row>
    <row r="141" spans="1:26" ht="19.5" hidden="1">
      <c r="A141" s="1002"/>
      <c r="B141" s="1003"/>
      <c r="C141" s="987" t="s">
        <v>16</v>
      </c>
      <c r="D141" s="1004" t="s">
        <v>38</v>
      </c>
      <c r="E141" s="1005"/>
      <c r="F141" s="1005"/>
      <c r="G141" s="1006"/>
      <c r="H141" s="168"/>
      <c r="I141" s="880"/>
      <c r="J141" s="880"/>
      <c r="K141" s="881"/>
      <c r="L141" s="881"/>
      <c r="M141" s="881"/>
      <c r="N141" s="881"/>
      <c r="O141" s="881"/>
      <c r="P141" s="881"/>
    </row>
    <row r="142" spans="1:26" ht="19.5" hidden="1">
      <c r="A142" s="995"/>
      <c r="B142" s="877"/>
      <c r="C142" s="1029"/>
      <c r="D142" s="996" t="s">
        <v>71</v>
      </c>
      <c r="E142" s="878"/>
      <c r="F142" s="877"/>
      <c r="G142" s="1030"/>
      <c r="H142" s="168"/>
      <c r="I142" s="880"/>
      <c r="J142" s="1012">
        <v>0</v>
      </c>
      <c r="K142" s="881"/>
      <c r="L142" s="881"/>
      <c r="M142" s="881"/>
      <c r="N142" s="881"/>
      <c r="O142" s="881"/>
      <c r="P142" s="881"/>
    </row>
    <row r="143" spans="1:26" ht="19.5" hidden="1">
      <c r="A143" s="995"/>
      <c r="B143" s="877"/>
      <c r="C143" s="1029"/>
      <c r="D143" s="996" t="s">
        <v>72</v>
      </c>
      <c r="E143" s="878"/>
      <c r="F143" s="877"/>
      <c r="G143" s="1030"/>
      <c r="H143" s="168" t="s">
        <v>35</v>
      </c>
      <c r="I143" s="880">
        <f ca="1">I145</f>
        <v>0</v>
      </c>
      <c r="J143" s="880">
        <f ca="1">IF(AND(J144&gt;=I144,J145&gt;=I145),J145,0)</f>
        <v>0</v>
      </c>
      <c r="K143" s="881">
        <f t="shared" ref="K143:K146" ca="1" si="75">IF(I143&gt;0,J143*100/I143,0)</f>
        <v>0</v>
      </c>
      <c r="L143" s="881"/>
      <c r="M143" s="881"/>
      <c r="N143" s="881"/>
      <c r="O143" s="881"/>
      <c r="P143" s="881"/>
    </row>
    <row r="144" spans="1:26" ht="19.5" hidden="1">
      <c r="A144" s="995"/>
      <c r="B144" s="877"/>
      <c r="C144" s="1029"/>
      <c r="D144" s="1010"/>
      <c r="E144" s="996" t="s">
        <v>73</v>
      </c>
      <c r="F144" s="877"/>
      <c r="G144" s="1030"/>
      <c r="H144" s="168" t="s">
        <v>35</v>
      </c>
      <c r="I144" s="880">
        <f ca="1">IFERROR(__xludf.DUMMYFUNCTION("IMPORTRANGE(""https://docs.google.com/spreadsheets/d/1QqKyyYR6Q21VydFLVH3TRQUabQu_ym0Zz7PgGX0-kHA/edit?usp=sharing"",""แผน!U81"")"),0)</f>
        <v>0</v>
      </c>
      <c r="J144" s="1012">
        <v>0</v>
      </c>
      <c r="K144" s="881">
        <f t="shared" ca="1" si="75"/>
        <v>0</v>
      </c>
      <c r="L144" s="881"/>
      <c r="M144" s="881"/>
      <c r="N144" s="881"/>
      <c r="O144" s="881"/>
      <c r="P144" s="881"/>
    </row>
    <row r="145" spans="1:26" ht="19.5" hidden="1">
      <c r="A145" s="995"/>
      <c r="B145" s="877"/>
      <c r="C145" s="1029"/>
      <c r="D145" s="1010"/>
      <c r="E145" s="996" t="s">
        <v>74</v>
      </c>
      <c r="F145" s="877"/>
      <c r="G145" s="1030"/>
      <c r="H145" s="168" t="s">
        <v>35</v>
      </c>
      <c r="I145" s="880">
        <f ca="1">IFERROR(__xludf.DUMMYFUNCTION("IMPORTRANGE(""https://docs.google.com/spreadsheets/d/1QqKyyYR6Q21VydFLVH3TRQUabQu_ym0Zz7PgGX0-kHA/edit?usp=sharing"",""แผน!V81"")"),0)</f>
        <v>0</v>
      </c>
      <c r="J145" s="1012">
        <v>0</v>
      </c>
      <c r="K145" s="881">
        <f t="shared" ca="1" si="75"/>
        <v>0</v>
      </c>
      <c r="L145" s="881"/>
      <c r="M145" s="881"/>
      <c r="N145" s="881"/>
      <c r="O145" s="881"/>
      <c r="P145" s="881"/>
    </row>
    <row r="146" spans="1:26" ht="19.5" hidden="1">
      <c r="A146" s="995"/>
      <c r="B146" s="877"/>
      <c r="C146" s="1029"/>
      <c r="D146" s="996" t="s">
        <v>75</v>
      </c>
      <c r="E146" s="878"/>
      <c r="F146" s="877"/>
      <c r="G146" s="1030"/>
      <c r="H146" s="168" t="s">
        <v>66</v>
      </c>
      <c r="I146" s="880">
        <f ca="1">IFERROR(__xludf.DUMMYFUNCTION("IMPORTRANGE(""https://docs.google.com/spreadsheets/d/1QqKyyYR6Q21VydFLVH3TRQUabQu_ym0Zz7PgGX0-kHA/edit?usp=sharing"",""แผน!W81"")"),0)</f>
        <v>0</v>
      </c>
      <c r="J146" s="1012">
        <v>0</v>
      </c>
      <c r="K146" s="881">
        <f t="shared" ca="1" si="75"/>
        <v>0</v>
      </c>
      <c r="L146" s="881"/>
      <c r="M146" s="881"/>
      <c r="N146" s="881"/>
      <c r="O146" s="881"/>
      <c r="P146" s="881"/>
    </row>
    <row r="147" spans="1:26" ht="19.5" hidden="1">
      <c r="A147" s="970" t="s">
        <v>76</v>
      </c>
      <c r="B147" s="971"/>
      <c r="C147" s="1022"/>
      <c r="D147" s="971"/>
      <c r="E147" s="971"/>
      <c r="F147" s="971"/>
      <c r="G147" s="971"/>
      <c r="H147" s="1023"/>
      <c r="I147" s="1024"/>
      <c r="J147" s="1024"/>
      <c r="K147" s="1025"/>
      <c r="L147" s="976"/>
      <c r="M147" s="976"/>
      <c r="N147" s="976"/>
      <c r="O147" s="976"/>
      <c r="P147" s="976"/>
    </row>
    <row r="148" spans="1:26" ht="19.5" hidden="1">
      <c r="A148" s="1031"/>
      <c r="B148" s="978" t="s">
        <v>77</v>
      </c>
      <c r="C148" s="978"/>
      <c r="D148" s="978"/>
      <c r="E148" s="1032"/>
      <c r="F148" s="1033"/>
      <c r="G148" s="1034"/>
      <c r="H148" s="221" t="s">
        <v>35</v>
      </c>
      <c r="I148" s="982">
        <f t="shared" ref="I148:J148" ca="1" si="76">I159</f>
        <v>0</v>
      </c>
      <c r="J148" s="982">
        <f t="shared" si="76"/>
        <v>0</v>
      </c>
      <c r="K148" s="983">
        <f ca="1">IF(I148&gt;0,J148*100/I148,0)</f>
        <v>0</v>
      </c>
      <c r="L148" s="983"/>
      <c r="M148" s="983"/>
      <c r="N148" s="983"/>
      <c r="O148" s="983"/>
      <c r="P148" s="98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85"/>
      <c r="B149" s="986"/>
      <c r="C149" s="987" t="s">
        <v>16</v>
      </c>
      <c r="D149" s="988" t="s">
        <v>17</v>
      </c>
      <c r="E149" s="986"/>
      <c r="F149" s="986"/>
      <c r="G149" s="989"/>
      <c r="H149" s="152" t="s">
        <v>12</v>
      </c>
      <c r="I149" s="990"/>
      <c r="J149" s="990"/>
      <c r="K149" s="991"/>
      <c r="L149" s="992">
        <f t="shared" ref="L149:N149" ca="1" si="77">L150+L151</f>
        <v>0</v>
      </c>
      <c r="M149" s="992">
        <f t="shared" ca="1" si="77"/>
        <v>0</v>
      </c>
      <c r="N149" s="992">
        <f t="shared" ca="1" si="77"/>
        <v>0</v>
      </c>
      <c r="O149" s="992">
        <f t="shared" ref="O149:O157" ca="1" si="78">IF(L149&gt;0,N149*100/L149,0)</f>
        <v>0</v>
      </c>
      <c r="P149" s="992">
        <f t="shared" ref="P149:P157" ca="1" si="79">IF(M149&gt;0,N149*100/M149,0)</f>
        <v>0</v>
      </c>
      <c r="Q149" s="868"/>
      <c r="R149" s="868"/>
      <c r="S149" s="868"/>
      <c r="T149" s="868"/>
      <c r="U149" s="868"/>
      <c r="V149" s="868"/>
      <c r="W149" s="868"/>
      <c r="X149" s="868"/>
      <c r="Y149" s="868"/>
      <c r="Z149" s="868"/>
    </row>
    <row r="150" spans="1:26" ht="18.75" hidden="1">
      <c r="A150" s="993"/>
      <c r="B150" s="883"/>
      <c r="C150" s="883"/>
      <c r="D150" s="883"/>
      <c r="E150" s="884" t="s">
        <v>18</v>
      </c>
      <c r="F150" s="883"/>
      <c r="G150" s="994"/>
      <c r="H150" s="158" t="s">
        <v>12</v>
      </c>
      <c r="I150" s="886"/>
      <c r="J150" s="886"/>
      <c r="K150" s="887"/>
      <c r="L150" s="887">
        <f t="shared" ref="L150:N151" si="80">L153+L156</f>
        <v>0</v>
      </c>
      <c r="M150" s="887">
        <f t="shared" si="80"/>
        <v>0</v>
      </c>
      <c r="N150" s="887">
        <f t="shared" si="80"/>
        <v>0</v>
      </c>
      <c r="O150" s="887">
        <f t="shared" si="78"/>
        <v>0</v>
      </c>
      <c r="P150" s="887">
        <f t="shared" si="79"/>
        <v>0</v>
      </c>
      <c r="Q150" s="875"/>
      <c r="R150" s="875"/>
      <c r="S150" s="875"/>
      <c r="T150" s="875"/>
      <c r="U150" s="875"/>
      <c r="V150" s="875"/>
      <c r="W150" s="875"/>
      <c r="X150" s="875"/>
      <c r="Y150" s="875"/>
      <c r="Z150" s="875"/>
    </row>
    <row r="151" spans="1:26" ht="18.75" hidden="1">
      <c r="A151" s="993"/>
      <c r="B151" s="883"/>
      <c r="C151" s="883"/>
      <c r="D151" s="883"/>
      <c r="E151" s="884" t="s">
        <v>19</v>
      </c>
      <c r="F151" s="883"/>
      <c r="G151" s="994"/>
      <c r="H151" s="158" t="s">
        <v>12</v>
      </c>
      <c r="I151" s="886"/>
      <c r="J151" s="886"/>
      <c r="K151" s="887"/>
      <c r="L151" s="887">
        <f t="shared" ca="1" si="80"/>
        <v>0</v>
      </c>
      <c r="M151" s="887">
        <f t="shared" ca="1" si="80"/>
        <v>0</v>
      </c>
      <c r="N151" s="887">
        <f t="shared" ca="1" si="80"/>
        <v>0</v>
      </c>
      <c r="O151" s="887">
        <f t="shared" ca="1" si="78"/>
        <v>0</v>
      </c>
      <c r="P151" s="887">
        <f t="shared" ca="1" si="79"/>
        <v>0</v>
      </c>
      <c r="Q151" s="875"/>
      <c r="R151" s="875"/>
      <c r="S151" s="875"/>
      <c r="T151" s="875"/>
      <c r="U151" s="875"/>
      <c r="V151" s="875"/>
      <c r="W151" s="875"/>
      <c r="X151" s="875"/>
      <c r="Y151" s="875"/>
      <c r="Z151" s="875"/>
    </row>
    <row r="152" spans="1:26" ht="18.75" hidden="1">
      <c r="A152" s="995"/>
      <c r="B152" s="877"/>
      <c r="C152" s="996"/>
      <c r="D152" s="878" t="s">
        <v>20</v>
      </c>
      <c r="E152" s="877"/>
      <c r="F152" s="877"/>
      <c r="G152" s="879"/>
      <c r="H152" s="161" t="s">
        <v>12</v>
      </c>
      <c r="I152" s="997"/>
      <c r="J152" s="997"/>
      <c r="K152" s="998"/>
      <c r="L152" s="881">
        <f t="shared" ref="L152:N152" ca="1" si="81">L153+L154</f>
        <v>0</v>
      </c>
      <c r="M152" s="881">
        <f t="shared" ca="1" si="81"/>
        <v>0</v>
      </c>
      <c r="N152" s="881">
        <f t="shared" ca="1" si="81"/>
        <v>0</v>
      </c>
      <c r="O152" s="881">
        <f t="shared" ca="1" si="78"/>
        <v>0</v>
      </c>
      <c r="P152" s="881">
        <f t="shared" ca="1" si="79"/>
        <v>0</v>
      </c>
      <c r="Q152" s="868"/>
      <c r="R152" s="868"/>
      <c r="S152" s="868"/>
      <c r="T152" s="868"/>
      <c r="U152" s="868"/>
      <c r="V152" s="868"/>
      <c r="W152" s="868"/>
      <c r="X152" s="868"/>
      <c r="Y152" s="868"/>
      <c r="Z152" s="868"/>
    </row>
    <row r="153" spans="1:26" ht="19.5" hidden="1">
      <c r="A153" s="993"/>
      <c r="B153" s="883"/>
      <c r="C153" s="999"/>
      <c r="D153" s="883"/>
      <c r="E153" s="884" t="s">
        <v>36</v>
      </c>
      <c r="F153" s="883"/>
      <c r="G153" s="994"/>
      <c r="H153" s="165" t="s">
        <v>12</v>
      </c>
      <c r="I153" s="1000"/>
      <c r="J153" s="1000"/>
      <c r="K153" s="1001"/>
      <c r="L153" s="887">
        <v>0</v>
      </c>
      <c r="M153" s="887">
        <v>0</v>
      </c>
      <c r="N153" s="887">
        <v>0</v>
      </c>
      <c r="O153" s="887">
        <f t="shared" si="78"/>
        <v>0</v>
      </c>
      <c r="P153" s="887">
        <f t="shared" si="79"/>
        <v>0</v>
      </c>
      <c r="Q153" s="875"/>
      <c r="R153" s="875"/>
      <c r="S153" s="875"/>
      <c r="T153" s="875"/>
      <c r="U153" s="875"/>
      <c r="V153" s="875"/>
      <c r="W153" s="875"/>
      <c r="X153" s="875"/>
      <c r="Y153" s="875"/>
      <c r="Z153" s="875"/>
    </row>
    <row r="154" spans="1:26" ht="19.5" hidden="1">
      <c r="A154" s="993"/>
      <c r="B154" s="883"/>
      <c r="C154" s="999"/>
      <c r="D154" s="883"/>
      <c r="E154" s="884" t="s">
        <v>37</v>
      </c>
      <c r="F154" s="883"/>
      <c r="G154" s="994"/>
      <c r="H154" s="165" t="s">
        <v>12</v>
      </c>
      <c r="I154" s="1000"/>
      <c r="J154" s="1000"/>
      <c r="K154" s="1001"/>
      <c r="L154" s="887">
        <f ca="1">IFERROR(__xludf.DUMMYFUNCTION("IMPORTRANGE(""https://docs.google.com/spreadsheets/d/1MeEWN-I1oV_STSDYn1IFDPWt_1FKiwhDph83XaGc0o0/edit?usp=sharing"",""งบพรบ!BU81"")"),0)</f>
        <v>0</v>
      </c>
      <c r="M154" s="887">
        <f ca="1">IFERROR(__xludf.DUMMYFUNCTION("IMPORTRANGE(""https://docs.google.com/spreadsheets/d/1MeEWN-I1oV_STSDYn1IFDPWt_1FKiwhDph83XaGc0o0/edit?usp=sharing"",""งบพรบ!BZ81"")"),0)</f>
        <v>0</v>
      </c>
      <c r="N154" s="887">
        <f ca="1">IFERROR(__xludf.DUMMYFUNCTION("IMPORTRANGE(""https://docs.google.com/spreadsheets/d/1MeEWN-I1oV_STSDYn1IFDPWt_1FKiwhDph83XaGc0o0/edit?usp=sharing"",""งบพรบ!CB81"")"),0)</f>
        <v>0</v>
      </c>
      <c r="O154" s="887">
        <f t="shared" ca="1" si="78"/>
        <v>0</v>
      </c>
      <c r="P154" s="887">
        <f t="shared" ca="1" si="79"/>
        <v>0</v>
      </c>
      <c r="Q154" s="875"/>
      <c r="R154" s="875"/>
      <c r="S154" s="875"/>
      <c r="T154" s="875"/>
      <c r="U154" s="875"/>
      <c r="V154" s="875"/>
      <c r="W154" s="875"/>
      <c r="X154" s="875"/>
      <c r="Y154" s="875"/>
      <c r="Z154" s="875"/>
    </row>
    <row r="155" spans="1:26" ht="18.75" hidden="1">
      <c r="A155" s="995"/>
      <c r="B155" s="877"/>
      <c r="C155" s="996"/>
      <c r="D155" s="878" t="s">
        <v>21</v>
      </c>
      <c r="E155" s="877"/>
      <c r="F155" s="877"/>
      <c r="G155" s="879"/>
      <c r="H155" s="168" t="s">
        <v>12</v>
      </c>
      <c r="I155" s="997"/>
      <c r="J155" s="997"/>
      <c r="K155" s="998"/>
      <c r="L155" s="881">
        <f t="shared" ref="L155:N155" ca="1" si="82">L156+L157</f>
        <v>0</v>
      </c>
      <c r="M155" s="881">
        <f t="shared" ca="1" si="82"/>
        <v>0</v>
      </c>
      <c r="N155" s="881">
        <f t="shared" ca="1" si="82"/>
        <v>0</v>
      </c>
      <c r="O155" s="881">
        <f t="shared" ca="1" si="78"/>
        <v>0</v>
      </c>
      <c r="P155" s="881">
        <f t="shared" ca="1" si="79"/>
        <v>0</v>
      </c>
      <c r="Q155" s="868"/>
      <c r="R155" s="868"/>
      <c r="S155" s="868"/>
      <c r="T155" s="868"/>
      <c r="U155" s="868"/>
      <c r="V155" s="868"/>
      <c r="W155" s="868"/>
      <c r="X155" s="868"/>
      <c r="Y155" s="868"/>
      <c r="Z155" s="868"/>
    </row>
    <row r="156" spans="1:26" ht="19.5" hidden="1">
      <c r="A156" s="993"/>
      <c r="B156" s="883"/>
      <c r="C156" s="999"/>
      <c r="D156" s="883"/>
      <c r="E156" s="884" t="s">
        <v>18</v>
      </c>
      <c r="F156" s="883"/>
      <c r="G156" s="994"/>
      <c r="H156" s="165" t="s">
        <v>12</v>
      </c>
      <c r="I156" s="1000"/>
      <c r="J156" s="1000"/>
      <c r="K156" s="1001"/>
      <c r="L156" s="887">
        <v>0</v>
      </c>
      <c r="M156" s="887">
        <v>0</v>
      </c>
      <c r="N156" s="887">
        <v>0</v>
      </c>
      <c r="O156" s="887">
        <f t="shared" si="78"/>
        <v>0</v>
      </c>
      <c r="P156" s="887">
        <f t="shared" si="79"/>
        <v>0</v>
      </c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</row>
    <row r="157" spans="1:26" ht="19.5" hidden="1">
      <c r="A157" s="993"/>
      <c r="B157" s="883"/>
      <c r="C157" s="999"/>
      <c r="D157" s="883"/>
      <c r="E157" s="884" t="s">
        <v>19</v>
      </c>
      <c r="F157" s="883"/>
      <c r="G157" s="994"/>
      <c r="H157" s="169" t="s">
        <v>12</v>
      </c>
      <c r="I157" s="1000"/>
      <c r="J157" s="1000"/>
      <c r="K157" s="1001"/>
      <c r="L157" s="887">
        <f ca="1">IFERROR(__xludf.DUMMYFUNCTION("IMPORTRANGE(""https://docs.google.com/spreadsheets/d/1MeEWN-I1oV_STSDYn1IFDPWt_1FKiwhDph83XaGc0o0/edit?usp=sharing"",""งบพรบ!BX81"")"),0)</f>
        <v>0</v>
      </c>
      <c r="M157" s="887">
        <f ca="1">IFERROR(__xludf.DUMMYFUNCTION("IMPORTRANGE(""https://docs.google.com/spreadsheets/d/1MeEWN-I1oV_STSDYn1IFDPWt_1FKiwhDph83XaGc0o0/edit?usp=sharing"",""งบพรบ!CA81"")"),0)</f>
        <v>0</v>
      </c>
      <c r="N157" s="887">
        <f ca="1">IFERROR(__xludf.DUMMYFUNCTION("IMPORTRANGE(""https://docs.google.com/spreadsheets/d/1MeEWN-I1oV_STSDYn1IFDPWt_1FKiwhDph83XaGc0o0/edit?usp=sharing"",""งบพรบ!CC81"")"),0)</f>
        <v>0</v>
      </c>
      <c r="O157" s="887">
        <f t="shared" ca="1" si="78"/>
        <v>0</v>
      </c>
      <c r="P157" s="887">
        <f t="shared" ca="1" si="79"/>
        <v>0</v>
      </c>
      <c r="Q157" s="875"/>
      <c r="R157" s="875"/>
      <c r="S157" s="875"/>
      <c r="T157" s="875"/>
      <c r="U157" s="875"/>
      <c r="V157" s="875"/>
      <c r="W157" s="875"/>
      <c r="X157" s="875"/>
      <c r="Y157" s="875"/>
      <c r="Z157" s="875"/>
    </row>
    <row r="158" spans="1:26" ht="19.5" hidden="1">
      <c r="A158" s="1002"/>
      <c r="B158" s="1003"/>
      <c r="C158" s="999" t="s">
        <v>16</v>
      </c>
      <c r="D158" s="1004" t="s">
        <v>38</v>
      </c>
      <c r="E158" s="1005"/>
      <c r="F158" s="1005"/>
      <c r="G158" s="1006"/>
      <c r="H158" s="168"/>
      <c r="I158" s="880"/>
      <c r="J158" s="880"/>
      <c r="K158" s="881"/>
      <c r="L158" s="881"/>
      <c r="M158" s="881"/>
      <c r="N158" s="881"/>
      <c r="O158" s="881"/>
      <c r="P158" s="881"/>
    </row>
    <row r="159" spans="1:26" ht="19.5" hidden="1">
      <c r="A159" s="995"/>
      <c r="B159" s="877"/>
      <c r="C159" s="1029"/>
      <c r="D159" s="996" t="s">
        <v>78</v>
      </c>
      <c r="E159" s="878"/>
      <c r="F159" s="877"/>
      <c r="G159" s="1030"/>
      <c r="H159" s="168" t="s">
        <v>35</v>
      </c>
      <c r="I159" s="880">
        <f ca="1">IFERROR(__xludf.DUMMYFUNCTION("IMPORTRANGE(""https://docs.google.com/spreadsheets/d/1QqKyyYR6Q21VydFLVH3TRQUabQu_ym0Zz7PgGX0-kHA/edit?usp=sharing"",""แผน!X81"")"),0)</f>
        <v>0</v>
      </c>
      <c r="J159" s="1012">
        <v>0</v>
      </c>
      <c r="K159" s="881">
        <f ca="1">IF(I159&gt;0,J159*100/I159,0)</f>
        <v>0</v>
      </c>
      <c r="L159" s="881"/>
      <c r="M159" s="881"/>
      <c r="N159" s="881"/>
      <c r="O159" s="881"/>
      <c r="P159" s="881"/>
    </row>
    <row r="160" spans="1:26" ht="19.5" hidden="1">
      <c r="A160" s="993"/>
      <c r="B160" s="883"/>
      <c r="C160" s="999"/>
      <c r="D160" s="884" t="s">
        <v>79</v>
      </c>
      <c r="E160" s="1035"/>
      <c r="F160" s="883"/>
      <c r="G160" s="994"/>
      <c r="H160" s="169" t="s">
        <v>35</v>
      </c>
      <c r="I160" s="886"/>
      <c r="J160" s="886"/>
      <c r="K160" s="887"/>
      <c r="L160" s="887"/>
      <c r="M160" s="887"/>
      <c r="N160" s="887"/>
      <c r="O160" s="887"/>
      <c r="P160" s="88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232" t="s">
        <v>35</v>
      </c>
      <c r="I161" s="1042"/>
      <c r="J161" s="1042"/>
      <c r="K161" s="1043"/>
      <c r="L161" s="1043"/>
      <c r="M161" s="1043"/>
      <c r="N161" s="1043"/>
      <c r="O161" s="1043"/>
      <c r="P161" s="104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44" t="s">
        <v>81</v>
      </c>
      <c r="B162" s="1045"/>
      <c r="C162" s="1045"/>
      <c r="D162" s="1045"/>
      <c r="E162" s="1046"/>
      <c r="F162" s="1046"/>
      <c r="G162" s="1047"/>
      <c r="H162" s="1048"/>
      <c r="I162" s="1049"/>
      <c r="J162" s="1049"/>
      <c r="K162" s="1050"/>
      <c r="L162" s="1050"/>
      <c r="M162" s="1050"/>
      <c r="N162" s="1050"/>
      <c r="O162" s="1050"/>
      <c r="P162" s="1050"/>
    </row>
    <row r="163" spans="1:26" ht="19.5">
      <c r="A163" s="1051" t="s">
        <v>82</v>
      </c>
      <c r="B163" s="1052"/>
      <c r="C163" s="1052"/>
      <c r="D163" s="1053"/>
      <c r="E163" s="1053"/>
      <c r="F163" s="1053"/>
      <c r="G163" s="1054"/>
      <c r="H163" s="1055"/>
      <c r="I163" s="1056"/>
      <c r="J163" s="1056"/>
      <c r="K163" s="1057"/>
      <c r="L163" s="1057"/>
      <c r="M163" s="1057"/>
      <c r="N163" s="1057"/>
      <c r="O163" s="1057"/>
      <c r="P163" s="1057"/>
    </row>
    <row r="164" spans="1:26" ht="19.5">
      <c r="A164" s="1058"/>
      <c r="B164" s="1059" t="s">
        <v>83</v>
      </c>
      <c r="C164" s="1060"/>
      <c r="D164" s="1005"/>
      <c r="E164" s="1005"/>
      <c r="F164" s="1005"/>
      <c r="G164" s="1006"/>
      <c r="H164" s="252" t="s">
        <v>35</v>
      </c>
      <c r="I164" s="1075">
        <f t="shared" ref="I164:J164" ca="1" si="83">I174+I177</f>
        <v>13</v>
      </c>
      <c r="J164" s="1075">
        <f t="shared" si="83"/>
        <v>13</v>
      </c>
      <c r="K164" s="1076">
        <f ca="1">IF(I164&gt;0,J164*100/I164,0)</f>
        <v>100</v>
      </c>
      <c r="L164" s="1062"/>
      <c r="M164" s="1062"/>
      <c r="N164" s="1062"/>
      <c r="O164" s="1062"/>
      <c r="P164" s="1062"/>
    </row>
    <row r="165" spans="1:26" ht="19.5">
      <c r="A165" s="985"/>
      <c r="B165" s="986"/>
      <c r="C165" s="987" t="s">
        <v>16</v>
      </c>
      <c r="D165" s="988" t="s">
        <v>17</v>
      </c>
      <c r="E165" s="986"/>
      <c r="F165" s="986"/>
      <c r="G165" s="989"/>
      <c r="H165" s="152" t="s">
        <v>12</v>
      </c>
      <c r="I165" s="990"/>
      <c r="J165" s="990"/>
      <c r="K165" s="991"/>
      <c r="L165" s="992">
        <f t="shared" ref="L165:N165" ca="1" si="84">L166+L167</f>
        <v>24065</v>
      </c>
      <c r="M165" s="992">
        <f t="shared" ca="1" si="84"/>
        <v>41055</v>
      </c>
      <c r="N165" s="992">
        <f t="shared" ca="1" si="84"/>
        <v>39810</v>
      </c>
      <c r="O165" s="992">
        <f t="shared" ref="O165:O173" ca="1" si="85">IF(L165&gt;0,N165*100/L165,0)</f>
        <v>165.42696862663618</v>
      </c>
      <c r="P165" s="992">
        <f t="shared" ref="P165:P173" ca="1" si="86">IF(M165&gt;0,N165*100/M165,0)</f>
        <v>96.96748264523201</v>
      </c>
      <c r="Q165" s="868"/>
      <c r="R165" s="868"/>
      <c r="S165" s="868"/>
      <c r="T165" s="868"/>
      <c r="U165" s="868"/>
      <c r="V165" s="868"/>
      <c r="W165" s="868"/>
      <c r="X165" s="868"/>
      <c r="Y165" s="868"/>
      <c r="Z165" s="868"/>
    </row>
    <row r="166" spans="1:26" ht="18.75" hidden="1">
      <c r="A166" s="993"/>
      <c r="B166" s="883"/>
      <c r="C166" s="883"/>
      <c r="D166" s="883"/>
      <c r="E166" s="884" t="s">
        <v>18</v>
      </c>
      <c r="F166" s="883"/>
      <c r="G166" s="994"/>
      <c r="H166" s="158" t="s">
        <v>12</v>
      </c>
      <c r="I166" s="886"/>
      <c r="J166" s="886"/>
      <c r="K166" s="887"/>
      <c r="L166" s="887">
        <f t="shared" ref="L166:N167" si="87">L169+L172</f>
        <v>0</v>
      </c>
      <c r="M166" s="887">
        <f t="shared" si="87"/>
        <v>0</v>
      </c>
      <c r="N166" s="887">
        <f t="shared" si="87"/>
        <v>0</v>
      </c>
      <c r="O166" s="887">
        <f t="shared" si="85"/>
        <v>0</v>
      </c>
      <c r="P166" s="887">
        <f t="shared" si="86"/>
        <v>0</v>
      </c>
      <c r="Q166" s="875"/>
      <c r="R166" s="875"/>
      <c r="S166" s="875"/>
      <c r="T166" s="875"/>
      <c r="U166" s="875"/>
      <c r="V166" s="875"/>
      <c r="W166" s="875"/>
      <c r="X166" s="875"/>
      <c r="Y166" s="875"/>
      <c r="Z166" s="875"/>
    </row>
    <row r="167" spans="1:26" ht="18.75" hidden="1">
      <c r="A167" s="993"/>
      <c r="B167" s="883"/>
      <c r="C167" s="883"/>
      <c r="D167" s="883"/>
      <c r="E167" s="884" t="s">
        <v>19</v>
      </c>
      <c r="F167" s="883"/>
      <c r="G167" s="994"/>
      <c r="H167" s="158" t="s">
        <v>12</v>
      </c>
      <c r="I167" s="886"/>
      <c r="J167" s="886"/>
      <c r="K167" s="887"/>
      <c r="L167" s="887">
        <f t="shared" ca="1" si="87"/>
        <v>24065</v>
      </c>
      <c r="M167" s="887">
        <f t="shared" ca="1" si="87"/>
        <v>41055</v>
      </c>
      <c r="N167" s="887">
        <f t="shared" ca="1" si="87"/>
        <v>39810</v>
      </c>
      <c r="O167" s="887">
        <f t="shared" ca="1" si="85"/>
        <v>165.42696862663618</v>
      </c>
      <c r="P167" s="887">
        <f t="shared" ca="1" si="86"/>
        <v>96.96748264523201</v>
      </c>
      <c r="Q167" s="875"/>
      <c r="R167" s="875"/>
      <c r="S167" s="875"/>
      <c r="T167" s="875"/>
      <c r="U167" s="875"/>
      <c r="V167" s="875"/>
      <c r="W167" s="875"/>
      <c r="X167" s="875"/>
      <c r="Y167" s="875"/>
      <c r="Z167" s="875"/>
    </row>
    <row r="168" spans="1:26" ht="18.75">
      <c r="A168" s="995"/>
      <c r="B168" s="877"/>
      <c r="C168" s="996"/>
      <c r="D168" s="878" t="s">
        <v>20</v>
      </c>
      <c r="E168" s="877"/>
      <c r="F168" s="877"/>
      <c r="G168" s="879"/>
      <c r="H168" s="161" t="s">
        <v>12</v>
      </c>
      <c r="I168" s="997"/>
      <c r="J168" s="997"/>
      <c r="K168" s="998"/>
      <c r="L168" s="881">
        <f t="shared" ref="L168:N168" ca="1" si="88">L169+L170</f>
        <v>24065</v>
      </c>
      <c r="M168" s="881">
        <f t="shared" ca="1" si="88"/>
        <v>41055</v>
      </c>
      <c r="N168" s="881">
        <f t="shared" ca="1" si="88"/>
        <v>39810</v>
      </c>
      <c r="O168" s="881">
        <f t="shared" ca="1" si="85"/>
        <v>165.42696862663618</v>
      </c>
      <c r="P168" s="881">
        <f t="shared" ca="1" si="86"/>
        <v>96.96748264523201</v>
      </c>
      <c r="Q168" s="868"/>
      <c r="R168" s="868"/>
      <c r="S168" s="868"/>
      <c r="T168" s="868"/>
      <c r="U168" s="868"/>
      <c r="V168" s="868"/>
      <c r="W168" s="868"/>
      <c r="X168" s="868"/>
      <c r="Y168" s="868"/>
      <c r="Z168" s="868"/>
    </row>
    <row r="169" spans="1:26" ht="19.5" hidden="1">
      <c r="A169" s="993"/>
      <c r="B169" s="883"/>
      <c r="C169" s="999"/>
      <c r="D169" s="883"/>
      <c r="E169" s="884" t="s">
        <v>36</v>
      </c>
      <c r="F169" s="883"/>
      <c r="G169" s="994"/>
      <c r="H169" s="165" t="s">
        <v>12</v>
      </c>
      <c r="I169" s="1000"/>
      <c r="J169" s="1000"/>
      <c r="K169" s="1001"/>
      <c r="L169" s="887">
        <v>0</v>
      </c>
      <c r="M169" s="887">
        <v>0</v>
      </c>
      <c r="N169" s="887">
        <v>0</v>
      </c>
      <c r="O169" s="887">
        <f t="shared" si="85"/>
        <v>0</v>
      </c>
      <c r="P169" s="887">
        <f t="shared" si="86"/>
        <v>0</v>
      </c>
      <c r="Q169" s="875"/>
      <c r="R169" s="875"/>
      <c r="S169" s="875"/>
      <c r="T169" s="875"/>
      <c r="U169" s="875"/>
      <c r="V169" s="875"/>
      <c r="W169" s="875"/>
      <c r="X169" s="875"/>
      <c r="Y169" s="875"/>
      <c r="Z169" s="875"/>
    </row>
    <row r="170" spans="1:26" ht="19.5" hidden="1">
      <c r="A170" s="993"/>
      <c r="B170" s="883"/>
      <c r="C170" s="999"/>
      <c r="D170" s="883"/>
      <c r="E170" s="884" t="s">
        <v>37</v>
      </c>
      <c r="F170" s="883"/>
      <c r="G170" s="994"/>
      <c r="H170" s="165" t="s">
        <v>12</v>
      </c>
      <c r="I170" s="1000"/>
      <c r="J170" s="1000"/>
      <c r="K170" s="1001"/>
      <c r="L170" s="887">
        <f ca="1">IFERROR(__xludf.DUMMYFUNCTION("IMPORTRANGE(""https://docs.google.com/spreadsheets/d/1MeEWN-I1oV_STSDYn1IFDPWt_1FKiwhDph83XaGc0o0/edit?usp=sharing"",""งบพรบ!CE81"")"),24065)</f>
        <v>24065</v>
      </c>
      <c r="M170" s="887">
        <f ca="1">IFERROR(__xludf.DUMMYFUNCTION("IMPORTRANGE(""https://docs.google.com/spreadsheets/d/1MeEWN-I1oV_STSDYn1IFDPWt_1FKiwhDph83XaGc0o0/edit?usp=sharing"",""งบพรบ!CJ81"")"),41055)</f>
        <v>41055</v>
      </c>
      <c r="N170" s="887">
        <f ca="1">IFERROR(__xludf.DUMMYFUNCTION("IMPORTRANGE(""https://docs.google.com/spreadsheets/d/1MeEWN-I1oV_STSDYn1IFDPWt_1FKiwhDph83XaGc0o0/edit?usp=sharing"",""งบพรบ!CL81"")"),39810)</f>
        <v>39810</v>
      </c>
      <c r="O170" s="887">
        <f t="shared" ca="1" si="85"/>
        <v>165.42696862663618</v>
      </c>
      <c r="P170" s="887">
        <f t="shared" ca="1" si="86"/>
        <v>96.96748264523201</v>
      </c>
      <c r="Q170" s="875"/>
      <c r="R170" s="875"/>
      <c r="S170" s="875"/>
      <c r="T170" s="875"/>
      <c r="U170" s="875"/>
      <c r="V170" s="875"/>
      <c r="W170" s="875"/>
      <c r="X170" s="875"/>
      <c r="Y170" s="875"/>
      <c r="Z170" s="875"/>
    </row>
    <row r="171" spans="1:26" ht="18.75">
      <c r="A171" s="995"/>
      <c r="B171" s="877"/>
      <c r="C171" s="996"/>
      <c r="D171" s="878" t="s">
        <v>21</v>
      </c>
      <c r="E171" s="877"/>
      <c r="F171" s="877"/>
      <c r="G171" s="879"/>
      <c r="H171" s="168" t="s">
        <v>12</v>
      </c>
      <c r="I171" s="997"/>
      <c r="J171" s="997"/>
      <c r="K171" s="998"/>
      <c r="L171" s="881">
        <f t="shared" ref="L171:N171" ca="1" si="89">L172+L173</f>
        <v>0</v>
      </c>
      <c r="M171" s="881">
        <f t="shared" ca="1" si="89"/>
        <v>0</v>
      </c>
      <c r="N171" s="881">
        <f t="shared" ca="1" si="89"/>
        <v>0</v>
      </c>
      <c r="O171" s="881">
        <f t="shared" ca="1" si="85"/>
        <v>0</v>
      </c>
      <c r="P171" s="881">
        <f t="shared" ca="1" si="86"/>
        <v>0</v>
      </c>
      <c r="Q171" s="868"/>
      <c r="R171" s="868"/>
      <c r="S171" s="868"/>
      <c r="T171" s="868"/>
      <c r="U171" s="868"/>
      <c r="V171" s="868"/>
      <c r="W171" s="868"/>
      <c r="X171" s="868"/>
      <c r="Y171" s="868"/>
      <c r="Z171" s="868"/>
    </row>
    <row r="172" spans="1:26" ht="19.5" hidden="1">
      <c r="A172" s="993"/>
      <c r="B172" s="883"/>
      <c r="C172" s="999"/>
      <c r="D172" s="883"/>
      <c r="E172" s="884" t="s">
        <v>18</v>
      </c>
      <c r="F172" s="883"/>
      <c r="G172" s="994"/>
      <c r="H172" s="165" t="s">
        <v>12</v>
      </c>
      <c r="I172" s="1000"/>
      <c r="J172" s="1000"/>
      <c r="K172" s="1001"/>
      <c r="L172" s="887">
        <v>0</v>
      </c>
      <c r="M172" s="887">
        <v>0</v>
      </c>
      <c r="N172" s="887">
        <v>0</v>
      </c>
      <c r="O172" s="887">
        <f t="shared" si="85"/>
        <v>0</v>
      </c>
      <c r="P172" s="887">
        <f t="shared" si="86"/>
        <v>0</v>
      </c>
      <c r="Q172" s="875"/>
      <c r="R172" s="875"/>
      <c r="S172" s="875"/>
      <c r="T172" s="875"/>
      <c r="U172" s="875"/>
      <c r="V172" s="875"/>
      <c r="W172" s="875"/>
      <c r="X172" s="875"/>
      <c r="Y172" s="875"/>
      <c r="Z172" s="875"/>
    </row>
    <row r="173" spans="1:26" ht="19.5" hidden="1">
      <c r="A173" s="993"/>
      <c r="B173" s="883"/>
      <c r="C173" s="999"/>
      <c r="D173" s="883"/>
      <c r="E173" s="884" t="s">
        <v>19</v>
      </c>
      <c r="F173" s="883"/>
      <c r="G173" s="994"/>
      <c r="H173" s="169" t="s">
        <v>12</v>
      </c>
      <c r="I173" s="1000"/>
      <c r="J173" s="1000"/>
      <c r="K173" s="1001"/>
      <c r="L173" s="887">
        <f ca="1">IFERROR(__xludf.DUMMYFUNCTION("IMPORTRANGE(""https://docs.google.com/spreadsheets/d/1MeEWN-I1oV_STSDYn1IFDPWt_1FKiwhDph83XaGc0o0/edit?usp=sharing"",""งบพรบ!CH81"")"),0)</f>
        <v>0</v>
      </c>
      <c r="M173" s="887">
        <f ca="1">IFERROR(__xludf.DUMMYFUNCTION("IMPORTRANGE(""https://docs.google.com/spreadsheets/d/1MeEWN-I1oV_STSDYn1IFDPWt_1FKiwhDph83XaGc0o0/edit?usp=sharing"",""งบพรบ!CK81"")"),0)</f>
        <v>0</v>
      </c>
      <c r="N173" s="887">
        <f ca="1">IFERROR(__xludf.DUMMYFUNCTION("IMPORTRANGE(""https://docs.google.com/spreadsheets/d/1MeEWN-I1oV_STSDYn1IFDPWt_1FKiwhDph83XaGc0o0/edit?usp=sharing"",""งบพรบ!CM81"")"),0)</f>
        <v>0</v>
      </c>
      <c r="O173" s="887">
        <f t="shared" ca="1" si="85"/>
        <v>0</v>
      </c>
      <c r="P173" s="887">
        <f t="shared" ca="1" si="86"/>
        <v>0</v>
      </c>
      <c r="Q173" s="875"/>
      <c r="R173" s="875"/>
      <c r="S173" s="875"/>
      <c r="T173" s="875"/>
      <c r="U173" s="875"/>
      <c r="V173" s="875"/>
      <c r="W173" s="875"/>
      <c r="X173" s="875"/>
      <c r="Y173" s="875"/>
      <c r="Z173" s="875"/>
    </row>
    <row r="174" spans="1:26" ht="19.5">
      <c r="A174" s="1063"/>
      <c r="B174" s="1064"/>
      <c r="C174" s="1065" t="s">
        <v>84</v>
      </c>
      <c r="D174" s="1064"/>
      <c r="E174" s="1064"/>
      <c r="F174" s="1064"/>
      <c r="G174" s="1066"/>
      <c r="H174" s="260" t="s">
        <v>35</v>
      </c>
      <c r="I174" s="1067">
        <f t="shared" ref="I174:J174" ca="1" si="90">I176</f>
        <v>13</v>
      </c>
      <c r="J174" s="1067">
        <f t="shared" si="90"/>
        <v>13</v>
      </c>
      <c r="K174" s="1068">
        <f ca="1">IF(I174&gt;0,J174*100/I174,0)</f>
        <v>100</v>
      </c>
      <c r="L174" s="1068"/>
      <c r="M174" s="1068"/>
      <c r="N174" s="1068"/>
      <c r="O174" s="1068"/>
      <c r="P174" s="1068"/>
    </row>
    <row r="175" spans="1:26" ht="19.5">
      <c r="A175" s="1002"/>
      <c r="B175" s="1003"/>
      <c r="C175" s="999" t="s">
        <v>16</v>
      </c>
      <c r="D175" s="1004" t="s">
        <v>38</v>
      </c>
      <c r="E175" s="1005"/>
      <c r="F175" s="1005"/>
      <c r="G175" s="1006"/>
      <c r="H175" s="1007"/>
      <c r="I175" s="997"/>
      <c r="J175" s="997"/>
      <c r="K175" s="998"/>
      <c r="L175" s="998"/>
      <c r="M175" s="998"/>
      <c r="N175" s="998"/>
      <c r="O175" s="998"/>
      <c r="P175" s="998"/>
    </row>
    <row r="176" spans="1:26" ht="18.75">
      <c r="A176" s="1002"/>
      <c r="B176" s="1003"/>
      <c r="C176" s="1003"/>
      <c r="D176" s="1069" t="s">
        <v>85</v>
      </c>
      <c r="E176" s="1010"/>
      <c r="F176" s="1010"/>
      <c r="G176" s="1011"/>
      <c r="H176" s="622" t="s">
        <v>35</v>
      </c>
      <c r="I176" s="880">
        <f ca="1">IFERROR(__xludf.DUMMYFUNCTION("IMPORTRANGE(""https://docs.google.com/spreadsheets/d/1QqKyyYR6Q21VydFLVH3TRQUabQu_ym0Zz7PgGX0-kHA/edit?usp=sharing"",""แผน!Y81"")"),13)</f>
        <v>13</v>
      </c>
      <c r="J176" s="1012">
        <v>13</v>
      </c>
      <c r="K176" s="998">
        <f ca="1">IF(I176&gt;0,J176*100/I176,0)</f>
        <v>100</v>
      </c>
      <c r="L176" s="998"/>
      <c r="M176" s="998"/>
      <c r="N176" s="998"/>
      <c r="O176" s="998"/>
      <c r="P176" s="998"/>
    </row>
    <row r="177" spans="1:26" ht="19.5" hidden="1">
      <c r="A177" s="1063"/>
      <c r="B177" s="1070"/>
      <c r="C177" s="1071" t="s">
        <v>86</v>
      </c>
      <c r="D177" s="1070"/>
      <c r="E177" s="1064"/>
      <c r="F177" s="1064"/>
      <c r="G177" s="1066"/>
      <c r="H177" s="266" t="s">
        <v>35</v>
      </c>
      <c r="I177" s="1067"/>
      <c r="J177" s="1067">
        <f>J179</f>
        <v>0</v>
      </c>
      <c r="K177" s="1068"/>
      <c r="L177" s="1068"/>
      <c r="M177" s="1068"/>
      <c r="N177" s="1068"/>
      <c r="O177" s="1068"/>
      <c r="P177" s="1068"/>
    </row>
    <row r="178" spans="1:26" ht="19.5" hidden="1">
      <c r="A178" s="1002"/>
      <c r="B178" s="1003"/>
      <c r="C178" s="999" t="s">
        <v>16</v>
      </c>
      <c r="D178" s="1072" t="s">
        <v>38</v>
      </c>
      <c r="E178" s="1005"/>
      <c r="F178" s="1005"/>
      <c r="G178" s="1006"/>
      <c r="H178" s="1007"/>
      <c r="I178" s="997"/>
      <c r="J178" s="997"/>
      <c r="K178" s="998"/>
      <c r="L178" s="998"/>
      <c r="M178" s="998"/>
      <c r="N178" s="998"/>
      <c r="O178" s="998"/>
      <c r="P178" s="998"/>
    </row>
    <row r="179" spans="1:26" ht="18.75" hidden="1">
      <c r="A179" s="1002"/>
      <c r="B179" s="1003"/>
      <c r="C179" s="1003"/>
      <c r="D179" s="1073" t="s">
        <v>87</v>
      </c>
      <c r="E179" s="1010"/>
      <c r="F179" s="1074"/>
      <c r="G179" s="1011"/>
      <c r="H179" s="43" t="s">
        <v>35</v>
      </c>
      <c r="I179" s="880"/>
      <c r="J179" s="880"/>
      <c r="K179" s="998"/>
      <c r="L179" s="998"/>
      <c r="M179" s="998"/>
      <c r="N179" s="998"/>
      <c r="O179" s="998"/>
      <c r="P179" s="998"/>
    </row>
    <row r="180" spans="1:26" ht="19.5">
      <c r="A180" s="1058"/>
      <c r="B180" s="1059" t="s">
        <v>88</v>
      </c>
      <c r="C180" s="1060"/>
      <c r="D180" s="1005"/>
      <c r="E180" s="1005"/>
      <c r="F180" s="1005"/>
      <c r="G180" s="1006"/>
      <c r="H180" s="252" t="s">
        <v>35</v>
      </c>
      <c r="I180" s="1075" t="e">
        <f t="shared" ref="I180:J180" ca="1" si="91">I225+I226</f>
        <v>#VALUE!</v>
      </c>
      <c r="J180" s="1075">
        <f t="shared" si="91"/>
        <v>0</v>
      </c>
      <c r="K180" s="1076" t="e">
        <f ca="1">IF(I180&gt;0,J180*100/I180,0)</f>
        <v>#VALUE!</v>
      </c>
      <c r="L180" s="1062"/>
      <c r="M180" s="1062"/>
      <c r="N180" s="1062"/>
      <c r="O180" s="1062"/>
      <c r="P180" s="1062"/>
    </row>
    <row r="181" spans="1:26" ht="19.5">
      <c r="A181" s="985"/>
      <c r="B181" s="986"/>
      <c r="C181" s="987" t="s">
        <v>16</v>
      </c>
      <c r="D181" s="988" t="s">
        <v>17</v>
      </c>
      <c r="E181" s="986"/>
      <c r="F181" s="986"/>
      <c r="G181" s="989"/>
      <c r="H181" s="152" t="s">
        <v>12</v>
      </c>
      <c r="I181" s="990"/>
      <c r="J181" s="990"/>
      <c r="K181" s="991"/>
      <c r="L181" s="992">
        <f t="shared" ref="L181:N181" ca="1" si="92">L182+L183</f>
        <v>45000</v>
      </c>
      <c r="M181" s="992">
        <f t="shared" ca="1" si="92"/>
        <v>38500</v>
      </c>
      <c r="N181" s="992">
        <f t="shared" ca="1" si="92"/>
        <v>20830</v>
      </c>
      <c r="O181" s="992">
        <f t="shared" ref="O181:O189" ca="1" si="93">IF(L181&gt;0,N181*100/L181,0)</f>
        <v>46.288888888888891</v>
      </c>
      <c r="P181" s="992">
        <f t="shared" ref="P181:P189" ca="1" si="94">IF(M181&gt;0,N181*100/M181,0)</f>
        <v>54.103896103896105</v>
      </c>
      <c r="Q181" s="868"/>
      <c r="R181" s="868"/>
      <c r="S181" s="868"/>
      <c r="T181" s="868"/>
      <c r="U181" s="868"/>
      <c r="V181" s="868"/>
      <c r="W181" s="868"/>
      <c r="X181" s="868"/>
      <c r="Y181" s="868"/>
      <c r="Z181" s="868"/>
    </row>
    <row r="182" spans="1:26" ht="18.75" hidden="1">
      <c r="A182" s="993"/>
      <c r="B182" s="883"/>
      <c r="C182" s="883"/>
      <c r="D182" s="883"/>
      <c r="E182" s="884" t="s">
        <v>18</v>
      </c>
      <c r="F182" s="883"/>
      <c r="G182" s="994"/>
      <c r="H182" s="158" t="s">
        <v>12</v>
      </c>
      <c r="I182" s="886"/>
      <c r="J182" s="886"/>
      <c r="K182" s="887"/>
      <c r="L182" s="887">
        <f t="shared" ref="L182:N183" si="95">L185+L188</f>
        <v>0</v>
      </c>
      <c r="M182" s="887">
        <f t="shared" si="95"/>
        <v>0</v>
      </c>
      <c r="N182" s="887">
        <f t="shared" si="95"/>
        <v>0</v>
      </c>
      <c r="O182" s="887">
        <f t="shared" si="93"/>
        <v>0</v>
      </c>
      <c r="P182" s="887">
        <f t="shared" si="94"/>
        <v>0</v>
      </c>
      <c r="Q182" s="875"/>
      <c r="R182" s="875"/>
      <c r="S182" s="875"/>
      <c r="T182" s="875"/>
      <c r="U182" s="875"/>
      <c r="V182" s="875"/>
      <c r="W182" s="875"/>
      <c r="X182" s="875"/>
      <c r="Y182" s="875"/>
      <c r="Z182" s="875"/>
    </row>
    <row r="183" spans="1:26" ht="18.75" hidden="1">
      <c r="A183" s="993"/>
      <c r="B183" s="883"/>
      <c r="C183" s="883"/>
      <c r="D183" s="883"/>
      <c r="E183" s="884" t="s">
        <v>19</v>
      </c>
      <c r="F183" s="883"/>
      <c r="G183" s="994"/>
      <c r="H183" s="158" t="s">
        <v>12</v>
      </c>
      <c r="I183" s="886"/>
      <c r="J183" s="886"/>
      <c r="K183" s="887"/>
      <c r="L183" s="887">
        <f t="shared" ca="1" si="95"/>
        <v>45000</v>
      </c>
      <c r="M183" s="887">
        <f t="shared" ca="1" si="95"/>
        <v>38500</v>
      </c>
      <c r="N183" s="887">
        <f t="shared" ca="1" si="95"/>
        <v>20830</v>
      </c>
      <c r="O183" s="887">
        <f t="shared" ca="1" si="93"/>
        <v>46.288888888888891</v>
      </c>
      <c r="P183" s="887">
        <f t="shared" ca="1" si="94"/>
        <v>54.103896103896105</v>
      </c>
      <c r="Q183" s="875"/>
      <c r="R183" s="875"/>
      <c r="S183" s="875"/>
      <c r="T183" s="875"/>
      <c r="U183" s="875"/>
      <c r="V183" s="875"/>
      <c r="W183" s="875"/>
      <c r="X183" s="875"/>
      <c r="Y183" s="875"/>
      <c r="Z183" s="875"/>
    </row>
    <row r="184" spans="1:26" ht="18.75">
      <c r="A184" s="995"/>
      <c r="B184" s="877"/>
      <c r="C184" s="996"/>
      <c r="D184" s="878" t="s">
        <v>20</v>
      </c>
      <c r="E184" s="877"/>
      <c r="F184" s="877"/>
      <c r="G184" s="879"/>
      <c r="H184" s="161" t="s">
        <v>12</v>
      </c>
      <c r="I184" s="997"/>
      <c r="J184" s="997"/>
      <c r="K184" s="998"/>
      <c r="L184" s="881">
        <f t="shared" ref="L184:N184" ca="1" si="96">L185+L186</f>
        <v>45000</v>
      </c>
      <c r="M184" s="881">
        <f t="shared" ca="1" si="96"/>
        <v>38500</v>
      </c>
      <c r="N184" s="881">
        <f t="shared" ca="1" si="96"/>
        <v>20830</v>
      </c>
      <c r="O184" s="881">
        <f t="shared" ca="1" si="93"/>
        <v>46.288888888888891</v>
      </c>
      <c r="P184" s="881">
        <f t="shared" ca="1" si="94"/>
        <v>54.103896103896105</v>
      </c>
      <c r="Q184" s="868"/>
      <c r="R184" s="868"/>
      <c r="S184" s="868"/>
      <c r="T184" s="868"/>
      <c r="U184" s="868"/>
      <c r="V184" s="868"/>
      <c r="W184" s="868"/>
      <c r="X184" s="868"/>
      <c r="Y184" s="868"/>
      <c r="Z184" s="868"/>
    </row>
    <row r="185" spans="1:26" ht="19.5" hidden="1">
      <c r="A185" s="993"/>
      <c r="B185" s="883"/>
      <c r="C185" s="999"/>
      <c r="D185" s="883"/>
      <c r="E185" s="884" t="s">
        <v>36</v>
      </c>
      <c r="F185" s="883"/>
      <c r="G185" s="994"/>
      <c r="H185" s="165" t="s">
        <v>12</v>
      </c>
      <c r="I185" s="1000"/>
      <c r="J185" s="1000"/>
      <c r="K185" s="1001"/>
      <c r="L185" s="887">
        <v>0</v>
      </c>
      <c r="M185" s="887">
        <v>0</v>
      </c>
      <c r="N185" s="887">
        <v>0</v>
      </c>
      <c r="O185" s="887">
        <f t="shared" si="93"/>
        <v>0</v>
      </c>
      <c r="P185" s="887">
        <f t="shared" si="94"/>
        <v>0</v>
      </c>
      <c r="Q185" s="875"/>
      <c r="R185" s="875"/>
      <c r="S185" s="875"/>
      <c r="T185" s="875"/>
      <c r="U185" s="875"/>
      <c r="V185" s="875"/>
      <c r="W185" s="875"/>
      <c r="X185" s="875"/>
      <c r="Y185" s="875"/>
      <c r="Z185" s="875"/>
    </row>
    <row r="186" spans="1:26" ht="19.5" hidden="1">
      <c r="A186" s="993"/>
      <c r="B186" s="883"/>
      <c r="C186" s="999"/>
      <c r="D186" s="883"/>
      <c r="E186" s="884" t="s">
        <v>37</v>
      </c>
      <c r="F186" s="883"/>
      <c r="G186" s="994"/>
      <c r="H186" s="165" t="s">
        <v>12</v>
      </c>
      <c r="I186" s="1000"/>
      <c r="J186" s="1000"/>
      <c r="K186" s="1001"/>
      <c r="L186" s="887">
        <f ca="1">IFERROR(__xludf.DUMMYFUNCTION("IMPORTRANGE(""https://docs.google.com/spreadsheets/d/1MeEWN-I1oV_STSDYn1IFDPWt_1FKiwhDph83XaGc0o0/edit?usp=sharing"",""งบพรบ!CO81"")"),45000)</f>
        <v>45000</v>
      </c>
      <c r="M186" s="887">
        <f ca="1">IFERROR(__xludf.DUMMYFUNCTION("IMPORTRANGE(""https://docs.google.com/spreadsheets/d/1MeEWN-I1oV_STSDYn1IFDPWt_1FKiwhDph83XaGc0o0/edit?usp=sharing"",""งบพรบ!CT81"")"),38500)</f>
        <v>38500</v>
      </c>
      <c r="N186" s="887">
        <f ca="1">IFERROR(__xludf.DUMMYFUNCTION("IMPORTRANGE(""https://docs.google.com/spreadsheets/d/1MeEWN-I1oV_STSDYn1IFDPWt_1FKiwhDph83XaGc0o0/edit?usp=sharing"",""งบพรบ!CV81"")"),20830)</f>
        <v>20830</v>
      </c>
      <c r="O186" s="887">
        <f t="shared" ca="1" si="93"/>
        <v>46.288888888888891</v>
      </c>
      <c r="P186" s="887">
        <f t="shared" ca="1" si="94"/>
        <v>54.103896103896105</v>
      </c>
      <c r="Q186" s="875"/>
      <c r="R186" s="875"/>
      <c r="S186" s="875"/>
      <c r="T186" s="875"/>
      <c r="U186" s="875"/>
      <c r="V186" s="875"/>
      <c r="W186" s="875"/>
      <c r="X186" s="875"/>
      <c r="Y186" s="875"/>
      <c r="Z186" s="875"/>
    </row>
    <row r="187" spans="1:26" ht="18.75">
      <c r="A187" s="995"/>
      <c r="B187" s="877"/>
      <c r="C187" s="996"/>
      <c r="D187" s="878" t="s">
        <v>21</v>
      </c>
      <c r="E187" s="877"/>
      <c r="F187" s="877"/>
      <c r="G187" s="879"/>
      <c r="H187" s="168" t="s">
        <v>12</v>
      </c>
      <c r="I187" s="997"/>
      <c r="J187" s="997"/>
      <c r="K187" s="998"/>
      <c r="L187" s="881">
        <f t="shared" ref="L187:N187" ca="1" si="97">L188+L189</f>
        <v>0</v>
      </c>
      <c r="M187" s="881">
        <f t="shared" ca="1" si="97"/>
        <v>0</v>
      </c>
      <c r="N187" s="881">
        <f t="shared" ca="1" si="97"/>
        <v>0</v>
      </c>
      <c r="O187" s="881">
        <f t="shared" ca="1" si="93"/>
        <v>0</v>
      </c>
      <c r="P187" s="881">
        <f t="shared" ca="1" si="94"/>
        <v>0</v>
      </c>
      <c r="Q187" s="868"/>
      <c r="R187" s="868"/>
      <c r="S187" s="868"/>
      <c r="T187" s="868"/>
      <c r="U187" s="868"/>
      <c r="V187" s="868"/>
      <c r="W187" s="868"/>
      <c r="X187" s="868"/>
      <c r="Y187" s="868"/>
      <c r="Z187" s="868"/>
    </row>
    <row r="188" spans="1:26" ht="19.5" hidden="1">
      <c r="A188" s="993"/>
      <c r="B188" s="883"/>
      <c r="C188" s="999"/>
      <c r="D188" s="883"/>
      <c r="E188" s="884" t="s">
        <v>18</v>
      </c>
      <c r="F188" s="883"/>
      <c r="G188" s="994"/>
      <c r="H188" s="165" t="s">
        <v>12</v>
      </c>
      <c r="I188" s="1000"/>
      <c r="J188" s="1000"/>
      <c r="K188" s="1001"/>
      <c r="L188" s="887">
        <v>0</v>
      </c>
      <c r="M188" s="887">
        <v>0</v>
      </c>
      <c r="N188" s="887">
        <v>0</v>
      </c>
      <c r="O188" s="887">
        <f t="shared" si="93"/>
        <v>0</v>
      </c>
      <c r="P188" s="887">
        <f t="shared" si="94"/>
        <v>0</v>
      </c>
      <c r="Q188" s="875"/>
      <c r="R188" s="875"/>
      <c r="S188" s="875"/>
      <c r="T188" s="875"/>
      <c r="U188" s="875"/>
      <c r="V188" s="875"/>
      <c r="W188" s="875"/>
      <c r="X188" s="875"/>
      <c r="Y188" s="875"/>
      <c r="Z188" s="875"/>
    </row>
    <row r="189" spans="1:26" ht="19.5" hidden="1">
      <c r="A189" s="993"/>
      <c r="B189" s="883"/>
      <c r="C189" s="999"/>
      <c r="D189" s="883"/>
      <c r="E189" s="884" t="s">
        <v>19</v>
      </c>
      <c r="F189" s="883"/>
      <c r="G189" s="994"/>
      <c r="H189" s="169" t="s">
        <v>12</v>
      </c>
      <c r="I189" s="1000"/>
      <c r="J189" s="1000"/>
      <c r="K189" s="1001"/>
      <c r="L189" s="887">
        <f ca="1">IFERROR(__xludf.DUMMYFUNCTION("IMPORTRANGE(""https://docs.google.com/spreadsheets/d/1MeEWN-I1oV_STSDYn1IFDPWt_1FKiwhDph83XaGc0o0/edit?usp=sharing"",""งบพรบ!CR81"")"),0)</f>
        <v>0</v>
      </c>
      <c r="M189" s="887">
        <f ca="1">IFERROR(__xludf.DUMMYFUNCTION("IMPORTRANGE(""https://docs.google.com/spreadsheets/d/1MeEWN-I1oV_STSDYn1IFDPWt_1FKiwhDph83XaGc0o0/edit?usp=sharing"",""งบพรบ!CU81"")"),0)</f>
        <v>0</v>
      </c>
      <c r="N189" s="887">
        <f ca="1">IFERROR(__xludf.DUMMYFUNCTION("IMPORTRANGE(""https://docs.google.com/spreadsheets/d/1MeEWN-I1oV_STSDYn1IFDPWt_1FKiwhDph83XaGc0o0/edit?usp=sharing"",""งบพรบ!CW81"")"),0)</f>
        <v>0</v>
      </c>
      <c r="O189" s="887">
        <f t="shared" ca="1" si="93"/>
        <v>0</v>
      </c>
      <c r="P189" s="887">
        <f t="shared" ca="1" si="94"/>
        <v>0</v>
      </c>
      <c r="Q189" s="875"/>
      <c r="R189" s="875"/>
      <c r="S189" s="875"/>
      <c r="T189" s="875"/>
      <c r="U189" s="875"/>
      <c r="V189" s="875"/>
      <c r="W189" s="875"/>
      <c r="X189" s="875"/>
      <c r="Y189" s="875"/>
      <c r="Z189" s="875"/>
    </row>
    <row r="190" spans="1:26" ht="19.5">
      <c r="A190" s="1063"/>
      <c r="B190" s="1070"/>
      <c r="C190" s="1077" t="s">
        <v>89</v>
      </c>
      <c r="D190" s="1064"/>
      <c r="E190" s="1064"/>
      <c r="F190" s="1064"/>
      <c r="G190" s="1066"/>
      <c r="H190" s="260" t="s">
        <v>90</v>
      </c>
      <c r="I190" s="1078">
        <f t="shared" ref="I190:J190" ca="1" si="98">I193</f>
        <v>4</v>
      </c>
      <c r="J190" s="1078">
        <f t="shared" si="98"/>
        <v>2</v>
      </c>
      <c r="K190" s="1079">
        <f ca="1">IF(I190&gt;0,J190*100/I190,0)</f>
        <v>50</v>
      </c>
      <c r="L190" s="1068"/>
      <c r="M190" s="1068"/>
      <c r="N190" s="1068"/>
      <c r="O190" s="1068"/>
      <c r="P190" s="1068"/>
    </row>
    <row r="191" spans="1:26" ht="19.5">
      <c r="A191" s="985"/>
      <c r="B191" s="986"/>
      <c r="C191" s="987" t="s">
        <v>16</v>
      </c>
      <c r="D191" s="1080" t="s">
        <v>17</v>
      </c>
      <c r="E191" s="986"/>
      <c r="F191" s="986"/>
      <c r="G191" s="989"/>
      <c r="H191" s="275" t="s">
        <v>12</v>
      </c>
      <c r="I191" s="990"/>
      <c r="J191" s="990"/>
      <c r="K191" s="991"/>
      <c r="L191" s="992">
        <f ca="1">IFERROR(__xludf.DUMMYFUNCTION("IMPORTRANGE(""https://docs.google.com/spreadsheets/d/1QqKyyYR6Q21VydFLVH3TRQUabQu_ym0Zz7PgGX0-kHA/edit?usp=sharing"",""แผน!Z81"")"),6000)</f>
        <v>6000</v>
      </c>
      <c r="M191" s="992"/>
      <c r="N191" s="1081">
        <v>2830</v>
      </c>
      <c r="O191" s="992">
        <f ca="1">IF(L191&gt;0,N191*100/L191,0)</f>
        <v>47.166666666666664</v>
      </c>
      <c r="P191" s="992">
        <f>IF(M191&gt;0,N191*100/M191,0)</f>
        <v>0</v>
      </c>
      <c r="Q191" s="868"/>
      <c r="R191" s="868"/>
      <c r="S191" s="868"/>
      <c r="T191" s="868"/>
      <c r="U191" s="868"/>
      <c r="V191" s="868"/>
      <c r="W191" s="868"/>
      <c r="X191" s="868"/>
      <c r="Y191" s="868"/>
      <c r="Z191" s="868"/>
    </row>
    <row r="192" spans="1:26" ht="19.5">
      <c r="A192" s="1002"/>
      <c r="B192" s="1003"/>
      <c r="C192" s="1029" t="s">
        <v>16</v>
      </c>
      <c r="D192" s="1004" t="s">
        <v>38</v>
      </c>
      <c r="E192" s="1005"/>
      <c r="F192" s="1005"/>
      <c r="G192" s="1006"/>
      <c r="H192" s="1007"/>
      <c r="I192" s="880"/>
      <c r="J192" s="880"/>
      <c r="K192" s="881"/>
      <c r="L192" s="881"/>
      <c r="M192" s="881"/>
      <c r="N192" s="881"/>
      <c r="O192" s="881"/>
      <c r="P192" s="881"/>
      <c r="Q192" s="868"/>
      <c r="R192" s="868"/>
      <c r="S192" s="868"/>
      <c r="T192" s="868"/>
      <c r="U192" s="868"/>
      <c r="V192" s="868"/>
      <c r="W192" s="868"/>
      <c r="X192" s="868"/>
      <c r="Y192" s="868"/>
      <c r="Z192" s="868"/>
    </row>
    <row r="193" spans="1:26" ht="18.75">
      <c r="A193" s="1002"/>
      <c r="B193" s="1003"/>
      <c r="C193" s="1003"/>
      <c r="D193" s="1009" t="s">
        <v>91</v>
      </c>
      <c r="E193" s="1010"/>
      <c r="F193" s="1010"/>
      <c r="G193" s="1011"/>
      <c r="H193" s="762" t="s">
        <v>90</v>
      </c>
      <c r="I193" s="880">
        <f ca="1">IFERROR(__xludf.DUMMYFUNCTION("IMPORTRANGE(""https://docs.google.com/spreadsheets/d/1QqKyyYR6Q21VydFLVH3TRQUabQu_ym0Zz7PgGX0-kHA/edit?usp=sharing"",""แผน!AC81"")"),4)</f>
        <v>4</v>
      </c>
      <c r="J193" s="1012">
        <v>2</v>
      </c>
      <c r="K193" s="881">
        <f ca="1">IF(I193&gt;0,J193*100/I193,0)</f>
        <v>50</v>
      </c>
      <c r="L193" s="881"/>
      <c r="M193" s="881"/>
      <c r="N193" s="881"/>
      <c r="O193" s="881"/>
      <c r="P193" s="881"/>
      <c r="Q193" s="868"/>
      <c r="R193" s="868"/>
      <c r="S193" s="868"/>
      <c r="T193" s="868"/>
      <c r="U193" s="868"/>
      <c r="V193" s="868"/>
      <c r="W193" s="868"/>
      <c r="X193" s="868"/>
      <c r="Y193" s="868"/>
      <c r="Z193" s="868"/>
    </row>
    <row r="194" spans="1:26" ht="18.75">
      <c r="A194" s="1002"/>
      <c r="B194" s="1003"/>
      <c r="C194" s="1003"/>
      <c r="D194" s="1009" t="s">
        <v>92</v>
      </c>
      <c r="E194" s="1010"/>
      <c r="F194" s="1010"/>
      <c r="G194" s="1011"/>
      <c r="H194" s="277" t="s">
        <v>35</v>
      </c>
      <c r="I194" s="880"/>
      <c r="J194" s="880">
        <f>J195+J196</f>
        <v>40</v>
      </c>
      <c r="K194" s="881"/>
      <c r="L194" s="881"/>
      <c r="M194" s="881"/>
      <c r="N194" s="881"/>
      <c r="O194" s="881"/>
      <c r="P194" s="881"/>
      <c r="Q194" s="868"/>
      <c r="R194" s="868"/>
      <c r="S194" s="868"/>
      <c r="T194" s="868"/>
      <c r="U194" s="868"/>
      <c r="V194" s="868"/>
      <c r="W194" s="868"/>
      <c r="X194" s="868"/>
      <c r="Y194" s="868"/>
      <c r="Z194" s="868"/>
    </row>
    <row r="195" spans="1:26" ht="18.75">
      <c r="A195" s="1002"/>
      <c r="B195" s="1003"/>
      <c r="C195" s="1003"/>
      <c r="D195" s="1003"/>
      <c r="E195" s="1009" t="s">
        <v>93</v>
      </c>
      <c r="F195" s="1010"/>
      <c r="G195" s="1011"/>
      <c r="H195" s="277" t="s">
        <v>35</v>
      </c>
      <c r="I195" s="880"/>
      <c r="J195" s="1012">
        <v>40</v>
      </c>
      <c r="K195" s="881"/>
      <c r="L195" s="881"/>
      <c r="M195" s="881"/>
      <c r="N195" s="881"/>
      <c r="O195" s="881"/>
      <c r="P195" s="881"/>
      <c r="Q195" s="868"/>
      <c r="R195" s="868"/>
      <c r="S195" s="868"/>
      <c r="T195" s="868"/>
      <c r="U195" s="868"/>
      <c r="V195" s="868"/>
      <c r="W195" s="868"/>
      <c r="X195" s="868"/>
      <c r="Y195" s="868"/>
      <c r="Z195" s="868"/>
    </row>
    <row r="196" spans="1:26" ht="18.75">
      <c r="A196" s="1002"/>
      <c r="B196" s="1003"/>
      <c r="C196" s="1003"/>
      <c r="D196" s="1003"/>
      <c r="E196" s="1009" t="s">
        <v>94</v>
      </c>
      <c r="F196" s="1010"/>
      <c r="G196" s="1011"/>
      <c r="H196" s="277" t="s">
        <v>35</v>
      </c>
      <c r="I196" s="880"/>
      <c r="J196" s="1012">
        <v>0</v>
      </c>
      <c r="K196" s="881"/>
      <c r="L196" s="881"/>
      <c r="M196" s="881"/>
      <c r="N196" s="881"/>
      <c r="O196" s="881"/>
      <c r="P196" s="881"/>
      <c r="Q196" s="868"/>
      <c r="R196" s="868"/>
      <c r="S196" s="868"/>
      <c r="T196" s="868"/>
      <c r="U196" s="868"/>
      <c r="V196" s="868"/>
      <c r="W196" s="868"/>
      <c r="X196" s="868"/>
      <c r="Y196" s="868"/>
      <c r="Z196" s="868"/>
    </row>
    <row r="197" spans="1:26" ht="19.5">
      <c r="A197" s="1063"/>
      <c r="B197" s="1070"/>
      <c r="C197" s="1077" t="s">
        <v>95</v>
      </c>
      <c r="D197" s="1064"/>
      <c r="E197" s="1064"/>
      <c r="F197" s="1064"/>
      <c r="G197" s="1066"/>
      <c r="H197" s="278" t="s">
        <v>96</v>
      </c>
      <c r="I197" s="1078">
        <f t="shared" ref="I197:J197" ca="1" si="99">I204</f>
        <v>2</v>
      </c>
      <c r="J197" s="1078">
        <f t="shared" si="99"/>
        <v>2</v>
      </c>
      <c r="K197" s="1079">
        <f ca="1">IF(I197&gt;0,J197*100/I197,0)</f>
        <v>100</v>
      </c>
      <c r="L197" s="1068"/>
      <c r="M197" s="1068"/>
      <c r="N197" s="1068"/>
      <c r="O197" s="1068"/>
      <c r="P197" s="1068"/>
    </row>
    <row r="198" spans="1:26" ht="19.5">
      <c r="A198" s="985"/>
      <c r="B198" s="986"/>
      <c r="C198" s="987" t="s">
        <v>16</v>
      </c>
      <c r="D198" s="1080" t="s">
        <v>17</v>
      </c>
      <c r="E198" s="986"/>
      <c r="F198" s="986"/>
      <c r="G198" s="989"/>
      <c r="H198" s="275" t="s">
        <v>12</v>
      </c>
      <c r="I198" s="1082"/>
      <c r="J198" s="1082"/>
      <c r="K198" s="1083"/>
      <c r="L198" s="992">
        <f ca="1">L199+L200+L201+L202</f>
        <v>31000</v>
      </c>
      <c r="M198" s="992"/>
      <c r="N198" s="992">
        <f>N199+N200+N201+N202</f>
        <v>18000</v>
      </c>
      <c r="O198" s="992">
        <f ca="1">IF(L198&gt;0,N198*100/L198,0)</f>
        <v>58.064516129032256</v>
      </c>
      <c r="P198" s="992">
        <f>IF(M198&gt;0,N198*100/M198,0)</f>
        <v>0</v>
      </c>
      <c r="Q198" s="868"/>
      <c r="R198" s="868"/>
      <c r="S198" s="868"/>
      <c r="T198" s="868"/>
      <c r="U198" s="868"/>
      <c r="V198" s="868"/>
      <c r="W198" s="868"/>
      <c r="X198" s="868"/>
      <c r="Y198" s="868"/>
      <c r="Z198" s="868"/>
    </row>
    <row r="199" spans="1:26" ht="18.75">
      <c r="A199" s="995"/>
      <c r="B199" s="1084"/>
      <c r="C199" s="877"/>
      <c r="D199" s="996" t="s">
        <v>97</v>
      </c>
      <c r="E199" s="877"/>
      <c r="F199" s="877"/>
      <c r="G199" s="879"/>
      <c r="H199" s="161" t="s">
        <v>12</v>
      </c>
      <c r="I199" s="997"/>
      <c r="J199" s="997"/>
      <c r="K199" s="998"/>
      <c r="L199" s="881">
        <f ca="1">IFERROR(__xludf.DUMMYFUNCTION("IMPORTRANGE(""https://docs.google.com/spreadsheets/d/1QqKyyYR6Q21VydFLVH3TRQUabQu_ym0Zz7PgGX0-kHA/edit?usp=sharing"",""แผน!AE81"")"),2000)</f>
        <v>2000</v>
      </c>
      <c r="M199" s="881"/>
      <c r="N199" s="1085">
        <v>2000</v>
      </c>
      <c r="O199" s="881"/>
      <c r="P199" s="881"/>
      <c r="Q199" s="868"/>
      <c r="R199" s="868"/>
      <c r="S199" s="868"/>
      <c r="T199" s="868"/>
      <c r="U199" s="868"/>
      <c r="V199" s="868"/>
      <c r="W199" s="868"/>
      <c r="X199" s="868"/>
      <c r="Y199" s="868"/>
      <c r="Z199" s="868"/>
    </row>
    <row r="200" spans="1:26" ht="19.5">
      <c r="A200" s="1086"/>
      <c r="B200" s="1084"/>
      <c r="C200" s="1029"/>
      <c r="D200" s="996" t="s">
        <v>98</v>
      </c>
      <c r="E200" s="877"/>
      <c r="F200" s="877"/>
      <c r="G200" s="879"/>
      <c r="H200" s="622" t="s">
        <v>12</v>
      </c>
      <c r="I200" s="880"/>
      <c r="J200" s="880"/>
      <c r="K200" s="881"/>
      <c r="L200" s="881">
        <f ca="1">IFERROR(__xludf.DUMMYFUNCTION("IMPORTRANGE(""https://docs.google.com/spreadsheets/d/1QqKyyYR6Q21VydFLVH3TRQUabQu_ym0Zz7PgGX0-kHA/edit?usp=sharing"",""แผน!AF81"")"),16000)</f>
        <v>16000</v>
      </c>
      <c r="M200" s="881"/>
      <c r="N200" s="1085">
        <v>16000</v>
      </c>
      <c r="O200" s="881"/>
      <c r="P200" s="881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</row>
    <row r="201" spans="1:26" ht="19.5">
      <c r="A201" s="1086"/>
      <c r="B201" s="1084"/>
      <c r="C201" s="1029"/>
      <c r="D201" s="996" t="s">
        <v>99</v>
      </c>
      <c r="E201" s="877"/>
      <c r="F201" s="877"/>
      <c r="G201" s="879"/>
      <c r="H201" s="622" t="s">
        <v>12</v>
      </c>
      <c r="I201" s="880"/>
      <c r="J201" s="880"/>
      <c r="K201" s="881"/>
      <c r="L201" s="881">
        <f ca="1">IFERROR(__xludf.DUMMYFUNCTION("IMPORTRANGE(""https://docs.google.com/spreadsheets/d/1QqKyyYR6Q21VydFLVH3TRQUabQu_ym0Zz7PgGX0-kHA/edit?usp=sharing"",""แผน!AG81"")"),8000)</f>
        <v>8000</v>
      </c>
      <c r="M201" s="881"/>
      <c r="N201" s="1085">
        <v>0</v>
      </c>
      <c r="O201" s="881"/>
      <c r="P201" s="881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</row>
    <row r="202" spans="1:26" ht="19.5">
      <c r="A202" s="1086"/>
      <c r="B202" s="1084"/>
      <c r="C202" s="1029"/>
      <c r="D202" s="996" t="s">
        <v>100</v>
      </c>
      <c r="E202" s="877"/>
      <c r="F202" s="877"/>
      <c r="G202" s="879"/>
      <c r="H202" s="622" t="s">
        <v>12</v>
      </c>
      <c r="I202" s="880"/>
      <c r="J202" s="880"/>
      <c r="K202" s="881"/>
      <c r="L202" s="881">
        <f ca="1">IFERROR(__xludf.DUMMYFUNCTION("IMPORTRANGE(""https://docs.google.com/spreadsheets/d/1QqKyyYR6Q21VydFLVH3TRQUabQu_ym0Zz7PgGX0-kHA/edit?usp=sharing"",""แผน!AH81"")"),5000)</f>
        <v>5000</v>
      </c>
      <c r="M202" s="881"/>
      <c r="N202" s="1085">
        <v>0</v>
      </c>
      <c r="O202" s="881"/>
      <c r="P202" s="881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</row>
    <row r="203" spans="1:26" ht="19.5">
      <c r="A203" s="1002"/>
      <c r="B203" s="1003"/>
      <c r="C203" s="1029" t="s">
        <v>16</v>
      </c>
      <c r="D203" s="1004" t="s">
        <v>38</v>
      </c>
      <c r="E203" s="1005"/>
      <c r="F203" s="1005"/>
      <c r="G203" s="1006"/>
      <c r="H203" s="1007"/>
      <c r="I203" s="997"/>
      <c r="J203" s="997"/>
      <c r="K203" s="998"/>
      <c r="L203" s="998"/>
      <c r="M203" s="998"/>
      <c r="N203" s="998"/>
      <c r="O203" s="998"/>
      <c r="P203" s="99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</row>
    <row r="204" spans="1:26" ht="18.75">
      <c r="A204" s="1002"/>
      <c r="B204" s="1003"/>
      <c r="C204" s="1003"/>
      <c r="D204" s="1008" t="s">
        <v>101</v>
      </c>
      <c r="E204" s="1010"/>
      <c r="F204" s="1010"/>
      <c r="G204" s="1011"/>
      <c r="H204" s="1007" t="s">
        <v>96</v>
      </c>
      <c r="I204" s="880">
        <f ca="1">IFERROR(__xludf.DUMMYFUNCTION("IMPORTRANGE(""https://docs.google.com/spreadsheets/d/1QqKyyYR6Q21VydFLVH3TRQUabQu_ym0Zz7PgGX0-kHA/edit?usp=sharing"",""แผน!AI81"")"),2)</f>
        <v>2</v>
      </c>
      <c r="J204" s="1012">
        <v>2</v>
      </c>
      <c r="K204" s="998">
        <f ca="1">IF(I204&gt;0,J204*100/I204,0)</f>
        <v>100</v>
      </c>
      <c r="L204" s="881"/>
      <c r="M204" s="881"/>
      <c r="N204" s="881"/>
      <c r="O204" s="881"/>
      <c r="P204" s="881"/>
      <c r="Q204" s="868"/>
      <c r="R204" s="868"/>
      <c r="S204" s="868"/>
      <c r="T204" s="868"/>
      <c r="U204" s="868"/>
      <c r="V204" s="868"/>
      <c r="W204" s="868"/>
      <c r="X204" s="868"/>
      <c r="Y204" s="868"/>
      <c r="Z204" s="868"/>
    </row>
    <row r="205" spans="1:26" ht="18.75">
      <c r="A205" s="1002"/>
      <c r="B205" s="1003"/>
      <c r="C205" s="1003"/>
      <c r="D205" s="1009" t="s">
        <v>59</v>
      </c>
      <c r="E205" s="1010"/>
      <c r="F205" s="1010"/>
      <c r="G205" s="1011"/>
      <c r="H205" s="1007"/>
      <c r="I205" s="880"/>
      <c r="J205" s="880"/>
      <c r="K205" s="998"/>
      <c r="L205" s="881"/>
      <c r="M205" s="881"/>
      <c r="N205" s="881"/>
      <c r="O205" s="881"/>
      <c r="P205" s="881"/>
      <c r="Q205" s="868"/>
      <c r="R205" s="868"/>
      <c r="S205" s="868"/>
      <c r="T205" s="868"/>
      <c r="U205" s="868"/>
      <c r="V205" s="868"/>
      <c r="W205" s="868"/>
      <c r="X205" s="868"/>
      <c r="Y205" s="868"/>
      <c r="Z205" s="868"/>
    </row>
    <row r="206" spans="1:26" ht="18.75">
      <c r="A206" s="1002"/>
      <c r="B206" s="1003"/>
      <c r="C206" s="1003"/>
      <c r="D206" s="1010"/>
      <c r="E206" s="1021" t="s">
        <v>102</v>
      </c>
      <c r="F206" s="1088"/>
      <c r="G206" s="1089"/>
      <c r="H206" s="1090" t="s">
        <v>96</v>
      </c>
      <c r="I206" s="880">
        <v>2</v>
      </c>
      <c r="J206" s="1012">
        <v>0</v>
      </c>
      <c r="K206" s="998">
        <f t="shared" ref="K206:K208" si="100">IF(I206&gt;0,J206*100/I206,0)</f>
        <v>0</v>
      </c>
      <c r="L206" s="881"/>
      <c r="M206" s="881"/>
      <c r="N206" s="881"/>
      <c r="O206" s="881"/>
      <c r="P206" s="881"/>
      <c r="Q206" s="868"/>
      <c r="R206" s="868"/>
      <c r="S206" s="868"/>
      <c r="T206" s="868"/>
      <c r="U206" s="868"/>
      <c r="V206" s="868"/>
      <c r="W206" s="868"/>
      <c r="X206" s="868"/>
      <c r="Y206" s="868"/>
      <c r="Z206" s="868"/>
    </row>
    <row r="207" spans="1:26" ht="18.75">
      <c r="A207" s="1002"/>
      <c r="B207" s="1003"/>
      <c r="C207" s="1003"/>
      <c r="D207" s="1009"/>
      <c r="E207" s="1009" t="s">
        <v>103</v>
      </c>
      <c r="F207" s="1010"/>
      <c r="G207" s="1010"/>
      <c r="H207" s="290" t="s">
        <v>104</v>
      </c>
      <c r="I207" s="880">
        <v>1</v>
      </c>
      <c r="J207" s="1012">
        <v>0</v>
      </c>
      <c r="K207" s="998">
        <f t="shared" si="100"/>
        <v>0</v>
      </c>
      <c r="L207" s="881"/>
      <c r="M207" s="881"/>
      <c r="N207" s="881"/>
      <c r="O207" s="881"/>
      <c r="P207" s="881"/>
      <c r="Q207" s="868"/>
      <c r="R207" s="868"/>
      <c r="S207" s="868"/>
      <c r="T207" s="868"/>
      <c r="U207" s="868"/>
      <c r="V207" s="868"/>
      <c r="W207" s="868"/>
      <c r="X207" s="868"/>
      <c r="Y207" s="868"/>
      <c r="Z207" s="868"/>
    </row>
    <row r="208" spans="1:26" ht="19.5">
      <c r="A208" s="1063"/>
      <c r="B208" s="1070"/>
      <c r="C208" s="1077" t="s">
        <v>105</v>
      </c>
      <c r="D208" s="1064"/>
      <c r="E208" s="1064"/>
      <c r="F208" s="1091"/>
      <c r="G208" s="1066"/>
      <c r="H208" s="278" t="s">
        <v>96</v>
      </c>
      <c r="I208" s="1078">
        <f t="shared" ref="I208:J208" ca="1" si="101">I215</f>
        <v>0</v>
      </c>
      <c r="J208" s="1078">
        <f t="shared" si="101"/>
        <v>0</v>
      </c>
      <c r="K208" s="1079">
        <f t="shared" ca="1" si="100"/>
        <v>0</v>
      </c>
      <c r="L208" s="1068"/>
      <c r="M208" s="1068"/>
      <c r="N208" s="1068"/>
      <c r="O208" s="1068"/>
      <c r="P208" s="1068"/>
    </row>
    <row r="209" spans="1:26" ht="19.5">
      <c r="A209" s="985"/>
      <c r="B209" s="986"/>
      <c r="C209" s="987" t="s">
        <v>16</v>
      </c>
      <c r="D209" s="1080" t="s">
        <v>17</v>
      </c>
      <c r="E209" s="986"/>
      <c r="F209" s="986"/>
      <c r="G209" s="989"/>
      <c r="H209" s="275" t="s">
        <v>12</v>
      </c>
      <c r="I209" s="1082"/>
      <c r="J209" s="1082"/>
      <c r="K209" s="1083"/>
      <c r="L209" s="992">
        <f ca="1">L210+L211+L212</f>
        <v>0</v>
      </c>
      <c r="M209" s="992"/>
      <c r="N209" s="992">
        <f>N210+N211+N212</f>
        <v>0</v>
      </c>
      <c r="O209" s="992">
        <f ca="1">IF(L209&gt;0,N209*100/L209,0)</f>
        <v>0</v>
      </c>
      <c r="P209" s="992">
        <f>IF(M209&gt;0,N209*100/M209,0)</f>
        <v>0</v>
      </c>
      <c r="Q209" s="868"/>
      <c r="R209" s="868"/>
      <c r="S209" s="868"/>
      <c r="T209" s="868"/>
      <c r="U209" s="868"/>
      <c r="V209" s="868"/>
      <c r="W209" s="868"/>
      <c r="X209" s="868"/>
      <c r="Y209" s="868"/>
      <c r="Z209" s="868"/>
    </row>
    <row r="210" spans="1:26" ht="18.75">
      <c r="A210" s="995"/>
      <c r="B210" s="1084"/>
      <c r="C210" s="877"/>
      <c r="D210" s="996" t="s">
        <v>97</v>
      </c>
      <c r="E210" s="877"/>
      <c r="F210" s="877"/>
      <c r="G210" s="879"/>
      <c r="H210" s="161" t="s">
        <v>12</v>
      </c>
      <c r="I210" s="997"/>
      <c r="J210" s="997"/>
      <c r="K210" s="998"/>
      <c r="L210" s="881">
        <f ca="1">IFERROR(__xludf.DUMMYFUNCTION("IMPORTRANGE(""https://docs.google.com/spreadsheets/d/1QqKyyYR6Q21VydFLVH3TRQUabQu_ym0Zz7PgGX0-kHA/edit?usp=sharing"",""แผน!AK81"")"),0)</f>
        <v>0</v>
      </c>
      <c r="M210" s="881"/>
      <c r="N210" s="1085">
        <v>0</v>
      </c>
      <c r="O210" s="881"/>
      <c r="P210" s="881"/>
      <c r="Q210" s="868"/>
      <c r="R210" s="868"/>
      <c r="S210" s="868"/>
      <c r="T210" s="868"/>
      <c r="U210" s="868"/>
      <c r="V210" s="868"/>
      <c r="W210" s="868"/>
      <c r="X210" s="868"/>
      <c r="Y210" s="868"/>
      <c r="Z210" s="868"/>
    </row>
    <row r="211" spans="1:26" ht="19.5">
      <c r="A211" s="1086"/>
      <c r="B211" s="1084"/>
      <c r="C211" s="1092"/>
      <c r="D211" s="996" t="s">
        <v>99</v>
      </c>
      <c r="E211" s="877"/>
      <c r="F211" s="877"/>
      <c r="G211" s="879"/>
      <c r="H211" s="161" t="s">
        <v>12</v>
      </c>
      <c r="I211" s="880"/>
      <c r="J211" s="880"/>
      <c r="K211" s="881"/>
      <c r="L211" s="881">
        <f ca="1">IFERROR(__xludf.DUMMYFUNCTION("IMPORTRANGE(""https://docs.google.com/spreadsheets/d/1QqKyyYR6Q21VydFLVH3TRQUabQu_ym0Zz7PgGX0-kHA/edit?usp=sharing"",""แผน!AL81"")"),0)</f>
        <v>0</v>
      </c>
      <c r="M211" s="881"/>
      <c r="N211" s="1085">
        <v>0</v>
      </c>
      <c r="O211" s="881"/>
      <c r="P211" s="881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</row>
    <row r="212" spans="1:26" ht="19.5">
      <c r="A212" s="1086"/>
      <c r="B212" s="1084"/>
      <c r="C212" s="1092"/>
      <c r="D212" s="996" t="s">
        <v>98</v>
      </c>
      <c r="E212" s="877"/>
      <c r="F212" s="877"/>
      <c r="G212" s="879"/>
      <c r="H212" s="161" t="s">
        <v>12</v>
      </c>
      <c r="I212" s="880"/>
      <c r="J212" s="880"/>
      <c r="K212" s="881"/>
      <c r="L212" s="881">
        <f ca="1">IFERROR(__xludf.DUMMYFUNCTION("IMPORTRANGE(""https://docs.google.com/spreadsheets/d/1QqKyyYR6Q21VydFLVH3TRQUabQu_ym0Zz7PgGX0-kHA/edit?usp=sharing"",""แผน!AM81"")"),0)</f>
        <v>0</v>
      </c>
      <c r="M212" s="881"/>
      <c r="N212" s="1085">
        <v>0</v>
      </c>
      <c r="O212" s="881"/>
      <c r="P212" s="881"/>
      <c r="Q212" s="1087"/>
      <c r="R212" s="1087"/>
      <c r="S212" s="1087"/>
      <c r="T212" s="1087"/>
      <c r="U212" s="1087"/>
      <c r="V212" s="1087"/>
      <c r="W212" s="1087"/>
      <c r="X212" s="1087"/>
      <c r="Y212" s="1087"/>
      <c r="Z212" s="1087"/>
    </row>
    <row r="213" spans="1:26" ht="19.5">
      <c r="A213" s="1002"/>
      <c r="B213" s="1003"/>
      <c r="C213" s="1092" t="s">
        <v>16</v>
      </c>
      <c r="D213" s="1004" t="s">
        <v>38</v>
      </c>
      <c r="E213" s="1005"/>
      <c r="F213" s="1005"/>
      <c r="G213" s="1006"/>
      <c r="H213" s="1007"/>
      <c r="I213" s="997"/>
      <c r="J213" s="880"/>
      <c r="K213" s="881"/>
      <c r="L213" s="881"/>
      <c r="M213" s="881"/>
      <c r="N213" s="881"/>
      <c r="O213" s="998"/>
      <c r="P213" s="998"/>
      <c r="Q213" s="868"/>
      <c r="R213" s="868"/>
      <c r="S213" s="868"/>
      <c r="T213" s="868"/>
      <c r="U213" s="868"/>
      <c r="V213" s="868"/>
      <c r="W213" s="868"/>
      <c r="X213" s="868"/>
      <c r="Y213" s="868"/>
      <c r="Z213" s="868"/>
    </row>
    <row r="214" spans="1:26" ht="18.75">
      <c r="A214" s="1002"/>
      <c r="B214" s="1003"/>
      <c r="C214" s="1003"/>
      <c r="D214" s="1008" t="s">
        <v>106</v>
      </c>
      <c r="E214" s="1010"/>
      <c r="F214" s="1010"/>
      <c r="G214" s="1011"/>
      <c r="H214" s="1007" t="s">
        <v>96</v>
      </c>
      <c r="I214" s="880">
        <f ca="1">IFERROR(__xludf.DUMMYFUNCTION("IMPORTRANGE(""https://docs.google.com/spreadsheets/d/1QqKyyYR6Q21VydFLVH3TRQUabQu_ym0Zz7PgGX0-kHA/edit?usp=sharing"",""แผน!AN81"")"),0)</f>
        <v>0</v>
      </c>
      <c r="J214" s="1012">
        <v>0</v>
      </c>
      <c r="K214" s="881">
        <f t="shared" ref="K214:K216" ca="1" si="102">IF(I214&gt;0,J214*100/I214,0)</f>
        <v>0</v>
      </c>
      <c r="L214" s="881"/>
      <c r="M214" s="881"/>
      <c r="N214" s="881"/>
      <c r="O214" s="881"/>
      <c r="P214" s="881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</row>
    <row r="215" spans="1:26" ht="18.75">
      <c r="A215" s="1002"/>
      <c r="B215" s="1003"/>
      <c r="C215" s="1003"/>
      <c r="D215" s="1008" t="s">
        <v>107</v>
      </c>
      <c r="E215" s="1010"/>
      <c r="F215" s="1010"/>
      <c r="G215" s="1011"/>
      <c r="H215" s="1007" t="s">
        <v>96</v>
      </c>
      <c r="I215" s="880">
        <f ca="1">IFERROR(__xludf.DUMMYFUNCTION("IMPORTRANGE(""https://docs.google.com/spreadsheets/d/1QqKyyYR6Q21VydFLVH3TRQUabQu_ym0Zz7PgGX0-kHA/edit?usp=sharing"",""แผน!AN81"")"),0)</f>
        <v>0</v>
      </c>
      <c r="J215" s="1012">
        <v>0</v>
      </c>
      <c r="K215" s="881">
        <f t="shared" ca="1" si="102"/>
        <v>0</v>
      </c>
      <c r="L215" s="881"/>
      <c r="M215" s="881"/>
      <c r="N215" s="881"/>
      <c r="O215" s="881"/>
      <c r="P215" s="881"/>
      <c r="Q215" s="868"/>
      <c r="R215" s="868"/>
      <c r="S215" s="868"/>
      <c r="T215" s="868"/>
      <c r="U215" s="868"/>
      <c r="V215" s="868"/>
      <c r="W215" s="868"/>
      <c r="X215" s="868"/>
      <c r="Y215" s="868"/>
      <c r="Z215" s="868"/>
    </row>
    <row r="216" spans="1:26" ht="19.5">
      <c r="A216" s="1063"/>
      <c r="B216" s="1070"/>
      <c r="C216" s="1077" t="s">
        <v>108</v>
      </c>
      <c r="D216" s="1064"/>
      <c r="E216" s="1064"/>
      <c r="F216" s="1091"/>
      <c r="G216" s="1066"/>
      <c r="H216" s="260" t="s">
        <v>109</v>
      </c>
      <c r="I216" s="1078">
        <f t="shared" ref="I216:J216" ca="1" si="103">I224</f>
        <v>20000</v>
      </c>
      <c r="J216" s="1078">
        <f t="shared" si="103"/>
        <v>0</v>
      </c>
      <c r="K216" s="1079">
        <f t="shared" ca="1" si="102"/>
        <v>0</v>
      </c>
      <c r="L216" s="1068"/>
      <c r="M216" s="1068"/>
      <c r="N216" s="1068"/>
      <c r="O216" s="1068"/>
      <c r="P216" s="1068"/>
    </row>
    <row r="217" spans="1:26" ht="19.5">
      <c r="A217" s="985"/>
      <c r="B217" s="986"/>
      <c r="C217" s="987" t="s">
        <v>16</v>
      </c>
      <c r="D217" s="1080" t="s">
        <v>17</v>
      </c>
      <c r="E217" s="986"/>
      <c r="F217" s="986"/>
      <c r="G217" s="989"/>
      <c r="H217" s="275" t="s">
        <v>12</v>
      </c>
      <c r="I217" s="1082"/>
      <c r="J217" s="1082"/>
      <c r="K217" s="1083"/>
      <c r="L217" s="992">
        <f ca="1">L218+L219+L220</f>
        <v>8000</v>
      </c>
      <c r="M217" s="992"/>
      <c r="N217" s="992">
        <f>N218+N219+N220</f>
        <v>0</v>
      </c>
      <c r="O217" s="992">
        <f ca="1">IF(L217&gt;0,N217*100/L217,0)</f>
        <v>0</v>
      </c>
      <c r="P217" s="992">
        <f>IF(M217&gt;0,N217*100/M217,0)</f>
        <v>0</v>
      </c>
      <c r="Q217" s="868"/>
      <c r="R217" s="868"/>
      <c r="S217" s="868"/>
      <c r="T217" s="868"/>
      <c r="U217" s="868"/>
      <c r="V217" s="868"/>
      <c r="W217" s="868"/>
      <c r="X217" s="868"/>
      <c r="Y217" s="868"/>
      <c r="Z217" s="868"/>
    </row>
    <row r="218" spans="1:26" ht="18.75">
      <c r="A218" s="995"/>
      <c r="B218" s="1084"/>
      <c r="C218" s="877"/>
      <c r="D218" s="996" t="s">
        <v>97</v>
      </c>
      <c r="E218" s="877"/>
      <c r="F218" s="877"/>
      <c r="G218" s="879"/>
      <c r="H218" s="161" t="s">
        <v>12</v>
      </c>
      <c r="I218" s="997"/>
      <c r="J218" s="997"/>
      <c r="K218" s="998"/>
      <c r="L218" s="881">
        <f ca="1">IFERROR(__xludf.DUMMYFUNCTION("IMPORTRANGE(""https://docs.google.com/spreadsheets/d/1QqKyyYR6Q21VydFLVH3TRQUabQu_ym0Zz7PgGX0-kHA/edit?usp=sharing"",""แผน!AP81"")"),3000)</f>
        <v>3000</v>
      </c>
      <c r="M218" s="881"/>
      <c r="N218" s="1085">
        <v>0</v>
      </c>
      <c r="O218" s="881"/>
      <c r="P218" s="881"/>
      <c r="Q218" s="868"/>
      <c r="R218" s="868"/>
      <c r="S218" s="868"/>
      <c r="T218" s="868"/>
      <c r="U218" s="868"/>
      <c r="V218" s="868"/>
      <c r="W218" s="868"/>
      <c r="X218" s="868"/>
      <c r="Y218" s="868"/>
      <c r="Z218" s="868"/>
    </row>
    <row r="219" spans="1:26" ht="19.5">
      <c r="A219" s="1086"/>
      <c r="B219" s="1084"/>
      <c r="C219" s="1092"/>
      <c r="D219" s="996" t="s">
        <v>110</v>
      </c>
      <c r="E219" s="877"/>
      <c r="F219" s="877"/>
      <c r="G219" s="879"/>
      <c r="H219" s="161" t="s">
        <v>12</v>
      </c>
      <c r="I219" s="880"/>
      <c r="J219" s="880"/>
      <c r="K219" s="881"/>
      <c r="L219" s="881">
        <f ca="1">IFERROR(__xludf.DUMMYFUNCTION("IMPORTRANGE(""https://docs.google.com/spreadsheets/d/1QqKyyYR6Q21VydFLVH3TRQUabQu_ym0Zz7PgGX0-kHA/edit?usp=sharing"",""แผน!AQ81"")"),5000)</f>
        <v>5000</v>
      </c>
      <c r="M219" s="881"/>
      <c r="N219" s="1085">
        <v>0</v>
      </c>
      <c r="O219" s="881"/>
      <c r="P219" s="881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</row>
    <row r="220" spans="1:26" ht="19.5">
      <c r="A220" s="1086"/>
      <c r="B220" s="1084"/>
      <c r="C220" s="1092"/>
      <c r="D220" s="996" t="s">
        <v>98</v>
      </c>
      <c r="E220" s="877"/>
      <c r="F220" s="877"/>
      <c r="G220" s="879"/>
      <c r="H220" s="161" t="s">
        <v>12</v>
      </c>
      <c r="I220" s="880"/>
      <c r="J220" s="880"/>
      <c r="K220" s="881"/>
      <c r="L220" s="881">
        <f ca="1">IFERROR(__xludf.DUMMYFUNCTION("IMPORTRANGE(""https://docs.google.com/spreadsheets/d/1QqKyyYR6Q21VydFLVH3TRQUabQu_ym0Zz7PgGX0-kHA/edit?usp=sharing"",""แผน!AR81"")"),0)</f>
        <v>0</v>
      </c>
      <c r="M220" s="881"/>
      <c r="N220" s="1085">
        <v>0</v>
      </c>
      <c r="O220" s="881"/>
      <c r="P220" s="881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</row>
    <row r="221" spans="1:26" ht="19.5">
      <c r="A221" s="1002"/>
      <c r="B221" s="1003"/>
      <c r="C221" s="1092" t="s">
        <v>16</v>
      </c>
      <c r="D221" s="1004" t="s">
        <v>38</v>
      </c>
      <c r="E221" s="1005"/>
      <c r="F221" s="1005"/>
      <c r="G221" s="1006"/>
      <c r="H221" s="1007"/>
      <c r="I221" s="997"/>
      <c r="J221" s="997"/>
      <c r="K221" s="998"/>
      <c r="L221" s="998"/>
      <c r="M221" s="998"/>
      <c r="N221" s="998"/>
      <c r="O221" s="998"/>
      <c r="P221" s="99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8"/>
    </row>
    <row r="222" spans="1:26" ht="18.75">
      <c r="A222" s="1002"/>
      <c r="B222" s="1003"/>
      <c r="C222" s="1003"/>
      <c r="D222" s="996" t="s">
        <v>111</v>
      </c>
      <c r="E222" s="1010"/>
      <c r="F222" s="1010"/>
      <c r="G222" s="1011"/>
      <c r="H222" s="1007"/>
      <c r="I222" s="880"/>
      <c r="J222" s="880"/>
      <c r="K222" s="998"/>
      <c r="L222" s="998"/>
      <c r="M222" s="998"/>
      <c r="N222" s="998"/>
      <c r="O222" s="998"/>
      <c r="P222" s="998"/>
      <c r="Q222" s="868"/>
      <c r="R222" s="868"/>
      <c r="S222" s="868"/>
      <c r="T222" s="868"/>
      <c r="U222" s="868"/>
      <c r="V222" s="868"/>
      <c r="W222" s="868"/>
      <c r="X222" s="868"/>
      <c r="Y222" s="868"/>
      <c r="Z222" s="868"/>
    </row>
    <row r="223" spans="1:26" ht="18.75">
      <c r="A223" s="1002"/>
      <c r="B223" s="1003"/>
      <c r="C223" s="1003"/>
      <c r="D223" s="1003"/>
      <c r="E223" s="1008" t="s">
        <v>112</v>
      </c>
      <c r="F223" s="1010"/>
      <c r="G223" s="1011"/>
      <c r="H223" s="762" t="s">
        <v>109</v>
      </c>
      <c r="I223" s="880">
        <f ca="1">IFERROR(__xludf.DUMMYFUNCTION("IMPORTRANGE(""https://docs.google.com/spreadsheets/d/1QqKyyYR6Q21VydFLVH3TRQUabQu_ym0Zz7PgGX0-kHA/edit?usp=sharing"",""แผน!AT81"")"),20000)</f>
        <v>20000</v>
      </c>
      <c r="J223" s="1012">
        <v>0</v>
      </c>
      <c r="K223" s="998">
        <f t="shared" ref="K223:K226" ca="1" si="104">IF(I223&gt;0,J223*100/I223,0)</f>
        <v>0</v>
      </c>
      <c r="L223" s="998"/>
      <c r="M223" s="998"/>
      <c r="N223" s="998"/>
      <c r="O223" s="998"/>
      <c r="P223" s="998"/>
      <c r="Q223" s="868"/>
      <c r="R223" s="868"/>
      <c r="S223" s="868"/>
      <c r="T223" s="868"/>
      <c r="U223" s="868"/>
      <c r="V223" s="868"/>
      <c r="W223" s="868"/>
      <c r="X223" s="868"/>
      <c r="Y223" s="868"/>
      <c r="Z223" s="868"/>
    </row>
    <row r="224" spans="1:26" ht="18.75">
      <c r="A224" s="1002"/>
      <c r="B224" s="1003"/>
      <c r="C224" s="1003"/>
      <c r="D224" s="1003"/>
      <c r="E224" s="1008" t="s">
        <v>113</v>
      </c>
      <c r="F224" s="1010"/>
      <c r="G224" s="1011"/>
      <c r="H224" s="762" t="s">
        <v>109</v>
      </c>
      <c r="I224" s="880">
        <f ca="1">IFERROR(__xludf.DUMMYFUNCTION("IMPORTRANGE(""https://docs.google.com/spreadsheets/d/1QqKyyYR6Q21VydFLVH3TRQUabQu_ym0Zz7PgGX0-kHA/edit?usp=sharing"",""แผน!AT81"")"),20000)</f>
        <v>20000</v>
      </c>
      <c r="J224" s="1012">
        <v>0</v>
      </c>
      <c r="K224" s="998">
        <f t="shared" ca="1" si="104"/>
        <v>0</v>
      </c>
      <c r="L224" s="881"/>
      <c r="M224" s="881"/>
      <c r="N224" s="881"/>
      <c r="O224" s="881"/>
      <c r="P224" s="881"/>
      <c r="Q224" s="868"/>
      <c r="R224" s="868"/>
      <c r="S224" s="868"/>
      <c r="T224" s="868"/>
      <c r="U224" s="868"/>
      <c r="V224" s="868"/>
      <c r="W224" s="868"/>
      <c r="X224" s="868"/>
      <c r="Y224" s="868"/>
      <c r="Z224" s="868"/>
    </row>
    <row r="225" spans="1:26" ht="18.75">
      <c r="A225" s="1002"/>
      <c r="B225" s="1003"/>
      <c r="C225" s="1003"/>
      <c r="D225" s="996" t="s">
        <v>114</v>
      </c>
      <c r="E225" s="1010"/>
      <c r="F225" s="1010"/>
      <c r="G225" s="1011"/>
      <c r="H225" s="762" t="s">
        <v>35</v>
      </c>
      <c r="I225" s="880">
        <f ca="1">IFERROR(__xludf.DUMMYFUNCTION("IMPORTRANGE(""https://docs.google.com/spreadsheets/d/1QqKyyYR6Q21VydFLVH3TRQUabQu_ym0Zz7PgGX0-kHA/edit?usp=sharing"",""แผน!AS81"")"),0)</f>
        <v>0</v>
      </c>
      <c r="J225" s="1012">
        <v>0</v>
      </c>
      <c r="K225" s="998">
        <f t="shared" ca="1" si="104"/>
        <v>0</v>
      </c>
      <c r="L225" s="881"/>
      <c r="M225" s="881"/>
      <c r="N225" s="881"/>
      <c r="O225" s="881"/>
      <c r="P225" s="881"/>
      <c r="Q225" s="868"/>
      <c r="R225" s="868"/>
      <c r="S225" s="868"/>
      <c r="T225" s="868"/>
      <c r="U225" s="868"/>
      <c r="V225" s="868"/>
      <c r="W225" s="868"/>
      <c r="X225" s="868"/>
      <c r="Y225" s="868"/>
      <c r="Z225" s="868"/>
    </row>
    <row r="226" spans="1:26" ht="19.5" hidden="1">
      <c r="A226" s="1063"/>
      <c r="B226" s="1070"/>
      <c r="C226" s="1093" t="s">
        <v>115</v>
      </c>
      <c r="D226" s="1064"/>
      <c r="E226" s="1064"/>
      <c r="F226" s="1064"/>
      <c r="G226" s="1066"/>
      <c r="H226" s="266" t="s">
        <v>35</v>
      </c>
      <c r="I226" s="1094" t="e">
        <f t="shared" ref="I226:J226" ca="1" si="105">I237+I248</f>
        <v>#VALUE!</v>
      </c>
      <c r="J226" s="1094">
        <f t="shared" si="105"/>
        <v>0</v>
      </c>
      <c r="K226" s="1095" t="e">
        <f t="shared" ca="1" si="104"/>
        <v>#VALUE!</v>
      </c>
      <c r="L226" s="1068"/>
      <c r="M226" s="1068"/>
      <c r="N226" s="1068"/>
      <c r="O226" s="1068"/>
      <c r="P226" s="1068"/>
    </row>
    <row r="227" spans="1:26" ht="19.5" hidden="1">
      <c r="A227" s="1096"/>
      <c r="B227" s="1097"/>
      <c r="C227" s="1098" t="s">
        <v>16</v>
      </c>
      <c r="D227" s="1099" t="s">
        <v>17</v>
      </c>
      <c r="E227" s="1097"/>
      <c r="F227" s="1097"/>
      <c r="G227" s="1100"/>
      <c r="H227" s="353" t="s">
        <v>12</v>
      </c>
      <c r="I227" s="1101"/>
      <c r="J227" s="1101"/>
      <c r="K227" s="1102"/>
      <c r="L227" s="1103">
        <f t="shared" ref="L227:L231" ca="1" si="106">L238+L249</f>
        <v>0</v>
      </c>
      <c r="M227" s="1103"/>
      <c r="N227" s="1103">
        <f t="shared" ref="N227:N231" si="107">N238+N249</f>
        <v>0</v>
      </c>
      <c r="O227" s="1104"/>
      <c r="P227" s="1104"/>
      <c r="Q227" s="875"/>
      <c r="R227" s="875"/>
      <c r="S227" s="875"/>
      <c r="T227" s="875"/>
      <c r="U227" s="875"/>
      <c r="V227" s="875"/>
      <c r="W227" s="875"/>
      <c r="X227" s="875"/>
      <c r="Y227" s="875"/>
      <c r="Z227" s="875"/>
    </row>
    <row r="228" spans="1:26" ht="18.75" hidden="1">
      <c r="A228" s="993"/>
      <c r="B228" s="1105"/>
      <c r="C228" s="883"/>
      <c r="D228" s="884" t="s">
        <v>97</v>
      </c>
      <c r="E228" s="883"/>
      <c r="F228" s="883"/>
      <c r="G228" s="885"/>
      <c r="H228" s="165" t="s">
        <v>12</v>
      </c>
      <c r="I228" s="1000"/>
      <c r="J228" s="1000"/>
      <c r="K228" s="1001"/>
      <c r="L228" s="887">
        <f t="shared" ca="1" si="106"/>
        <v>0</v>
      </c>
      <c r="M228" s="887"/>
      <c r="N228" s="887">
        <f t="shared" si="107"/>
        <v>0</v>
      </c>
      <c r="O228" s="887"/>
      <c r="P228" s="887"/>
      <c r="Q228" s="875"/>
      <c r="R228" s="875"/>
      <c r="S228" s="875"/>
      <c r="T228" s="875"/>
      <c r="U228" s="875"/>
      <c r="V228" s="875"/>
      <c r="W228" s="875"/>
      <c r="X228" s="875"/>
      <c r="Y228" s="875"/>
      <c r="Z228" s="875"/>
    </row>
    <row r="229" spans="1:26" ht="19.5" hidden="1">
      <c r="A229" s="1106"/>
      <c r="B229" s="1105"/>
      <c r="C229" s="1107"/>
      <c r="D229" s="884" t="s">
        <v>98</v>
      </c>
      <c r="E229" s="883"/>
      <c r="F229" s="883"/>
      <c r="G229" s="885"/>
      <c r="H229" s="165" t="s">
        <v>12</v>
      </c>
      <c r="I229" s="886"/>
      <c r="J229" s="886"/>
      <c r="K229" s="887"/>
      <c r="L229" s="887">
        <f t="shared" ca="1" si="106"/>
        <v>0</v>
      </c>
      <c r="M229" s="887"/>
      <c r="N229" s="887">
        <f t="shared" si="107"/>
        <v>0</v>
      </c>
      <c r="O229" s="887"/>
      <c r="P229" s="887"/>
      <c r="Q229" s="1108"/>
      <c r="R229" s="1108"/>
      <c r="S229" s="1108"/>
      <c r="T229" s="1108"/>
      <c r="U229" s="1108"/>
      <c r="V229" s="1108"/>
      <c r="W229" s="1108"/>
      <c r="X229" s="1108"/>
      <c r="Y229" s="1108"/>
      <c r="Z229" s="1108"/>
    </row>
    <row r="230" spans="1:26" ht="19.5" hidden="1">
      <c r="A230" s="1106"/>
      <c r="B230" s="1105"/>
      <c r="C230" s="1107"/>
      <c r="D230" s="884" t="s">
        <v>116</v>
      </c>
      <c r="E230" s="883"/>
      <c r="F230" s="883"/>
      <c r="G230" s="885"/>
      <c r="H230" s="165" t="s">
        <v>12</v>
      </c>
      <c r="I230" s="886"/>
      <c r="J230" s="886"/>
      <c r="K230" s="887"/>
      <c r="L230" s="887">
        <f t="shared" ca="1" si="106"/>
        <v>0</v>
      </c>
      <c r="M230" s="887"/>
      <c r="N230" s="887">
        <f t="shared" si="107"/>
        <v>0</v>
      </c>
      <c r="O230" s="887"/>
      <c r="P230" s="887"/>
      <c r="Q230" s="1108"/>
      <c r="R230" s="1108"/>
      <c r="S230" s="1108"/>
      <c r="T230" s="1108"/>
      <c r="U230" s="1108"/>
      <c r="V230" s="1108"/>
      <c r="W230" s="1108"/>
      <c r="X230" s="1108"/>
      <c r="Y230" s="1108"/>
      <c r="Z230" s="1108"/>
    </row>
    <row r="231" spans="1:26" ht="19.5" hidden="1">
      <c r="A231" s="1106"/>
      <c r="B231" s="1105"/>
      <c r="C231" s="1107"/>
      <c r="D231" s="884" t="s">
        <v>100</v>
      </c>
      <c r="E231" s="883"/>
      <c r="F231" s="883"/>
      <c r="G231" s="885"/>
      <c r="H231" s="165" t="s">
        <v>12</v>
      </c>
      <c r="I231" s="886"/>
      <c r="J231" s="886"/>
      <c r="K231" s="887"/>
      <c r="L231" s="887">
        <f t="shared" ca="1" si="106"/>
        <v>0</v>
      </c>
      <c r="M231" s="887"/>
      <c r="N231" s="887">
        <f t="shared" si="107"/>
        <v>0</v>
      </c>
      <c r="O231" s="887"/>
      <c r="P231" s="887"/>
      <c r="Q231" s="1108"/>
      <c r="R231" s="1108"/>
      <c r="S231" s="1108"/>
      <c r="T231" s="1108"/>
      <c r="U231" s="1108"/>
      <c r="V231" s="1108"/>
      <c r="W231" s="1108"/>
      <c r="X231" s="1108"/>
      <c r="Y231" s="1108"/>
      <c r="Z231" s="1108"/>
    </row>
    <row r="232" spans="1:26" ht="19.5" hidden="1">
      <c r="A232" s="1109"/>
      <c r="B232" s="1110"/>
      <c r="C232" s="1107" t="s">
        <v>16</v>
      </c>
      <c r="D232" s="1072" t="s">
        <v>38</v>
      </c>
      <c r="E232" s="1111"/>
      <c r="F232" s="1111"/>
      <c r="G232" s="1112"/>
      <c r="H232" s="1113"/>
      <c r="I232" s="1000"/>
      <c r="J232" s="886"/>
      <c r="K232" s="887"/>
      <c r="L232" s="887"/>
      <c r="M232" s="887"/>
      <c r="N232" s="887"/>
      <c r="O232" s="1001"/>
      <c r="P232" s="1001"/>
      <c r="Q232" s="875"/>
      <c r="R232" s="875"/>
      <c r="S232" s="875"/>
      <c r="T232" s="875"/>
      <c r="U232" s="875"/>
      <c r="V232" s="875"/>
      <c r="W232" s="875"/>
      <c r="X232" s="875"/>
      <c r="Y232" s="875"/>
      <c r="Z232" s="875"/>
    </row>
    <row r="233" spans="1:26" ht="18.75" hidden="1">
      <c r="A233" s="1109"/>
      <c r="B233" s="1110"/>
      <c r="C233" s="1110"/>
      <c r="D233" s="1074" t="s">
        <v>117</v>
      </c>
      <c r="E233" s="1114"/>
      <c r="F233" s="1114"/>
      <c r="G233" s="1115"/>
      <c r="H233" s="370" t="s">
        <v>35</v>
      </c>
      <c r="I233" s="886" t="e">
        <f t="shared" ref="I233:J233" ca="1" si="108">I244+I255</f>
        <v>#VALUE!</v>
      </c>
      <c r="J233" s="886">
        <f t="shared" si="108"/>
        <v>0</v>
      </c>
      <c r="K233" s="887" t="e">
        <f ca="1">IF(I233&gt;0,J233*100/I233,0)</f>
        <v>#VALUE!</v>
      </c>
      <c r="L233" s="887"/>
      <c r="M233" s="887"/>
      <c r="N233" s="887"/>
      <c r="O233" s="887"/>
      <c r="P233" s="887"/>
      <c r="Q233" s="875"/>
      <c r="R233" s="875"/>
      <c r="S233" s="875"/>
      <c r="T233" s="875"/>
      <c r="U233" s="875"/>
      <c r="V233" s="875"/>
      <c r="W233" s="875"/>
      <c r="X233" s="875"/>
      <c r="Y233" s="875"/>
      <c r="Z233" s="875"/>
    </row>
    <row r="234" spans="1:26" ht="18.75" hidden="1">
      <c r="A234" s="1109"/>
      <c r="B234" s="1110"/>
      <c r="C234" s="1110"/>
      <c r="D234" s="1116" t="s">
        <v>43</v>
      </c>
      <c r="E234" s="1114"/>
      <c r="F234" s="1114"/>
      <c r="G234" s="1115"/>
      <c r="H234" s="370"/>
      <c r="I234" s="886"/>
      <c r="J234" s="886"/>
      <c r="K234" s="887"/>
      <c r="L234" s="887"/>
      <c r="M234" s="887"/>
      <c r="N234" s="887"/>
      <c r="O234" s="1001"/>
      <c r="P234" s="1001"/>
      <c r="Q234" s="875"/>
      <c r="R234" s="875"/>
      <c r="S234" s="875"/>
      <c r="T234" s="875"/>
      <c r="U234" s="875"/>
      <c r="V234" s="875"/>
      <c r="W234" s="875"/>
      <c r="X234" s="875"/>
      <c r="Y234" s="875"/>
      <c r="Z234" s="875"/>
    </row>
    <row r="235" spans="1:26" ht="18.75" hidden="1">
      <c r="A235" s="1109"/>
      <c r="B235" s="1110"/>
      <c r="C235" s="1110"/>
      <c r="D235" s="1110"/>
      <c r="E235" s="1073" t="s">
        <v>118</v>
      </c>
      <c r="F235" s="1114"/>
      <c r="G235" s="1115"/>
      <c r="H235" s="370" t="s">
        <v>35</v>
      </c>
      <c r="I235" s="886">
        <f t="shared" ref="I235:J236" si="109">I246+I257</f>
        <v>0</v>
      </c>
      <c r="J235" s="886">
        <f t="shared" si="109"/>
        <v>0</v>
      </c>
      <c r="K235" s="887">
        <f t="shared" ref="K235:K237" si="110">IF(I235&gt;0,J235*100/I235,0)</f>
        <v>0</v>
      </c>
      <c r="L235" s="887"/>
      <c r="M235" s="887"/>
      <c r="N235" s="887"/>
      <c r="O235" s="887"/>
      <c r="P235" s="887"/>
      <c r="Q235" s="875"/>
      <c r="R235" s="875"/>
      <c r="S235" s="875"/>
      <c r="T235" s="875"/>
      <c r="U235" s="875"/>
      <c r="V235" s="875"/>
      <c r="W235" s="875"/>
      <c r="X235" s="875"/>
      <c r="Y235" s="875"/>
      <c r="Z235" s="875"/>
    </row>
    <row r="236" spans="1:26" ht="18.75" hidden="1">
      <c r="A236" s="1109"/>
      <c r="B236" s="1110"/>
      <c r="C236" s="1110"/>
      <c r="D236" s="1110"/>
      <c r="E236" s="1073" t="s">
        <v>119</v>
      </c>
      <c r="F236" s="1114"/>
      <c r="G236" s="1115"/>
      <c r="H236" s="370" t="s">
        <v>66</v>
      </c>
      <c r="I236" s="886">
        <f t="shared" si="109"/>
        <v>0</v>
      </c>
      <c r="J236" s="886">
        <f t="shared" si="109"/>
        <v>0</v>
      </c>
      <c r="K236" s="887">
        <f t="shared" si="110"/>
        <v>0</v>
      </c>
      <c r="L236" s="887"/>
      <c r="M236" s="887"/>
      <c r="N236" s="887"/>
      <c r="O236" s="887"/>
      <c r="P236" s="887"/>
      <c r="Q236" s="875"/>
      <c r="R236" s="875"/>
      <c r="S236" s="875"/>
      <c r="T236" s="875"/>
      <c r="U236" s="875"/>
      <c r="V236" s="875"/>
      <c r="W236" s="875"/>
      <c r="X236" s="875"/>
      <c r="Y236" s="875"/>
      <c r="Z236" s="875"/>
    </row>
    <row r="237" spans="1:26" ht="19.5" hidden="1">
      <c r="A237" s="1063"/>
      <c r="B237" s="1070"/>
      <c r="C237" s="1077" t="s">
        <v>332</v>
      </c>
      <c r="D237" s="1064"/>
      <c r="E237" s="1064"/>
      <c r="F237" s="1064"/>
      <c r="G237" s="1066"/>
      <c r="H237" s="260" t="s">
        <v>35</v>
      </c>
      <c r="I237" s="1078">
        <f t="shared" ref="I237:J237" ca="1" si="111">I244</f>
        <v>0</v>
      </c>
      <c r="J237" s="1078">
        <f t="shared" si="111"/>
        <v>0</v>
      </c>
      <c r="K237" s="1079">
        <f t="shared" ca="1" si="110"/>
        <v>0</v>
      </c>
      <c r="L237" s="1068"/>
      <c r="M237" s="1068"/>
      <c r="N237" s="1068"/>
      <c r="O237" s="1068"/>
      <c r="P237" s="1068"/>
    </row>
    <row r="238" spans="1:26" ht="19.5" hidden="1">
      <c r="A238" s="985"/>
      <c r="B238" s="986"/>
      <c r="C238" s="987" t="s">
        <v>16</v>
      </c>
      <c r="D238" s="988" t="s">
        <v>17</v>
      </c>
      <c r="E238" s="986"/>
      <c r="F238" s="986"/>
      <c r="G238" s="989"/>
      <c r="H238" s="275" t="s">
        <v>12</v>
      </c>
      <c r="I238" s="1082"/>
      <c r="J238" s="1082"/>
      <c r="K238" s="1083"/>
      <c r="L238" s="992">
        <f ca="1">L239+L240+L241+L242</f>
        <v>0</v>
      </c>
      <c r="M238" s="992"/>
      <c r="N238" s="992">
        <f>N239+N240+N241+N242</f>
        <v>0</v>
      </c>
      <c r="O238" s="992">
        <f ca="1">IF(L238&gt;0,N238*100/L238,0)</f>
        <v>0</v>
      </c>
      <c r="P238" s="992">
        <f>IF(M238&gt;0,N238*100/M238,0)</f>
        <v>0</v>
      </c>
      <c r="Q238" s="868"/>
      <c r="R238" s="868"/>
      <c r="S238" s="868"/>
      <c r="T238" s="868"/>
      <c r="U238" s="868"/>
      <c r="V238" s="868"/>
      <c r="W238" s="868"/>
      <c r="X238" s="868"/>
      <c r="Y238" s="868"/>
      <c r="Z238" s="868"/>
    </row>
    <row r="239" spans="1:26" ht="18.75" hidden="1">
      <c r="A239" s="1117"/>
      <c r="B239" s="1118"/>
      <c r="C239" s="1119"/>
      <c r="D239" s="1120" t="s">
        <v>97</v>
      </c>
      <c r="E239" s="1119"/>
      <c r="F239" s="1119"/>
      <c r="G239" s="1121"/>
      <c r="H239" s="319" t="s">
        <v>12</v>
      </c>
      <c r="I239" s="1122"/>
      <c r="J239" s="1122"/>
      <c r="K239" s="1123"/>
      <c r="L239" s="1124">
        <f ca="1">IFERROR(__xludf.DUMMYFUNCTION("IMPORTRANGE(""https://docs.google.com/spreadsheets/d/1QqKyyYR6Q21VydFLVH3TRQUabQu_ym0Zz7PgGX0-kHA/edit?usp=sharing"",""แผน!AV81"")"),0)</f>
        <v>0</v>
      </c>
      <c r="M239" s="1124"/>
      <c r="N239" s="1125">
        <v>0</v>
      </c>
      <c r="O239" s="1124"/>
      <c r="P239" s="1124"/>
      <c r="Q239" s="1126"/>
      <c r="R239" s="1126"/>
      <c r="S239" s="1126"/>
      <c r="T239" s="1126"/>
      <c r="U239" s="1126"/>
      <c r="V239" s="1126"/>
      <c r="W239" s="1126"/>
      <c r="X239" s="1126"/>
      <c r="Y239" s="1126"/>
      <c r="Z239" s="1126"/>
    </row>
    <row r="240" spans="1:26" ht="19.5" hidden="1">
      <c r="A240" s="1127"/>
      <c r="B240" s="1118"/>
      <c r="C240" s="1128"/>
      <c r="D240" s="1120" t="s">
        <v>98</v>
      </c>
      <c r="E240" s="1119"/>
      <c r="F240" s="1119"/>
      <c r="G240" s="1121"/>
      <c r="H240" s="319" t="s">
        <v>12</v>
      </c>
      <c r="I240" s="1129"/>
      <c r="J240" s="1129"/>
      <c r="K240" s="1124"/>
      <c r="L240" s="1124">
        <f ca="1">IFERROR(__xludf.DUMMYFUNCTION("IMPORTRANGE(""https://docs.google.com/spreadsheets/d/1QqKyyYR6Q21VydFLVH3TRQUabQu_ym0Zz7PgGX0-kHA/edit?usp=sharing"",""แผน!AW81"")"),0)</f>
        <v>0</v>
      </c>
      <c r="M240" s="1124"/>
      <c r="N240" s="1125">
        <v>0</v>
      </c>
      <c r="O240" s="1124"/>
      <c r="P240" s="1124"/>
      <c r="Q240" s="1130"/>
      <c r="R240" s="1130"/>
      <c r="S240" s="1130"/>
      <c r="T240" s="1130"/>
      <c r="U240" s="1130"/>
      <c r="V240" s="1130"/>
      <c r="W240" s="1130"/>
      <c r="X240" s="1130"/>
      <c r="Y240" s="1130"/>
      <c r="Z240" s="1130"/>
    </row>
    <row r="241" spans="1:26" ht="19.5" hidden="1">
      <c r="A241" s="1127"/>
      <c r="B241" s="1118"/>
      <c r="C241" s="1128"/>
      <c r="D241" s="1120" t="s">
        <v>116</v>
      </c>
      <c r="E241" s="1119"/>
      <c r="F241" s="1119"/>
      <c r="G241" s="1121"/>
      <c r="H241" s="319" t="s">
        <v>12</v>
      </c>
      <c r="I241" s="1129"/>
      <c r="J241" s="1129"/>
      <c r="K241" s="1124"/>
      <c r="L241" s="1124">
        <f ca="1">IFERROR(__xludf.DUMMYFUNCTION("IMPORTRANGE(""https://docs.google.com/spreadsheets/d/1QqKyyYR6Q21VydFLVH3TRQUabQu_ym0Zz7PgGX0-kHA/edit?usp=sharing"",""แผน!AX81"")"),0)</f>
        <v>0</v>
      </c>
      <c r="M241" s="1124"/>
      <c r="N241" s="1125">
        <v>0</v>
      </c>
      <c r="O241" s="1124"/>
      <c r="P241" s="1124"/>
      <c r="Q241" s="1130"/>
      <c r="R241" s="1130"/>
      <c r="S241" s="1130"/>
      <c r="T241" s="1130"/>
      <c r="U241" s="1130"/>
      <c r="V241" s="1130"/>
      <c r="W241" s="1130"/>
      <c r="X241" s="1130"/>
      <c r="Y241" s="1130"/>
      <c r="Z241" s="1130"/>
    </row>
    <row r="242" spans="1:26" ht="19.5" hidden="1">
      <c r="A242" s="1127"/>
      <c r="B242" s="1118"/>
      <c r="C242" s="1128"/>
      <c r="D242" s="1120" t="s">
        <v>100</v>
      </c>
      <c r="E242" s="1119"/>
      <c r="F242" s="1119"/>
      <c r="G242" s="1121"/>
      <c r="H242" s="319" t="s">
        <v>12</v>
      </c>
      <c r="I242" s="1129"/>
      <c r="J242" s="1129"/>
      <c r="K242" s="1124"/>
      <c r="L242" s="1124">
        <f ca="1">IFERROR(__xludf.DUMMYFUNCTION("IMPORTRANGE(""https://docs.google.com/spreadsheets/d/1QqKyyYR6Q21VydFLVH3TRQUabQu_ym0Zz7PgGX0-kHA/edit?usp=sharing"",""แผน!AY81"")"),0)</f>
        <v>0</v>
      </c>
      <c r="M242" s="1124"/>
      <c r="N242" s="1125">
        <v>0</v>
      </c>
      <c r="O242" s="1124"/>
      <c r="P242" s="1124"/>
      <c r="Q242" s="1130"/>
      <c r="R242" s="1130"/>
      <c r="S242" s="1130"/>
      <c r="T242" s="1130"/>
      <c r="U242" s="1130"/>
      <c r="V242" s="1130"/>
      <c r="W242" s="1130"/>
      <c r="X242" s="1130"/>
      <c r="Y242" s="1130"/>
      <c r="Z242" s="1130"/>
    </row>
    <row r="243" spans="1:26" ht="19.5" hidden="1">
      <c r="A243" s="1002"/>
      <c r="B243" s="1003"/>
      <c r="C243" s="1092" t="s">
        <v>16</v>
      </c>
      <c r="D243" s="1004" t="s">
        <v>38</v>
      </c>
      <c r="E243" s="1005"/>
      <c r="F243" s="1005"/>
      <c r="G243" s="1006"/>
      <c r="H243" s="1007"/>
      <c r="I243" s="997"/>
      <c r="J243" s="880"/>
      <c r="K243" s="881"/>
      <c r="L243" s="881"/>
      <c r="M243" s="881"/>
      <c r="N243" s="881"/>
      <c r="O243" s="998"/>
      <c r="P243" s="998"/>
      <c r="Q243" s="868"/>
      <c r="R243" s="868"/>
      <c r="S243" s="868"/>
      <c r="T243" s="868"/>
      <c r="U243" s="868"/>
      <c r="V243" s="868"/>
      <c r="W243" s="868"/>
      <c r="X243" s="868"/>
      <c r="Y243" s="868"/>
      <c r="Z243" s="868"/>
    </row>
    <row r="244" spans="1:26" ht="18.75" hidden="1">
      <c r="A244" s="1002"/>
      <c r="B244" s="1003"/>
      <c r="C244" s="1003"/>
      <c r="D244" s="1009" t="s">
        <v>117</v>
      </c>
      <c r="E244" s="1010"/>
      <c r="F244" s="1010"/>
      <c r="G244" s="1011"/>
      <c r="H244" s="762" t="s">
        <v>35</v>
      </c>
      <c r="I244" s="880">
        <f ca="1">IFERROR(__xludf.DUMMYFUNCTION("IMPORTRANGE(""https://docs.google.com/spreadsheets/d/1QqKyyYR6Q21VydFLVH3TRQUabQu_ym0Zz7PgGX0-kHA/edit?usp=sharing"",""แผน!BE81"")"),0)</f>
        <v>0</v>
      </c>
      <c r="J244" s="1012">
        <v>0</v>
      </c>
      <c r="K244" s="881">
        <f ca="1">IF(I244&gt;0,J244*100/I244,0)</f>
        <v>0</v>
      </c>
      <c r="L244" s="881"/>
      <c r="M244" s="881"/>
      <c r="N244" s="881"/>
      <c r="O244" s="881"/>
      <c r="P244" s="881"/>
      <c r="Q244" s="868"/>
      <c r="R244" s="868"/>
      <c r="S244" s="868"/>
      <c r="T244" s="868"/>
      <c r="U244" s="868"/>
      <c r="V244" s="868"/>
      <c r="W244" s="868"/>
      <c r="X244" s="868"/>
      <c r="Y244" s="868"/>
      <c r="Z244" s="868"/>
    </row>
    <row r="245" spans="1:26" ht="18.75" hidden="1">
      <c r="A245" s="1002"/>
      <c r="B245" s="1003"/>
      <c r="C245" s="1003"/>
      <c r="D245" s="1131" t="s">
        <v>43</v>
      </c>
      <c r="E245" s="1010"/>
      <c r="F245" s="1010"/>
      <c r="G245" s="1011"/>
      <c r="H245" s="762"/>
      <c r="I245" s="880"/>
      <c r="J245" s="880"/>
      <c r="K245" s="881"/>
      <c r="L245" s="881"/>
      <c r="M245" s="881"/>
      <c r="N245" s="881"/>
      <c r="O245" s="998"/>
      <c r="P245" s="998"/>
      <c r="Q245" s="868"/>
      <c r="R245" s="868"/>
      <c r="S245" s="868"/>
      <c r="T245" s="868"/>
      <c r="U245" s="868"/>
      <c r="V245" s="868"/>
      <c r="W245" s="868"/>
      <c r="X245" s="868"/>
      <c r="Y245" s="868"/>
      <c r="Z245" s="868"/>
    </row>
    <row r="246" spans="1:26" ht="18.75" hidden="1">
      <c r="A246" s="1002"/>
      <c r="B246" s="1003"/>
      <c r="C246" s="1003"/>
      <c r="D246" s="1003"/>
      <c r="E246" s="1008" t="s">
        <v>118</v>
      </c>
      <c r="F246" s="1010"/>
      <c r="G246" s="1011"/>
      <c r="H246" s="762" t="s">
        <v>35</v>
      </c>
      <c r="I246" s="880"/>
      <c r="J246" s="1012">
        <v>0</v>
      </c>
      <c r="K246" s="881">
        <f t="shared" ref="K246:K248" si="112">IF(I246&gt;0,J246*100/I246,0)</f>
        <v>0</v>
      </c>
      <c r="L246" s="881"/>
      <c r="M246" s="881"/>
      <c r="N246" s="881"/>
      <c r="O246" s="881"/>
      <c r="P246" s="881"/>
      <c r="Q246" s="868"/>
      <c r="R246" s="868"/>
      <c r="S246" s="868"/>
      <c r="T246" s="868"/>
      <c r="U246" s="868"/>
      <c r="V246" s="868"/>
      <c r="W246" s="868"/>
      <c r="X246" s="868"/>
      <c r="Y246" s="868"/>
      <c r="Z246" s="868"/>
    </row>
    <row r="247" spans="1:26" ht="18.75" hidden="1">
      <c r="A247" s="1002"/>
      <c r="B247" s="1003"/>
      <c r="C247" s="1003"/>
      <c r="D247" s="1003"/>
      <c r="E247" s="1008" t="s">
        <v>119</v>
      </c>
      <c r="F247" s="1010"/>
      <c r="G247" s="1011"/>
      <c r="H247" s="762" t="s">
        <v>66</v>
      </c>
      <c r="I247" s="880"/>
      <c r="J247" s="1012">
        <v>0</v>
      </c>
      <c r="K247" s="881">
        <f t="shared" si="112"/>
        <v>0</v>
      </c>
      <c r="L247" s="881"/>
      <c r="M247" s="881"/>
      <c r="N247" s="881"/>
      <c r="O247" s="881"/>
      <c r="P247" s="881"/>
      <c r="Q247" s="868"/>
      <c r="R247" s="868"/>
      <c r="S247" s="868"/>
      <c r="T247" s="868"/>
      <c r="U247" s="868"/>
      <c r="V247" s="868"/>
      <c r="W247" s="868"/>
      <c r="X247" s="868"/>
      <c r="Y247" s="868"/>
      <c r="Z247" s="868"/>
    </row>
    <row r="248" spans="1:26" ht="19.5" hidden="1">
      <c r="A248" s="1063"/>
      <c r="B248" s="1070"/>
      <c r="C248" s="1077" t="s">
        <v>333</v>
      </c>
      <c r="D248" s="1064"/>
      <c r="E248" s="1064"/>
      <c r="F248" s="1064"/>
      <c r="G248" s="1066"/>
      <c r="H248" s="260" t="s">
        <v>35</v>
      </c>
      <c r="I248" s="1078" t="str">
        <f t="shared" ref="I248:J248" ca="1" si="113">I255</f>
        <v/>
      </c>
      <c r="J248" s="1078">
        <f t="shared" si="113"/>
        <v>0</v>
      </c>
      <c r="K248" s="1079" t="e">
        <f t="shared" ca="1" si="112"/>
        <v>#VALUE!</v>
      </c>
      <c r="L248" s="1068"/>
      <c r="M248" s="1068"/>
      <c r="N248" s="1068"/>
      <c r="O248" s="1068"/>
      <c r="P248" s="1068"/>
    </row>
    <row r="249" spans="1:26" ht="19.5" hidden="1">
      <c r="A249" s="985"/>
      <c r="B249" s="986"/>
      <c r="C249" s="987" t="s">
        <v>16</v>
      </c>
      <c r="D249" s="1080" t="s">
        <v>17</v>
      </c>
      <c r="E249" s="986"/>
      <c r="F249" s="986"/>
      <c r="G249" s="989"/>
      <c r="H249" s="275" t="s">
        <v>12</v>
      </c>
      <c r="I249" s="1082"/>
      <c r="J249" s="1082"/>
      <c r="K249" s="1083"/>
      <c r="L249" s="992">
        <f ca="1">L250+L251+L252+L253</f>
        <v>0</v>
      </c>
      <c r="M249" s="992"/>
      <c r="N249" s="992">
        <f>N250+N251+N252+N253</f>
        <v>0</v>
      </c>
      <c r="O249" s="992">
        <f ca="1">IF(L249&gt;0,N249*100/L249,0)</f>
        <v>0</v>
      </c>
      <c r="P249" s="992">
        <f>IF(M249&gt;0,N249*100/M249,0)</f>
        <v>0</v>
      </c>
      <c r="Q249" s="868"/>
      <c r="R249" s="868"/>
      <c r="S249" s="868"/>
      <c r="T249" s="868"/>
      <c r="U249" s="868"/>
      <c r="V249" s="868"/>
      <c r="W249" s="868"/>
      <c r="X249" s="868"/>
      <c r="Y249" s="868"/>
      <c r="Z249" s="868"/>
    </row>
    <row r="250" spans="1:26" ht="18.75" hidden="1">
      <c r="A250" s="1117"/>
      <c r="B250" s="1118"/>
      <c r="C250" s="1119"/>
      <c r="D250" s="1120" t="s">
        <v>97</v>
      </c>
      <c r="E250" s="1119"/>
      <c r="F250" s="1119"/>
      <c r="G250" s="1121"/>
      <c r="H250" s="319" t="s">
        <v>12</v>
      </c>
      <c r="I250" s="1122"/>
      <c r="J250" s="1122"/>
      <c r="K250" s="1123"/>
      <c r="L250" s="1124">
        <f ca="1">IFERROR(__xludf.DUMMYFUNCTION("IMPORTRANGE(""https://docs.google.com/spreadsheets/d/1QqKyyYR6Q21VydFLVH3TRQUabQu_ym0Zz7PgGX0-kHA/edit?usp=sharing"",""แผน!AZ81"")"),0)</f>
        <v>0</v>
      </c>
      <c r="M250" s="1124"/>
      <c r="N250" s="1125">
        <v>0</v>
      </c>
      <c r="O250" s="1124"/>
      <c r="P250" s="1124"/>
      <c r="Q250" s="1126"/>
      <c r="R250" s="1126"/>
      <c r="S250" s="1126"/>
      <c r="T250" s="1126"/>
      <c r="U250" s="1126"/>
      <c r="V250" s="1126"/>
      <c r="W250" s="1126"/>
      <c r="X250" s="1126"/>
      <c r="Y250" s="1126"/>
      <c r="Z250" s="1126"/>
    </row>
    <row r="251" spans="1:26" ht="19.5" hidden="1">
      <c r="A251" s="1127"/>
      <c r="B251" s="1118"/>
      <c r="C251" s="1128"/>
      <c r="D251" s="1120" t="s">
        <v>98</v>
      </c>
      <c r="E251" s="1119"/>
      <c r="F251" s="1119"/>
      <c r="G251" s="1121"/>
      <c r="H251" s="319" t="s">
        <v>12</v>
      </c>
      <c r="I251" s="1129"/>
      <c r="J251" s="1129"/>
      <c r="K251" s="1124"/>
      <c r="L251" s="1124">
        <f ca="1">IFERROR(__xludf.DUMMYFUNCTION("IMPORTRANGE(""https://docs.google.com/spreadsheets/d/1QqKyyYR6Q21VydFLVH3TRQUabQu_ym0Zz7PgGX0-kHA/edit?usp=sharing"",""แผน!BA81"")"),0)</f>
        <v>0</v>
      </c>
      <c r="M251" s="1124"/>
      <c r="N251" s="1125">
        <v>0</v>
      </c>
      <c r="O251" s="1124"/>
      <c r="P251" s="1124"/>
      <c r="Q251" s="1130"/>
      <c r="R251" s="1130"/>
      <c r="S251" s="1130"/>
      <c r="T251" s="1130"/>
      <c r="U251" s="1130"/>
      <c r="V251" s="1130"/>
      <c r="W251" s="1130"/>
      <c r="X251" s="1130"/>
      <c r="Y251" s="1130"/>
      <c r="Z251" s="1130"/>
    </row>
    <row r="252" spans="1:26" ht="19.5" hidden="1">
      <c r="A252" s="1127"/>
      <c r="B252" s="1118"/>
      <c r="C252" s="1128"/>
      <c r="D252" s="1120" t="s">
        <v>116</v>
      </c>
      <c r="E252" s="1119"/>
      <c r="F252" s="1119"/>
      <c r="G252" s="1121"/>
      <c r="H252" s="319" t="s">
        <v>12</v>
      </c>
      <c r="I252" s="1129"/>
      <c r="J252" s="1129"/>
      <c r="K252" s="1124"/>
      <c r="L252" s="1124">
        <f ca="1">IFERROR(__xludf.DUMMYFUNCTION("IMPORTRANGE(""https://docs.google.com/spreadsheets/d/1QqKyyYR6Q21VydFLVH3TRQUabQu_ym0Zz7PgGX0-kHA/edit?usp=sharing"",""แผน!BB81"")"),0)</f>
        <v>0</v>
      </c>
      <c r="M252" s="1124"/>
      <c r="N252" s="1125">
        <v>0</v>
      </c>
      <c r="O252" s="1124"/>
      <c r="P252" s="1124"/>
      <c r="Q252" s="1130"/>
      <c r="R252" s="1130"/>
      <c r="S252" s="1130"/>
      <c r="T252" s="1130"/>
      <c r="U252" s="1130"/>
      <c r="V252" s="1130"/>
      <c r="W252" s="1130"/>
      <c r="X252" s="1130"/>
      <c r="Y252" s="1130"/>
      <c r="Z252" s="1130"/>
    </row>
    <row r="253" spans="1:26" ht="19.5" hidden="1">
      <c r="A253" s="1127"/>
      <c r="B253" s="1118"/>
      <c r="C253" s="1128"/>
      <c r="D253" s="1120" t="s">
        <v>100</v>
      </c>
      <c r="E253" s="1119"/>
      <c r="F253" s="1119"/>
      <c r="G253" s="1121"/>
      <c r="H253" s="319" t="s">
        <v>12</v>
      </c>
      <c r="I253" s="1129"/>
      <c r="J253" s="1129"/>
      <c r="K253" s="1124"/>
      <c r="L253" s="1124">
        <f ca="1">IFERROR(__xludf.DUMMYFUNCTION("IMPORTRANGE(""https://docs.google.com/spreadsheets/d/1QqKyyYR6Q21VydFLVH3TRQUabQu_ym0Zz7PgGX0-kHA/edit?usp=sharing"",""แผน!BC81"")"),0)</f>
        <v>0</v>
      </c>
      <c r="M253" s="1124"/>
      <c r="N253" s="1125">
        <v>0</v>
      </c>
      <c r="O253" s="1124"/>
      <c r="P253" s="1124"/>
      <c r="Q253" s="1130"/>
      <c r="R253" s="1130"/>
      <c r="S253" s="1130"/>
      <c r="T253" s="1130"/>
      <c r="U253" s="1130"/>
      <c r="V253" s="1130"/>
      <c r="W253" s="1130"/>
      <c r="X253" s="1130"/>
      <c r="Y253" s="1130"/>
      <c r="Z253" s="1130"/>
    </row>
    <row r="254" spans="1:26" ht="19.5" hidden="1">
      <c r="A254" s="1002"/>
      <c r="B254" s="1003"/>
      <c r="C254" s="1092" t="s">
        <v>16</v>
      </c>
      <c r="D254" s="1004" t="s">
        <v>38</v>
      </c>
      <c r="E254" s="1005"/>
      <c r="F254" s="1005"/>
      <c r="G254" s="1006"/>
      <c r="H254" s="1007"/>
      <c r="I254" s="997"/>
      <c r="J254" s="880"/>
      <c r="K254" s="881"/>
      <c r="L254" s="881"/>
      <c r="M254" s="881"/>
      <c r="N254" s="881"/>
      <c r="O254" s="998"/>
      <c r="P254" s="998"/>
      <c r="Q254" s="868"/>
      <c r="R254" s="868"/>
      <c r="S254" s="868"/>
      <c r="T254" s="868"/>
      <c r="U254" s="868"/>
      <c r="V254" s="868"/>
      <c r="W254" s="868"/>
      <c r="X254" s="868"/>
      <c r="Y254" s="868"/>
      <c r="Z254" s="868"/>
    </row>
    <row r="255" spans="1:26" ht="18.75" hidden="1">
      <c r="A255" s="1002"/>
      <c r="B255" s="1003"/>
      <c r="C255" s="1003"/>
      <c r="D255" s="1009" t="s">
        <v>117</v>
      </c>
      <c r="E255" s="1010"/>
      <c r="F255" s="1010"/>
      <c r="G255" s="1011"/>
      <c r="H255" s="762" t="s">
        <v>35</v>
      </c>
      <c r="I255" s="880" t="str">
        <f ca="1">IFERROR(__xludf.DUMMYFUNCTION("IMPORTRANGE(""https://docs.google.com/spreadsheets/d/1QqKyyYR6Q21VydFLVH3TRQUabQu_ym0Zz7PgGX0-kHA/edit?usp=sharing"",""แผน!BF81"")"),"")</f>
        <v/>
      </c>
      <c r="J255" s="1012">
        <v>0</v>
      </c>
      <c r="K255" s="881" t="e">
        <f ca="1">IF(I255&gt;0,J255*100/I255,0)</f>
        <v>#VALUE!</v>
      </c>
      <c r="L255" s="881"/>
      <c r="M255" s="881"/>
      <c r="N255" s="881"/>
      <c r="O255" s="881"/>
      <c r="P255" s="881"/>
      <c r="Q255" s="868"/>
      <c r="R255" s="868"/>
      <c r="S255" s="868"/>
      <c r="T255" s="868"/>
      <c r="U255" s="868"/>
      <c r="V255" s="868"/>
      <c r="W255" s="868"/>
      <c r="X255" s="868"/>
      <c r="Y255" s="868"/>
      <c r="Z255" s="868"/>
    </row>
    <row r="256" spans="1:26" ht="18.75" hidden="1">
      <c r="A256" s="1002"/>
      <c r="B256" s="1003"/>
      <c r="C256" s="1003"/>
      <c r="D256" s="1131" t="s">
        <v>43</v>
      </c>
      <c r="E256" s="1010"/>
      <c r="F256" s="1010"/>
      <c r="G256" s="1011"/>
      <c r="H256" s="762"/>
      <c r="I256" s="880"/>
      <c r="J256" s="880"/>
      <c r="K256" s="881"/>
      <c r="L256" s="881"/>
      <c r="M256" s="881"/>
      <c r="N256" s="881"/>
      <c r="O256" s="998"/>
      <c r="P256" s="998"/>
      <c r="Q256" s="868"/>
      <c r="R256" s="868"/>
      <c r="S256" s="868"/>
      <c r="T256" s="868"/>
      <c r="U256" s="868"/>
      <c r="V256" s="868"/>
      <c r="W256" s="868"/>
      <c r="X256" s="868"/>
      <c r="Y256" s="868"/>
      <c r="Z256" s="868"/>
    </row>
    <row r="257" spans="1:26" ht="18.75" hidden="1">
      <c r="A257" s="1002"/>
      <c r="B257" s="1003"/>
      <c r="C257" s="1003"/>
      <c r="D257" s="1003"/>
      <c r="E257" s="1008" t="s">
        <v>118</v>
      </c>
      <c r="F257" s="1010"/>
      <c r="G257" s="1011"/>
      <c r="H257" s="762" t="s">
        <v>35</v>
      </c>
      <c r="I257" s="880"/>
      <c r="J257" s="1012">
        <v>0</v>
      </c>
      <c r="K257" s="881">
        <f t="shared" ref="K257:K258" si="114">IF(I257&gt;0,J257*100/I257,0)</f>
        <v>0</v>
      </c>
      <c r="L257" s="881"/>
      <c r="M257" s="881"/>
      <c r="N257" s="881"/>
      <c r="O257" s="881"/>
      <c r="P257" s="881"/>
      <c r="Q257" s="868"/>
      <c r="R257" s="868"/>
      <c r="S257" s="868"/>
      <c r="T257" s="868"/>
      <c r="U257" s="868"/>
      <c r="V257" s="868"/>
      <c r="W257" s="868"/>
      <c r="X257" s="868"/>
      <c r="Y257" s="868"/>
      <c r="Z257" s="868"/>
    </row>
    <row r="258" spans="1:26" ht="18.75" hidden="1">
      <c r="A258" s="1002"/>
      <c r="B258" s="1003"/>
      <c r="C258" s="1003"/>
      <c r="D258" s="1003"/>
      <c r="E258" s="1008" t="s">
        <v>119</v>
      </c>
      <c r="F258" s="1010"/>
      <c r="G258" s="1011"/>
      <c r="H258" s="762" t="s">
        <v>66</v>
      </c>
      <c r="I258" s="880"/>
      <c r="J258" s="1012">
        <v>0</v>
      </c>
      <c r="K258" s="881">
        <f t="shared" si="114"/>
        <v>0</v>
      </c>
      <c r="L258" s="881"/>
      <c r="M258" s="881"/>
      <c r="N258" s="881"/>
      <c r="O258" s="881"/>
      <c r="P258" s="881"/>
      <c r="Q258" s="868"/>
      <c r="R258" s="868"/>
      <c r="S258" s="868"/>
      <c r="T258" s="868"/>
      <c r="U258" s="868"/>
      <c r="V258" s="868"/>
      <c r="W258" s="868"/>
      <c r="X258" s="868"/>
      <c r="Y258" s="868"/>
      <c r="Z258" s="868"/>
    </row>
    <row r="259" spans="1:26" ht="19.5">
      <c r="A259" s="1051" t="s">
        <v>122</v>
      </c>
      <c r="B259" s="1052"/>
      <c r="C259" s="1052"/>
      <c r="D259" s="1053"/>
      <c r="E259" s="1053"/>
      <c r="F259" s="1053"/>
      <c r="G259" s="1054"/>
      <c r="H259" s="1055"/>
      <c r="I259" s="1056"/>
      <c r="J259" s="1056"/>
      <c r="K259" s="1057"/>
      <c r="L259" s="1057"/>
      <c r="M259" s="1057"/>
      <c r="N259" s="1057"/>
      <c r="O259" s="1057"/>
      <c r="P259" s="1057"/>
    </row>
    <row r="260" spans="1:26" ht="19.5">
      <c r="A260" s="1058"/>
      <c r="B260" s="1059" t="s">
        <v>123</v>
      </c>
      <c r="C260" s="1060"/>
      <c r="D260" s="1005"/>
      <c r="E260" s="1005"/>
      <c r="F260" s="1005"/>
      <c r="G260" s="1006"/>
      <c r="H260" s="252" t="s">
        <v>35</v>
      </c>
      <c r="I260" s="1075">
        <f t="shared" ref="I260:J260" ca="1" si="115">I271</f>
        <v>22</v>
      </c>
      <c r="J260" s="1075">
        <f t="shared" si="115"/>
        <v>0</v>
      </c>
      <c r="K260" s="1076">
        <f ca="1">IF(I260&gt;0,J260*100/I260,0)</f>
        <v>0</v>
      </c>
      <c r="L260" s="1062"/>
      <c r="M260" s="1062"/>
      <c r="N260" s="1062"/>
      <c r="O260" s="1062"/>
      <c r="P260" s="1062"/>
    </row>
    <row r="261" spans="1:26" ht="19.5">
      <c r="A261" s="985"/>
      <c r="B261" s="986"/>
      <c r="C261" s="987" t="s">
        <v>16</v>
      </c>
      <c r="D261" s="988" t="s">
        <v>17</v>
      </c>
      <c r="E261" s="986"/>
      <c r="F261" s="986"/>
      <c r="G261" s="989"/>
      <c r="H261" s="152" t="s">
        <v>12</v>
      </c>
      <c r="I261" s="990"/>
      <c r="J261" s="990"/>
      <c r="K261" s="991"/>
      <c r="L261" s="992">
        <f t="shared" ref="L261:N261" ca="1" si="116">L262+L263</f>
        <v>26900</v>
      </c>
      <c r="M261" s="992">
        <f t="shared" ca="1" si="116"/>
        <v>0</v>
      </c>
      <c r="N261" s="992">
        <f t="shared" ca="1" si="116"/>
        <v>0</v>
      </c>
      <c r="O261" s="992">
        <f t="shared" ref="O261:O269" ca="1" si="117">IF(L261&gt;0,N261*100/L261,0)</f>
        <v>0</v>
      </c>
      <c r="P261" s="992">
        <f t="shared" ref="P261:P269" ca="1" si="118">IF(M261&gt;0,N261*100/M261,0)</f>
        <v>0</v>
      </c>
      <c r="Q261" s="868"/>
      <c r="R261" s="868"/>
      <c r="S261" s="868"/>
      <c r="T261" s="868"/>
      <c r="U261" s="868"/>
      <c r="V261" s="868"/>
      <c r="W261" s="868"/>
      <c r="X261" s="868"/>
      <c r="Y261" s="868"/>
      <c r="Z261" s="868"/>
    </row>
    <row r="262" spans="1:26" ht="18.75" hidden="1">
      <c r="A262" s="993"/>
      <c r="B262" s="883"/>
      <c r="C262" s="883"/>
      <c r="D262" s="883"/>
      <c r="E262" s="884" t="s">
        <v>18</v>
      </c>
      <c r="F262" s="883"/>
      <c r="G262" s="994"/>
      <c r="H262" s="158" t="s">
        <v>12</v>
      </c>
      <c r="I262" s="886"/>
      <c r="J262" s="886"/>
      <c r="K262" s="887"/>
      <c r="L262" s="887">
        <f t="shared" ref="L262:N263" si="119">L265+L268</f>
        <v>0</v>
      </c>
      <c r="M262" s="887">
        <f t="shared" si="119"/>
        <v>0</v>
      </c>
      <c r="N262" s="887">
        <f t="shared" si="119"/>
        <v>0</v>
      </c>
      <c r="O262" s="887">
        <f t="shared" si="117"/>
        <v>0</v>
      </c>
      <c r="P262" s="887">
        <f t="shared" si="118"/>
        <v>0</v>
      </c>
      <c r="Q262" s="875"/>
      <c r="R262" s="875"/>
      <c r="S262" s="875"/>
      <c r="T262" s="875"/>
      <c r="U262" s="875"/>
      <c r="V262" s="875"/>
      <c r="W262" s="875"/>
      <c r="X262" s="875"/>
      <c r="Y262" s="875"/>
      <c r="Z262" s="875"/>
    </row>
    <row r="263" spans="1:26" ht="18.75" hidden="1">
      <c r="A263" s="993"/>
      <c r="B263" s="883"/>
      <c r="C263" s="883"/>
      <c r="D263" s="883"/>
      <c r="E263" s="884" t="s">
        <v>19</v>
      </c>
      <c r="F263" s="883"/>
      <c r="G263" s="994"/>
      <c r="H263" s="158" t="s">
        <v>12</v>
      </c>
      <c r="I263" s="886"/>
      <c r="J263" s="886"/>
      <c r="K263" s="887"/>
      <c r="L263" s="887">
        <f t="shared" ca="1" si="119"/>
        <v>26900</v>
      </c>
      <c r="M263" s="887">
        <f t="shared" ca="1" si="119"/>
        <v>0</v>
      </c>
      <c r="N263" s="887">
        <f t="shared" ca="1" si="119"/>
        <v>0</v>
      </c>
      <c r="O263" s="887">
        <f t="shared" ca="1" si="117"/>
        <v>0</v>
      </c>
      <c r="P263" s="887">
        <f t="shared" ca="1" si="118"/>
        <v>0</v>
      </c>
      <c r="Q263" s="875"/>
      <c r="R263" s="875"/>
      <c r="S263" s="875"/>
      <c r="T263" s="875"/>
      <c r="U263" s="875"/>
      <c r="V263" s="875"/>
      <c r="W263" s="875"/>
      <c r="X263" s="875"/>
      <c r="Y263" s="875"/>
      <c r="Z263" s="875"/>
    </row>
    <row r="264" spans="1:26" ht="18.75">
      <c r="A264" s="995"/>
      <c r="B264" s="877"/>
      <c r="C264" s="996"/>
      <c r="D264" s="878" t="s">
        <v>20</v>
      </c>
      <c r="E264" s="877"/>
      <c r="F264" s="877"/>
      <c r="G264" s="879"/>
      <c r="H264" s="161" t="s">
        <v>12</v>
      </c>
      <c r="I264" s="997"/>
      <c r="J264" s="997"/>
      <c r="K264" s="998"/>
      <c r="L264" s="881">
        <f t="shared" ref="L264:N264" ca="1" si="120">L265+L266</f>
        <v>26900</v>
      </c>
      <c r="M264" s="881">
        <f t="shared" ca="1" si="120"/>
        <v>0</v>
      </c>
      <c r="N264" s="881">
        <f t="shared" ca="1" si="120"/>
        <v>0</v>
      </c>
      <c r="O264" s="881">
        <f t="shared" ca="1" si="117"/>
        <v>0</v>
      </c>
      <c r="P264" s="881">
        <f t="shared" ca="1" si="118"/>
        <v>0</v>
      </c>
      <c r="Q264" s="868"/>
      <c r="R264" s="868"/>
      <c r="S264" s="868"/>
      <c r="T264" s="868"/>
      <c r="U264" s="868"/>
      <c r="V264" s="868"/>
      <c r="W264" s="868"/>
      <c r="X264" s="868"/>
      <c r="Y264" s="868"/>
      <c r="Z264" s="868"/>
    </row>
    <row r="265" spans="1:26" ht="19.5" hidden="1">
      <c r="A265" s="993"/>
      <c r="B265" s="883"/>
      <c r="C265" s="999"/>
      <c r="D265" s="883"/>
      <c r="E265" s="884" t="s">
        <v>36</v>
      </c>
      <c r="F265" s="883"/>
      <c r="G265" s="994"/>
      <c r="H265" s="165" t="s">
        <v>12</v>
      </c>
      <c r="I265" s="1000"/>
      <c r="J265" s="1000"/>
      <c r="K265" s="1001"/>
      <c r="L265" s="887">
        <v>0</v>
      </c>
      <c r="M265" s="887">
        <v>0</v>
      </c>
      <c r="N265" s="887">
        <v>0</v>
      </c>
      <c r="O265" s="887">
        <f t="shared" si="117"/>
        <v>0</v>
      </c>
      <c r="P265" s="887">
        <f t="shared" si="118"/>
        <v>0</v>
      </c>
      <c r="Q265" s="875"/>
      <c r="R265" s="875"/>
      <c r="S265" s="875"/>
      <c r="T265" s="875"/>
      <c r="U265" s="875"/>
      <c r="V265" s="875"/>
      <c r="W265" s="875"/>
      <c r="X265" s="875"/>
      <c r="Y265" s="875"/>
      <c r="Z265" s="875"/>
    </row>
    <row r="266" spans="1:26" ht="19.5" hidden="1">
      <c r="A266" s="993"/>
      <c r="B266" s="883"/>
      <c r="C266" s="999"/>
      <c r="D266" s="883"/>
      <c r="E266" s="884" t="s">
        <v>37</v>
      </c>
      <c r="F266" s="883"/>
      <c r="G266" s="994"/>
      <c r="H266" s="165" t="s">
        <v>12</v>
      </c>
      <c r="I266" s="1000"/>
      <c r="J266" s="1000"/>
      <c r="K266" s="1001"/>
      <c r="L266" s="887">
        <f ca="1">IFERROR(__xludf.DUMMYFUNCTION("IMPORTRANGE(""https://docs.google.com/spreadsheets/d/1MeEWN-I1oV_STSDYn1IFDPWt_1FKiwhDph83XaGc0o0/edit?usp=sharing"",""งบพรบ!CY81"")"),26900)</f>
        <v>26900</v>
      </c>
      <c r="M266" s="887">
        <f ca="1">IFERROR(__xludf.DUMMYFUNCTION("IMPORTRANGE(""https://docs.google.com/spreadsheets/d/1MeEWN-I1oV_STSDYn1IFDPWt_1FKiwhDph83XaGc0o0/edit?usp=sharing"",""งบพรบ!DD81"")"),0)</f>
        <v>0</v>
      </c>
      <c r="N266" s="887">
        <f ca="1">IFERROR(__xludf.DUMMYFUNCTION("IMPORTRANGE(""https://docs.google.com/spreadsheets/d/1MeEWN-I1oV_STSDYn1IFDPWt_1FKiwhDph83XaGc0o0/edit?usp=sharing"",""งบพรบ!DF81"")"),0)</f>
        <v>0</v>
      </c>
      <c r="O266" s="887">
        <f t="shared" ca="1" si="117"/>
        <v>0</v>
      </c>
      <c r="P266" s="887">
        <f t="shared" ca="1" si="118"/>
        <v>0</v>
      </c>
      <c r="Q266" s="875"/>
      <c r="R266" s="875"/>
      <c r="S266" s="875"/>
      <c r="T266" s="875"/>
      <c r="U266" s="875"/>
      <c r="V266" s="875"/>
      <c r="W266" s="875"/>
      <c r="X266" s="875"/>
      <c r="Y266" s="875"/>
      <c r="Z266" s="875"/>
    </row>
    <row r="267" spans="1:26" ht="18.75">
      <c r="A267" s="995"/>
      <c r="B267" s="877"/>
      <c r="C267" s="996"/>
      <c r="D267" s="878" t="s">
        <v>21</v>
      </c>
      <c r="E267" s="877"/>
      <c r="F267" s="877"/>
      <c r="G267" s="879"/>
      <c r="H267" s="168" t="s">
        <v>12</v>
      </c>
      <c r="I267" s="997"/>
      <c r="J267" s="997"/>
      <c r="K267" s="998"/>
      <c r="L267" s="881">
        <f t="shared" ref="L267:N267" ca="1" si="121">L268+L269</f>
        <v>0</v>
      </c>
      <c r="M267" s="881">
        <f t="shared" ca="1" si="121"/>
        <v>0</v>
      </c>
      <c r="N267" s="881">
        <f t="shared" ca="1" si="121"/>
        <v>0</v>
      </c>
      <c r="O267" s="881">
        <f t="shared" ca="1" si="117"/>
        <v>0</v>
      </c>
      <c r="P267" s="881">
        <f t="shared" ca="1" si="118"/>
        <v>0</v>
      </c>
      <c r="Q267" s="868"/>
      <c r="R267" s="868"/>
      <c r="S267" s="868"/>
      <c r="T267" s="868"/>
      <c r="U267" s="868"/>
      <c r="V267" s="868"/>
      <c r="W267" s="868"/>
      <c r="X267" s="868"/>
      <c r="Y267" s="868"/>
      <c r="Z267" s="868"/>
    </row>
    <row r="268" spans="1:26" ht="19.5" hidden="1">
      <c r="A268" s="993"/>
      <c r="B268" s="883"/>
      <c r="C268" s="999"/>
      <c r="D268" s="883"/>
      <c r="E268" s="884" t="s">
        <v>18</v>
      </c>
      <c r="F268" s="883"/>
      <c r="G268" s="994"/>
      <c r="H268" s="165" t="s">
        <v>12</v>
      </c>
      <c r="I268" s="1000"/>
      <c r="J268" s="1000"/>
      <c r="K268" s="1001"/>
      <c r="L268" s="887">
        <v>0</v>
      </c>
      <c r="M268" s="887">
        <v>0</v>
      </c>
      <c r="N268" s="887">
        <v>0</v>
      </c>
      <c r="O268" s="887">
        <f t="shared" si="117"/>
        <v>0</v>
      </c>
      <c r="P268" s="887">
        <f t="shared" si="118"/>
        <v>0</v>
      </c>
      <c r="Q268" s="875"/>
      <c r="R268" s="875"/>
      <c r="S268" s="875"/>
      <c r="T268" s="875"/>
      <c r="U268" s="875"/>
      <c r="V268" s="875"/>
      <c r="W268" s="875"/>
      <c r="X268" s="875"/>
      <c r="Y268" s="875"/>
      <c r="Z268" s="875"/>
    </row>
    <row r="269" spans="1:26" ht="19.5" hidden="1">
      <c r="A269" s="993"/>
      <c r="B269" s="883"/>
      <c r="C269" s="999"/>
      <c r="D269" s="883"/>
      <c r="E269" s="884" t="s">
        <v>19</v>
      </c>
      <c r="F269" s="883"/>
      <c r="G269" s="994"/>
      <c r="H269" s="169" t="s">
        <v>12</v>
      </c>
      <c r="I269" s="1000"/>
      <c r="J269" s="1000"/>
      <c r="K269" s="1001"/>
      <c r="L269" s="887">
        <f ca="1">IFERROR(__xludf.DUMMYFUNCTION("IMPORTRANGE(""https://docs.google.com/spreadsheets/d/1MeEWN-I1oV_STSDYn1IFDPWt_1FKiwhDph83XaGc0o0/edit?usp=sharing"",""งบพรบ!DB81"")"),0)</f>
        <v>0</v>
      </c>
      <c r="M269" s="887">
        <f ca="1">IFERROR(__xludf.DUMMYFUNCTION("IMPORTRANGE(""https://docs.google.com/spreadsheets/d/1MeEWN-I1oV_STSDYn1IFDPWt_1FKiwhDph83XaGc0o0/edit?usp=sharing"",""งบพรบ!DE81"")"),0)</f>
        <v>0</v>
      </c>
      <c r="N269" s="887">
        <f ca="1">IFERROR(__xludf.DUMMYFUNCTION("IMPORTRANGE(""https://docs.google.com/spreadsheets/d/1MeEWN-I1oV_STSDYn1IFDPWt_1FKiwhDph83XaGc0o0/edit?usp=sharing"",""งบพรบ!DG81"")"),0)</f>
        <v>0</v>
      </c>
      <c r="O269" s="887">
        <f t="shared" ca="1" si="117"/>
        <v>0</v>
      </c>
      <c r="P269" s="887">
        <f t="shared" ca="1" si="118"/>
        <v>0</v>
      </c>
      <c r="Q269" s="875"/>
      <c r="R269" s="875"/>
      <c r="S269" s="875"/>
      <c r="T269" s="875"/>
      <c r="U269" s="875"/>
      <c r="V269" s="875"/>
      <c r="W269" s="875"/>
      <c r="X269" s="875"/>
      <c r="Y269" s="875"/>
      <c r="Z269" s="875"/>
    </row>
    <row r="270" spans="1:26" ht="19.5">
      <c r="A270" s="1002"/>
      <c r="B270" s="1003"/>
      <c r="C270" s="996" t="s">
        <v>16</v>
      </c>
      <c r="D270" s="1004" t="s">
        <v>38</v>
      </c>
      <c r="E270" s="1005"/>
      <c r="F270" s="1005"/>
      <c r="G270" s="1006"/>
      <c r="H270" s="1007"/>
      <c r="I270" s="997"/>
      <c r="J270" s="997"/>
      <c r="K270" s="998"/>
      <c r="L270" s="998"/>
      <c r="M270" s="998"/>
      <c r="N270" s="998"/>
      <c r="O270" s="998"/>
      <c r="P270" s="998"/>
    </row>
    <row r="271" spans="1:26" ht="18.75">
      <c r="A271" s="1002"/>
      <c r="B271" s="1003"/>
      <c r="C271" s="1003"/>
      <c r="D271" s="1132" t="s">
        <v>124</v>
      </c>
      <c r="E271" s="1010"/>
      <c r="F271" s="1074"/>
      <c r="G271" s="1011"/>
      <c r="H271" s="377" t="s">
        <v>35</v>
      </c>
      <c r="I271" s="880">
        <f ca="1">IFERROR(__xludf.DUMMYFUNCTION("IMPORTRANGE(""https://docs.google.com/spreadsheets/d/1QqKyyYR6Q21VydFLVH3TRQUabQu_ym0Zz7PgGX0-kHA/edit?usp=sharing"",""แผน!EA81"")"),22)</f>
        <v>22</v>
      </c>
      <c r="J271" s="1012">
        <v>0</v>
      </c>
      <c r="K271" s="998">
        <f ca="1">IF(I271&gt;0,J271*100/I271,0)</f>
        <v>0</v>
      </c>
      <c r="L271" s="998"/>
      <c r="M271" s="998"/>
      <c r="N271" s="998"/>
      <c r="O271" s="998"/>
      <c r="P271" s="998"/>
    </row>
    <row r="272" spans="1:26" ht="18.75" hidden="1">
      <c r="A272" s="1133"/>
      <c r="B272" s="1134"/>
      <c r="C272" s="1134"/>
      <c r="D272" s="1135" t="s">
        <v>125</v>
      </c>
      <c r="E272" s="1136"/>
      <c r="F272" s="1136"/>
      <c r="G272" s="1137"/>
      <c r="H272" s="50" t="s">
        <v>35</v>
      </c>
      <c r="I272" s="1138">
        <v>0</v>
      </c>
      <c r="J272" s="1138">
        <v>0</v>
      </c>
      <c r="K272" s="1139">
        <v>0</v>
      </c>
      <c r="L272" s="1139"/>
      <c r="M272" s="1139"/>
      <c r="N272" s="1139"/>
      <c r="O272" s="1139"/>
      <c r="P272" s="1139"/>
    </row>
    <row r="273" spans="1:26" ht="19.5" hidden="1">
      <c r="A273" s="1140" t="s">
        <v>126</v>
      </c>
      <c r="B273" s="1141"/>
      <c r="C273" s="1141"/>
      <c r="D273" s="1141"/>
      <c r="E273" s="1142"/>
      <c r="F273" s="1142"/>
      <c r="G273" s="1143"/>
      <c r="H273" s="1144"/>
      <c r="I273" s="1145"/>
      <c r="J273" s="1145"/>
      <c r="K273" s="1146"/>
      <c r="L273" s="1146"/>
      <c r="M273" s="1146"/>
      <c r="N273" s="1146"/>
      <c r="O273" s="1146"/>
      <c r="P273" s="1146"/>
    </row>
    <row r="274" spans="1:26" ht="19.5" hidden="1">
      <c r="A274" s="1147" t="s">
        <v>127</v>
      </c>
      <c r="B274" s="1148"/>
      <c r="C274" s="1149"/>
      <c r="D274" s="1148"/>
      <c r="E274" s="1148"/>
      <c r="F274" s="1148"/>
      <c r="G274" s="1148"/>
      <c r="H274" s="1150"/>
      <c r="I274" s="1151"/>
      <c r="J274" s="1152"/>
      <c r="K274" s="1153"/>
      <c r="L274" s="1153"/>
      <c r="M274" s="1153"/>
      <c r="N274" s="1153"/>
      <c r="O274" s="1153"/>
      <c r="P274" s="1153"/>
    </row>
    <row r="275" spans="1:26" ht="19.5" hidden="1">
      <c r="A275" s="1154"/>
      <c r="B275" s="1155" t="s">
        <v>128</v>
      </c>
      <c r="C275" s="1156"/>
      <c r="D275" s="1157"/>
      <c r="E275" s="1156"/>
      <c r="F275" s="1156"/>
      <c r="G275" s="1158"/>
      <c r="H275" s="405" t="s">
        <v>35</v>
      </c>
      <c r="I275" s="1159">
        <f t="shared" ref="I275:J275" ca="1" si="122">I288</f>
        <v>0</v>
      </c>
      <c r="J275" s="1159">
        <f t="shared" ca="1" si="122"/>
        <v>0</v>
      </c>
      <c r="K275" s="1160">
        <f t="shared" ref="K275:K276" ca="1" si="123">IF(I275&gt;0,J275*100/I275,0)</f>
        <v>0</v>
      </c>
      <c r="L275" s="1161"/>
      <c r="M275" s="1161"/>
      <c r="N275" s="1161"/>
      <c r="O275" s="1161"/>
      <c r="P275" s="1161"/>
    </row>
    <row r="276" spans="1:26" ht="19.5" hidden="1">
      <c r="A276" s="1154"/>
      <c r="B276" s="1155"/>
      <c r="C276" s="1156"/>
      <c r="D276" s="1157"/>
      <c r="E276" s="1156"/>
      <c r="F276" s="1156"/>
      <c r="G276" s="1158"/>
      <c r="H276" s="405" t="s">
        <v>46</v>
      </c>
      <c r="I276" s="1493">
        <f t="shared" ref="I276:J276" ca="1" si="124">I287</f>
        <v>0</v>
      </c>
      <c r="J276" s="1493">
        <f t="shared" si="124"/>
        <v>0</v>
      </c>
      <c r="K276" s="1161">
        <f t="shared" ca="1" si="123"/>
        <v>0</v>
      </c>
      <c r="L276" s="1161"/>
      <c r="M276" s="1161"/>
      <c r="N276" s="1161"/>
      <c r="O276" s="1161"/>
      <c r="P276" s="1161"/>
    </row>
    <row r="277" spans="1:26" ht="19.5" hidden="1">
      <c r="A277" s="985"/>
      <c r="B277" s="986"/>
      <c r="C277" s="987" t="s">
        <v>16</v>
      </c>
      <c r="D277" s="988" t="s">
        <v>17</v>
      </c>
      <c r="E277" s="986"/>
      <c r="F277" s="986"/>
      <c r="G277" s="989"/>
      <c r="H277" s="152" t="s">
        <v>12</v>
      </c>
      <c r="I277" s="990"/>
      <c r="J277" s="990"/>
      <c r="K277" s="991"/>
      <c r="L277" s="992">
        <f t="shared" ref="L277:N277" ca="1" si="125">L278+L279</f>
        <v>0</v>
      </c>
      <c r="M277" s="992">
        <f t="shared" ca="1" si="125"/>
        <v>0</v>
      </c>
      <c r="N277" s="992">
        <f t="shared" ca="1" si="125"/>
        <v>0</v>
      </c>
      <c r="O277" s="992">
        <f t="shared" ref="O277:O285" ca="1" si="126">IF(L277&gt;0,N277*100/L277,0)</f>
        <v>0</v>
      </c>
      <c r="P277" s="992">
        <f t="shared" ref="P277:P285" ca="1" si="127">IF(M277&gt;0,N277*100/M277,0)</f>
        <v>0</v>
      </c>
      <c r="Q277" s="868"/>
      <c r="R277" s="868"/>
      <c r="S277" s="868"/>
      <c r="T277" s="868"/>
      <c r="U277" s="868"/>
      <c r="V277" s="868"/>
      <c r="W277" s="868"/>
      <c r="X277" s="868"/>
      <c r="Y277" s="868"/>
      <c r="Z277" s="868"/>
    </row>
    <row r="278" spans="1:26" ht="18.75" hidden="1">
      <c r="A278" s="993"/>
      <c r="B278" s="883"/>
      <c r="C278" s="883"/>
      <c r="D278" s="883"/>
      <c r="E278" s="884" t="s">
        <v>18</v>
      </c>
      <c r="F278" s="883"/>
      <c r="G278" s="994"/>
      <c r="H278" s="158" t="s">
        <v>12</v>
      </c>
      <c r="I278" s="886"/>
      <c r="J278" s="886"/>
      <c r="K278" s="887"/>
      <c r="L278" s="887">
        <f t="shared" ref="L278:N279" si="128">L281+L284</f>
        <v>0</v>
      </c>
      <c r="M278" s="887">
        <f t="shared" si="128"/>
        <v>0</v>
      </c>
      <c r="N278" s="887">
        <f t="shared" si="128"/>
        <v>0</v>
      </c>
      <c r="O278" s="887">
        <f t="shared" si="126"/>
        <v>0</v>
      </c>
      <c r="P278" s="887">
        <f t="shared" si="127"/>
        <v>0</v>
      </c>
      <c r="Q278" s="875"/>
      <c r="R278" s="875"/>
      <c r="S278" s="875"/>
      <c r="T278" s="875"/>
      <c r="U278" s="875"/>
      <c r="V278" s="875"/>
      <c r="W278" s="875"/>
      <c r="X278" s="875"/>
      <c r="Y278" s="875"/>
      <c r="Z278" s="875"/>
    </row>
    <row r="279" spans="1:26" ht="18.75" hidden="1">
      <c r="A279" s="993"/>
      <c r="B279" s="883"/>
      <c r="C279" s="883"/>
      <c r="D279" s="883"/>
      <c r="E279" s="884" t="s">
        <v>19</v>
      </c>
      <c r="F279" s="883"/>
      <c r="G279" s="994"/>
      <c r="H279" s="158" t="s">
        <v>12</v>
      </c>
      <c r="I279" s="886"/>
      <c r="J279" s="886"/>
      <c r="K279" s="887"/>
      <c r="L279" s="887">
        <f t="shared" ca="1" si="128"/>
        <v>0</v>
      </c>
      <c r="M279" s="887">
        <f t="shared" ca="1" si="128"/>
        <v>0</v>
      </c>
      <c r="N279" s="887">
        <f t="shared" ca="1" si="128"/>
        <v>0</v>
      </c>
      <c r="O279" s="887">
        <f t="shared" ca="1" si="126"/>
        <v>0</v>
      </c>
      <c r="P279" s="887">
        <f t="shared" ca="1" si="127"/>
        <v>0</v>
      </c>
      <c r="Q279" s="875"/>
      <c r="R279" s="875"/>
      <c r="S279" s="875"/>
      <c r="T279" s="875"/>
      <c r="U279" s="875"/>
      <c r="V279" s="875"/>
      <c r="W279" s="875"/>
      <c r="X279" s="875"/>
      <c r="Y279" s="875"/>
      <c r="Z279" s="875"/>
    </row>
    <row r="280" spans="1:26" ht="18.75" hidden="1">
      <c r="A280" s="995"/>
      <c r="B280" s="877"/>
      <c r="C280" s="996"/>
      <c r="D280" s="878" t="s">
        <v>20</v>
      </c>
      <c r="E280" s="877"/>
      <c r="F280" s="877"/>
      <c r="G280" s="879"/>
      <c r="H280" s="161" t="s">
        <v>12</v>
      </c>
      <c r="I280" s="997"/>
      <c r="J280" s="997"/>
      <c r="K280" s="998"/>
      <c r="L280" s="881">
        <f t="shared" ref="L280:N280" ca="1" si="129">L281+L282</f>
        <v>0</v>
      </c>
      <c r="M280" s="881">
        <f t="shared" ca="1" si="129"/>
        <v>0</v>
      </c>
      <c r="N280" s="881">
        <f t="shared" ca="1" si="129"/>
        <v>0</v>
      </c>
      <c r="O280" s="881">
        <f t="shared" ca="1" si="126"/>
        <v>0</v>
      </c>
      <c r="P280" s="881">
        <f t="shared" ca="1" si="127"/>
        <v>0</v>
      </c>
      <c r="Q280" s="868"/>
      <c r="R280" s="868"/>
      <c r="S280" s="868"/>
      <c r="T280" s="868"/>
      <c r="U280" s="868"/>
      <c r="V280" s="868"/>
      <c r="W280" s="868"/>
      <c r="X280" s="868"/>
      <c r="Y280" s="868"/>
      <c r="Z280" s="868"/>
    </row>
    <row r="281" spans="1:26" ht="19.5" hidden="1">
      <c r="A281" s="993"/>
      <c r="B281" s="883"/>
      <c r="C281" s="999"/>
      <c r="D281" s="883"/>
      <c r="E281" s="884" t="s">
        <v>36</v>
      </c>
      <c r="F281" s="883"/>
      <c r="G281" s="994"/>
      <c r="H281" s="165" t="s">
        <v>12</v>
      </c>
      <c r="I281" s="1000"/>
      <c r="J281" s="1000"/>
      <c r="K281" s="1001"/>
      <c r="L281" s="887">
        <v>0</v>
      </c>
      <c r="M281" s="887">
        <v>0</v>
      </c>
      <c r="N281" s="887">
        <v>0</v>
      </c>
      <c r="O281" s="887">
        <f t="shared" si="126"/>
        <v>0</v>
      </c>
      <c r="P281" s="887">
        <f t="shared" si="127"/>
        <v>0</v>
      </c>
      <c r="Q281" s="875"/>
      <c r="R281" s="875"/>
      <c r="S281" s="875"/>
      <c r="T281" s="875"/>
      <c r="U281" s="875"/>
      <c r="V281" s="875"/>
      <c r="W281" s="875"/>
      <c r="X281" s="875"/>
      <c r="Y281" s="875"/>
      <c r="Z281" s="875"/>
    </row>
    <row r="282" spans="1:26" ht="19.5" hidden="1">
      <c r="A282" s="993"/>
      <c r="B282" s="883"/>
      <c r="C282" s="999"/>
      <c r="D282" s="883"/>
      <c r="E282" s="884" t="s">
        <v>37</v>
      </c>
      <c r="F282" s="883"/>
      <c r="G282" s="994"/>
      <c r="H282" s="165" t="s">
        <v>12</v>
      </c>
      <c r="I282" s="1000"/>
      <c r="J282" s="1000"/>
      <c r="K282" s="1001"/>
      <c r="L282" s="887">
        <f ca="1">IFERROR(__xludf.DUMMYFUNCTION("IMPORTRANGE(""https://docs.google.com/spreadsheets/d/1MeEWN-I1oV_STSDYn1IFDPWt_1FKiwhDph83XaGc0o0/edit?usp=sharing"",""งบพรบ!DI81"")"),0)</f>
        <v>0</v>
      </c>
      <c r="M282" s="887">
        <f ca="1">IFERROR(__xludf.DUMMYFUNCTION("IMPORTRANGE(""https://docs.google.com/spreadsheets/d/1MeEWN-I1oV_STSDYn1IFDPWt_1FKiwhDph83XaGc0o0/edit?usp=sharing"",""งบพรบ!DN81"")"),0)</f>
        <v>0</v>
      </c>
      <c r="N282" s="887">
        <f ca="1">IFERROR(__xludf.DUMMYFUNCTION("IMPORTRANGE(""https://docs.google.com/spreadsheets/d/1MeEWN-I1oV_STSDYn1IFDPWt_1FKiwhDph83XaGc0o0/edit?usp=sharing"",""งบพรบ!DP81"")"),0)</f>
        <v>0</v>
      </c>
      <c r="O282" s="887">
        <f t="shared" ca="1" si="126"/>
        <v>0</v>
      </c>
      <c r="P282" s="887">
        <f t="shared" ca="1" si="127"/>
        <v>0</v>
      </c>
      <c r="Q282" s="875"/>
      <c r="R282" s="875"/>
      <c r="S282" s="875"/>
      <c r="T282" s="875"/>
      <c r="U282" s="875"/>
      <c r="V282" s="875"/>
      <c r="W282" s="875"/>
      <c r="X282" s="875"/>
      <c r="Y282" s="875"/>
      <c r="Z282" s="875"/>
    </row>
    <row r="283" spans="1:26" ht="18.75" hidden="1">
      <c r="A283" s="995"/>
      <c r="B283" s="877"/>
      <c r="C283" s="996"/>
      <c r="D283" s="878" t="s">
        <v>21</v>
      </c>
      <c r="E283" s="877"/>
      <c r="F283" s="877"/>
      <c r="G283" s="879"/>
      <c r="H283" s="168" t="s">
        <v>12</v>
      </c>
      <c r="I283" s="997"/>
      <c r="J283" s="997"/>
      <c r="K283" s="998"/>
      <c r="L283" s="881">
        <f t="shared" ref="L283:N283" ca="1" si="130">L284+L285</f>
        <v>0</v>
      </c>
      <c r="M283" s="881">
        <f t="shared" ca="1" si="130"/>
        <v>0</v>
      </c>
      <c r="N283" s="881">
        <f t="shared" ca="1" si="130"/>
        <v>0</v>
      </c>
      <c r="O283" s="881">
        <f t="shared" ca="1" si="126"/>
        <v>0</v>
      </c>
      <c r="P283" s="881">
        <f t="shared" ca="1" si="127"/>
        <v>0</v>
      </c>
      <c r="Q283" s="868"/>
      <c r="R283" s="868"/>
      <c r="S283" s="868"/>
      <c r="T283" s="868"/>
      <c r="U283" s="868"/>
      <c r="V283" s="868"/>
      <c r="W283" s="868"/>
      <c r="X283" s="868"/>
      <c r="Y283" s="868"/>
      <c r="Z283" s="868"/>
    </row>
    <row r="284" spans="1:26" ht="19.5" hidden="1">
      <c r="A284" s="993"/>
      <c r="B284" s="883"/>
      <c r="C284" s="999"/>
      <c r="D284" s="883"/>
      <c r="E284" s="884" t="s">
        <v>18</v>
      </c>
      <c r="F284" s="883"/>
      <c r="G284" s="994"/>
      <c r="H284" s="165" t="s">
        <v>12</v>
      </c>
      <c r="I284" s="1000"/>
      <c r="J284" s="1000"/>
      <c r="K284" s="1001"/>
      <c r="L284" s="887">
        <v>0</v>
      </c>
      <c r="M284" s="887">
        <v>0</v>
      </c>
      <c r="N284" s="887">
        <v>0</v>
      </c>
      <c r="O284" s="887">
        <f t="shared" si="126"/>
        <v>0</v>
      </c>
      <c r="P284" s="887">
        <f t="shared" si="127"/>
        <v>0</v>
      </c>
      <c r="Q284" s="875"/>
      <c r="R284" s="875"/>
      <c r="S284" s="875"/>
      <c r="T284" s="875"/>
      <c r="U284" s="875"/>
      <c r="V284" s="875"/>
      <c r="W284" s="875"/>
      <c r="X284" s="875"/>
      <c r="Y284" s="875"/>
      <c r="Z284" s="875"/>
    </row>
    <row r="285" spans="1:26" ht="19.5" hidden="1">
      <c r="A285" s="993"/>
      <c r="B285" s="883"/>
      <c r="C285" s="999"/>
      <c r="D285" s="883"/>
      <c r="E285" s="884" t="s">
        <v>19</v>
      </c>
      <c r="F285" s="883"/>
      <c r="G285" s="994"/>
      <c r="H285" s="169" t="s">
        <v>12</v>
      </c>
      <c r="I285" s="1000"/>
      <c r="J285" s="1000"/>
      <c r="K285" s="1001"/>
      <c r="L285" s="887">
        <f ca="1">IFERROR(__xludf.DUMMYFUNCTION("IMPORTRANGE(""https://docs.google.com/spreadsheets/d/1MeEWN-I1oV_STSDYn1IFDPWt_1FKiwhDph83XaGc0o0/edit?usp=sharing"",""งบพรบ!DL81"")"),0)</f>
        <v>0</v>
      </c>
      <c r="M285" s="887">
        <f ca="1">IFERROR(__xludf.DUMMYFUNCTION("IMPORTRANGE(""https://docs.google.com/spreadsheets/d/1MeEWN-I1oV_STSDYn1IFDPWt_1FKiwhDph83XaGc0o0/edit?usp=sharing"",""งบพรบ!DO81"")"),0)</f>
        <v>0</v>
      </c>
      <c r="N285" s="887">
        <f ca="1">IFERROR(__xludf.DUMMYFUNCTION("IMPORTRANGE(""https://docs.google.com/spreadsheets/d/1MeEWN-I1oV_STSDYn1IFDPWt_1FKiwhDph83XaGc0o0/edit?usp=sharing"",""งบพรบ!DQ81"")"),0)</f>
        <v>0</v>
      </c>
      <c r="O285" s="887">
        <f t="shared" ca="1" si="126"/>
        <v>0</v>
      </c>
      <c r="P285" s="887">
        <f t="shared" ca="1" si="127"/>
        <v>0</v>
      </c>
      <c r="Q285" s="875"/>
      <c r="R285" s="875"/>
      <c r="S285" s="875"/>
      <c r="T285" s="875"/>
      <c r="U285" s="875"/>
      <c r="V285" s="875"/>
      <c r="W285" s="875"/>
      <c r="X285" s="875"/>
      <c r="Y285" s="875"/>
      <c r="Z285" s="875"/>
    </row>
    <row r="286" spans="1:26" ht="19.5" hidden="1">
      <c r="A286" s="1002"/>
      <c r="B286" s="1003"/>
      <c r="C286" s="999" t="s">
        <v>16</v>
      </c>
      <c r="D286" s="1004" t="s">
        <v>38</v>
      </c>
      <c r="E286" s="1005"/>
      <c r="F286" s="1005"/>
      <c r="G286" s="1006"/>
      <c r="H286" s="1007"/>
      <c r="I286" s="997"/>
      <c r="J286" s="997"/>
      <c r="K286" s="998"/>
      <c r="L286" s="998"/>
      <c r="M286" s="998"/>
      <c r="N286" s="998"/>
      <c r="O286" s="998"/>
      <c r="P286" s="998"/>
    </row>
    <row r="287" spans="1:26" ht="18.75" hidden="1">
      <c r="A287" s="1002"/>
      <c r="B287" s="1003"/>
      <c r="C287" s="1003"/>
      <c r="D287" s="1014" t="s">
        <v>129</v>
      </c>
      <c r="E287" s="1003"/>
      <c r="F287" s="1010"/>
      <c r="G287" s="1011"/>
      <c r="H287" s="185" t="s">
        <v>46</v>
      </c>
      <c r="I287" s="880">
        <f ca="1">IFERROR(__xludf.DUMMYFUNCTION("IMPORTRANGE(""https://docs.google.com/spreadsheets/d/1QqKyyYR6Q21VydFLVH3TRQUabQu_ym0Zz7PgGX0-kHA/edit?usp=sharing"",""แผน!EC81"")"),0)</f>
        <v>0</v>
      </c>
      <c r="J287" s="880">
        <v>0</v>
      </c>
      <c r="K287" s="998">
        <f t="shared" ref="K287:K288" ca="1" si="131">IF(I287&gt;0,J287*100/I287,0)</f>
        <v>0</v>
      </c>
      <c r="L287" s="998"/>
      <c r="M287" s="998"/>
      <c r="N287" s="998"/>
      <c r="O287" s="998"/>
      <c r="P287" s="998"/>
    </row>
    <row r="288" spans="1:26" ht="19.5" hidden="1">
      <c r="A288" s="1002"/>
      <c r="B288" s="1003"/>
      <c r="C288" s="1003"/>
      <c r="D288" s="1014" t="s">
        <v>130</v>
      </c>
      <c r="E288" s="1003"/>
      <c r="F288" s="1010"/>
      <c r="G288" s="1011"/>
      <c r="H288" s="180" t="s">
        <v>35</v>
      </c>
      <c r="I288" s="1019">
        <f ca="1">IFERROR(__xludf.DUMMYFUNCTION("IMPORTRANGE(""https://docs.google.com/spreadsheets/d/1QqKyyYR6Q21VydFLVH3TRQUabQu_ym0Zz7PgGX0-kHA/edit?usp=sharing"",""แผน!EB81"")"),0)</f>
        <v>0</v>
      </c>
      <c r="J288" s="1019">
        <f ca="1">IF(AND(J291&gt;=I288,J294&gt;=I288),J294,0)</f>
        <v>0</v>
      </c>
      <c r="K288" s="1162">
        <f t="shared" ca="1" si="131"/>
        <v>0</v>
      </c>
      <c r="L288" s="998"/>
      <c r="M288" s="998"/>
      <c r="N288" s="998"/>
      <c r="O288" s="998"/>
      <c r="P288" s="998"/>
    </row>
    <row r="289" spans="1:26" ht="19.5" hidden="1">
      <c r="A289" s="1002"/>
      <c r="B289" s="1003"/>
      <c r="C289" s="1003"/>
      <c r="D289" s="1163"/>
      <c r="E289" s="1164" t="s">
        <v>131</v>
      </c>
      <c r="F289" s="1010"/>
      <c r="G289" s="1011"/>
      <c r="H289" s="762"/>
      <c r="I289" s="997"/>
      <c r="J289" s="880"/>
      <c r="K289" s="998"/>
      <c r="L289" s="998"/>
      <c r="M289" s="998"/>
      <c r="N289" s="998"/>
      <c r="O289" s="998"/>
      <c r="P289" s="998"/>
    </row>
    <row r="290" spans="1:26" ht="19.5" hidden="1">
      <c r="A290" s="1002"/>
      <c r="B290" s="1003"/>
      <c r="C290" s="1003"/>
      <c r="D290" s="1163"/>
      <c r="E290" s="1014" t="s">
        <v>132</v>
      </c>
      <c r="F290" s="1010"/>
      <c r="G290" s="1011"/>
      <c r="H290" s="762" t="s">
        <v>35</v>
      </c>
      <c r="I290" s="997">
        <f ca="1">IFERROR(__xludf.DUMMYFUNCTION("IMPORTRANGE(""https://docs.google.com/spreadsheets/d/1QqKyyYR6Q21VydFLVH3TRQUabQu_ym0Zz7PgGX0-kHA/edit?usp=sharing"",""แผน!EB81"")"),0)</f>
        <v>0</v>
      </c>
      <c r="J290" s="1012">
        <v>0</v>
      </c>
      <c r="K290" s="998">
        <f t="shared" ref="K290:K291" ca="1" si="132">IF(I290&gt;0,J290*100/I290,0)</f>
        <v>0</v>
      </c>
      <c r="L290" s="998"/>
      <c r="M290" s="998"/>
      <c r="N290" s="998"/>
      <c r="O290" s="998"/>
      <c r="P290" s="998"/>
    </row>
    <row r="291" spans="1:26" ht="19.5" hidden="1">
      <c r="A291" s="1002"/>
      <c r="B291" s="1003"/>
      <c r="C291" s="1003"/>
      <c r="D291" s="1010"/>
      <c r="E291" s="1014" t="s">
        <v>338</v>
      </c>
      <c r="F291" s="1010"/>
      <c r="G291" s="1011"/>
      <c r="H291" s="762" t="s">
        <v>35</v>
      </c>
      <c r="I291" s="997">
        <f ca="1">IFERROR(__xludf.DUMMYFUNCTION("IMPORTRANGE(""https://docs.google.com/spreadsheets/d/1QqKyyYR6Q21VydFLVH3TRQUabQu_ym0Zz7PgGX0-kHA/edit?usp=sharing"",""แผน!EB81"")"),0)</f>
        <v>0</v>
      </c>
      <c r="J291" s="1012">
        <v>0</v>
      </c>
      <c r="K291" s="998">
        <f t="shared" ca="1" si="132"/>
        <v>0</v>
      </c>
      <c r="L291" s="998"/>
      <c r="M291" s="998"/>
      <c r="N291" s="998"/>
      <c r="O291" s="998"/>
      <c r="P291" s="998"/>
    </row>
    <row r="292" spans="1:26" ht="19.5" hidden="1">
      <c r="A292" s="1165"/>
      <c r="B292" s="1166"/>
      <c r="C292" s="1166"/>
      <c r="D292" s="1167"/>
      <c r="E292" s="1168" t="s">
        <v>134</v>
      </c>
      <c r="F292" s="1088"/>
      <c r="G292" s="1089"/>
      <c r="H292" s="419"/>
      <c r="I292" s="1082"/>
      <c r="J292" s="990"/>
      <c r="K292" s="1083"/>
      <c r="L292" s="1083"/>
      <c r="M292" s="1083"/>
      <c r="N292" s="1083"/>
      <c r="O292" s="1083"/>
      <c r="P292" s="1083"/>
    </row>
    <row r="293" spans="1:26" ht="19.5" hidden="1">
      <c r="A293" s="1002"/>
      <c r="B293" s="1003"/>
      <c r="C293" s="1003"/>
      <c r="D293" s="1163"/>
      <c r="E293" s="1014" t="s">
        <v>132</v>
      </c>
      <c r="F293" s="1010"/>
      <c r="G293" s="1011"/>
      <c r="H293" s="762" t="s">
        <v>35</v>
      </c>
      <c r="I293" s="997">
        <f ca="1">IFERROR(__xludf.DUMMYFUNCTION("IMPORTRANGE(""https://docs.google.com/spreadsheets/d/1QqKyyYR6Q21VydFLVH3TRQUabQu_ym0Zz7PgGX0-kHA/edit?usp=sharing"",""แผน!EB81"")"),0)</f>
        <v>0</v>
      </c>
      <c r="J293" s="1012">
        <v>0</v>
      </c>
      <c r="K293" s="998">
        <f t="shared" ref="K293:K294" ca="1" si="133">IF(I293&gt;0,J293*100/I293,0)</f>
        <v>0</v>
      </c>
      <c r="L293" s="998"/>
      <c r="M293" s="998"/>
      <c r="N293" s="998"/>
      <c r="O293" s="998"/>
      <c r="P293" s="998"/>
    </row>
    <row r="294" spans="1:26" ht="19.5" hidden="1">
      <c r="A294" s="1133"/>
      <c r="B294" s="1134"/>
      <c r="C294" s="1134"/>
      <c r="D294" s="1136"/>
      <c r="E294" s="1169" t="s">
        <v>338</v>
      </c>
      <c r="F294" s="1136"/>
      <c r="G294" s="1137"/>
      <c r="H294" s="423" t="s">
        <v>35</v>
      </c>
      <c r="I294" s="1170">
        <f ca="1">IFERROR(__xludf.DUMMYFUNCTION("IMPORTRANGE(""https://docs.google.com/spreadsheets/d/1QqKyyYR6Q21VydFLVH3TRQUabQu_ym0Zz7PgGX0-kHA/edit?usp=sharing"",""แผน!EB81"")"),0)</f>
        <v>0</v>
      </c>
      <c r="J294" s="1171">
        <v>0</v>
      </c>
      <c r="K294" s="1139">
        <f t="shared" ca="1" si="133"/>
        <v>0</v>
      </c>
      <c r="L294" s="1139"/>
      <c r="M294" s="1139"/>
      <c r="N294" s="1139"/>
      <c r="O294" s="1139"/>
      <c r="P294" s="1139"/>
    </row>
    <row r="295" spans="1:26" ht="19.5">
      <c r="A295" s="1172" t="s">
        <v>137</v>
      </c>
      <c r="B295" s="1173"/>
      <c r="C295" s="1173"/>
      <c r="D295" s="1173"/>
      <c r="E295" s="1174"/>
      <c r="F295" s="1174"/>
      <c r="G295" s="1175"/>
      <c r="H295" s="1176"/>
      <c r="I295" s="1177"/>
      <c r="J295" s="1177"/>
      <c r="K295" s="1178"/>
      <c r="L295" s="1178"/>
      <c r="M295" s="1178"/>
      <c r="N295" s="1178"/>
      <c r="O295" s="1178"/>
      <c r="P295" s="1178"/>
    </row>
    <row r="296" spans="1:26" ht="19.5" hidden="1">
      <c r="A296" s="1179" t="s">
        <v>138</v>
      </c>
      <c r="B296" s="1180"/>
      <c r="C296" s="1180"/>
      <c r="D296" s="1181"/>
      <c r="E296" s="1181"/>
      <c r="F296" s="1181"/>
      <c r="G296" s="1182"/>
      <c r="H296" s="1183"/>
      <c r="I296" s="1184"/>
      <c r="J296" s="1184"/>
      <c r="K296" s="1185"/>
      <c r="L296" s="1185"/>
      <c r="M296" s="1185"/>
      <c r="N296" s="1185"/>
      <c r="O296" s="1185"/>
      <c r="P296" s="1185"/>
    </row>
    <row r="297" spans="1:26" ht="19.5" hidden="1">
      <c r="A297" s="1186"/>
      <c r="B297" s="1187" t="s">
        <v>139</v>
      </c>
      <c r="C297" s="1188"/>
      <c r="D297" s="1188"/>
      <c r="E297" s="1188"/>
      <c r="F297" s="1188"/>
      <c r="G297" s="1189"/>
      <c r="H297" s="444" t="s">
        <v>35</v>
      </c>
      <c r="I297" s="1190">
        <f t="shared" ref="I297:J297" ca="1" si="134">I309</f>
        <v>0</v>
      </c>
      <c r="J297" s="1190">
        <f t="shared" si="134"/>
        <v>0</v>
      </c>
      <c r="K297" s="1191">
        <f ca="1">IF(I297&gt;0,J297*100/I297,0)</f>
        <v>0</v>
      </c>
      <c r="L297" s="1192"/>
      <c r="M297" s="1192"/>
      <c r="N297" s="1192"/>
      <c r="O297" s="1192"/>
      <c r="P297" s="1192"/>
    </row>
    <row r="298" spans="1:26" ht="19.5" hidden="1">
      <c r="A298" s="985"/>
      <c r="B298" s="986"/>
      <c r="C298" s="987" t="s">
        <v>16</v>
      </c>
      <c r="D298" s="988" t="s">
        <v>17</v>
      </c>
      <c r="E298" s="986"/>
      <c r="F298" s="986"/>
      <c r="G298" s="989"/>
      <c r="H298" s="152" t="s">
        <v>12</v>
      </c>
      <c r="I298" s="990"/>
      <c r="J298" s="990"/>
      <c r="K298" s="991"/>
      <c r="L298" s="992">
        <f t="shared" ref="L298:N298" ca="1" si="135">L299+L300</f>
        <v>0</v>
      </c>
      <c r="M298" s="992">
        <f t="shared" ca="1" si="135"/>
        <v>0</v>
      </c>
      <c r="N298" s="992">
        <f t="shared" ca="1" si="135"/>
        <v>0</v>
      </c>
      <c r="O298" s="992">
        <f t="shared" ref="O298:O306" ca="1" si="136">IF(L298&gt;0,N298*100/L298,0)</f>
        <v>0</v>
      </c>
      <c r="P298" s="992">
        <f t="shared" ref="P298:P306" ca="1" si="137">IF(M298&gt;0,N298*100/M298,0)</f>
        <v>0</v>
      </c>
      <c r="Q298" s="868"/>
      <c r="R298" s="868"/>
      <c r="S298" s="868"/>
      <c r="T298" s="868"/>
      <c r="U298" s="868"/>
      <c r="V298" s="868"/>
      <c r="W298" s="868"/>
      <c r="X298" s="868"/>
      <c r="Y298" s="868"/>
      <c r="Z298" s="868"/>
    </row>
    <row r="299" spans="1:26" ht="18.75" hidden="1">
      <c r="A299" s="993"/>
      <c r="B299" s="883"/>
      <c r="C299" s="883"/>
      <c r="D299" s="883"/>
      <c r="E299" s="884" t="s">
        <v>18</v>
      </c>
      <c r="F299" s="883"/>
      <c r="G299" s="994"/>
      <c r="H299" s="158" t="s">
        <v>12</v>
      </c>
      <c r="I299" s="886"/>
      <c r="J299" s="886"/>
      <c r="K299" s="887"/>
      <c r="L299" s="887">
        <f t="shared" ref="L299:N300" si="138">L302+L305</f>
        <v>0</v>
      </c>
      <c r="M299" s="887">
        <f t="shared" si="138"/>
        <v>0</v>
      </c>
      <c r="N299" s="887">
        <f t="shared" si="138"/>
        <v>0</v>
      </c>
      <c r="O299" s="887">
        <f t="shared" si="136"/>
        <v>0</v>
      </c>
      <c r="P299" s="887">
        <f t="shared" si="137"/>
        <v>0</v>
      </c>
      <c r="Q299" s="875"/>
      <c r="R299" s="875"/>
      <c r="S299" s="875"/>
      <c r="T299" s="875"/>
      <c r="U299" s="875"/>
      <c r="V299" s="875"/>
      <c r="W299" s="875"/>
      <c r="X299" s="875"/>
      <c r="Y299" s="875"/>
      <c r="Z299" s="875"/>
    </row>
    <row r="300" spans="1:26" ht="18.75" hidden="1">
      <c r="A300" s="993"/>
      <c r="B300" s="883"/>
      <c r="C300" s="883"/>
      <c r="D300" s="883"/>
      <c r="E300" s="884" t="s">
        <v>19</v>
      </c>
      <c r="F300" s="883"/>
      <c r="G300" s="994"/>
      <c r="H300" s="158" t="s">
        <v>12</v>
      </c>
      <c r="I300" s="886"/>
      <c r="J300" s="886"/>
      <c r="K300" s="887"/>
      <c r="L300" s="887">
        <f t="shared" ca="1" si="138"/>
        <v>0</v>
      </c>
      <c r="M300" s="887">
        <f t="shared" ca="1" si="138"/>
        <v>0</v>
      </c>
      <c r="N300" s="887">
        <f t="shared" ca="1" si="138"/>
        <v>0</v>
      </c>
      <c r="O300" s="887">
        <f t="shared" ca="1" si="136"/>
        <v>0</v>
      </c>
      <c r="P300" s="887">
        <f t="shared" ca="1" si="137"/>
        <v>0</v>
      </c>
      <c r="Q300" s="875"/>
      <c r="R300" s="875"/>
      <c r="S300" s="875"/>
      <c r="T300" s="875"/>
      <c r="U300" s="875"/>
      <c r="V300" s="875"/>
      <c r="W300" s="875"/>
      <c r="X300" s="875"/>
      <c r="Y300" s="875"/>
      <c r="Z300" s="875"/>
    </row>
    <row r="301" spans="1:26" ht="18.75" hidden="1">
      <c r="A301" s="995"/>
      <c r="B301" s="877"/>
      <c r="C301" s="996"/>
      <c r="D301" s="878" t="s">
        <v>20</v>
      </c>
      <c r="E301" s="877"/>
      <c r="F301" s="877"/>
      <c r="G301" s="879"/>
      <c r="H301" s="161" t="s">
        <v>12</v>
      </c>
      <c r="I301" s="997"/>
      <c r="J301" s="997"/>
      <c r="K301" s="998"/>
      <c r="L301" s="881">
        <f t="shared" ref="L301:N301" ca="1" si="139">L302+L303</f>
        <v>0</v>
      </c>
      <c r="M301" s="881">
        <f t="shared" ca="1" si="139"/>
        <v>0</v>
      </c>
      <c r="N301" s="881">
        <f t="shared" ca="1" si="139"/>
        <v>0</v>
      </c>
      <c r="O301" s="881">
        <f t="shared" ca="1" si="136"/>
        <v>0</v>
      </c>
      <c r="P301" s="881">
        <f t="shared" ca="1" si="137"/>
        <v>0</v>
      </c>
      <c r="Q301" s="868"/>
      <c r="R301" s="868"/>
      <c r="S301" s="868"/>
      <c r="T301" s="868"/>
      <c r="U301" s="868"/>
      <c r="V301" s="868"/>
      <c r="W301" s="868"/>
      <c r="X301" s="868"/>
      <c r="Y301" s="868"/>
      <c r="Z301" s="868"/>
    </row>
    <row r="302" spans="1:26" ht="19.5" hidden="1">
      <c r="A302" s="993"/>
      <c r="B302" s="883"/>
      <c r="C302" s="999"/>
      <c r="D302" s="883"/>
      <c r="E302" s="884" t="s">
        <v>36</v>
      </c>
      <c r="F302" s="883"/>
      <c r="G302" s="994"/>
      <c r="H302" s="165" t="s">
        <v>12</v>
      </c>
      <c r="I302" s="1000"/>
      <c r="J302" s="1000"/>
      <c r="K302" s="1001"/>
      <c r="L302" s="887">
        <v>0</v>
      </c>
      <c r="M302" s="887">
        <v>0</v>
      </c>
      <c r="N302" s="887">
        <v>0</v>
      </c>
      <c r="O302" s="887">
        <f t="shared" si="136"/>
        <v>0</v>
      </c>
      <c r="P302" s="887">
        <f t="shared" si="137"/>
        <v>0</v>
      </c>
      <c r="Q302" s="875"/>
      <c r="R302" s="875"/>
      <c r="S302" s="875"/>
      <c r="T302" s="875"/>
      <c r="U302" s="875"/>
      <c r="V302" s="875"/>
      <c r="W302" s="875"/>
      <c r="X302" s="875"/>
      <c r="Y302" s="875"/>
      <c r="Z302" s="875"/>
    </row>
    <row r="303" spans="1:26" ht="19.5" hidden="1">
      <c r="A303" s="993"/>
      <c r="B303" s="883"/>
      <c r="C303" s="999"/>
      <c r="D303" s="883"/>
      <c r="E303" s="884" t="s">
        <v>37</v>
      </c>
      <c r="F303" s="883"/>
      <c r="G303" s="994"/>
      <c r="H303" s="165" t="s">
        <v>12</v>
      </c>
      <c r="I303" s="1000"/>
      <c r="J303" s="1000"/>
      <c r="K303" s="1001"/>
      <c r="L303" s="887">
        <f ca="1">IFERROR(__xludf.DUMMYFUNCTION("IMPORTRANGE(""https://docs.google.com/spreadsheets/d/1MeEWN-I1oV_STSDYn1IFDPWt_1FKiwhDph83XaGc0o0/edit?usp=sharing"",""งบพรบ!DS81"")"),0)</f>
        <v>0</v>
      </c>
      <c r="M303" s="887">
        <f ca="1">IFERROR(__xludf.DUMMYFUNCTION("IMPORTRANGE(""https://docs.google.com/spreadsheets/d/1MeEWN-I1oV_STSDYn1IFDPWt_1FKiwhDph83XaGc0o0/edit?usp=sharing"",""งบพรบ!DX81"")"),0)</f>
        <v>0</v>
      </c>
      <c r="N303" s="887">
        <f ca="1">IFERROR(__xludf.DUMMYFUNCTION("IMPORTRANGE(""https://docs.google.com/spreadsheets/d/1MeEWN-I1oV_STSDYn1IFDPWt_1FKiwhDph83XaGc0o0/edit?usp=sharing"",""งบพรบ!DZ81"")"),0)</f>
        <v>0</v>
      </c>
      <c r="O303" s="887">
        <f t="shared" ca="1" si="136"/>
        <v>0</v>
      </c>
      <c r="P303" s="887">
        <f t="shared" ca="1" si="137"/>
        <v>0</v>
      </c>
      <c r="Q303" s="875"/>
      <c r="R303" s="875"/>
      <c r="S303" s="875"/>
      <c r="T303" s="875"/>
      <c r="U303" s="875"/>
      <c r="V303" s="875"/>
      <c r="W303" s="875"/>
      <c r="X303" s="875"/>
      <c r="Y303" s="875"/>
      <c r="Z303" s="875"/>
    </row>
    <row r="304" spans="1:26" ht="18.75" hidden="1">
      <c r="A304" s="995"/>
      <c r="B304" s="877"/>
      <c r="C304" s="996"/>
      <c r="D304" s="878" t="s">
        <v>21</v>
      </c>
      <c r="E304" s="877"/>
      <c r="F304" s="877"/>
      <c r="G304" s="879"/>
      <c r="H304" s="168" t="s">
        <v>12</v>
      </c>
      <c r="I304" s="997"/>
      <c r="J304" s="997"/>
      <c r="K304" s="998"/>
      <c r="L304" s="881">
        <f t="shared" ref="L304:N304" ca="1" si="140">L305+L306</f>
        <v>0</v>
      </c>
      <c r="M304" s="881">
        <f t="shared" ca="1" si="140"/>
        <v>0</v>
      </c>
      <c r="N304" s="881">
        <f t="shared" ca="1" si="140"/>
        <v>0</v>
      </c>
      <c r="O304" s="881">
        <f t="shared" ca="1" si="136"/>
        <v>0</v>
      </c>
      <c r="P304" s="881">
        <f t="shared" ca="1" si="137"/>
        <v>0</v>
      </c>
      <c r="Q304" s="868"/>
      <c r="R304" s="868"/>
      <c r="S304" s="868"/>
      <c r="T304" s="868"/>
      <c r="U304" s="868"/>
      <c r="V304" s="868"/>
      <c r="W304" s="868"/>
      <c r="X304" s="868"/>
      <c r="Y304" s="868"/>
      <c r="Z304" s="868"/>
    </row>
    <row r="305" spans="1:26" ht="19.5" hidden="1">
      <c r="A305" s="993"/>
      <c r="B305" s="883"/>
      <c r="C305" s="999"/>
      <c r="D305" s="883"/>
      <c r="E305" s="884" t="s">
        <v>18</v>
      </c>
      <c r="F305" s="883"/>
      <c r="G305" s="994"/>
      <c r="H305" s="165" t="s">
        <v>12</v>
      </c>
      <c r="I305" s="1000"/>
      <c r="J305" s="1000"/>
      <c r="K305" s="1001"/>
      <c r="L305" s="887">
        <v>0</v>
      </c>
      <c r="M305" s="887">
        <v>0</v>
      </c>
      <c r="N305" s="887">
        <v>0</v>
      </c>
      <c r="O305" s="887">
        <f t="shared" si="136"/>
        <v>0</v>
      </c>
      <c r="P305" s="887">
        <f t="shared" si="137"/>
        <v>0</v>
      </c>
      <c r="Q305" s="875"/>
      <c r="R305" s="875"/>
      <c r="S305" s="875"/>
      <c r="T305" s="875"/>
      <c r="U305" s="875"/>
      <c r="V305" s="875"/>
      <c r="W305" s="875"/>
      <c r="X305" s="875"/>
      <c r="Y305" s="875"/>
      <c r="Z305" s="875"/>
    </row>
    <row r="306" spans="1:26" ht="19.5" hidden="1">
      <c r="A306" s="993"/>
      <c r="B306" s="883"/>
      <c r="C306" s="999"/>
      <c r="D306" s="883"/>
      <c r="E306" s="884" t="s">
        <v>19</v>
      </c>
      <c r="F306" s="883"/>
      <c r="G306" s="994"/>
      <c r="H306" s="169" t="s">
        <v>12</v>
      </c>
      <c r="I306" s="1000"/>
      <c r="J306" s="1000"/>
      <c r="K306" s="1001"/>
      <c r="L306" s="887">
        <f ca="1">IFERROR(__xludf.DUMMYFUNCTION("IMPORTRANGE(""https://docs.google.com/spreadsheets/d/1MeEWN-I1oV_STSDYn1IFDPWt_1FKiwhDph83XaGc0o0/edit?usp=sharing"",""งบพรบ!DV81"")"),0)</f>
        <v>0</v>
      </c>
      <c r="M306" s="887">
        <f ca="1">IFERROR(__xludf.DUMMYFUNCTION("IMPORTRANGE(""https://docs.google.com/spreadsheets/d/1MeEWN-I1oV_STSDYn1IFDPWt_1FKiwhDph83XaGc0o0/edit?usp=sharing"",""งบพรบ!DY81"")"),0)</f>
        <v>0</v>
      </c>
      <c r="N306" s="887">
        <f ca="1">IFERROR(__xludf.DUMMYFUNCTION("IMPORTRANGE(""https://docs.google.com/spreadsheets/d/1MeEWN-I1oV_STSDYn1IFDPWt_1FKiwhDph83XaGc0o0/edit?usp=sharing"",""งบพรบ!EA81"")"),0)</f>
        <v>0</v>
      </c>
      <c r="O306" s="887">
        <f t="shared" ca="1" si="136"/>
        <v>0</v>
      </c>
      <c r="P306" s="887">
        <f t="shared" ca="1" si="137"/>
        <v>0</v>
      </c>
      <c r="Q306" s="875"/>
      <c r="R306" s="875"/>
      <c r="S306" s="875"/>
      <c r="T306" s="875"/>
      <c r="U306" s="875"/>
      <c r="V306" s="875"/>
      <c r="W306" s="875"/>
      <c r="X306" s="875"/>
      <c r="Y306" s="875"/>
      <c r="Z306" s="875"/>
    </row>
    <row r="307" spans="1:26" ht="19.5" hidden="1">
      <c r="A307" s="1002"/>
      <c r="B307" s="1003"/>
      <c r="C307" s="999" t="s">
        <v>16</v>
      </c>
      <c r="D307" s="1004" t="s">
        <v>38</v>
      </c>
      <c r="E307" s="1005"/>
      <c r="F307" s="1005"/>
      <c r="G307" s="1006"/>
      <c r="H307" s="1007"/>
      <c r="I307" s="880"/>
      <c r="J307" s="880"/>
      <c r="K307" s="881"/>
      <c r="L307" s="881"/>
      <c r="M307" s="881"/>
      <c r="N307" s="881"/>
      <c r="O307" s="881"/>
      <c r="P307" s="881"/>
    </row>
    <row r="308" spans="1:26" ht="18.75" hidden="1">
      <c r="A308" s="1002"/>
      <c r="B308" s="1003"/>
      <c r="C308" s="1003"/>
      <c r="D308" s="1009" t="s">
        <v>140</v>
      </c>
      <c r="E308" s="1009"/>
      <c r="F308" s="1009"/>
      <c r="G308" s="1011"/>
      <c r="H308" s="762"/>
      <c r="I308" s="880"/>
      <c r="J308" s="1012">
        <v>0</v>
      </c>
      <c r="K308" s="881"/>
      <c r="L308" s="881"/>
      <c r="M308" s="881"/>
      <c r="N308" s="881"/>
      <c r="O308" s="881"/>
      <c r="P308" s="881"/>
    </row>
    <row r="309" spans="1:26" ht="18.75" hidden="1">
      <c r="A309" s="1002"/>
      <c r="B309" s="1003"/>
      <c r="C309" s="1003"/>
      <c r="D309" s="1009" t="s">
        <v>141</v>
      </c>
      <c r="E309" s="1009"/>
      <c r="F309" s="1009"/>
      <c r="G309" s="1011"/>
      <c r="H309" s="762" t="s">
        <v>35</v>
      </c>
      <c r="I309" s="880">
        <f ca="1">IFERROR(__xludf.DUMMYFUNCTION("IMPORTRANGE(""https://docs.google.com/spreadsheets/d/1QqKyyYR6Q21VydFLVH3TRQUabQu_ym0Zz7PgGX0-kHA/edit?usp=sharing"",""แผน!ED81"")"),0)</f>
        <v>0</v>
      </c>
      <c r="J309" s="1012">
        <v>0</v>
      </c>
      <c r="K309" s="881">
        <f t="shared" ref="K309:K312" ca="1" si="141">IF(I309&gt;0,J309*100/I309,0)</f>
        <v>0</v>
      </c>
      <c r="L309" s="881"/>
      <c r="M309" s="881"/>
      <c r="N309" s="881"/>
      <c r="O309" s="881"/>
      <c r="P309" s="881"/>
    </row>
    <row r="310" spans="1:26" ht="18.75" hidden="1">
      <c r="A310" s="1002"/>
      <c r="B310" s="1003"/>
      <c r="C310" s="1003"/>
      <c r="D310" s="1009" t="s">
        <v>142</v>
      </c>
      <c r="E310" s="1009"/>
      <c r="F310" s="1009"/>
      <c r="G310" s="1011"/>
      <c r="H310" s="762" t="s">
        <v>35</v>
      </c>
      <c r="I310" s="880">
        <f ca="1">IFERROR(__xludf.DUMMYFUNCTION("IMPORTRANGE(""https://docs.google.com/spreadsheets/d/1QqKyyYR6Q21VydFLVH3TRQUabQu_ym0Zz7PgGX0-kHA/edit?usp=sharing"",""แผน!ED81"")"),0)</f>
        <v>0</v>
      </c>
      <c r="J310" s="1012">
        <v>0</v>
      </c>
      <c r="K310" s="881">
        <f t="shared" ca="1" si="141"/>
        <v>0</v>
      </c>
      <c r="L310" s="881"/>
      <c r="M310" s="881"/>
      <c r="N310" s="881"/>
      <c r="O310" s="881"/>
      <c r="P310" s="881"/>
    </row>
    <row r="311" spans="1:26" ht="18.75" hidden="1">
      <c r="A311" s="1002"/>
      <c r="B311" s="1003"/>
      <c r="C311" s="1003"/>
      <c r="D311" s="1009" t="s">
        <v>59</v>
      </c>
      <c r="E311" s="1009"/>
      <c r="F311" s="1009"/>
      <c r="G311" s="1011"/>
      <c r="H311" s="762" t="s">
        <v>35</v>
      </c>
      <c r="I311" s="880">
        <f ca="1">IFERROR(__xludf.DUMMYFUNCTION("IMPORTRANGE(""https://docs.google.com/spreadsheets/d/1QqKyyYR6Q21VydFLVH3TRQUabQu_ym0Zz7PgGX0-kHA/edit?usp=sharing"",""แผน!ED81"")"),0)</f>
        <v>0</v>
      </c>
      <c r="J311" s="1012">
        <v>0</v>
      </c>
      <c r="K311" s="881">
        <f t="shared" ca="1" si="141"/>
        <v>0</v>
      </c>
      <c r="L311" s="881"/>
      <c r="M311" s="881"/>
      <c r="N311" s="881"/>
      <c r="O311" s="881"/>
      <c r="P311" s="881"/>
    </row>
    <row r="312" spans="1:26" ht="18.75" hidden="1">
      <c r="A312" s="1002"/>
      <c r="B312" s="1003"/>
      <c r="C312" s="1003"/>
      <c r="D312" s="1009" t="s">
        <v>143</v>
      </c>
      <c r="E312" s="1009"/>
      <c r="F312" s="1009"/>
      <c r="G312" s="1011"/>
      <c r="H312" s="762" t="s">
        <v>35</v>
      </c>
      <c r="I312" s="880">
        <f ca="1">IFERROR(__xludf.DUMMYFUNCTION("IMPORTRANGE(""https://docs.google.com/spreadsheets/d/1QqKyyYR6Q21VydFLVH3TRQUabQu_ym0Zz7PgGX0-kHA/edit?usp=sharing"",""แผน!EE81"")"),0)</f>
        <v>0</v>
      </c>
      <c r="J312" s="1012">
        <v>0</v>
      </c>
      <c r="K312" s="881">
        <f t="shared" ca="1" si="141"/>
        <v>0</v>
      </c>
      <c r="L312" s="881"/>
      <c r="M312" s="881"/>
      <c r="N312" s="881"/>
      <c r="O312" s="881"/>
      <c r="P312" s="881"/>
    </row>
    <row r="313" spans="1:26" ht="19.5" hidden="1">
      <c r="A313" s="1179" t="s">
        <v>144</v>
      </c>
      <c r="B313" s="1180"/>
      <c r="C313" s="1180"/>
      <c r="D313" s="1181"/>
      <c r="E313" s="1180"/>
      <c r="F313" s="1180"/>
      <c r="G313" s="1180"/>
      <c r="H313" s="1193"/>
      <c r="I313" s="1184"/>
      <c r="J313" s="1184"/>
      <c r="K313" s="1185"/>
      <c r="L313" s="1185"/>
      <c r="M313" s="1185"/>
      <c r="N313" s="1185"/>
      <c r="O313" s="1185"/>
      <c r="P313" s="1185"/>
    </row>
    <row r="314" spans="1:26" ht="19.5" hidden="1">
      <c r="A314" s="1194"/>
      <c r="B314" s="1187" t="s">
        <v>145</v>
      </c>
      <c r="C314" s="1195"/>
      <c r="D314" s="1196"/>
      <c r="E314" s="1188"/>
      <c r="F314" s="1188"/>
      <c r="G314" s="1189"/>
      <c r="H314" s="444" t="s">
        <v>146</v>
      </c>
      <c r="I314" s="1190">
        <f t="shared" ref="I314:J314" ca="1" si="142">I325</f>
        <v>0</v>
      </c>
      <c r="J314" s="1190">
        <f t="shared" si="142"/>
        <v>0</v>
      </c>
      <c r="K314" s="1191">
        <f ca="1">IF(I314&gt;0,J314*100/I314,0)</f>
        <v>0</v>
      </c>
      <c r="L314" s="1192"/>
      <c r="M314" s="1192"/>
      <c r="N314" s="1192"/>
      <c r="O314" s="1192"/>
      <c r="P314" s="1192"/>
    </row>
    <row r="315" spans="1:26" ht="19.5" hidden="1">
      <c r="A315" s="985"/>
      <c r="B315" s="986"/>
      <c r="C315" s="987" t="s">
        <v>16</v>
      </c>
      <c r="D315" s="988" t="s">
        <v>17</v>
      </c>
      <c r="E315" s="986"/>
      <c r="F315" s="986"/>
      <c r="G315" s="989"/>
      <c r="H315" s="152" t="s">
        <v>12</v>
      </c>
      <c r="I315" s="990"/>
      <c r="J315" s="990"/>
      <c r="K315" s="991"/>
      <c r="L315" s="992">
        <f t="shared" ref="L315:N315" ca="1" si="143">L316+L317</f>
        <v>0</v>
      </c>
      <c r="M315" s="992">
        <f t="shared" ca="1" si="143"/>
        <v>0</v>
      </c>
      <c r="N315" s="992">
        <f t="shared" ca="1" si="143"/>
        <v>0</v>
      </c>
      <c r="O315" s="992">
        <f t="shared" ref="O315:O323" ca="1" si="144">IF(L315&gt;0,N315*100/L315,0)</f>
        <v>0</v>
      </c>
      <c r="P315" s="992">
        <f t="shared" ref="P315:P323" ca="1" si="145">IF(M315&gt;0,N315*100/M315,0)</f>
        <v>0</v>
      </c>
      <c r="Q315" s="868"/>
      <c r="R315" s="868"/>
      <c r="S315" s="868"/>
      <c r="T315" s="868"/>
      <c r="U315" s="868"/>
      <c r="V315" s="868"/>
      <c r="W315" s="868"/>
      <c r="X315" s="868"/>
      <c r="Y315" s="868"/>
      <c r="Z315" s="868"/>
    </row>
    <row r="316" spans="1:26" ht="18.75" hidden="1">
      <c r="A316" s="993"/>
      <c r="B316" s="883"/>
      <c r="C316" s="883"/>
      <c r="D316" s="883"/>
      <c r="E316" s="884" t="s">
        <v>18</v>
      </c>
      <c r="F316" s="883"/>
      <c r="G316" s="994"/>
      <c r="H316" s="158" t="s">
        <v>12</v>
      </c>
      <c r="I316" s="886"/>
      <c r="J316" s="886"/>
      <c r="K316" s="887"/>
      <c r="L316" s="887">
        <f t="shared" ref="L316:N317" si="146">L319+L322</f>
        <v>0</v>
      </c>
      <c r="M316" s="887">
        <f t="shared" si="146"/>
        <v>0</v>
      </c>
      <c r="N316" s="887">
        <f t="shared" si="146"/>
        <v>0</v>
      </c>
      <c r="O316" s="887">
        <f t="shared" si="144"/>
        <v>0</v>
      </c>
      <c r="P316" s="887">
        <f t="shared" si="145"/>
        <v>0</v>
      </c>
      <c r="Q316" s="875"/>
      <c r="R316" s="875"/>
      <c r="S316" s="875"/>
      <c r="T316" s="875"/>
      <c r="U316" s="875"/>
      <c r="V316" s="875"/>
      <c r="W316" s="875"/>
      <c r="X316" s="875"/>
      <c r="Y316" s="875"/>
      <c r="Z316" s="875"/>
    </row>
    <row r="317" spans="1:26" ht="18.75" hidden="1">
      <c r="A317" s="993"/>
      <c r="B317" s="883"/>
      <c r="C317" s="883"/>
      <c r="D317" s="883"/>
      <c r="E317" s="884" t="s">
        <v>19</v>
      </c>
      <c r="F317" s="883"/>
      <c r="G317" s="994"/>
      <c r="H317" s="158" t="s">
        <v>12</v>
      </c>
      <c r="I317" s="886"/>
      <c r="J317" s="886"/>
      <c r="K317" s="887"/>
      <c r="L317" s="887">
        <f t="shared" ca="1" si="146"/>
        <v>0</v>
      </c>
      <c r="M317" s="887">
        <f t="shared" ca="1" si="146"/>
        <v>0</v>
      </c>
      <c r="N317" s="887">
        <f t="shared" ca="1" si="146"/>
        <v>0</v>
      </c>
      <c r="O317" s="887">
        <f t="shared" ca="1" si="144"/>
        <v>0</v>
      </c>
      <c r="P317" s="887">
        <f t="shared" ca="1" si="145"/>
        <v>0</v>
      </c>
      <c r="Q317" s="875"/>
      <c r="R317" s="875"/>
      <c r="S317" s="875"/>
      <c r="T317" s="875"/>
      <c r="U317" s="875"/>
      <c r="V317" s="875"/>
      <c r="W317" s="875"/>
      <c r="X317" s="875"/>
      <c r="Y317" s="875"/>
      <c r="Z317" s="875"/>
    </row>
    <row r="318" spans="1:26" ht="18.75" hidden="1">
      <c r="A318" s="995"/>
      <c r="B318" s="877"/>
      <c r="C318" s="996"/>
      <c r="D318" s="878" t="s">
        <v>20</v>
      </c>
      <c r="E318" s="877"/>
      <c r="F318" s="877"/>
      <c r="G318" s="879"/>
      <c r="H318" s="161" t="s">
        <v>12</v>
      </c>
      <c r="I318" s="997"/>
      <c r="J318" s="997"/>
      <c r="K318" s="998"/>
      <c r="L318" s="881">
        <f t="shared" ref="L318:N318" ca="1" si="147">L319+L320</f>
        <v>0</v>
      </c>
      <c r="M318" s="881">
        <f t="shared" ca="1" si="147"/>
        <v>0</v>
      </c>
      <c r="N318" s="881">
        <f t="shared" ca="1" si="147"/>
        <v>0</v>
      </c>
      <c r="O318" s="881">
        <f t="shared" ca="1" si="144"/>
        <v>0</v>
      </c>
      <c r="P318" s="881">
        <f t="shared" ca="1" si="145"/>
        <v>0</v>
      </c>
      <c r="Q318" s="868"/>
      <c r="R318" s="868"/>
      <c r="S318" s="868"/>
      <c r="T318" s="868"/>
      <c r="U318" s="868"/>
      <c r="V318" s="868"/>
      <c r="W318" s="868"/>
      <c r="X318" s="868"/>
      <c r="Y318" s="868"/>
      <c r="Z318" s="868"/>
    </row>
    <row r="319" spans="1:26" ht="19.5" hidden="1">
      <c r="A319" s="993"/>
      <c r="B319" s="883"/>
      <c r="C319" s="999"/>
      <c r="D319" s="883"/>
      <c r="E319" s="884" t="s">
        <v>36</v>
      </c>
      <c r="F319" s="883"/>
      <c r="G319" s="994"/>
      <c r="H319" s="165" t="s">
        <v>12</v>
      </c>
      <c r="I319" s="1000"/>
      <c r="J319" s="1000"/>
      <c r="K319" s="1001"/>
      <c r="L319" s="887">
        <v>0</v>
      </c>
      <c r="M319" s="887">
        <v>0</v>
      </c>
      <c r="N319" s="887">
        <v>0</v>
      </c>
      <c r="O319" s="887">
        <f t="shared" si="144"/>
        <v>0</v>
      </c>
      <c r="P319" s="887">
        <f t="shared" si="145"/>
        <v>0</v>
      </c>
      <c r="Q319" s="875"/>
      <c r="R319" s="875"/>
      <c r="S319" s="875"/>
      <c r="T319" s="875"/>
      <c r="U319" s="875"/>
      <c r="V319" s="875"/>
      <c r="W319" s="875"/>
      <c r="X319" s="875"/>
      <c r="Y319" s="875"/>
      <c r="Z319" s="875"/>
    </row>
    <row r="320" spans="1:26" ht="19.5" hidden="1">
      <c r="A320" s="993"/>
      <c r="B320" s="883"/>
      <c r="C320" s="999"/>
      <c r="D320" s="883"/>
      <c r="E320" s="884" t="s">
        <v>37</v>
      </c>
      <c r="F320" s="883"/>
      <c r="G320" s="994"/>
      <c r="H320" s="165" t="s">
        <v>12</v>
      </c>
      <c r="I320" s="1000"/>
      <c r="J320" s="1000"/>
      <c r="K320" s="1001"/>
      <c r="L320" s="887">
        <f ca="1">IFERROR(__xludf.DUMMYFUNCTION("IMPORTRANGE(""https://docs.google.com/spreadsheets/d/1MeEWN-I1oV_STSDYn1IFDPWt_1FKiwhDph83XaGc0o0/edit?usp=sharing"",""งบพรบ!EC81"")"),0)</f>
        <v>0</v>
      </c>
      <c r="M320" s="887">
        <f ca="1">IFERROR(__xludf.DUMMYFUNCTION("IMPORTRANGE(""https://docs.google.com/spreadsheets/d/1MeEWN-I1oV_STSDYn1IFDPWt_1FKiwhDph83XaGc0o0/edit?usp=sharing"",""งบพรบ!EH81"")"),0)</f>
        <v>0</v>
      </c>
      <c r="N320" s="887">
        <f ca="1">IFERROR(__xludf.DUMMYFUNCTION("IMPORTRANGE(""https://docs.google.com/spreadsheets/d/1MeEWN-I1oV_STSDYn1IFDPWt_1FKiwhDph83XaGc0o0/edit?usp=sharing"",""งบพรบ!EJ81"")"),0)</f>
        <v>0</v>
      </c>
      <c r="O320" s="887">
        <f t="shared" ca="1" si="144"/>
        <v>0</v>
      </c>
      <c r="P320" s="887">
        <f t="shared" ca="1" si="145"/>
        <v>0</v>
      </c>
      <c r="Q320" s="875"/>
      <c r="R320" s="875"/>
      <c r="S320" s="875"/>
      <c r="T320" s="875"/>
      <c r="U320" s="875"/>
      <c r="V320" s="875"/>
      <c r="W320" s="875"/>
      <c r="X320" s="875"/>
      <c r="Y320" s="875"/>
      <c r="Z320" s="875"/>
    </row>
    <row r="321" spans="1:26" ht="18.75" hidden="1">
      <c r="A321" s="995"/>
      <c r="B321" s="877"/>
      <c r="C321" s="996"/>
      <c r="D321" s="878" t="s">
        <v>21</v>
      </c>
      <c r="E321" s="877"/>
      <c r="F321" s="877"/>
      <c r="G321" s="879"/>
      <c r="H321" s="168" t="s">
        <v>12</v>
      </c>
      <c r="I321" s="997"/>
      <c r="J321" s="997"/>
      <c r="K321" s="998"/>
      <c r="L321" s="881">
        <f t="shared" ref="L321:N321" ca="1" si="148">L322+L323</f>
        <v>0</v>
      </c>
      <c r="M321" s="881">
        <f t="shared" ca="1" si="148"/>
        <v>0</v>
      </c>
      <c r="N321" s="881">
        <f t="shared" ca="1" si="148"/>
        <v>0</v>
      </c>
      <c r="O321" s="881">
        <f t="shared" ca="1" si="144"/>
        <v>0</v>
      </c>
      <c r="P321" s="881">
        <f t="shared" ca="1" si="145"/>
        <v>0</v>
      </c>
      <c r="Q321" s="868"/>
      <c r="R321" s="868"/>
      <c r="S321" s="868"/>
      <c r="T321" s="868"/>
      <c r="U321" s="868"/>
      <c r="V321" s="868"/>
      <c r="W321" s="868"/>
      <c r="X321" s="868"/>
      <c r="Y321" s="868"/>
      <c r="Z321" s="868"/>
    </row>
    <row r="322" spans="1:26" ht="19.5" hidden="1">
      <c r="A322" s="993"/>
      <c r="B322" s="883"/>
      <c r="C322" s="999"/>
      <c r="D322" s="883"/>
      <c r="E322" s="884" t="s">
        <v>18</v>
      </c>
      <c r="F322" s="883"/>
      <c r="G322" s="994"/>
      <c r="H322" s="165" t="s">
        <v>12</v>
      </c>
      <c r="I322" s="1000"/>
      <c r="J322" s="1000"/>
      <c r="K322" s="1001"/>
      <c r="L322" s="887">
        <v>0</v>
      </c>
      <c r="M322" s="887">
        <v>0</v>
      </c>
      <c r="N322" s="887">
        <v>0</v>
      </c>
      <c r="O322" s="887">
        <f t="shared" si="144"/>
        <v>0</v>
      </c>
      <c r="P322" s="887">
        <f t="shared" si="145"/>
        <v>0</v>
      </c>
      <c r="Q322" s="875"/>
      <c r="R322" s="875"/>
      <c r="S322" s="875"/>
      <c r="T322" s="875"/>
      <c r="U322" s="875"/>
      <c r="V322" s="875"/>
      <c r="W322" s="875"/>
      <c r="X322" s="875"/>
      <c r="Y322" s="875"/>
      <c r="Z322" s="875"/>
    </row>
    <row r="323" spans="1:26" ht="19.5" hidden="1">
      <c r="A323" s="993"/>
      <c r="B323" s="883"/>
      <c r="C323" s="999"/>
      <c r="D323" s="883"/>
      <c r="E323" s="884" t="s">
        <v>19</v>
      </c>
      <c r="F323" s="883"/>
      <c r="G323" s="994"/>
      <c r="H323" s="169" t="s">
        <v>12</v>
      </c>
      <c r="I323" s="1000"/>
      <c r="J323" s="1000"/>
      <c r="K323" s="1001"/>
      <c r="L323" s="887">
        <f ca="1">IFERROR(__xludf.DUMMYFUNCTION("IMPORTRANGE(""https://docs.google.com/spreadsheets/d/1MeEWN-I1oV_STSDYn1IFDPWt_1FKiwhDph83XaGc0o0/edit?usp=sharing"",""งบพรบ!EF81"")"),0)</f>
        <v>0</v>
      </c>
      <c r="M323" s="887">
        <f ca="1">IFERROR(__xludf.DUMMYFUNCTION("IMPORTRANGE(""https://docs.google.com/spreadsheets/d/1MeEWN-I1oV_STSDYn1IFDPWt_1FKiwhDph83XaGc0o0/edit?usp=sharing"",""งบพรบ!EI81"")"),0)</f>
        <v>0</v>
      </c>
      <c r="N323" s="887">
        <f ca="1">IFERROR(__xludf.DUMMYFUNCTION("IMPORTRANGE(""https://docs.google.com/spreadsheets/d/1MeEWN-I1oV_STSDYn1IFDPWt_1FKiwhDph83XaGc0o0/edit?usp=sharing"",""งบพรบ!EK81"")"),0)</f>
        <v>0</v>
      </c>
      <c r="O323" s="887">
        <f t="shared" ca="1" si="144"/>
        <v>0</v>
      </c>
      <c r="P323" s="887">
        <f t="shared" ca="1" si="145"/>
        <v>0</v>
      </c>
      <c r="Q323" s="875"/>
      <c r="R323" s="875"/>
      <c r="S323" s="875"/>
      <c r="T323" s="875"/>
      <c r="U323" s="875"/>
      <c r="V323" s="875"/>
      <c r="W323" s="875"/>
      <c r="X323" s="875"/>
      <c r="Y323" s="875"/>
      <c r="Z323" s="875"/>
    </row>
    <row r="324" spans="1:26" ht="19.5" hidden="1">
      <c r="A324" s="1002"/>
      <c r="B324" s="1003"/>
      <c r="C324" s="999" t="s">
        <v>16</v>
      </c>
      <c r="D324" s="1004" t="s">
        <v>38</v>
      </c>
      <c r="E324" s="1005"/>
      <c r="F324" s="1005"/>
      <c r="G324" s="1006"/>
      <c r="H324" s="1007"/>
      <c r="I324" s="997"/>
      <c r="J324" s="880"/>
      <c r="K324" s="881"/>
      <c r="L324" s="881"/>
      <c r="M324" s="881"/>
      <c r="N324" s="881"/>
      <c r="O324" s="998"/>
      <c r="P324" s="998"/>
    </row>
    <row r="325" spans="1:26" ht="18.75" hidden="1">
      <c r="A325" s="1002"/>
      <c r="B325" s="1003"/>
      <c r="C325" s="1003"/>
      <c r="D325" s="1008" t="s">
        <v>147</v>
      </c>
      <c r="E325" s="1010"/>
      <c r="F325" s="1009"/>
      <c r="G325" s="1011"/>
      <c r="H325" s="622" t="s">
        <v>146</v>
      </c>
      <c r="I325" s="880">
        <f ca="1">IFERROR(__xludf.DUMMYFUNCTION("IMPORTRANGE(""https://docs.google.com/spreadsheets/d/1QqKyyYR6Q21VydFLVH3TRQUabQu_ym0Zz7PgGX0-kHA/edit?usp=sharing"",""แผน!EF81"")"),0)</f>
        <v>0</v>
      </c>
      <c r="J325" s="1012">
        <v>0</v>
      </c>
      <c r="K325" s="881">
        <f ca="1">IF(I325&gt;0,J325*100/I325,0)</f>
        <v>0</v>
      </c>
      <c r="L325" s="881"/>
      <c r="M325" s="881"/>
      <c r="N325" s="881"/>
      <c r="O325" s="998"/>
      <c r="P325" s="998"/>
    </row>
    <row r="326" spans="1:26" ht="19.5">
      <c r="A326" s="1179" t="s">
        <v>148</v>
      </c>
      <c r="B326" s="1180"/>
      <c r="C326" s="1180"/>
      <c r="D326" s="1181"/>
      <c r="E326" s="1180"/>
      <c r="F326" s="1180"/>
      <c r="G326" s="1180"/>
      <c r="H326" s="1193"/>
      <c r="I326" s="1184"/>
      <c r="J326" s="1184"/>
      <c r="K326" s="1185"/>
      <c r="L326" s="1185"/>
      <c r="M326" s="1185"/>
      <c r="N326" s="1185"/>
      <c r="O326" s="1185"/>
      <c r="P326" s="1185"/>
    </row>
    <row r="327" spans="1:26" ht="19.5">
      <c r="A327" s="1186"/>
      <c r="B327" s="1187" t="s">
        <v>149</v>
      </c>
      <c r="C327" s="1196"/>
      <c r="D327" s="1188"/>
      <c r="E327" s="1188"/>
      <c r="F327" s="1188"/>
      <c r="G327" s="1189"/>
      <c r="H327" s="444" t="s">
        <v>35</v>
      </c>
      <c r="I327" s="1190">
        <f ca="1">IFERROR(__xludf.DUMMYFUNCTION("IMPORTRANGE(""https://docs.google.com/spreadsheets/d/1QqKyyYR6Q21VydFLVH3TRQUabQu_ym0Zz7PgGX0-kHA/edit?usp=sharing"",""แผน!EG81"")"),800)</f>
        <v>800</v>
      </c>
      <c r="J327" s="1190">
        <f ca="1">J338+J341+J342+J343</f>
        <v>466</v>
      </c>
      <c r="K327" s="1191">
        <f ca="1">IF(I327&gt;0,J327*100/I327,0)</f>
        <v>58.25</v>
      </c>
      <c r="L327" s="1192"/>
      <c r="M327" s="1192"/>
      <c r="N327" s="1192"/>
      <c r="O327" s="1192"/>
      <c r="P327" s="1192"/>
    </row>
    <row r="328" spans="1:26" ht="19.5">
      <c r="A328" s="985"/>
      <c r="B328" s="986"/>
      <c r="C328" s="987" t="s">
        <v>16</v>
      </c>
      <c r="D328" s="988" t="s">
        <v>17</v>
      </c>
      <c r="E328" s="986"/>
      <c r="F328" s="986"/>
      <c r="G328" s="989"/>
      <c r="H328" s="152" t="s">
        <v>12</v>
      </c>
      <c r="I328" s="990"/>
      <c r="J328" s="990"/>
      <c r="K328" s="991"/>
      <c r="L328" s="992">
        <f t="shared" ref="L328:N328" ca="1" si="149">L329+L330</f>
        <v>163000</v>
      </c>
      <c r="M328" s="992">
        <f t="shared" ca="1" si="149"/>
        <v>124750</v>
      </c>
      <c r="N328" s="992">
        <f t="shared" ca="1" si="149"/>
        <v>50671.33</v>
      </c>
      <c r="O328" s="992">
        <f t="shared" ref="O328:O336" ca="1" si="150">IF(L328&gt;0,N328*100/L328,0)</f>
        <v>31.086705521472393</v>
      </c>
      <c r="P328" s="992">
        <f t="shared" ref="P328:P336" ca="1" si="151">IF(M328&gt;0,N328*100/M328,0)</f>
        <v>40.618300601202407</v>
      </c>
      <c r="Q328" s="868"/>
      <c r="R328" s="868"/>
      <c r="S328" s="868"/>
      <c r="T328" s="868"/>
      <c r="U328" s="868"/>
      <c r="V328" s="868"/>
      <c r="W328" s="868"/>
      <c r="X328" s="868"/>
      <c r="Y328" s="868"/>
      <c r="Z328" s="868"/>
    </row>
    <row r="329" spans="1:26" ht="18.75" hidden="1">
      <c r="A329" s="993"/>
      <c r="B329" s="883"/>
      <c r="C329" s="883"/>
      <c r="D329" s="883"/>
      <c r="E329" s="884" t="s">
        <v>18</v>
      </c>
      <c r="F329" s="883"/>
      <c r="G329" s="994"/>
      <c r="H329" s="158" t="s">
        <v>12</v>
      </c>
      <c r="I329" s="886"/>
      <c r="J329" s="886"/>
      <c r="K329" s="887"/>
      <c r="L329" s="887">
        <f t="shared" ref="L329:N330" si="152">L332+L335</f>
        <v>0</v>
      </c>
      <c r="M329" s="887">
        <f t="shared" si="152"/>
        <v>0</v>
      </c>
      <c r="N329" s="887">
        <f t="shared" si="152"/>
        <v>0</v>
      </c>
      <c r="O329" s="887">
        <f t="shared" si="150"/>
        <v>0</v>
      </c>
      <c r="P329" s="887">
        <f t="shared" si="151"/>
        <v>0</v>
      </c>
      <c r="Q329" s="875"/>
      <c r="R329" s="875"/>
      <c r="S329" s="875"/>
      <c r="T329" s="875"/>
      <c r="U329" s="875"/>
      <c r="V329" s="875"/>
      <c r="W329" s="875"/>
      <c r="X329" s="875"/>
      <c r="Y329" s="875"/>
      <c r="Z329" s="875"/>
    </row>
    <row r="330" spans="1:26" ht="18.75" hidden="1">
      <c r="A330" s="993"/>
      <c r="B330" s="883"/>
      <c r="C330" s="883"/>
      <c r="D330" s="883"/>
      <c r="E330" s="884" t="s">
        <v>19</v>
      </c>
      <c r="F330" s="883"/>
      <c r="G330" s="994"/>
      <c r="H330" s="158" t="s">
        <v>12</v>
      </c>
      <c r="I330" s="886"/>
      <c r="J330" s="886"/>
      <c r="K330" s="887"/>
      <c r="L330" s="887">
        <f t="shared" ca="1" si="152"/>
        <v>163000</v>
      </c>
      <c r="M330" s="887">
        <f t="shared" ca="1" si="152"/>
        <v>124750</v>
      </c>
      <c r="N330" s="887">
        <f t="shared" ca="1" si="152"/>
        <v>50671.33</v>
      </c>
      <c r="O330" s="887">
        <f t="shared" ca="1" si="150"/>
        <v>31.086705521472393</v>
      </c>
      <c r="P330" s="887">
        <f t="shared" ca="1" si="151"/>
        <v>40.618300601202407</v>
      </c>
      <c r="Q330" s="875"/>
      <c r="R330" s="875"/>
      <c r="S330" s="875"/>
      <c r="T330" s="875"/>
      <c r="U330" s="875"/>
      <c r="V330" s="875"/>
      <c r="W330" s="875"/>
      <c r="X330" s="875"/>
      <c r="Y330" s="875"/>
      <c r="Z330" s="875"/>
    </row>
    <row r="331" spans="1:26" ht="18.75">
      <c r="A331" s="995"/>
      <c r="B331" s="877"/>
      <c r="C331" s="996"/>
      <c r="D331" s="878" t="s">
        <v>20</v>
      </c>
      <c r="E331" s="877"/>
      <c r="F331" s="877"/>
      <c r="G331" s="879"/>
      <c r="H331" s="161" t="s">
        <v>12</v>
      </c>
      <c r="I331" s="997"/>
      <c r="J331" s="997"/>
      <c r="K331" s="998"/>
      <c r="L331" s="881">
        <f t="shared" ref="L331:N331" ca="1" si="153">L332+L333</f>
        <v>163000</v>
      </c>
      <c r="M331" s="881">
        <f t="shared" ca="1" si="153"/>
        <v>124750</v>
      </c>
      <c r="N331" s="881">
        <f t="shared" ca="1" si="153"/>
        <v>50671.33</v>
      </c>
      <c r="O331" s="881">
        <f t="shared" ca="1" si="150"/>
        <v>31.086705521472393</v>
      </c>
      <c r="P331" s="881">
        <f t="shared" ca="1" si="151"/>
        <v>40.618300601202407</v>
      </c>
      <c r="Q331" s="868"/>
      <c r="R331" s="868"/>
      <c r="S331" s="868"/>
      <c r="T331" s="868"/>
      <c r="U331" s="868"/>
      <c r="V331" s="868"/>
      <c r="W331" s="868"/>
      <c r="X331" s="868"/>
      <c r="Y331" s="868"/>
      <c r="Z331" s="868"/>
    </row>
    <row r="332" spans="1:26" ht="19.5" hidden="1">
      <c r="A332" s="993"/>
      <c r="B332" s="883"/>
      <c r="C332" s="999"/>
      <c r="D332" s="883"/>
      <c r="E332" s="884" t="s">
        <v>36</v>
      </c>
      <c r="F332" s="883"/>
      <c r="G332" s="994"/>
      <c r="H332" s="165" t="s">
        <v>12</v>
      </c>
      <c r="I332" s="1000"/>
      <c r="J332" s="1000"/>
      <c r="K332" s="1001"/>
      <c r="L332" s="887">
        <v>0</v>
      </c>
      <c r="M332" s="887">
        <v>0</v>
      </c>
      <c r="N332" s="887">
        <v>0</v>
      </c>
      <c r="O332" s="887">
        <f t="shared" si="150"/>
        <v>0</v>
      </c>
      <c r="P332" s="887">
        <f t="shared" si="151"/>
        <v>0</v>
      </c>
      <c r="Q332" s="875"/>
      <c r="R332" s="875"/>
      <c r="S332" s="875"/>
      <c r="T332" s="875"/>
      <c r="U332" s="875"/>
      <c r="V332" s="875"/>
      <c r="W332" s="875"/>
      <c r="X332" s="875"/>
      <c r="Y332" s="875"/>
      <c r="Z332" s="875"/>
    </row>
    <row r="333" spans="1:26" ht="19.5" hidden="1">
      <c r="A333" s="993"/>
      <c r="B333" s="883"/>
      <c r="C333" s="999"/>
      <c r="D333" s="883"/>
      <c r="E333" s="884" t="s">
        <v>37</v>
      </c>
      <c r="F333" s="883"/>
      <c r="G333" s="994"/>
      <c r="H333" s="165" t="s">
        <v>12</v>
      </c>
      <c r="I333" s="1000"/>
      <c r="J333" s="1000"/>
      <c r="K333" s="1001"/>
      <c r="L333" s="887">
        <f ca="1">IFERROR(__xludf.DUMMYFUNCTION("IMPORTRANGE(""https://docs.google.com/spreadsheets/d/1MeEWN-I1oV_STSDYn1IFDPWt_1FKiwhDph83XaGc0o0/edit?usp=sharing"",""งบพรบ!EM81"")"),163000)</f>
        <v>163000</v>
      </c>
      <c r="M333" s="887">
        <f ca="1">IFERROR(__xludf.DUMMYFUNCTION("IMPORTRANGE(""https://docs.google.com/spreadsheets/d/1MeEWN-I1oV_STSDYn1IFDPWt_1FKiwhDph83XaGc0o0/edit?usp=sharing"",""งบพรบ!ER81"")"),124750)</f>
        <v>124750</v>
      </c>
      <c r="N333" s="887">
        <f ca="1">IFERROR(__xludf.DUMMYFUNCTION("IMPORTRANGE(""https://docs.google.com/spreadsheets/d/1MeEWN-I1oV_STSDYn1IFDPWt_1FKiwhDph83XaGc0o0/edit?usp=sharing"",""งบพรบ!ET81"")"),50671.33)</f>
        <v>50671.33</v>
      </c>
      <c r="O333" s="887">
        <f t="shared" ca="1" si="150"/>
        <v>31.086705521472393</v>
      </c>
      <c r="P333" s="887">
        <f t="shared" ca="1" si="151"/>
        <v>40.618300601202407</v>
      </c>
      <c r="Q333" s="875"/>
      <c r="R333" s="875"/>
      <c r="S333" s="875"/>
      <c r="T333" s="875"/>
      <c r="U333" s="875"/>
      <c r="V333" s="875"/>
      <c r="W333" s="875"/>
      <c r="X333" s="875"/>
      <c r="Y333" s="875"/>
      <c r="Z333" s="875"/>
    </row>
    <row r="334" spans="1:26" ht="18.75">
      <c r="A334" s="995"/>
      <c r="B334" s="877"/>
      <c r="C334" s="996"/>
      <c r="D334" s="878" t="s">
        <v>21</v>
      </c>
      <c r="E334" s="877"/>
      <c r="F334" s="877"/>
      <c r="G334" s="879"/>
      <c r="H334" s="168" t="s">
        <v>12</v>
      </c>
      <c r="I334" s="997"/>
      <c r="J334" s="997"/>
      <c r="K334" s="998"/>
      <c r="L334" s="881">
        <f t="shared" ref="L334:N334" ca="1" si="154">L335+L336</f>
        <v>0</v>
      </c>
      <c r="M334" s="881">
        <f t="shared" ca="1" si="154"/>
        <v>0</v>
      </c>
      <c r="N334" s="881">
        <f t="shared" ca="1" si="154"/>
        <v>0</v>
      </c>
      <c r="O334" s="881">
        <f t="shared" ca="1" si="150"/>
        <v>0</v>
      </c>
      <c r="P334" s="881">
        <f t="shared" ca="1" si="151"/>
        <v>0</v>
      </c>
      <c r="Q334" s="868"/>
      <c r="R334" s="868"/>
      <c r="S334" s="868"/>
      <c r="T334" s="868"/>
      <c r="U334" s="868"/>
      <c r="V334" s="868"/>
      <c r="W334" s="868"/>
      <c r="X334" s="868"/>
      <c r="Y334" s="868"/>
      <c r="Z334" s="868"/>
    </row>
    <row r="335" spans="1:26" ht="19.5" hidden="1">
      <c r="A335" s="993"/>
      <c r="B335" s="883"/>
      <c r="C335" s="999"/>
      <c r="D335" s="883"/>
      <c r="E335" s="884" t="s">
        <v>18</v>
      </c>
      <c r="F335" s="883"/>
      <c r="G335" s="994"/>
      <c r="H335" s="165" t="s">
        <v>12</v>
      </c>
      <c r="I335" s="1000"/>
      <c r="J335" s="1000"/>
      <c r="K335" s="1001"/>
      <c r="L335" s="887">
        <v>0</v>
      </c>
      <c r="M335" s="887">
        <v>0</v>
      </c>
      <c r="N335" s="887">
        <v>0</v>
      </c>
      <c r="O335" s="887">
        <f t="shared" si="150"/>
        <v>0</v>
      </c>
      <c r="P335" s="887">
        <f t="shared" si="151"/>
        <v>0</v>
      </c>
      <c r="Q335" s="875"/>
      <c r="R335" s="875"/>
      <c r="S335" s="875"/>
      <c r="T335" s="875"/>
      <c r="U335" s="875"/>
      <c r="V335" s="875"/>
      <c r="W335" s="875"/>
      <c r="X335" s="875"/>
      <c r="Y335" s="875"/>
      <c r="Z335" s="875"/>
    </row>
    <row r="336" spans="1:26" ht="19.5" hidden="1">
      <c r="A336" s="993"/>
      <c r="B336" s="883"/>
      <c r="C336" s="999"/>
      <c r="D336" s="883"/>
      <c r="E336" s="884" t="s">
        <v>19</v>
      </c>
      <c r="F336" s="883"/>
      <c r="G336" s="994"/>
      <c r="H336" s="169" t="s">
        <v>12</v>
      </c>
      <c r="I336" s="1000"/>
      <c r="J336" s="1000"/>
      <c r="K336" s="1001"/>
      <c r="L336" s="887">
        <f ca="1">IFERROR(__xludf.DUMMYFUNCTION("IMPORTRANGE(""https://docs.google.com/spreadsheets/d/1MeEWN-I1oV_STSDYn1IFDPWt_1FKiwhDph83XaGc0o0/edit?usp=sharing"",""งบพรบ!EP81"")"),0)</f>
        <v>0</v>
      </c>
      <c r="M336" s="887">
        <f ca="1">IFERROR(__xludf.DUMMYFUNCTION("IMPORTRANGE(""https://docs.google.com/spreadsheets/d/1MeEWN-I1oV_STSDYn1IFDPWt_1FKiwhDph83XaGc0o0/edit?usp=sharing"",""งบพรบ!ES81"")"),0)</f>
        <v>0</v>
      </c>
      <c r="N336" s="887">
        <f ca="1">IFERROR(__xludf.DUMMYFUNCTION("IMPORTRANGE(""https://docs.google.com/spreadsheets/d/1MeEWN-I1oV_STSDYn1IFDPWt_1FKiwhDph83XaGc0o0/edit?usp=sharing"",""งบพรบ!EU81"")"),0)</f>
        <v>0</v>
      </c>
      <c r="O336" s="887">
        <f t="shared" ca="1" si="150"/>
        <v>0</v>
      </c>
      <c r="P336" s="887">
        <f t="shared" ca="1" si="151"/>
        <v>0</v>
      </c>
      <c r="Q336" s="875"/>
      <c r="R336" s="875"/>
      <c r="S336" s="875"/>
      <c r="T336" s="875"/>
      <c r="U336" s="875"/>
      <c r="V336" s="875"/>
      <c r="W336" s="875"/>
      <c r="X336" s="875"/>
      <c r="Y336" s="875"/>
      <c r="Z336" s="875"/>
    </row>
    <row r="337" spans="1:26" ht="19.5">
      <c r="A337" s="1002"/>
      <c r="B337" s="1003"/>
      <c r="C337" s="999" t="s">
        <v>16</v>
      </c>
      <c r="D337" s="1004" t="s">
        <v>38</v>
      </c>
      <c r="E337" s="1005"/>
      <c r="F337" s="1005"/>
      <c r="G337" s="1006"/>
      <c r="H337" s="1007"/>
      <c r="I337" s="997"/>
      <c r="J337" s="880"/>
      <c r="K337" s="881"/>
      <c r="L337" s="881"/>
      <c r="M337" s="881"/>
      <c r="N337" s="881"/>
      <c r="O337" s="998"/>
      <c r="P337" s="998"/>
    </row>
    <row r="338" spans="1:26" ht="18.75">
      <c r="A338" s="1086"/>
      <c r="B338" s="877"/>
      <c r="C338" s="1084"/>
      <c r="D338" s="1009" t="s">
        <v>150</v>
      </c>
      <c r="E338" s="1003"/>
      <c r="F338" s="877"/>
      <c r="G338" s="879"/>
      <c r="H338" s="277" t="s">
        <v>35</v>
      </c>
      <c r="I338" s="880">
        <f ca="1">IFERROR(__xludf.DUMMYFUNCTION("IMPORTRANGE(""https://docs.google.com/spreadsheets/d/1QqKyyYR6Q21VydFLVH3TRQUabQu_ym0Zz7PgGX0-kHA/edit?usp=sharing"",""แผน!EG81"")"),800)</f>
        <v>800</v>
      </c>
      <c r="J338" s="880">
        <f ca="1">IFERROR(__xludf.DUMMYFUNCTION("IMPORTRANGE(""https://docs.google.com/spreadsheets/d/1kVcqe37tkHyjCSG3S0O1AXqVkqjo8mSIZil3BcpIysc/edit?usp=sharing"",""ศูนย์!D81"")"),426)</f>
        <v>426</v>
      </c>
      <c r="K338" s="881">
        <f ca="1">IF(I338&gt;0,J338*100/I338,0)</f>
        <v>53.25</v>
      </c>
      <c r="L338" s="881"/>
      <c r="M338" s="881"/>
      <c r="N338" s="881"/>
      <c r="O338" s="881"/>
      <c r="P338" s="881"/>
    </row>
    <row r="339" spans="1:26" ht="18.75">
      <c r="A339" s="1086"/>
      <c r="B339" s="877"/>
      <c r="C339" s="1084"/>
      <c r="D339" s="1009" t="s">
        <v>151</v>
      </c>
      <c r="E339" s="1003"/>
      <c r="F339" s="877"/>
      <c r="G339" s="879"/>
      <c r="H339" s="277"/>
      <c r="I339" s="880"/>
      <c r="J339" s="880"/>
      <c r="K339" s="881"/>
      <c r="L339" s="881"/>
      <c r="M339" s="881"/>
      <c r="N339" s="881"/>
      <c r="O339" s="881"/>
      <c r="P339" s="881"/>
    </row>
    <row r="340" spans="1:26" ht="18.75">
      <c r="A340" s="1086"/>
      <c r="B340" s="877"/>
      <c r="C340" s="1084"/>
      <c r="D340" s="1010"/>
      <c r="E340" s="1009" t="s">
        <v>152</v>
      </c>
      <c r="F340" s="877"/>
      <c r="G340" s="879"/>
      <c r="H340" s="277" t="s">
        <v>153</v>
      </c>
      <c r="I340" s="880">
        <f ca="1">IFERROR(__xludf.DUMMYFUNCTION("IMPORTRANGE(""https://docs.google.com/spreadsheets/d/1QqKyyYR6Q21VydFLVH3TRQUabQu_ym0Zz7PgGX0-kHA/edit?usp=sharing"",""แผน!EH81"")"),5)</f>
        <v>5</v>
      </c>
      <c r="J340" s="880">
        <v>2</v>
      </c>
      <c r="K340" s="881">
        <f ca="1">IF(I340&gt;0,J340*100/I340,0)</f>
        <v>40</v>
      </c>
      <c r="L340" s="881"/>
      <c r="M340" s="881"/>
      <c r="N340" s="881"/>
      <c r="O340" s="881"/>
      <c r="P340" s="881"/>
    </row>
    <row r="341" spans="1:26" ht="18.75">
      <c r="A341" s="1086"/>
      <c r="B341" s="877"/>
      <c r="C341" s="1084"/>
      <c r="D341" s="1010"/>
      <c r="E341" s="1009" t="s">
        <v>154</v>
      </c>
      <c r="F341" s="877"/>
      <c r="G341" s="879"/>
      <c r="H341" s="277" t="s">
        <v>35</v>
      </c>
      <c r="I341" s="880"/>
      <c r="J341" s="880">
        <v>40</v>
      </c>
      <c r="K341" s="881"/>
      <c r="L341" s="881"/>
      <c r="M341" s="881"/>
      <c r="N341" s="881"/>
      <c r="O341" s="881"/>
      <c r="P341" s="881"/>
    </row>
    <row r="342" spans="1:26" ht="18.75">
      <c r="A342" s="1086"/>
      <c r="B342" s="877"/>
      <c r="C342" s="1084"/>
      <c r="D342" s="1009" t="s">
        <v>155</v>
      </c>
      <c r="E342" s="1010"/>
      <c r="F342" s="1010"/>
      <c r="G342" s="879"/>
      <c r="H342" s="277" t="s">
        <v>35</v>
      </c>
      <c r="I342" s="880"/>
      <c r="J342" s="880">
        <f ca="1">IFERROR(__xludf.DUMMYFUNCTION("IMPORTRANGE(""https://docs.google.com/spreadsheets/d/1kVcqe37tkHyjCSG3S0O1AXqVkqjo8mSIZil3BcpIysc/edit?usp=sharing"",""ศูนย์!G81"")"),0)</f>
        <v>0</v>
      </c>
      <c r="K342" s="881"/>
      <c r="L342" s="881"/>
      <c r="M342" s="881"/>
      <c r="N342" s="881"/>
      <c r="O342" s="881"/>
      <c r="P342" s="881"/>
    </row>
    <row r="343" spans="1:26" ht="18.75">
      <c r="A343" s="1086"/>
      <c r="B343" s="877"/>
      <c r="C343" s="1084"/>
      <c r="D343" s="1009" t="s">
        <v>156</v>
      </c>
      <c r="E343" s="1010"/>
      <c r="F343" s="1010"/>
      <c r="G343" s="879"/>
      <c r="H343" s="277" t="s">
        <v>35</v>
      </c>
      <c r="I343" s="880"/>
      <c r="J343" s="880">
        <f ca="1">IFERROR(__xludf.DUMMYFUNCTION("IMPORTRANGE(""https://docs.google.com/spreadsheets/d/1kVcqe37tkHyjCSG3S0O1AXqVkqjo8mSIZil3BcpIysc/edit?usp=sharing"",""ศูนย์!H81"")"),0)</f>
        <v>0</v>
      </c>
      <c r="K343" s="881"/>
      <c r="L343" s="881"/>
      <c r="M343" s="881"/>
      <c r="N343" s="881"/>
      <c r="O343" s="881"/>
      <c r="P343" s="881"/>
    </row>
    <row r="344" spans="1:26" ht="19.5">
      <c r="A344" s="1186"/>
      <c r="B344" s="1187" t="s">
        <v>157</v>
      </c>
      <c r="C344" s="1196"/>
      <c r="D344" s="1188"/>
      <c r="E344" s="1188"/>
      <c r="F344" s="1188"/>
      <c r="G344" s="1189"/>
      <c r="H344" s="444"/>
      <c r="I344" s="1197"/>
      <c r="J344" s="1197"/>
      <c r="K344" s="1192"/>
      <c r="L344" s="1192"/>
      <c r="M344" s="1192"/>
      <c r="N344" s="1192"/>
      <c r="O344" s="1192"/>
      <c r="P344" s="1192"/>
    </row>
    <row r="345" spans="1:26" ht="19.5">
      <c r="A345" s="985"/>
      <c r="B345" s="986"/>
      <c r="C345" s="987" t="s">
        <v>16</v>
      </c>
      <c r="D345" s="988" t="s">
        <v>17</v>
      </c>
      <c r="E345" s="986"/>
      <c r="F345" s="986"/>
      <c r="G345" s="989"/>
      <c r="H345" s="152" t="s">
        <v>12</v>
      </c>
      <c r="I345" s="990"/>
      <c r="J345" s="990"/>
      <c r="K345" s="991"/>
      <c r="L345" s="992">
        <f t="shared" ref="L345:N345" ca="1" si="155">L346+L347</f>
        <v>661560</v>
      </c>
      <c r="M345" s="992">
        <f t="shared" ca="1" si="155"/>
        <v>514175</v>
      </c>
      <c r="N345" s="992">
        <f t="shared" ca="1" si="155"/>
        <v>324026.2</v>
      </c>
      <c r="O345" s="992">
        <f t="shared" ref="O345:O353" ca="1" si="156">IF(L345&gt;0,N345*100/L345,0)</f>
        <v>48.979109982465687</v>
      </c>
      <c r="P345" s="992">
        <f t="shared" ref="P345:P353" ca="1" si="157">IF(M345&gt;0,N345*100/M345,0)</f>
        <v>63.018660961734817</v>
      </c>
      <c r="Q345" s="868"/>
      <c r="R345" s="868"/>
      <c r="S345" s="868"/>
      <c r="T345" s="868"/>
      <c r="U345" s="868"/>
      <c r="V345" s="868"/>
      <c r="W345" s="868"/>
      <c r="X345" s="868"/>
      <c r="Y345" s="868"/>
      <c r="Z345" s="868"/>
    </row>
    <row r="346" spans="1:26" ht="18.75" hidden="1">
      <c r="A346" s="993"/>
      <c r="B346" s="883"/>
      <c r="C346" s="883"/>
      <c r="D346" s="883"/>
      <c r="E346" s="884" t="s">
        <v>18</v>
      </c>
      <c r="F346" s="883"/>
      <c r="G346" s="994"/>
      <c r="H346" s="158" t="s">
        <v>12</v>
      </c>
      <c r="I346" s="886"/>
      <c r="J346" s="886"/>
      <c r="K346" s="887"/>
      <c r="L346" s="887">
        <f t="shared" ref="L346:N347" si="158">L349+L352</f>
        <v>0</v>
      </c>
      <c r="M346" s="887">
        <f t="shared" si="158"/>
        <v>0</v>
      </c>
      <c r="N346" s="887">
        <f t="shared" si="158"/>
        <v>0</v>
      </c>
      <c r="O346" s="887">
        <f t="shared" si="156"/>
        <v>0</v>
      </c>
      <c r="P346" s="887">
        <f t="shared" si="157"/>
        <v>0</v>
      </c>
      <c r="Q346" s="875"/>
      <c r="R346" s="875"/>
      <c r="S346" s="875"/>
      <c r="T346" s="875"/>
      <c r="U346" s="875"/>
      <c r="V346" s="875"/>
      <c r="W346" s="875"/>
      <c r="X346" s="875"/>
      <c r="Y346" s="875"/>
      <c r="Z346" s="875"/>
    </row>
    <row r="347" spans="1:26" ht="18.75" hidden="1">
      <c r="A347" s="993"/>
      <c r="B347" s="883"/>
      <c r="C347" s="883"/>
      <c r="D347" s="883"/>
      <c r="E347" s="884" t="s">
        <v>19</v>
      </c>
      <c r="F347" s="883"/>
      <c r="G347" s="994"/>
      <c r="H347" s="158" t="s">
        <v>12</v>
      </c>
      <c r="I347" s="886"/>
      <c r="J347" s="886"/>
      <c r="K347" s="887"/>
      <c r="L347" s="887">
        <f t="shared" ca="1" si="158"/>
        <v>661560</v>
      </c>
      <c r="M347" s="887">
        <f t="shared" ca="1" si="158"/>
        <v>514175</v>
      </c>
      <c r="N347" s="887">
        <f t="shared" ca="1" si="158"/>
        <v>324026.2</v>
      </c>
      <c r="O347" s="887">
        <f t="shared" ca="1" si="156"/>
        <v>48.979109982465687</v>
      </c>
      <c r="P347" s="887">
        <f t="shared" ca="1" si="157"/>
        <v>63.018660961734817</v>
      </c>
      <c r="Q347" s="875"/>
      <c r="R347" s="875"/>
      <c r="S347" s="875"/>
      <c r="T347" s="875"/>
      <c r="U347" s="875"/>
      <c r="V347" s="875"/>
      <c r="W347" s="875"/>
      <c r="X347" s="875"/>
      <c r="Y347" s="875"/>
      <c r="Z347" s="875"/>
    </row>
    <row r="348" spans="1:26" ht="18.75">
      <c r="A348" s="995"/>
      <c r="B348" s="877"/>
      <c r="C348" s="996"/>
      <c r="D348" s="878" t="s">
        <v>20</v>
      </c>
      <c r="E348" s="877"/>
      <c r="F348" s="877"/>
      <c r="G348" s="879"/>
      <c r="H348" s="161" t="s">
        <v>12</v>
      </c>
      <c r="I348" s="997"/>
      <c r="J348" s="997"/>
      <c r="K348" s="998"/>
      <c r="L348" s="881">
        <f t="shared" ref="L348:N348" ca="1" si="159">L349+L350</f>
        <v>585560</v>
      </c>
      <c r="M348" s="881">
        <f t="shared" ca="1" si="159"/>
        <v>438375</v>
      </c>
      <c r="N348" s="881">
        <f t="shared" ca="1" si="159"/>
        <v>248226.2</v>
      </c>
      <c r="O348" s="881">
        <f t="shared" ca="1" si="156"/>
        <v>42.391249402281574</v>
      </c>
      <c r="P348" s="881">
        <f t="shared" ca="1" si="157"/>
        <v>56.624168805246647</v>
      </c>
      <c r="Q348" s="868"/>
      <c r="R348" s="868"/>
      <c r="S348" s="868"/>
      <c r="T348" s="868"/>
      <c r="U348" s="868"/>
      <c r="V348" s="868"/>
      <c r="W348" s="868"/>
      <c r="X348" s="868"/>
      <c r="Y348" s="868"/>
      <c r="Z348" s="868"/>
    </row>
    <row r="349" spans="1:26" ht="19.5" hidden="1">
      <c r="A349" s="993"/>
      <c r="B349" s="883"/>
      <c r="C349" s="999"/>
      <c r="D349" s="883"/>
      <c r="E349" s="884" t="s">
        <v>36</v>
      </c>
      <c r="F349" s="883"/>
      <c r="G349" s="994"/>
      <c r="H349" s="165" t="s">
        <v>12</v>
      </c>
      <c r="I349" s="1000"/>
      <c r="J349" s="1000"/>
      <c r="K349" s="1001"/>
      <c r="L349" s="887">
        <v>0</v>
      </c>
      <c r="M349" s="887">
        <v>0</v>
      </c>
      <c r="N349" s="887">
        <v>0</v>
      </c>
      <c r="O349" s="887">
        <f t="shared" si="156"/>
        <v>0</v>
      </c>
      <c r="P349" s="887">
        <f t="shared" si="157"/>
        <v>0</v>
      </c>
      <c r="Q349" s="875"/>
      <c r="R349" s="875"/>
      <c r="S349" s="875"/>
      <c r="T349" s="875"/>
      <c r="U349" s="875"/>
      <c r="V349" s="875"/>
      <c r="W349" s="875"/>
      <c r="X349" s="875"/>
      <c r="Y349" s="875"/>
      <c r="Z349" s="875"/>
    </row>
    <row r="350" spans="1:26" ht="19.5" hidden="1">
      <c r="A350" s="993"/>
      <c r="B350" s="883"/>
      <c r="C350" s="999"/>
      <c r="D350" s="883"/>
      <c r="E350" s="884" t="s">
        <v>37</v>
      </c>
      <c r="F350" s="883"/>
      <c r="G350" s="994"/>
      <c r="H350" s="165" t="s">
        <v>12</v>
      </c>
      <c r="I350" s="1000"/>
      <c r="J350" s="1000"/>
      <c r="K350" s="1001"/>
      <c r="L350" s="887">
        <f ca="1">IFERROR(__xludf.DUMMYFUNCTION("IMPORTRANGE(""https://docs.google.com/spreadsheets/d/1MeEWN-I1oV_STSDYn1IFDPWt_1FKiwhDph83XaGc0o0/edit?usp=sharing"",""งบพรบ!EW81"")"),585560)</f>
        <v>585560</v>
      </c>
      <c r="M350" s="887">
        <f ca="1">IFERROR(__xludf.DUMMYFUNCTION("IMPORTRANGE(""https://docs.google.com/spreadsheets/d/1MeEWN-I1oV_STSDYn1IFDPWt_1FKiwhDph83XaGc0o0/edit?usp=sharing"",""งบพรบ!FB81"")"),438375)</f>
        <v>438375</v>
      </c>
      <c r="N350" s="887">
        <f ca="1">IFERROR(__xludf.DUMMYFUNCTION("IMPORTRANGE(""https://docs.google.com/spreadsheets/d/1MeEWN-I1oV_STSDYn1IFDPWt_1FKiwhDph83XaGc0o0/edit?usp=sharing"",""งบพรบ!FD81"")"),248226.2)</f>
        <v>248226.2</v>
      </c>
      <c r="O350" s="887">
        <f t="shared" ca="1" si="156"/>
        <v>42.391249402281574</v>
      </c>
      <c r="P350" s="887">
        <f t="shared" ca="1" si="157"/>
        <v>56.624168805246647</v>
      </c>
      <c r="Q350" s="875"/>
      <c r="R350" s="875"/>
      <c r="S350" s="875"/>
      <c r="T350" s="875"/>
      <c r="U350" s="875"/>
      <c r="V350" s="875"/>
      <c r="W350" s="875"/>
      <c r="X350" s="875"/>
      <c r="Y350" s="875"/>
      <c r="Z350" s="875"/>
    </row>
    <row r="351" spans="1:26" ht="18.75">
      <c r="A351" s="995"/>
      <c r="B351" s="877"/>
      <c r="C351" s="996"/>
      <c r="D351" s="878" t="s">
        <v>21</v>
      </c>
      <c r="E351" s="877"/>
      <c r="F351" s="877"/>
      <c r="G351" s="879"/>
      <c r="H351" s="168" t="s">
        <v>12</v>
      </c>
      <c r="I351" s="997"/>
      <c r="J351" s="997"/>
      <c r="K351" s="998"/>
      <c r="L351" s="881">
        <f t="shared" ref="L351:N351" ca="1" si="160">L352+L353</f>
        <v>76000</v>
      </c>
      <c r="M351" s="881">
        <f t="shared" ca="1" si="160"/>
        <v>75800</v>
      </c>
      <c r="N351" s="881">
        <f t="shared" ca="1" si="160"/>
        <v>75800</v>
      </c>
      <c r="O351" s="881">
        <f t="shared" ca="1" si="156"/>
        <v>99.736842105263165</v>
      </c>
      <c r="P351" s="881">
        <f t="shared" ca="1" si="157"/>
        <v>100</v>
      </c>
      <c r="Q351" s="868"/>
      <c r="R351" s="868"/>
      <c r="S351" s="868"/>
      <c r="T351" s="868"/>
      <c r="U351" s="868"/>
      <c r="V351" s="868"/>
      <c r="W351" s="868"/>
      <c r="X351" s="868"/>
      <c r="Y351" s="868"/>
      <c r="Z351" s="868"/>
    </row>
    <row r="352" spans="1:26" ht="19.5" hidden="1">
      <c r="A352" s="993"/>
      <c r="B352" s="883"/>
      <c r="C352" s="999"/>
      <c r="D352" s="883"/>
      <c r="E352" s="884" t="s">
        <v>18</v>
      </c>
      <c r="F352" s="883"/>
      <c r="G352" s="994"/>
      <c r="H352" s="165" t="s">
        <v>12</v>
      </c>
      <c r="I352" s="1000"/>
      <c r="J352" s="1000"/>
      <c r="K352" s="1001"/>
      <c r="L352" s="887">
        <v>0</v>
      </c>
      <c r="M352" s="887">
        <v>0</v>
      </c>
      <c r="N352" s="887">
        <v>0</v>
      </c>
      <c r="O352" s="887">
        <f t="shared" si="156"/>
        <v>0</v>
      </c>
      <c r="P352" s="887">
        <f t="shared" si="157"/>
        <v>0</v>
      </c>
      <c r="Q352" s="875"/>
      <c r="R352" s="875"/>
      <c r="S352" s="875"/>
      <c r="T352" s="875"/>
      <c r="U352" s="875"/>
      <c r="V352" s="875"/>
      <c r="W352" s="875"/>
      <c r="X352" s="875"/>
      <c r="Y352" s="875"/>
      <c r="Z352" s="875"/>
    </row>
    <row r="353" spans="1:26" ht="19.5" hidden="1">
      <c r="A353" s="993"/>
      <c r="B353" s="883"/>
      <c r="C353" s="999"/>
      <c r="D353" s="883"/>
      <c r="E353" s="884" t="s">
        <v>19</v>
      </c>
      <c r="F353" s="883"/>
      <c r="G353" s="994"/>
      <c r="H353" s="169" t="s">
        <v>12</v>
      </c>
      <c r="I353" s="1000"/>
      <c r="J353" s="1000"/>
      <c r="K353" s="1001"/>
      <c r="L353" s="887">
        <f ca="1">IFERROR(__xludf.DUMMYFUNCTION("IMPORTRANGE(""https://docs.google.com/spreadsheets/d/1MeEWN-I1oV_STSDYn1IFDPWt_1FKiwhDph83XaGc0o0/edit?usp=sharing"",""งบพรบ!EZ81"")"),76000)</f>
        <v>76000</v>
      </c>
      <c r="M353" s="887">
        <f ca="1">IFERROR(__xludf.DUMMYFUNCTION("IMPORTRANGE(""https://docs.google.com/spreadsheets/d/1MeEWN-I1oV_STSDYn1IFDPWt_1FKiwhDph83XaGc0o0/edit?usp=sharing"",""งบพรบ!FC81"")"),75800)</f>
        <v>75800</v>
      </c>
      <c r="N353" s="887">
        <f ca="1">IFERROR(__xludf.DUMMYFUNCTION("IMPORTRANGE(""https://docs.google.com/spreadsheets/d/1MeEWN-I1oV_STSDYn1IFDPWt_1FKiwhDph83XaGc0o0/edit?usp=sharing"",""งบพรบ!FE81"")"),75800)</f>
        <v>75800</v>
      </c>
      <c r="O353" s="887">
        <f t="shared" ca="1" si="156"/>
        <v>99.736842105263165</v>
      </c>
      <c r="P353" s="887">
        <f t="shared" ca="1" si="157"/>
        <v>100</v>
      </c>
      <c r="Q353" s="875"/>
      <c r="R353" s="875"/>
      <c r="S353" s="875"/>
      <c r="T353" s="875"/>
      <c r="U353" s="875"/>
      <c r="V353" s="875"/>
      <c r="W353" s="875"/>
      <c r="X353" s="875"/>
      <c r="Y353" s="875"/>
      <c r="Z353" s="875"/>
    </row>
    <row r="354" spans="1:26" ht="19.5">
      <c r="A354" s="1063"/>
      <c r="B354" s="1070"/>
      <c r="C354" s="1064"/>
      <c r="D354" s="1198" t="s">
        <v>158</v>
      </c>
      <c r="E354" s="1064"/>
      <c r="F354" s="1064"/>
      <c r="G354" s="1066"/>
      <c r="H354" s="1199"/>
      <c r="I354" s="1067"/>
      <c r="J354" s="1067"/>
      <c r="K354" s="1068"/>
      <c r="L354" s="1068"/>
      <c r="M354" s="1068"/>
      <c r="N354" s="1068"/>
      <c r="O354" s="1068"/>
      <c r="P354" s="1068"/>
    </row>
    <row r="355" spans="1:26" ht="19.5">
      <c r="A355" s="1200"/>
      <c r="B355" s="1201"/>
      <c r="C355" s="1202"/>
      <c r="D355" s="1203" t="s">
        <v>159</v>
      </c>
      <c r="E355" s="1204"/>
      <c r="F355" s="1204"/>
      <c r="G355" s="1205"/>
      <c r="H355" s="463" t="s">
        <v>35</v>
      </c>
      <c r="I355" s="1206">
        <f ca="1">IFERROR(__xludf.DUMMYFUNCTION("IMPORTRANGE(""https://docs.google.com/spreadsheets/d/1QqKyyYR6Q21VydFLVH3TRQUabQu_ym0Zz7PgGX0-kHA/edit?usp=sharing"",""แผน!EP81"")"),80)</f>
        <v>80</v>
      </c>
      <c r="J355" s="1206">
        <f>J362</f>
        <v>0</v>
      </c>
      <c r="K355" s="1207">
        <f ca="1">IF(I355&gt;0,J355*100/I355,0)</f>
        <v>0</v>
      </c>
      <c r="L355" s="1208"/>
      <c r="M355" s="1208"/>
      <c r="N355" s="1208"/>
      <c r="O355" s="1208"/>
      <c r="P355" s="1208"/>
    </row>
    <row r="356" spans="1:26" ht="19.5">
      <c r="A356" s="1200"/>
      <c r="B356" s="1201"/>
      <c r="C356" s="1202"/>
      <c r="D356" s="1209" t="s">
        <v>160</v>
      </c>
      <c r="E356" s="1204"/>
      <c r="F356" s="1204"/>
      <c r="G356" s="1205"/>
      <c r="H356" s="1210"/>
      <c r="I356" s="1211"/>
      <c r="J356" s="1211"/>
      <c r="K356" s="1208"/>
      <c r="L356" s="1208"/>
      <c r="M356" s="1208"/>
      <c r="N356" s="1208"/>
      <c r="O356" s="1208"/>
      <c r="P356" s="1208"/>
    </row>
    <row r="357" spans="1:26" ht="19.5">
      <c r="A357" s="1002"/>
      <c r="B357" s="1003"/>
      <c r="C357" s="999" t="s">
        <v>16</v>
      </c>
      <c r="D357" s="1004" t="s">
        <v>38</v>
      </c>
      <c r="E357" s="1005"/>
      <c r="F357" s="1005"/>
      <c r="G357" s="1006"/>
      <c r="H357" s="1007"/>
      <c r="I357" s="880"/>
      <c r="J357" s="880"/>
      <c r="K357" s="881"/>
      <c r="L357" s="998"/>
      <c r="M357" s="998"/>
      <c r="N357" s="998"/>
      <c r="O357" s="998"/>
      <c r="P357" s="998"/>
    </row>
    <row r="358" spans="1:26" ht="18.75">
      <c r="A358" s="1002"/>
      <c r="B358" s="1010"/>
      <c r="C358" s="1003"/>
      <c r="D358" s="1010"/>
      <c r="E358" s="1008" t="s">
        <v>161</v>
      </c>
      <c r="F358" s="1010"/>
      <c r="G358" s="1011"/>
      <c r="H358" s="185" t="s">
        <v>35</v>
      </c>
      <c r="I358" s="880">
        <v>0</v>
      </c>
      <c r="J358" s="880">
        <f ca="1">IFERROR(__xludf.DUMMYFUNCTION("IMPORTRANGE(""https://docs.google.com/spreadsheets/d/1XWAQStnk-4SwqDmLtmXYiTMKHgktTP8We1SCoS47DrQ/edit?usp=sharing"",""จัดที่ดิน!W81"")"),0)</f>
        <v>0</v>
      </c>
      <c r="K358" s="881">
        <f t="shared" ref="K358:K365" si="161">IF(I358&gt;0,J358*100/I358,0)</f>
        <v>0</v>
      </c>
      <c r="L358" s="998"/>
      <c r="M358" s="998"/>
      <c r="N358" s="998"/>
      <c r="O358" s="998"/>
      <c r="P358" s="998"/>
    </row>
    <row r="359" spans="1:26" ht="18.75">
      <c r="A359" s="1002"/>
      <c r="B359" s="1010"/>
      <c r="C359" s="1003"/>
      <c r="D359" s="1010"/>
      <c r="E359" s="1010"/>
      <c r="F359" s="1010"/>
      <c r="G359" s="1011"/>
      <c r="H359" s="185" t="s">
        <v>46</v>
      </c>
      <c r="I359" s="880">
        <f ca="1">IFERROR(__xludf.DUMMYFUNCTION("IMPORTRANGE(""https://docs.google.com/spreadsheets/d/1QqKyyYR6Q21VydFLVH3TRQUabQu_ym0Zz7PgGX0-kHA/edit?usp=sharing"",""แผน!EO81"")"),650)</f>
        <v>650</v>
      </c>
      <c r="J359" s="880">
        <v>0</v>
      </c>
      <c r="K359" s="881">
        <f t="shared" ca="1" si="161"/>
        <v>0</v>
      </c>
      <c r="L359" s="998"/>
      <c r="M359" s="998"/>
      <c r="N359" s="998"/>
      <c r="O359" s="998"/>
      <c r="P359" s="998"/>
    </row>
    <row r="360" spans="1:26" ht="18.75">
      <c r="A360" s="1002"/>
      <c r="B360" s="1010"/>
      <c r="C360" s="1003"/>
      <c r="D360" s="1010"/>
      <c r="E360" s="1008" t="s">
        <v>162</v>
      </c>
      <c r="F360" s="1010"/>
      <c r="G360" s="1011"/>
      <c r="H360" s="762" t="s">
        <v>35</v>
      </c>
      <c r="I360" s="880">
        <f ca="1">IFERROR(__xludf.DUMMYFUNCTION("IMPORTRANGE(""https://docs.google.com/spreadsheets/d/1QqKyyYR6Q21VydFLVH3TRQUabQu_ym0Zz7PgGX0-kHA/edit?usp=sharing"",""แผน!EP81"")"),80)</f>
        <v>80</v>
      </c>
      <c r="J360" s="880">
        <v>0</v>
      </c>
      <c r="K360" s="881">
        <f t="shared" ca="1" si="161"/>
        <v>0</v>
      </c>
      <c r="L360" s="998"/>
      <c r="M360" s="998"/>
      <c r="N360" s="998"/>
      <c r="O360" s="998"/>
      <c r="P360" s="998"/>
    </row>
    <row r="361" spans="1:26" ht="18.75">
      <c r="A361" s="1002"/>
      <c r="B361" s="1010"/>
      <c r="C361" s="1003"/>
      <c r="D361" s="1010"/>
      <c r="E361" s="1010"/>
      <c r="F361" s="1010"/>
      <c r="G361" s="1011"/>
      <c r="H361" s="762" t="s">
        <v>46</v>
      </c>
      <c r="I361" s="880">
        <v>0</v>
      </c>
      <c r="J361" s="880">
        <f ca="1">IFERROR(__xludf.DUMMYFUNCTION("IMPORTRANGE(""https://docs.google.com/spreadsheets/d/1XWAQStnk-4SwqDmLtmXYiTMKHgktTP8We1SCoS47DrQ/edit?usp=sharing"",""จัดที่ดิน!Z81"")"),0)</f>
        <v>0</v>
      </c>
      <c r="K361" s="881">
        <f t="shared" si="161"/>
        <v>0</v>
      </c>
      <c r="L361" s="998"/>
      <c r="M361" s="998"/>
      <c r="N361" s="998"/>
      <c r="O361" s="998"/>
      <c r="P361" s="998"/>
    </row>
    <row r="362" spans="1:26" ht="18.75">
      <c r="A362" s="1002"/>
      <c r="B362" s="1010"/>
      <c r="C362" s="1003"/>
      <c r="D362" s="1010"/>
      <c r="E362" s="1008" t="s">
        <v>163</v>
      </c>
      <c r="F362" s="1010"/>
      <c r="G362" s="1011"/>
      <c r="H362" s="762" t="s">
        <v>35</v>
      </c>
      <c r="I362" s="880">
        <f ca="1">IFERROR(__xludf.DUMMYFUNCTION("IMPORTRANGE(""https://docs.google.com/spreadsheets/d/1QqKyyYR6Q21VydFLVH3TRQUabQu_ym0Zz7PgGX0-kHA/edit?usp=sharing"",""แผน!EP81"")"),80)</f>
        <v>80</v>
      </c>
      <c r="J362" s="880">
        <v>0</v>
      </c>
      <c r="K362" s="881">
        <f t="shared" ca="1" si="161"/>
        <v>0</v>
      </c>
      <c r="L362" s="998"/>
      <c r="M362" s="998"/>
      <c r="N362" s="998"/>
      <c r="O362" s="998"/>
      <c r="P362" s="998"/>
    </row>
    <row r="363" spans="1:26" ht="18.75">
      <c r="A363" s="1212" t="s">
        <v>164</v>
      </c>
      <c r="B363" s="1010"/>
      <c r="C363" s="1003"/>
      <c r="D363" s="1010"/>
      <c r="E363" s="1009"/>
      <c r="F363" s="1010"/>
      <c r="G363" s="1011"/>
      <c r="H363" s="762" t="s">
        <v>46</v>
      </c>
      <c r="I363" s="880">
        <v>0</v>
      </c>
      <c r="J363" s="880">
        <f ca="1">IFERROR(__xludf.DUMMYFUNCTION("IMPORTRANGE(""https://docs.google.com/spreadsheets/d/1XWAQStnk-4SwqDmLtmXYiTMKHgktTP8We1SCoS47DrQ/edit?usp=sharing"",""จัดที่ดิน!AB81"")"),0)</f>
        <v>0</v>
      </c>
      <c r="K363" s="881">
        <f t="shared" si="161"/>
        <v>0</v>
      </c>
      <c r="L363" s="998"/>
      <c r="M363" s="998"/>
      <c r="N363" s="998"/>
      <c r="O363" s="998"/>
      <c r="P363" s="998"/>
    </row>
    <row r="364" spans="1:26" ht="19.5">
      <c r="A364" s="1213"/>
      <c r="B364" s="1214"/>
      <c r="C364" s="1215"/>
      <c r="D364" s="1216" t="s">
        <v>165</v>
      </c>
      <c r="E364" s="1217"/>
      <c r="F364" s="1217"/>
      <c r="G364" s="1218"/>
      <c r="H364" s="478" t="s">
        <v>35</v>
      </c>
      <c r="I364" s="1219">
        <f t="shared" ref="I364:J364" ca="1" si="162">I365+I374</f>
        <v>130</v>
      </c>
      <c r="J364" s="1219">
        <f t="shared" ca="1" si="162"/>
        <v>6</v>
      </c>
      <c r="K364" s="1220">
        <f t="shared" ca="1" si="161"/>
        <v>4.615384615384615</v>
      </c>
      <c r="L364" s="1221"/>
      <c r="M364" s="1221"/>
      <c r="N364" s="1221"/>
      <c r="O364" s="1221"/>
      <c r="P364" s="122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222"/>
      <c r="B365" s="1223"/>
      <c r="C365" s="1224"/>
      <c r="D365" s="1224" t="s">
        <v>166</v>
      </c>
      <c r="E365" s="1225"/>
      <c r="F365" s="1225"/>
      <c r="G365" s="1226"/>
      <c r="H365" s="489" t="s">
        <v>35</v>
      </c>
      <c r="I365" s="1227">
        <f ca="1">IFERROR(__xludf.DUMMYFUNCTION("IMPORTRANGE(""https://docs.google.com/spreadsheets/d/1QqKyyYR6Q21VydFLVH3TRQUabQu_ym0Zz7PgGX0-kHA/edit?usp=sharing"",""แผน!EJ81"")"),30)</f>
        <v>30</v>
      </c>
      <c r="J365" s="1227">
        <f ca="1">J372</f>
        <v>0</v>
      </c>
      <c r="K365" s="1228">
        <f t="shared" ca="1" si="161"/>
        <v>0</v>
      </c>
      <c r="L365" s="1229"/>
      <c r="M365" s="1229"/>
      <c r="N365" s="1229"/>
      <c r="O365" s="1229"/>
      <c r="P365" s="1229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222"/>
      <c r="B366" s="1223"/>
      <c r="C366" s="1224"/>
      <c r="D366" s="1230" t="s">
        <v>167</v>
      </c>
      <c r="E366" s="1225"/>
      <c r="F366" s="1225"/>
      <c r="G366" s="1226"/>
      <c r="H366" s="1231"/>
      <c r="I366" s="1232"/>
      <c r="J366" s="1232"/>
      <c r="K366" s="1229"/>
      <c r="L366" s="1229"/>
      <c r="M366" s="1229"/>
      <c r="N366" s="1229"/>
      <c r="O366" s="1229"/>
      <c r="P366" s="1229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002"/>
      <c r="B367" s="1003"/>
      <c r="C367" s="999" t="s">
        <v>16</v>
      </c>
      <c r="D367" s="1004" t="s">
        <v>38</v>
      </c>
      <c r="E367" s="1005"/>
      <c r="F367" s="1005"/>
      <c r="G367" s="1006"/>
      <c r="H367" s="1007"/>
      <c r="I367" s="880"/>
      <c r="J367" s="880"/>
      <c r="K367" s="881"/>
      <c r="L367" s="998"/>
      <c r="M367" s="998"/>
      <c r="N367" s="998"/>
      <c r="O367" s="998"/>
      <c r="P367" s="998"/>
    </row>
    <row r="368" spans="1:26" ht="18.75">
      <c r="A368" s="1002"/>
      <c r="B368" s="1010"/>
      <c r="C368" s="1003"/>
      <c r="D368" s="1010"/>
      <c r="E368" s="1008" t="s">
        <v>161</v>
      </c>
      <c r="F368" s="1010"/>
      <c r="G368" s="1011"/>
      <c r="H368" s="185" t="s">
        <v>35</v>
      </c>
      <c r="I368" s="880">
        <v>0</v>
      </c>
      <c r="J368" s="880">
        <f ca="1">IFERROR(__xludf.DUMMYFUNCTION("IMPORTRANGE(""https://docs.google.com/spreadsheets/d/1XWAQStnk-4SwqDmLtmXYiTMKHgktTP8We1SCoS47DrQ/edit?usp=sharing"",""จัดที่ดิน!E81"")"),0)</f>
        <v>0</v>
      </c>
      <c r="K368" s="881">
        <f t="shared" ref="K368:K374" si="163">IF(I368&gt;0,J368*100/I368,0)</f>
        <v>0</v>
      </c>
      <c r="L368" s="998"/>
      <c r="M368" s="998"/>
      <c r="N368" s="998"/>
      <c r="O368" s="998"/>
      <c r="P368" s="998"/>
    </row>
    <row r="369" spans="1:26" ht="18.75">
      <c r="A369" s="1002"/>
      <c r="B369" s="1010"/>
      <c r="C369" s="1003"/>
      <c r="D369" s="1010"/>
      <c r="E369" s="1010"/>
      <c r="F369" s="1010"/>
      <c r="G369" s="1011"/>
      <c r="H369" s="185" t="s">
        <v>46</v>
      </c>
      <c r="I369" s="880">
        <f ca="1">IFERROR(__xludf.DUMMYFUNCTION("IMPORTRANGE(""https://docs.google.com/spreadsheets/d/1QqKyyYR6Q21VydFLVH3TRQUabQu_ym0Zz7PgGX0-kHA/edit?usp=sharing"",""แผน!EI81"")"),200)</f>
        <v>200</v>
      </c>
      <c r="J369" s="880">
        <f ca="1">IFERROR(__xludf.DUMMYFUNCTION("IMPORTRANGE(""https://docs.google.com/spreadsheets/d/1XWAQStnk-4SwqDmLtmXYiTMKHgktTP8We1SCoS47DrQ/edit?usp=sharing"",""จัดที่ดิน!F81"")"),0)</f>
        <v>0</v>
      </c>
      <c r="K369" s="881">
        <f t="shared" ca="1" si="163"/>
        <v>0</v>
      </c>
      <c r="L369" s="998"/>
      <c r="M369" s="998"/>
      <c r="N369" s="998"/>
      <c r="O369" s="998"/>
      <c r="P369" s="998"/>
    </row>
    <row r="370" spans="1:26" ht="18.75">
      <c r="A370" s="1002"/>
      <c r="B370" s="1010"/>
      <c r="C370" s="1003"/>
      <c r="D370" s="1010"/>
      <c r="E370" s="1008" t="s">
        <v>162</v>
      </c>
      <c r="F370" s="1010"/>
      <c r="G370" s="1011"/>
      <c r="H370" s="762" t="s">
        <v>35</v>
      </c>
      <c r="I370" s="880">
        <f ca="1">IFERROR(__xludf.DUMMYFUNCTION("IMPORTRANGE(""https://docs.google.com/spreadsheets/d/1QqKyyYR6Q21VydFLVH3TRQUabQu_ym0Zz7PgGX0-kHA/edit?usp=sharing"",""แผน!EJ81"")"),30)</f>
        <v>30</v>
      </c>
      <c r="J370" s="880">
        <f ca="1">IFERROR(__xludf.DUMMYFUNCTION("IMPORTRANGE(""https://docs.google.com/spreadsheets/d/1XWAQStnk-4SwqDmLtmXYiTMKHgktTP8We1SCoS47DrQ/edit?usp=sharing"",""จัดที่ดิน!G81"")"),0)</f>
        <v>0</v>
      </c>
      <c r="K370" s="881">
        <f t="shared" ca="1" si="163"/>
        <v>0</v>
      </c>
      <c r="L370" s="998"/>
      <c r="M370" s="998"/>
      <c r="N370" s="998"/>
      <c r="O370" s="998"/>
      <c r="P370" s="998"/>
    </row>
    <row r="371" spans="1:26" ht="18.75">
      <c r="A371" s="1002"/>
      <c r="B371" s="1010"/>
      <c r="C371" s="1003"/>
      <c r="D371" s="1010"/>
      <c r="E371" s="1010"/>
      <c r="F371" s="1010"/>
      <c r="G371" s="1011"/>
      <c r="H371" s="762" t="s">
        <v>46</v>
      </c>
      <c r="I371" s="880">
        <v>0</v>
      </c>
      <c r="J371" s="880">
        <f ca="1">IFERROR(__xludf.DUMMYFUNCTION("IMPORTRANGE(""https://docs.google.com/spreadsheets/d/1XWAQStnk-4SwqDmLtmXYiTMKHgktTP8We1SCoS47DrQ/edit?usp=sharing"",""จัดที่ดิน!H81"")"),0)</f>
        <v>0</v>
      </c>
      <c r="K371" s="881">
        <f t="shared" si="163"/>
        <v>0</v>
      </c>
      <c r="L371" s="998"/>
      <c r="M371" s="998"/>
      <c r="N371" s="998"/>
      <c r="O371" s="998"/>
      <c r="P371" s="998"/>
    </row>
    <row r="372" spans="1:26" ht="18.75">
      <c r="A372" s="1002"/>
      <c r="B372" s="1010"/>
      <c r="C372" s="1003"/>
      <c r="D372" s="1010"/>
      <c r="E372" s="1008" t="s">
        <v>163</v>
      </c>
      <c r="F372" s="1010"/>
      <c r="G372" s="1011"/>
      <c r="H372" s="762" t="s">
        <v>35</v>
      </c>
      <c r="I372" s="880">
        <f ca="1">IFERROR(__xludf.DUMMYFUNCTION("IMPORTRANGE(""https://docs.google.com/spreadsheets/d/1QqKyyYR6Q21VydFLVH3TRQUabQu_ym0Zz7PgGX0-kHA/edit?usp=sharing"",""แผน!EJ81"")"),30)</f>
        <v>30</v>
      </c>
      <c r="J372" s="880">
        <f ca="1">IFERROR(__xludf.DUMMYFUNCTION("IMPORTRANGE(""https://docs.google.com/spreadsheets/d/1XWAQStnk-4SwqDmLtmXYiTMKHgktTP8We1SCoS47DrQ/edit?usp=sharing"",""จัดที่ดิน!I81"")"),0)</f>
        <v>0</v>
      </c>
      <c r="K372" s="881">
        <f t="shared" ca="1" si="163"/>
        <v>0</v>
      </c>
      <c r="L372" s="998"/>
      <c r="M372" s="998"/>
      <c r="N372" s="998"/>
      <c r="O372" s="998"/>
      <c r="P372" s="998"/>
    </row>
    <row r="373" spans="1:26" ht="18.75">
      <c r="A373" s="1212" t="s">
        <v>164</v>
      </c>
      <c r="B373" s="1010"/>
      <c r="C373" s="1003"/>
      <c r="D373" s="1010"/>
      <c r="E373" s="1009"/>
      <c r="F373" s="1010"/>
      <c r="G373" s="1011"/>
      <c r="H373" s="762" t="s">
        <v>46</v>
      </c>
      <c r="I373" s="880">
        <v>0</v>
      </c>
      <c r="J373" s="880">
        <f ca="1">IFERROR(__xludf.DUMMYFUNCTION("IMPORTRANGE(""https://docs.google.com/spreadsheets/d/1XWAQStnk-4SwqDmLtmXYiTMKHgktTP8We1SCoS47DrQ/edit?usp=sharing"",""จัดที่ดิน!J81"")"),0)</f>
        <v>0</v>
      </c>
      <c r="K373" s="881">
        <f t="shared" si="163"/>
        <v>0</v>
      </c>
      <c r="L373" s="998"/>
      <c r="M373" s="998"/>
      <c r="N373" s="998"/>
      <c r="O373" s="998"/>
      <c r="P373" s="998"/>
    </row>
    <row r="374" spans="1:26" ht="19.5">
      <c r="A374" s="1222"/>
      <c r="B374" s="1223"/>
      <c r="C374" s="1224"/>
      <c r="D374" s="1224" t="s">
        <v>168</v>
      </c>
      <c r="E374" s="1225"/>
      <c r="F374" s="1225"/>
      <c r="G374" s="1226"/>
      <c r="H374" s="489" t="s">
        <v>35</v>
      </c>
      <c r="I374" s="1233">
        <f ca="1">IFERROR(__xludf.DUMMYFUNCTION("IMPORTRANGE(""https://docs.google.com/spreadsheets/d/1QqKyyYR6Q21VydFLVH3TRQUabQu_ym0Zz7PgGX0-kHA/edit?usp=sharing"",""แผน!EU81"")"),100)</f>
        <v>100</v>
      </c>
      <c r="J374" s="1227">
        <f ca="1">J381</f>
        <v>6</v>
      </c>
      <c r="K374" s="1228">
        <f t="shared" ca="1" si="163"/>
        <v>6</v>
      </c>
      <c r="L374" s="1229"/>
      <c r="M374" s="1229"/>
      <c r="N374" s="1229"/>
      <c r="O374" s="1229"/>
      <c r="P374" s="1229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222"/>
      <c r="B375" s="1223"/>
      <c r="C375" s="1224"/>
      <c r="D375" s="1230" t="s">
        <v>169</v>
      </c>
      <c r="E375" s="1225"/>
      <c r="F375" s="1225"/>
      <c r="G375" s="1226"/>
      <c r="H375" s="1231"/>
      <c r="I375" s="1232"/>
      <c r="J375" s="1232"/>
      <c r="K375" s="1229"/>
      <c r="L375" s="1229"/>
      <c r="M375" s="1229"/>
      <c r="N375" s="1229"/>
      <c r="O375" s="1229"/>
      <c r="P375" s="1229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002"/>
      <c r="B376" s="1003"/>
      <c r="C376" s="999" t="s">
        <v>16</v>
      </c>
      <c r="D376" s="1004" t="s">
        <v>38</v>
      </c>
      <c r="E376" s="1005"/>
      <c r="F376" s="1005"/>
      <c r="G376" s="1006"/>
      <c r="H376" s="1007"/>
      <c r="I376" s="880"/>
      <c r="J376" s="880"/>
      <c r="K376" s="881"/>
      <c r="L376" s="998"/>
      <c r="M376" s="998"/>
      <c r="N376" s="998"/>
      <c r="O376" s="998"/>
      <c r="P376" s="998"/>
    </row>
    <row r="377" spans="1:26" ht="18.75">
      <c r="A377" s="1002"/>
      <c r="B377" s="1010"/>
      <c r="C377" s="1003"/>
      <c r="D377" s="1010"/>
      <c r="E377" s="1008" t="s">
        <v>161</v>
      </c>
      <c r="F377" s="1010"/>
      <c r="G377" s="1011"/>
      <c r="H377" s="185" t="s">
        <v>35</v>
      </c>
      <c r="I377" s="880">
        <v>0</v>
      </c>
      <c r="J377" s="880">
        <f ca="1">IFERROR(__xludf.DUMMYFUNCTION("IMPORTRANGE(""https://docs.google.com/spreadsheets/d/1XWAQStnk-4SwqDmLtmXYiTMKHgktTP8We1SCoS47DrQ/edit?usp=sharing"",""จัดที่ดิน!AH81"")"),0)</f>
        <v>0</v>
      </c>
      <c r="K377" s="881">
        <f t="shared" ref="K377:K382" si="164">IF(I377&gt;0,J377*100/I377,0)</f>
        <v>0</v>
      </c>
      <c r="L377" s="998"/>
      <c r="M377" s="998"/>
      <c r="N377" s="998"/>
      <c r="O377" s="998"/>
      <c r="P377" s="998"/>
    </row>
    <row r="378" spans="1:26" ht="18.75">
      <c r="A378" s="1002"/>
      <c r="B378" s="1010"/>
      <c r="C378" s="1003"/>
      <c r="D378" s="1010"/>
      <c r="E378" s="1010"/>
      <c r="F378" s="1010"/>
      <c r="G378" s="1011"/>
      <c r="H378" s="185" t="s">
        <v>46</v>
      </c>
      <c r="I378" s="880">
        <f ca="1">IFERROR(__xludf.DUMMYFUNCTION("IMPORTRANGE(""https://docs.google.com/spreadsheets/d/1QqKyyYR6Q21VydFLVH3TRQUabQu_ym0Zz7PgGX0-kHA/edit?usp=sharing"",""แผน!ET81"")"),450)</f>
        <v>450</v>
      </c>
      <c r="J378" s="880">
        <f ca="1">IFERROR(__xludf.DUMMYFUNCTION("IMPORTRANGE(""https://docs.google.com/spreadsheets/d/1XWAQStnk-4SwqDmLtmXYiTMKHgktTP8We1SCoS47DrQ/edit?usp=sharing"",""จัดที่ดิน!AI81"")"),0)</f>
        <v>0</v>
      </c>
      <c r="K378" s="881">
        <f t="shared" ca="1" si="164"/>
        <v>0</v>
      </c>
      <c r="L378" s="998"/>
      <c r="M378" s="998"/>
      <c r="N378" s="998"/>
      <c r="O378" s="998"/>
      <c r="P378" s="998"/>
    </row>
    <row r="379" spans="1:26" ht="18.75">
      <c r="A379" s="1002"/>
      <c r="B379" s="1010"/>
      <c r="C379" s="1003"/>
      <c r="D379" s="1010"/>
      <c r="E379" s="1008" t="s">
        <v>162</v>
      </c>
      <c r="F379" s="1010"/>
      <c r="G379" s="1011"/>
      <c r="H379" s="762" t="s">
        <v>35</v>
      </c>
      <c r="I379" s="880">
        <f ca="1">IFERROR(__xludf.DUMMYFUNCTION("IMPORTRANGE(""https://docs.google.com/spreadsheets/d/1QqKyyYR6Q21VydFLVH3TRQUabQu_ym0Zz7PgGX0-kHA/edit?usp=sharing"",""แผน!EU81"")"),100)</f>
        <v>100</v>
      </c>
      <c r="J379" s="880">
        <f ca="1">IFERROR(__xludf.DUMMYFUNCTION("IMPORTRANGE(""https://docs.google.com/spreadsheets/d/1XWAQStnk-4SwqDmLtmXYiTMKHgktTP8We1SCoS47DrQ/edit?usp=sharing"",""จัดที่ดิน!AJ81"")"),6)</f>
        <v>6</v>
      </c>
      <c r="K379" s="881">
        <f t="shared" ca="1" si="164"/>
        <v>6</v>
      </c>
      <c r="L379" s="998"/>
      <c r="M379" s="998"/>
      <c r="N379" s="998"/>
      <c r="O379" s="998"/>
      <c r="P379" s="998"/>
    </row>
    <row r="380" spans="1:26" ht="18.75">
      <c r="A380" s="1002"/>
      <c r="B380" s="1010"/>
      <c r="C380" s="1003"/>
      <c r="D380" s="1010"/>
      <c r="E380" s="1010"/>
      <c r="F380" s="1010"/>
      <c r="G380" s="1011"/>
      <c r="H380" s="762" t="s">
        <v>46</v>
      </c>
      <c r="I380" s="880">
        <v>0</v>
      </c>
      <c r="J380" s="880">
        <f ca="1">IFERROR(__xludf.DUMMYFUNCTION("IMPORTRANGE(""https://docs.google.com/spreadsheets/d/1XWAQStnk-4SwqDmLtmXYiTMKHgktTP8We1SCoS47DrQ/edit?usp=sharing"",""จัดที่ดิน!AK81"")"),93.7)</f>
        <v>93.7</v>
      </c>
      <c r="K380" s="881">
        <f t="shared" si="164"/>
        <v>0</v>
      </c>
      <c r="L380" s="998"/>
      <c r="M380" s="998"/>
      <c r="N380" s="998"/>
      <c r="O380" s="998"/>
      <c r="P380" s="998"/>
    </row>
    <row r="381" spans="1:26" ht="18.75">
      <c r="A381" s="1002"/>
      <c r="B381" s="1010"/>
      <c r="C381" s="1003"/>
      <c r="D381" s="1010"/>
      <c r="E381" s="1008" t="s">
        <v>163</v>
      </c>
      <c r="F381" s="1010"/>
      <c r="G381" s="1011"/>
      <c r="H381" s="762" t="s">
        <v>35</v>
      </c>
      <c r="I381" s="880">
        <f ca="1">IFERROR(__xludf.DUMMYFUNCTION("IMPORTRANGE(""https://docs.google.com/spreadsheets/d/1QqKyyYR6Q21VydFLVH3TRQUabQu_ym0Zz7PgGX0-kHA/edit?usp=sharing"",""แผน!EU81"")"),100)</f>
        <v>100</v>
      </c>
      <c r="J381" s="880">
        <f ca="1">IFERROR(__xludf.DUMMYFUNCTION("IMPORTRANGE(""https://docs.google.com/spreadsheets/d/1XWAQStnk-4SwqDmLtmXYiTMKHgktTP8We1SCoS47DrQ/edit?usp=sharing"",""จัดที่ดิน!AL81"")"),6)</f>
        <v>6</v>
      </c>
      <c r="K381" s="881">
        <f t="shared" ca="1" si="164"/>
        <v>6</v>
      </c>
      <c r="L381" s="998"/>
      <c r="M381" s="998"/>
      <c r="N381" s="998"/>
      <c r="O381" s="998"/>
      <c r="P381" s="998"/>
    </row>
    <row r="382" spans="1:26" ht="18.75">
      <c r="A382" s="1212" t="s">
        <v>164</v>
      </c>
      <c r="B382" s="1010"/>
      <c r="C382" s="1003"/>
      <c r="D382" s="1010"/>
      <c r="E382" s="1009"/>
      <c r="F382" s="1010"/>
      <c r="G382" s="1011"/>
      <c r="H382" s="762" t="s">
        <v>46</v>
      </c>
      <c r="I382" s="880">
        <v>0</v>
      </c>
      <c r="J382" s="880">
        <f ca="1">IFERROR(__xludf.DUMMYFUNCTION("IMPORTRANGE(""https://docs.google.com/spreadsheets/d/1XWAQStnk-4SwqDmLtmXYiTMKHgktTP8We1SCoS47DrQ/edit?usp=sharing"",""จัดที่ดิน!AM81"")"),93.7)</f>
        <v>93.7</v>
      </c>
      <c r="K382" s="881">
        <f t="shared" si="164"/>
        <v>0</v>
      </c>
      <c r="L382" s="998"/>
      <c r="M382" s="998"/>
      <c r="N382" s="998"/>
      <c r="O382" s="998"/>
      <c r="P382" s="998"/>
    </row>
    <row r="383" spans="1:26" ht="19.5">
      <c r="A383" s="1234"/>
      <c r="B383" s="1235"/>
      <c r="C383" s="1091"/>
      <c r="D383" s="1236" t="s">
        <v>170</v>
      </c>
      <c r="E383" s="1091"/>
      <c r="F383" s="1091"/>
      <c r="G383" s="1237"/>
      <c r="H383" s="1199"/>
      <c r="I383" s="1067"/>
      <c r="J383" s="1067"/>
      <c r="K383" s="1068"/>
      <c r="L383" s="1068"/>
      <c r="M383" s="1068"/>
      <c r="N383" s="1068"/>
      <c r="O383" s="1068"/>
      <c r="P383" s="1068"/>
    </row>
    <row r="384" spans="1:26" ht="19.5">
      <c r="A384" s="1002"/>
      <c r="B384" s="1003"/>
      <c r="C384" s="877" t="s">
        <v>16</v>
      </c>
      <c r="D384" s="1004" t="s">
        <v>38</v>
      </c>
      <c r="E384" s="1005"/>
      <c r="F384" s="1005"/>
      <c r="G384" s="1006"/>
      <c r="H384" s="1007"/>
      <c r="I384" s="880"/>
      <c r="J384" s="880"/>
      <c r="K384" s="881"/>
      <c r="L384" s="998"/>
      <c r="M384" s="998"/>
      <c r="N384" s="998"/>
      <c r="O384" s="998"/>
      <c r="P384" s="998"/>
    </row>
    <row r="385" spans="1:26" ht="18.75">
      <c r="A385" s="1133"/>
      <c r="B385" s="1136"/>
      <c r="C385" s="1134"/>
      <c r="D385" s="1136"/>
      <c r="E385" s="1238" t="s">
        <v>171</v>
      </c>
      <c r="F385" s="1136"/>
      <c r="G385" s="1137"/>
      <c r="H385" s="504" t="s">
        <v>35</v>
      </c>
      <c r="I385" s="1138">
        <f ca="1">IFERROR(__xludf.DUMMYFUNCTION("IMPORTRANGE(""https://docs.google.com/spreadsheets/d/1QqKyyYR6Q21VydFLVH3TRQUabQu_ym0Zz7PgGX0-kHA/edit?usp=sharing"",""แผน!EW81"")"),10)</f>
        <v>10</v>
      </c>
      <c r="J385" s="1138">
        <f ca="1">IFERROR(__xludf.DUMMYFUNCTION("IMPORTRANGE(""https://docs.google.com/spreadsheets/d/1XWAQStnk-4SwqDmLtmXYiTMKHgktTP8We1SCoS47DrQ/edit?usp=sharing"",""จัดที่ดิน!AP81"")"),0)</f>
        <v>0</v>
      </c>
      <c r="K385" s="1239">
        <f ca="1">IF(I385&gt;0,J385*100/I385,0)</f>
        <v>0</v>
      </c>
      <c r="L385" s="1139"/>
      <c r="M385" s="1139"/>
      <c r="N385" s="1139"/>
      <c r="O385" s="1139"/>
      <c r="P385" s="1139"/>
    </row>
    <row r="386" spans="1:26" ht="19.5" hidden="1">
      <c r="A386" s="1240" t="s">
        <v>172</v>
      </c>
      <c r="B386" s="1241"/>
      <c r="C386" s="1241"/>
      <c r="D386" s="1241"/>
      <c r="E386" s="1242"/>
      <c r="F386" s="1242"/>
      <c r="G386" s="1243"/>
      <c r="H386" s="1244"/>
      <c r="I386" s="1245"/>
      <c r="J386" s="1245"/>
      <c r="K386" s="1246"/>
      <c r="L386" s="1246"/>
      <c r="M386" s="1246"/>
      <c r="N386" s="1246"/>
      <c r="O386" s="1246"/>
      <c r="P386" s="1246"/>
    </row>
    <row r="387" spans="1:26" ht="19.5" hidden="1">
      <c r="A387" s="1247" t="s">
        <v>173</v>
      </c>
      <c r="B387" s="1248"/>
      <c r="C387" s="1248"/>
      <c r="D387" s="1249"/>
      <c r="E387" s="1248"/>
      <c r="F387" s="1248"/>
      <c r="G387" s="1248"/>
      <c r="H387" s="1250"/>
      <c r="I387" s="1251"/>
      <c r="J387" s="1251"/>
      <c r="K387" s="1252"/>
      <c r="L387" s="1252"/>
      <c r="M387" s="1252"/>
      <c r="N387" s="1252"/>
      <c r="O387" s="1252"/>
      <c r="P387" s="1252"/>
    </row>
    <row r="388" spans="1:26" ht="19.5" hidden="1">
      <c r="A388" s="1253"/>
      <c r="B388" s="1254" t="s">
        <v>174</v>
      </c>
      <c r="C388" s="1255"/>
      <c r="D388" s="1256"/>
      <c r="E388" s="1256"/>
      <c r="F388" s="1256"/>
      <c r="G388" s="1257"/>
      <c r="H388" s="525" t="s">
        <v>66</v>
      </c>
      <c r="I388" s="1258">
        <f t="shared" ref="I388:J388" si="165">I400</f>
        <v>0</v>
      </c>
      <c r="J388" s="1258">
        <f t="shared" si="165"/>
        <v>0</v>
      </c>
      <c r="K388" s="1259">
        <f>IF(I388&gt;0,J388*100/I388,0)</f>
        <v>0</v>
      </c>
      <c r="L388" s="1260"/>
      <c r="M388" s="1260"/>
      <c r="N388" s="1260"/>
      <c r="O388" s="1260"/>
      <c r="P388" s="1260"/>
    </row>
    <row r="389" spans="1:26" ht="19.5" hidden="1">
      <c r="A389" s="985"/>
      <c r="B389" s="986"/>
      <c r="C389" s="987" t="s">
        <v>16</v>
      </c>
      <c r="D389" s="988" t="s">
        <v>17</v>
      </c>
      <c r="E389" s="986"/>
      <c r="F389" s="986"/>
      <c r="G389" s="989"/>
      <c r="H389" s="152" t="s">
        <v>12</v>
      </c>
      <c r="I389" s="990"/>
      <c r="J389" s="990"/>
      <c r="K389" s="991"/>
      <c r="L389" s="992">
        <f t="shared" ref="L389:N389" ca="1" si="166">L390+L391</f>
        <v>0</v>
      </c>
      <c r="M389" s="992">
        <f t="shared" ca="1" si="166"/>
        <v>0</v>
      </c>
      <c r="N389" s="992">
        <f t="shared" ca="1" si="166"/>
        <v>0</v>
      </c>
      <c r="O389" s="992">
        <f t="shared" ref="O389:O397" ca="1" si="167">IF(L389&gt;0,N389*100/L389,0)</f>
        <v>0</v>
      </c>
      <c r="P389" s="992">
        <f t="shared" ref="P389:P397" ca="1" si="168">IF(M389&gt;0,N389*100/M389,0)</f>
        <v>0</v>
      </c>
      <c r="Q389" s="868"/>
      <c r="R389" s="868"/>
      <c r="S389" s="868"/>
      <c r="T389" s="868"/>
      <c r="U389" s="868"/>
      <c r="V389" s="868"/>
      <c r="W389" s="868"/>
      <c r="X389" s="868"/>
      <c r="Y389" s="868"/>
      <c r="Z389" s="868"/>
    </row>
    <row r="390" spans="1:26" ht="18.75" hidden="1">
      <c r="A390" s="993"/>
      <c r="B390" s="883"/>
      <c r="C390" s="883"/>
      <c r="D390" s="883"/>
      <c r="E390" s="884" t="s">
        <v>18</v>
      </c>
      <c r="F390" s="883"/>
      <c r="G390" s="994"/>
      <c r="H390" s="158" t="s">
        <v>12</v>
      </c>
      <c r="I390" s="886"/>
      <c r="J390" s="886"/>
      <c r="K390" s="887"/>
      <c r="L390" s="887">
        <f t="shared" ref="L390:N391" si="169">L393+L396</f>
        <v>0</v>
      </c>
      <c r="M390" s="887">
        <f t="shared" si="169"/>
        <v>0</v>
      </c>
      <c r="N390" s="887">
        <f t="shared" si="169"/>
        <v>0</v>
      </c>
      <c r="O390" s="887">
        <f t="shared" si="167"/>
        <v>0</v>
      </c>
      <c r="P390" s="887">
        <f t="shared" si="168"/>
        <v>0</v>
      </c>
      <c r="Q390" s="875"/>
      <c r="R390" s="875"/>
      <c r="S390" s="875"/>
      <c r="T390" s="875"/>
      <c r="U390" s="875"/>
      <c r="V390" s="875"/>
      <c r="W390" s="875"/>
      <c r="X390" s="875"/>
      <c r="Y390" s="875"/>
      <c r="Z390" s="875"/>
    </row>
    <row r="391" spans="1:26" ht="18.75" hidden="1">
      <c r="A391" s="993"/>
      <c r="B391" s="883"/>
      <c r="C391" s="883"/>
      <c r="D391" s="883"/>
      <c r="E391" s="884" t="s">
        <v>19</v>
      </c>
      <c r="F391" s="883"/>
      <c r="G391" s="994"/>
      <c r="H391" s="158" t="s">
        <v>12</v>
      </c>
      <c r="I391" s="886"/>
      <c r="J391" s="886"/>
      <c r="K391" s="887"/>
      <c r="L391" s="887">
        <f t="shared" ca="1" si="169"/>
        <v>0</v>
      </c>
      <c r="M391" s="887">
        <f t="shared" ca="1" si="169"/>
        <v>0</v>
      </c>
      <c r="N391" s="887">
        <f t="shared" ca="1" si="169"/>
        <v>0</v>
      </c>
      <c r="O391" s="887">
        <f t="shared" ca="1" si="167"/>
        <v>0</v>
      </c>
      <c r="P391" s="887">
        <f t="shared" ca="1" si="168"/>
        <v>0</v>
      </c>
      <c r="Q391" s="875"/>
      <c r="R391" s="875"/>
      <c r="S391" s="875"/>
      <c r="T391" s="875"/>
      <c r="U391" s="875"/>
      <c r="V391" s="875"/>
      <c r="W391" s="875"/>
      <c r="X391" s="875"/>
      <c r="Y391" s="875"/>
      <c r="Z391" s="875"/>
    </row>
    <row r="392" spans="1:26" ht="18.75" hidden="1">
      <c r="A392" s="995"/>
      <c r="B392" s="877"/>
      <c r="C392" s="996"/>
      <c r="D392" s="878" t="s">
        <v>20</v>
      </c>
      <c r="E392" s="877"/>
      <c r="F392" s="877"/>
      <c r="G392" s="879"/>
      <c r="H392" s="161" t="s">
        <v>12</v>
      </c>
      <c r="I392" s="997"/>
      <c r="J392" s="997"/>
      <c r="K392" s="998"/>
      <c r="L392" s="881">
        <f t="shared" ref="L392:N392" ca="1" si="170">L393+L394</f>
        <v>0</v>
      </c>
      <c r="M392" s="881">
        <f t="shared" ca="1" si="170"/>
        <v>0</v>
      </c>
      <c r="N392" s="881">
        <f t="shared" ca="1" si="170"/>
        <v>0</v>
      </c>
      <c r="O392" s="881">
        <f t="shared" ca="1" si="167"/>
        <v>0</v>
      </c>
      <c r="P392" s="881">
        <f t="shared" ca="1" si="168"/>
        <v>0</v>
      </c>
      <c r="Q392" s="868"/>
      <c r="R392" s="868"/>
      <c r="S392" s="868"/>
      <c r="T392" s="868"/>
      <c r="U392" s="868"/>
      <c r="V392" s="868"/>
      <c r="W392" s="868"/>
      <c r="X392" s="868"/>
      <c r="Y392" s="868"/>
      <c r="Z392" s="868"/>
    </row>
    <row r="393" spans="1:26" ht="19.5" hidden="1">
      <c r="A393" s="993"/>
      <c r="B393" s="883"/>
      <c r="C393" s="999"/>
      <c r="D393" s="883"/>
      <c r="E393" s="884" t="s">
        <v>36</v>
      </c>
      <c r="F393" s="883"/>
      <c r="G393" s="994"/>
      <c r="H393" s="165" t="s">
        <v>12</v>
      </c>
      <c r="I393" s="1000"/>
      <c r="J393" s="1000"/>
      <c r="K393" s="1001"/>
      <c r="L393" s="887">
        <v>0</v>
      </c>
      <c r="M393" s="887">
        <v>0</v>
      </c>
      <c r="N393" s="887">
        <v>0</v>
      </c>
      <c r="O393" s="887">
        <f t="shared" si="167"/>
        <v>0</v>
      </c>
      <c r="P393" s="887">
        <f t="shared" si="168"/>
        <v>0</v>
      </c>
      <c r="Q393" s="875"/>
      <c r="R393" s="875"/>
      <c r="S393" s="875"/>
      <c r="T393" s="875"/>
      <c r="U393" s="875"/>
      <c r="V393" s="875"/>
      <c r="W393" s="875"/>
      <c r="X393" s="875"/>
      <c r="Y393" s="875"/>
      <c r="Z393" s="875"/>
    </row>
    <row r="394" spans="1:26" ht="19.5" hidden="1">
      <c r="A394" s="993"/>
      <c r="B394" s="883"/>
      <c r="C394" s="999"/>
      <c r="D394" s="883"/>
      <c r="E394" s="884" t="s">
        <v>37</v>
      </c>
      <c r="F394" s="883"/>
      <c r="G394" s="994"/>
      <c r="H394" s="165" t="s">
        <v>12</v>
      </c>
      <c r="I394" s="1000"/>
      <c r="J394" s="1000"/>
      <c r="K394" s="1001"/>
      <c r="L394" s="887">
        <f ca="1">IFERROR(__xludf.DUMMYFUNCTION("IMPORTRANGE(""https://docs.google.com/spreadsheets/d/1MeEWN-I1oV_STSDYn1IFDPWt_1FKiwhDph83XaGc0o0/edit?usp=sharing"",""งบพรบ!FG81"")"),0)</f>
        <v>0</v>
      </c>
      <c r="M394" s="887">
        <f ca="1">IFERROR(__xludf.DUMMYFUNCTION("IMPORTRANGE(""https://docs.google.com/spreadsheets/d/1MeEWN-I1oV_STSDYn1IFDPWt_1FKiwhDph83XaGc0o0/edit?usp=sharing"",""งบพรบ!FL81"")"),0)</f>
        <v>0</v>
      </c>
      <c r="N394" s="887">
        <f ca="1">IFERROR(__xludf.DUMMYFUNCTION("IMPORTRANGE(""https://docs.google.com/spreadsheets/d/1MeEWN-I1oV_STSDYn1IFDPWt_1FKiwhDph83XaGc0o0/edit?usp=sharing"",""งบพรบ!FN81"")"),0)</f>
        <v>0</v>
      </c>
      <c r="O394" s="887">
        <f t="shared" ca="1" si="167"/>
        <v>0</v>
      </c>
      <c r="P394" s="887">
        <f t="shared" ca="1" si="168"/>
        <v>0</v>
      </c>
      <c r="Q394" s="875"/>
      <c r="R394" s="875"/>
      <c r="S394" s="875"/>
      <c r="T394" s="875"/>
      <c r="U394" s="875"/>
      <c r="V394" s="875"/>
      <c r="W394" s="875"/>
      <c r="X394" s="875"/>
      <c r="Y394" s="875"/>
      <c r="Z394" s="875"/>
    </row>
    <row r="395" spans="1:26" ht="18.75" hidden="1">
      <c r="A395" s="995"/>
      <c r="B395" s="877"/>
      <c r="C395" s="996"/>
      <c r="D395" s="878" t="s">
        <v>21</v>
      </c>
      <c r="E395" s="877"/>
      <c r="F395" s="877"/>
      <c r="G395" s="879"/>
      <c r="H395" s="168" t="s">
        <v>12</v>
      </c>
      <c r="I395" s="997"/>
      <c r="J395" s="997"/>
      <c r="K395" s="998"/>
      <c r="L395" s="881">
        <f t="shared" ref="L395:N395" ca="1" si="171">L396+L397</f>
        <v>0</v>
      </c>
      <c r="M395" s="881">
        <f t="shared" ca="1" si="171"/>
        <v>0</v>
      </c>
      <c r="N395" s="881">
        <f t="shared" ca="1" si="171"/>
        <v>0</v>
      </c>
      <c r="O395" s="881">
        <f t="shared" ca="1" si="167"/>
        <v>0</v>
      </c>
      <c r="P395" s="881">
        <f t="shared" ca="1" si="168"/>
        <v>0</v>
      </c>
      <c r="Q395" s="868"/>
      <c r="R395" s="868"/>
      <c r="S395" s="868"/>
      <c r="T395" s="868"/>
      <c r="U395" s="868"/>
      <c r="V395" s="868"/>
      <c r="W395" s="868"/>
      <c r="X395" s="868"/>
      <c r="Y395" s="868"/>
      <c r="Z395" s="868"/>
    </row>
    <row r="396" spans="1:26" ht="19.5" hidden="1">
      <c r="A396" s="993"/>
      <c r="B396" s="883"/>
      <c r="C396" s="999"/>
      <c r="D396" s="883"/>
      <c r="E396" s="884" t="s">
        <v>18</v>
      </c>
      <c r="F396" s="883"/>
      <c r="G396" s="994"/>
      <c r="H396" s="165" t="s">
        <v>12</v>
      </c>
      <c r="I396" s="1000"/>
      <c r="J396" s="1000"/>
      <c r="K396" s="1001"/>
      <c r="L396" s="887">
        <v>0</v>
      </c>
      <c r="M396" s="887">
        <v>0</v>
      </c>
      <c r="N396" s="887">
        <v>0</v>
      </c>
      <c r="O396" s="887">
        <f t="shared" si="167"/>
        <v>0</v>
      </c>
      <c r="P396" s="887">
        <f t="shared" si="168"/>
        <v>0</v>
      </c>
      <c r="Q396" s="875"/>
      <c r="R396" s="875"/>
      <c r="S396" s="875"/>
      <c r="T396" s="875"/>
      <c r="U396" s="875"/>
      <c r="V396" s="875"/>
      <c r="W396" s="875"/>
      <c r="X396" s="875"/>
      <c r="Y396" s="875"/>
      <c r="Z396" s="875"/>
    </row>
    <row r="397" spans="1:26" ht="19.5" hidden="1">
      <c r="A397" s="993"/>
      <c r="B397" s="883"/>
      <c r="C397" s="999"/>
      <c r="D397" s="883"/>
      <c r="E397" s="884" t="s">
        <v>19</v>
      </c>
      <c r="F397" s="883"/>
      <c r="G397" s="994"/>
      <c r="H397" s="169" t="s">
        <v>12</v>
      </c>
      <c r="I397" s="1000"/>
      <c r="J397" s="1000"/>
      <c r="K397" s="1001"/>
      <c r="L397" s="887">
        <f ca="1">IFERROR(__xludf.DUMMYFUNCTION("IMPORTRANGE(""https://docs.google.com/spreadsheets/d/1MeEWN-I1oV_STSDYn1IFDPWt_1FKiwhDph83XaGc0o0/edit?usp=sharing"",""งบพรบ!FJ81"")"),0)</f>
        <v>0</v>
      </c>
      <c r="M397" s="887">
        <f ca="1">IFERROR(__xludf.DUMMYFUNCTION("IMPORTRANGE(""https://docs.google.com/spreadsheets/d/1MeEWN-I1oV_STSDYn1IFDPWt_1FKiwhDph83XaGc0o0/edit?usp=sharing"",""งบพรบ!FM81"")"),0)</f>
        <v>0</v>
      </c>
      <c r="N397" s="887">
        <f ca="1">IFERROR(__xludf.DUMMYFUNCTION("IMPORTRANGE(""https://docs.google.com/spreadsheets/d/1MeEWN-I1oV_STSDYn1IFDPWt_1FKiwhDph83XaGc0o0/edit?usp=sharing"",""งบพรบ!FO81"")"),0)</f>
        <v>0</v>
      </c>
      <c r="O397" s="887">
        <f t="shared" ca="1" si="167"/>
        <v>0</v>
      </c>
      <c r="P397" s="887">
        <f t="shared" ca="1" si="168"/>
        <v>0</v>
      </c>
      <c r="Q397" s="875"/>
      <c r="R397" s="875"/>
      <c r="S397" s="875"/>
      <c r="T397" s="875"/>
      <c r="U397" s="875"/>
      <c r="V397" s="875"/>
      <c r="W397" s="875"/>
      <c r="X397" s="875"/>
      <c r="Y397" s="875"/>
      <c r="Z397" s="875"/>
    </row>
    <row r="398" spans="1:26" ht="19.5" hidden="1">
      <c r="A398" s="1002"/>
      <c r="B398" s="1003"/>
      <c r="C398" s="999" t="s">
        <v>16</v>
      </c>
      <c r="D398" s="1004" t="s">
        <v>38</v>
      </c>
      <c r="E398" s="1005"/>
      <c r="F398" s="1005"/>
      <c r="G398" s="1006"/>
      <c r="H398" s="1007"/>
      <c r="I398" s="997"/>
      <c r="J398" s="880"/>
      <c r="K398" s="881"/>
      <c r="L398" s="881"/>
      <c r="M398" s="881"/>
      <c r="N398" s="881"/>
      <c r="O398" s="998"/>
      <c r="P398" s="998"/>
    </row>
    <row r="399" spans="1:26" ht="18.75" hidden="1">
      <c r="A399" s="1261"/>
      <c r="B399" s="986"/>
      <c r="C399" s="1262"/>
      <c r="D399" s="1021" t="s">
        <v>175</v>
      </c>
      <c r="E399" s="1166"/>
      <c r="F399" s="986"/>
      <c r="G399" s="989"/>
      <c r="H399" s="532" t="s">
        <v>9</v>
      </c>
      <c r="I399" s="880">
        <v>0</v>
      </c>
      <c r="J399" s="1012">
        <v>0</v>
      </c>
      <c r="K399" s="881">
        <f t="shared" ref="K399:K401" si="172">IF(I399&gt;0,J399*100/I399,0)</f>
        <v>0</v>
      </c>
      <c r="L399" s="1263"/>
      <c r="M399" s="1263"/>
      <c r="N399" s="1263"/>
      <c r="O399" s="1263"/>
      <c r="P399" s="1263"/>
      <c r="Q399" s="868"/>
      <c r="R399" s="868"/>
      <c r="S399" s="868"/>
      <c r="T399" s="868"/>
      <c r="U399" s="868"/>
      <c r="V399" s="868"/>
      <c r="W399" s="868"/>
      <c r="X399" s="868"/>
      <c r="Y399" s="868"/>
      <c r="Z399" s="868"/>
    </row>
    <row r="400" spans="1:26" ht="18.75" hidden="1">
      <c r="A400" s="1086"/>
      <c r="B400" s="877"/>
      <c r="C400" s="1084"/>
      <c r="D400" s="1009" t="s">
        <v>176</v>
      </c>
      <c r="E400" s="1003"/>
      <c r="F400" s="877"/>
      <c r="G400" s="879"/>
      <c r="H400" s="277" t="s">
        <v>66</v>
      </c>
      <c r="I400" s="880">
        <v>0</v>
      </c>
      <c r="J400" s="1012">
        <v>0</v>
      </c>
      <c r="K400" s="881">
        <f t="shared" si="172"/>
        <v>0</v>
      </c>
      <c r="L400" s="881"/>
      <c r="M400" s="881"/>
      <c r="N400" s="881"/>
      <c r="O400" s="881"/>
      <c r="P400" s="881"/>
    </row>
    <row r="401" spans="1:26" ht="19.5" hidden="1">
      <c r="A401" s="1253"/>
      <c r="B401" s="1254" t="s">
        <v>177</v>
      </c>
      <c r="C401" s="1255"/>
      <c r="D401" s="1256"/>
      <c r="E401" s="1256"/>
      <c r="F401" s="1256"/>
      <c r="G401" s="1257"/>
      <c r="H401" s="525" t="s">
        <v>66</v>
      </c>
      <c r="I401" s="1258">
        <f t="shared" ref="I401:J401" si="173">I412</f>
        <v>0</v>
      </c>
      <c r="J401" s="1258">
        <f t="shared" si="173"/>
        <v>0</v>
      </c>
      <c r="K401" s="1259">
        <f t="shared" si="172"/>
        <v>0</v>
      </c>
      <c r="L401" s="1260"/>
      <c r="M401" s="1260"/>
      <c r="N401" s="1260"/>
      <c r="O401" s="1260"/>
      <c r="P401" s="1260"/>
    </row>
    <row r="402" spans="1:26" ht="19.5" hidden="1">
      <c r="A402" s="985"/>
      <c r="B402" s="986"/>
      <c r="C402" s="987" t="s">
        <v>16</v>
      </c>
      <c r="D402" s="988" t="s">
        <v>17</v>
      </c>
      <c r="E402" s="986"/>
      <c r="F402" s="986"/>
      <c r="G402" s="989"/>
      <c r="H402" s="152" t="s">
        <v>12</v>
      </c>
      <c r="I402" s="990"/>
      <c r="J402" s="990"/>
      <c r="K402" s="991"/>
      <c r="L402" s="992">
        <f t="shared" ref="L402:N402" ca="1" si="174">L403+L404</f>
        <v>0</v>
      </c>
      <c r="M402" s="992">
        <f t="shared" ca="1" si="174"/>
        <v>0</v>
      </c>
      <c r="N402" s="992">
        <f t="shared" ca="1" si="174"/>
        <v>0</v>
      </c>
      <c r="O402" s="992">
        <f t="shared" ref="O402:O410" ca="1" si="175">IF(L402&gt;0,N402*100/L402,0)</f>
        <v>0</v>
      </c>
      <c r="P402" s="992">
        <f t="shared" ref="P402:P410" ca="1" si="176">IF(M402&gt;0,N402*100/M402,0)</f>
        <v>0</v>
      </c>
      <c r="Q402" s="868"/>
      <c r="R402" s="868"/>
      <c r="S402" s="868"/>
      <c r="T402" s="868"/>
      <c r="U402" s="868"/>
      <c r="V402" s="868"/>
      <c r="W402" s="868"/>
      <c r="X402" s="868"/>
      <c r="Y402" s="868"/>
      <c r="Z402" s="868"/>
    </row>
    <row r="403" spans="1:26" ht="18.75" hidden="1">
      <c r="A403" s="993"/>
      <c r="B403" s="883"/>
      <c r="C403" s="883"/>
      <c r="D403" s="883"/>
      <c r="E403" s="884" t="s">
        <v>18</v>
      </c>
      <c r="F403" s="883"/>
      <c r="G403" s="994"/>
      <c r="H403" s="158" t="s">
        <v>12</v>
      </c>
      <c r="I403" s="886"/>
      <c r="J403" s="886"/>
      <c r="K403" s="887"/>
      <c r="L403" s="887">
        <f t="shared" ref="L403:N404" si="177">L406+L409</f>
        <v>0</v>
      </c>
      <c r="M403" s="887">
        <f t="shared" si="177"/>
        <v>0</v>
      </c>
      <c r="N403" s="887">
        <f t="shared" si="177"/>
        <v>0</v>
      </c>
      <c r="O403" s="887">
        <f t="shared" si="175"/>
        <v>0</v>
      </c>
      <c r="P403" s="887">
        <f t="shared" si="176"/>
        <v>0</v>
      </c>
      <c r="Q403" s="875"/>
      <c r="R403" s="875"/>
      <c r="S403" s="875"/>
      <c r="T403" s="875"/>
      <c r="U403" s="875"/>
      <c r="V403" s="875"/>
      <c r="W403" s="875"/>
      <c r="X403" s="875"/>
      <c r="Y403" s="875"/>
      <c r="Z403" s="875"/>
    </row>
    <row r="404" spans="1:26" ht="18.75" hidden="1">
      <c r="A404" s="993"/>
      <c r="B404" s="883"/>
      <c r="C404" s="883"/>
      <c r="D404" s="883"/>
      <c r="E404" s="884" t="s">
        <v>19</v>
      </c>
      <c r="F404" s="883"/>
      <c r="G404" s="994"/>
      <c r="H404" s="158" t="s">
        <v>12</v>
      </c>
      <c r="I404" s="886"/>
      <c r="J404" s="886"/>
      <c r="K404" s="887"/>
      <c r="L404" s="887">
        <f t="shared" ca="1" si="177"/>
        <v>0</v>
      </c>
      <c r="M404" s="887">
        <f t="shared" ca="1" si="177"/>
        <v>0</v>
      </c>
      <c r="N404" s="887">
        <f t="shared" ca="1" si="177"/>
        <v>0</v>
      </c>
      <c r="O404" s="887">
        <f t="shared" ca="1" si="175"/>
        <v>0</v>
      </c>
      <c r="P404" s="887">
        <f t="shared" ca="1" si="176"/>
        <v>0</v>
      </c>
      <c r="Q404" s="875"/>
      <c r="R404" s="875"/>
      <c r="S404" s="875"/>
      <c r="T404" s="875"/>
      <c r="U404" s="875"/>
      <c r="V404" s="875"/>
      <c r="W404" s="875"/>
      <c r="X404" s="875"/>
      <c r="Y404" s="875"/>
      <c r="Z404" s="875"/>
    </row>
    <row r="405" spans="1:26" ht="18.75" hidden="1">
      <c r="A405" s="995"/>
      <c r="B405" s="877"/>
      <c r="C405" s="996"/>
      <c r="D405" s="878" t="s">
        <v>20</v>
      </c>
      <c r="E405" s="877"/>
      <c r="F405" s="877"/>
      <c r="G405" s="879"/>
      <c r="H405" s="161" t="s">
        <v>12</v>
      </c>
      <c r="I405" s="997"/>
      <c r="J405" s="997"/>
      <c r="K405" s="998"/>
      <c r="L405" s="881">
        <f t="shared" ref="L405:N405" ca="1" si="178">L406+L407</f>
        <v>0</v>
      </c>
      <c r="M405" s="881">
        <f t="shared" ca="1" si="178"/>
        <v>0</v>
      </c>
      <c r="N405" s="881">
        <f t="shared" ca="1" si="178"/>
        <v>0</v>
      </c>
      <c r="O405" s="881">
        <f t="shared" ca="1" si="175"/>
        <v>0</v>
      </c>
      <c r="P405" s="881">
        <f t="shared" ca="1" si="176"/>
        <v>0</v>
      </c>
      <c r="Q405" s="868"/>
      <c r="R405" s="868"/>
      <c r="S405" s="868"/>
      <c r="T405" s="868"/>
      <c r="U405" s="868"/>
      <c r="V405" s="868"/>
      <c r="W405" s="868"/>
      <c r="X405" s="868"/>
      <c r="Y405" s="868"/>
      <c r="Z405" s="868"/>
    </row>
    <row r="406" spans="1:26" ht="19.5" hidden="1">
      <c r="A406" s="993"/>
      <c r="B406" s="883"/>
      <c r="C406" s="999"/>
      <c r="D406" s="883"/>
      <c r="E406" s="884" t="s">
        <v>36</v>
      </c>
      <c r="F406" s="883"/>
      <c r="G406" s="994"/>
      <c r="H406" s="165" t="s">
        <v>12</v>
      </c>
      <c r="I406" s="1000"/>
      <c r="J406" s="1000"/>
      <c r="K406" s="1001"/>
      <c r="L406" s="887">
        <v>0</v>
      </c>
      <c r="M406" s="887">
        <v>0</v>
      </c>
      <c r="N406" s="887">
        <v>0</v>
      </c>
      <c r="O406" s="887">
        <f t="shared" si="175"/>
        <v>0</v>
      </c>
      <c r="P406" s="887">
        <f t="shared" si="176"/>
        <v>0</v>
      </c>
      <c r="Q406" s="875"/>
      <c r="R406" s="875"/>
      <c r="S406" s="875"/>
      <c r="T406" s="875"/>
      <c r="U406" s="875"/>
      <c r="V406" s="875"/>
      <c r="W406" s="875"/>
      <c r="X406" s="875"/>
      <c r="Y406" s="875"/>
      <c r="Z406" s="875"/>
    </row>
    <row r="407" spans="1:26" ht="19.5" hidden="1">
      <c r="A407" s="993"/>
      <c r="B407" s="883"/>
      <c r="C407" s="999"/>
      <c r="D407" s="883"/>
      <c r="E407" s="884" t="s">
        <v>37</v>
      </c>
      <c r="F407" s="883"/>
      <c r="G407" s="994"/>
      <c r="H407" s="165" t="s">
        <v>12</v>
      </c>
      <c r="I407" s="1000"/>
      <c r="J407" s="1000"/>
      <c r="K407" s="1001"/>
      <c r="L407" s="887">
        <f ca="1">IFERROR(__xludf.DUMMYFUNCTION("IMPORTRANGE(""https://docs.google.com/spreadsheets/d/1MeEWN-I1oV_STSDYn1IFDPWt_1FKiwhDph83XaGc0o0/edit?usp=sharing"",""งบพรบ!FQ81"")"),0)</f>
        <v>0</v>
      </c>
      <c r="M407" s="887">
        <f ca="1">IFERROR(__xludf.DUMMYFUNCTION("IMPORTRANGE(""https://docs.google.com/spreadsheets/d/1MeEWN-I1oV_STSDYn1IFDPWt_1FKiwhDph83XaGc0o0/edit?usp=sharing"",""งบพรบ!FV81"")"),0)</f>
        <v>0</v>
      </c>
      <c r="N407" s="887">
        <f ca="1">IFERROR(__xludf.DUMMYFUNCTION("IMPORTRANGE(""https://docs.google.com/spreadsheets/d/1MeEWN-I1oV_STSDYn1IFDPWt_1FKiwhDph83XaGc0o0/edit?usp=sharing"",""งบพรบ!FX81"")"),0)</f>
        <v>0</v>
      </c>
      <c r="O407" s="887">
        <f t="shared" ca="1" si="175"/>
        <v>0</v>
      </c>
      <c r="P407" s="887">
        <f t="shared" ca="1" si="176"/>
        <v>0</v>
      </c>
      <c r="Q407" s="875"/>
      <c r="R407" s="875"/>
      <c r="S407" s="875"/>
      <c r="T407" s="875"/>
      <c r="U407" s="875"/>
      <c r="V407" s="875"/>
      <c r="W407" s="875"/>
      <c r="X407" s="875"/>
      <c r="Y407" s="875"/>
      <c r="Z407" s="875"/>
    </row>
    <row r="408" spans="1:26" ht="18.75" hidden="1">
      <c r="A408" s="995"/>
      <c r="B408" s="877"/>
      <c r="C408" s="996"/>
      <c r="D408" s="878" t="s">
        <v>21</v>
      </c>
      <c r="E408" s="877"/>
      <c r="F408" s="877"/>
      <c r="G408" s="879"/>
      <c r="H408" s="168" t="s">
        <v>12</v>
      </c>
      <c r="I408" s="997"/>
      <c r="J408" s="997"/>
      <c r="K408" s="998"/>
      <c r="L408" s="881">
        <f t="shared" ref="L408:N408" ca="1" si="179">L409+L410</f>
        <v>0</v>
      </c>
      <c r="M408" s="881">
        <f t="shared" ca="1" si="179"/>
        <v>0</v>
      </c>
      <c r="N408" s="881">
        <f t="shared" ca="1" si="179"/>
        <v>0</v>
      </c>
      <c r="O408" s="881">
        <f t="shared" ca="1" si="175"/>
        <v>0</v>
      </c>
      <c r="P408" s="881">
        <f t="shared" ca="1" si="176"/>
        <v>0</v>
      </c>
      <c r="Q408" s="868"/>
      <c r="R408" s="868"/>
      <c r="S408" s="868"/>
      <c r="T408" s="868"/>
      <c r="U408" s="868"/>
      <c r="V408" s="868"/>
      <c r="W408" s="868"/>
      <c r="X408" s="868"/>
      <c r="Y408" s="868"/>
      <c r="Z408" s="868"/>
    </row>
    <row r="409" spans="1:26" ht="19.5" hidden="1">
      <c r="A409" s="993"/>
      <c r="B409" s="883"/>
      <c r="C409" s="999"/>
      <c r="D409" s="883"/>
      <c r="E409" s="884" t="s">
        <v>18</v>
      </c>
      <c r="F409" s="883"/>
      <c r="G409" s="994"/>
      <c r="H409" s="165" t="s">
        <v>12</v>
      </c>
      <c r="I409" s="1000"/>
      <c r="J409" s="1000"/>
      <c r="K409" s="1001"/>
      <c r="L409" s="887">
        <v>0</v>
      </c>
      <c r="M409" s="887">
        <v>0</v>
      </c>
      <c r="N409" s="887">
        <v>0</v>
      </c>
      <c r="O409" s="887">
        <f t="shared" si="175"/>
        <v>0</v>
      </c>
      <c r="P409" s="887">
        <f t="shared" si="176"/>
        <v>0</v>
      </c>
      <c r="Q409" s="875"/>
      <c r="R409" s="875"/>
      <c r="S409" s="875"/>
      <c r="T409" s="875"/>
      <c r="U409" s="875"/>
      <c r="V409" s="875"/>
      <c r="W409" s="875"/>
      <c r="X409" s="875"/>
      <c r="Y409" s="875"/>
      <c r="Z409" s="875"/>
    </row>
    <row r="410" spans="1:26" ht="19.5" hidden="1">
      <c r="A410" s="993"/>
      <c r="B410" s="883"/>
      <c r="C410" s="999"/>
      <c r="D410" s="883"/>
      <c r="E410" s="884" t="s">
        <v>19</v>
      </c>
      <c r="F410" s="883"/>
      <c r="G410" s="994"/>
      <c r="H410" s="169" t="s">
        <v>12</v>
      </c>
      <c r="I410" s="1000"/>
      <c r="J410" s="1000"/>
      <c r="K410" s="1001"/>
      <c r="L410" s="887">
        <f ca="1">IFERROR(__xludf.DUMMYFUNCTION("IMPORTRANGE(""https://docs.google.com/spreadsheets/d/1MeEWN-I1oV_STSDYn1IFDPWt_1FKiwhDph83XaGc0o0/edit?usp=sharing"",""งบพรบ!FT81"")"),0)</f>
        <v>0</v>
      </c>
      <c r="M410" s="887">
        <f ca="1">IFERROR(__xludf.DUMMYFUNCTION("IMPORTRANGE(""https://docs.google.com/spreadsheets/d/1MeEWN-I1oV_STSDYn1IFDPWt_1FKiwhDph83XaGc0o0/edit?usp=sharing"",""งบพรบ!FW81"")"),0)</f>
        <v>0</v>
      </c>
      <c r="N410" s="887">
        <f ca="1">IFERROR(__xludf.DUMMYFUNCTION("IMPORTRANGE(""https://docs.google.com/spreadsheets/d/1MeEWN-I1oV_STSDYn1IFDPWt_1FKiwhDph83XaGc0o0/edit?usp=sharing"",""งบพรบ!FY81"")"),0)</f>
        <v>0</v>
      </c>
      <c r="O410" s="887">
        <f t="shared" ca="1" si="175"/>
        <v>0</v>
      </c>
      <c r="P410" s="887">
        <f t="shared" ca="1" si="176"/>
        <v>0</v>
      </c>
      <c r="Q410" s="875"/>
      <c r="R410" s="875"/>
      <c r="S410" s="875"/>
      <c r="T410" s="875"/>
      <c r="U410" s="875"/>
      <c r="V410" s="875"/>
      <c r="W410" s="875"/>
      <c r="X410" s="875"/>
      <c r="Y410" s="875"/>
      <c r="Z410" s="875"/>
    </row>
    <row r="411" spans="1:26" ht="19.5" hidden="1">
      <c r="A411" s="1002"/>
      <c r="B411" s="1003"/>
      <c r="C411" s="999" t="s">
        <v>16</v>
      </c>
      <c r="D411" s="1264" t="s">
        <v>38</v>
      </c>
      <c r="E411" s="1265"/>
      <c r="F411" s="1265"/>
      <c r="G411" s="1266"/>
      <c r="H411" s="1007"/>
      <c r="I411" s="880"/>
      <c r="J411" s="880"/>
      <c r="K411" s="881"/>
      <c r="L411" s="998"/>
      <c r="M411" s="998"/>
      <c r="N411" s="998"/>
      <c r="O411" s="998"/>
      <c r="P411" s="998"/>
    </row>
    <row r="412" spans="1:26" ht="18.75" hidden="1">
      <c r="A412" s="1002"/>
      <c r="B412" s="1010"/>
      <c r="C412" s="1010"/>
      <c r="D412" s="1009" t="s">
        <v>178</v>
      </c>
      <c r="E412" s="1010"/>
      <c r="F412" s="1010"/>
      <c r="G412" s="1011"/>
      <c r="H412" s="537" t="s">
        <v>66</v>
      </c>
      <c r="I412" s="880">
        <v>0</v>
      </c>
      <c r="J412" s="1012">
        <v>0</v>
      </c>
      <c r="K412" s="881">
        <f t="shared" ref="K412:K413" si="180">IF(I412&gt;0,J412*100/I412,0)</f>
        <v>0</v>
      </c>
      <c r="L412" s="998"/>
      <c r="M412" s="998"/>
      <c r="N412" s="998"/>
      <c r="O412" s="998"/>
      <c r="P412" s="998"/>
    </row>
    <row r="413" spans="1:26" ht="19.5" hidden="1" thickBot="1">
      <c r="A413" s="1267"/>
      <c r="B413" s="1268"/>
      <c r="C413" s="1268"/>
      <c r="D413" s="1269" t="s">
        <v>179</v>
      </c>
      <c r="E413" s="1268"/>
      <c r="F413" s="1268"/>
      <c r="G413" s="1270"/>
      <c r="H413" s="542" t="s">
        <v>180</v>
      </c>
      <c r="I413" s="1271">
        <v>0</v>
      </c>
      <c r="J413" s="1272">
        <v>0</v>
      </c>
      <c r="K413" s="1273">
        <f t="shared" si="180"/>
        <v>0</v>
      </c>
      <c r="L413" s="1274"/>
      <c r="M413" s="1274"/>
      <c r="N413" s="1274"/>
      <c r="O413" s="1274"/>
      <c r="P413" s="1274"/>
    </row>
    <row r="414" spans="1:26" ht="19.5">
      <c r="A414" s="1275" t="s">
        <v>181</v>
      </c>
      <c r="B414" s="1276"/>
      <c r="C414" s="1276"/>
      <c r="D414" s="1276"/>
      <c r="E414" s="1276"/>
      <c r="F414" s="1276"/>
      <c r="G414" s="1277"/>
      <c r="H414" s="1278"/>
      <c r="I414" s="1279"/>
      <c r="J414" s="1279"/>
      <c r="K414" s="1280"/>
      <c r="L414" s="1281">
        <f t="shared" ref="L414:N414" ca="1" si="181">L419+L444+L467+L502+L523+L544+L629+L655+L685+L737+L754+L770+L786+L805</f>
        <v>734746</v>
      </c>
      <c r="M414" s="1281">
        <f t="shared" ca="1" si="181"/>
        <v>734746</v>
      </c>
      <c r="N414" s="1281">
        <f t="shared" si="181"/>
        <v>550611</v>
      </c>
      <c r="O414" s="1281">
        <f ca="1">IF(L414&gt;0,N414*100/L414,0)</f>
        <v>74.938958497222174</v>
      </c>
      <c r="P414" s="1281">
        <f ca="1">IF(M414&gt;0,N414*100/M414,0)</f>
        <v>74.938958497222174</v>
      </c>
    </row>
    <row r="415" spans="1:26" ht="19.5">
      <c r="A415" s="1282" t="s">
        <v>182</v>
      </c>
      <c r="B415" s="1283"/>
      <c r="C415" s="1283"/>
      <c r="D415" s="1283"/>
      <c r="E415" s="1283"/>
      <c r="F415" s="1283"/>
      <c r="G415" s="1283"/>
      <c r="H415" s="1284"/>
      <c r="I415" s="1285"/>
      <c r="J415" s="1285"/>
      <c r="K415" s="1286"/>
      <c r="L415" s="1287"/>
      <c r="M415" s="1287"/>
      <c r="N415" s="1287"/>
      <c r="O415" s="1287"/>
      <c r="P415" s="1287"/>
    </row>
    <row r="416" spans="1:26" ht="19.5">
      <c r="A416" s="1282" t="s">
        <v>183</v>
      </c>
      <c r="B416" s="1283"/>
      <c r="C416" s="1283"/>
      <c r="D416" s="1283"/>
      <c r="E416" s="1283"/>
      <c r="F416" s="1283"/>
      <c r="G416" s="1288"/>
      <c r="H416" s="1289"/>
      <c r="I416" s="1290"/>
      <c r="J416" s="1290"/>
      <c r="K416" s="1287"/>
      <c r="L416" s="1287"/>
      <c r="M416" s="1287"/>
      <c r="N416" s="1287"/>
      <c r="O416" s="1287"/>
      <c r="P416" s="1287"/>
    </row>
    <row r="417" spans="1:26" ht="39">
      <c r="A417" s="563">
        <v>1</v>
      </c>
      <c r="B417" s="1291" t="s">
        <v>184</v>
      </c>
      <c r="C417" s="1291"/>
      <c r="D417" s="1292"/>
      <c r="E417" s="1292"/>
      <c r="F417" s="1292"/>
      <c r="G417" s="1293"/>
      <c r="H417" s="568" t="s">
        <v>35</v>
      </c>
      <c r="I417" s="1294">
        <f t="shared" ref="I417:J418" ca="1" si="182">I433</f>
        <v>20</v>
      </c>
      <c r="J417" s="1294">
        <f t="shared" ca="1" si="182"/>
        <v>20</v>
      </c>
      <c r="K417" s="1295">
        <f t="shared" ref="K417:K418" ca="1" si="183">IF(I417&gt;0,J417*100/I417,0)</f>
        <v>100</v>
      </c>
      <c r="L417" s="1296"/>
      <c r="M417" s="1296"/>
      <c r="N417" s="1296"/>
      <c r="O417" s="1296"/>
      <c r="P417" s="1296"/>
    </row>
    <row r="418" spans="1:26" ht="19.5">
      <c r="A418" s="1297"/>
      <c r="B418" s="563"/>
      <c r="C418" s="1291"/>
      <c r="D418" s="1292"/>
      <c r="E418" s="1292"/>
      <c r="F418" s="1292"/>
      <c r="G418" s="1293"/>
      <c r="H418" s="568" t="s">
        <v>49</v>
      </c>
      <c r="I418" s="1294">
        <f t="shared" ca="1" si="182"/>
        <v>1</v>
      </c>
      <c r="J418" s="1294">
        <f t="shared" si="182"/>
        <v>1</v>
      </c>
      <c r="K418" s="1295">
        <f t="shared" ca="1" si="183"/>
        <v>100</v>
      </c>
      <c r="L418" s="1296"/>
      <c r="M418" s="1296"/>
      <c r="N418" s="1296"/>
      <c r="O418" s="1296"/>
      <c r="P418" s="1296"/>
    </row>
    <row r="419" spans="1:26" ht="19.5">
      <c r="A419" s="985"/>
      <c r="B419" s="986"/>
      <c r="C419" s="986" t="s">
        <v>16</v>
      </c>
      <c r="D419" s="1298" t="s">
        <v>17</v>
      </c>
      <c r="E419" s="846"/>
      <c r="F419" s="846"/>
      <c r="G419" s="989"/>
      <c r="H419" s="275" t="s">
        <v>12</v>
      </c>
      <c r="I419" s="990"/>
      <c r="J419" s="990"/>
      <c r="K419" s="991"/>
      <c r="L419" s="992">
        <f t="shared" ref="L419:N419" ca="1" si="184">L420+L421</f>
        <v>78660</v>
      </c>
      <c r="M419" s="992">
        <f t="shared" ca="1" si="184"/>
        <v>78660</v>
      </c>
      <c r="N419" s="992">
        <f t="shared" si="184"/>
        <v>48115</v>
      </c>
      <c r="O419" s="992">
        <f t="shared" ref="O419:O424" ca="1" si="185">IF(L419&gt;0,N419*100/L419,0)</f>
        <v>61.168319349097381</v>
      </c>
      <c r="P419" s="992">
        <f t="shared" ref="P419:P424" ca="1" si="186">IF(M419&gt;0,N419*100/M419,0)</f>
        <v>61.168319349097381</v>
      </c>
      <c r="Q419" s="868"/>
      <c r="R419" s="868"/>
      <c r="S419" s="868"/>
      <c r="T419" s="868"/>
      <c r="U419" s="868"/>
      <c r="V419" s="868"/>
      <c r="W419" s="868"/>
      <c r="X419" s="868"/>
      <c r="Y419" s="868"/>
      <c r="Z419" s="868"/>
    </row>
    <row r="420" spans="1:26" ht="18.75" hidden="1">
      <c r="A420" s="993"/>
      <c r="B420" s="883"/>
      <c r="C420" s="883"/>
      <c r="D420" s="1114"/>
      <c r="E420" s="884" t="s">
        <v>185</v>
      </c>
      <c r="F420" s="883"/>
      <c r="G420" s="994"/>
      <c r="H420" s="165" t="s">
        <v>12</v>
      </c>
      <c r="I420" s="886"/>
      <c r="J420" s="886"/>
      <c r="K420" s="887"/>
      <c r="L420" s="887">
        <f t="shared" ref="L420:N421" si="187">L423+L430</f>
        <v>0</v>
      </c>
      <c r="M420" s="887">
        <f t="shared" si="187"/>
        <v>0</v>
      </c>
      <c r="N420" s="887">
        <f t="shared" si="187"/>
        <v>0</v>
      </c>
      <c r="O420" s="887">
        <f t="shared" si="185"/>
        <v>0</v>
      </c>
      <c r="P420" s="887">
        <f t="shared" si="186"/>
        <v>0</v>
      </c>
      <c r="Q420" s="875"/>
      <c r="R420" s="875"/>
      <c r="S420" s="875"/>
      <c r="T420" s="875"/>
      <c r="U420" s="875"/>
      <c r="V420" s="875"/>
      <c r="W420" s="875"/>
      <c r="X420" s="875"/>
      <c r="Y420" s="875"/>
      <c r="Z420" s="875"/>
    </row>
    <row r="421" spans="1:26" ht="18.75" hidden="1">
      <c r="A421" s="993"/>
      <c r="B421" s="883"/>
      <c r="C421" s="883"/>
      <c r="D421" s="1114"/>
      <c r="E421" s="884" t="s">
        <v>186</v>
      </c>
      <c r="F421" s="883"/>
      <c r="G421" s="994"/>
      <c r="H421" s="165" t="s">
        <v>12</v>
      </c>
      <c r="I421" s="886"/>
      <c r="J421" s="886"/>
      <c r="K421" s="887"/>
      <c r="L421" s="887">
        <f t="shared" ca="1" si="187"/>
        <v>78660</v>
      </c>
      <c r="M421" s="887">
        <f t="shared" ca="1" si="187"/>
        <v>78660</v>
      </c>
      <c r="N421" s="887">
        <f t="shared" si="187"/>
        <v>48115</v>
      </c>
      <c r="O421" s="887">
        <f t="shared" ca="1" si="185"/>
        <v>61.168319349097381</v>
      </c>
      <c r="P421" s="887">
        <f t="shared" ca="1" si="186"/>
        <v>61.168319349097381</v>
      </c>
      <c r="Q421" s="875"/>
      <c r="R421" s="875"/>
      <c r="S421" s="875"/>
      <c r="T421" s="875"/>
      <c r="U421" s="875"/>
      <c r="V421" s="875"/>
      <c r="W421" s="875"/>
      <c r="X421" s="875"/>
      <c r="Y421" s="875"/>
      <c r="Z421" s="875"/>
    </row>
    <row r="422" spans="1:26" ht="18.75">
      <c r="A422" s="995"/>
      <c r="B422" s="1084"/>
      <c r="C422" s="877"/>
      <c r="D422" s="878" t="s">
        <v>20</v>
      </c>
      <c r="E422" s="877"/>
      <c r="F422" s="877"/>
      <c r="G422" s="879"/>
      <c r="H422" s="161" t="s">
        <v>12</v>
      </c>
      <c r="I422" s="997"/>
      <c r="J422" s="997"/>
      <c r="K422" s="998"/>
      <c r="L422" s="881">
        <f t="shared" ref="L422:N422" ca="1" si="188">L423+L424</f>
        <v>78660</v>
      </c>
      <c r="M422" s="881">
        <f t="shared" ca="1" si="188"/>
        <v>78660</v>
      </c>
      <c r="N422" s="881">
        <f t="shared" si="188"/>
        <v>48115</v>
      </c>
      <c r="O422" s="881">
        <f t="shared" ca="1" si="185"/>
        <v>61.168319349097381</v>
      </c>
      <c r="P422" s="881">
        <f t="shared" ca="1" si="186"/>
        <v>61.168319349097381</v>
      </c>
      <c r="Q422" s="868"/>
      <c r="R422" s="868"/>
      <c r="S422" s="868"/>
      <c r="T422" s="868"/>
      <c r="U422" s="868"/>
      <c r="V422" s="868"/>
      <c r="W422" s="868"/>
      <c r="X422" s="868"/>
      <c r="Y422" s="868"/>
      <c r="Z422" s="868"/>
    </row>
    <row r="423" spans="1:26" ht="18.75" hidden="1">
      <c r="A423" s="993"/>
      <c r="B423" s="883"/>
      <c r="C423" s="883"/>
      <c r="D423" s="1114"/>
      <c r="E423" s="884" t="s">
        <v>185</v>
      </c>
      <c r="F423" s="883"/>
      <c r="G423" s="994"/>
      <c r="H423" s="165" t="s">
        <v>12</v>
      </c>
      <c r="I423" s="886"/>
      <c r="J423" s="886"/>
      <c r="K423" s="887"/>
      <c r="L423" s="887">
        <v>0</v>
      </c>
      <c r="M423" s="887">
        <v>0</v>
      </c>
      <c r="N423" s="887">
        <v>0</v>
      </c>
      <c r="O423" s="887">
        <f t="shared" si="185"/>
        <v>0</v>
      </c>
      <c r="P423" s="887">
        <f t="shared" si="186"/>
        <v>0</v>
      </c>
      <c r="Q423" s="875"/>
      <c r="R423" s="875"/>
      <c r="S423" s="875"/>
      <c r="T423" s="875"/>
      <c r="U423" s="875"/>
      <c r="V423" s="875"/>
      <c r="W423" s="875"/>
      <c r="X423" s="875"/>
      <c r="Y423" s="875"/>
      <c r="Z423" s="875"/>
    </row>
    <row r="424" spans="1:26" ht="18.75" hidden="1">
      <c r="A424" s="993"/>
      <c r="B424" s="883"/>
      <c r="C424" s="883"/>
      <c r="D424" s="1114"/>
      <c r="E424" s="884" t="s">
        <v>186</v>
      </c>
      <c r="F424" s="883"/>
      <c r="G424" s="994"/>
      <c r="H424" s="165" t="s">
        <v>12</v>
      </c>
      <c r="I424" s="886"/>
      <c r="J424" s="886"/>
      <c r="K424" s="887"/>
      <c r="L424" s="887">
        <f ca="1">IFERROR(__xludf.DUMMYFUNCTION("IMPORTRANGE(""https://docs.google.com/spreadsheets/d/1QqKyyYR6Q21VydFLVH3TRQUabQu_ym0Zz7PgGX0-kHA/edit?usp=sharing"",""แผน!EY81"")"),78660)</f>
        <v>78660</v>
      </c>
      <c r="M424" s="887">
        <f ca="1">L424</f>
        <v>78660</v>
      </c>
      <c r="N424" s="887">
        <f>N425+N426+N427+N428</f>
        <v>48115</v>
      </c>
      <c r="O424" s="887">
        <f t="shared" ca="1" si="185"/>
        <v>61.168319349097381</v>
      </c>
      <c r="P424" s="887">
        <f t="shared" ca="1" si="186"/>
        <v>61.168319349097381</v>
      </c>
      <c r="Q424" s="875"/>
      <c r="R424" s="875"/>
      <c r="S424" s="875"/>
      <c r="T424" s="875"/>
      <c r="U424" s="875"/>
      <c r="V424" s="875"/>
      <c r="W424" s="875"/>
      <c r="X424" s="875"/>
      <c r="Y424" s="875"/>
      <c r="Z424" s="875"/>
    </row>
    <row r="425" spans="1:26" ht="18.75">
      <c r="A425" s="1299"/>
      <c r="B425" s="1300"/>
      <c r="C425" s="1301"/>
      <c r="D425" s="1301"/>
      <c r="E425" s="1301"/>
      <c r="F425" s="1301" t="s">
        <v>187</v>
      </c>
      <c r="G425" s="1016"/>
      <c r="H425" s="161" t="s">
        <v>12</v>
      </c>
      <c r="I425" s="880"/>
      <c r="J425" s="880"/>
      <c r="K425" s="881"/>
      <c r="L425" s="881"/>
      <c r="M425" s="881"/>
      <c r="N425" s="1085">
        <v>26315</v>
      </c>
      <c r="O425" s="881"/>
      <c r="P425" s="881"/>
      <c r="Q425" s="1302"/>
      <c r="R425" s="1302"/>
      <c r="S425" s="1302"/>
      <c r="T425" s="1302"/>
      <c r="U425" s="1302"/>
      <c r="V425" s="1302"/>
      <c r="W425" s="1302"/>
      <c r="X425" s="1302"/>
      <c r="Y425" s="1302"/>
      <c r="Z425" s="1302"/>
    </row>
    <row r="426" spans="1:26" ht="18.75">
      <c r="A426" s="1299"/>
      <c r="B426" s="1300"/>
      <c r="C426" s="1301"/>
      <c r="D426" s="1301"/>
      <c r="E426" s="1301"/>
      <c r="F426" s="1301" t="s">
        <v>188</v>
      </c>
      <c r="G426" s="1016"/>
      <c r="H426" s="161" t="s">
        <v>12</v>
      </c>
      <c r="I426" s="880"/>
      <c r="J426" s="880"/>
      <c r="K426" s="881"/>
      <c r="L426" s="881"/>
      <c r="M426" s="881"/>
      <c r="N426" s="1085">
        <v>0</v>
      </c>
      <c r="O426" s="881"/>
      <c r="P426" s="881"/>
      <c r="Q426" s="1302"/>
      <c r="R426" s="1302"/>
      <c r="S426" s="1302"/>
      <c r="T426" s="1302"/>
      <c r="U426" s="1302"/>
      <c r="V426" s="1302"/>
      <c r="W426" s="1302"/>
      <c r="X426" s="1302"/>
      <c r="Y426" s="1302"/>
      <c r="Z426" s="1302"/>
    </row>
    <row r="427" spans="1:26" ht="18.75">
      <c r="A427" s="1299"/>
      <c r="B427" s="1300"/>
      <c r="C427" s="1301"/>
      <c r="D427" s="1301"/>
      <c r="E427" s="1301"/>
      <c r="F427" s="1301" t="s">
        <v>189</v>
      </c>
      <c r="G427" s="1016"/>
      <c r="H427" s="161" t="s">
        <v>12</v>
      </c>
      <c r="I427" s="880"/>
      <c r="J427" s="880"/>
      <c r="K427" s="881"/>
      <c r="L427" s="881"/>
      <c r="M427" s="881"/>
      <c r="N427" s="1085">
        <v>0</v>
      </c>
      <c r="O427" s="881"/>
      <c r="P427" s="881"/>
      <c r="Q427" s="1302"/>
      <c r="R427" s="1302"/>
      <c r="S427" s="1302"/>
      <c r="T427" s="1302"/>
      <c r="U427" s="1302"/>
      <c r="V427" s="1302"/>
      <c r="W427" s="1302"/>
      <c r="X427" s="1302"/>
      <c r="Y427" s="1302"/>
      <c r="Z427" s="1302"/>
    </row>
    <row r="428" spans="1:26" ht="18.75">
      <c r="A428" s="1086"/>
      <c r="B428" s="1084"/>
      <c r="C428" s="877"/>
      <c r="D428" s="877"/>
      <c r="E428" s="877"/>
      <c r="F428" s="996" t="s">
        <v>190</v>
      </c>
      <c r="G428" s="1030"/>
      <c r="H428" s="161" t="s">
        <v>12</v>
      </c>
      <c r="I428" s="880"/>
      <c r="J428" s="880"/>
      <c r="K428" s="881"/>
      <c r="L428" s="881"/>
      <c r="M428" s="881"/>
      <c r="N428" s="1085">
        <v>21800</v>
      </c>
      <c r="O428" s="881"/>
      <c r="P428" s="881"/>
      <c r="Q428" s="868"/>
      <c r="R428" s="868"/>
      <c r="S428" s="868"/>
      <c r="T428" s="868"/>
      <c r="U428" s="868"/>
      <c r="V428" s="868"/>
      <c r="W428" s="868"/>
      <c r="X428" s="868"/>
      <c r="Y428" s="868"/>
      <c r="Z428" s="868"/>
    </row>
    <row r="429" spans="1:26" ht="18.75">
      <c r="A429" s="995"/>
      <c r="B429" s="1084"/>
      <c r="C429" s="877"/>
      <c r="D429" s="878" t="s">
        <v>21</v>
      </c>
      <c r="E429" s="877"/>
      <c r="F429" s="877"/>
      <c r="G429" s="879"/>
      <c r="H429" s="168" t="s">
        <v>12</v>
      </c>
      <c r="I429" s="997"/>
      <c r="J429" s="997"/>
      <c r="K429" s="998"/>
      <c r="L429" s="881">
        <f t="shared" ref="L429:N429" ca="1" si="189">L430+L431</f>
        <v>0</v>
      </c>
      <c r="M429" s="881">
        <f t="shared" si="189"/>
        <v>0</v>
      </c>
      <c r="N429" s="881">
        <f t="shared" si="189"/>
        <v>0</v>
      </c>
      <c r="O429" s="881">
        <f t="shared" ref="O429:O431" ca="1" si="190">IF(L429&gt;0,N429*100/L429,0)</f>
        <v>0</v>
      </c>
      <c r="P429" s="881">
        <f t="shared" ref="P429:P431" si="191">IF(M429&gt;0,N429*100/M429,0)</f>
        <v>0</v>
      </c>
      <c r="Q429" s="868"/>
      <c r="R429" s="868"/>
      <c r="S429" s="868"/>
      <c r="T429" s="868"/>
      <c r="U429" s="868"/>
      <c r="V429" s="868"/>
      <c r="W429" s="868"/>
      <c r="X429" s="868"/>
      <c r="Y429" s="868"/>
      <c r="Z429" s="868"/>
    </row>
    <row r="430" spans="1:26" ht="18.75" hidden="1">
      <c r="A430" s="993"/>
      <c r="B430" s="1105"/>
      <c r="C430" s="883"/>
      <c r="D430" s="883"/>
      <c r="E430" s="884" t="s">
        <v>18</v>
      </c>
      <c r="F430" s="883"/>
      <c r="G430" s="885"/>
      <c r="H430" s="165" t="s">
        <v>12</v>
      </c>
      <c r="I430" s="1000"/>
      <c r="J430" s="1000"/>
      <c r="K430" s="1001"/>
      <c r="L430" s="887">
        <v>0</v>
      </c>
      <c r="M430" s="887">
        <v>0</v>
      </c>
      <c r="N430" s="887">
        <v>0</v>
      </c>
      <c r="O430" s="887">
        <f t="shared" si="190"/>
        <v>0</v>
      </c>
      <c r="P430" s="887">
        <f t="shared" si="191"/>
        <v>0</v>
      </c>
      <c r="Q430" s="875"/>
      <c r="R430" s="875"/>
      <c r="S430" s="875"/>
      <c r="T430" s="875"/>
      <c r="U430" s="875"/>
      <c r="V430" s="875"/>
      <c r="W430" s="875"/>
      <c r="X430" s="875"/>
      <c r="Y430" s="875"/>
      <c r="Z430" s="875"/>
    </row>
    <row r="431" spans="1:26" ht="18.75" hidden="1">
      <c r="A431" s="993"/>
      <c r="B431" s="1105"/>
      <c r="C431" s="883"/>
      <c r="D431" s="883"/>
      <c r="E431" s="884" t="s">
        <v>19</v>
      </c>
      <c r="F431" s="883"/>
      <c r="G431" s="885"/>
      <c r="H431" s="169" t="s">
        <v>12</v>
      </c>
      <c r="I431" s="1000"/>
      <c r="J431" s="1000"/>
      <c r="K431" s="1001"/>
      <c r="L431" s="887">
        <f ca="1">IFERROR(__xludf.DUMMYFUNCTION("IMPORTRANGE(""https://docs.google.com/spreadsheets/d/1QqKyyYR6Q21VydFLVH3TRQUabQu_ym0Zz7PgGX0-kHA/edit?usp=sharing"",""แผน!FB81"")"),0)</f>
        <v>0</v>
      </c>
      <c r="M431" s="887">
        <v>0</v>
      </c>
      <c r="N431" s="887">
        <v>0</v>
      </c>
      <c r="O431" s="887">
        <f t="shared" ca="1" si="190"/>
        <v>0</v>
      </c>
      <c r="P431" s="887">
        <f t="shared" si="191"/>
        <v>0</v>
      </c>
      <c r="Q431" s="875"/>
      <c r="R431" s="875"/>
      <c r="S431" s="875"/>
      <c r="T431" s="875"/>
      <c r="U431" s="875"/>
      <c r="V431" s="875"/>
      <c r="W431" s="875"/>
      <c r="X431" s="875"/>
      <c r="Y431" s="875"/>
      <c r="Z431" s="875"/>
    </row>
    <row r="432" spans="1:26" ht="19.5">
      <c r="A432" s="1165"/>
      <c r="B432" s="1166"/>
      <c r="C432" s="986" t="s">
        <v>16</v>
      </c>
      <c r="D432" s="1303" t="s">
        <v>38</v>
      </c>
      <c r="E432" s="1304"/>
      <c r="F432" s="1304"/>
      <c r="G432" s="1305"/>
      <c r="H432" s="1306"/>
      <c r="I432" s="990"/>
      <c r="J432" s="990"/>
      <c r="K432" s="991"/>
      <c r="L432" s="991"/>
      <c r="M432" s="991"/>
      <c r="N432" s="991"/>
      <c r="O432" s="991"/>
      <c r="P432" s="991"/>
      <c r="Q432" s="868"/>
      <c r="R432" s="868"/>
      <c r="S432" s="868"/>
      <c r="T432" s="868"/>
      <c r="U432" s="868"/>
      <c r="V432" s="868"/>
      <c r="W432" s="868"/>
      <c r="X432" s="868"/>
      <c r="Y432" s="868"/>
      <c r="Z432" s="868"/>
    </row>
    <row r="433" spans="1:26" ht="19.5">
      <c r="A433" s="1002"/>
      <c r="B433" s="1003"/>
      <c r="C433" s="1003"/>
      <c r="D433" s="1013" t="s">
        <v>191</v>
      </c>
      <c r="E433" s="1010"/>
      <c r="F433" s="1010"/>
      <c r="G433" s="1011"/>
      <c r="H433" s="196" t="s">
        <v>35</v>
      </c>
      <c r="I433" s="1019">
        <f ca="1">I435</f>
        <v>20</v>
      </c>
      <c r="J433" s="1019">
        <f ca="1">IF(AND(J435=I435,J437=I437,J439=I439),I437+I439,IF(AND(J435=I437,J437=I437),I437,IF(AND(J435=I439,J439=I439),I439,0)))</f>
        <v>20</v>
      </c>
      <c r="K433" s="1020">
        <f t="shared" ref="K433:K435" ca="1" si="192">IF(I433&gt;0,J433*100/I433,0)</f>
        <v>100</v>
      </c>
      <c r="L433" s="881"/>
      <c r="M433" s="881"/>
      <c r="N433" s="881"/>
      <c r="O433" s="881"/>
      <c r="P433" s="881"/>
      <c r="Q433" s="868"/>
      <c r="R433" s="868"/>
      <c r="S433" s="868"/>
      <c r="T433" s="868"/>
      <c r="U433" s="868"/>
      <c r="V433" s="868"/>
      <c r="W433" s="868"/>
      <c r="X433" s="868"/>
      <c r="Y433" s="868"/>
      <c r="Z433" s="868"/>
    </row>
    <row r="434" spans="1:26" ht="19.5">
      <c r="A434" s="1002"/>
      <c r="B434" s="1003"/>
      <c r="C434" s="1003"/>
      <c r="D434" s="1013" t="s">
        <v>192</v>
      </c>
      <c r="E434" s="1010"/>
      <c r="F434" s="1010"/>
      <c r="G434" s="1011"/>
      <c r="H434" s="196" t="s">
        <v>49</v>
      </c>
      <c r="I434" s="1019">
        <f t="shared" ref="I434:J434" ca="1" si="193">I438+I440</f>
        <v>1</v>
      </c>
      <c r="J434" s="1019">
        <f t="shared" si="193"/>
        <v>1</v>
      </c>
      <c r="K434" s="1020">
        <f t="shared" ca="1" si="192"/>
        <v>100</v>
      </c>
      <c r="L434" s="881"/>
      <c r="M434" s="881"/>
      <c r="N434" s="881"/>
      <c r="O434" s="881"/>
      <c r="P434" s="881"/>
      <c r="Q434" s="868"/>
      <c r="R434" s="868"/>
      <c r="S434" s="868"/>
      <c r="T434" s="868"/>
      <c r="U434" s="868"/>
      <c r="V434" s="868"/>
      <c r="W434" s="868"/>
      <c r="X434" s="868"/>
      <c r="Y434" s="868"/>
      <c r="Z434" s="868"/>
    </row>
    <row r="435" spans="1:26" ht="18.75">
      <c r="A435" s="1002"/>
      <c r="B435" s="1003"/>
      <c r="C435" s="1003"/>
      <c r="D435" s="1009" t="s">
        <v>193</v>
      </c>
      <c r="E435" s="1010"/>
      <c r="F435" s="1010"/>
      <c r="G435" s="1011"/>
      <c r="H435" s="622" t="s">
        <v>35</v>
      </c>
      <c r="I435" s="582">
        <f ca="1">IFERROR(__xludf.DUMMYFUNCTION("IMPORTRANGE(""https://docs.google.com/spreadsheets/d/1QqKyyYR6Q21VydFLVH3TRQUabQu_ym0Zz7PgGX0-kHA/edit?usp=sharing"",""แผน!FC81"")"),20)</f>
        <v>20</v>
      </c>
      <c r="J435" s="583">
        <v>20</v>
      </c>
      <c r="K435" s="881">
        <f t="shared" ca="1" si="192"/>
        <v>100</v>
      </c>
      <c r="L435" s="881"/>
      <c r="M435" s="881"/>
      <c r="N435" s="881"/>
      <c r="O435" s="881"/>
      <c r="P435" s="881"/>
      <c r="Q435" s="868"/>
      <c r="R435" s="868"/>
      <c r="S435" s="868"/>
      <c r="T435" s="868"/>
      <c r="U435" s="868"/>
      <c r="V435" s="868"/>
      <c r="W435" s="868"/>
      <c r="X435" s="868"/>
      <c r="Y435" s="868"/>
      <c r="Z435" s="868"/>
    </row>
    <row r="436" spans="1:26" ht="18.75">
      <c r="A436" s="1002"/>
      <c r="B436" s="1003"/>
      <c r="C436" s="1003"/>
      <c r="D436" s="1009" t="s">
        <v>194</v>
      </c>
      <c r="E436" s="1010"/>
      <c r="F436" s="1010"/>
      <c r="G436" s="1011"/>
      <c r="H436" s="622"/>
      <c r="I436" s="880"/>
      <c r="J436" s="880"/>
      <c r="K436" s="881"/>
      <c r="L436" s="881"/>
      <c r="M436" s="881"/>
      <c r="N436" s="881"/>
      <c r="O436" s="881"/>
      <c r="P436" s="881"/>
      <c r="Q436" s="868"/>
      <c r="R436" s="868"/>
      <c r="S436" s="868"/>
      <c r="T436" s="868"/>
      <c r="U436" s="868"/>
      <c r="V436" s="868"/>
      <c r="W436" s="868"/>
      <c r="X436" s="868"/>
      <c r="Y436" s="868"/>
      <c r="Z436" s="868"/>
    </row>
    <row r="437" spans="1:26" ht="18.75">
      <c r="A437" s="1002"/>
      <c r="B437" s="1003"/>
      <c r="C437" s="1003"/>
      <c r="D437" s="1009" t="s">
        <v>195</v>
      </c>
      <c r="E437" s="1010"/>
      <c r="F437" s="1010"/>
      <c r="G437" s="1011"/>
      <c r="H437" s="622" t="s">
        <v>35</v>
      </c>
      <c r="I437" s="582">
        <f ca="1">IFERROR(__xludf.DUMMYFUNCTION("IMPORTRANGE(""https://docs.google.com/spreadsheets/d/1QqKyyYR6Q21VydFLVH3TRQUabQu_ym0Zz7PgGX0-kHA/edit?usp=sharing"",""แผน!FD81"")"),0)</f>
        <v>0</v>
      </c>
      <c r="J437" s="583">
        <v>0</v>
      </c>
      <c r="K437" s="881">
        <f t="shared" ref="K437:K443" ca="1" si="194">IF(I437&gt;0,J437*100/I437,0)</f>
        <v>0</v>
      </c>
      <c r="L437" s="881"/>
      <c r="M437" s="881"/>
      <c r="N437" s="881"/>
      <c r="O437" s="881"/>
      <c r="P437" s="881"/>
      <c r="Q437" s="868"/>
      <c r="R437" s="868"/>
      <c r="S437" s="868"/>
      <c r="T437" s="868"/>
      <c r="U437" s="868"/>
      <c r="V437" s="868"/>
      <c r="W437" s="868"/>
      <c r="X437" s="868"/>
      <c r="Y437" s="868"/>
      <c r="Z437" s="868"/>
    </row>
    <row r="438" spans="1:26" ht="18.75">
      <c r="A438" s="1002"/>
      <c r="B438" s="1003"/>
      <c r="C438" s="1003"/>
      <c r="D438" s="1009" t="s">
        <v>196</v>
      </c>
      <c r="E438" s="1010"/>
      <c r="F438" s="1010"/>
      <c r="G438" s="1011"/>
      <c r="H438" s="622" t="s">
        <v>49</v>
      </c>
      <c r="I438" s="880">
        <f ca="1">IFERROR(__xludf.DUMMYFUNCTION("IMPORTRANGE(""https://docs.google.com/spreadsheets/d/1QqKyyYR6Q21VydFLVH3TRQUabQu_ym0Zz7PgGX0-kHA/edit?usp=sharing"",""แผน!FE81"")"),0)</f>
        <v>0</v>
      </c>
      <c r="J438" s="1012">
        <v>0</v>
      </c>
      <c r="K438" s="881">
        <f t="shared" ca="1" si="194"/>
        <v>0</v>
      </c>
      <c r="L438" s="881"/>
      <c r="M438" s="881"/>
      <c r="N438" s="881"/>
      <c r="O438" s="881"/>
      <c r="P438" s="881"/>
      <c r="Q438" s="868"/>
      <c r="R438" s="868"/>
      <c r="S438" s="868"/>
      <c r="T438" s="868"/>
      <c r="U438" s="868"/>
      <c r="V438" s="868"/>
      <c r="W438" s="868"/>
      <c r="X438" s="868"/>
      <c r="Y438" s="868"/>
      <c r="Z438" s="868"/>
    </row>
    <row r="439" spans="1:26" ht="18.75">
      <c r="A439" s="1002"/>
      <c r="B439" s="1003"/>
      <c r="C439" s="1003"/>
      <c r="D439" s="1009" t="s">
        <v>197</v>
      </c>
      <c r="E439" s="1010"/>
      <c r="F439" s="1010"/>
      <c r="G439" s="1011"/>
      <c r="H439" s="622" t="s">
        <v>35</v>
      </c>
      <c r="I439" s="582">
        <f ca="1">IFERROR(__xludf.DUMMYFUNCTION("IMPORTRANGE(""https://docs.google.com/spreadsheets/d/1QqKyyYR6Q21VydFLVH3TRQUabQu_ym0Zz7PgGX0-kHA/edit?usp=sharing"",""แผน!FF81"")"),20)</f>
        <v>20</v>
      </c>
      <c r="J439" s="583">
        <v>20</v>
      </c>
      <c r="K439" s="881">
        <f t="shared" ca="1" si="194"/>
        <v>100</v>
      </c>
      <c r="L439" s="881"/>
      <c r="M439" s="881"/>
      <c r="N439" s="881"/>
      <c r="O439" s="881"/>
      <c r="P439" s="881"/>
      <c r="Q439" s="868"/>
      <c r="R439" s="868"/>
      <c r="S439" s="868"/>
      <c r="T439" s="868"/>
      <c r="U439" s="868"/>
      <c r="V439" s="868"/>
      <c r="W439" s="868"/>
      <c r="X439" s="868"/>
      <c r="Y439" s="868"/>
      <c r="Z439" s="868"/>
    </row>
    <row r="440" spans="1:26" ht="18.75">
      <c r="A440" s="1002"/>
      <c r="B440" s="1003"/>
      <c r="C440" s="1003"/>
      <c r="D440" s="1009" t="s">
        <v>198</v>
      </c>
      <c r="E440" s="1010"/>
      <c r="F440" s="1010"/>
      <c r="G440" s="1011"/>
      <c r="H440" s="622" t="s">
        <v>49</v>
      </c>
      <c r="I440" s="880">
        <f ca="1">IFERROR(__xludf.DUMMYFUNCTION("IMPORTRANGE(""https://docs.google.com/spreadsheets/d/1QqKyyYR6Q21VydFLVH3TRQUabQu_ym0Zz7PgGX0-kHA/edit?usp=sharing"",""แผน!FG81"")"),1)</f>
        <v>1</v>
      </c>
      <c r="J440" s="1012">
        <v>1</v>
      </c>
      <c r="K440" s="881">
        <f t="shared" ca="1" si="194"/>
        <v>100</v>
      </c>
      <c r="L440" s="881"/>
      <c r="M440" s="881"/>
      <c r="N440" s="881"/>
      <c r="O440" s="881"/>
      <c r="P440" s="881"/>
      <c r="Q440" s="868"/>
      <c r="R440" s="868"/>
      <c r="S440" s="868"/>
      <c r="T440" s="868"/>
      <c r="U440" s="868"/>
      <c r="V440" s="868"/>
      <c r="W440" s="868"/>
      <c r="X440" s="868"/>
      <c r="Y440" s="868"/>
      <c r="Z440" s="868"/>
    </row>
    <row r="441" spans="1:26" ht="18.75">
      <c r="A441" s="1002"/>
      <c r="B441" s="1003"/>
      <c r="C441" s="1003"/>
      <c r="D441" s="1009" t="s">
        <v>199</v>
      </c>
      <c r="E441" s="1010"/>
      <c r="F441" s="1010"/>
      <c r="G441" s="1011"/>
      <c r="H441" s="622" t="s">
        <v>35</v>
      </c>
      <c r="I441" s="880">
        <f ca="1">IFERROR(__xludf.DUMMYFUNCTION("IMPORTRANGE(""https://docs.google.com/spreadsheets/d/1QqKyyYR6Q21VydFLVH3TRQUabQu_ym0Zz7PgGX0-kHA/edit?usp=sharing"",""แผน!FH81"")"),0)</f>
        <v>0</v>
      </c>
      <c r="J441" s="880">
        <v>0</v>
      </c>
      <c r="K441" s="881">
        <f t="shared" ca="1" si="194"/>
        <v>0</v>
      </c>
      <c r="L441" s="881"/>
      <c r="M441" s="881"/>
      <c r="N441" s="881"/>
      <c r="O441" s="881"/>
      <c r="P441" s="881"/>
      <c r="Q441" s="868"/>
      <c r="R441" s="868"/>
      <c r="S441" s="868"/>
      <c r="T441" s="868"/>
      <c r="U441" s="868"/>
      <c r="V441" s="868"/>
      <c r="W441" s="868"/>
      <c r="X441" s="868"/>
      <c r="Y441" s="868"/>
      <c r="Z441" s="868"/>
    </row>
    <row r="442" spans="1:26" ht="19.5">
      <c r="A442" s="584">
        <v>2</v>
      </c>
      <c r="B442" s="1307" t="s">
        <v>200</v>
      </c>
      <c r="C442" s="1308"/>
      <c r="D442" s="1308"/>
      <c r="E442" s="1308"/>
      <c r="F442" s="1308"/>
      <c r="G442" s="1309"/>
      <c r="H442" s="588" t="s">
        <v>35</v>
      </c>
      <c r="I442" s="1310">
        <f t="shared" ref="I442:J442" ca="1" si="195">I460</f>
        <v>10</v>
      </c>
      <c r="J442" s="1310">
        <f t="shared" si="195"/>
        <v>10</v>
      </c>
      <c r="K442" s="1311">
        <f t="shared" ca="1" si="194"/>
        <v>100</v>
      </c>
      <c r="L442" s="1312"/>
      <c r="M442" s="1312"/>
      <c r="N442" s="1312"/>
      <c r="O442" s="1312"/>
      <c r="P442" s="1312"/>
      <c r="Q442" s="1302"/>
      <c r="R442" s="1302"/>
      <c r="S442" s="1302"/>
      <c r="T442" s="1302"/>
      <c r="U442" s="1302"/>
      <c r="V442" s="1302"/>
      <c r="W442" s="1302"/>
      <c r="X442" s="1302"/>
      <c r="Y442" s="1302"/>
      <c r="Z442" s="1302"/>
    </row>
    <row r="443" spans="1:26" ht="19.5">
      <c r="A443" s="1313"/>
      <c r="B443" s="1314"/>
      <c r="C443" s="1315"/>
      <c r="D443" s="1315"/>
      <c r="E443" s="1315"/>
      <c r="F443" s="1315"/>
      <c r="G443" s="1316"/>
      <c r="H443" s="568" t="s">
        <v>46</v>
      </c>
      <c r="I443" s="1294">
        <f t="shared" ref="I443:J443" ca="1" si="196">I462</f>
        <v>30</v>
      </c>
      <c r="J443" s="1294">
        <f t="shared" si="196"/>
        <v>30</v>
      </c>
      <c r="K443" s="1295">
        <f t="shared" ca="1" si="194"/>
        <v>100</v>
      </c>
      <c r="L443" s="1296"/>
      <c r="M443" s="1296"/>
      <c r="N443" s="1296"/>
      <c r="O443" s="1296"/>
      <c r="P443" s="1296"/>
      <c r="Q443" s="1302"/>
      <c r="R443" s="1302"/>
      <c r="S443" s="1302"/>
      <c r="T443" s="1302"/>
      <c r="U443" s="1302"/>
      <c r="V443" s="1302"/>
      <c r="W443" s="1302"/>
      <c r="X443" s="1302"/>
      <c r="Y443" s="1302"/>
      <c r="Z443" s="1302"/>
    </row>
    <row r="444" spans="1:26" ht="19.5">
      <c r="A444" s="1317"/>
      <c r="B444" s="1301"/>
      <c r="C444" s="1301" t="s">
        <v>16</v>
      </c>
      <c r="D444" s="1318" t="s">
        <v>17</v>
      </c>
      <c r="E444" s="841"/>
      <c r="F444" s="841"/>
      <c r="G444" s="1016"/>
      <c r="H444" s="597" t="s">
        <v>12</v>
      </c>
      <c r="I444" s="880"/>
      <c r="J444" s="880"/>
      <c r="K444" s="881"/>
      <c r="L444" s="1020">
        <f t="shared" ref="L444:N444" ca="1" si="197">L445+L446</f>
        <v>77160</v>
      </c>
      <c r="M444" s="1020">
        <f t="shared" ca="1" si="197"/>
        <v>77160</v>
      </c>
      <c r="N444" s="1020">
        <f t="shared" si="197"/>
        <v>63190</v>
      </c>
      <c r="O444" s="1020">
        <f t="shared" ref="O444:O449" ca="1" si="198">IF(L444&gt;0,N444*100/L444,0)</f>
        <v>81.894764126490415</v>
      </c>
      <c r="P444" s="1020">
        <f t="shared" ref="P444:P449" ca="1" si="199">IF(M444&gt;0,N444*100/M444,0)</f>
        <v>81.894764126490415</v>
      </c>
      <c r="Q444" s="1302"/>
      <c r="R444" s="1302"/>
      <c r="S444" s="1302"/>
      <c r="T444" s="1302"/>
      <c r="U444" s="1302"/>
      <c r="V444" s="1302"/>
      <c r="W444" s="1302"/>
      <c r="X444" s="1302"/>
      <c r="Y444" s="1302"/>
      <c r="Z444" s="1302"/>
    </row>
    <row r="445" spans="1:26" ht="18.75" hidden="1">
      <c r="A445" s="1319"/>
      <c r="B445" s="1320"/>
      <c r="C445" s="1320"/>
      <c r="D445" s="1321"/>
      <c r="E445" s="1320" t="s">
        <v>185</v>
      </c>
      <c r="F445" s="1320"/>
      <c r="G445" s="1322"/>
      <c r="H445" s="165" t="s">
        <v>12</v>
      </c>
      <c r="I445" s="886"/>
      <c r="J445" s="886"/>
      <c r="K445" s="887"/>
      <c r="L445" s="887">
        <f t="shared" ref="L445:N446" si="200">L448+L455</f>
        <v>0</v>
      </c>
      <c r="M445" s="887">
        <f t="shared" si="200"/>
        <v>0</v>
      </c>
      <c r="N445" s="887">
        <f t="shared" si="200"/>
        <v>0</v>
      </c>
      <c r="O445" s="887">
        <f t="shared" si="198"/>
        <v>0</v>
      </c>
      <c r="P445" s="887">
        <f t="shared" si="199"/>
        <v>0</v>
      </c>
      <c r="Q445" s="1323"/>
      <c r="R445" s="1323"/>
      <c r="S445" s="1323"/>
      <c r="T445" s="1323"/>
      <c r="U445" s="1323"/>
      <c r="V445" s="1323"/>
      <c r="W445" s="1323"/>
      <c r="X445" s="1323"/>
      <c r="Y445" s="1323"/>
      <c r="Z445" s="1323"/>
    </row>
    <row r="446" spans="1:26" ht="18.75" hidden="1">
      <c r="A446" s="1319"/>
      <c r="B446" s="1324"/>
      <c r="C446" s="1320"/>
      <c r="D446" s="1321"/>
      <c r="E446" s="1320" t="s">
        <v>186</v>
      </c>
      <c r="F446" s="1320"/>
      <c r="G446" s="1322"/>
      <c r="H446" s="165" t="s">
        <v>12</v>
      </c>
      <c r="I446" s="886"/>
      <c r="J446" s="886"/>
      <c r="K446" s="887"/>
      <c r="L446" s="887">
        <f t="shared" ca="1" si="200"/>
        <v>77160</v>
      </c>
      <c r="M446" s="887">
        <f t="shared" ca="1" si="200"/>
        <v>77160</v>
      </c>
      <c r="N446" s="887">
        <f t="shared" si="200"/>
        <v>63190</v>
      </c>
      <c r="O446" s="887">
        <f t="shared" ca="1" si="198"/>
        <v>81.894764126490415</v>
      </c>
      <c r="P446" s="887">
        <f t="shared" ca="1" si="199"/>
        <v>81.894764126490415</v>
      </c>
      <c r="Q446" s="1323"/>
      <c r="R446" s="1323"/>
      <c r="S446" s="1323"/>
      <c r="T446" s="1323"/>
      <c r="U446" s="1323"/>
      <c r="V446" s="1323"/>
      <c r="W446" s="1323"/>
      <c r="X446" s="1323"/>
      <c r="Y446" s="1323"/>
      <c r="Z446" s="1323"/>
    </row>
    <row r="447" spans="1:26" ht="18.75">
      <c r="A447" s="1317"/>
      <c r="B447" s="1300"/>
      <c r="C447" s="1301"/>
      <c r="D447" s="1325" t="s">
        <v>20</v>
      </c>
      <c r="E447" s="1301"/>
      <c r="F447" s="1301"/>
      <c r="G447" s="1016"/>
      <c r="H447" s="161" t="s">
        <v>12</v>
      </c>
      <c r="I447" s="997"/>
      <c r="J447" s="997"/>
      <c r="K447" s="998"/>
      <c r="L447" s="881">
        <f t="shared" ref="L447:N447" ca="1" si="201">L448+L449</f>
        <v>77160</v>
      </c>
      <c r="M447" s="881">
        <f t="shared" ca="1" si="201"/>
        <v>77160</v>
      </c>
      <c r="N447" s="881">
        <f t="shared" si="201"/>
        <v>63190</v>
      </c>
      <c r="O447" s="881">
        <f t="shared" ca="1" si="198"/>
        <v>81.894764126490415</v>
      </c>
      <c r="P447" s="881">
        <f t="shared" ca="1" si="199"/>
        <v>81.894764126490415</v>
      </c>
      <c r="Q447" s="1302"/>
      <c r="R447" s="1302"/>
      <c r="S447" s="1302"/>
      <c r="T447" s="1302"/>
      <c r="U447" s="1302"/>
      <c r="V447" s="1302"/>
      <c r="W447" s="1302"/>
      <c r="X447" s="1302"/>
      <c r="Y447" s="1302"/>
      <c r="Z447" s="1302"/>
    </row>
    <row r="448" spans="1:26" ht="18.75" hidden="1">
      <c r="A448" s="1319"/>
      <c r="B448" s="1324"/>
      <c r="C448" s="1320"/>
      <c r="D448" s="1321"/>
      <c r="E448" s="1320" t="s">
        <v>185</v>
      </c>
      <c r="F448" s="1320"/>
      <c r="G448" s="1322"/>
      <c r="H448" s="165" t="s">
        <v>12</v>
      </c>
      <c r="I448" s="886"/>
      <c r="J448" s="886"/>
      <c r="K448" s="887"/>
      <c r="L448" s="887">
        <v>0</v>
      </c>
      <c r="M448" s="887">
        <v>0</v>
      </c>
      <c r="N448" s="887">
        <v>0</v>
      </c>
      <c r="O448" s="887">
        <f t="shared" si="198"/>
        <v>0</v>
      </c>
      <c r="P448" s="887">
        <f t="shared" si="199"/>
        <v>0</v>
      </c>
      <c r="Q448" s="1323"/>
      <c r="R448" s="1323"/>
      <c r="S448" s="1323"/>
      <c r="T448" s="1323"/>
      <c r="U448" s="1323"/>
      <c r="V448" s="1323"/>
      <c r="W448" s="1323"/>
      <c r="X448" s="1323"/>
      <c r="Y448" s="1323"/>
      <c r="Z448" s="1323"/>
    </row>
    <row r="449" spans="1:26" ht="18.75" hidden="1">
      <c r="A449" s="1319"/>
      <c r="B449" s="1324"/>
      <c r="C449" s="1320"/>
      <c r="D449" s="1321"/>
      <c r="E449" s="1320" t="s">
        <v>186</v>
      </c>
      <c r="F449" s="1320"/>
      <c r="G449" s="1322"/>
      <c r="H449" s="165" t="s">
        <v>12</v>
      </c>
      <c r="I449" s="886"/>
      <c r="J449" s="886"/>
      <c r="K449" s="887"/>
      <c r="L449" s="887">
        <f ca="1">IFERROR(__xludf.DUMMYFUNCTION("IMPORTRANGE(""https://docs.google.com/spreadsheets/d/1QqKyyYR6Q21VydFLVH3TRQUabQu_ym0Zz7PgGX0-kHA/edit?usp=sharing"",""แผน!FJ81"")"),77160)</f>
        <v>77160</v>
      </c>
      <c r="M449" s="887">
        <f ca="1">L449</f>
        <v>77160</v>
      </c>
      <c r="N449" s="887">
        <f>N450+N451+N452+N453</f>
        <v>63190</v>
      </c>
      <c r="O449" s="887">
        <f t="shared" ca="1" si="198"/>
        <v>81.894764126490415</v>
      </c>
      <c r="P449" s="887">
        <f t="shared" ca="1" si="199"/>
        <v>81.894764126490415</v>
      </c>
      <c r="Q449" s="1323"/>
      <c r="R449" s="1323"/>
      <c r="S449" s="1323"/>
      <c r="T449" s="1323"/>
      <c r="U449" s="1323"/>
      <c r="V449" s="1323"/>
      <c r="W449" s="1323"/>
      <c r="X449" s="1323"/>
      <c r="Y449" s="1323"/>
      <c r="Z449" s="1323"/>
    </row>
    <row r="450" spans="1:26" ht="18.75">
      <c r="A450" s="1299"/>
      <c r="B450" s="1300"/>
      <c r="C450" s="1301"/>
      <c r="D450" s="1301"/>
      <c r="E450" s="1301"/>
      <c r="F450" s="1301" t="s">
        <v>187</v>
      </c>
      <c r="G450" s="1016"/>
      <c r="H450" s="161" t="s">
        <v>12</v>
      </c>
      <c r="I450" s="880"/>
      <c r="J450" s="880"/>
      <c r="K450" s="881"/>
      <c r="L450" s="881"/>
      <c r="M450" s="881"/>
      <c r="N450" s="1085">
        <v>12880</v>
      </c>
      <c r="O450" s="881"/>
      <c r="P450" s="881"/>
      <c r="Q450" s="1302"/>
      <c r="R450" s="1302"/>
      <c r="S450" s="1302"/>
      <c r="T450" s="1302"/>
      <c r="U450" s="1302"/>
      <c r="V450" s="1302"/>
      <c r="W450" s="1302"/>
      <c r="X450" s="1302"/>
      <c r="Y450" s="1302"/>
      <c r="Z450" s="1302"/>
    </row>
    <row r="451" spans="1:26" ht="18.75">
      <c r="A451" s="1299"/>
      <c r="B451" s="1300"/>
      <c r="C451" s="1301"/>
      <c r="D451" s="1301"/>
      <c r="E451" s="1301"/>
      <c r="F451" s="1301" t="s">
        <v>188</v>
      </c>
      <c r="G451" s="1016"/>
      <c r="H451" s="161" t="s">
        <v>12</v>
      </c>
      <c r="I451" s="880"/>
      <c r="J451" s="880"/>
      <c r="K451" s="881"/>
      <c r="L451" s="881"/>
      <c r="M451" s="881"/>
      <c r="N451" s="1085">
        <v>34000</v>
      </c>
      <c r="O451" s="881"/>
      <c r="P451" s="881"/>
      <c r="Q451" s="1302"/>
      <c r="R451" s="1302"/>
      <c r="S451" s="1302"/>
      <c r="T451" s="1302"/>
      <c r="U451" s="1302"/>
      <c r="V451" s="1302"/>
      <c r="W451" s="1302"/>
      <c r="X451" s="1302"/>
      <c r="Y451" s="1302"/>
      <c r="Z451" s="1302"/>
    </row>
    <row r="452" spans="1:26" ht="18.75">
      <c r="A452" s="1299"/>
      <c r="B452" s="1300"/>
      <c r="C452" s="1300"/>
      <c r="D452" s="1300"/>
      <c r="E452" s="1300"/>
      <c r="F452" s="1301" t="s">
        <v>189</v>
      </c>
      <c r="G452" s="1016"/>
      <c r="H452" s="161" t="s">
        <v>12</v>
      </c>
      <c r="I452" s="880"/>
      <c r="J452" s="880"/>
      <c r="K452" s="881"/>
      <c r="L452" s="881"/>
      <c r="M452" s="881"/>
      <c r="N452" s="1085">
        <v>0</v>
      </c>
      <c r="O452" s="881"/>
      <c r="P452" s="881"/>
      <c r="Q452" s="1302"/>
      <c r="R452" s="1302"/>
      <c r="S452" s="1302"/>
      <c r="T452" s="1302"/>
      <c r="U452" s="1302"/>
      <c r="V452" s="1302"/>
      <c r="W452" s="1302"/>
      <c r="X452" s="1302"/>
      <c r="Y452" s="1302"/>
      <c r="Z452" s="1302"/>
    </row>
    <row r="453" spans="1:26" ht="18.75">
      <c r="A453" s="1299"/>
      <c r="B453" s="1300"/>
      <c r="C453" s="1300"/>
      <c r="D453" s="1300"/>
      <c r="E453" s="1300"/>
      <c r="F453" s="1301" t="s">
        <v>190</v>
      </c>
      <c r="G453" s="1016"/>
      <c r="H453" s="161" t="s">
        <v>12</v>
      </c>
      <c r="I453" s="880"/>
      <c r="J453" s="880"/>
      <c r="K453" s="881"/>
      <c r="L453" s="881"/>
      <c r="M453" s="881"/>
      <c r="N453" s="1085">
        <v>16310</v>
      </c>
      <c r="O453" s="881"/>
      <c r="P453" s="881"/>
      <c r="Q453" s="1302"/>
      <c r="R453" s="1302"/>
      <c r="S453" s="1302"/>
      <c r="T453" s="1302"/>
      <c r="U453" s="1302"/>
      <c r="V453" s="1302"/>
      <c r="W453" s="1302"/>
      <c r="X453" s="1302"/>
      <c r="Y453" s="1302"/>
      <c r="Z453" s="1302"/>
    </row>
    <row r="454" spans="1:26" ht="18.75">
      <c r="A454" s="1317"/>
      <c r="B454" s="1300"/>
      <c r="C454" s="1300"/>
      <c r="D454" s="1325" t="s">
        <v>21</v>
      </c>
      <c r="E454" s="1300"/>
      <c r="F454" s="1301"/>
      <c r="G454" s="1016"/>
      <c r="H454" s="168" t="s">
        <v>12</v>
      </c>
      <c r="I454" s="997"/>
      <c r="J454" s="997"/>
      <c r="K454" s="998"/>
      <c r="L454" s="881">
        <f t="shared" ref="L454:N454" ca="1" si="202">L455+L456</f>
        <v>0</v>
      </c>
      <c r="M454" s="881">
        <f t="shared" si="202"/>
        <v>0</v>
      </c>
      <c r="N454" s="881">
        <f t="shared" si="202"/>
        <v>0</v>
      </c>
      <c r="O454" s="881">
        <f t="shared" ref="O454:O456" ca="1" si="203">IF(L454&gt;0,N454*100/L454,0)</f>
        <v>0</v>
      </c>
      <c r="P454" s="881">
        <f t="shared" ref="P454:P456" si="204">IF(M454&gt;0,N454*100/M454,0)</f>
        <v>0</v>
      </c>
      <c r="Q454" s="1302"/>
      <c r="R454" s="1302"/>
      <c r="S454" s="1302"/>
      <c r="T454" s="1302"/>
      <c r="U454" s="1302"/>
      <c r="V454" s="1302"/>
      <c r="W454" s="1302"/>
      <c r="X454" s="1302"/>
      <c r="Y454" s="1302"/>
      <c r="Z454" s="1302"/>
    </row>
    <row r="455" spans="1:26" ht="18.75" hidden="1">
      <c r="A455" s="1319"/>
      <c r="B455" s="1324"/>
      <c r="C455" s="1324"/>
      <c r="D455" s="1324"/>
      <c r="E455" s="1324" t="s">
        <v>18</v>
      </c>
      <c r="F455" s="1320"/>
      <c r="G455" s="1322"/>
      <c r="H455" s="165" t="s">
        <v>12</v>
      </c>
      <c r="I455" s="1000"/>
      <c r="J455" s="1000"/>
      <c r="K455" s="1001"/>
      <c r="L455" s="887">
        <v>0</v>
      </c>
      <c r="M455" s="887">
        <v>0</v>
      </c>
      <c r="N455" s="887">
        <v>0</v>
      </c>
      <c r="O455" s="887">
        <f t="shared" si="203"/>
        <v>0</v>
      </c>
      <c r="P455" s="887">
        <f t="shared" si="204"/>
        <v>0</v>
      </c>
      <c r="Q455" s="1323"/>
      <c r="R455" s="1323"/>
      <c r="S455" s="1323"/>
      <c r="T455" s="1323"/>
      <c r="U455" s="1323"/>
      <c r="V455" s="1323"/>
      <c r="W455" s="1323"/>
      <c r="X455" s="1323"/>
      <c r="Y455" s="1323"/>
      <c r="Z455" s="1323"/>
    </row>
    <row r="456" spans="1:26" ht="18.75" hidden="1">
      <c r="A456" s="1319"/>
      <c r="B456" s="1324"/>
      <c r="C456" s="1324"/>
      <c r="D456" s="1324"/>
      <c r="E456" s="1324" t="s">
        <v>19</v>
      </c>
      <c r="F456" s="1320"/>
      <c r="G456" s="1322"/>
      <c r="H456" s="169" t="s">
        <v>12</v>
      </c>
      <c r="I456" s="1000"/>
      <c r="J456" s="1000"/>
      <c r="K456" s="1001"/>
      <c r="L456" s="887">
        <f ca="1">IFERROR(__xludf.DUMMYFUNCTION("IMPORTRANGE(""https://docs.google.com/spreadsheets/d/1QqKyyYR6Q21VydFLVH3TRQUabQu_ym0Zz7PgGX0-kHA/edit?usp=sharing"",""แผน!FM81"")"),0)</f>
        <v>0</v>
      </c>
      <c r="M456" s="887">
        <v>0</v>
      </c>
      <c r="N456" s="887">
        <v>0</v>
      </c>
      <c r="O456" s="887">
        <f t="shared" ca="1" si="203"/>
        <v>0</v>
      </c>
      <c r="P456" s="887">
        <f t="shared" si="204"/>
        <v>0</v>
      </c>
      <c r="Q456" s="1323"/>
      <c r="R456" s="1323"/>
      <c r="S456" s="1323"/>
      <c r="T456" s="1323"/>
      <c r="U456" s="1323"/>
      <c r="V456" s="1323"/>
      <c r="W456" s="1323"/>
      <c r="X456" s="1323"/>
      <c r="Y456" s="1323"/>
      <c r="Z456" s="1323"/>
    </row>
    <row r="457" spans="1:26" ht="19.5">
      <c r="A457" s="1326"/>
      <c r="B457" s="1327"/>
      <c r="C457" s="1300" t="s">
        <v>16</v>
      </c>
      <c r="D457" s="1328" t="s">
        <v>38</v>
      </c>
      <c r="E457" s="1329"/>
      <c r="F457" s="1330"/>
      <c r="G457" s="1331"/>
      <c r="H457" s="1007"/>
      <c r="I457" s="880"/>
      <c r="J457" s="880"/>
      <c r="K457" s="881"/>
      <c r="L457" s="881"/>
      <c r="M457" s="881"/>
      <c r="N457" s="881"/>
      <c r="O457" s="881"/>
      <c r="P457" s="881"/>
      <c r="Q457" s="1302"/>
      <c r="R457" s="1302"/>
      <c r="S457" s="1302"/>
      <c r="T457" s="1302"/>
      <c r="U457" s="1302"/>
      <c r="V457" s="1302"/>
      <c r="W457" s="1302"/>
      <c r="X457" s="1302"/>
      <c r="Y457" s="1302"/>
      <c r="Z457" s="1302"/>
    </row>
    <row r="458" spans="1:26" ht="18.75" hidden="1">
      <c r="A458" s="1332"/>
      <c r="B458" s="1333"/>
      <c r="C458" s="1333"/>
      <c r="D458" s="1333" t="s">
        <v>201</v>
      </c>
      <c r="E458" s="1333"/>
      <c r="F458" s="1321"/>
      <c r="G458" s="1113"/>
      <c r="H458" s="370" t="s">
        <v>35</v>
      </c>
      <c r="I458" s="886">
        <v>0</v>
      </c>
      <c r="J458" s="886">
        <v>0</v>
      </c>
      <c r="K458" s="887">
        <f>IF(I458&gt;0,J458*100/I458,0)</f>
        <v>0</v>
      </c>
      <c r="L458" s="887"/>
      <c r="M458" s="887"/>
      <c r="N458" s="887"/>
      <c r="O458" s="887"/>
      <c r="P458" s="887"/>
      <c r="Q458" s="1323"/>
      <c r="R458" s="1323"/>
      <c r="S458" s="1323"/>
      <c r="T458" s="1323"/>
      <c r="U458" s="1323"/>
      <c r="V458" s="1323"/>
      <c r="W458" s="1323"/>
      <c r="X458" s="1323"/>
      <c r="Y458" s="1323"/>
      <c r="Z458" s="1323"/>
    </row>
    <row r="459" spans="1:26" ht="18.75" hidden="1">
      <c r="A459" s="1332"/>
      <c r="B459" s="1333"/>
      <c r="C459" s="1333"/>
      <c r="D459" s="1333" t="s">
        <v>202</v>
      </c>
      <c r="E459" s="1333"/>
      <c r="F459" s="1321"/>
      <c r="G459" s="1113"/>
      <c r="H459" s="370"/>
      <c r="I459" s="886"/>
      <c r="J459" s="886"/>
      <c r="K459" s="887"/>
      <c r="L459" s="887"/>
      <c r="M459" s="887"/>
      <c r="N459" s="887"/>
      <c r="O459" s="887"/>
      <c r="P459" s="887"/>
      <c r="Q459" s="1323"/>
      <c r="R459" s="1323"/>
      <c r="S459" s="1323"/>
      <c r="T459" s="1323"/>
      <c r="U459" s="1323"/>
      <c r="V459" s="1323"/>
      <c r="W459" s="1323"/>
      <c r="X459" s="1323"/>
      <c r="Y459" s="1323"/>
      <c r="Z459" s="1323"/>
    </row>
    <row r="460" spans="1:26" ht="18.75">
      <c r="A460" s="1326"/>
      <c r="B460" s="1327"/>
      <c r="C460" s="1327"/>
      <c r="D460" s="1327" t="s">
        <v>203</v>
      </c>
      <c r="E460" s="1327"/>
      <c r="F460" s="1014"/>
      <c r="G460" s="1007"/>
      <c r="H460" s="762" t="s">
        <v>35</v>
      </c>
      <c r="I460" s="880">
        <f ca="1">IFERROR(__xludf.DUMMYFUNCTION("IMPORTRANGE(""https://docs.google.com/spreadsheets/d/1QqKyyYR6Q21VydFLVH3TRQUabQu_ym0Zz7PgGX0-kHA/edit?usp=sharing"",""แผน!FN81"")"),10)</f>
        <v>10</v>
      </c>
      <c r="J460" s="1012">
        <v>10</v>
      </c>
      <c r="K460" s="881">
        <f ca="1">IF(I460&gt;0,J460*100/I460,0)</f>
        <v>100</v>
      </c>
      <c r="L460" s="881"/>
      <c r="M460" s="881"/>
      <c r="N460" s="881"/>
      <c r="O460" s="881"/>
      <c r="P460" s="881"/>
      <c r="Q460" s="1302"/>
      <c r="R460" s="1302"/>
      <c r="S460" s="1302"/>
      <c r="T460" s="1302"/>
      <c r="U460" s="1302"/>
      <c r="V460" s="1302"/>
      <c r="W460" s="1302"/>
      <c r="X460" s="1302"/>
      <c r="Y460" s="1302"/>
      <c r="Z460" s="1302"/>
    </row>
    <row r="461" spans="1:26" ht="18.75">
      <c r="A461" s="1326"/>
      <c r="B461" s="1327"/>
      <c r="C461" s="1327"/>
      <c r="D461" s="1327" t="s">
        <v>204</v>
      </c>
      <c r="E461" s="1014"/>
      <c r="F461" s="1014"/>
      <c r="G461" s="1007"/>
      <c r="H461" s="762"/>
      <c r="I461" s="880"/>
      <c r="J461" s="880"/>
      <c r="K461" s="881"/>
      <c r="L461" s="881"/>
      <c r="M461" s="881"/>
      <c r="N461" s="881"/>
      <c r="O461" s="881"/>
      <c r="P461" s="881"/>
      <c r="Q461" s="1302"/>
      <c r="R461" s="1302"/>
      <c r="S461" s="1302"/>
      <c r="T461" s="1302"/>
      <c r="U461" s="1302"/>
      <c r="V461" s="1302"/>
      <c r="W461" s="1302"/>
      <c r="X461" s="1302"/>
      <c r="Y461" s="1302"/>
      <c r="Z461" s="1302"/>
    </row>
    <row r="462" spans="1:26" ht="18.75">
      <c r="A462" s="1326"/>
      <c r="B462" s="1327"/>
      <c r="C462" s="1327"/>
      <c r="D462" s="1327" t="s">
        <v>205</v>
      </c>
      <c r="E462" s="1014"/>
      <c r="F462" s="1014"/>
      <c r="G462" s="1007"/>
      <c r="H462" s="762" t="s">
        <v>46</v>
      </c>
      <c r="I462" s="880">
        <f ca="1">IFERROR(__xludf.DUMMYFUNCTION("IMPORTRANGE(""https://docs.google.com/spreadsheets/d/1QqKyyYR6Q21VydFLVH3TRQUabQu_ym0Zz7PgGX0-kHA/edit?usp=sharing"",""แผน!FO81"")"),30)</f>
        <v>30</v>
      </c>
      <c r="J462" s="1012">
        <v>30</v>
      </c>
      <c r="K462" s="881">
        <f ca="1">IF(I462&gt;0,J462*100/I462,0)</f>
        <v>100</v>
      </c>
      <c r="L462" s="881"/>
      <c r="M462" s="881"/>
      <c r="N462" s="881"/>
      <c r="O462" s="881"/>
      <c r="P462" s="881"/>
      <c r="Q462" s="1302"/>
      <c r="R462" s="1302"/>
      <c r="S462" s="1302"/>
      <c r="T462" s="1302"/>
      <c r="U462" s="1302"/>
      <c r="V462" s="1302"/>
      <c r="W462" s="1302"/>
      <c r="X462" s="1302"/>
      <c r="Y462" s="1302"/>
      <c r="Z462" s="1302"/>
    </row>
    <row r="463" spans="1:26" ht="18.75">
      <c r="A463" s="1326"/>
      <c r="B463" s="1327"/>
      <c r="C463" s="1327"/>
      <c r="D463" s="1327" t="s">
        <v>59</v>
      </c>
      <c r="E463" s="1014"/>
      <c r="F463" s="1301"/>
      <c r="G463" s="1016"/>
      <c r="H463" s="762" t="s">
        <v>46</v>
      </c>
      <c r="I463" s="880">
        <f ca="1">IFERROR(__xludf.DUMMYFUNCTION("IMPORTRANGE(""https://docs.google.com/spreadsheets/d/1QqKyyYR6Q21VydFLVH3TRQUabQu_ym0Zz7PgGX0-kHA/edit?usp=sharing"",""แผน!FO81"")"),30)</f>
        <v>30</v>
      </c>
      <c r="J463" s="1012">
        <v>30</v>
      </c>
      <c r="K463" s="881"/>
      <c r="L463" s="881"/>
      <c r="M463" s="881"/>
      <c r="N463" s="881"/>
      <c r="O463" s="881"/>
      <c r="P463" s="881"/>
      <c r="Q463" s="1302"/>
      <c r="R463" s="1302"/>
      <c r="S463" s="1302"/>
      <c r="T463" s="1302"/>
      <c r="U463" s="1302"/>
      <c r="V463" s="1302"/>
      <c r="W463" s="1302"/>
      <c r="X463" s="1302"/>
      <c r="Y463" s="1302"/>
      <c r="Z463" s="1302"/>
    </row>
    <row r="464" spans="1:26" ht="19.5">
      <c r="A464" s="1326"/>
      <c r="B464" s="1327"/>
      <c r="C464" s="1327"/>
      <c r="D464" s="1327"/>
      <c r="E464" s="1014"/>
      <c r="F464" s="1014"/>
      <c r="G464" s="1334"/>
      <c r="H464" s="762" t="s">
        <v>35</v>
      </c>
      <c r="I464" s="880">
        <f ca="1">IFERROR(__xludf.DUMMYFUNCTION("IMPORTRANGE(""https://docs.google.com/spreadsheets/d/1QqKyyYR6Q21VydFLVH3TRQUabQu_ym0Zz7PgGX0-kHA/edit?usp=sharing"",""แผน!FN81"")"),10)</f>
        <v>10</v>
      </c>
      <c r="J464" s="1012">
        <v>10</v>
      </c>
      <c r="K464" s="881"/>
      <c r="L464" s="881"/>
      <c r="M464" s="881"/>
      <c r="N464" s="881"/>
      <c r="O464" s="881"/>
      <c r="P464" s="881"/>
      <c r="Q464" s="1302"/>
      <c r="R464" s="1302"/>
      <c r="S464" s="1302"/>
      <c r="T464" s="1302"/>
      <c r="U464" s="1302"/>
      <c r="V464" s="1302"/>
      <c r="W464" s="1302"/>
      <c r="X464" s="1302"/>
      <c r="Y464" s="1302"/>
      <c r="Z464" s="1302"/>
    </row>
    <row r="465" spans="1:26" ht="19.5">
      <c r="A465" s="584">
        <v>3</v>
      </c>
      <c r="B465" s="1307" t="s">
        <v>206</v>
      </c>
      <c r="C465" s="1308"/>
      <c r="D465" s="1308"/>
      <c r="E465" s="1308"/>
      <c r="F465" s="1308"/>
      <c r="G465" s="1309"/>
      <c r="H465" s="588" t="s">
        <v>35</v>
      </c>
      <c r="I465" s="1310">
        <f ca="1">IFERROR(__xludf.DUMMYFUNCTION("IMPORTRANGE(""https://docs.google.com/spreadsheets/d/1QqKyyYR6Q21VydFLVH3TRQUabQu_ym0Zz7PgGX0-kHA/edit?usp=sharing"",""แผน!FX81"")"),41)</f>
        <v>41</v>
      </c>
      <c r="J465" s="1310">
        <f>J485+J489+J492</f>
        <v>41</v>
      </c>
      <c r="K465" s="1311">
        <f t="shared" ref="K465:K466" ca="1" si="205">IF(I465&gt;0,J465*100/I465,0)</f>
        <v>100</v>
      </c>
      <c r="L465" s="1312"/>
      <c r="M465" s="1312"/>
      <c r="N465" s="1312"/>
      <c r="O465" s="1312"/>
      <c r="P465" s="1312"/>
      <c r="Q465" s="1302"/>
      <c r="R465" s="1302"/>
      <c r="S465" s="1302"/>
      <c r="T465" s="1302"/>
      <c r="U465" s="1302"/>
      <c r="V465" s="1302"/>
      <c r="W465" s="1302"/>
      <c r="X465" s="1302"/>
      <c r="Y465" s="1302"/>
      <c r="Z465" s="1302"/>
    </row>
    <row r="466" spans="1:26" ht="19.5">
      <c r="A466" s="1313"/>
      <c r="B466" s="1314"/>
      <c r="C466" s="1315"/>
      <c r="D466" s="1315"/>
      <c r="E466" s="1315"/>
      <c r="F466" s="1315"/>
      <c r="G466" s="1316"/>
      <c r="H466" s="568" t="s">
        <v>46</v>
      </c>
      <c r="I466" s="1294">
        <f ca="1">IFERROR(__xludf.DUMMYFUNCTION("IMPORTRANGE(""https://docs.google.com/spreadsheets/d/1QqKyyYR6Q21VydFLVH3TRQUabQu_ym0Zz7PgGX0-kHA/edit?usp=sharing"",""แผน!FW81"")"),400)</f>
        <v>400</v>
      </c>
      <c r="J466" s="1294">
        <f>J495+J498</f>
        <v>400</v>
      </c>
      <c r="K466" s="1295">
        <f t="shared" ca="1" si="205"/>
        <v>100</v>
      </c>
      <c r="L466" s="1296"/>
      <c r="M466" s="1296"/>
      <c r="N466" s="1296"/>
      <c r="O466" s="1296"/>
      <c r="P466" s="1296"/>
      <c r="Q466" s="1302"/>
      <c r="R466" s="1302"/>
      <c r="S466" s="1302"/>
      <c r="T466" s="1302"/>
      <c r="U466" s="1302"/>
      <c r="V466" s="1302"/>
      <c r="W466" s="1302"/>
      <c r="X466" s="1302"/>
      <c r="Y466" s="1302"/>
      <c r="Z466" s="1302"/>
    </row>
    <row r="467" spans="1:26" ht="19.5">
      <c r="A467" s="1317"/>
      <c r="B467" s="1301"/>
      <c r="C467" s="1301" t="s">
        <v>16</v>
      </c>
      <c r="D467" s="1318" t="s">
        <v>17</v>
      </c>
      <c r="E467" s="841"/>
      <c r="F467" s="841"/>
      <c r="G467" s="1016"/>
      <c r="H467" s="597" t="s">
        <v>12</v>
      </c>
      <c r="I467" s="880"/>
      <c r="J467" s="880"/>
      <c r="K467" s="881"/>
      <c r="L467" s="1020">
        <f t="shared" ref="L467:N467" ca="1" si="206">L468+L469</f>
        <v>340483</v>
      </c>
      <c r="M467" s="1020">
        <f t="shared" ca="1" si="206"/>
        <v>340483</v>
      </c>
      <c r="N467" s="1020">
        <f t="shared" si="206"/>
        <v>330870</v>
      </c>
      <c r="O467" s="1020">
        <f t="shared" ref="O467:O472" ca="1" si="207">IF(L467&gt;0,N467*100/L467,0)</f>
        <v>97.176657865444085</v>
      </c>
      <c r="P467" s="1020">
        <f t="shared" ref="P467:P472" ca="1" si="208">IF(M467&gt;0,N467*100/M467,0)</f>
        <v>97.176657865444085</v>
      </c>
      <c r="Q467" s="1302"/>
      <c r="R467" s="1302"/>
      <c r="S467" s="1302"/>
      <c r="T467" s="1302"/>
      <c r="U467" s="1302"/>
      <c r="V467" s="1302"/>
      <c r="W467" s="1302"/>
      <c r="X467" s="1302"/>
      <c r="Y467" s="1302"/>
      <c r="Z467" s="1302"/>
    </row>
    <row r="468" spans="1:26" ht="18.75" hidden="1">
      <c r="A468" s="1319"/>
      <c r="B468" s="1320"/>
      <c r="C468" s="1320"/>
      <c r="D468" s="1321"/>
      <c r="E468" s="1320" t="s">
        <v>185</v>
      </c>
      <c r="F468" s="1320"/>
      <c r="G468" s="1322"/>
      <c r="H468" s="165" t="s">
        <v>12</v>
      </c>
      <c r="I468" s="886"/>
      <c r="J468" s="886"/>
      <c r="K468" s="887"/>
      <c r="L468" s="887">
        <f t="shared" ref="L468:N469" si="209">L471+L478</f>
        <v>0</v>
      </c>
      <c r="M468" s="887">
        <f t="shared" si="209"/>
        <v>0</v>
      </c>
      <c r="N468" s="887">
        <f t="shared" si="209"/>
        <v>0</v>
      </c>
      <c r="O468" s="887">
        <f t="shared" si="207"/>
        <v>0</v>
      </c>
      <c r="P468" s="887">
        <f t="shared" si="208"/>
        <v>0</v>
      </c>
      <c r="Q468" s="1323"/>
      <c r="R468" s="1323"/>
      <c r="S468" s="1323"/>
      <c r="T468" s="1323"/>
      <c r="U468" s="1323"/>
      <c r="V468" s="1323"/>
      <c r="W468" s="1323"/>
      <c r="X468" s="1323"/>
      <c r="Y468" s="1323"/>
      <c r="Z468" s="1323"/>
    </row>
    <row r="469" spans="1:26" ht="18.75" hidden="1">
      <c r="A469" s="1319"/>
      <c r="B469" s="1324"/>
      <c r="C469" s="1320"/>
      <c r="D469" s="1321"/>
      <c r="E469" s="1320" t="s">
        <v>186</v>
      </c>
      <c r="F469" s="1320"/>
      <c r="G469" s="1322"/>
      <c r="H469" s="165" t="s">
        <v>12</v>
      </c>
      <c r="I469" s="886"/>
      <c r="J469" s="886"/>
      <c r="K469" s="887"/>
      <c r="L469" s="887">
        <f t="shared" ca="1" si="209"/>
        <v>340483</v>
      </c>
      <c r="M469" s="887">
        <f t="shared" ca="1" si="209"/>
        <v>340483</v>
      </c>
      <c r="N469" s="887">
        <f t="shared" si="209"/>
        <v>330870</v>
      </c>
      <c r="O469" s="887">
        <f t="shared" ca="1" si="207"/>
        <v>97.176657865444085</v>
      </c>
      <c r="P469" s="887">
        <f t="shared" ca="1" si="208"/>
        <v>97.176657865444085</v>
      </c>
      <c r="Q469" s="1323"/>
      <c r="R469" s="1323"/>
      <c r="S469" s="1323"/>
      <c r="T469" s="1323"/>
      <c r="U469" s="1323"/>
      <c r="V469" s="1323"/>
      <c r="W469" s="1323"/>
      <c r="X469" s="1323"/>
      <c r="Y469" s="1323"/>
      <c r="Z469" s="1323"/>
    </row>
    <row r="470" spans="1:26" ht="18.75">
      <c r="A470" s="1317"/>
      <c r="B470" s="1300"/>
      <c r="C470" s="1301"/>
      <c r="D470" s="1325" t="s">
        <v>20</v>
      </c>
      <c r="E470" s="1301"/>
      <c r="F470" s="1301"/>
      <c r="G470" s="1016"/>
      <c r="H470" s="161" t="s">
        <v>12</v>
      </c>
      <c r="I470" s="997"/>
      <c r="J470" s="997"/>
      <c r="K470" s="998"/>
      <c r="L470" s="881">
        <f t="shared" ref="L470:N470" ca="1" si="210">L471+L472</f>
        <v>340483</v>
      </c>
      <c r="M470" s="881">
        <f t="shared" ca="1" si="210"/>
        <v>340483</v>
      </c>
      <c r="N470" s="881">
        <f t="shared" si="210"/>
        <v>330870</v>
      </c>
      <c r="O470" s="881">
        <f t="shared" ca="1" si="207"/>
        <v>97.176657865444085</v>
      </c>
      <c r="P470" s="881">
        <f t="shared" ca="1" si="208"/>
        <v>97.176657865444085</v>
      </c>
      <c r="Q470" s="1302"/>
      <c r="R470" s="1302"/>
      <c r="S470" s="1302"/>
      <c r="T470" s="1302"/>
      <c r="U470" s="1302"/>
      <c r="V470" s="1302"/>
      <c r="W470" s="1302"/>
      <c r="X470" s="1302"/>
      <c r="Y470" s="1302"/>
      <c r="Z470" s="1302"/>
    </row>
    <row r="471" spans="1:26" ht="18.75" hidden="1">
      <c r="A471" s="1319"/>
      <c r="B471" s="1324"/>
      <c r="C471" s="1320"/>
      <c r="D471" s="1321"/>
      <c r="E471" s="1320" t="s">
        <v>185</v>
      </c>
      <c r="F471" s="1320"/>
      <c r="G471" s="1322"/>
      <c r="H471" s="165" t="s">
        <v>12</v>
      </c>
      <c r="I471" s="886"/>
      <c r="J471" s="886"/>
      <c r="K471" s="887"/>
      <c r="L471" s="887">
        <v>0</v>
      </c>
      <c r="M471" s="887">
        <v>0</v>
      </c>
      <c r="N471" s="887">
        <v>0</v>
      </c>
      <c r="O471" s="887">
        <f t="shared" si="207"/>
        <v>0</v>
      </c>
      <c r="P471" s="887">
        <f t="shared" si="208"/>
        <v>0</v>
      </c>
      <c r="Q471" s="1323"/>
      <c r="R471" s="1323"/>
      <c r="S471" s="1323"/>
      <c r="T471" s="1323"/>
      <c r="U471" s="1323"/>
      <c r="V471" s="1323"/>
      <c r="W471" s="1323"/>
      <c r="X471" s="1323"/>
      <c r="Y471" s="1323"/>
      <c r="Z471" s="1323"/>
    </row>
    <row r="472" spans="1:26" ht="18.75" hidden="1">
      <c r="A472" s="1319"/>
      <c r="B472" s="1324"/>
      <c r="C472" s="1320"/>
      <c r="D472" s="1321"/>
      <c r="E472" s="1320" t="s">
        <v>186</v>
      </c>
      <c r="F472" s="1320"/>
      <c r="G472" s="1322"/>
      <c r="H472" s="165" t="s">
        <v>12</v>
      </c>
      <c r="I472" s="886"/>
      <c r="J472" s="886"/>
      <c r="K472" s="887"/>
      <c r="L472" s="887">
        <f ca="1">IFERROR(__xludf.DUMMYFUNCTION("IMPORTRANGE(""https://docs.google.com/spreadsheets/d/1QqKyyYR6Q21VydFLVH3TRQUabQu_ym0Zz7PgGX0-kHA/edit?usp=sharing"",""แผน!FS81"")"),340483)</f>
        <v>340483</v>
      </c>
      <c r="M472" s="887">
        <f ca="1">L472</f>
        <v>340483</v>
      </c>
      <c r="N472" s="887">
        <f>N473+N474+N475+N476</f>
        <v>330870</v>
      </c>
      <c r="O472" s="887">
        <f t="shared" ca="1" si="207"/>
        <v>97.176657865444085</v>
      </c>
      <c r="P472" s="887">
        <f t="shared" ca="1" si="208"/>
        <v>97.176657865444085</v>
      </c>
      <c r="Q472" s="1323"/>
      <c r="R472" s="1323"/>
      <c r="S472" s="1323"/>
      <c r="T472" s="1323"/>
      <c r="U472" s="1323"/>
      <c r="V472" s="1323"/>
      <c r="W472" s="1323"/>
      <c r="X472" s="1323"/>
      <c r="Y472" s="1323"/>
      <c r="Z472" s="1323"/>
    </row>
    <row r="473" spans="1:26" ht="18.75">
      <c r="A473" s="1299"/>
      <c r="B473" s="1300"/>
      <c r="C473" s="1301"/>
      <c r="D473" s="1301"/>
      <c r="E473" s="1301"/>
      <c r="F473" s="1301" t="s">
        <v>187</v>
      </c>
      <c r="G473" s="1016"/>
      <c r="H473" s="161" t="s">
        <v>12</v>
      </c>
      <c r="I473" s="880"/>
      <c r="J473" s="880"/>
      <c r="K473" s="881"/>
      <c r="L473" s="881"/>
      <c r="M473" s="881"/>
      <c r="N473" s="1085">
        <v>46503</v>
      </c>
      <c r="O473" s="881"/>
      <c r="P473" s="881"/>
      <c r="Q473" s="1302"/>
      <c r="R473" s="1302"/>
      <c r="S473" s="1302"/>
      <c r="T473" s="1302"/>
      <c r="U473" s="1302"/>
      <c r="V473" s="1302"/>
      <c r="W473" s="1302"/>
      <c r="X473" s="1302"/>
      <c r="Y473" s="1302"/>
      <c r="Z473" s="1302"/>
    </row>
    <row r="474" spans="1:26" ht="18.75">
      <c r="A474" s="1299"/>
      <c r="B474" s="1300"/>
      <c r="C474" s="1301"/>
      <c r="D474" s="1301"/>
      <c r="E474" s="1301"/>
      <c r="F474" s="1301" t="s">
        <v>188</v>
      </c>
      <c r="G474" s="1016"/>
      <c r="H474" s="161" t="s">
        <v>12</v>
      </c>
      <c r="I474" s="880"/>
      <c r="J474" s="880"/>
      <c r="K474" s="881"/>
      <c r="L474" s="881"/>
      <c r="M474" s="881"/>
      <c r="N474" s="1085">
        <v>248000</v>
      </c>
      <c r="O474" s="881"/>
      <c r="P474" s="881"/>
      <c r="Q474" s="1302"/>
      <c r="R474" s="1302"/>
      <c r="S474" s="1302"/>
      <c r="T474" s="1302"/>
      <c r="U474" s="1302"/>
      <c r="V474" s="1302"/>
      <c r="W474" s="1302"/>
      <c r="X474" s="1302"/>
      <c r="Y474" s="1302"/>
      <c r="Z474" s="1302"/>
    </row>
    <row r="475" spans="1:26" ht="18.75">
      <c r="A475" s="1299"/>
      <c r="B475" s="1300"/>
      <c r="C475" s="1300"/>
      <c r="D475" s="1300"/>
      <c r="E475" s="1300"/>
      <c r="F475" s="1301" t="s">
        <v>189</v>
      </c>
      <c r="G475" s="1016"/>
      <c r="H475" s="161" t="s">
        <v>12</v>
      </c>
      <c r="I475" s="880"/>
      <c r="J475" s="880"/>
      <c r="K475" s="881"/>
      <c r="L475" s="881"/>
      <c r="M475" s="881"/>
      <c r="N475" s="1085">
        <v>0</v>
      </c>
      <c r="O475" s="881"/>
      <c r="P475" s="881"/>
      <c r="Q475" s="1302"/>
      <c r="R475" s="1302"/>
      <c r="S475" s="1302"/>
      <c r="T475" s="1302"/>
      <c r="U475" s="1302"/>
      <c r="V475" s="1302"/>
      <c r="W475" s="1302"/>
      <c r="X475" s="1302"/>
      <c r="Y475" s="1302"/>
      <c r="Z475" s="1302"/>
    </row>
    <row r="476" spans="1:26" ht="18.75">
      <c r="A476" s="1299"/>
      <c r="B476" s="1300"/>
      <c r="C476" s="1300"/>
      <c r="D476" s="1300"/>
      <c r="E476" s="1300"/>
      <c r="F476" s="1301" t="s">
        <v>190</v>
      </c>
      <c r="G476" s="1016"/>
      <c r="H476" s="161" t="s">
        <v>12</v>
      </c>
      <c r="I476" s="880"/>
      <c r="J476" s="880"/>
      <c r="K476" s="881"/>
      <c r="L476" s="881"/>
      <c r="M476" s="881"/>
      <c r="N476" s="1085">
        <v>36367</v>
      </c>
      <c r="O476" s="881"/>
      <c r="P476" s="881"/>
      <c r="Q476" s="1302"/>
      <c r="R476" s="1302"/>
      <c r="S476" s="1302"/>
      <c r="T476" s="1302"/>
      <c r="U476" s="1302"/>
      <c r="V476" s="1302"/>
      <c r="W476" s="1302"/>
      <c r="X476" s="1302"/>
      <c r="Y476" s="1302"/>
      <c r="Z476" s="1302"/>
    </row>
    <row r="477" spans="1:26" ht="18.75">
      <c r="A477" s="1317"/>
      <c r="B477" s="1300"/>
      <c r="C477" s="1300"/>
      <c r="D477" s="1325" t="s">
        <v>21</v>
      </c>
      <c r="E477" s="1300"/>
      <c r="F477" s="1300"/>
      <c r="G477" s="1016"/>
      <c r="H477" s="168" t="s">
        <v>12</v>
      </c>
      <c r="I477" s="997"/>
      <c r="J477" s="997"/>
      <c r="K477" s="998"/>
      <c r="L477" s="881">
        <f t="shared" ref="L477:N477" ca="1" si="211">L478+L479</f>
        <v>0</v>
      </c>
      <c r="M477" s="881">
        <f t="shared" si="211"/>
        <v>0</v>
      </c>
      <c r="N477" s="881">
        <f t="shared" si="211"/>
        <v>0</v>
      </c>
      <c r="O477" s="881">
        <f t="shared" ref="O477:O479" ca="1" si="212">IF(L477&gt;0,N477*100/L477,0)</f>
        <v>0</v>
      </c>
      <c r="P477" s="881">
        <f t="shared" ref="P477:P479" si="213">IF(M477&gt;0,N477*100/M477,0)</f>
        <v>0</v>
      </c>
      <c r="Q477" s="1302"/>
      <c r="R477" s="1302"/>
      <c r="S477" s="1302"/>
      <c r="T477" s="1302"/>
      <c r="U477" s="1302"/>
      <c r="V477" s="1302"/>
      <c r="W477" s="1302"/>
      <c r="X477" s="1302"/>
      <c r="Y477" s="1302"/>
      <c r="Z477" s="1302"/>
    </row>
    <row r="478" spans="1:26" ht="18.75" hidden="1">
      <c r="A478" s="1319"/>
      <c r="B478" s="1324"/>
      <c r="C478" s="1324"/>
      <c r="D478" s="1324"/>
      <c r="E478" s="1324" t="s">
        <v>18</v>
      </c>
      <c r="F478" s="1324"/>
      <c r="G478" s="1322"/>
      <c r="H478" s="165" t="s">
        <v>12</v>
      </c>
      <c r="I478" s="1000"/>
      <c r="J478" s="1000"/>
      <c r="K478" s="1001"/>
      <c r="L478" s="887">
        <v>0</v>
      </c>
      <c r="M478" s="887">
        <v>0</v>
      </c>
      <c r="N478" s="887">
        <v>0</v>
      </c>
      <c r="O478" s="887">
        <f t="shared" si="212"/>
        <v>0</v>
      </c>
      <c r="P478" s="887">
        <f t="shared" si="213"/>
        <v>0</v>
      </c>
      <c r="Q478" s="1323"/>
      <c r="R478" s="1323"/>
      <c r="S478" s="1323"/>
      <c r="T478" s="1323"/>
      <c r="U478" s="1323"/>
      <c r="V478" s="1323"/>
      <c r="W478" s="1323"/>
      <c r="X478" s="1323"/>
      <c r="Y478" s="1323"/>
      <c r="Z478" s="1323"/>
    </row>
    <row r="479" spans="1:26" ht="18.75" hidden="1">
      <c r="A479" s="1319"/>
      <c r="B479" s="1324"/>
      <c r="C479" s="1324"/>
      <c r="D479" s="1324"/>
      <c r="E479" s="1324" t="s">
        <v>19</v>
      </c>
      <c r="F479" s="1324"/>
      <c r="G479" s="1322"/>
      <c r="H479" s="169" t="s">
        <v>12</v>
      </c>
      <c r="I479" s="1000"/>
      <c r="J479" s="1000"/>
      <c r="K479" s="1001"/>
      <c r="L479" s="887">
        <f ca="1">IFERROR(__xludf.DUMMYFUNCTION("IMPORTRANGE(""https://docs.google.com/spreadsheets/d/1QqKyyYR6Q21VydFLVH3TRQUabQu_ym0Zz7PgGX0-kHA/edit?usp=sharing"",""แผน!FV81"")"),0)</f>
        <v>0</v>
      </c>
      <c r="M479" s="887">
        <v>0</v>
      </c>
      <c r="N479" s="887">
        <v>0</v>
      </c>
      <c r="O479" s="887">
        <f t="shared" ca="1" si="212"/>
        <v>0</v>
      </c>
      <c r="P479" s="887">
        <f t="shared" si="213"/>
        <v>0</v>
      </c>
      <c r="Q479" s="1323"/>
      <c r="R479" s="1323"/>
      <c r="S479" s="1323"/>
      <c r="T479" s="1323"/>
      <c r="U479" s="1323"/>
      <c r="V479" s="1323"/>
      <c r="W479" s="1323"/>
      <c r="X479" s="1323"/>
      <c r="Y479" s="1323"/>
      <c r="Z479" s="1323"/>
    </row>
    <row r="480" spans="1:26" ht="19.5">
      <c r="A480" s="1326"/>
      <c r="B480" s="1327"/>
      <c r="C480" s="1300" t="s">
        <v>16</v>
      </c>
      <c r="D480" s="1335" t="s">
        <v>38</v>
      </c>
      <c r="E480" s="1329"/>
      <c r="F480" s="1330"/>
      <c r="G480" s="1331"/>
      <c r="H480" s="1007"/>
      <c r="I480" s="880"/>
      <c r="J480" s="880"/>
      <c r="K480" s="881"/>
      <c r="L480" s="881"/>
      <c r="M480" s="881"/>
      <c r="N480" s="881"/>
      <c r="O480" s="881"/>
      <c r="P480" s="881"/>
      <c r="Q480" s="1302"/>
      <c r="R480" s="1302"/>
      <c r="S480" s="1302"/>
      <c r="T480" s="1302"/>
      <c r="U480" s="1302"/>
      <c r="V480" s="1302"/>
      <c r="W480" s="1302"/>
      <c r="X480" s="1302"/>
      <c r="Y480" s="1302"/>
      <c r="Z480" s="1302"/>
    </row>
    <row r="481" spans="1:26" ht="19.5">
      <c r="A481" s="1326"/>
      <c r="B481" s="1327"/>
      <c r="C481" s="1327"/>
      <c r="D481" s="1336" t="s">
        <v>207</v>
      </c>
      <c r="E481" s="1327"/>
      <c r="F481" s="1327"/>
      <c r="G481" s="1007"/>
      <c r="H481" s="1016"/>
      <c r="I481" s="880"/>
      <c r="J481" s="880"/>
      <c r="K481" s="881"/>
      <c r="L481" s="881"/>
      <c r="M481" s="881"/>
      <c r="N481" s="881"/>
      <c r="O481" s="881"/>
      <c r="P481" s="881"/>
      <c r="Q481" s="1302"/>
      <c r="R481" s="1302"/>
      <c r="S481" s="1302"/>
      <c r="T481" s="1302"/>
      <c r="U481" s="1302"/>
      <c r="V481" s="1302"/>
      <c r="W481" s="1302"/>
      <c r="X481" s="1302"/>
      <c r="Y481" s="1302"/>
      <c r="Z481" s="1302"/>
    </row>
    <row r="482" spans="1:26" ht="18.75">
      <c r="A482" s="1326"/>
      <c r="B482" s="1327"/>
      <c r="C482" s="1327"/>
      <c r="D482" s="1327"/>
      <c r="E482" s="1327" t="s">
        <v>208</v>
      </c>
      <c r="F482" s="1327"/>
      <c r="G482" s="1007"/>
      <c r="H482" s="1016"/>
      <c r="I482" s="880"/>
      <c r="J482" s="880"/>
      <c r="K482" s="881"/>
      <c r="L482" s="881"/>
      <c r="M482" s="881"/>
      <c r="N482" s="881"/>
      <c r="O482" s="881"/>
      <c r="P482" s="881"/>
      <c r="Q482" s="1302"/>
      <c r="R482" s="1302"/>
      <c r="S482" s="1302"/>
      <c r="T482" s="1302"/>
      <c r="U482" s="1302"/>
      <c r="V482" s="1302"/>
      <c r="W482" s="1302"/>
      <c r="X482" s="1302"/>
      <c r="Y482" s="1302"/>
      <c r="Z482" s="1302"/>
    </row>
    <row r="483" spans="1:26" ht="18.75">
      <c r="A483" s="1326"/>
      <c r="B483" s="1327"/>
      <c r="C483" s="1327"/>
      <c r="D483" s="1327"/>
      <c r="E483" s="1327"/>
      <c r="F483" s="1327" t="s">
        <v>209</v>
      </c>
      <c r="G483" s="1007"/>
      <c r="H483" s="622" t="s">
        <v>46</v>
      </c>
      <c r="I483" s="880">
        <f ca="1">IFERROR(__xludf.DUMMYFUNCTION("IMPORTRANGE(""https://docs.google.com/spreadsheets/d/1QqKyyYR6Q21VydFLVH3TRQUabQu_ym0Zz7PgGX0-kHA/edit?usp=sharing"",""แผน!FY81"")"),360)</f>
        <v>360</v>
      </c>
      <c r="J483" s="1012">
        <v>0</v>
      </c>
      <c r="K483" s="881">
        <f ca="1">IF(I483&gt;0,J483*100/I483,0)</f>
        <v>0</v>
      </c>
      <c r="L483" s="881"/>
      <c r="M483" s="881"/>
      <c r="N483" s="881"/>
      <c r="O483" s="881"/>
      <c r="P483" s="881"/>
      <c r="Q483" s="1302"/>
      <c r="R483" s="1302"/>
      <c r="S483" s="1302"/>
      <c r="T483" s="1302"/>
      <c r="U483" s="1302"/>
      <c r="V483" s="1302"/>
      <c r="W483" s="1302"/>
      <c r="X483" s="1302"/>
      <c r="Y483" s="1302"/>
      <c r="Z483" s="1302"/>
    </row>
    <row r="484" spans="1:26" ht="18.75">
      <c r="A484" s="1326"/>
      <c r="B484" s="1327"/>
      <c r="C484" s="1327"/>
      <c r="D484" s="1327"/>
      <c r="E484" s="1327"/>
      <c r="F484" s="1327" t="s">
        <v>210</v>
      </c>
      <c r="G484" s="1007"/>
      <c r="H484" s="622" t="s">
        <v>35</v>
      </c>
      <c r="I484" s="880"/>
      <c r="J484" s="1012">
        <v>0</v>
      </c>
      <c r="K484" s="881"/>
      <c r="L484" s="881"/>
      <c r="M484" s="881"/>
      <c r="N484" s="881"/>
      <c r="O484" s="881"/>
      <c r="P484" s="881"/>
      <c r="Q484" s="1302"/>
      <c r="R484" s="1302"/>
      <c r="S484" s="1302"/>
      <c r="T484" s="1302"/>
      <c r="U484" s="1302"/>
      <c r="V484" s="1302"/>
      <c r="W484" s="1302"/>
      <c r="X484" s="1302"/>
      <c r="Y484" s="1302"/>
      <c r="Z484" s="1302"/>
    </row>
    <row r="485" spans="1:26" ht="18.75">
      <c r="A485" s="1326"/>
      <c r="B485" s="1327"/>
      <c r="C485" s="1327"/>
      <c r="D485" s="1327"/>
      <c r="E485" s="1327"/>
      <c r="F485" s="1327" t="s">
        <v>211</v>
      </c>
      <c r="G485" s="1007"/>
      <c r="H485" s="622" t="s">
        <v>35</v>
      </c>
      <c r="I485" s="880">
        <f ca="1">IFERROR(__xludf.DUMMYFUNCTION("IMPORTRANGE(""https://docs.google.com/spreadsheets/d/1QqKyyYR6Q21VydFLVH3TRQUabQu_ym0Zz7PgGX0-kHA/edit?usp=sharing"",""แผน!FZ81"")"),36)</f>
        <v>36</v>
      </c>
      <c r="J485" s="1012">
        <v>36</v>
      </c>
      <c r="K485" s="881">
        <f ca="1">IF(I485&gt;0,J485*100/I485,0)</f>
        <v>100</v>
      </c>
      <c r="L485" s="881"/>
      <c r="M485" s="881"/>
      <c r="N485" s="881"/>
      <c r="O485" s="881"/>
      <c r="P485" s="881"/>
      <c r="Q485" s="1302"/>
      <c r="R485" s="1302"/>
      <c r="S485" s="1302"/>
      <c r="T485" s="1302"/>
      <c r="U485" s="1302"/>
      <c r="V485" s="1302"/>
      <c r="W485" s="1302"/>
      <c r="X485" s="1302"/>
      <c r="Y485" s="1302"/>
      <c r="Z485" s="1302"/>
    </row>
    <row r="486" spans="1:26" ht="18.75">
      <c r="A486" s="1326"/>
      <c r="B486" s="1327"/>
      <c r="C486" s="1327"/>
      <c r="D486" s="1327"/>
      <c r="E486" s="1327" t="s">
        <v>62</v>
      </c>
      <c r="F486" s="1327"/>
      <c r="G486" s="1007"/>
      <c r="H486" s="622"/>
      <c r="I486" s="880"/>
      <c r="J486" s="880"/>
      <c r="K486" s="881"/>
      <c r="L486" s="881"/>
      <c r="M486" s="881"/>
      <c r="N486" s="881"/>
      <c r="O486" s="881"/>
      <c r="P486" s="881"/>
      <c r="Q486" s="1302"/>
      <c r="R486" s="1302"/>
      <c r="S486" s="1302"/>
      <c r="T486" s="1302"/>
      <c r="U486" s="1302"/>
      <c r="V486" s="1302"/>
      <c r="W486" s="1302"/>
      <c r="X486" s="1302"/>
      <c r="Y486" s="1302"/>
      <c r="Z486" s="1302"/>
    </row>
    <row r="487" spans="1:26" ht="18.75">
      <c r="A487" s="1326"/>
      <c r="B487" s="1327"/>
      <c r="C487" s="1327"/>
      <c r="D487" s="1327"/>
      <c r="E487" s="1327"/>
      <c r="F487" s="1327" t="s">
        <v>209</v>
      </c>
      <c r="G487" s="1007"/>
      <c r="H487" s="622" t="s">
        <v>46</v>
      </c>
      <c r="I487" s="880">
        <f ca="1">IFERROR(__xludf.DUMMYFUNCTION("IMPORTRANGE(""https://docs.google.com/spreadsheets/d/1QqKyyYR6Q21VydFLVH3TRQUabQu_ym0Zz7PgGX0-kHA/edit?usp=sharing"",""แผน!GA81"")"),40)</f>
        <v>40</v>
      </c>
      <c r="J487" s="1012">
        <v>0</v>
      </c>
      <c r="K487" s="881">
        <f ca="1">IF(I487&gt;0,J487*100/I487,0)</f>
        <v>0</v>
      </c>
      <c r="L487" s="881"/>
      <c r="M487" s="881"/>
      <c r="N487" s="881"/>
      <c r="O487" s="881"/>
      <c r="P487" s="881"/>
      <c r="Q487" s="1302"/>
      <c r="R487" s="1302"/>
      <c r="S487" s="1302"/>
      <c r="T487" s="1302"/>
      <c r="U487" s="1302"/>
      <c r="V487" s="1302"/>
      <c r="W487" s="1302"/>
      <c r="X487" s="1302"/>
      <c r="Y487" s="1302"/>
      <c r="Z487" s="1302"/>
    </row>
    <row r="488" spans="1:26" ht="18.75">
      <c r="A488" s="1326"/>
      <c r="B488" s="1327"/>
      <c r="C488" s="1327"/>
      <c r="D488" s="1327"/>
      <c r="E488" s="1327"/>
      <c r="F488" s="1327" t="s">
        <v>212</v>
      </c>
      <c r="G488" s="1007"/>
      <c r="H488" s="622" t="s">
        <v>35</v>
      </c>
      <c r="I488" s="880"/>
      <c r="J488" s="1012">
        <v>0</v>
      </c>
      <c r="K488" s="881"/>
      <c r="L488" s="881"/>
      <c r="M488" s="881"/>
      <c r="N488" s="881"/>
      <c r="O488" s="881"/>
      <c r="P488" s="881"/>
      <c r="Q488" s="1302"/>
      <c r="R488" s="1302"/>
      <c r="S488" s="1302"/>
      <c r="T488" s="1302"/>
      <c r="U488" s="1302"/>
      <c r="V488" s="1302"/>
      <c r="W488" s="1302"/>
      <c r="X488" s="1302"/>
      <c r="Y488" s="1302"/>
      <c r="Z488" s="1302"/>
    </row>
    <row r="489" spans="1:26" ht="18.75">
      <c r="A489" s="1326"/>
      <c r="B489" s="1327"/>
      <c r="C489" s="1327"/>
      <c r="D489" s="1327"/>
      <c r="E489" s="1327"/>
      <c r="F489" s="1327" t="s">
        <v>213</v>
      </c>
      <c r="G489" s="1007"/>
      <c r="H489" s="622" t="s">
        <v>35</v>
      </c>
      <c r="I489" s="880">
        <f ca="1">IFERROR(__xludf.DUMMYFUNCTION("IMPORTRANGE(""https://docs.google.com/spreadsheets/d/1QqKyyYR6Q21VydFLVH3TRQUabQu_ym0Zz7PgGX0-kHA/edit?usp=sharing"",""แผน!GB81"")"),4)</f>
        <v>4</v>
      </c>
      <c r="J489" s="1012">
        <v>4</v>
      </c>
      <c r="K489" s="881">
        <f ca="1">IF(I489&gt;0,J489*100/I489,0)</f>
        <v>100</v>
      </c>
      <c r="L489" s="881"/>
      <c r="M489" s="881"/>
      <c r="N489" s="881"/>
      <c r="O489" s="881"/>
      <c r="P489" s="881"/>
      <c r="Q489" s="1302"/>
      <c r="R489" s="1302"/>
      <c r="S489" s="1302"/>
      <c r="T489" s="1302"/>
      <c r="U489" s="1302"/>
      <c r="V489" s="1302"/>
      <c r="W489" s="1302"/>
      <c r="X489" s="1302"/>
      <c r="Y489" s="1302"/>
      <c r="Z489" s="1302"/>
    </row>
    <row r="490" spans="1:26" ht="18.75">
      <c r="A490" s="1326"/>
      <c r="B490" s="1327"/>
      <c r="C490" s="1327"/>
      <c r="D490" s="1327"/>
      <c r="E490" s="1327" t="s">
        <v>63</v>
      </c>
      <c r="F490" s="1014"/>
      <c r="G490" s="1007"/>
      <c r="H490" s="622"/>
      <c r="I490" s="880"/>
      <c r="J490" s="880"/>
      <c r="K490" s="881"/>
      <c r="L490" s="881"/>
      <c r="M490" s="881"/>
      <c r="N490" s="881"/>
      <c r="O490" s="881"/>
      <c r="P490" s="881"/>
      <c r="Q490" s="1302"/>
      <c r="R490" s="1302"/>
      <c r="S490" s="1302"/>
      <c r="T490" s="1302"/>
      <c r="U490" s="1302"/>
      <c r="V490" s="1302"/>
      <c r="W490" s="1302"/>
      <c r="X490" s="1302"/>
      <c r="Y490" s="1302"/>
      <c r="Z490" s="1302"/>
    </row>
    <row r="491" spans="1:26" ht="18.75">
      <c r="A491" s="1326"/>
      <c r="B491" s="1327"/>
      <c r="C491" s="1327"/>
      <c r="D491" s="1327"/>
      <c r="E491" s="1327"/>
      <c r="F491" s="1327" t="s">
        <v>214</v>
      </c>
      <c r="G491" s="1007"/>
      <c r="H491" s="622" t="s">
        <v>35</v>
      </c>
      <c r="I491" s="880"/>
      <c r="J491" s="1012">
        <v>0</v>
      </c>
      <c r="K491" s="881"/>
      <c r="L491" s="881"/>
      <c r="M491" s="881"/>
      <c r="N491" s="881"/>
      <c r="O491" s="881"/>
      <c r="P491" s="881"/>
      <c r="Q491" s="1302"/>
      <c r="R491" s="1302"/>
      <c r="S491" s="1302"/>
      <c r="T491" s="1302"/>
      <c r="U491" s="1302"/>
      <c r="V491" s="1302"/>
      <c r="W491" s="1302"/>
      <c r="X491" s="1302"/>
      <c r="Y491" s="1302"/>
      <c r="Z491" s="1302"/>
    </row>
    <row r="492" spans="1:26" ht="18.75">
      <c r="A492" s="1326"/>
      <c r="B492" s="1327"/>
      <c r="C492" s="1327"/>
      <c r="D492" s="1327"/>
      <c r="E492" s="1327"/>
      <c r="F492" s="1327" t="s">
        <v>215</v>
      </c>
      <c r="G492" s="1007"/>
      <c r="H492" s="622" t="s">
        <v>35</v>
      </c>
      <c r="I492" s="880">
        <f ca="1">IFERROR(__xludf.DUMMYFUNCTION("IMPORTRANGE(""https://docs.google.com/spreadsheets/d/1QqKyyYR6Q21VydFLVH3TRQUabQu_ym0Zz7PgGX0-kHA/edit?usp=sharing"",""แผน!GC81"")"),1)</f>
        <v>1</v>
      </c>
      <c r="J492" s="1012">
        <v>1</v>
      </c>
      <c r="K492" s="881">
        <f ca="1">IF(I492&gt;0,J492*100/I492,0)</f>
        <v>100</v>
      </c>
      <c r="L492" s="881"/>
      <c r="M492" s="881"/>
      <c r="N492" s="881"/>
      <c r="O492" s="881"/>
      <c r="P492" s="881"/>
      <c r="Q492" s="1302"/>
      <c r="R492" s="1302"/>
      <c r="S492" s="1302"/>
      <c r="T492" s="1302"/>
      <c r="U492" s="1302"/>
      <c r="V492" s="1302"/>
      <c r="W492" s="1302"/>
      <c r="X492" s="1302"/>
      <c r="Y492" s="1302"/>
      <c r="Z492" s="1302"/>
    </row>
    <row r="493" spans="1:26" ht="19.5">
      <c r="A493" s="1326"/>
      <c r="B493" s="1327"/>
      <c r="C493" s="1327"/>
      <c r="D493" s="1336" t="s">
        <v>59</v>
      </c>
      <c r="E493" s="1327"/>
      <c r="F493" s="1014"/>
      <c r="G493" s="1007"/>
      <c r="H493" s="1016"/>
      <c r="I493" s="880"/>
      <c r="J493" s="880"/>
      <c r="K493" s="881"/>
      <c r="L493" s="881"/>
      <c r="M493" s="881"/>
      <c r="N493" s="881"/>
      <c r="O493" s="881"/>
      <c r="P493" s="881"/>
      <c r="Q493" s="1302"/>
      <c r="R493" s="1302"/>
      <c r="S493" s="1302"/>
      <c r="T493" s="1302"/>
      <c r="U493" s="1302"/>
      <c r="V493" s="1302"/>
      <c r="W493" s="1302"/>
      <c r="X493" s="1302"/>
      <c r="Y493" s="1302"/>
      <c r="Z493" s="1302"/>
    </row>
    <row r="494" spans="1:26" ht="18.75">
      <c r="A494" s="1326"/>
      <c r="B494" s="1327"/>
      <c r="C494" s="1327"/>
      <c r="D494" s="1327"/>
      <c r="E494" s="1327" t="s">
        <v>208</v>
      </c>
      <c r="F494" s="1014"/>
      <c r="G494" s="1007"/>
      <c r="H494" s="1016"/>
      <c r="I494" s="880"/>
      <c r="J494" s="880"/>
      <c r="K494" s="881"/>
      <c r="L494" s="881"/>
      <c r="M494" s="881"/>
      <c r="N494" s="881"/>
      <c r="O494" s="881"/>
      <c r="P494" s="881"/>
      <c r="Q494" s="1302"/>
      <c r="R494" s="1302"/>
      <c r="S494" s="1302"/>
      <c r="T494" s="1302"/>
      <c r="U494" s="1302"/>
      <c r="V494" s="1302"/>
      <c r="W494" s="1302"/>
      <c r="X494" s="1302"/>
      <c r="Y494" s="1302"/>
      <c r="Z494" s="1302"/>
    </row>
    <row r="495" spans="1:26" ht="18.75">
      <c r="A495" s="1326"/>
      <c r="B495" s="1327"/>
      <c r="C495" s="1327"/>
      <c r="D495" s="1327"/>
      <c r="E495" s="1327"/>
      <c r="F495" s="1014" t="s">
        <v>216</v>
      </c>
      <c r="G495" s="1007"/>
      <c r="H495" s="622" t="s">
        <v>46</v>
      </c>
      <c r="I495" s="880">
        <f ca="1">IFERROR(__xludf.DUMMYFUNCTION("IMPORTRANGE(""https://docs.google.com/spreadsheets/d/1QqKyyYR6Q21VydFLVH3TRQUabQu_ym0Zz7PgGX0-kHA/edit?usp=sharing"",""แผน!FY81"")"),360)</f>
        <v>360</v>
      </c>
      <c r="J495" s="1012">
        <v>360</v>
      </c>
      <c r="K495" s="881">
        <f ca="1">IF(I495&gt;0,J495*100/I495,0)</f>
        <v>100</v>
      </c>
      <c r="L495" s="881"/>
      <c r="M495" s="881"/>
      <c r="N495" s="881"/>
      <c r="O495" s="881"/>
      <c r="P495" s="881"/>
      <c r="Q495" s="1302"/>
      <c r="R495" s="1302"/>
      <c r="S495" s="1302"/>
      <c r="T495" s="1302"/>
      <c r="U495" s="1302"/>
      <c r="V495" s="1302"/>
      <c r="W495" s="1302"/>
      <c r="X495" s="1302"/>
      <c r="Y495" s="1302"/>
      <c r="Z495" s="1302"/>
    </row>
    <row r="496" spans="1:26" ht="18.75">
      <c r="A496" s="1326"/>
      <c r="B496" s="1327"/>
      <c r="C496" s="1327"/>
      <c r="D496" s="1327"/>
      <c r="E496" s="1327"/>
      <c r="F496" s="1014" t="s">
        <v>217</v>
      </c>
      <c r="G496" s="1007"/>
      <c r="H496" s="622" t="s">
        <v>46</v>
      </c>
      <c r="I496" s="880"/>
      <c r="J496" s="1012">
        <v>0</v>
      </c>
      <c r="K496" s="881"/>
      <c r="L496" s="881"/>
      <c r="M496" s="881"/>
      <c r="N496" s="881"/>
      <c r="O496" s="881"/>
      <c r="P496" s="881"/>
      <c r="Q496" s="1302"/>
      <c r="R496" s="1302"/>
      <c r="S496" s="1302"/>
      <c r="T496" s="1302"/>
      <c r="U496" s="1302"/>
      <c r="V496" s="1302"/>
      <c r="W496" s="1302"/>
      <c r="X496" s="1302"/>
      <c r="Y496" s="1302"/>
      <c r="Z496" s="1302"/>
    </row>
    <row r="497" spans="1:26" ht="18.75">
      <c r="A497" s="1326"/>
      <c r="B497" s="1327"/>
      <c r="C497" s="1327"/>
      <c r="D497" s="1327"/>
      <c r="E497" s="1327" t="s">
        <v>62</v>
      </c>
      <c r="F497" s="1014"/>
      <c r="G497" s="1007"/>
      <c r="H497" s="1016"/>
      <c r="I497" s="880"/>
      <c r="J497" s="880"/>
      <c r="K497" s="881"/>
      <c r="L497" s="881"/>
      <c r="M497" s="881"/>
      <c r="N497" s="881"/>
      <c r="O497" s="881"/>
      <c r="P497" s="881"/>
      <c r="Q497" s="1302"/>
      <c r="R497" s="1302"/>
      <c r="S497" s="1302"/>
      <c r="T497" s="1302"/>
      <c r="U497" s="1302"/>
      <c r="V497" s="1302"/>
      <c r="W497" s="1302"/>
      <c r="X497" s="1302"/>
      <c r="Y497" s="1302"/>
      <c r="Z497" s="1302"/>
    </row>
    <row r="498" spans="1:26" ht="18.75">
      <c r="A498" s="1326"/>
      <c r="B498" s="1327"/>
      <c r="C498" s="1327"/>
      <c r="D498" s="1327"/>
      <c r="E498" s="1014"/>
      <c r="F498" s="1014" t="s">
        <v>218</v>
      </c>
      <c r="G498" s="1007"/>
      <c r="H498" s="622" t="s">
        <v>46</v>
      </c>
      <c r="I498" s="880">
        <f ca="1">IFERROR(__xludf.DUMMYFUNCTION("IMPORTRANGE(""https://docs.google.com/spreadsheets/d/1QqKyyYR6Q21VydFLVH3TRQUabQu_ym0Zz7PgGX0-kHA/edit?usp=sharing"",""แผน!GA81"")"),40)</f>
        <v>40</v>
      </c>
      <c r="J498" s="1012">
        <v>40</v>
      </c>
      <c r="K498" s="881">
        <f ca="1">IF(I498&gt;0,J498*100/I498,0)</f>
        <v>100</v>
      </c>
      <c r="L498" s="881"/>
      <c r="M498" s="881"/>
      <c r="N498" s="881"/>
      <c r="O498" s="881"/>
      <c r="P498" s="881"/>
      <c r="Q498" s="1302"/>
      <c r="R498" s="1302"/>
      <c r="S498" s="1302"/>
      <c r="T498" s="1302"/>
      <c r="U498" s="1302"/>
      <c r="V498" s="1302"/>
      <c r="W498" s="1302"/>
      <c r="X498" s="1302"/>
      <c r="Y498" s="1302"/>
      <c r="Z498" s="1302"/>
    </row>
    <row r="499" spans="1:26" ht="18.75">
      <c r="A499" s="1326"/>
      <c r="B499" s="1327"/>
      <c r="C499" s="1327"/>
      <c r="D499" s="1327"/>
      <c r="E499" s="1014"/>
      <c r="F499" s="1014" t="s">
        <v>219</v>
      </c>
      <c r="G499" s="1007"/>
      <c r="H499" s="622" t="s">
        <v>46</v>
      </c>
      <c r="I499" s="880"/>
      <c r="J499" s="1012">
        <v>0</v>
      </c>
      <c r="K499" s="881"/>
      <c r="L499" s="881"/>
      <c r="M499" s="881"/>
      <c r="N499" s="881"/>
      <c r="O499" s="881"/>
      <c r="P499" s="881"/>
      <c r="Q499" s="1302"/>
      <c r="R499" s="1302"/>
      <c r="S499" s="1302"/>
      <c r="T499" s="1302"/>
      <c r="U499" s="1302"/>
      <c r="V499" s="1302"/>
      <c r="W499" s="1302"/>
      <c r="X499" s="1302"/>
      <c r="Y499" s="1302"/>
      <c r="Z499" s="1302"/>
    </row>
    <row r="500" spans="1:26" ht="19.5" hidden="1">
      <c r="A500" s="626">
        <v>4</v>
      </c>
      <c r="B500" s="1337" t="s">
        <v>220</v>
      </c>
      <c r="C500" s="1338"/>
      <c r="D500" s="1339"/>
      <c r="E500" s="1339"/>
      <c r="F500" s="1339"/>
      <c r="G500" s="1340"/>
      <c r="H500" s="631" t="s">
        <v>109</v>
      </c>
      <c r="I500" s="1341"/>
      <c r="J500" s="1341">
        <f t="shared" ref="J500:J501" si="214">J516</f>
        <v>0</v>
      </c>
      <c r="K500" s="1342">
        <f t="shared" ref="K500:K501" si="215">IF(I500&gt;0,J500*100/I500,0)</f>
        <v>0</v>
      </c>
      <c r="L500" s="1343"/>
      <c r="M500" s="1343"/>
      <c r="N500" s="1343"/>
      <c r="O500" s="1343"/>
      <c r="P500" s="1343"/>
      <c r="Q500" s="1323"/>
      <c r="R500" s="1323"/>
      <c r="S500" s="1323"/>
      <c r="T500" s="1323"/>
      <c r="U500" s="1323"/>
      <c r="V500" s="1323"/>
      <c r="W500" s="1323"/>
      <c r="X500" s="1323"/>
      <c r="Y500" s="1323"/>
      <c r="Z500" s="1323"/>
    </row>
    <row r="501" spans="1:26" ht="19.5" hidden="1">
      <c r="A501" s="1344"/>
      <c r="B501" s="1345" t="s">
        <v>221</v>
      </c>
      <c r="C501" s="1345"/>
      <c r="D501" s="1346"/>
      <c r="E501" s="1346"/>
      <c r="F501" s="1346"/>
      <c r="G501" s="1347"/>
      <c r="H501" s="640" t="s">
        <v>35</v>
      </c>
      <c r="I501" s="1348"/>
      <c r="J501" s="1348">
        <f t="shared" si="214"/>
        <v>0</v>
      </c>
      <c r="K501" s="1349">
        <f t="shared" si="215"/>
        <v>0</v>
      </c>
      <c r="L501" s="1350"/>
      <c r="M501" s="1350"/>
      <c r="N501" s="1350"/>
      <c r="O501" s="1350"/>
      <c r="P501" s="1350"/>
      <c r="Q501" s="1323"/>
      <c r="R501" s="1323"/>
      <c r="S501" s="1323"/>
      <c r="T501" s="1323"/>
      <c r="U501" s="1323"/>
      <c r="V501" s="1323"/>
      <c r="W501" s="1323"/>
      <c r="X501" s="1323"/>
      <c r="Y501" s="1323"/>
      <c r="Z501" s="1323"/>
    </row>
    <row r="502" spans="1:26" ht="19.5" hidden="1">
      <c r="A502" s="1319"/>
      <c r="B502" s="1320"/>
      <c r="C502" s="1320" t="s">
        <v>16</v>
      </c>
      <c r="D502" s="1351" t="s">
        <v>17</v>
      </c>
      <c r="E502" s="841"/>
      <c r="F502" s="841"/>
      <c r="G502" s="1322"/>
      <c r="H502" s="644" t="s">
        <v>12</v>
      </c>
      <c r="I502" s="886"/>
      <c r="J502" s="886"/>
      <c r="K502" s="887"/>
      <c r="L502" s="1352">
        <f t="shared" ref="L502:N502" si="216">L503+L504</f>
        <v>0</v>
      </c>
      <c r="M502" s="1352">
        <f t="shared" si="216"/>
        <v>0</v>
      </c>
      <c r="N502" s="1352">
        <f t="shared" si="216"/>
        <v>0</v>
      </c>
      <c r="O502" s="1352">
        <f t="shared" ref="O502:O507" si="217">IF(L502&gt;0,N502*100/L502,0)</f>
        <v>0</v>
      </c>
      <c r="P502" s="1352">
        <f t="shared" ref="P502:P507" si="218">IF(M502&gt;0,N502*100/M502,0)</f>
        <v>0</v>
      </c>
      <c r="Q502" s="1323"/>
      <c r="R502" s="1323"/>
      <c r="S502" s="1323"/>
      <c r="T502" s="1323"/>
      <c r="U502" s="1323"/>
      <c r="V502" s="1323"/>
      <c r="W502" s="1323"/>
      <c r="X502" s="1323"/>
      <c r="Y502" s="1323"/>
      <c r="Z502" s="1323"/>
    </row>
    <row r="503" spans="1:26" ht="18.75" hidden="1">
      <c r="A503" s="1319"/>
      <c r="B503" s="1320"/>
      <c r="C503" s="1320"/>
      <c r="D503" s="1321"/>
      <c r="E503" s="1320" t="s">
        <v>185</v>
      </c>
      <c r="F503" s="1320"/>
      <c r="G503" s="1322"/>
      <c r="H503" s="165" t="s">
        <v>12</v>
      </c>
      <c r="I503" s="886"/>
      <c r="J503" s="886"/>
      <c r="K503" s="887"/>
      <c r="L503" s="887">
        <f t="shared" ref="L503:N504" si="219">L506+L513</f>
        <v>0</v>
      </c>
      <c r="M503" s="887">
        <f t="shared" si="219"/>
        <v>0</v>
      </c>
      <c r="N503" s="887">
        <f t="shared" si="219"/>
        <v>0</v>
      </c>
      <c r="O503" s="887">
        <f t="shared" si="217"/>
        <v>0</v>
      </c>
      <c r="P503" s="887">
        <f t="shared" si="218"/>
        <v>0</v>
      </c>
      <c r="Q503" s="1323"/>
      <c r="R503" s="1323"/>
      <c r="S503" s="1323"/>
      <c r="T503" s="1323"/>
      <c r="U503" s="1323"/>
      <c r="V503" s="1323"/>
      <c r="W503" s="1323"/>
      <c r="X503" s="1323"/>
      <c r="Y503" s="1323"/>
      <c r="Z503" s="1323"/>
    </row>
    <row r="504" spans="1:26" ht="18.75" hidden="1">
      <c r="A504" s="1319"/>
      <c r="B504" s="1324"/>
      <c r="C504" s="1320"/>
      <c r="D504" s="1321"/>
      <c r="E504" s="1320" t="s">
        <v>186</v>
      </c>
      <c r="F504" s="1320"/>
      <c r="G504" s="1322"/>
      <c r="H504" s="165" t="s">
        <v>12</v>
      </c>
      <c r="I504" s="886"/>
      <c r="J504" s="886"/>
      <c r="K504" s="887"/>
      <c r="L504" s="887">
        <f t="shared" si="219"/>
        <v>0</v>
      </c>
      <c r="M504" s="887">
        <f t="shared" si="219"/>
        <v>0</v>
      </c>
      <c r="N504" s="887">
        <f t="shared" si="219"/>
        <v>0</v>
      </c>
      <c r="O504" s="887">
        <f t="shared" si="217"/>
        <v>0</v>
      </c>
      <c r="P504" s="887">
        <f t="shared" si="218"/>
        <v>0</v>
      </c>
      <c r="Q504" s="1323"/>
      <c r="R504" s="1323"/>
      <c r="S504" s="1323"/>
      <c r="T504" s="1323"/>
      <c r="U504" s="1323"/>
      <c r="V504" s="1323"/>
      <c r="W504" s="1323"/>
      <c r="X504" s="1323"/>
      <c r="Y504" s="1323"/>
      <c r="Z504" s="1323"/>
    </row>
    <row r="505" spans="1:26" ht="18.75" hidden="1">
      <c r="A505" s="1319"/>
      <c r="B505" s="1324"/>
      <c r="C505" s="1320"/>
      <c r="D505" s="1353" t="s">
        <v>20</v>
      </c>
      <c r="E505" s="1320"/>
      <c r="F505" s="1320"/>
      <c r="G505" s="1322"/>
      <c r="H505" s="165" t="s">
        <v>12</v>
      </c>
      <c r="I505" s="1000"/>
      <c r="J505" s="1000"/>
      <c r="K505" s="1001"/>
      <c r="L505" s="887">
        <f t="shared" ref="L505:N505" si="220">L506+L507</f>
        <v>0</v>
      </c>
      <c r="M505" s="887">
        <f t="shared" si="220"/>
        <v>0</v>
      </c>
      <c r="N505" s="887">
        <f t="shared" si="220"/>
        <v>0</v>
      </c>
      <c r="O505" s="887">
        <f t="shared" si="217"/>
        <v>0</v>
      </c>
      <c r="P505" s="887">
        <f t="shared" si="218"/>
        <v>0</v>
      </c>
      <c r="Q505" s="1323"/>
      <c r="R505" s="1323"/>
      <c r="S505" s="1323"/>
      <c r="T505" s="1323"/>
      <c r="U505" s="1323"/>
      <c r="V505" s="1323"/>
      <c r="W505" s="1323"/>
      <c r="X505" s="1323"/>
      <c r="Y505" s="1323"/>
      <c r="Z505" s="1323"/>
    </row>
    <row r="506" spans="1:26" ht="18.75" hidden="1">
      <c r="A506" s="1319"/>
      <c r="B506" s="1324"/>
      <c r="C506" s="1320"/>
      <c r="D506" s="1321"/>
      <c r="E506" s="1320" t="s">
        <v>185</v>
      </c>
      <c r="F506" s="1320"/>
      <c r="G506" s="1322"/>
      <c r="H506" s="165" t="s">
        <v>12</v>
      </c>
      <c r="I506" s="886"/>
      <c r="J506" s="886"/>
      <c r="K506" s="887"/>
      <c r="L506" s="887">
        <v>0</v>
      </c>
      <c r="M506" s="887">
        <v>0</v>
      </c>
      <c r="N506" s="887">
        <v>0</v>
      </c>
      <c r="O506" s="887">
        <f t="shared" si="217"/>
        <v>0</v>
      </c>
      <c r="P506" s="887">
        <f t="shared" si="218"/>
        <v>0</v>
      </c>
      <c r="Q506" s="1323"/>
      <c r="R506" s="1323"/>
      <c r="S506" s="1323"/>
      <c r="T506" s="1323"/>
      <c r="U506" s="1323"/>
      <c r="V506" s="1323"/>
      <c r="W506" s="1323"/>
      <c r="X506" s="1323"/>
      <c r="Y506" s="1323"/>
      <c r="Z506" s="1323"/>
    </row>
    <row r="507" spans="1:26" ht="18.75" hidden="1">
      <c r="A507" s="1319"/>
      <c r="B507" s="1324"/>
      <c r="C507" s="1320"/>
      <c r="D507" s="1321"/>
      <c r="E507" s="1320" t="s">
        <v>186</v>
      </c>
      <c r="F507" s="1320"/>
      <c r="G507" s="1322"/>
      <c r="H507" s="165" t="s">
        <v>12</v>
      </c>
      <c r="I507" s="886"/>
      <c r="J507" s="886"/>
      <c r="K507" s="887"/>
      <c r="L507" s="887">
        <v>0</v>
      </c>
      <c r="M507" s="887">
        <v>0</v>
      </c>
      <c r="N507" s="887">
        <f>N508+N509+N510+N511</f>
        <v>0</v>
      </c>
      <c r="O507" s="887">
        <f t="shared" si="217"/>
        <v>0</v>
      </c>
      <c r="P507" s="887">
        <f t="shared" si="218"/>
        <v>0</v>
      </c>
      <c r="Q507" s="1323"/>
      <c r="R507" s="1323"/>
      <c r="S507" s="1323"/>
      <c r="T507" s="1323"/>
      <c r="U507" s="1323"/>
      <c r="V507" s="1323"/>
      <c r="W507" s="1323"/>
      <c r="X507" s="1323"/>
      <c r="Y507" s="1323"/>
      <c r="Z507" s="1323"/>
    </row>
    <row r="508" spans="1:26" ht="18.75" hidden="1">
      <c r="A508" s="1354"/>
      <c r="B508" s="1324"/>
      <c r="C508" s="1320"/>
      <c r="D508" s="1320"/>
      <c r="E508" s="1320"/>
      <c r="F508" s="1320" t="s">
        <v>187</v>
      </c>
      <c r="G508" s="1322"/>
      <c r="H508" s="165" t="s">
        <v>12</v>
      </c>
      <c r="I508" s="886"/>
      <c r="J508" s="886"/>
      <c r="K508" s="887"/>
      <c r="L508" s="887"/>
      <c r="M508" s="887"/>
      <c r="N508" s="887">
        <v>0</v>
      </c>
      <c r="O508" s="887"/>
      <c r="P508" s="887"/>
      <c r="Q508" s="1323"/>
      <c r="R508" s="1323"/>
      <c r="S508" s="1323"/>
      <c r="T508" s="1323"/>
      <c r="U508" s="1323"/>
      <c r="V508" s="1323"/>
      <c r="W508" s="1323"/>
      <c r="X508" s="1323"/>
      <c r="Y508" s="1323"/>
      <c r="Z508" s="1323"/>
    </row>
    <row r="509" spans="1:26" ht="18.75" hidden="1">
      <c r="A509" s="1354"/>
      <c r="B509" s="1324"/>
      <c r="C509" s="1320"/>
      <c r="D509" s="1320"/>
      <c r="E509" s="1320"/>
      <c r="F509" s="1320" t="s">
        <v>188</v>
      </c>
      <c r="G509" s="1322"/>
      <c r="H509" s="165" t="s">
        <v>12</v>
      </c>
      <c r="I509" s="886"/>
      <c r="J509" s="886"/>
      <c r="K509" s="887"/>
      <c r="L509" s="887"/>
      <c r="M509" s="887"/>
      <c r="N509" s="887">
        <v>0</v>
      </c>
      <c r="O509" s="887"/>
      <c r="P509" s="887"/>
      <c r="Q509" s="1323"/>
      <c r="R509" s="1323"/>
      <c r="S509" s="1323"/>
      <c r="T509" s="1323"/>
      <c r="U509" s="1323"/>
      <c r="V509" s="1323"/>
      <c r="W509" s="1323"/>
      <c r="X509" s="1323"/>
      <c r="Y509" s="1323"/>
      <c r="Z509" s="1323"/>
    </row>
    <row r="510" spans="1:26" ht="18.75" hidden="1">
      <c r="A510" s="1354"/>
      <c r="B510" s="1324"/>
      <c r="C510" s="1324"/>
      <c r="D510" s="1324"/>
      <c r="E510" s="1320"/>
      <c r="F510" s="1320" t="s">
        <v>189</v>
      </c>
      <c r="G510" s="1322"/>
      <c r="H510" s="165" t="s">
        <v>12</v>
      </c>
      <c r="I510" s="886"/>
      <c r="J510" s="886"/>
      <c r="K510" s="887"/>
      <c r="L510" s="887"/>
      <c r="M510" s="887"/>
      <c r="N510" s="887">
        <v>0</v>
      </c>
      <c r="O510" s="887"/>
      <c r="P510" s="887"/>
      <c r="Q510" s="1323"/>
      <c r="R510" s="1323"/>
      <c r="S510" s="1323"/>
      <c r="T510" s="1323"/>
      <c r="U510" s="1323"/>
      <c r="V510" s="1323"/>
      <c r="W510" s="1323"/>
      <c r="X510" s="1323"/>
      <c r="Y510" s="1323"/>
      <c r="Z510" s="1323"/>
    </row>
    <row r="511" spans="1:26" ht="18.75" hidden="1">
      <c r="A511" s="1354"/>
      <c r="B511" s="1324"/>
      <c r="C511" s="1324"/>
      <c r="D511" s="1324"/>
      <c r="E511" s="1320"/>
      <c r="F511" s="1320" t="s">
        <v>190</v>
      </c>
      <c r="G511" s="1322"/>
      <c r="H511" s="165" t="s">
        <v>12</v>
      </c>
      <c r="I511" s="886"/>
      <c r="J511" s="886"/>
      <c r="K511" s="887"/>
      <c r="L511" s="887"/>
      <c r="M511" s="887"/>
      <c r="N511" s="887">
        <v>0</v>
      </c>
      <c r="O511" s="887"/>
      <c r="P511" s="887"/>
      <c r="Q511" s="1323"/>
      <c r="R511" s="1323"/>
      <c r="S511" s="1323"/>
      <c r="T511" s="1323"/>
      <c r="U511" s="1323"/>
      <c r="V511" s="1323"/>
      <c r="W511" s="1323"/>
      <c r="X511" s="1323"/>
      <c r="Y511" s="1323"/>
      <c r="Z511" s="1323"/>
    </row>
    <row r="512" spans="1:26" ht="18.75" hidden="1">
      <c r="A512" s="1319"/>
      <c r="B512" s="1324"/>
      <c r="C512" s="1324"/>
      <c r="D512" s="1353" t="s">
        <v>21</v>
      </c>
      <c r="E512" s="1324"/>
      <c r="F512" s="1320"/>
      <c r="G512" s="1322"/>
      <c r="H512" s="169" t="s">
        <v>12</v>
      </c>
      <c r="I512" s="1000"/>
      <c r="J512" s="1000"/>
      <c r="K512" s="1001"/>
      <c r="L512" s="887">
        <f t="shared" ref="L512:N512" si="221">L513+L514</f>
        <v>0</v>
      </c>
      <c r="M512" s="887">
        <f t="shared" si="221"/>
        <v>0</v>
      </c>
      <c r="N512" s="887">
        <f t="shared" si="221"/>
        <v>0</v>
      </c>
      <c r="O512" s="887">
        <f t="shared" ref="O512:O514" si="222">IF(L512&gt;0,N512*100/L512,0)</f>
        <v>0</v>
      </c>
      <c r="P512" s="887">
        <f t="shared" ref="P512:P514" si="223">IF(M512&gt;0,N512*100/M512,0)</f>
        <v>0</v>
      </c>
      <c r="Q512" s="1323"/>
      <c r="R512" s="1323"/>
      <c r="S512" s="1323"/>
      <c r="T512" s="1323"/>
      <c r="U512" s="1323"/>
      <c r="V512" s="1323"/>
      <c r="W512" s="1323"/>
      <c r="X512" s="1323"/>
      <c r="Y512" s="1323"/>
      <c r="Z512" s="1323"/>
    </row>
    <row r="513" spans="1:26" ht="18.75" hidden="1">
      <c r="A513" s="1319"/>
      <c r="B513" s="1324"/>
      <c r="C513" s="1324"/>
      <c r="D513" s="1324"/>
      <c r="E513" s="1324" t="s">
        <v>18</v>
      </c>
      <c r="F513" s="1320"/>
      <c r="G513" s="1322"/>
      <c r="H513" s="165" t="s">
        <v>12</v>
      </c>
      <c r="I513" s="1000"/>
      <c r="J513" s="1000"/>
      <c r="K513" s="1001"/>
      <c r="L513" s="887">
        <v>0</v>
      </c>
      <c r="M513" s="887">
        <v>0</v>
      </c>
      <c r="N513" s="887">
        <v>0</v>
      </c>
      <c r="O513" s="887">
        <f t="shared" si="222"/>
        <v>0</v>
      </c>
      <c r="P513" s="887">
        <f t="shared" si="223"/>
        <v>0</v>
      </c>
      <c r="Q513" s="1323"/>
      <c r="R513" s="1323"/>
      <c r="S513" s="1323"/>
      <c r="T513" s="1323"/>
      <c r="U513" s="1323"/>
      <c r="V513" s="1323"/>
      <c r="W513" s="1323"/>
      <c r="X513" s="1323"/>
      <c r="Y513" s="1323"/>
      <c r="Z513" s="1323"/>
    </row>
    <row r="514" spans="1:26" ht="18.75" hidden="1">
      <c r="A514" s="1319"/>
      <c r="B514" s="1324"/>
      <c r="C514" s="1324"/>
      <c r="D514" s="1320"/>
      <c r="E514" s="1324" t="s">
        <v>19</v>
      </c>
      <c r="F514" s="1320"/>
      <c r="G514" s="1322"/>
      <c r="H514" s="169" t="s">
        <v>12</v>
      </c>
      <c r="I514" s="1000"/>
      <c r="J514" s="1000"/>
      <c r="K514" s="1001"/>
      <c r="L514" s="887">
        <v>0</v>
      </c>
      <c r="M514" s="887">
        <v>0</v>
      </c>
      <c r="N514" s="887">
        <v>0</v>
      </c>
      <c r="O514" s="887">
        <f t="shared" si="222"/>
        <v>0</v>
      </c>
      <c r="P514" s="887">
        <f t="shared" si="223"/>
        <v>0</v>
      </c>
      <c r="Q514" s="1323"/>
      <c r="R514" s="1323"/>
      <c r="S514" s="1323"/>
      <c r="T514" s="1323"/>
      <c r="U514" s="1323"/>
      <c r="V514" s="1323"/>
      <c r="W514" s="1323"/>
      <c r="X514" s="1323"/>
      <c r="Y514" s="1323"/>
      <c r="Z514" s="1323"/>
    </row>
    <row r="515" spans="1:26" ht="19.5" hidden="1">
      <c r="A515" s="1332"/>
      <c r="B515" s="1333"/>
      <c r="C515" s="1324" t="s">
        <v>16</v>
      </c>
      <c r="D515" s="1355" t="s">
        <v>38</v>
      </c>
      <c r="E515" s="1356"/>
      <c r="F515" s="1356"/>
      <c r="G515" s="1357"/>
      <c r="H515" s="1113"/>
      <c r="I515" s="1000"/>
      <c r="J515" s="1000"/>
      <c r="K515" s="1001"/>
      <c r="L515" s="1001"/>
      <c r="M515" s="1001"/>
      <c r="N515" s="1001"/>
      <c r="O515" s="1001"/>
      <c r="P515" s="1001"/>
      <c r="Q515" s="1323"/>
      <c r="R515" s="1323"/>
      <c r="S515" s="1323"/>
      <c r="T515" s="1323"/>
      <c r="U515" s="1323"/>
      <c r="V515" s="1323"/>
      <c r="W515" s="1323"/>
      <c r="X515" s="1323"/>
      <c r="Y515" s="1323"/>
      <c r="Z515" s="1323"/>
    </row>
    <row r="516" spans="1:26" ht="18.75" hidden="1">
      <c r="A516" s="1332"/>
      <c r="B516" s="1333"/>
      <c r="C516" s="1333"/>
      <c r="D516" s="1333" t="s">
        <v>222</v>
      </c>
      <c r="E516" s="1321"/>
      <c r="F516" s="1321"/>
      <c r="G516" s="1113"/>
      <c r="H516" s="651" t="s">
        <v>109</v>
      </c>
      <c r="I516" s="886"/>
      <c r="J516" s="886">
        <v>0</v>
      </c>
      <c r="K516" s="1001">
        <f t="shared" ref="K516:K517" si="224">IF(I516&gt;0,J516*100/I516,0)</f>
        <v>0</v>
      </c>
      <c r="L516" s="1001"/>
      <c r="M516" s="1001"/>
      <c r="N516" s="1001"/>
      <c r="O516" s="1001"/>
      <c r="P516" s="1001"/>
      <c r="Q516" s="1323"/>
      <c r="R516" s="1323"/>
      <c r="S516" s="1323"/>
      <c r="T516" s="1323"/>
      <c r="U516" s="1323"/>
      <c r="V516" s="1323"/>
      <c r="W516" s="1323"/>
      <c r="X516" s="1323"/>
      <c r="Y516" s="1323"/>
      <c r="Z516" s="1323"/>
    </row>
    <row r="517" spans="1:26" ht="19.5" hidden="1">
      <c r="A517" s="1332"/>
      <c r="B517" s="1333"/>
      <c r="C517" s="1333"/>
      <c r="D517" s="1333" t="s">
        <v>223</v>
      </c>
      <c r="E517" s="1321"/>
      <c r="F517" s="1321"/>
      <c r="G517" s="1113"/>
      <c r="H517" s="652" t="s">
        <v>35</v>
      </c>
      <c r="I517" s="1358"/>
      <c r="J517" s="1358">
        <f>J518+J519</f>
        <v>0</v>
      </c>
      <c r="K517" s="1359">
        <f t="shared" si="224"/>
        <v>0</v>
      </c>
      <c r="L517" s="1001"/>
      <c r="M517" s="1001"/>
      <c r="N517" s="1001"/>
      <c r="O517" s="1001"/>
      <c r="P517" s="1001"/>
      <c r="Q517" s="1323"/>
      <c r="R517" s="1323"/>
      <c r="S517" s="1323"/>
      <c r="T517" s="1323"/>
      <c r="U517" s="1323"/>
      <c r="V517" s="1323"/>
      <c r="W517" s="1323"/>
      <c r="X517" s="1323"/>
      <c r="Y517" s="1323"/>
      <c r="Z517" s="1323"/>
    </row>
    <row r="518" spans="1:26" ht="18.75" hidden="1">
      <c r="A518" s="1332"/>
      <c r="B518" s="1333"/>
      <c r="C518" s="1333"/>
      <c r="D518" s="1333"/>
      <c r="E518" s="1333" t="s">
        <v>224</v>
      </c>
      <c r="F518" s="1321"/>
      <c r="G518" s="1113"/>
      <c r="H518" s="370" t="s">
        <v>35</v>
      </c>
      <c r="I518" s="886"/>
      <c r="J518" s="886"/>
      <c r="K518" s="1001"/>
      <c r="L518" s="1001"/>
      <c r="M518" s="1001"/>
      <c r="N518" s="1001"/>
      <c r="O518" s="1001"/>
      <c r="P518" s="1001"/>
      <c r="Q518" s="1323"/>
      <c r="R518" s="1323"/>
      <c r="S518" s="1323"/>
      <c r="T518" s="1323"/>
      <c r="U518" s="1323"/>
      <c r="V518" s="1323"/>
      <c r="W518" s="1323"/>
      <c r="X518" s="1323"/>
      <c r="Y518" s="1323"/>
      <c r="Z518" s="1323"/>
    </row>
    <row r="519" spans="1:26" ht="18.75" hidden="1">
      <c r="A519" s="1332"/>
      <c r="B519" s="1333"/>
      <c r="C519" s="1333"/>
      <c r="D519" s="1333"/>
      <c r="E519" s="1333" t="s">
        <v>225</v>
      </c>
      <c r="F519" s="1321"/>
      <c r="G519" s="1113"/>
      <c r="H519" s="651" t="s">
        <v>35</v>
      </c>
      <c r="I519" s="886"/>
      <c r="J519" s="886"/>
      <c r="K519" s="1001"/>
      <c r="L519" s="1001"/>
      <c r="M519" s="1001"/>
      <c r="N519" s="1001"/>
      <c r="O519" s="1001"/>
      <c r="P519" s="1001"/>
      <c r="Q519" s="1323"/>
      <c r="R519" s="1323"/>
      <c r="S519" s="1323"/>
      <c r="T519" s="1323"/>
      <c r="U519" s="1323"/>
      <c r="V519" s="1323"/>
      <c r="W519" s="1323"/>
      <c r="X519" s="1323"/>
      <c r="Y519" s="1323"/>
      <c r="Z519" s="1323"/>
    </row>
    <row r="520" spans="1:26" ht="19.5">
      <c r="A520" s="1360" t="s">
        <v>137</v>
      </c>
      <c r="B520" s="1361"/>
      <c r="C520" s="1361"/>
      <c r="D520" s="1362"/>
      <c r="E520" s="1362"/>
      <c r="F520" s="1362"/>
      <c r="G520" s="1363"/>
      <c r="H520" s="1364"/>
      <c r="I520" s="1365"/>
      <c r="J520" s="1365"/>
      <c r="K520" s="1366"/>
      <c r="L520" s="1366"/>
      <c r="M520" s="1366"/>
      <c r="N520" s="1366"/>
      <c r="O520" s="1366"/>
      <c r="P520" s="1366"/>
    </row>
    <row r="521" spans="1:26" ht="19.5" hidden="1">
      <c r="A521" s="662">
        <v>5</v>
      </c>
      <c r="B521" s="1367" t="s">
        <v>226</v>
      </c>
      <c r="C521" s="1368"/>
      <c r="D521" s="1369"/>
      <c r="E521" s="1369"/>
      <c r="F521" s="1369"/>
      <c r="G521" s="1369"/>
      <c r="H521" s="1370"/>
      <c r="I521" s="1371"/>
      <c r="J521" s="1371"/>
      <c r="K521" s="1372"/>
      <c r="L521" s="1372"/>
      <c r="M521" s="1372"/>
      <c r="N521" s="1372"/>
      <c r="O521" s="1372"/>
      <c r="P521" s="1372"/>
      <c r="Q521" s="1302"/>
      <c r="R521" s="1302"/>
      <c r="S521" s="1302"/>
      <c r="T521" s="1302"/>
      <c r="U521" s="1302"/>
      <c r="V521" s="1302"/>
      <c r="W521" s="1302"/>
      <c r="X521" s="1302"/>
      <c r="Y521" s="1302"/>
      <c r="Z521" s="1302"/>
    </row>
    <row r="522" spans="1:26" ht="19.5" hidden="1">
      <c r="A522" s="1373"/>
      <c r="B522" s="1374" t="s">
        <v>227</v>
      </c>
      <c r="C522" s="1375"/>
      <c r="D522" s="1375"/>
      <c r="E522" s="1375"/>
      <c r="F522" s="1375"/>
      <c r="G522" s="1376"/>
      <c r="H522" s="673" t="s">
        <v>35</v>
      </c>
      <c r="I522" s="1377">
        <f t="shared" ref="I522:J522" ca="1" si="225">I537</f>
        <v>0</v>
      </c>
      <c r="J522" s="1377">
        <f t="shared" ca="1" si="225"/>
        <v>0</v>
      </c>
      <c r="K522" s="1378">
        <f ca="1">IF(I522&gt;0,J522*100/I522,0)</f>
        <v>0</v>
      </c>
      <c r="L522" s="1379"/>
      <c r="M522" s="1379"/>
      <c r="N522" s="1379"/>
      <c r="O522" s="1379"/>
      <c r="P522" s="1379"/>
      <c r="Q522" s="1302"/>
      <c r="R522" s="1302"/>
      <c r="S522" s="1302"/>
      <c r="T522" s="1302"/>
      <c r="U522" s="1302"/>
      <c r="V522" s="1302"/>
      <c r="W522" s="1302"/>
      <c r="X522" s="1302"/>
      <c r="Y522" s="1302"/>
      <c r="Z522" s="1302"/>
    </row>
    <row r="523" spans="1:26" ht="19.5" hidden="1">
      <c r="A523" s="1317"/>
      <c r="B523" s="1301"/>
      <c r="C523" s="1301" t="s">
        <v>16</v>
      </c>
      <c r="D523" s="1318" t="s">
        <v>17</v>
      </c>
      <c r="E523" s="841"/>
      <c r="F523" s="841"/>
      <c r="G523" s="1016"/>
      <c r="H523" s="597" t="s">
        <v>12</v>
      </c>
      <c r="I523" s="880"/>
      <c r="J523" s="880"/>
      <c r="K523" s="881"/>
      <c r="L523" s="1020">
        <f t="shared" ref="L523:N523" ca="1" si="226">L524+L525</f>
        <v>0</v>
      </c>
      <c r="M523" s="1020">
        <f t="shared" si="226"/>
        <v>0</v>
      </c>
      <c r="N523" s="1020">
        <f t="shared" si="226"/>
        <v>0</v>
      </c>
      <c r="O523" s="1020">
        <f t="shared" ref="O523:O528" ca="1" si="227">IF(L523&gt;0,N523*100/L523,0)</f>
        <v>0</v>
      </c>
      <c r="P523" s="1020">
        <f t="shared" ref="P523:P528" si="228">IF(M523&gt;0,N523*100/M523,0)</f>
        <v>0</v>
      </c>
      <c r="Q523" s="1302"/>
      <c r="R523" s="1302"/>
      <c r="S523" s="1302"/>
      <c r="T523" s="1302"/>
      <c r="U523" s="1302"/>
      <c r="V523" s="1302"/>
      <c r="W523" s="1302"/>
      <c r="X523" s="1302"/>
      <c r="Y523" s="1302"/>
      <c r="Z523" s="1302"/>
    </row>
    <row r="524" spans="1:26" ht="18.75" hidden="1">
      <c r="A524" s="1319"/>
      <c r="B524" s="1320"/>
      <c r="C524" s="1320"/>
      <c r="D524" s="1321"/>
      <c r="E524" s="1320" t="s">
        <v>185</v>
      </c>
      <c r="F524" s="1320"/>
      <c r="G524" s="1322"/>
      <c r="H524" s="165" t="s">
        <v>12</v>
      </c>
      <c r="I524" s="886"/>
      <c r="J524" s="886"/>
      <c r="K524" s="887"/>
      <c r="L524" s="887">
        <f t="shared" ref="L524:N525" si="229">L527+L534</f>
        <v>0</v>
      </c>
      <c r="M524" s="887">
        <f t="shared" si="229"/>
        <v>0</v>
      </c>
      <c r="N524" s="887">
        <f t="shared" si="229"/>
        <v>0</v>
      </c>
      <c r="O524" s="887">
        <f t="shared" si="227"/>
        <v>0</v>
      </c>
      <c r="P524" s="887">
        <f t="shared" si="228"/>
        <v>0</v>
      </c>
      <c r="Q524" s="1323"/>
      <c r="R524" s="1323"/>
      <c r="S524" s="1323"/>
      <c r="T524" s="1323"/>
      <c r="U524" s="1323"/>
      <c r="V524" s="1323"/>
      <c r="W524" s="1323"/>
      <c r="X524" s="1323"/>
      <c r="Y524" s="1323"/>
      <c r="Z524" s="1323"/>
    </row>
    <row r="525" spans="1:26" ht="18.75" hidden="1">
      <c r="A525" s="1319"/>
      <c r="B525" s="1324"/>
      <c r="C525" s="1320"/>
      <c r="D525" s="1321"/>
      <c r="E525" s="1320" t="s">
        <v>186</v>
      </c>
      <c r="F525" s="1320"/>
      <c r="G525" s="1322"/>
      <c r="H525" s="165" t="s">
        <v>12</v>
      </c>
      <c r="I525" s="886"/>
      <c r="J525" s="886"/>
      <c r="K525" s="887"/>
      <c r="L525" s="887">
        <f t="shared" ca="1" si="229"/>
        <v>0</v>
      </c>
      <c r="M525" s="887">
        <f t="shared" si="229"/>
        <v>0</v>
      </c>
      <c r="N525" s="887">
        <f t="shared" si="229"/>
        <v>0</v>
      </c>
      <c r="O525" s="887">
        <f t="shared" ca="1" si="227"/>
        <v>0</v>
      </c>
      <c r="P525" s="887">
        <f t="shared" si="228"/>
        <v>0</v>
      </c>
      <c r="Q525" s="1323"/>
      <c r="R525" s="1323"/>
      <c r="S525" s="1323"/>
      <c r="T525" s="1323"/>
      <c r="U525" s="1323"/>
      <c r="V525" s="1323"/>
      <c r="W525" s="1323"/>
      <c r="X525" s="1323"/>
      <c r="Y525" s="1323"/>
      <c r="Z525" s="1323"/>
    </row>
    <row r="526" spans="1:26" ht="18.75" hidden="1">
      <c r="A526" s="1317"/>
      <c r="B526" s="1300"/>
      <c r="C526" s="1301"/>
      <c r="D526" s="1325" t="s">
        <v>20</v>
      </c>
      <c r="E526" s="1301"/>
      <c r="F526" s="1301"/>
      <c r="G526" s="1016"/>
      <c r="H526" s="161" t="s">
        <v>12</v>
      </c>
      <c r="I526" s="997"/>
      <c r="J526" s="997"/>
      <c r="K526" s="998"/>
      <c r="L526" s="881">
        <f t="shared" ref="L526:N526" ca="1" si="230">L527+L528</f>
        <v>0</v>
      </c>
      <c r="M526" s="881">
        <f t="shared" si="230"/>
        <v>0</v>
      </c>
      <c r="N526" s="881">
        <f t="shared" si="230"/>
        <v>0</v>
      </c>
      <c r="O526" s="881">
        <f t="shared" ca="1" si="227"/>
        <v>0</v>
      </c>
      <c r="P526" s="881">
        <f t="shared" si="228"/>
        <v>0</v>
      </c>
      <c r="Q526" s="1302"/>
      <c r="R526" s="1302"/>
      <c r="S526" s="1302"/>
      <c r="T526" s="1302"/>
      <c r="U526" s="1302"/>
      <c r="V526" s="1302"/>
      <c r="W526" s="1302"/>
      <c r="X526" s="1302"/>
      <c r="Y526" s="1302"/>
      <c r="Z526" s="1302"/>
    </row>
    <row r="527" spans="1:26" ht="18.75" hidden="1">
      <c r="A527" s="1319"/>
      <c r="B527" s="1324"/>
      <c r="C527" s="1320"/>
      <c r="D527" s="1321"/>
      <c r="E527" s="1320" t="s">
        <v>185</v>
      </c>
      <c r="F527" s="1320"/>
      <c r="G527" s="1322"/>
      <c r="H527" s="165" t="s">
        <v>12</v>
      </c>
      <c r="I527" s="886"/>
      <c r="J527" s="886"/>
      <c r="K527" s="887"/>
      <c r="L527" s="887">
        <v>0</v>
      </c>
      <c r="M527" s="887">
        <v>0</v>
      </c>
      <c r="N527" s="887">
        <v>0</v>
      </c>
      <c r="O527" s="887">
        <f t="shared" si="227"/>
        <v>0</v>
      </c>
      <c r="P527" s="887">
        <f t="shared" si="228"/>
        <v>0</v>
      </c>
      <c r="Q527" s="1323"/>
      <c r="R527" s="1323"/>
      <c r="S527" s="1323"/>
      <c r="T527" s="1323"/>
      <c r="U527" s="1323"/>
      <c r="V527" s="1323"/>
      <c r="W527" s="1323"/>
      <c r="X527" s="1323"/>
      <c r="Y527" s="1323"/>
      <c r="Z527" s="1323"/>
    </row>
    <row r="528" spans="1:26" ht="18.75" hidden="1">
      <c r="A528" s="1319"/>
      <c r="B528" s="1324"/>
      <c r="C528" s="1320"/>
      <c r="D528" s="1321"/>
      <c r="E528" s="1320" t="s">
        <v>186</v>
      </c>
      <c r="F528" s="1320"/>
      <c r="G528" s="1322"/>
      <c r="H528" s="165" t="s">
        <v>12</v>
      </c>
      <c r="I528" s="886"/>
      <c r="J528" s="886"/>
      <c r="K528" s="887"/>
      <c r="L528" s="887">
        <f ca="1">IFERROR(__xludf.DUMMYFUNCTION("IMPORTRANGE(""https://docs.google.com/spreadsheets/d/1QqKyyYR6Q21VydFLVH3TRQUabQu_ym0Zz7PgGX0-kHA/edit?usp=sharing"",""แผน!GQ81"")"),0)</f>
        <v>0</v>
      </c>
      <c r="M528" s="887">
        <v>0</v>
      </c>
      <c r="N528" s="887">
        <f>N529+N530+N531+N532</f>
        <v>0</v>
      </c>
      <c r="O528" s="887">
        <f t="shared" ca="1" si="227"/>
        <v>0</v>
      </c>
      <c r="P528" s="887">
        <f t="shared" si="228"/>
        <v>0</v>
      </c>
      <c r="Q528" s="1323"/>
      <c r="R528" s="1323"/>
      <c r="S528" s="1323"/>
      <c r="T528" s="1323"/>
      <c r="U528" s="1323"/>
      <c r="V528" s="1323"/>
      <c r="W528" s="1323"/>
      <c r="X528" s="1323"/>
      <c r="Y528" s="1323"/>
      <c r="Z528" s="1323"/>
    </row>
    <row r="529" spans="1:26" ht="18.75" hidden="1">
      <c r="A529" s="1299"/>
      <c r="B529" s="1300"/>
      <c r="C529" s="1301"/>
      <c r="D529" s="1301"/>
      <c r="E529" s="1301"/>
      <c r="F529" s="1301" t="s">
        <v>187</v>
      </c>
      <c r="G529" s="1016"/>
      <c r="H529" s="161" t="s">
        <v>12</v>
      </c>
      <c r="I529" s="880"/>
      <c r="J529" s="880"/>
      <c r="K529" s="881"/>
      <c r="L529" s="881"/>
      <c r="M529" s="881"/>
      <c r="N529" s="1085">
        <v>0</v>
      </c>
      <c r="O529" s="881"/>
      <c r="P529" s="881"/>
      <c r="Q529" s="1302"/>
      <c r="R529" s="1302"/>
      <c r="S529" s="1302"/>
      <c r="T529" s="1302"/>
      <c r="U529" s="1302"/>
      <c r="V529" s="1302"/>
      <c r="W529" s="1302"/>
      <c r="X529" s="1302"/>
      <c r="Y529" s="1302"/>
      <c r="Z529" s="1302"/>
    </row>
    <row r="530" spans="1:26" ht="18.75" hidden="1">
      <c r="A530" s="1299"/>
      <c r="B530" s="1300"/>
      <c r="C530" s="1301"/>
      <c r="D530" s="1301"/>
      <c r="E530" s="1301"/>
      <c r="F530" s="1301" t="s">
        <v>188</v>
      </c>
      <c r="G530" s="1016"/>
      <c r="H530" s="161" t="s">
        <v>12</v>
      </c>
      <c r="I530" s="880"/>
      <c r="J530" s="880"/>
      <c r="K530" s="881"/>
      <c r="L530" s="881"/>
      <c r="M530" s="881"/>
      <c r="N530" s="1085">
        <v>0</v>
      </c>
      <c r="O530" s="881"/>
      <c r="P530" s="881"/>
      <c r="Q530" s="1302"/>
      <c r="R530" s="1302"/>
      <c r="S530" s="1302"/>
      <c r="T530" s="1302"/>
      <c r="U530" s="1302"/>
      <c r="V530" s="1302"/>
      <c r="W530" s="1302"/>
      <c r="X530" s="1302"/>
      <c r="Y530" s="1302"/>
      <c r="Z530" s="1302"/>
    </row>
    <row r="531" spans="1:26" ht="18.75" hidden="1">
      <c r="A531" s="1299"/>
      <c r="B531" s="1300"/>
      <c r="C531" s="1301"/>
      <c r="D531" s="1301"/>
      <c r="E531" s="1301"/>
      <c r="F531" s="1301" t="s">
        <v>189</v>
      </c>
      <c r="G531" s="1016"/>
      <c r="H531" s="161" t="s">
        <v>12</v>
      </c>
      <c r="I531" s="880"/>
      <c r="J531" s="880"/>
      <c r="K531" s="881"/>
      <c r="L531" s="881"/>
      <c r="M531" s="881"/>
      <c r="N531" s="1085">
        <v>0</v>
      </c>
      <c r="O531" s="881"/>
      <c r="P531" s="881"/>
      <c r="Q531" s="1302"/>
      <c r="R531" s="1302"/>
      <c r="S531" s="1302"/>
      <c r="T531" s="1302"/>
      <c r="U531" s="1302"/>
      <c r="V531" s="1302"/>
      <c r="W531" s="1302"/>
      <c r="X531" s="1302"/>
      <c r="Y531" s="1302"/>
      <c r="Z531" s="1302"/>
    </row>
    <row r="532" spans="1:26" ht="18.75" hidden="1">
      <c r="A532" s="1299"/>
      <c r="B532" s="1300"/>
      <c r="C532" s="1301"/>
      <c r="D532" s="1301"/>
      <c r="E532" s="1301"/>
      <c r="F532" s="1301" t="s">
        <v>190</v>
      </c>
      <c r="G532" s="1016"/>
      <c r="H532" s="161" t="s">
        <v>12</v>
      </c>
      <c r="I532" s="880"/>
      <c r="J532" s="880"/>
      <c r="K532" s="881"/>
      <c r="L532" s="881"/>
      <c r="M532" s="881"/>
      <c r="N532" s="1085">
        <v>0</v>
      </c>
      <c r="O532" s="881"/>
      <c r="P532" s="881"/>
      <c r="Q532" s="1302"/>
      <c r="R532" s="1302"/>
      <c r="S532" s="1302"/>
      <c r="T532" s="1302"/>
      <c r="U532" s="1302"/>
      <c r="V532" s="1302"/>
      <c r="W532" s="1302"/>
      <c r="X532" s="1302"/>
      <c r="Y532" s="1302"/>
      <c r="Z532" s="1302"/>
    </row>
    <row r="533" spans="1:26" ht="18.75" hidden="1">
      <c r="A533" s="1317"/>
      <c r="B533" s="1300"/>
      <c r="C533" s="1301"/>
      <c r="D533" s="1325" t="s">
        <v>21</v>
      </c>
      <c r="E533" s="1301"/>
      <c r="F533" s="1301"/>
      <c r="G533" s="1016"/>
      <c r="H533" s="168" t="s">
        <v>12</v>
      </c>
      <c r="I533" s="997"/>
      <c r="J533" s="997"/>
      <c r="K533" s="998"/>
      <c r="L533" s="881">
        <f t="shared" ref="L533:N533" ca="1" si="231">L534+L535</f>
        <v>0</v>
      </c>
      <c r="M533" s="881">
        <f t="shared" si="231"/>
        <v>0</v>
      </c>
      <c r="N533" s="881">
        <f t="shared" si="231"/>
        <v>0</v>
      </c>
      <c r="O533" s="881">
        <f t="shared" ref="O533:O535" ca="1" si="232">IF(L533&gt;0,N533*100/L533,0)</f>
        <v>0</v>
      </c>
      <c r="P533" s="881">
        <f t="shared" ref="P533:P535" si="233">IF(M533&gt;0,N533*100/M533,0)</f>
        <v>0</v>
      </c>
      <c r="Q533" s="1302"/>
      <c r="R533" s="1302"/>
      <c r="S533" s="1302"/>
      <c r="T533" s="1302"/>
      <c r="U533" s="1302"/>
      <c r="V533" s="1302"/>
      <c r="W533" s="1302"/>
      <c r="X533" s="1302"/>
      <c r="Y533" s="1302"/>
      <c r="Z533" s="1302"/>
    </row>
    <row r="534" spans="1:26" ht="18.75" hidden="1">
      <c r="A534" s="1319"/>
      <c r="B534" s="1324"/>
      <c r="C534" s="1320"/>
      <c r="D534" s="1320"/>
      <c r="E534" s="1320" t="s">
        <v>18</v>
      </c>
      <c r="F534" s="1320"/>
      <c r="G534" s="1322"/>
      <c r="H534" s="165" t="s">
        <v>12</v>
      </c>
      <c r="I534" s="1000"/>
      <c r="J534" s="1000"/>
      <c r="K534" s="1001"/>
      <c r="L534" s="887">
        <v>0</v>
      </c>
      <c r="M534" s="887">
        <v>0</v>
      </c>
      <c r="N534" s="887">
        <v>0</v>
      </c>
      <c r="O534" s="887">
        <f t="shared" si="232"/>
        <v>0</v>
      </c>
      <c r="P534" s="887">
        <f t="shared" si="233"/>
        <v>0</v>
      </c>
      <c r="Q534" s="1323"/>
      <c r="R534" s="1323"/>
      <c r="S534" s="1323"/>
      <c r="T534" s="1323"/>
      <c r="U534" s="1323"/>
      <c r="V534" s="1323"/>
      <c r="W534" s="1323"/>
      <c r="X534" s="1323"/>
      <c r="Y534" s="1323"/>
      <c r="Z534" s="1323"/>
    </row>
    <row r="535" spans="1:26" ht="18.75" hidden="1">
      <c r="A535" s="1319"/>
      <c r="B535" s="1324"/>
      <c r="C535" s="1320"/>
      <c r="D535" s="1320"/>
      <c r="E535" s="1320" t="s">
        <v>19</v>
      </c>
      <c r="F535" s="1320"/>
      <c r="G535" s="1322"/>
      <c r="H535" s="169" t="s">
        <v>12</v>
      </c>
      <c r="I535" s="1000"/>
      <c r="J535" s="1000"/>
      <c r="K535" s="1001"/>
      <c r="L535" s="887">
        <f ca="1">IFERROR(__xludf.DUMMYFUNCTION("IMPORTRANGE(""https://docs.google.com/spreadsheets/d/1QqKyyYR6Q21VydFLVH3TRQUabQu_ym0Zz7PgGX0-kHA/edit?usp=sharing"",""แผน!GT81"")"),0)</f>
        <v>0</v>
      </c>
      <c r="M535" s="887">
        <v>0</v>
      </c>
      <c r="N535" s="887">
        <v>0</v>
      </c>
      <c r="O535" s="887">
        <f t="shared" ca="1" si="232"/>
        <v>0</v>
      </c>
      <c r="P535" s="887">
        <f t="shared" si="233"/>
        <v>0</v>
      </c>
      <c r="Q535" s="1323"/>
      <c r="R535" s="1323"/>
      <c r="S535" s="1323"/>
      <c r="T535" s="1323"/>
      <c r="U535" s="1323"/>
      <c r="V535" s="1323"/>
      <c r="W535" s="1323"/>
      <c r="X535" s="1323"/>
      <c r="Y535" s="1323"/>
      <c r="Z535" s="1323"/>
    </row>
    <row r="536" spans="1:26" ht="19.5" hidden="1">
      <c r="A536" s="1326"/>
      <c r="B536" s="1327"/>
      <c r="C536" s="1301" t="s">
        <v>16</v>
      </c>
      <c r="D536" s="1380" t="s">
        <v>38</v>
      </c>
      <c r="E536" s="1330"/>
      <c r="F536" s="1330"/>
      <c r="G536" s="1331"/>
      <c r="H536" s="1007"/>
      <c r="I536" s="997"/>
      <c r="J536" s="997"/>
      <c r="K536" s="998"/>
      <c r="L536" s="998"/>
      <c r="M536" s="998"/>
      <c r="N536" s="998"/>
      <c r="O536" s="998"/>
      <c r="P536" s="998"/>
      <c r="Q536" s="1302"/>
      <c r="R536" s="1302"/>
      <c r="S536" s="1302"/>
      <c r="T536" s="1302"/>
      <c r="U536" s="1302"/>
      <c r="V536" s="1302"/>
      <c r="W536" s="1302"/>
      <c r="X536" s="1302"/>
      <c r="Y536" s="1302"/>
      <c r="Z536" s="1302"/>
    </row>
    <row r="537" spans="1:26" ht="19.5" hidden="1">
      <c r="A537" s="1299"/>
      <c r="B537" s="1300"/>
      <c r="C537" s="1301"/>
      <c r="D537" s="1301" t="s">
        <v>228</v>
      </c>
      <c r="E537" s="1301"/>
      <c r="F537" s="1301"/>
      <c r="G537" s="1016"/>
      <c r="H537" s="622" t="s">
        <v>35</v>
      </c>
      <c r="I537" s="1019">
        <f ca="1">IFERROR(__xludf.DUMMYFUNCTION("IMPORTRANGE(""https://docs.google.com/spreadsheets/d/1QqKyyYR6Q21VydFLVH3TRQUabQu_ym0Zz7PgGX0-kHA/edit?usp=sharing"",""แผน!GU81"")"),0)</f>
        <v>0</v>
      </c>
      <c r="J537" s="1019">
        <f ca="1">IF(AND(J538=I538,J539=I539,J540=I540,J541=I541),I537,0)</f>
        <v>0</v>
      </c>
      <c r="K537" s="881">
        <f t="shared" ref="K537:K543" ca="1" si="234">IF(I537&gt;0,J537*100/I537,0)</f>
        <v>0</v>
      </c>
      <c r="L537" s="881"/>
      <c r="M537" s="881"/>
      <c r="N537" s="881"/>
      <c r="O537" s="881"/>
      <c r="P537" s="881"/>
      <c r="Q537" s="1381"/>
      <c r="R537" s="1381"/>
      <c r="S537" s="1381"/>
      <c r="T537" s="1381"/>
      <c r="U537" s="1381"/>
      <c r="V537" s="1381"/>
      <c r="W537" s="1381"/>
      <c r="X537" s="1381"/>
      <c r="Y537" s="1381"/>
      <c r="Z537" s="1381"/>
    </row>
    <row r="538" spans="1:26" ht="18.75" hidden="1">
      <c r="A538" s="1299"/>
      <c r="B538" s="1300"/>
      <c r="C538" s="1301"/>
      <c r="D538" s="1301"/>
      <c r="E538" s="1301" t="s">
        <v>229</v>
      </c>
      <c r="F538" s="1301"/>
      <c r="G538" s="1016"/>
      <c r="H538" s="622" t="s">
        <v>35</v>
      </c>
      <c r="I538" s="880">
        <f ca="1">IFERROR(__xludf.DUMMYFUNCTION("IMPORTRANGE(""https://docs.google.com/spreadsheets/d/1QqKyyYR6Q21VydFLVH3TRQUabQu_ym0Zz7PgGX0-kHA/edit?usp=sharing"",""แผน!GV81"")"),0)</f>
        <v>0</v>
      </c>
      <c r="J538" s="1012">
        <v>0</v>
      </c>
      <c r="K538" s="881">
        <f t="shared" ca="1" si="234"/>
        <v>0</v>
      </c>
      <c r="L538" s="881"/>
      <c r="M538" s="881"/>
      <c r="N538" s="881"/>
      <c r="O538" s="881"/>
      <c r="P538" s="881"/>
      <c r="Q538" s="1381"/>
      <c r="R538" s="1381"/>
      <c r="S538" s="1381"/>
      <c r="T538" s="1381"/>
      <c r="U538" s="1381"/>
      <c r="V538" s="1381"/>
      <c r="W538" s="1381"/>
      <c r="X538" s="1381"/>
      <c r="Y538" s="1381"/>
      <c r="Z538" s="1381"/>
    </row>
    <row r="539" spans="1:26" ht="18.75" hidden="1">
      <c r="A539" s="1299"/>
      <c r="B539" s="1300"/>
      <c r="C539" s="1301"/>
      <c r="D539" s="1301"/>
      <c r="E539" s="1301" t="s">
        <v>230</v>
      </c>
      <c r="F539" s="1301"/>
      <c r="G539" s="1016"/>
      <c r="H539" s="622" t="s">
        <v>35</v>
      </c>
      <c r="I539" s="880">
        <f ca="1">IFERROR(__xludf.DUMMYFUNCTION("IMPORTRANGE(""https://docs.google.com/spreadsheets/d/1QqKyyYR6Q21VydFLVH3TRQUabQu_ym0Zz7PgGX0-kHA/edit?usp=sharing"",""แผน!GW81"")"),0)</f>
        <v>0</v>
      </c>
      <c r="J539" s="1012">
        <v>0</v>
      </c>
      <c r="K539" s="881">
        <f t="shared" ca="1" si="234"/>
        <v>0</v>
      </c>
      <c r="L539" s="881"/>
      <c r="M539" s="881"/>
      <c r="N539" s="881"/>
      <c r="O539" s="881"/>
      <c r="P539" s="881"/>
      <c r="Q539" s="1381"/>
      <c r="R539" s="1381"/>
      <c r="S539" s="1381"/>
      <c r="T539" s="1381"/>
      <c r="U539" s="1381"/>
      <c r="V539" s="1381"/>
      <c r="W539" s="1381"/>
      <c r="X539" s="1381"/>
      <c r="Y539" s="1381"/>
      <c r="Z539" s="1381"/>
    </row>
    <row r="540" spans="1:26" ht="18.75" hidden="1">
      <c r="A540" s="1299"/>
      <c r="B540" s="1300"/>
      <c r="C540" s="1301"/>
      <c r="D540" s="1301"/>
      <c r="E540" s="1301" t="s">
        <v>231</v>
      </c>
      <c r="F540" s="1301"/>
      <c r="G540" s="1016"/>
      <c r="H540" s="622" t="s">
        <v>35</v>
      </c>
      <c r="I540" s="880">
        <f ca="1">IFERROR(__xludf.DUMMYFUNCTION("IMPORTRANGE(""https://docs.google.com/spreadsheets/d/1QqKyyYR6Q21VydFLVH3TRQUabQu_ym0Zz7PgGX0-kHA/edit?usp=sharing"",""แผน!GX81"")"),0)</f>
        <v>0</v>
      </c>
      <c r="J540" s="1012">
        <v>0</v>
      </c>
      <c r="K540" s="881">
        <f t="shared" ca="1" si="234"/>
        <v>0</v>
      </c>
      <c r="L540" s="881"/>
      <c r="M540" s="881"/>
      <c r="N540" s="881"/>
      <c r="O540" s="881"/>
      <c r="P540" s="881"/>
      <c r="Q540" s="1381"/>
      <c r="R540" s="1381"/>
      <c r="S540" s="1381"/>
      <c r="T540" s="1381"/>
      <c r="U540" s="1381"/>
      <c r="V540" s="1381"/>
      <c r="W540" s="1381"/>
      <c r="X540" s="1381"/>
      <c r="Y540" s="1381"/>
      <c r="Z540" s="1381"/>
    </row>
    <row r="541" spans="1:26" ht="18.75" hidden="1">
      <c r="A541" s="1299"/>
      <c r="B541" s="1300"/>
      <c r="C541" s="1301"/>
      <c r="D541" s="1301"/>
      <c r="E541" s="1382" t="s">
        <v>232</v>
      </c>
      <c r="F541" s="1301"/>
      <c r="G541" s="1016"/>
      <c r="H541" s="622" t="s">
        <v>35</v>
      </c>
      <c r="I541" s="880">
        <f ca="1">IFERROR(__xludf.DUMMYFUNCTION("IMPORTRANGE(""https://docs.google.com/spreadsheets/d/1QqKyyYR6Q21VydFLVH3TRQUabQu_ym0Zz7PgGX0-kHA/edit?usp=sharing"",""แผน!GY81"")"),0)</f>
        <v>0</v>
      </c>
      <c r="J541" s="1012">
        <v>0</v>
      </c>
      <c r="K541" s="881">
        <f t="shared" ca="1" si="234"/>
        <v>0</v>
      </c>
      <c r="L541" s="881"/>
      <c r="M541" s="881"/>
      <c r="N541" s="881"/>
      <c r="O541" s="881"/>
      <c r="P541" s="881"/>
      <c r="Q541" s="1381"/>
      <c r="R541" s="1381"/>
      <c r="S541" s="1381"/>
      <c r="T541" s="1381"/>
      <c r="U541" s="1381"/>
      <c r="V541" s="1381"/>
      <c r="W541" s="1381"/>
      <c r="X541" s="1381"/>
      <c r="Y541" s="1381"/>
      <c r="Z541" s="1381"/>
    </row>
    <row r="542" spans="1:26" ht="18.75" hidden="1">
      <c r="A542" s="1299"/>
      <c r="B542" s="1300"/>
      <c r="C542" s="1301"/>
      <c r="D542" s="1301" t="s">
        <v>59</v>
      </c>
      <c r="E542" s="1301"/>
      <c r="F542" s="1301"/>
      <c r="G542" s="1016"/>
      <c r="H542" s="622" t="s">
        <v>35</v>
      </c>
      <c r="I542" s="880">
        <f ca="1">IFERROR(__xludf.DUMMYFUNCTION("IMPORTRANGE(""https://docs.google.com/spreadsheets/d/1QqKyyYR6Q21VydFLVH3TRQUabQu_ym0Zz7PgGX0-kHA/edit?usp=sharing"",""แผน!GZ81"")"),0)</f>
        <v>0</v>
      </c>
      <c r="J542" s="1012">
        <v>0</v>
      </c>
      <c r="K542" s="881">
        <f t="shared" ca="1" si="234"/>
        <v>0</v>
      </c>
      <c r="L542" s="881"/>
      <c r="M542" s="881"/>
      <c r="N542" s="881"/>
      <c r="O542" s="881"/>
      <c r="P542" s="881"/>
      <c r="Q542" s="1381"/>
      <c r="R542" s="1381"/>
      <c r="S542" s="1381"/>
      <c r="T542" s="1381"/>
      <c r="U542" s="1381"/>
      <c r="V542" s="1381"/>
      <c r="W542" s="1381"/>
      <c r="X542" s="1381"/>
      <c r="Y542" s="1381"/>
      <c r="Z542" s="1381"/>
    </row>
    <row r="543" spans="1:26" ht="19.5">
      <c r="A543" s="662">
        <v>6</v>
      </c>
      <c r="B543" s="1383" t="s">
        <v>233</v>
      </c>
      <c r="C543" s="1369"/>
      <c r="D543" s="1369"/>
      <c r="E543" s="1369"/>
      <c r="F543" s="1369"/>
      <c r="G543" s="1370"/>
      <c r="H543" s="684" t="s">
        <v>46</v>
      </c>
      <c r="I543" s="1384">
        <f t="shared" ref="I543:J543" ca="1" si="235">I559</f>
        <v>2360</v>
      </c>
      <c r="J543" s="1384">
        <f t="shared" si="235"/>
        <v>2360</v>
      </c>
      <c r="K543" s="1385">
        <f t="shared" ca="1" si="234"/>
        <v>100</v>
      </c>
      <c r="L543" s="1372"/>
      <c r="M543" s="1372"/>
      <c r="N543" s="1372"/>
      <c r="O543" s="1372"/>
      <c r="P543" s="1372"/>
      <c r="Q543" s="1302"/>
      <c r="R543" s="1302"/>
      <c r="S543" s="1302"/>
      <c r="T543" s="1302"/>
      <c r="U543" s="1302"/>
      <c r="V543" s="1302"/>
      <c r="W543" s="1302"/>
      <c r="X543" s="1302"/>
      <c r="Y543" s="1302"/>
      <c r="Z543" s="1302"/>
    </row>
    <row r="544" spans="1:26" ht="19.5">
      <c r="A544" s="1386"/>
      <c r="B544" s="1387"/>
      <c r="C544" s="1387" t="s">
        <v>16</v>
      </c>
      <c r="D544" s="1388" t="s">
        <v>17</v>
      </c>
      <c r="E544" s="846"/>
      <c r="F544" s="846"/>
      <c r="G544" s="1389"/>
      <c r="H544" s="275" t="s">
        <v>12</v>
      </c>
      <c r="I544" s="990"/>
      <c r="J544" s="990"/>
      <c r="K544" s="991"/>
      <c r="L544" s="992">
        <f t="shared" ref="L544:N544" ca="1" si="236">L545+L546</f>
        <v>236443</v>
      </c>
      <c r="M544" s="992">
        <f t="shared" ca="1" si="236"/>
        <v>236443</v>
      </c>
      <c r="N544" s="992">
        <f t="shared" si="236"/>
        <v>108436</v>
      </c>
      <c r="O544" s="992">
        <f t="shared" ref="O544:O549" ca="1" si="237">IF(L544&gt;0,N544*100/L544,0)</f>
        <v>45.861370393710111</v>
      </c>
      <c r="P544" s="992">
        <f t="shared" ref="P544:P549" ca="1" si="238">IF(M544&gt;0,N544*100/M544,0)</f>
        <v>45.861370393710111</v>
      </c>
      <c r="Q544" s="1302"/>
      <c r="R544" s="1302"/>
      <c r="S544" s="1302"/>
      <c r="T544" s="1302"/>
      <c r="U544" s="1302"/>
      <c r="V544" s="1302"/>
      <c r="W544" s="1302"/>
      <c r="X544" s="1302"/>
      <c r="Y544" s="1302"/>
      <c r="Z544" s="1302"/>
    </row>
    <row r="545" spans="1:26" ht="18.75" hidden="1">
      <c r="A545" s="1319"/>
      <c r="B545" s="1320"/>
      <c r="C545" s="1320"/>
      <c r="D545" s="1320"/>
      <c r="E545" s="1320" t="s">
        <v>185</v>
      </c>
      <c r="F545" s="1320"/>
      <c r="G545" s="1322"/>
      <c r="H545" s="165" t="s">
        <v>12</v>
      </c>
      <c r="I545" s="886"/>
      <c r="J545" s="886"/>
      <c r="K545" s="887"/>
      <c r="L545" s="887">
        <f t="shared" ref="L545:L546" si="239">L548+L556</f>
        <v>0</v>
      </c>
      <c r="M545" s="887">
        <f t="shared" ref="M545:N546" si="240">M548+M555</f>
        <v>0</v>
      </c>
      <c r="N545" s="887">
        <f t="shared" si="240"/>
        <v>0</v>
      </c>
      <c r="O545" s="887">
        <f t="shared" si="237"/>
        <v>0</v>
      </c>
      <c r="P545" s="887">
        <f t="shared" si="238"/>
        <v>0</v>
      </c>
      <c r="Q545" s="1323"/>
      <c r="R545" s="1323"/>
      <c r="S545" s="1323"/>
      <c r="T545" s="1323"/>
      <c r="U545" s="1323"/>
      <c r="V545" s="1323"/>
      <c r="W545" s="1323"/>
      <c r="X545" s="1323"/>
      <c r="Y545" s="1323"/>
      <c r="Z545" s="1323"/>
    </row>
    <row r="546" spans="1:26" ht="18.75" hidden="1">
      <c r="A546" s="1319"/>
      <c r="B546" s="1324"/>
      <c r="C546" s="1320"/>
      <c r="D546" s="1320"/>
      <c r="E546" s="1320" t="s">
        <v>186</v>
      </c>
      <c r="F546" s="1320"/>
      <c r="G546" s="1322"/>
      <c r="H546" s="165" t="s">
        <v>12</v>
      </c>
      <c r="I546" s="886"/>
      <c r="J546" s="886"/>
      <c r="K546" s="887"/>
      <c r="L546" s="887">
        <f t="shared" ca="1" si="239"/>
        <v>236443</v>
      </c>
      <c r="M546" s="887">
        <f t="shared" ca="1" si="240"/>
        <v>236443</v>
      </c>
      <c r="N546" s="887">
        <f t="shared" si="240"/>
        <v>108436</v>
      </c>
      <c r="O546" s="887">
        <f t="shared" ca="1" si="237"/>
        <v>45.861370393710111</v>
      </c>
      <c r="P546" s="887">
        <f t="shared" ca="1" si="238"/>
        <v>45.861370393710111</v>
      </c>
      <c r="Q546" s="1323"/>
      <c r="R546" s="1323"/>
      <c r="S546" s="1323"/>
      <c r="T546" s="1323"/>
      <c r="U546" s="1323"/>
      <c r="V546" s="1323"/>
      <c r="W546" s="1323"/>
      <c r="X546" s="1323"/>
      <c r="Y546" s="1323"/>
      <c r="Z546" s="1323"/>
    </row>
    <row r="547" spans="1:26" ht="18.75">
      <c r="A547" s="1317"/>
      <c r="B547" s="1300"/>
      <c r="C547" s="1301"/>
      <c r="D547" s="1325" t="s">
        <v>20</v>
      </c>
      <c r="E547" s="1301"/>
      <c r="F547" s="1301"/>
      <c r="G547" s="1016"/>
      <c r="H547" s="161" t="s">
        <v>12</v>
      </c>
      <c r="I547" s="997"/>
      <c r="J547" s="997"/>
      <c r="K547" s="998"/>
      <c r="L547" s="881">
        <f t="shared" ref="L547:N547" ca="1" si="241">L548+L549</f>
        <v>236443</v>
      </c>
      <c r="M547" s="881">
        <f t="shared" ca="1" si="241"/>
        <v>236443</v>
      </c>
      <c r="N547" s="881">
        <f t="shared" si="241"/>
        <v>108436</v>
      </c>
      <c r="O547" s="881">
        <f t="shared" ca="1" si="237"/>
        <v>45.861370393710111</v>
      </c>
      <c r="P547" s="881">
        <f t="shared" ca="1" si="238"/>
        <v>45.861370393710111</v>
      </c>
      <c r="Q547" s="1302"/>
      <c r="R547" s="1302"/>
      <c r="S547" s="1302"/>
      <c r="T547" s="1302"/>
      <c r="U547" s="1302"/>
      <c r="V547" s="1302"/>
      <c r="W547" s="1302"/>
      <c r="X547" s="1302"/>
      <c r="Y547" s="1302"/>
      <c r="Z547" s="1302"/>
    </row>
    <row r="548" spans="1:26" ht="18.75" hidden="1">
      <c r="A548" s="1319"/>
      <c r="B548" s="1324"/>
      <c r="C548" s="1320"/>
      <c r="D548" s="1321"/>
      <c r="E548" s="1320" t="s">
        <v>185</v>
      </c>
      <c r="F548" s="1320"/>
      <c r="G548" s="1322"/>
      <c r="H548" s="165" t="s">
        <v>12</v>
      </c>
      <c r="I548" s="886"/>
      <c r="J548" s="886"/>
      <c r="K548" s="887"/>
      <c r="L548" s="887">
        <v>0</v>
      </c>
      <c r="M548" s="887">
        <v>0</v>
      </c>
      <c r="N548" s="887">
        <v>0</v>
      </c>
      <c r="O548" s="887">
        <f t="shared" si="237"/>
        <v>0</v>
      </c>
      <c r="P548" s="887">
        <f t="shared" si="238"/>
        <v>0</v>
      </c>
      <c r="Q548" s="1323"/>
      <c r="R548" s="1323"/>
      <c r="S548" s="1323"/>
      <c r="T548" s="1323"/>
      <c r="U548" s="1323"/>
      <c r="V548" s="1323"/>
      <c r="W548" s="1323"/>
      <c r="X548" s="1323"/>
      <c r="Y548" s="1323"/>
      <c r="Z548" s="1323"/>
    </row>
    <row r="549" spans="1:26" ht="18.75" hidden="1">
      <c r="A549" s="1319"/>
      <c r="B549" s="1324"/>
      <c r="C549" s="1320"/>
      <c r="D549" s="1321"/>
      <c r="E549" s="1320" t="s">
        <v>186</v>
      </c>
      <c r="F549" s="1320"/>
      <c r="G549" s="1322"/>
      <c r="H549" s="165" t="s">
        <v>12</v>
      </c>
      <c r="I549" s="886"/>
      <c r="J549" s="886"/>
      <c r="K549" s="887"/>
      <c r="L549" s="887">
        <f ca="1">IFERROR(__xludf.DUMMYFUNCTION("IMPORTRANGE(""https://docs.google.com/spreadsheets/d/1QqKyyYR6Q21VydFLVH3TRQUabQu_ym0Zz7PgGX0-kHA/edit?usp=sharing"",""แผน!HB81"")"),236443)</f>
        <v>236443</v>
      </c>
      <c r="M549" s="887">
        <f ca="1">L549</f>
        <v>236443</v>
      </c>
      <c r="N549" s="887">
        <f>N550+N551+N552+N553+N554</f>
        <v>108436</v>
      </c>
      <c r="O549" s="887">
        <f t="shared" ca="1" si="237"/>
        <v>45.861370393710111</v>
      </c>
      <c r="P549" s="887">
        <f t="shared" ca="1" si="238"/>
        <v>45.861370393710111</v>
      </c>
      <c r="Q549" s="1323"/>
      <c r="R549" s="1323"/>
      <c r="S549" s="1323"/>
      <c r="T549" s="1323"/>
      <c r="U549" s="1323"/>
      <c r="V549" s="1323"/>
      <c r="W549" s="1323"/>
      <c r="X549" s="1323"/>
      <c r="Y549" s="1323"/>
      <c r="Z549" s="1323"/>
    </row>
    <row r="550" spans="1:26" ht="18.75">
      <c r="A550" s="1299"/>
      <c r="B550" s="1300"/>
      <c r="C550" s="1301"/>
      <c r="D550" s="1301"/>
      <c r="E550" s="1301"/>
      <c r="F550" s="1301" t="s">
        <v>187</v>
      </c>
      <c r="G550" s="1016"/>
      <c r="H550" s="161" t="s">
        <v>12</v>
      </c>
      <c r="I550" s="880"/>
      <c r="J550" s="880"/>
      <c r="K550" s="881"/>
      <c r="L550" s="881"/>
      <c r="M550" s="881"/>
      <c r="N550" s="1085">
        <v>0</v>
      </c>
      <c r="O550" s="881"/>
      <c r="P550" s="881"/>
      <c r="Q550" s="1302"/>
      <c r="R550" s="1302"/>
      <c r="S550" s="1302"/>
      <c r="T550" s="1302"/>
      <c r="U550" s="1302"/>
      <c r="V550" s="1302"/>
      <c r="W550" s="1302"/>
      <c r="X550" s="1302"/>
      <c r="Y550" s="1302"/>
      <c r="Z550" s="1302"/>
    </row>
    <row r="551" spans="1:26" ht="18.75">
      <c r="A551" s="1299"/>
      <c r="B551" s="1300"/>
      <c r="C551" s="1300"/>
      <c r="D551" s="1300"/>
      <c r="E551" s="1301"/>
      <c r="F551" s="1301" t="s">
        <v>188</v>
      </c>
      <c r="G551" s="1016"/>
      <c r="H551" s="161" t="s">
        <v>12</v>
      </c>
      <c r="I551" s="880"/>
      <c r="J551" s="880"/>
      <c r="K551" s="881"/>
      <c r="L551" s="881"/>
      <c r="M551" s="881"/>
      <c r="N551" s="1085">
        <v>0</v>
      </c>
      <c r="O551" s="881"/>
      <c r="P551" s="881"/>
      <c r="Q551" s="1302"/>
      <c r="R551" s="1302"/>
      <c r="S551" s="1302"/>
      <c r="T551" s="1302"/>
      <c r="U551" s="1302"/>
      <c r="V551" s="1302"/>
      <c r="W551" s="1302"/>
      <c r="X551" s="1302"/>
      <c r="Y551" s="1302"/>
      <c r="Z551" s="1302"/>
    </row>
    <row r="552" spans="1:26" ht="18.75">
      <c r="A552" s="1299"/>
      <c r="B552" s="1300"/>
      <c r="C552" s="1301"/>
      <c r="D552" s="1301"/>
      <c r="E552" s="1301"/>
      <c r="F552" s="1301" t="s">
        <v>189</v>
      </c>
      <c r="G552" s="1016"/>
      <c r="H552" s="161" t="s">
        <v>12</v>
      </c>
      <c r="I552" s="880"/>
      <c r="J552" s="880"/>
      <c r="K552" s="881"/>
      <c r="L552" s="881"/>
      <c r="M552" s="881"/>
      <c r="N552" s="1085">
        <v>63268</v>
      </c>
      <c r="O552" s="881"/>
      <c r="P552" s="881"/>
      <c r="Q552" s="1302"/>
      <c r="R552" s="1302"/>
      <c r="S552" s="1302"/>
      <c r="T552" s="1302"/>
      <c r="U552" s="1302"/>
      <c r="V552" s="1302"/>
      <c r="W552" s="1302"/>
      <c r="X552" s="1302"/>
      <c r="Y552" s="1302"/>
      <c r="Z552" s="1302"/>
    </row>
    <row r="553" spans="1:26" ht="18.75">
      <c r="A553" s="1299"/>
      <c r="B553" s="1300"/>
      <c r="C553" s="1300"/>
      <c r="D553" s="1300"/>
      <c r="E553" s="1301"/>
      <c r="F553" s="1301" t="s">
        <v>190</v>
      </c>
      <c r="G553" s="1016"/>
      <c r="H553" s="161" t="s">
        <v>12</v>
      </c>
      <c r="I553" s="880"/>
      <c r="J553" s="880"/>
      <c r="K553" s="881"/>
      <c r="L553" s="881"/>
      <c r="M553" s="881"/>
      <c r="N553" s="1085">
        <v>45168</v>
      </c>
      <c r="O553" s="881"/>
      <c r="P553" s="881"/>
      <c r="Q553" s="1302"/>
      <c r="R553" s="1302"/>
      <c r="S553" s="1302"/>
      <c r="T553" s="1302"/>
      <c r="U553" s="1302"/>
      <c r="V553" s="1302"/>
      <c r="W553" s="1302"/>
      <c r="X553" s="1302"/>
      <c r="Y553" s="1302"/>
      <c r="Z553" s="1302"/>
    </row>
    <row r="554" spans="1:26" ht="18.75">
      <c r="A554" s="1299"/>
      <c r="B554" s="1300"/>
      <c r="C554" s="1300"/>
      <c r="D554" s="1300"/>
      <c r="E554" s="1301"/>
      <c r="F554" s="1301" t="s">
        <v>234</v>
      </c>
      <c r="G554" s="1016"/>
      <c r="H554" s="161" t="s">
        <v>12</v>
      </c>
      <c r="I554" s="880"/>
      <c r="J554" s="880"/>
      <c r="K554" s="881"/>
      <c r="L554" s="881"/>
      <c r="M554" s="881"/>
      <c r="N554" s="1085">
        <v>0</v>
      </c>
      <c r="O554" s="881"/>
      <c r="P554" s="881"/>
      <c r="Q554" s="1302"/>
      <c r="R554" s="1302"/>
      <c r="S554" s="1302"/>
      <c r="T554" s="1302"/>
      <c r="U554" s="1302"/>
      <c r="V554" s="1302"/>
      <c r="W554" s="1302"/>
      <c r="X554" s="1302"/>
      <c r="Y554" s="1302"/>
      <c r="Z554" s="1302"/>
    </row>
    <row r="555" spans="1:26" ht="18.75">
      <c r="A555" s="1317"/>
      <c r="B555" s="1300"/>
      <c r="C555" s="1300"/>
      <c r="D555" s="1325" t="s">
        <v>21</v>
      </c>
      <c r="E555" s="1301"/>
      <c r="F555" s="1301"/>
      <c r="G555" s="1016"/>
      <c r="H555" s="168" t="s">
        <v>12</v>
      </c>
      <c r="I555" s="997"/>
      <c r="J555" s="997"/>
      <c r="K555" s="998"/>
      <c r="L555" s="881">
        <f t="shared" ref="L555:N555" ca="1" si="242">L556+L557</f>
        <v>0</v>
      </c>
      <c r="M555" s="881">
        <f t="shared" si="242"/>
        <v>0</v>
      </c>
      <c r="N555" s="881">
        <f t="shared" si="242"/>
        <v>0</v>
      </c>
      <c r="O555" s="881">
        <f t="shared" ref="O555:O557" ca="1" si="243">IF(L555&gt;0,N555*100/L555,0)</f>
        <v>0</v>
      </c>
      <c r="P555" s="881">
        <f t="shared" ref="P555:P557" si="244">IF(M555&gt;0,N555*100/M555,0)</f>
        <v>0</v>
      </c>
      <c r="Q555" s="1302"/>
      <c r="R555" s="1302"/>
      <c r="S555" s="1302"/>
      <c r="T555" s="1302"/>
      <c r="U555" s="1302"/>
      <c r="V555" s="1302"/>
      <c r="W555" s="1302"/>
      <c r="X555" s="1302"/>
      <c r="Y555" s="1302"/>
      <c r="Z555" s="1302"/>
    </row>
    <row r="556" spans="1:26" ht="18.75" hidden="1">
      <c r="A556" s="1319"/>
      <c r="B556" s="1324"/>
      <c r="C556" s="1324"/>
      <c r="D556" s="1320"/>
      <c r="E556" s="1320" t="s">
        <v>18</v>
      </c>
      <c r="F556" s="1320"/>
      <c r="G556" s="1322"/>
      <c r="H556" s="165" t="s">
        <v>12</v>
      </c>
      <c r="I556" s="1000"/>
      <c r="J556" s="1000"/>
      <c r="K556" s="1001"/>
      <c r="L556" s="887">
        <v>0</v>
      </c>
      <c r="M556" s="887">
        <v>0</v>
      </c>
      <c r="N556" s="887">
        <v>0</v>
      </c>
      <c r="O556" s="887">
        <f t="shared" si="243"/>
        <v>0</v>
      </c>
      <c r="P556" s="887">
        <f t="shared" si="244"/>
        <v>0</v>
      </c>
      <c r="Q556" s="1323"/>
      <c r="R556" s="1323"/>
      <c r="S556" s="1323"/>
      <c r="T556" s="1323"/>
      <c r="U556" s="1323"/>
      <c r="V556" s="1323"/>
      <c r="W556" s="1323"/>
      <c r="X556" s="1323"/>
      <c r="Y556" s="1323"/>
      <c r="Z556" s="1323"/>
    </row>
    <row r="557" spans="1:26" ht="18.75" hidden="1">
      <c r="A557" s="1319"/>
      <c r="B557" s="1324"/>
      <c r="C557" s="1324"/>
      <c r="D557" s="1320"/>
      <c r="E557" s="1320" t="s">
        <v>19</v>
      </c>
      <c r="F557" s="1320"/>
      <c r="G557" s="1322"/>
      <c r="H557" s="169" t="s">
        <v>12</v>
      </c>
      <c r="I557" s="1000"/>
      <c r="J557" s="1000"/>
      <c r="K557" s="1001"/>
      <c r="L557" s="887">
        <f ca="1">IFERROR(__xludf.DUMMYFUNCTION("IMPORTRANGE(""https://docs.google.com/spreadsheets/d/1QqKyyYR6Q21VydFLVH3TRQUabQu_ym0Zz7PgGX0-kHA/edit?usp=sharing"",""แผน!HF81"")"),0)</f>
        <v>0</v>
      </c>
      <c r="M557" s="887">
        <v>0</v>
      </c>
      <c r="N557" s="887">
        <v>0</v>
      </c>
      <c r="O557" s="887">
        <f t="shared" ca="1" si="243"/>
        <v>0</v>
      </c>
      <c r="P557" s="887">
        <f t="shared" si="244"/>
        <v>0</v>
      </c>
      <c r="Q557" s="1323"/>
      <c r="R557" s="1323"/>
      <c r="S557" s="1323"/>
      <c r="T557" s="1323"/>
      <c r="U557" s="1323"/>
      <c r="V557" s="1323"/>
      <c r="W557" s="1323"/>
      <c r="X557" s="1323"/>
      <c r="Y557" s="1323"/>
      <c r="Z557" s="1323"/>
    </row>
    <row r="558" spans="1:26" ht="19.5">
      <c r="A558" s="1326"/>
      <c r="B558" s="1327"/>
      <c r="C558" s="1300" t="s">
        <v>16</v>
      </c>
      <c r="D558" s="1380" t="s">
        <v>38</v>
      </c>
      <c r="E558" s="1330"/>
      <c r="F558" s="1330"/>
      <c r="G558" s="1331"/>
      <c r="H558" s="1007"/>
      <c r="I558" s="997"/>
      <c r="J558" s="997"/>
      <c r="K558" s="998"/>
      <c r="L558" s="998"/>
      <c r="M558" s="998"/>
      <c r="N558" s="998"/>
      <c r="O558" s="998"/>
      <c r="P558" s="998"/>
      <c r="Q558" s="1302"/>
      <c r="R558" s="1302"/>
      <c r="S558" s="1302"/>
      <c r="T558" s="1302"/>
      <c r="U558" s="1302"/>
      <c r="V558" s="1302"/>
      <c r="W558" s="1302"/>
      <c r="X558" s="1302"/>
      <c r="Y558" s="1302"/>
      <c r="Z558" s="1302"/>
    </row>
    <row r="559" spans="1:26" ht="19.5">
      <c r="A559" s="1390"/>
      <c r="B559" s="1391" t="s">
        <v>235</v>
      </c>
      <c r="C559" s="1392"/>
      <c r="D559" s="1392"/>
      <c r="E559" s="1375"/>
      <c r="F559" s="1375"/>
      <c r="G559" s="1376"/>
      <c r="H559" s="693" t="s">
        <v>46</v>
      </c>
      <c r="I559" s="1377">
        <f t="shared" ref="I559:J559" ca="1" si="245">I576</f>
        <v>2360</v>
      </c>
      <c r="J559" s="1377">
        <f t="shared" si="245"/>
        <v>2360</v>
      </c>
      <c r="K559" s="1378">
        <f t="shared" ref="K559:K561" ca="1" si="246">IF(I559&gt;0,J559*100/I559,0)</f>
        <v>100</v>
      </c>
      <c r="L559" s="1379"/>
      <c r="M559" s="1379"/>
      <c r="N559" s="1379"/>
      <c r="O559" s="1379"/>
      <c r="P559" s="1379"/>
      <c r="Q559" s="1302"/>
      <c r="R559" s="1302"/>
      <c r="S559" s="1302"/>
      <c r="T559" s="1302"/>
      <c r="U559" s="1302"/>
      <c r="V559" s="1302"/>
      <c r="W559" s="1302"/>
      <c r="X559" s="1302"/>
      <c r="Y559" s="1302"/>
      <c r="Z559" s="1302"/>
    </row>
    <row r="560" spans="1:26" ht="19.5">
      <c r="A560" s="1326"/>
      <c r="B560" s="1327"/>
      <c r="C560" s="1336" t="s">
        <v>236</v>
      </c>
      <c r="D560" s="1327"/>
      <c r="E560" s="1014"/>
      <c r="F560" s="1014"/>
      <c r="G560" s="1007"/>
      <c r="H560" s="765" t="s">
        <v>46</v>
      </c>
      <c r="I560" s="1018">
        <f ca="1">IFERROR(__xludf.DUMMYFUNCTION("IMPORTRANGE(""https://docs.google.com/spreadsheets/d/1QqKyyYR6Q21VydFLVH3TRQUabQu_ym0Zz7PgGX0-kHA/edit?usp=sharing"",""แผน!HH81"")"),2360)</f>
        <v>2360</v>
      </c>
      <c r="J560" s="1018">
        <f t="shared" ref="J560:J561" si="247">J562+J564+J566</f>
        <v>2360</v>
      </c>
      <c r="K560" s="1162">
        <f t="shared" ca="1" si="246"/>
        <v>100</v>
      </c>
      <c r="L560" s="998"/>
      <c r="M560" s="998"/>
      <c r="N560" s="998"/>
      <c r="O560" s="998"/>
      <c r="P560" s="998"/>
      <c r="Q560" s="1302"/>
      <c r="R560" s="1302"/>
      <c r="S560" s="1302"/>
      <c r="T560" s="1302"/>
      <c r="U560" s="1302"/>
      <c r="V560" s="1302"/>
      <c r="W560" s="1302"/>
      <c r="X560" s="1302"/>
      <c r="Y560" s="1302"/>
      <c r="Z560" s="1302"/>
    </row>
    <row r="561" spans="1:26" ht="19.5">
      <c r="A561" s="1326"/>
      <c r="B561" s="1327"/>
      <c r="C561" s="1327"/>
      <c r="D561" s="1014"/>
      <c r="E561" s="1014"/>
      <c r="F561" s="1014"/>
      <c r="G561" s="1007"/>
      <c r="H561" s="765" t="s">
        <v>34</v>
      </c>
      <c r="I561" s="1018">
        <f ca="1">IFERROR(__xludf.DUMMYFUNCTION("IMPORTRANGE(""https://docs.google.com/spreadsheets/d/1QqKyyYR6Q21VydFLVH3TRQUabQu_ym0Zz7PgGX0-kHA/edit?usp=sharing"",""แผน!HG81"")"),339)</f>
        <v>339</v>
      </c>
      <c r="J561" s="1018">
        <f t="shared" si="247"/>
        <v>339</v>
      </c>
      <c r="K561" s="1162">
        <f t="shared" ca="1" si="246"/>
        <v>100</v>
      </c>
      <c r="L561" s="998"/>
      <c r="M561" s="998"/>
      <c r="N561" s="998"/>
      <c r="O561" s="998"/>
      <c r="P561" s="998"/>
      <c r="Q561" s="1302"/>
      <c r="R561" s="1302"/>
      <c r="S561" s="1302"/>
      <c r="T561" s="1302"/>
      <c r="U561" s="1302"/>
      <c r="V561" s="1302"/>
      <c r="W561" s="1302"/>
      <c r="X561" s="1302"/>
      <c r="Y561" s="1302"/>
      <c r="Z561" s="1302"/>
    </row>
    <row r="562" spans="1:26" ht="18.75">
      <c r="A562" s="1326"/>
      <c r="B562" s="1327"/>
      <c r="C562" s="1327"/>
      <c r="D562" s="1014" t="s">
        <v>237</v>
      </c>
      <c r="E562" s="1014"/>
      <c r="F562" s="1014"/>
      <c r="G562" s="1007"/>
      <c r="H562" s="762" t="s">
        <v>46</v>
      </c>
      <c r="I562" s="997"/>
      <c r="J562" s="1012">
        <v>2089</v>
      </c>
      <c r="K562" s="998"/>
      <c r="L562" s="998"/>
      <c r="M562" s="998"/>
      <c r="N562" s="998"/>
      <c r="O562" s="998"/>
      <c r="P562" s="998"/>
      <c r="Q562" s="1302"/>
      <c r="R562" s="1302"/>
      <c r="S562" s="1302"/>
      <c r="T562" s="1302"/>
      <c r="U562" s="1302"/>
      <c r="V562" s="1302"/>
      <c r="W562" s="1302"/>
      <c r="X562" s="1302"/>
      <c r="Y562" s="1302"/>
      <c r="Z562" s="1302"/>
    </row>
    <row r="563" spans="1:26" ht="18.75">
      <c r="A563" s="1326"/>
      <c r="B563" s="1327"/>
      <c r="C563" s="1327"/>
      <c r="D563" s="1327"/>
      <c r="E563" s="1014"/>
      <c r="F563" s="1014"/>
      <c r="G563" s="1007"/>
      <c r="H563" s="762" t="s">
        <v>34</v>
      </c>
      <c r="I563" s="997"/>
      <c r="J563" s="1012">
        <v>276</v>
      </c>
      <c r="K563" s="998"/>
      <c r="L563" s="998"/>
      <c r="M563" s="998"/>
      <c r="N563" s="998"/>
      <c r="O563" s="998"/>
      <c r="P563" s="998"/>
      <c r="Q563" s="1302"/>
      <c r="R563" s="1302"/>
      <c r="S563" s="1302"/>
      <c r="T563" s="1302"/>
      <c r="U563" s="1302"/>
      <c r="V563" s="1302"/>
      <c r="W563" s="1302"/>
      <c r="X563" s="1302"/>
      <c r="Y563" s="1302"/>
      <c r="Z563" s="1302"/>
    </row>
    <row r="564" spans="1:26" ht="18.75">
      <c r="A564" s="1326"/>
      <c r="B564" s="1327"/>
      <c r="C564" s="1327"/>
      <c r="D564" s="1014" t="s">
        <v>238</v>
      </c>
      <c r="E564" s="1014"/>
      <c r="F564" s="1014"/>
      <c r="G564" s="1007"/>
      <c r="H564" s="762" t="s">
        <v>46</v>
      </c>
      <c r="I564" s="997"/>
      <c r="J564" s="1012">
        <v>199</v>
      </c>
      <c r="K564" s="998"/>
      <c r="L564" s="998"/>
      <c r="M564" s="998"/>
      <c r="N564" s="998"/>
      <c r="O564" s="998"/>
      <c r="P564" s="998"/>
      <c r="Q564" s="1302"/>
      <c r="R564" s="1302"/>
      <c r="S564" s="1302"/>
      <c r="T564" s="1302"/>
      <c r="U564" s="1302"/>
      <c r="V564" s="1302"/>
      <c r="W564" s="1302"/>
      <c r="X564" s="1302"/>
      <c r="Y564" s="1302"/>
      <c r="Z564" s="1302"/>
    </row>
    <row r="565" spans="1:26" ht="18.75">
      <c r="A565" s="1326"/>
      <c r="B565" s="1327"/>
      <c r="C565" s="1327"/>
      <c r="D565" s="1014"/>
      <c r="E565" s="1014"/>
      <c r="F565" s="1014"/>
      <c r="G565" s="1007"/>
      <c r="H565" s="762" t="s">
        <v>34</v>
      </c>
      <c r="I565" s="997"/>
      <c r="J565" s="1012">
        <v>53</v>
      </c>
      <c r="K565" s="998"/>
      <c r="L565" s="998"/>
      <c r="M565" s="998"/>
      <c r="N565" s="998"/>
      <c r="O565" s="998"/>
      <c r="P565" s="998"/>
      <c r="Q565" s="1302"/>
      <c r="R565" s="1302"/>
      <c r="S565" s="1302"/>
      <c r="T565" s="1302"/>
      <c r="U565" s="1302"/>
      <c r="V565" s="1302"/>
      <c r="W565" s="1302"/>
      <c r="X565" s="1302"/>
      <c r="Y565" s="1302"/>
      <c r="Z565" s="1302"/>
    </row>
    <row r="566" spans="1:26" ht="18.75">
      <c r="A566" s="1326"/>
      <c r="B566" s="1327"/>
      <c r="C566" s="1327"/>
      <c r="D566" s="1014" t="s">
        <v>239</v>
      </c>
      <c r="E566" s="1014"/>
      <c r="F566" s="1014"/>
      <c r="G566" s="1007"/>
      <c r="H566" s="762" t="s">
        <v>46</v>
      </c>
      <c r="I566" s="997"/>
      <c r="J566" s="1012">
        <v>72</v>
      </c>
      <c r="K566" s="998"/>
      <c r="L566" s="998"/>
      <c r="M566" s="998"/>
      <c r="N566" s="998"/>
      <c r="O566" s="998"/>
      <c r="P566" s="998"/>
      <c r="Q566" s="1302"/>
      <c r="R566" s="1302"/>
      <c r="S566" s="1302"/>
      <c r="T566" s="1302"/>
      <c r="U566" s="1302"/>
      <c r="V566" s="1302"/>
      <c r="W566" s="1302"/>
      <c r="X566" s="1302"/>
      <c r="Y566" s="1302"/>
      <c r="Z566" s="1302"/>
    </row>
    <row r="567" spans="1:26" ht="18.75">
      <c r="A567" s="1326"/>
      <c r="B567" s="1327"/>
      <c r="C567" s="1327"/>
      <c r="D567" s="1014"/>
      <c r="E567" s="1014"/>
      <c r="F567" s="1014"/>
      <c r="G567" s="1007"/>
      <c r="H567" s="762" t="s">
        <v>34</v>
      </c>
      <c r="I567" s="997"/>
      <c r="J567" s="1012">
        <v>10</v>
      </c>
      <c r="K567" s="998"/>
      <c r="L567" s="998"/>
      <c r="M567" s="998"/>
      <c r="N567" s="998"/>
      <c r="O567" s="998"/>
      <c r="P567" s="998"/>
      <c r="Q567" s="1302"/>
      <c r="R567" s="1302"/>
      <c r="S567" s="1302"/>
      <c r="T567" s="1302"/>
      <c r="U567" s="1302"/>
      <c r="V567" s="1302"/>
      <c r="W567" s="1302"/>
      <c r="X567" s="1302"/>
      <c r="Y567" s="1302"/>
      <c r="Z567" s="1302"/>
    </row>
    <row r="568" spans="1:26" ht="19.5">
      <c r="A568" s="1326"/>
      <c r="B568" s="1327"/>
      <c r="C568" s="1336" t="s">
        <v>240</v>
      </c>
      <c r="D568" s="1014"/>
      <c r="E568" s="1014"/>
      <c r="F568" s="1014"/>
      <c r="G568" s="1007"/>
      <c r="H568" s="765" t="s">
        <v>46</v>
      </c>
      <c r="I568" s="1018">
        <f ca="1">IFERROR(__xludf.DUMMYFUNCTION("IMPORTRANGE(""https://docs.google.com/spreadsheets/d/1QqKyyYR6Q21VydFLVH3TRQUabQu_ym0Zz7PgGX0-kHA/edit?usp=sharing"",""แผน!HH81"")"),2360)</f>
        <v>2360</v>
      </c>
      <c r="J568" s="1019">
        <f t="shared" ref="J568:J569" si="248">J570+J572+J574</f>
        <v>2360</v>
      </c>
      <c r="K568" s="1162">
        <f t="shared" ref="K568:K569" ca="1" si="249">IF(I568&gt;0,J568*100/I568,0)</f>
        <v>100</v>
      </c>
      <c r="L568" s="998"/>
      <c r="M568" s="998"/>
      <c r="N568" s="998"/>
      <c r="O568" s="998"/>
      <c r="P568" s="998"/>
      <c r="Q568" s="1302"/>
      <c r="R568" s="1302"/>
      <c r="S568" s="1302"/>
      <c r="T568" s="1302"/>
      <c r="U568" s="1302"/>
      <c r="V568" s="1302"/>
      <c r="W568" s="1302"/>
      <c r="X568" s="1302"/>
      <c r="Y568" s="1302"/>
      <c r="Z568" s="1302"/>
    </row>
    <row r="569" spans="1:26" ht="19.5">
      <c r="A569" s="1326"/>
      <c r="B569" s="1327"/>
      <c r="C569" s="1327"/>
      <c r="D569" s="1327"/>
      <c r="E569" s="1014"/>
      <c r="F569" s="1014"/>
      <c r="G569" s="1007"/>
      <c r="H569" s="765" t="s">
        <v>34</v>
      </c>
      <c r="I569" s="1018">
        <f ca="1">IFERROR(__xludf.DUMMYFUNCTION("IMPORTRANGE(""https://docs.google.com/spreadsheets/d/1QqKyyYR6Q21VydFLVH3TRQUabQu_ym0Zz7PgGX0-kHA/edit?usp=sharing"",""แผน!HG81"")"),339)</f>
        <v>339</v>
      </c>
      <c r="J569" s="1019">
        <f t="shared" si="248"/>
        <v>339</v>
      </c>
      <c r="K569" s="1162">
        <f t="shared" ca="1" si="249"/>
        <v>100</v>
      </c>
      <c r="L569" s="998"/>
      <c r="M569" s="998"/>
      <c r="N569" s="998"/>
      <c r="O569" s="998"/>
      <c r="P569" s="998"/>
      <c r="Q569" s="1302"/>
      <c r="R569" s="1302"/>
      <c r="S569" s="1302"/>
      <c r="T569" s="1302"/>
      <c r="U569" s="1302"/>
      <c r="V569" s="1302"/>
      <c r="W569" s="1302"/>
      <c r="X569" s="1302"/>
      <c r="Y569" s="1302"/>
      <c r="Z569" s="1302"/>
    </row>
    <row r="570" spans="1:26" ht="18.75">
      <c r="A570" s="1326"/>
      <c r="B570" s="1327"/>
      <c r="C570" s="1327"/>
      <c r="D570" s="1014" t="s">
        <v>241</v>
      </c>
      <c r="E570" s="1327"/>
      <c r="F570" s="1014"/>
      <c r="G570" s="1007"/>
      <c r="H570" s="762" t="s">
        <v>46</v>
      </c>
      <c r="I570" s="997"/>
      <c r="J570" s="1012">
        <v>2103</v>
      </c>
      <c r="K570" s="998"/>
      <c r="L570" s="998"/>
      <c r="M570" s="998"/>
      <c r="N570" s="998"/>
      <c r="O570" s="998"/>
      <c r="P570" s="998"/>
      <c r="Q570" s="1302"/>
      <c r="R570" s="1302"/>
      <c r="S570" s="1302"/>
      <c r="T570" s="1302"/>
      <c r="U570" s="1302"/>
      <c r="V570" s="1302"/>
      <c r="W570" s="1302"/>
      <c r="X570" s="1302"/>
      <c r="Y570" s="1302"/>
      <c r="Z570" s="1302"/>
    </row>
    <row r="571" spans="1:26" ht="18.75">
      <c r="A571" s="1326"/>
      <c r="B571" s="1327"/>
      <c r="C571" s="1327"/>
      <c r="D571" s="1327"/>
      <c r="E571" s="1014"/>
      <c r="F571" s="1014"/>
      <c r="G571" s="1007"/>
      <c r="H571" s="762" t="s">
        <v>34</v>
      </c>
      <c r="I571" s="997"/>
      <c r="J571" s="1012">
        <v>278</v>
      </c>
      <c r="K571" s="998"/>
      <c r="L571" s="998"/>
      <c r="M571" s="998"/>
      <c r="N571" s="998"/>
      <c r="O571" s="998"/>
      <c r="P571" s="998"/>
      <c r="Q571" s="1302"/>
      <c r="R571" s="1302"/>
      <c r="S571" s="1302"/>
      <c r="T571" s="1302"/>
      <c r="U571" s="1302"/>
      <c r="V571" s="1302"/>
      <c r="W571" s="1302"/>
      <c r="X571" s="1302"/>
      <c r="Y571" s="1302"/>
      <c r="Z571" s="1302"/>
    </row>
    <row r="572" spans="1:26" ht="18.75">
      <c r="A572" s="1326"/>
      <c r="B572" s="1327"/>
      <c r="C572" s="1327"/>
      <c r="D572" s="1014" t="s">
        <v>242</v>
      </c>
      <c r="E572" s="1014"/>
      <c r="F572" s="1014"/>
      <c r="G572" s="1007"/>
      <c r="H572" s="762" t="s">
        <v>46</v>
      </c>
      <c r="I572" s="997"/>
      <c r="J572" s="1012">
        <v>185</v>
      </c>
      <c r="K572" s="998"/>
      <c r="L572" s="998"/>
      <c r="M572" s="998"/>
      <c r="N572" s="998"/>
      <c r="O572" s="998"/>
      <c r="P572" s="998"/>
      <c r="Q572" s="1302"/>
      <c r="R572" s="1302"/>
      <c r="S572" s="1302"/>
      <c r="T572" s="1302"/>
      <c r="U572" s="1302"/>
      <c r="V572" s="1302"/>
      <c r="W572" s="1302"/>
      <c r="X572" s="1302"/>
      <c r="Y572" s="1302"/>
      <c r="Z572" s="1302"/>
    </row>
    <row r="573" spans="1:26" ht="18.75">
      <c r="A573" s="1326"/>
      <c r="B573" s="1327"/>
      <c r="C573" s="1327"/>
      <c r="D573" s="1014"/>
      <c r="E573" s="1014"/>
      <c r="F573" s="1014"/>
      <c r="G573" s="1007"/>
      <c r="H573" s="762" t="s">
        <v>34</v>
      </c>
      <c r="I573" s="997"/>
      <c r="J573" s="1012">
        <v>51</v>
      </c>
      <c r="K573" s="998"/>
      <c r="L573" s="998"/>
      <c r="M573" s="998"/>
      <c r="N573" s="998"/>
      <c r="O573" s="998"/>
      <c r="P573" s="998"/>
      <c r="Q573" s="1302"/>
      <c r="R573" s="1302"/>
      <c r="S573" s="1302"/>
      <c r="T573" s="1302"/>
      <c r="U573" s="1302"/>
      <c r="V573" s="1302"/>
      <c r="W573" s="1302"/>
      <c r="X573" s="1302"/>
      <c r="Y573" s="1302"/>
      <c r="Z573" s="1302"/>
    </row>
    <row r="574" spans="1:26" ht="18.75">
      <c r="A574" s="1326"/>
      <c r="B574" s="1327"/>
      <c r="C574" s="1327"/>
      <c r="D574" s="1014" t="s">
        <v>243</v>
      </c>
      <c r="E574" s="1014"/>
      <c r="F574" s="1014"/>
      <c r="G574" s="1007"/>
      <c r="H574" s="762" t="s">
        <v>46</v>
      </c>
      <c r="I574" s="997"/>
      <c r="J574" s="1012">
        <v>72</v>
      </c>
      <c r="K574" s="998"/>
      <c r="L574" s="998"/>
      <c r="M574" s="998"/>
      <c r="N574" s="998"/>
      <c r="O574" s="998"/>
      <c r="P574" s="998"/>
      <c r="Q574" s="1302"/>
      <c r="R574" s="1302"/>
      <c r="S574" s="1302"/>
      <c r="T574" s="1302"/>
      <c r="U574" s="1302"/>
      <c r="V574" s="1302"/>
      <c r="W574" s="1302"/>
      <c r="X574" s="1302"/>
      <c r="Y574" s="1302"/>
      <c r="Z574" s="1302"/>
    </row>
    <row r="575" spans="1:26" ht="18.75">
      <c r="A575" s="1326"/>
      <c r="B575" s="1327"/>
      <c r="C575" s="1327"/>
      <c r="D575" s="1327"/>
      <c r="E575" s="1014"/>
      <c r="F575" s="1014"/>
      <c r="G575" s="1007"/>
      <c r="H575" s="762" t="s">
        <v>34</v>
      </c>
      <c r="I575" s="997"/>
      <c r="J575" s="1012">
        <v>10</v>
      </c>
      <c r="K575" s="998"/>
      <c r="L575" s="998"/>
      <c r="M575" s="998"/>
      <c r="N575" s="998"/>
      <c r="O575" s="998"/>
      <c r="P575" s="998"/>
      <c r="Q575" s="1302"/>
      <c r="R575" s="1302"/>
      <c r="S575" s="1302"/>
      <c r="T575" s="1302"/>
      <c r="U575" s="1302"/>
      <c r="V575" s="1302"/>
      <c r="W575" s="1302"/>
      <c r="X575" s="1302"/>
      <c r="Y575" s="1302"/>
      <c r="Z575" s="1302"/>
    </row>
    <row r="576" spans="1:26" ht="19.5">
      <c r="A576" s="1326"/>
      <c r="B576" s="1327"/>
      <c r="C576" s="1336" t="s">
        <v>244</v>
      </c>
      <c r="D576" s="1327"/>
      <c r="E576" s="1327"/>
      <c r="F576" s="1014"/>
      <c r="G576" s="1007"/>
      <c r="H576" s="765" t="s">
        <v>46</v>
      </c>
      <c r="I576" s="1018">
        <f ca="1">IFERROR(__xludf.DUMMYFUNCTION("IMPORTRANGE(""https://docs.google.com/spreadsheets/d/1QqKyyYR6Q21VydFLVH3TRQUabQu_ym0Zz7PgGX0-kHA/edit?usp=sharing"",""แผน!HH81"")"),2360)</f>
        <v>2360</v>
      </c>
      <c r="J576" s="1019">
        <f t="shared" ref="J576:J577" si="250">J578+J580+J582+J588+J590</f>
        <v>2360</v>
      </c>
      <c r="K576" s="1162">
        <f t="shared" ref="K576:K577" ca="1" si="251">IF(I576&gt;0,J576*100/I576,0)</f>
        <v>100</v>
      </c>
      <c r="L576" s="998"/>
      <c r="M576" s="998"/>
      <c r="N576" s="998"/>
      <c r="O576" s="998"/>
      <c r="P576" s="998"/>
      <c r="Q576" s="1302"/>
      <c r="R576" s="1302"/>
      <c r="S576" s="1302"/>
      <c r="T576" s="1302"/>
      <c r="U576" s="1302"/>
      <c r="V576" s="1302"/>
      <c r="W576" s="1302"/>
      <c r="X576" s="1302"/>
      <c r="Y576" s="1302"/>
      <c r="Z576" s="1302"/>
    </row>
    <row r="577" spans="1:26" ht="19.5">
      <c r="A577" s="1326"/>
      <c r="B577" s="1327"/>
      <c r="C577" s="1327"/>
      <c r="D577" s="1327"/>
      <c r="E577" s="1014"/>
      <c r="F577" s="1014"/>
      <c r="G577" s="1007"/>
      <c r="H577" s="765" t="s">
        <v>34</v>
      </c>
      <c r="I577" s="1018">
        <f ca="1">IFERROR(__xludf.DUMMYFUNCTION("IMPORTRANGE(""https://docs.google.com/spreadsheets/d/1QqKyyYR6Q21VydFLVH3TRQUabQu_ym0Zz7PgGX0-kHA/edit?usp=sharing"",""แผน!HG81"")"),339)</f>
        <v>339</v>
      </c>
      <c r="J577" s="1019">
        <f t="shared" si="250"/>
        <v>339</v>
      </c>
      <c r="K577" s="1162">
        <f t="shared" ca="1" si="251"/>
        <v>100</v>
      </c>
      <c r="L577" s="998"/>
      <c r="M577" s="998"/>
      <c r="N577" s="998"/>
      <c r="O577" s="998"/>
      <c r="P577" s="998"/>
      <c r="Q577" s="1302"/>
      <c r="R577" s="1302"/>
      <c r="S577" s="1302"/>
      <c r="T577" s="1302"/>
      <c r="U577" s="1302"/>
      <c r="V577" s="1302"/>
      <c r="W577" s="1302"/>
      <c r="X577" s="1302"/>
      <c r="Y577" s="1302"/>
      <c r="Z577" s="1302"/>
    </row>
    <row r="578" spans="1:26" ht="18.75">
      <c r="A578" s="1326"/>
      <c r="B578" s="1327"/>
      <c r="C578" s="1327"/>
      <c r="D578" s="1014" t="s">
        <v>245</v>
      </c>
      <c r="E578" s="1014"/>
      <c r="F578" s="1014"/>
      <c r="G578" s="1007"/>
      <c r="H578" s="762" t="s">
        <v>46</v>
      </c>
      <c r="I578" s="997"/>
      <c r="J578" s="1012">
        <v>2096</v>
      </c>
      <c r="K578" s="998"/>
      <c r="L578" s="998"/>
      <c r="M578" s="998"/>
      <c r="N578" s="998"/>
      <c r="O578" s="998"/>
      <c r="P578" s="998"/>
      <c r="Q578" s="1302"/>
      <c r="R578" s="1302"/>
      <c r="S578" s="1302"/>
      <c r="T578" s="1302"/>
      <c r="U578" s="1302"/>
      <c r="V578" s="1302"/>
      <c r="W578" s="1302"/>
      <c r="X578" s="1302"/>
      <c r="Y578" s="1302"/>
      <c r="Z578" s="1302"/>
    </row>
    <row r="579" spans="1:26" ht="18.75">
      <c r="A579" s="1326"/>
      <c r="B579" s="1327"/>
      <c r="C579" s="1327"/>
      <c r="D579" s="1327"/>
      <c r="E579" s="1014"/>
      <c r="F579" s="1014"/>
      <c r="G579" s="1007"/>
      <c r="H579" s="762" t="s">
        <v>34</v>
      </c>
      <c r="I579" s="997"/>
      <c r="J579" s="1012">
        <v>278</v>
      </c>
      <c r="K579" s="998"/>
      <c r="L579" s="998"/>
      <c r="M579" s="998"/>
      <c r="N579" s="998"/>
      <c r="O579" s="998"/>
      <c r="P579" s="998"/>
      <c r="Q579" s="1302"/>
      <c r="R579" s="1302"/>
      <c r="S579" s="1302"/>
      <c r="T579" s="1302"/>
      <c r="U579" s="1302"/>
      <c r="V579" s="1302"/>
      <c r="W579" s="1302"/>
      <c r="X579" s="1302"/>
      <c r="Y579" s="1302"/>
      <c r="Z579" s="1302"/>
    </row>
    <row r="580" spans="1:26" ht="18.75">
      <c r="A580" s="1326"/>
      <c r="B580" s="1327"/>
      <c r="C580" s="1327"/>
      <c r="D580" s="1014" t="s">
        <v>246</v>
      </c>
      <c r="E580" s="1014"/>
      <c r="F580" s="1014"/>
      <c r="G580" s="1007"/>
      <c r="H580" s="762" t="s">
        <v>46</v>
      </c>
      <c r="I580" s="997"/>
      <c r="J580" s="1012">
        <v>191</v>
      </c>
      <c r="K580" s="998"/>
      <c r="L580" s="998"/>
      <c r="M580" s="998"/>
      <c r="N580" s="998"/>
      <c r="O580" s="998"/>
      <c r="P580" s="998"/>
      <c r="Q580" s="1302"/>
      <c r="R580" s="1302"/>
      <c r="S580" s="1302"/>
      <c r="T580" s="1302"/>
      <c r="U580" s="1302"/>
      <c r="V580" s="1302"/>
      <c r="W580" s="1302"/>
      <c r="X580" s="1302"/>
      <c r="Y580" s="1302"/>
      <c r="Z580" s="1302"/>
    </row>
    <row r="581" spans="1:26" ht="18.75">
      <c r="A581" s="1326"/>
      <c r="B581" s="1327"/>
      <c r="C581" s="1327"/>
      <c r="D581" s="1327"/>
      <c r="E581" s="1014"/>
      <c r="F581" s="1014"/>
      <c r="G581" s="1007"/>
      <c r="H581" s="762" t="s">
        <v>34</v>
      </c>
      <c r="I581" s="997"/>
      <c r="J581" s="1012">
        <v>51</v>
      </c>
      <c r="K581" s="998"/>
      <c r="L581" s="998"/>
      <c r="M581" s="998"/>
      <c r="N581" s="998"/>
      <c r="O581" s="998"/>
      <c r="P581" s="998"/>
      <c r="Q581" s="1302"/>
      <c r="R581" s="1302"/>
      <c r="S581" s="1302"/>
      <c r="T581" s="1302"/>
      <c r="U581" s="1302"/>
      <c r="V581" s="1302"/>
      <c r="W581" s="1302"/>
      <c r="X581" s="1302"/>
      <c r="Y581" s="1302"/>
      <c r="Z581" s="1302"/>
    </row>
    <row r="582" spans="1:26" ht="19.5">
      <c r="A582" s="1326"/>
      <c r="B582" s="1327"/>
      <c r="C582" s="1327"/>
      <c r="D582" s="1014" t="s">
        <v>247</v>
      </c>
      <c r="E582" s="1014"/>
      <c r="F582" s="1014"/>
      <c r="G582" s="1007"/>
      <c r="H582" s="762" t="s">
        <v>46</v>
      </c>
      <c r="I582" s="997"/>
      <c r="J582" s="1019">
        <f t="shared" ref="J582:J583" si="252">J584+J586</f>
        <v>73</v>
      </c>
      <c r="K582" s="1162"/>
      <c r="L582" s="998"/>
      <c r="M582" s="998"/>
      <c r="N582" s="998"/>
      <c r="O582" s="998"/>
      <c r="P582" s="998"/>
      <c r="Q582" s="1302"/>
      <c r="R582" s="1302"/>
      <c r="S582" s="1302"/>
      <c r="T582" s="1302"/>
      <c r="U582" s="1302"/>
      <c r="V582" s="1302"/>
      <c r="W582" s="1302"/>
      <c r="X582" s="1302"/>
      <c r="Y582" s="1302"/>
      <c r="Z582" s="1302"/>
    </row>
    <row r="583" spans="1:26" ht="19.5">
      <c r="A583" s="1326"/>
      <c r="B583" s="1327"/>
      <c r="C583" s="1327"/>
      <c r="D583" s="1327"/>
      <c r="E583" s="1014"/>
      <c r="F583" s="1014"/>
      <c r="G583" s="1007"/>
      <c r="H583" s="762" t="s">
        <v>34</v>
      </c>
      <c r="I583" s="997"/>
      <c r="J583" s="1019">
        <f t="shared" si="252"/>
        <v>10</v>
      </c>
      <c r="K583" s="1162"/>
      <c r="L583" s="998"/>
      <c r="M583" s="998"/>
      <c r="N583" s="998"/>
      <c r="O583" s="998"/>
      <c r="P583" s="998"/>
      <c r="Q583" s="1302"/>
      <c r="R583" s="1302"/>
      <c r="S583" s="1302"/>
      <c r="T583" s="1302"/>
      <c r="U583" s="1302"/>
      <c r="V583" s="1302"/>
      <c r="W583" s="1302"/>
      <c r="X583" s="1302"/>
      <c r="Y583" s="1302"/>
      <c r="Z583" s="1302"/>
    </row>
    <row r="584" spans="1:26" ht="18.75">
      <c r="A584" s="1326"/>
      <c r="B584" s="1327"/>
      <c r="C584" s="1327"/>
      <c r="D584" s="1327"/>
      <c r="E584" s="1014" t="s">
        <v>248</v>
      </c>
      <c r="F584" s="1014"/>
      <c r="G584" s="1007"/>
      <c r="H584" s="762" t="s">
        <v>46</v>
      </c>
      <c r="I584" s="997"/>
      <c r="J584" s="1012">
        <v>73</v>
      </c>
      <c r="K584" s="998"/>
      <c r="L584" s="998"/>
      <c r="M584" s="998"/>
      <c r="N584" s="998"/>
      <c r="O584" s="998"/>
      <c r="P584" s="998"/>
      <c r="Q584" s="1302"/>
      <c r="R584" s="1302"/>
      <c r="S584" s="1302"/>
      <c r="T584" s="1302"/>
      <c r="U584" s="1302"/>
      <c r="V584" s="1302"/>
      <c r="W584" s="1302"/>
      <c r="X584" s="1302"/>
      <c r="Y584" s="1302"/>
      <c r="Z584" s="1302"/>
    </row>
    <row r="585" spans="1:26" ht="18.75">
      <c r="A585" s="1326"/>
      <c r="B585" s="1327"/>
      <c r="C585" s="1327"/>
      <c r="D585" s="1327"/>
      <c r="E585" s="1014"/>
      <c r="F585" s="1014"/>
      <c r="G585" s="1007"/>
      <c r="H585" s="762" t="s">
        <v>34</v>
      </c>
      <c r="I585" s="997"/>
      <c r="J585" s="1012">
        <v>10</v>
      </c>
      <c r="K585" s="998"/>
      <c r="L585" s="998"/>
      <c r="M585" s="998"/>
      <c r="N585" s="998"/>
      <c r="O585" s="998"/>
      <c r="P585" s="998"/>
      <c r="Q585" s="1302"/>
      <c r="R585" s="1302"/>
      <c r="S585" s="1302"/>
      <c r="T585" s="1302"/>
      <c r="U585" s="1302"/>
      <c r="V585" s="1302"/>
      <c r="W585" s="1302"/>
      <c r="X585" s="1302"/>
      <c r="Y585" s="1302"/>
      <c r="Z585" s="1302"/>
    </row>
    <row r="586" spans="1:26" ht="18.75">
      <c r="A586" s="1326"/>
      <c r="B586" s="1327"/>
      <c r="C586" s="1327"/>
      <c r="D586" s="1327"/>
      <c r="E586" s="1014" t="s">
        <v>249</v>
      </c>
      <c r="F586" s="1014"/>
      <c r="G586" s="1007"/>
      <c r="H586" s="762" t="s">
        <v>46</v>
      </c>
      <c r="I586" s="997"/>
      <c r="J586" s="1012">
        <v>0</v>
      </c>
      <c r="K586" s="998"/>
      <c r="L586" s="998"/>
      <c r="M586" s="998"/>
      <c r="N586" s="998"/>
      <c r="O586" s="998"/>
      <c r="P586" s="998"/>
      <c r="Q586" s="1302"/>
      <c r="R586" s="1302"/>
      <c r="S586" s="1302"/>
      <c r="T586" s="1302"/>
      <c r="U586" s="1302"/>
      <c r="V586" s="1302"/>
      <c r="W586" s="1302"/>
      <c r="X586" s="1302"/>
      <c r="Y586" s="1302"/>
      <c r="Z586" s="1302"/>
    </row>
    <row r="587" spans="1:26" ht="18.75">
      <c r="A587" s="1326"/>
      <c r="B587" s="1327"/>
      <c r="C587" s="1327"/>
      <c r="D587" s="1327"/>
      <c r="E587" s="1327"/>
      <c r="F587" s="1014"/>
      <c r="G587" s="1007"/>
      <c r="H587" s="762" t="s">
        <v>34</v>
      </c>
      <c r="I587" s="997"/>
      <c r="J587" s="1012">
        <v>0</v>
      </c>
      <c r="K587" s="998"/>
      <c r="L587" s="998"/>
      <c r="M587" s="998"/>
      <c r="N587" s="998"/>
      <c r="O587" s="998"/>
      <c r="P587" s="998"/>
      <c r="Q587" s="1302"/>
      <c r="R587" s="1302"/>
      <c r="S587" s="1302"/>
      <c r="T587" s="1302"/>
      <c r="U587" s="1302"/>
      <c r="V587" s="1302"/>
      <c r="W587" s="1302"/>
      <c r="X587" s="1302"/>
      <c r="Y587" s="1302"/>
      <c r="Z587" s="1302"/>
    </row>
    <row r="588" spans="1:26" ht="18.75">
      <c r="A588" s="1326"/>
      <c r="B588" s="1327"/>
      <c r="C588" s="1327"/>
      <c r="D588" s="1014" t="s">
        <v>250</v>
      </c>
      <c r="E588" s="1014"/>
      <c r="F588" s="1014"/>
      <c r="G588" s="1007"/>
      <c r="H588" s="762" t="s">
        <v>46</v>
      </c>
      <c r="I588" s="997"/>
      <c r="J588" s="1012">
        <v>0</v>
      </c>
      <c r="K588" s="998"/>
      <c r="L588" s="998"/>
      <c r="M588" s="998"/>
      <c r="N588" s="998"/>
      <c r="O588" s="998"/>
      <c r="P588" s="998"/>
      <c r="Q588" s="1302"/>
      <c r="R588" s="1302"/>
      <c r="S588" s="1302"/>
      <c r="T588" s="1302"/>
      <c r="U588" s="1302"/>
      <c r="V588" s="1302"/>
      <c r="W588" s="1302"/>
      <c r="X588" s="1302"/>
      <c r="Y588" s="1302"/>
      <c r="Z588" s="1302"/>
    </row>
    <row r="589" spans="1:26" ht="18.75">
      <c r="A589" s="1326"/>
      <c r="B589" s="1327"/>
      <c r="C589" s="1327"/>
      <c r="D589" s="1327"/>
      <c r="E589" s="1327"/>
      <c r="F589" s="1014"/>
      <c r="G589" s="1007"/>
      <c r="H589" s="762" t="s">
        <v>34</v>
      </c>
      <c r="I589" s="997"/>
      <c r="J589" s="1012">
        <v>0</v>
      </c>
      <c r="K589" s="998"/>
      <c r="L589" s="998"/>
      <c r="M589" s="998"/>
      <c r="N589" s="998"/>
      <c r="O589" s="998"/>
      <c r="P589" s="998"/>
      <c r="Q589" s="1302"/>
      <c r="R589" s="1302"/>
      <c r="S589" s="1302"/>
      <c r="T589" s="1302"/>
      <c r="U589" s="1302"/>
      <c r="V589" s="1302"/>
      <c r="W589" s="1302"/>
      <c r="X589" s="1302"/>
      <c r="Y589" s="1302"/>
      <c r="Z589" s="1302"/>
    </row>
    <row r="590" spans="1:26" ht="18.75">
      <c r="A590" s="1326"/>
      <c r="B590" s="1327"/>
      <c r="C590" s="1327"/>
      <c r="D590" s="1014" t="s">
        <v>251</v>
      </c>
      <c r="E590" s="1014"/>
      <c r="F590" s="1014"/>
      <c r="G590" s="1007"/>
      <c r="H590" s="762" t="s">
        <v>46</v>
      </c>
      <c r="I590" s="997"/>
      <c r="J590" s="1012">
        <v>0</v>
      </c>
      <c r="K590" s="998"/>
      <c r="L590" s="998"/>
      <c r="M590" s="998"/>
      <c r="N590" s="998"/>
      <c r="O590" s="998"/>
      <c r="P590" s="998"/>
      <c r="Q590" s="1302"/>
      <c r="R590" s="1302"/>
      <c r="S590" s="1302"/>
      <c r="T590" s="1302"/>
      <c r="U590" s="1302"/>
      <c r="V590" s="1302"/>
      <c r="W590" s="1302"/>
      <c r="X590" s="1302"/>
      <c r="Y590" s="1302"/>
      <c r="Z590" s="1302"/>
    </row>
    <row r="591" spans="1:26" ht="18.75">
      <c r="A591" s="1393"/>
      <c r="B591" s="1394"/>
      <c r="C591" s="1394"/>
      <c r="D591" s="1394"/>
      <c r="E591" s="1302"/>
      <c r="F591" s="1302"/>
      <c r="G591" s="1395"/>
      <c r="H591" s="697" t="s">
        <v>34</v>
      </c>
      <c r="I591" s="1396"/>
      <c r="J591" s="1397">
        <v>0</v>
      </c>
      <c r="K591" s="1398"/>
      <c r="L591" s="1398"/>
      <c r="M591" s="1398"/>
      <c r="N591" s="1398"/>
      <c r="O591" s="1398"/>
      <c r="P591" s="1398"/>
      <c r="Q591" s="1302"/>
      <c r="R591" s="1302"/>
      <c r="S591" s="1302"/>
      <c r="T591" s="1302"/>
      <c r="U591" s="1302"/>
      <c r="V591" s="1302"/>
      <c r="W591" s="1302"/>
      <c r="X591" s="1302"/>
      <c r="Y591" s="1302"/>
      <c r="Z591" s="1302"/>
    </row>
    <row r="592" spans="1:26" ht="19.5">
      <c r="A592" s="1390"/>
      <c r="B592" s="1391" t="s">
        <v>252</v>
      </c>
      <c r="C592" s="1392"/>
      <c r="D592" s="1392"/>
      <c r="E592" s="1375"/>
      <c r="F592" s="1375"/>
      <c r="G592" s="1376"/>
      <c r="H592" s="693" t="s">
        <v>46</v>
      </c>
      <c r="I592" s="1399">
        <f t="shared" ref="I592:J592" ca="1" si="253">I593</f>
        <v>217.49</v>
      </c>
      <c r="J592" s="1377">
        <f t="shared" si="253"/>
        <v>0</v>
      </c>
      <c r="K592" s="1378">
        <f t="shared" ref="K592:K594" ca="1" si="254">IF(I592&gt;0,J592*100/I592,0)</f>
        <v>0</v>
      </c>
      <c r="L592" s="1379"/>
      <c r="M592" s="1379"/>
      <c r="N592" s="1379"/>
      <c r="O592" s="1379"/>
      <c r="P592" s="1379"/>
      <c r="Q592" s="1302"/>
      <c r="R592" s="1302"/>
      <c r="S592" s="1302"/>
      <c r="T592" s="1302"/>
      <c r="U592" s="1302"/>
      <c r="V592" s="1302"/>
      <c r="W592" s="1302"/>
      <c r="X592" s="1302"/>
      <c r="Y592" s="1302"/>
      <c r="Z592" s="1302"/>
    </row>
    <row r="593" spans="1:26" ht="19.5">
      <c r="A593" s="1326"/>
      <c r="B593" s="1327"/>
      <c r="C593" s="1336" t="s">
        <v>253</v>
      </c>
      <c r="D593" s="1327"/>
      <c r="E593" s="1327"/>
      <c r="F593" s="1014"/>
      <c r="G593" s="1007"/>
      <c r="H593" s="765" t="s">
        <v>46</v>
      </c>
      <c r="I593" s="1400">
        <f ca="1">IFERROR(__xludf.DUMMYFUNCTION("IMPORTRANGE(""https://docs.google.com/spreadsheets/d/1QqKyyYR6Q21VydFLVH3TRQUabQu_ym0Zz7PgGX0-kHA/edit?usp=sharing"",""แผน!HJ81"")"),217.49)</f>
        <v>217.49</v>
      </c>
      <c r="J593" s="1018">
        <f t="shared" ref="J593:J594" si="255">J595+J603+J609</f>
        <v>0</v>
      </c>
      <c r="K593" s="1162">
        <f t="shared" ca="1" si="254"/>
        <v>0</v>
      </c>
      <c r="L593" s="998"/>
      <c r="M593" s="998"/>
      <c r="N593" s="998"/>
      <c r="O593" s="998"/>
      <c r="P593" s="998"/>
      <c r="Q593" s="1302"/>
      <c r="R593" s="1302"/>
      <c r="S593" s="1302"/>
      <c r="T593" s="1302"/>
      <c r="U593" s="1302"/>
      <c r="V593" s="1302"/>
      <c r="W593" s="1302"/>
      <c r="X593" s="1302"/>
      <c r="Y593" s="1302"/>
      <c r="Z593" s="1302"/>
    </row>
    <row r="594" spans="1:26" ht="19.5">
      <c r="A594" s="1326"/>
      <c r="B594" s="1327"/>
      <c r="C594" s="1327"/>
      <c r="D594" s="1327"/>
      <c r="E594" s="1014"/>
      <c r="F594" s="1014"/>
      <c r="G594" s="1007"/>
      <c r="H594" s="765" t="s">
        <v>34</v>
      </c>
      <c r="I594" s="1018">
        <f ca="1">IFERROR(__xludf.DUMMYFUNCTION("IMPORTRANGE(""https://docs.google.com/spreadsheets/d/1QqKyyYR6Q21VydFLVH3TRQUabQu_ym0Zz7PgGX0-kHA/edit?usp=sharing"",""แผน!HI81"")"),29)</f>
        <v>29</v>
      </c>
      <c r="J594" s="1018">
        <f t="shared" si="255"/>
        <v>0</v>
      </c>
      <c r="K594" s="1162">
        <f t="shared" ca="1" si="254"/>
        <v>0</v>
      </c>
      <c r="L594" s="998"/>
      <c r="M594" s="998"/>
      <c r="N594" s="998"/>
      <c r="O594" s="998"/>
      <c r="P594" s="998"/>
      <c r="Q594" s="1302"/>
      <c r="R594" s="1302"/>
      <c r="S594" s="1302"/>
      <c r="T594" s="1302"/>
      <c r="U594" s="1302"/>
      <c r="V594" s="1302"/>
      <c r="W594" s="1302"/>
      <c r="X594" s="1302"/>
      <c r="Y594" s="1302"/>
      <c r="Z594" s="1302"/>
    </row>
    <row r="595" spans="1:26" ht="18.75">
      <c r="A595" s="1326"/>
      <c r="B595" s="1327"/>
      <c r="C595" s="1327" t="s">
        <v>254</v>
      </c>
      <c r="D595" s="1327"/>
      <c r="E595" s="1327"/>
      <c r="F595" s="1014"/>
      <c r="G595" s="1007"/>
      <c r="H595" s="762" t="s">
        <v>46</v>
      </c>
      <c r="I595" s="997"/>
      <c r="J595" s="997">
        <f t="shared" ref="J595:J596" si="256">J597+J599</f>
        <v>0</v>
      </c>
      <c r="K595" s="998"/>
      <c r="L595" s="998"/>
      <c r="M595" s="998"/>
      <c r="N595" s="998"/>
      <c r="O595" s="998"/>
      <c r="P595" s="998"/>
      <c r="Q595" s="1302"/>
      <c r="R595" s="1302"/>
      <c r="S595" s="1302"/>
      <c r="T595" s="1302"/>
      <c r="U595" s="1302"/>
      <c r="V595" s="1302"/>
      <c r="W595" s="1302"/>
      <c r="X595" s="1302"/>
      <c r="Y595" s="1302"/>
      <c r="Z595" s="1302"/>
    </row>
    <row r="596" spans="1:26" ht="18.75">
      <c r="A596" s="1326"/>
      <c r="B596" s="1327"/>
      <c r="C596" s="1327"/>
      <c r="D596" s="1327"/>
      <c r="E596" s="1014"/>
      <c r="F596" s="1014"/>
      <c r="G596" s="1007"/>
      <c r="H596" s="762" t="s">
        <v>34</v>
      </c>
      <c r="I596" s="997"/>
      <c r="J596" s="997">
        <f t="shared" si="256"/>
        <v>0</v>
      </c>
      <c r="K596" s="998"/>
      <c r="L596" s="998"/>
      <c r="M596" s="998"/>
      <c r="N596" s="998"/>
      <c r="O596" s="998"/>
      <c r="P596" s="998"/>
      <c r="Q596" s="1302"/>
      <c r="R596" s="1302"/>
      <c r="S596" s="1302"/>
      <c r="T596" s="1302"/>
      <c r="U596" s="1302"/>
      <c r="V596" s="1302"/>
      <c r="W596" s="1302"/>
      <c r="X596" s="1302"/>
      <c r="Y596" s="1302"/>
      <c r="Z596" s="1302"/>
    </row>
    <row r="597" spans="1:26" ht="18.75">
      <c r="A597" s="1326"/>
      <c r="B597" s="1327"/>
      <c r="C597" s="1327"/>
      <c r="D597" s="1069" t="s">
        <v>255</v>
      </c>
      <c r="E597" s="1014"/>
      <c r="F597" s="1014"/>
      <c r="G597" s="1007"/>
      <c r="H597" s="762" t="s">
        <v>46</v>
      </c>
      <c r="I597" s="997"/>
      <c r="J597" s="1012">
        <v>0</v>
      </c>
      <c r="K597" s="998"/>
      <c r="L597" s="998"/>
      <c r="M597" s="998"/>
      <c r="N597" s="998"/>
      <c r="O597" s="998"/>
      <c r="P597" s="998"/>
      <c r="Q597" s="1302"/>
      <c r="R597" s="1302"/>
      <c r="S597" s="1302"/>
      <c r="T597" s="1302"/>
      <c r="U597" s="1302"/>
      <c r="V597" s="1302"/>
      <c r="W597" s="1302"/>
      <c r="X597" s="1302"/>
      <c r="Y597" s="1302"/>
      <c r="Z597" s="1302"/>
    </row>
    <row r="598" spans="1:26" ht="18.75">
      <c r="A598" s="1326"/>
      <c r="B598" s="1327"/>
      <c r="C598" s="1327"/>
      <c r="D598" s="1327"/>
      <c r="E598" s="1014"/>
      <c r="F598" s="1014"/>
      <c r="G598" s="1007"/>
      <c r="H598" s="762" t="s">
        <v>34</v>
      </c>
      <c r="I598" s="880"/>
      <c r="J598" s="1012">
        <v>0</v>
      </c>
      <c r="K598" s="998"/>
      <c r="L598" s="998"/>
      <c r="M598" s="998"/>
      <c r="N598" s="998"/>
      <c r="O598" s="998"/>
      <c r="P598" s="998"/>
      <c r="Q598" s="1302"/>
      <c r="R598" s="1302"/>
      <c r="S598" s="1302"/>
      <c r="T598" s="1302"/>
      <c r="U598" s="1302"/>
      <c r="V598" s="1302"/>
      <c r="W598" s="1302"/>
      <c r="X598" s="1302"/>
      <c r="Y598" s="1302"/>
      <c r="Z598" s="1302"/>
    </row>
    <row r="599" spans="1:26" ht="18.75">
      <c r="A599" s="1326"/>
      <c r="B599" s="1327"/>
      <c r="C599" s="1327"/>
      <c r="D599" s="1069" t="s">
        <v>256</v>
      </c>
      <c r="E599" s="1014"/>
      <c r="F599" s="1014"/>
      <c r="G599" s="1007"/>
      <c r="H599" s="762" t="s">
        <v>46</v>
      </c>
      <c r="I599" s="880"/>
      <c r="J599" s="1012">
        <v>0</v>
      </c>
      <c r="K599" s="998"/>
      <c r="L599" s="998"/>
      <c r="M599" s="998"/>
      <c r="N599" s="998"/>
      <c r="O599" s="998"/>
      <c r="P599" s="998"/>
      <c r="Q599" s="1302"/>
      <c r="R599" s="1302"/>
      <c r="S599" s="1302"/>
      <c r="T599" s="1302"/>
      <c r="U599" s="1302"/>
      <c r="V599" s="1302"/>
      <c r="W599" s="1302"/>
      <c r="X599" s="1302"/>
      <c r="Y599" s="1302"/>
      <c r="Z599" s="1302"/>
    </row>
    <row r="600" spans="1:26" ht="18.75">
      <c r="A600" s="1326"/>
      <c r="B600" s="1327"/>
      <c r="C600" s="1327"/>
      <c r="D600" s="1327"/>
      <c r="E600" s="1014"/>
      <c r="F600" s="1014"/>
      <c r="G600" s="1007"/>
      <c r="H600" s="762" t="s">
        <v>34</v>
      </c>
      <c r="I600" s="880"/>
      <c r="J600" s="1012">
        <v>0</v>
      </c>
      <c r="K600" s="998"/>
      <c r="L600" s="998"/>
      <c r="M600" s="998"/>
      <c r="N600" s="998"/>
      <c r="O600" s="998"/>
      <c r="P600" s="998"/>
      <c r="Q600" s="1302"/>
      <c r="R600" s="1302"/>
      <c r="S600" s="1302"/>
      <c r="T600" s="1302"/>
      <c r="U600" s="1302"/>
      <c r="V600" s="1302"/>
      <c r="W600" s="1302"/>
      <c r="X600" s="1302"/>
      <c r="Y600" s="1302"/>
      <c r="Z600" s="1302"/>
    </row>
    <row r="601" spans="1:26" ht="18.75">
      <c r="A601" s="1326"/>
      <c r="B601" s="1327"/>
      <c r="C601" s="1327"/>
      <c r="D601" s="1069" t="s">
        <v>257</v>
      </c>
      <c r="E601" s="1014"/>
      <c r="F601" s="1014"/>
      <c r="G601" s="1007"/>
      <c r="H601" s="762" t="s">
        <v>46</v>
      </c>
      <c r="I601" s="880"/>
      <c r="J601" s="1012">
        <v>0</v>
      </c>
      <c r="K601" s="998"/>
      <c r="L601" s="998"/>
      <c r="M601" s="998"/>
      <c r="N601" s="998"/>
      <c r="O601" s="998"/>
      <c r="P601" s="998"/>
      <c r="Q601" s="1302"/>
      <c r="R601" s="1302"/>
      <c r="S601" s="1302"/>
      <c r="T601" s="1302"/>
      <c r="U601" s="1302"/>
      <c r="V601" s="1302"/>
      <c r="W601" s="1302"/>
      <c r="X601" s="1302"/>
      <c r="Y601" s="1302"/>
      <c r="Z601" s="1302"/>
    </row>
    <row r="602" spans="1:26" ht="18.75">
      <c r="A602" s="1326"/>
      <c r="B602" s="1327"/>
      <c r="C602" s="1327"/>
      <c r="D602" s="1327"/>
      <c r="E602" s="1014"/>
      <c r="F602" s="1014"/>
      <c r="G602" s="1007"/>
      <c r="H602" s="762" t="s">
        <v>34</v>
      </c>
      <c r="I602" s="880"/>
      <c r="J602" s="1012">
        <v>0</v>
      </c>
      <c r="K602" s="998"/>
      <c r="L602" s="998"/>
      <c r="M602" s="998"/>
      <c r="N602" s="998"/>
      <c r="O602" s="998"/>
      <c r="P602" s="998"/>
      <c r="Q602" s="1302"/>
      <c r="R602" s="1302"/>
      <c r="S602" s="1302"/>
      <c r="T602" s="1302"/>
      <c r="U602" s="1302"/>
      <c r="V602" s="1302"/>
      <c r="W602" s="1302"/>
      <c r="X602" s="1302"/>
      <c r="Y602" s="1302"/>
      <c r="Z602" s="1302"/>
    </row>
    <row r="603" spans="1:26" ht="18.75">
      <c r="A603" s="1326"/>
      <c r="B603" s="1327"/>
      <c r="C603" s="1401" t="s">
        <v>258</v>
      </c>
      <c r="D603" s="1327"/>
      <c r="E603" s="1327"/>
      <c r="F603" s="1014"/>
      <c r="G603" s="1007"/>
      <c r="H603" s="762" t="s">
        <v>46</v>
      </c>
      <c r="I603" s="880"/>
      <c r="J603" s="880">
        <f t="shared" ref="J603:J604" si="257">J605+J607</f>
        <v>0</v>
      </c>
      <c r="K603" s="998"/>
      <c r="L603" s="998"/>
      <c r="M603" s="998"/>
      <c r="N603" s="998"/>
      <c r="O603" s="998"/>
      <c r="P603" s="998"/>
      <c r="Q603" s="1302"/>
      <c r="R603" s="1302"/>
      <c r="S603" s="1302"/>
      <c r="T603" s="1302"/>
      <c r="U603" s="1302"/>
      <c r="V603" s="1302"/>
      <c r="W603" s="1302"/>
      <c r="X603" s="1302"/>
      <c r="Y603" s="1302"/>
      <c r="Z603" s="1302"/>
    </row>
    <row r="604" spans="1:26" ht="18.75">
      <c r="A604" s="1326"/>
      <c r="B604" s="1327"/>
      <c r="C604" s="1327"/>
      <c r="D604" s="1327"/>
      <c r="E604" s="1014"/>
      <c r="F604" s="1014"/>
      <c r="G604" s="1007"/>
      <c r="H604" s="762" t="s">
        <v>34</v>
      </c>
      <c r="I604" s="880"/>
      <c r="J604" s="880">
        <f t="shared" si="257"/>
        <v>0</v>
      </c>
      <c r="K604" s="998"/>
      <c r="L604" s="998"/>
      <c r="M604" s="998"/>
      <c r="N604" s="998"/>
      <c r="O604" s="998"/>
      <c r="P604" s="998"/>
      <c r="Q604" s="1302"/>
      <c r="R604" s="1302"/>
      <c r="S604" s="1302"/>
      <c r="T604" s="1302"/>
      <c r="U604" s="1302"/>
      <c r="V604" s="1302"/>
      <c r="W604" s="1302"/>
      <c r="X604" s="1302"/>
      <c r="Y604" s="1302"/>
      <c r="Z604" s="1302"/>
    </row>
    <row r="605" spans="1:26" ht="18.75">
      <c r="A605" s="1326"/>
      <c r="B605" s="1327"/>
      <c r="C605" s="1327"/>
      <c r="D605" s="1401" t="s">
        <v>259</v>
      </c>
      <c r="E605" s="1014"/>
      <c r="F605" s="1014"/>
      <c r="G605" s="1007"/>
      <c r="H605" s="762" t="s">
        <v>46</v>
      </c>
      <c r="I605" s="880"/>
      <c r="J605" s="1012">
        <v>0</v>
      </c>
      <c r="K605" s="998"/>
      <c r="L605" s="998"/>
      <c r="M605" s="998"/>
      <c r="N605" s="998"/>
      <c r="O605" s="998"/>
      <c r="P605" s="998"/>
      <c r="Q605" s="1302"/>
      <c r="R605" s="1302"/>
      <c r="S605" s="1302"/>
      <c r="T605" s="1302"/>
      <c r="U605" s="1302"/>
      <c r="V605" s="1302"/>
      <c r="W605" s="1302"/>
      <c r="X605" s="1302"/>
      <c r="Y605" s="1302"/>
      <c r="Z605" s="1302"/>
    </row>
    <row r="606" spans="1:26" ht="18.75">
      <c r="A606" s="1326"/>
      <c r="B606" s="1327"/>
      <c r="C606" s="1327"/>
      <c r="D606" s="1327"/>
      <c r="E606" s="1327"/>
      <c r="F606" s="1014"/>
      <c r="G606" s="1007"/>
      <c r="H606" s="762" t="s">
        <v>34</v>
      </c>
      <c r="I606" s="880"/>
      <c r="J606" s="1012">
        <v>0</v>
      </c>
      <c r="K606" s="998"/>
      <c r="L606" s="998"/>
      <c r="M606" s="998"/>
      <c r="N606" s="998"/>
      <c r="O606" s="998"/>
      <c r="P606" s="998"/>
      <c r="Q606" s="1302"/>
      <c r="R606" s="1302"/>
      <c r="S606" s="1302"/>
      <c r="T606" s="1302"/>
      <c r="U606" s="1302"/>
      <c r="V606" s="1302"/>
      <c r="W606" s="1302"/>
      <c r="X606" s="1302"/>
      <c r="Y606" s="1302"/>
      <c r="Z606" s="1302"/>
    </row>
    <row r="607" spans="1:26" ht="18.75">
      <c r="A607" s="1326"/>
      <c r="B607" s="1327"/>
      <c r="C607" s="1327"/>
      <c r="D607" s="1401" t="s">
        <v>260</v>
      </c>
      <c r="E607" s="1327"/>
      <c r="F607" s="1014"/>
      <c r="G607" s="1007"/>
      <c r="H607" s="762" t="s">
        <v>46</v>
      </c>
      <c r="I607" s="880"/>
      <c r="J607" s="1012">
        <v>0</v>
      </c>
      <c r="K607" s="998"/>
      <c r="L607" s="998"/>
      <c r="M607" s="998"/>
      <c r="N607" s="998"/>
      <c r="O607" s="998"/>
      <c r="P607" s="998"/>
      <c r="Q607" s="1302"/>
      <c r="R607" s="1302"/>
      <c r="S607" s="1302"/>
      <c r="T607" s="1302"/>
      <c r="U607" s="1302"/>
      <c r="V607" s="1302"/>
      <c r="W607" s="1302"/>
      <c r="X607" s="1302"/>
      <c r="Y607" s="1302"/>
      <c r="Z607" s="1302"/>
    </row>
    <row r="608" spans="1:26" ht="18.75">
      <c r="A608" s="1326"/>
      <c r="B608" s="1327"/>
      <c r="C608" s="1327"/>
      <c r="D608" s="1327"/>
      <c r="E608" s="1014"/>
      <c r="F608" s="1014"/>
      <c r="G608" s="1007"/>
      <c r="H608" s="762" t="s">
        <v>34</v>
      </c>
      <c r="I608" s="880"/>
      <c r="J608" s="1012">
        <v>0</v>
      </c>
      <c r="K608" s="998"/>
      <c r="L608" s="998"/>
      <c r="M608" s="998"/>
      <c r="N608" s="998"/>
      <c r="O608" s="998"/>
      <c r="P608" s="998"/>
      <c r="Q608" s="1302"/>
      <c r="R608" s="1302"/>
      <c r="S608" s="1302"/>
      <c r="T608" s="1302"/>
      <c r="U608" s="1302"/>
      <c r="V608" s="1302"/>
      <c r="W608" s="1302"/>
      <c r="X608" s="1302"/>
      <c r="Y608" s="1302"/>
      <c r="Z608" s="1302"/>
    </row>
    <row r="609" spans="1:26" ht="18.75">
      <c r="A609" s="1326"/>
      <c r="B609" s="1327"/>
      <c r="C609" s="1327" t="s">
        <v>261</v>
      </c>
      <c r="D609" s="1327"/>
      <c r="E609" s="1327"/>
      <c r="F609" s="1014"/>
      <c r="G609" s="1007"/>
      <c r="H609" s="762" t="s">
        <v>46</v>
      </c>
      <c r="I609" s="880"/>
      <c r="J609" s="1012">
        <v>0</v>
      </c>
      <c r="K609" s="998"/>
      <c r="L609" s="998"/>
      <c r="M609" s="998"/>
      <c r="N609" s="998"/>
      <c r="O609" s="998"/>
      <c r="P609" s="998"/>
      <c r="Q609" s="1302"/>
      <c r="R609" s="1302"/>
      <c r="S609" s="1302"/>
      <c r="T609" s="1302"/>
      <c r="U609" s="1302"/>
      <c r="V609" s="1302"/>
      <c r="W609" s="1302"/>
      <c r="X609" s="1302"/>
      <c r="Y609" s="1302"/>
      <c r="Z609" s="1302"/>
    </row>
    <row r="610" spans="1:26" ht="18.75">
      <c r="A610" s="1326"/>
      <c r="B610" s="1327"/>
      <c r="C610" s="1327"/>
      <c r="D610" s="1327"/>
      <c r="E610" s="1014"/>
      <c r="F610" s="1014"/>
      <c r="G610" s="1007"/>
      <c r="H610" s="762" t="s">
        <v>34</v>
      </c>
      <c r="I610" s="880"/>
      <c r="J610" s="1012">
        <v>0</v>
      </c>
      <c r="K610" s="998"/>
      <c r="L610" s="998"/>
      <c r="M610" s="998"/>
      <c r="N610" s="998"/>
      <c r="O610" s="998"/>
      <c r="P610" s="998"/>
      <c r="Q610" s="1302"/>
      <c r="R610" s="1302"/>
      <c r="S610" s="1302"/>
      <c r="T610" s="1302"/>
      <c r="U610" s="1302"/>
      <c r="V610" s="1302"/>
      <c r="W610" s="1302"/>
      <c r="X610" s="1302"/>
      <c r="Y610" s="1302"/>
      <c r="Z610" s="1302"/>
    </row>
    <row r="611" spans="1:26" ht="19.5" hidden="1">
      <c r="A611" s="1390"/>
      <c r="B611" s="1402" t="s">
        <v>262</v>
      </c>
      <c r="C611" s="1392"/>
      <c r="D611" s="1392"/>
      <c r="E611" s="1375"/>
      <c r="F611" s="1375"/>
      <c r="G611" s="1376"/>
      <c r="H611" s="705" t="s">
        <v>46</v>
      </c>
      <c r="I611" s="1377">
        <v>0</v>
      </c>
      <c r="J611" s="1377">
        <f>J614+J616</f>
        <v>0</v>
      </c>
      <c r="K611" s="1378">
        <f t="shared" ref="K611:K613" si="258">IF(I611&gt;0,J611*100/I611,0)</f>
        <v>0</v>
      </c>
      <c r="L611" s="1379"/>
      <c r="M611" s="1379"/>
      <c r="N611" s="1379"/>
      <c r="O611" s="1379"/>
      <c r="P611" s="1379"/>
      <c r="Q611" s="1302"/>
      <c r="R611" s="1302"/>
      <c r="S611" s="1302"/>
      <c r="T611" s="1302"/>
      <c r="U611" s="1302"/>
      <c r="V611" s="1302"/>
      <c r="W611" s="1302"/>
      <c r="X611" s="1302"/>
      <c r="Y611" s="1302"/>
      <c r="Z611" s="1302"/>
    </row>
    <row r="612" spans="1:26" ht="19.5" hidden="1">
      <c r="A612" s="1403"/>
      <c r="B612" s="1404"/>
      <c r="C612" s="1405" t="s">
        <v>263</v>
      </c>
      <c r="D612" s="1404"/>
      <c r="E612" s="1404"/>
      <c r="F612" s="1406"/>
      <c r="G612" s="1407"/>
      <c r="H612" s="712" t="s">
        <v>46</v>
      </c>
      <c r="I612" s="1408">
        <v>0</v>
      </c>
      <c r="J612" s="1408">
        <f t="shared" ref="J612:J613" si="259">J614+J616</f>
        <v>0</v>
      </c>
      <c r="K612" s="1409">
        <f t="shared" si="258"/>
        <v>0</v>
      </c>
      <c r="L612" s="1410"/>
      <c r="M612" s="1410"/>
      <c r="N612" s="1410"/>
      <c r="O612" s="1410"/>
      <c r="P612" s="1410"/>
      <c r="Q612" s="1323"/>
      <c r="R612" s="1323"/>
      <c r="S612" s="1323"/>
      <c r="T612" s="1323"/>
      <c r="U612" s="1323"/>
      <c r="V612" s="1323"/>
      <c r="W612" s="1323"/>
      <c r="X612" s="1323"/>
      <c r="Y612" s="1323"/>
      <c r="Z612" s="1323"/>
    </row>
    <row r="613" spans="1:26" ht="19.5" hidden="1">
      <c r="A613" s="1403"/>
      <c r="B613" s="1404"/>
      <c r="C613" s="1404" t="s">
        <v>264</v>
      </c>
      <c r="D613" s="1404"/>
      <c r="E613" s="1404"/>
      <c r="F613" s="1406"/>
      <c r="G613" s="1407"/>
      <c r="H613" s="712" t="s">
        <v>34</v>
      </c>
      <c r="I613" s="1408">
        <v>0</v>
      </c>
      <c r="J613" s="1408">
        <f t="shared" si="259"/>
        <v>0</v>
      </c>
      <c r="K613" s="1409">
        <f t="shared" si="258"/>
        <v>0</v>
      </c>
      <c r="L613" s="1410"/>
      <c r="M613" s="1410"/>
      <c r="N613" s="1410"/>
      <c r="O613" s="1410"/>
      <c r="P613" s="1410"/>
      <c r="Q613" s="1323"/>
      <c r="R613" s="1323"/>
      <c r="S613" s="1323"/>
      <c r="T613" s="1323"/>
      <c r="U613" s="1323"/>
      <c r="V613" s="1323"/>
      <c r="W613" s="1323"/>
      <c r="X613" s="1323"/>
      <c r="Y613" s="1323"/>
      <c r="Z613" s="1323"/>
    </row>
    <row r="614" spans="1:26" ht="18.75" hidden="1">
      <c r="A614" s="1332"/>
      <c r="B614" s="1333"/>
      <c r="C614" s="1333"/>
      <c r="D614" s="1321" t="s">
        <v>265</v>
      </c>
      <c r="E614" s="1333"/>
      <c r="F614" s="1321"/>
      <c r="G614" s="1113"/>
      <c r="H614" s="370" t="s">
        <v>46</v>
      </c>
      <c r="I614" s="886"/>
      <c r="J614" s="886">
        <v>0</v>
      </c>
      <c r="K614" s="1001"/>
      <c r="L614" s="1001"/>
      <c r="M614" s="1001"/>
      <c r="N614" s="1001"/>
      <c r="O614" s="1001"/>
      <c r="P614" s="1001"/>
      <c r="Q614" s="1323"/>
      <c r="R614" s="1323"/>
      <c r="S614" s="1323"/>
      <c r="T614" s="1323"/>
      <c r="U614" s="1323"/>
      <c r="V614" s="1323"/>
      <c r="W614" s="1323"/>
      <c r="X614" s="1323"/>
      <c r="Y614" s="1323"/>
      <c r="Z614" s="1323"/>
    </row>
    <row r="615" spans="1:26" ht="18.75" hidden="1">
      <c r="A615" s="1332"/>
      <c r="B615" s="1333"/>
      <c r="C615" s="1333"/>
      <c r="D615" s="1333"/>
      <c r="E615" s="1333"/>
      <c r="F615" s="1321"/>
      <c r="G615" s="1113"/>
      <c r="H615" s="370" t="s">
        <v>34</v>
      </c>
      <c r="I615" s="886"/>
      <c r="J615" s="886">
        <v>0</v>
      </c>
      <c r="K615" s="1001"/>
      <c r="L615" s="1001"/>
      <c r="M615" s="1001"/>
      <c r="N615" s="1001"/>
      <c r="O615" s="1001"/>
      <c r="P615" s="1001"/>
      <c r="Q615" s="1323"/>
      <c r="R615" s="1323"/>
      <c r="S615" s="1323"/>
      <c r="T615" s="1323"/>
      <c r="U615" s="1323"/>
      <c r="V615" s="1323"/>
      <c r="W615" s="1323"/>
      <c r="X615" s="1323"/>
      <c r="Y615" s="1323"/>
      <c r="Z615" s="1323"/>
    </row>
    <row r="616" spans="1:26" ht="18.75" hidden="1">
      <c r="A616" s="1332"/>
      <c r="B616" s="1333"/>
      <c r="C616" s="1333"/>
      <c r="D616" s="1411" t="s">
        <v>265</v>
      </c>
      <c r="E616" s="1321"/>
      <c r="F616" s="1321"/>
      <c r="G616" s="1113"/>
      <c r="H616" s="370" t="s">
        <v>46</v>
      </c>
      <c r="I616" s="886"/>
      <c r="J616" s="886">
        <v>0</v>
      </c>
      <c r="K616" s="1001"/>
      <c r="L616" s="1001"/>
      <c r="M616" s="1001"/>
      <c r="N616" s="1001"/>
      <c r="O616" s="1001"/>
      <c r="P616" s="1001"/>
      <c r="Q616" s="1323"/>
      <c r="R616" s="1323"/>
      <c r="S616" s="1323"/>
      <c r="T616" s="1323"/>
      <c r="U616" s="1323"/>
      <c r="V616" s="1323"/>
      <c r="W616" s="1323"/>
      <c r="X616" s="1323"/>
      <c r="Y616" s="1323"/>
      <c r="Z616" s="1323"/>
    </row>
    <row r="617" spans="1:26" ht="18.75" hidden="1">
      <c r="A617" s="1332"/>
      <c r="B617" s="1333"/>
      <c r="C617" s="1333"/>
      <c r="D617" s="1333"/>
      <c r="E617" s="1321"/>
      <c r="F617" s="1321"/>
      <c r="G617" s="1113"/>
      <c r="H617" s="370" t="s">
        <v>34</v>
      </c>
      <c r="I617" s="886"/>
      <c r="J617" s="886">
        <v>0</v>
      </c>
      <c r="K617" s="1001"/>
      <c r="L617" s="1001"/>
      <c r="M617" s="1001"/>
      <c r="N617" s="1001"/>
      <c r="O617" s="1001"/>
      <c r="P617" s="1001"/>
      <c r="Q617" s="1323"/>
      <c r="R617" s="1323"/>
      <c r="S617" s="1323"/>
      <c r="T617" s="1323"/>
      <c r="U617" s="1323"/>
      <c r="V617" s="1323"/>
      <c r="W617" s="1323"/>
      <c r="X617" s="1323"/>
      <c r="Y617" s="1323"/>
      <c r="Z617" s="1323"/>
    </row>
    <row r="618" spans="1:26" ht="18.75" hidden="1">
      <c r="A618" s="1332"/>
      <c r="B618" s="1333"/>
      <c r="C618" s="1333"/>
      <c r="D618" s="1411" t="s">
        <v>266</v>
      </c>
      <c r="E618" s="1321"/>
      <c r="F618" s="1321"/>
      <c r="G618" s="1113"/>
      <c r="H618" s="370" t="s">
        <v>46</v>
      </c>
      <c r="I618" s="886"/>
      <c r="J618" s="886">
        <v>0</v>
      </c>
      <c r="K618" s="1001"/>
      <c r="L618" s="1001"/>
      <c r="M618" s="1001"/>
      <c r="N618" s="1001"/>
      <c r="O618" s="1001"/>
      <c r="P618" s="1001"/>
      <c r="Q618" s="1323"/>
      <c r="R618" s="1323"/>
      <c r="S618" s="1323"/>
      <c r="T618" s="1323"/>
      <c r="U618" s="1323"/>
      <c r="V618" s="1323"/>
      <c r="W618" s="1323"/>
      <c r="X618" s="1323"/>
      <c r="Y618" s="1323"/>
      <c r="Z618" s="1323"/>
    </row>
    <row r="619" spans="1:26" ht="18.75" hidden="1">
      <c r="A619" s="1332"/>
      <c r="B619" s="1333"/>
      <c r="C619" s="1333"/>
      <c r="D619" s="1333"/>
      <c r="E619" s="1321"/>
      <c r="F619" s="1321"/>
      <c r="G619" s="1113"/>
      <c r="H619" s="370" t="s">
        <v>34</v>
      </c>
      <c r="I619" s="886"/>
      <c r="J619" s="886">
        <v>0</v>
      </c>
      <c r="K619" s="1001"/>
      <c r="L619" s="1001"/>
      <c r="M619" s="1001"/>
      <c r="N619" s="1001"/>
      <c r="O619" s="1001"/>
      <c r="P619" s="1001"/>
      <c r="Q619" s="1323"/>
      <c r="R619" s="1323"/>
      <c r="S619" s="1323"/>
      <c r="T619" s="1323"/>
      <c r="U619" s="1323"/>
      <c r="V619" s="1323"/>
      <c r="W619" s="1323"/>
      <c r="X619" s="1323"/>
      <c r="Y619" s="1323"/>
      <c r="Z619" s="1323"/>
    </row>
    <row r="620" spans="1:26" ht="19.5" hidden="1">
      <c r="A620" s="1412"/>
      <c r="B620" s="1413"/>
      <c r="C620" s="1414" t="s">
        <v>267</v>
      </c>
      <c r="D620" s="1413"/>
      <c r="E620" s="1413"/>
      <c r="F620" s="1415"/>
      <c r="G620" s="1416"/>
      <c r="H620" s="725" t="s">
        <v>46</v>
      </c>
      <c r="I620" s="1417">
        <f ca="1">IFERROR(__xludf.DUMMYFUNCTION("IMPORTRANGE(""https://docs.google.com/spreadsheets/d/1QqKyyYR6Q21VydFLVH3TRQUabQu_ym0Zz7PgGX0-kHA/edit?usp=sharing"",""แผน!HL81"")"),10)</f>
        <v>10</v>
      </c>
      <c r="J620" s="1417">
        <f t="shared" ref="J620:J621" si="260">J622+J624+J626</f>
        <v>0</v>
      </c>
      <c r="K620" s="1418">
        <f t="shared" ref="K620:K621" ca="1" si="261">IF(I620&gt;0,J620*100/I620,0)</f>
        <v>0</v>
      </c>
      <c r="L620" s="1419"/>
      <c r="M620" s="1419"/>
      <c r="N620" s="1419"/>
      <c r="O620" s="1419"/>
      <c r="P620" s="1419"/>
      <c r="Q620" s="1302"/>
      <c r="R620" s="1302"/>
      <c r="S620" s="1302"/>
      <c r="T620" s="1302"/>
      <c r="U620" s="1302"/>
      <c r="V620" s="1302"/>
      <c r="W620" s="1302"/>
      <c r="X620" s="1302"/>
      <c r="Y620" s="1302"/>
      <c r="Z620" s="1302"/>
    </row>
    <row r="621" spans="1:26" ht="19.5" hidden="1">
      <c r="A621" s="1412"/>
      <c r="B621" s="1413"/>
      <c r="C621" s="1413" t="s">
        <v>268</v>
      </c>
      <c r="D621" s="1413"/>
      <c r="E621" s="1413"/>
      <c r="F621" s="1415"/>
      <c r="G621" s="1416"/>
      <c r="H621" s="725" t="s">
        <v>34</v>
      </c>
      <c r="I621" s="1417">
        <f ca="1">IFERROR(__xludf.DUMMYFUNCTION("IMPORTRANGE(""https://docs.google.com/spreadsheets/d/1QqKyyYR6Q21VydFLVH3TRQUabQu_ym0Zz7PgGX0-kHA/edit?usp=sharing"",""แผน!HK81"")"),1)</f>
        <v>1</v>
      </c>
      <c r="J621" s="1417">
        <f t="shared" si="260"/>
        <v>0</v>
      </c>
      <c r="K621" s="1418">
        <f t="shared" ca="1" si="261"/>
        <v>0</v>
      </c>
      <c r="L621" s="1419"/>
      <c r="M621" s="1419"/>
      <c r="N621" s="1419"/>
      <c r="O621" s="1419"/>
      <c r="P621" s="1419"/>
      <c r="Q621" s="1302"/>
      <c r="R621" s="1302"/>
      <c r="S621" s="1302"/>
      <c r="T621" s="1302"/>
      <c r="U621" s="1302"/>
      <c r="V621" s="1302"/>
      <c r="W621" s="1302"/>
      <c r="X621" s="1302"/>
      <c r="Y621" s="1302"/>
      <c r="Z621" s="1302"/>
    </row>
    <row r="622" spans="1:26" ht="18.75" hidden="1">
      <c r="A622" s="1326"/>
      <c r="B622" s="1327"/>
      <c r="C622" s="1327"/>
      <c r="D622" s="1069" t="s">
        <v>269</v>
      </c>
      <c r="E622" s="1014"/>
      <c r="F622" s="1014"/>
      <c r="G622" s="1007"/>
      <c r="H622" s="762" t="s">
        <v>46</v>
      </c>
      <c r="I622" s="880"/>
      <c r="J622" s="1012">
        <v>0</v>
      </c>
      <c r="K622" s="998"/>
      <c r="L622" s="998"/>
      <c r="M622" s="998"/>
      <c r="N622" s="998"/>
      <c r="O622" s="998"/>
      <c r="P622" s="998"/>
      <c r="Q622" s="1302"/>
      <c r="R622" s="1302"/>
      <c r="S622" s="1302"/>
      <c r="T622" s="1302"/>
      <c r="U622" s="1302"/>
      <c r="V622" s="1302"/>
      <c r="W622" s="1302"/>
      <c r="X622" s="1302"/>
      <c r="Y622" s="1302"/>
      <c r="Z622" s="1302"/>
    </row>
    <row r="623" spans="1:26" ht="18.75" hidden="1">
      <c r="A623" s="1326"/>
      <c r="B623" s="1327"/>
      <c r="C623" s="1327"/>
      <c r="D623" s="1327"/>
      <c r="E623" s="1014"/>
      <c r="F623" s="1014"/>
      <c r="G623" s="1007"/>
      <c r="H623" s="762" t="s">
        <v>34</v>
      </c>
      <c r="I623" s="880"/>
      <c r="J623" s="1012">
        <v>0</v>
      </c>
      <c r="K623" s="998"/>
      <c r="L623" s="998"/>
      <c r="M623" s="998"/>
      <c r="N623" s="998"/>
      <c r="O623" s="998"/>
      <c r="P623" s="998"/>
      <c r="Q623" s="1302"/>
      <c r="R623" s="1302"/>
      <c r="S623" s="1302"/>
      <c r="T623" s="1302"/>
      <c r="U623" s="1302"/>
      <c r="V623" s="1302"/>
      <c r="W623" s="1302"/>
      <c r="X623" s="1302"/>
      <c r="Y623" s="1302"/>
      <c r="Z623" s="1302"/>
    </row>
    <row r="624" spans="1:26" ht="18.75" hidden="1">
      <c r="A624" s="1326"/>
      <c r="B624" s="1327"/>
      <c r="C624" s="1327"/>
      <c r="D624" s="1069" t="s">
        <v>265</v>
      </c>
      <c r="E624" s="1014"/>
      <c r="F624" s="1014"/>
      <c r="G624" s="1007"/>
      <c r="H624" s="762" t="s">
        <v>46</v>
      </c>
      <c r="I624" s="880"/>
      <c r="J624" s="1012">
        <v>0</v>
      </c>
      <c r="K624" s="998"/>
      <c r="L624" s="998"/>
      <c r="M624" s="998"/>
      <c r="N624" s="998"/>
      <c r="O624" s="998"/>
      <c r="P624" s="998"/>
      <c r="Q624" s="1302"/>
      <c r="R624" s="1302"/>
      <c r="S624" s="1302"/>
      <c r="T624" s="1302"/>
      <c r="U624" s="1302"/>
      <c r="V624" s="1302"/>
      <c r="W624" s="1302"/>
      <c r="X624" s="1302"/>
      <c r="Y624" s="1302"/>
      <c r="Z624" s="1302"/>
    </row>
    <row r="625" spans="1:26" ht="18.75" hidden="1">
      <c r="A625" s="1326"/>
      <c r="B625" s="1327"/>
      <c r="C625" s="1327"/>
      <c r="D625" s="1327"/>
      <c r="E625" s="1014"/>
      <c r="F625" s="1014"/>
      <c r="G625" s="1007"/>
      <c r="H625" s="762" t="s">
        <v>34</v>
      </c>
      <c r="I625" s="880"/>
      <c r="J625" s="1012">
        <v>0</v>
      </c>
      <c r="K625" s="998"/>
      <c r="L625" s="998"/>
      <c r="M625" s="998"/>
      <c r="N625" s="998"/>
      <c r="O625" s="998"/>
      <c r="P625" s="998"/>
      <c r="Q625" s="1302"/>
      <c r="R625" s="1302"/>
      <c r="S625" s="1302"/>
      <c r="T625" s="1302"/>
      <c r="U625" s="1302"/>
      <c r="V625" s="1302"/>
      <c r="W625" s="1302"/>
      <c r="X625" s="1302"/>
      <c r="Y625" s="1302"/>
      <c r="Z625" s="1302"/>
    </row>
    <row r="626" spans="1:26" ht="18.75" hidden="1">
      <c r="A626" s="1326"/>
      <c r="B626" s="1327"/>
      <c r="C626" s="1327"/>
      <c r="D626" s="1069" t="s">
        <v>270</v>
      </c>
      <c r="E626" s="1014"/>
      <c r="F626" s="1014"/>
      <c r="G626" s="1007"/>
      <c r="H626" s="762" t="s">
        <v>46</v>
      </c>
      <c r="I626" s="880"/>
      <c r="J626" s="1012">
        <v>0</v>
      </c>
      <c r="K626" s="998"/>
      <c r="L626" s="998"/>
      <c r="M626" s="998"/>
      <c r="N626" s="998"/>
      <c r="O626" s="998"/>
      <c r="P626" s="998"/>
      <c r="Q626" s="1302"/>
      <c r="R626" s="1302"/>
      <c r="S626" s="1302"/>
      <c r="T626" s="1302"/>
      <c r="U626" s="1302"/>
      <c r="V626" s="1302"/>
      <c r="W626" s="1302"/>
      <c r="X626" s="1302"/>
      <c r="Y626" s="1302"/>
      <c r="Z626" s="1302"/>
    </row>
    <row r="627" spans="1:26" ht="18.75" hidden="1">
      <c r="A627" s="1420"/>
      <c r="B627" s="1421"/>
      <c r="C627" s="1421"/>
      <c r="D627" s="1421"/>
      <c r="E627" s="1169"/>
      <c r="F627" s="1169"/>
      <c r="G627" s="1422"/>
      <c r="H627" s="423" t="s">
        <v>34</v>
      </c>
      <c r="I627" s="1138"/>
      <c r="J627" s="1171">
        <v>0</v>
      </c>
      <c r="K627" s="1139"/>
      <c r="L627" s="1139"/>
      <c r="M627" s="1139"/>
      <c r="N627" s="1139"/>
      <c r="O627" s="1139"/>
      <c r="P627" s="1139"/>
      <c r="Q627" s="1302"/>
      <c r="R627" s="1302"/>
      <c r="S627" s="1302"/>
      <c r="T627" s="1302"/>
      <c r="U627" s="1302"/>
      <c r="V627" s="1302"/>
      <c r="W627" s="1302"/>
      <c r="X627" s="1302"/>
      <c r="Y627" s="1302"/>
      <c r="Z627" s="1302"/>
    </row>
    <row r="628" spans="1:26" ht="19.5" hidden="1">
      <c r="A628" s="734">
        <v>7</v>
      </c>
      <c r="B628" s="1423" t="s">
        <v>271</v>
      </c>
      <c r="C628" s="1424"/>
      <c r="D628" s="1424"/>
      <c r="E628" s="1424"/>
      <c r="F628" s="1424"/>
      <c r="G628" s="1425"/>
      <c r="H628" s="738" t="s">
        <v>35</v>
      </c>
      <c r="I628" s="1426">
        <f t="shared" ref="I628:J628" ca="1" si="262">I651</f>
        <v>0</v>
      </c>
      <c r="J628" s="1426">
        <f t="shared" ca="1" si="262"/>
        <v>0</v>
      </c>
      <c r="K628" s="1427">
        <f ca="1">IF(I628&gt;0,J628*100/I628,0)</f>
        <v>0</v>
      </c>
      <c r="L628" s="1428"/>
      <c r="M628" s="1428"/>
      <c r="N628" s="1428"/>
      <c r="O628" s="1428"/>
      <c r="P628" s="1428"/>
      <c r="Q628" s="1302"/>
      <c r="R628" s="1302"/>
      <c r="S628" s="1302"/>
      <c r="T628" s="1302"/>
      <c r="U628" s="1302"/>
      <c r="V628" s="1302"/>
      <c r="W628" s="1302"/>
      <c r="X628" s="1302"/>
      <c r="Y628" s="1302"/>
      <c r="Z628" s="1302"/>
    </row>
    <row r="629" spans="1:26" ht="19.5" hidden="1">
      <c r="A629" s="1317"/>
      <c r="B629" s="1301"/>
      <c r="C629" s="1301" t="s">
        <v>16</v>
      </c>
      <c r="D629" s="1318" t="s">
        <v>17</v>
      </c>
      <c r="E629" s="841"/>
      <c r="F629" s="841"/>
      <c r="G629" s="1016"/>
      <c r="H629" s="597" t="s">
        <v>12</v>
      </c>
      <c r="I629" s="880"/>
      <c r="J629" s="880"/>
      <c r="K629" s="881"/>
      <c r="L629" s="1020">
        <f t="shared" ref="L629:N629" ca="1" si="263">L630+L631</f>
        <v>0</v>
      </c>
      <c r="M629" s="1020">
        <f t="shared" si="263"/>
        <v>0</v>
      </c>
      <c r="N629" s="1020">
        <f t="shared" si="263"/>
        <v>0</v>
      </c>
      <c r="O629" s="1020">
        <f t="shared" ref="O629:O634" ca="1" si="264">IF(L629&gt;0,N629*100/L629,0)</f>
        <v>0</v>
      </c>
      <c r="P629" s="1020">
        <f t="shared" ref="P629:P634" si="265">IF(M629&gt;0,N629*100/M629,0)</f>
        <v>0</v>
      </c>
      <c r="Q629" s="1302"/>
      <c r="R629" s="1302"/>
      <c r="S629" s="1302"/>
      <c r="T629" s="1302"/>
      <c r="U629" s="1302"/>
      <c r="V629" s="1302"/>
      <c r="W629" s="1302"/>
      <c r="X629" s="1302"/>
      <c r="Y629" s="1302"/>
      <c r="Z629" s="1302"/>
    </row>
    <row r="630" spans="1:26" ht="18.75" hidden="1">
      <c r="A630" s="1319"/>
      <c r="B630" s="1320"/>
      <c r="C630" s="1320"/>
      <c r="D630" s="1321"/>
      <c r="E630" s="1320" t="s">
        <v>185</v>
      </c>
      <c r="F630" s="1320"/>
      <c r="G630" s="1322"/>
      <c r="H630" s="165" t="s">
        <v>12</v>
      </c>
      <c r="I630" s="886"/>
      <c r="J630" s="886"/>
      <c r="K630" s="887"/>
      <c r="L630" s="887">
        <f t="shared" ref="L630:N631" si="266">L633+L640</f>
        <v>0</v>
      </c>
      <c r="M630" s="887">
        <f t="shared" si="266"/>
        <v>0</v>
      </c>
      <c r="N630" s="887">
        <f t="shared" si="266"/>
        <v>0</v>
      </c>
      <c r="O630" s="887">
        <f t="shared" si="264"/>
        <v>0</v>
      </c>
      <c r="P630" s="887">
        <f t="shared" si="265"/>
        <v>0</v>
      </c>
      <c r="Q630" s="1323"/>
      <c r="R630" s="1323"/>
      <c r="S630" s="1323"/>
      <c r="T630" s="1323"/>
      <c r="U630" s="1323"/>
      <c r="V630" s="1323"/>
      <c r="W630" s="1323"/>
      <c r="X630" s="1323"/>
      <c r="Y630" s="1323"/>
      <c r="Z630" s="1323"/>
    </row>
    <row r="631" spans="1:26" ht="18.75" hidden="1">
      <c r="A631" s="1319"/>
      <c r="B631" s="1324"/>
      <c r="C631" s="1320"/>
      <c r="D631" s="1321"/>
      <c r="E631" s="1320" t="s">
        <v>186</v>
      </c>
      <c r="F631" s="1320"/>
      <c r="G631" s="1322"/>
      <c r="H631" s="165" t="s">
        <v>12</v>
      </c>
      <c r="I631" s="886"/>
      <c r="J631" s="886"/>
      <c r="K631" s="887"/>
      <c r="L631" s="887">
        <f t="shared" ca="1" si="266"/>
        <v>0</v>
      </c>
      <c r="M631" s="887">
        <f t="shared" si="266"/>
        <v>0</v>
      </c>
      <c r="N631" s="887">
        <f t="shared" si="266"/>
        <v>0</v>
      </c>
      <c r="O631" s="887">
        <f t="shared" ca="1" si="264"/>
        <v>0</v>
      </c>
      <c r="P631" s="887">
        <f t="shared" si="265"/>
        <v>0</v>
      </c>
      <c r="Q631" s="1323"/>
      <c r="R631" s="1323"/>
      <c r="S631" s="1323"/>
      <c r="T631" s="1323"/>
      <c r="U631" s="1323"/>
      <c r="V631" s="1323"/>
      <c r="W631" s="1323"/>
      <c r="X631" s="1323"/>
      <c r="Y631" s="1323"/>
      <c r="Z631" s="1323"/>
    </row>
    <row r="632" spans="1:26" ht="18.75" hidden="1">
      <c r="A632" s="1317"/>
      <c r="B632" s="1300"/>
      <c r="C632" s="1301"/>
      <c r="D632" s="1325" t="s">
        <v>20</v>
      </c>
      <c r="E632" s="1301"/>
      <c r="F632" s="1301"/>
      <c r="G632" s="1016"/>
      <c r="H632" s="161" t="s">
        <v>12</v>
      </c>
      <c r="I632" s="997"/>
      <c r="J632" s="997"/>
      <c r="K632" s="998"/>
      <c r="L632" s="881">
        <f t="shared" ref="L632:N632" ca="1" si="267">L633+L634</f>
        <v>0</v>
      </c>
      <c r="M632" s="881">
        <f t="shared" si="267"/>
        <v>0</v>
      </c>
      <c r="N632" s="881">
        <f t="shared" si="267"/>
        <v>0</v>
      </c>
      <c r="O632" s="881">
        <f t="shared" ca="1" si="264"/>
        <v>0</v>
      </c>
      <c r="P632" s="881">
        <f t="shared" si="265"/>
        <v>0</v>
      </c>
      <c r="Q632" s="1302"/>
      <c r="R632" s="1302"/>
      <c r="S632" s="1302"/>
      <c r="T632" s="1302"/>
      <c r="U632" s="1302"/>
      <c r="V632" s="1302"/>
      <c r="W632" s="1302"/>
      <c r="X632" s="1302"/>
      <c r="Y632" s="1302"/>
      <c r="Z632" s="1302"/>
    </row>
    <row r="633" spans="1:26" ht="18.75" hidden="1">
      <c r="A633" s="1319"/>
      <c r="B633" s="1324"/>
      <c r="C633" s="1320"/>
      <c r="D633" s="1321"/>
      <c r="E633" s="1320" t="s">
        <v>185</v>
      </c>
      <c r="F633" s="1320"/>
      <c r="G633" s="1322"/>
      <c r="H633" s="165" t="s">
        <v>12</v>
      </c>
      <c r="I633" s="886"/>
      <c r="J633" s="886"/>
      <c r="K633" s="887"/>
      <c r="L633" s="887">
        <v>0</v>
      </c>
      <c r="M633" s="887">
        <v>0</v>
      </c>
      <c r="N633" s="887">
        <v>0</v>
      </c>
      <c r="O633" s="887">
        <f t="shared" si="264"/>
        <v>0</v>
      </c>
      <c r="P633" s="887">
        <f t="shared" si="265"/>
        <v>0</v>
      </c>
      <c r="Q633" s="1323"/>
      <c r="R633" s="1323"/>
      <c r="S633" s="1323"/>
      <c r="T633" s="1323"/>
      <c r="U633" s="1323"/>
      <c r="V633" s="1323"/>
      <c r="W633" s="1323"/>
      <c r="X633" s="1323"/>
      <c r="Y633" s="1323"/>
      <c r="Z633" s="1323"/>
    </row>
    <row r="634" spans="1:26" ht="18.75" hidden="1">
      <c r="A634" s="1319"/>
      <c r="B634" s="1324"/>
      <c r="C634" s="1320"/>
      <c r="D634" s="1321"/>
      <c r="E634" s="1320" t="s">
        <v>186</v>
      </c>
      <c r="F634" s="1320"/>
      <c r="G634" s="1322"/>
      <c r="H634" s="165" t="s">
        <v>12</v>
      </c>
      <c r="I634" s="886"/>
      <c r="J634" s="886"/>
      <c r="K634" s="887"/>
      <c r="L634" s="887">
        <f ca="1">IFERROR(__xludf.DUMMYFUNCTION("IMPORTRANGE(""https://docs.google.com/spreadsheets/d/1QqKyyYR6Q21VydFLVH3TRQUabQu_ym0Zz7PgGX0-kHA/edit?usp=sharing"",""แผน!HN81"")"),0)</f>
        <v>0</v>
      </c>
      <c r="M634" s="887">
        <v>0</v>
      </c>
      <c r="N634" s="887">
        <f>N635+N636+N637+N638</f>
        <v>0</v>
      </c>
      <c r="O634" s="887">
        <f t="shared" ca="1" si="264"/>
        <v>0</v>
      </c>
      <c r="P634" s="887">
        <f t="shared" si="265"/>
        <v>0</v>
      </c>
      <c r="Q634" s="1323"/>
      <c r="R634" s="1323"/>
      <c r="S634" s="1323"/>
      <c r="T634" s="1323"/>
      <c r="U634" s="1323"/>
      <c r="V634" s="1323"/>
      <c r="W634" s="1323"/>
      <c r="X634" s="1323"/>
      <c r="Y634" s="1323"/>
      <c r="Z634" s="1323"/>
    </row>
    <row r="635" spans="1:26" ht="18.75" hidden="1">
      <c r="A635" s="1299"/>
      <c r="B635" s="1300"/>
      <c r="C635" s="1301"/>
      <c r="D635" s="1301"/>
      <c r="E635" s="1301"/>
      <c r="F635" s="1301" t="s">
        <v>187</v>
      </c>
      <c r="G635" s="1016"/>
      <c r="H635" s="161" t="s">
        <v>12</v>
      </c>
      <c r="I635" s="880"/>
      <c r="J635" s="880"/>
      <c r="K635" s="881"/>
      <c r="L635" s="881"/>
      <c r="M635" s="881"/>
      <c r="N635" s="1085">
        <v>0</v>
      </c>
      <c r="O635" s="881"/>
      <c r="P635" s="881"/>
      <c r="Q635" s="1302"/>
      <c r="R635" s="1302"/>
      <c r="S635" s="1302"/>
      <c r="T635" s="1302"/>
      <c r="U635" s="1302"/>
      <c r="V635" s="1302"/>
      <c r="W635" s="1302"/>
      <c r="X635" s="1302"/>
      <c r="Y635" s="1302"/>
      <c r="Z635" s="1302"/>
    </row>
    <row r="636" spans="1:26" ht="18.75" hidden="1">
      <c r="A636" s="1299"/>
      <c r="B636" s="1300"/>
      <c r="C636" s="1301"/>
      <c r="D636" s="1301"/>
      <c r="E636" s="1301"/>
      <c r="F636" s="1301" t="s">
        <v>188</v>
      </c>
      <c r="G636" s="1016"/>
      <c r="H636" s="161" t="s">
        <v>12</v>
      </c>
      <c r="I636" s="880"/>
      <c r="J636" s="880"/>
      <c r="K636" s="881"/>
      <c r="L636" s="881"/>
      <c r="M636" s="881"/>
      <c r="N636" s="1085">
        <v>0</v>
      </c>
      <c r="O636" s="881"/>
      <c r="P636" s="881"/>
      <c r="Q636" s="1302"/>
      <c r="R636" s="1302"/>
      <c r="S636" s="1302"/>
      <c r="T636" s="1302"/>
      <c r="U636" s="1302"/>
      <c r="V636" s="1302"/>
      <c r="W636" s="1302"/>
      <c r="X636" s="1302"/>
      <c r="Y636" s="1302"/>
      <c r="Z636" s="1302"/>
    </row>
    <row r="637" spans="1:26" ht="18.75" hidden="1">
      <c r="A637" s="1299"/>
      <c r="B637" s="1300"/>
      <c r="C637" s="1301"/>
      <c r="D637" s="1301"/>
      <c r="E637" s="1301"/>
      <c r="F637" s="1301" t="s">
        <v>189</v>
      </c>
      <c r="G637" s="1016"/>
      <c r="H637" s="161" t="s">
        <v>12</v>
      </c>
      <c r="I637" s="880"/>
      <c r="J637" s="880"/>
      <c r="K637" s="881"/>
      <c r="L637" s="881"/>
      <c r="M637" s="881"/>
      <c r="N637" s="1085">
        <v>0</v>
      </c>
      <c r="O637" s="881"/>
      <c r="P637" s="881"/>
      <c r="Q637" s="1302"/>
      <c r="R637" s="1302"/>
      <c r="S637" s="1302"/>
      <c r="T637" s="1302"/>
      <c r="U637" s="1302"/>
      <c r="V637" s="1302"/>
      <c r="W637" s="1302"/>
      <c r="X637" s="1302"/>
      <c r="Y637" s="1302"/>
      <c r="Z637" s="1302"/>
    </row>
    <row r="638" spans="1:26" ht="18.75" hidden="1">
      <c r="A638" s="1299"/>
      <c r="B638" s="1300"/>
      <c r="C638" s="1301"/>
      <c r="D638" s="1301"/>
      <c r="E638" s="1301"/>
      <c r="F638" s="1301" t="s">
        <v>190</v>
      </c>
      <c r="G638" s="1016"/>
      <c r="H638" s="161" t="s">
        <v>12</v>
      </c>
      <c r="I638" s="880"/>
      <c r="J638" s="880"/>
      <c r="K638" s="881"/>
      <c r="L638" s="881"/>
      <c r="M638" s="881"/>
      <c r="N638" s="1085">
        <v>0</v>
      </c>
      <c r="O638" s="881"/>
      <c r="P638" s="881"/>
      <c r="Q638" s="1302"/>
      <c r="R638" s="1302"/>
      <c r="S638" s="1302"/>
      <c r="T638" s="1302"/>
      <c r="U638" s="1302"/>
      <c r="V638" s="1302"/>
      <c r="W638" s="1302"/>
      <c r="X638" s="1302"/>
      <c r="Y638" s="1302"/>
      <c r="Z638" s="1302"/>
    </row>
    <row r="639" spans="1:26" ht="18.75" hidden="1">
      <c r="A639" s="1317"/>
      <c r="B639" s="1300"/>
      <c r="C639" s="1301"/>
      <c r="D639" s="1325" t="s">
        <v>21</v>
      </c>
      <c r="E639" s="1301"/>
      <c r="F639" s="1301"/>
      <c r="G639" s="1016"/>
      <c r="H639" s="168" t="s">
        <v>12</v>
      </c>
      <c r="I639" s="997"/>
      <c r="J639" s="997"/>
      <c r="K639" s="998"/>
      <c r="L639" s="881">
        <f t="shared" ref="L639:N639" ca="1" si="268">L640+L641</f>
        <v>0</v>
      </c>
      <c r="M639" s="881">
        <f t="shared" si="268"/>
        <v>0</v>
      </c>
      <c r="N639" s="881">
        <f t="shared" si="268"/>
        <v>0</v>
      </c>
      <c r="O639" s="881">
        <f t="shared" ref="O639:O641" ca="1" si="269">IF(L639&gt;0,N639*100/L639,0)</f>
        <v>0</v>
      </c>
      <c r="P639" s="881">
        <f t="shared" ref="P639:P641" si="270">IF(M639&gt;0,N639*100/M639,0)</f>
        <v>0</v>
      </c>
      <c r="Q639" s="1302"/>
      <c r="R639" s="1302"/>
      <c r="S639" s="1302"/>
      <c r="T639" s="1302"/>
      <c r="U639" s="1302"/>
      <c r="V639" s="1302"/>
      <c r="W639" s="1302"/>
      <c r="X639" s="1302"/>
      <c r="Y639" s="1302"/>
      <c r="Z639" s="1302"/>
    </row>
    <row r="640" spans="1:26" ht="18.75" hidden="1">
      <c r="A640" s="1319"/>
      <c r="B640" s="1324"/>
      <c r="C640" s="1320"/>
      <c r="D640" s="1320"/>
      <c r="E640" s="1320" t="s">
        <v>18</v>
      </c>
      <c r="F640" s="1320"/>
      <c r="G640" s="1322"/>
      <c r="H640" s="165" t="s">
        <v>12</v>
      </c>
      <c r="I640" s="1000"/>
      <c r="J640" s="1000"/>
      <c r="K640" s="1001"/>
      <c r="L640" s="887">
        <v>0</v>
      </c>
      <c r="M640" s="887">
        <v>0</v>
      </c>
      <c r="N640" s="887">
        <v>0</v>
      </c>
      <c r="O640" s="887">
        <f t="shared" si="269"/>
        <v>0</v>
      </c>
      <c r="P640" s="887">
        <f t="shared" si="270"/>
        <v>0</v>
      </c>
      <c r="Q640" s="1323"/>
      <c r="R640" s="1323"/>
      <c r="S640" s="1323"/>
      <c r="T640" s="1323"/>
      <c r="U640" s="1323"/>
      <c r="V640" s="1323"/>
      <c r="W640" s="1323"/>
      <c r="X640" s="1323"/>
      <c r="Y640" s="1323"/>
      <c r="Z640" s="1323"/>
    </row>
    <row r="641" spans="1:26" ht="18.75" hidden="1">
      <c r="A641" s="1319"/>
      <c r="B641" s="1324"/>
      <c r="C641" s="1320"/>
      <c r="D641" s="1320"/>
      <c r="E641" s="1320" t="s">
        <v>19</v>
      </c>
      <c r="F641" s="1320"/>
      <c r="G641" s="1322"/>
      <c r="H641" s="169" t="s">
        <v>12</v>
      </c>
      <c r="I641" s="1000"/>
      <c r="J641" s="1000"/>
      <c r="K641" s="1001"/>
      <c r="L641" s="887">
        <f ca="1">IFERROR(__xludf.DUMMYFUNCTION("IMPORTRANGE(""https://docs.google.com/spreadsheets/d/1QqKyyYR6Q21VydFLVH3TRQUabQu_ym0Zz7PgGX0-kHA/edit?usp=sharing"",""แผน!HQ81"")"),0)</f>
        <v>0</v>
      </c>
      <c r="M641" s="887">
        <v>0</v>
      </c>
      <c r="N641" s="887">
        <v>0</v>
      </c>
      <c r="O641" s="887">
        <f t="shared" ca="1" si="269"/>
        <v>0</v>
      </c>
      <c r="P641" s="887">
        <f t="shared" si="270"/>
        <v>0</v>
      </c>
      <c r="Q641" s="1323"/>
      <c r="R641" s="1323"/>
      <c r="S641" s="1323"/>
      <c r="T641" s="1323"/>
      <c r="U641" s="1323"/>
      <c r="V641" s="1323"/>
      <c r="W641" s="1323"/>
      <c r="X641" s="1323"/>
      <c r="Y641" s="1323"/>
      <c r="Z641" s="1323"/>
    </row>
    <row r="642" spans="1:26" ht="19.5" hidden="1">
      <c r="A642" s="1326"/>
      <c r="B642" s="1327"/>
      <c r="C642" s="1301" t="s">
        <v>16</v>
      </c>
      <c r="D642" s="1380" t="s">
        <v>38</v>
      </c>
      <c r="E642" s="1330"/>
      <c r="F642" s="1330"/>
      <c r="G642" s="1331"/>
      <c r="H642" s="1007"/>
      <c r="I642" s="997"/>
      <c r="J642" s="997"/>
      <c r="K642" s="998"/>
      <c r="L642" s="998"/>
      <c r="M642" s="998"/>
      <c r="N642" s="998"/>
      <c r="O642" s="998"/>
      <c r="P642" s="998"/>
      <c r="Q642" s="1302"/>
      <c r="R642" s="1302"/>
      <c r="S642" s="1302"/>
      <c r="T642" s="1302"/>
      <c r="U642" s="1302"/>
      <c r="V642" s="1302"/>
      <c r="W642" s="1302"/>
      <c r="X642" s="1302"/>
      <c r="Y642" s="1302"/>
      <c r="Z642" s="1302"/>
    </row>
    <row r="643" spans="1:26" ht="18.75" hidden="1">
      <c r="A643" s="1429"/>
      <c r="B643" s="1300"/>
      <c r="C643" s="1301"/>
      <c r="D643" s="1014"/>
      <c r="E643" s="1069" t="s">
        <v>272</v>
      </c>
      <c r="F643" s="1014"/>
      <c r="G643" s="1007"/>
      <c r="H643" s="762" t="s">
        <v>273</v>
      </c>
      <c r="I643" s="880">
        <f ca="1">IFERROR(__xludf.DUMMYFUNCTION("IMPORTRANGE(""https://docs.google.com/spreadsheets/d/1QqKyyYR6Q21VydFLVH3TRQUabQu_ym0Zz7PgGX0-kHA/edit?usp=sharing"",""แผน!HR81"")"),0)</f>
        <v>0</v>
      </c>
      <c r="J643" s="1012">
        <v>0</v>
      </c>
      <c r="K643" s="998">
        <f t="shared" ref="K643:K652" ca="1" si="271">IF(I643&gt;0,J643*100/I643,0)</f>
        <v>0</v>
      </c>
      <c r="L643" s="998"/>
      <c r="M643" s="998"/>
      <c r="N643" s="881"/>
      <c r="O643" s="998"/>
      <c r="P643" s="998"/>
      <c r="Q643" s="1302"/>
      <c r="R643" s="1302"/>
      <c r="S643" s="1302"/>
      <c r="T643" s="1302"/>
      <c r="U643" s="1302"/>
      <c r="V643" s="1302"/>
      <c r="W643" s="1302"/>
      <c r="X643" s="1302"/>
      <c r="Y643" s="1302"/>
      <c r="Z643" s="1302"/>
    </row>
    <row r="644" spans="1:26" ht="18.75" hidden="1">
      <c r="A644" s="1429"/>
      <c r="B644" s="1300"/>
      <c r="C644" s="1301"/>
      <c r="D644" s="1014"/>
      <c r="E644" s="1069" t="s">
        <v>274</v>
      </c>
      <c r="F644" s="1014"/>
      <c r="G644" s="1007"/>
      <c r="H644" s="762" t="s">
        <v>275</v>
      </c>
      <c r="I644" s="880">
        <f ca="1">IFERROR(__xludf.DUMMYFUNCTION("IMPORTRANGE(""https://docs.google.com/spreadsheets/d/1QqKyyYR6Q21VydFLVH3TRQUabQu_ym0Zz7PgGX0-kHA/edit?usp=sharing"",""แผน!HR81"")"),0)</f>
        <v>0</v>
      </c>
      <c r="J644" s="1012">
        <v>0</v>
      </c>
      <c r="K644" s="998">
        <f t="shared" ca="1" si="271"/>
        <v>0</v>
      </c>
      <c r="L644" s="998"/>
      <c r="M644" s="998"/>
      <c r="N644" s="881"/>
      <c r="O644" s="998"/>
      <c r="P644" s="998"/>
      <c r="Q644" s="1302"/>
      <c r="R644" s="1302"/>
      <c r="S644" s="1302"/>
      <c r="T644" s="1302"/>
      <c r="U644" s="1302"/>
      <c r="V644" s="1302"/>
      <c r="W644" s="1302"/>
      <c r="X644" s="1302"/>
      <c r="Y644" s="1302"/>
      <c r="Z644" s="1302"/>
    </row>
    <row r="645" spans="1:26" ht="18.75" hidden="1">
      <c r="A645" s="1429"/>
      <c r="B645" s="1300"/>
      <c r="C645" s="1301"/>
      <c r="D645" s="1014"/>
      <c r="E645" s="1069" t="s">
        <v>276</v>
      </c>
      <c r="F645" s="1014"/>
      <c r="G645" s="1007"/>
      <c r="H645" s="762" t="s">
        <v>34</v>
      </c>
      <c r="I645" s="880">
        <v>0</v>
      </c>
      <c r="J645" s="880">
        <f ca="1">IFERROR(__xludf.DUMMYFUNCTION("IMPORTRANGE(""https://docs.google.com/spreadsheets/d/1XWAQStnk-4SwqDmLtmXYiTMKHgktTP8We1SCoS47DrQ/edit?usp=sharing"",""จัดที่ดิน!AS81"")"),0)</f>
        <v>0</v>
      </c>
      <c r="K645" s="998">
        <f t="shared" si="271"/>
        <v>0</v>
      </c>
      <c r="L645" s="998"/>
      <c r="M645" s="998"/>
      <c r="N645" s="881"/>
      <c r="O645" s="998"/>
      <c r="P645" s="998"/>
      <c r="Q645" s="1302"/>
      <c r="R645" s="1302"/>
      <c r="S645" s="1302"/>
      <c r="T645" s="1302"/>
      <c r="U645" s="1302"/>
      <c r="V645" s="1302"/>
      <c r="W645" s="1302"/>
      <c r="X645" s="1302"/>
      <c r="Y645" s="1302"/>
      <c r="Z645" s="1302"/>
    </row>
    <row r="646" spans="1:26" ht="18.75" hidden="1">
      <c r="A646" s="1429"/>
      <c r="B646" s="1300"/>
      <c r="C646" s="1301"/>
      <c r="D646" s="1014"/>
      <c r="E646" s="1014"/>
      <c r="F646" s="1014"/>
      <c r="G646" s="1007"/>
      <c r="H646" s="762" t="s">
        <v>46</v>
      </c>
      <c r="I646" s="880">
        <v>0</v>
      </c>
      <c r="J646" s="880">
        <f ca="1">IFERROR(__xludf.DUMMYFUNCTION("IMPORTRANGE(""https://docs.google.com/spreadsheets/d/1XWAQStnk-4SwqDmLtmXYiTMKHgktTP8We1SCoS47DrQ/edit?usp=sharing"",""จัดที่ดิน!AT81"")"),0)</f>
        <v>0</v>
      </c>
      <c r="K646" s="881">
        <f t="shared" si="271"/>
        <v>0</v>
      </c>
      <c r="L646" s="998"/>
      <c r="M646" s="998"/>
      <c r="N646" s="881"/>
      <c r="O646" s="998"/>
      <c r="P646" s="998"/>
      <c r="Q646" s="1302"/>
      <c r="R646" s="1302"/>
      <c r="S646" s="1302"/>
      <c r="T646" s="1302"/>
      <c r="U646" s="1302"/>
      <c r="V646" s="1302"/>
      <c r="W646" s="1302"/>
      <c r="X646" s="1302"/>
      <c r="Y646" s="1302"/>
      <c r="Z646" s="1302"/>
    </row>
    <row r="647" spans="1:26" ht="18.75" hidden="1">
      <c r="A647" s="1429"/>
      <c r="B647" s="1300"/>
      <c r="C647" s="1301"/>
      <c r="D647" s="1014"/>
      <c r="E647" s="1069" t="s">
        <v>162</v>
      </c>
      <c r="F647" s="1014"/>
      <c r="G647" s="1007"/>
      <c r="H647" s="762" t="s">
        <v>35</v>
      </c>
      <c r="I647" s="880">
        <f ca="1">IFERROR(__xludf.DUMMYFUNCTION("IMPORTRANGE(""https://docs.google.com/spreadsheets/d/1QqKyyYR6Q21VydFLVH3TRQUabQu_ym0Zz7PgGX0-kHA/edit?usp=sharing"",""แผน!HS81"")"),0)</f>
        <v>0</v>
      </c>
      <c r="J647" s="880">
        <f ca="1">IFERROR(__xludf.DUMMYFUNCTION("IMPORTRANGE(""https://docs.google.com/spreadsheets/d/1XWAQStnk-4SwqDmLtmXYiTMKHgktTP8We1SCoS47DrQ/edit?usp=sharing"",""จัดที่ดิน!AU81"")"),0)</f>
        <v>0</v>
      </c>
      <c r="K647" s="998">
        <f t="shared" ca="1" si="271"/>
        <v>0</v>
      </c>
      <c r="L647" s="998"/>
      <c r="M647" s="998"/>
      <c r="N647" s="998"/>
      <c r="O647" s="998"/>
      <c r="P647" s="998"/>
      <c r="Q647" s="1302"/>
      <c r="R647" s="1302"/>
      <c r="S647" s="1302"/>
      <c r="T647" s="1302"/>
      <c r="U647" s="1302"/>
      <c r="V647" s="1302"/>
      <c r="W647" s="1302"/>
      <c r="X647" s="1302"/>
      <c r="Y647" s="1302"/>
      <c r="Z647" s="1302"/>
    </row>
    <row r="648" spans="1:26" ht="18.75" hidden="1">
      <c r="A648" s="1429"/>
      <c r="B648" s="1300"/>
      <c r="C648" s="1301"/>
      <c r="D648" s="1014"/>
      <c r="E648" s="1014"/>
      <c r="F648" s="1014"/>
      <c r="G648" s="1007"/>
      <c r="H648" s="762" t="s">
        <v>46</v>
      </c>
      <c r="I648" s="880">
        <v>0</v>
      </c>
      <c r="J648" s="880">
        <f ca="1">IFERROR(__xludf.DUMMYFUNCTION("IMPORTRANGE(""https://docs.google.com/spreadsheets/d/1XWAQStnk-4SwqDmLtmXYiTMKHgktTP8We1SCoS47DrQ/edit?usp=sharing"",""จัดที่ดิน!AV81"")"),0)</f>
        <v>0</v>
      </c>
      <c r="K648" s="881">
        <f t="shared" si="271"/>
        <v>0</v>
      </c>
      <c r="L648" s="998"/>
      <c r="M648" s="998"/>
      <c r="N648" s="998"/>
      <c r="O648" s="998"/>
      <c r="P648" s="998"/>
      <c r="Q648" s="1302"/>
      <c r="R648" s="1302"/>
      <c r="S648" s="1302"/>
      <c r="T648" s="1302"/>
      <c r="U648" s="1302"/>
      <c r="V648" s="1302"/>
      <c r="W648" s="1302"/>
      <c r="X648" s="1302"/>
      <c r="Y648" s="1302"/>
      <c r="Z648" s="1302"/>
    </row>
    <row r="649" spans="1:26" ht="18.75" hidden="1">
      <c r="A649" s="1429"/>
      <c r="B649" s="1300"/>
      <c r="C649" s="1301"/>
      <c r="D649" s="1014"/>
      <c r="E649" s="1069" t="s">
        <v>277</v>
      </c>
      <c r="F649" s="1014"/>
      <c r="G649" s="1007"/>
      <c r="H649" s="762" t="s">
        <v>35</v>
      </c>
      <c r="I649" s="880">
        <f ca="1">IFERROR(__xludf.DUMMYFUNCTION("IMPORTRANGE(""https://docs.google.com/spreadsheets/d/1QqKyyYR6Q21VydFLVH3TRQUabQu_ym0Zz7PgGX0-kHA/edit?usp=sharing"",""แผน!HS81"")"),0)</f>
        <v>0</v>
      </c>
      <c r="J649" s="880">
        <f ca="1">IFERROR(__xludf.DUMMYFUNCTION("IMPORTRANGE(""https://docs.google.com/spreadsheets/d/1XWAQStnk-4SwqDmLtmXYiTMKHgktTP8We1SCoS47DrQ/edit?usp=sharing"",""จัดที่ดิน!AW81"")"),0)</f>
        <v>0</v>
      </c>
      <c r="K649" s="998">
        <f t="shared" ca="1" si="271"/>
        <v>0</v>
      </c>
      <c r="L649" s="998"/>
      <c r="M649" s="998"/>
      <c r="N649" s="998"/>
      <c r="O649" s="998"/>
      <c r="P649" s="998"/>
      <c r="Q649" s="1302"/>
      <c r="R649" s="1302"/>
      <c r="S649" s="1302"/>
      <c r="T649" s="1302"/>
      <c r="U649" s="1302"/>
      <c r="V649" s="1302"/>
      <c r="W649" s="1302"/>
      <c r="X649" s="1302"/>
      <c r="Y649" s="1302"/>
      <c r="Z649" s="1302"/>
    </row>
    <row r="650" spans="1:26" ht="18.75" hidden="1">
      <c r="A650" s="1429"/>
      <c r="B650" s="1300"/>
      <c r="C650" s="1301"/>
      <c r="D650" s="1014"/>
      <c r="E650" s="1014"/>
      <c r="F650" s="1014"/>
      <c r="G650" s="1007"/>
      <c r="H650" s="762" t="s">
        <v>46</v>
      </c>
      <c r="I650" s="880">
        <v>0</v>
      </c>
      <c r="J650" s="880">
        <f ca="1">IFERROR(__xludf.DUMMYFUNCTION("IMPORTRANGE(""https://docs.google.com/spreadsheets/d/1XWAQStnk-4SwqDmLtmXYiTMKHgktTP8We1SCoS47DrQ/edit?usp=sharing"",""จัดที่ดิน!AX81"")"),0)</f>
        <v>0</v>
      </c>
      <c r="K650" s="881">
        <f t="shared" si="271"/>
        <v>0</v>
      </c>
      <c r="L650" s="998"/>
      <c r="M650" s="998"/>
      <c r="N650" s="998"/>
      <c r="O650" s="998"/>
      <c r="P650" s="998"/>
      <c r="Q650" s="1302"/>
      <c r="R650" s="1302"/>
      <c r="S650" s="1302"/>
      <c r="T650" s="1302"/>
      <c r="U650" s="1302"/>
      <c r="V650" s="1302"/>
      <c r="W650" s="1302"/>
      <c r="X650" s="1302"/>
      <c r="Y650" s="1302"/>
      <c r="Z650" s="1302"/>
    </row>
    <row r="651" spans="1:26" ht="18.75" hidden="1">
      <c r="A651" s="1429"/>
      <c r="B651" s="1300"/>
      <c r="C651" s="1301"/>
      <c r="D651" s="1014"/>
      <c r="E651" s="1069" t="s">
        <v>278</v>
      </c>
      <c r="F651" s="1014"/>
      <c r="G651" s="1007"/>
      <c r="H651" s="762" t="s">
        <v>35</v>
      </c>
      <c r="I651" s="880">
        <f ca="1">IFERROR(__xludf.DUMMYFUNCTION("IMPORTRANGE(""https://docs.google.com/spreadsheets/d/1QqKyyYR6Q21VydFLVH3TRQUabQu_ym0Zz7PgGX0-kHA/edit?usp=sharing"",""แผน!HS81"")"),0)</f>
        <v>0</v>
      </c>
      <c r="J651" s="880">
        <f ca="1">IFERROR(__xludf.DUMMYFUNCTION("IMPORTRANGE(""https://docs.google.com/spreadsheets/d/1XWAQStnk-4SwqDmLtmXYiTMKHgktTP8We1SCoS47DrQ/edit?usp=sharing"",""จัดที่ดิน!AY81"")"),0)</f>
        <v>0</v>
      </c>
      <c r="K651" s="998">
        <f t="shared" ca="1" si="271"/>
        <v>0</v>
      </c>
      <c r="L651" s="998"/>
      <c r="M651" s="998"/>
      <c r="N651" s="998"/>
      <c r="O651" s="998"/>
      <c r="P651" s="998"/>
      <c r="Q651" s="1302"/>
      <c r="R651" s="1302"/>
      <c r="S651" s="1302"/>
      <c r="T651" s="1302"/>
      <c r="U651" s="1302"/>
      <c r="V651" s="1302"/>
      <c r="W651" s="1302"/>
      <c r="X651" s="1302"/>
      <c r="Y651" s="1302"/>
      <c r="Z651" s="1302"/>
    </row>
    <row r="652" spans="1:26" ht="18.75" hidden="1">
      <c r="A652" s="1430"/>
      <c r="B652" s="1431"/>
      <c r="C652" s="1432"/>
      <c r="D652" s="1169"/>
      <c r="E652" s="1169"/>
      <c r="F652" s="1169"/>
      <c r="G652" s="1422"/>
      <c r="H652" s="504" t="s">
        <v>46</v>
      </c>
      <c r="I652" s="1138">
        <v>0</v>
      </c>
      <c r="J652" s="1138">
        <f ca="1">IFERROR(__xludf.DUMMYFUNCTION("IMPORTRANGE(""https://docs.google.com/spreadsheets/d/1XWAQStnk-4SwqDmLtmXYiTMKHgktTP8We1SCoS47DrQ/edit?usp=sharing"",""จัดที่ดิน!AZ81"")"),0)</f>
        <v>0</v>
      </c>
      <c r="K652" s="1239">
        <f t="shared" si="271"/>
        <v>0</v>
      </c>
      <c r="L652" s="1139"/>
      <c r="M652" s="1139"/>
      <c r="N652" s="1139"/>
      <c r="O652" s="1139"/>
      <c r="P652" s="1139"/>
      <c r="Q652" s="1302"/>
      <c r="R652" s="1302"/>
      <c r="S652" s="1302"/>
      <c r="T652" s="1302"/>
      <c r="U652" s="1302"/>
      <c r="V652" s="1302"/>
      <c r="W652" s="1302"/>
      <c r="X652" s="1302"/>
      <c r="Y652" s="1302"/>
      <c r="Z652" s="1302"/>
    </row>
    <row r="653" spans="1:26" ht="19.5">
      <c r="A653" s="748">
        <v>8</v>
      </c>
      <c r="B653" s="1423" t="s">
        <v>279</v>
      </c>
      <c r="C653" s="1424"/>
      <c r="D653" s="1424"/>
      <c r="E653" s="1424"/>
      <c r="F653" s="1424"/>
      <c r="G653" s="1425"/>
      <c r="H653" s="1425"/>
      <c r="I653" s="1433"/>
      <c r="J653" s="1433"/>
      <c r="K653" s="1428"/>
      <c r="L653" s="1428"/>
      <c r="M653" s="1428"/>
      <c r="N653" s="1428"/>
      <c r="O653" s="1428"/>
      <c r="P653" s="1428"/>
      <c r="Q653" s="1302"/>
      <c r="R653" s="1302"/>
      <c r="S653" s="1302"/>
      <c r="T653" s="1302"/>
      <c r="U653" s="1302"/>
      <c r="V653" s="1302"/>
      <c r="W653" s="1302"/>
      <c r="X653" s="1302"/>
      <c r="Y653" s="1302"/>
      <c r="Z653" s="1302"/>
    </row>
    <row r="654" spans="1:26" ht="19.5" hidden="1">
      <c r="A654" s="1375"/>
      <c r="B654" s="1374" t="s">
        <v>280</v>
      </c>
      <c r="C654" s="1375"/>
      <c r="D654" s="1375"/>
      <c r="E654" s="1375"/>
      <c r="F654" s="1375"/>
      <c r="G654" s="1376"/>
      <c r="H654" s="705" t="s">
        <v>46</v>
      </c>
      <c r="I654" s="1377">
        <f t="shared" ref="I654:J654" ca="1" si="272">I669</f>
        <v>0</v>
      </c>
      <c r="J654" s="1377">
        <f t="shared" si="272"/>
        <v>0</v>
      </c>
      <c r="K654" s="1378">
        <f ca="1">IF(I654&gt;0,J654*100/I654,0)</f>
        <v>0</v>
      </c>
      <c r="L654" s="1379"/>
      <c r="M654" s="1379"/>
      <c r="N654" s="1379"/>
      <c r="O654" s="1379"/>
      <c r="P654" s="1379"/>
      <c r="Q654" s="1302"/>
      <c r="R654" s="1302"/>
      <c r="S654" s="1302"/>
      <c r="T654" s="1302"/>
      <c r="U654" s="1302"/>
      <c r="V654" s="1302"/>
      <c r="W654" s="1302"/>
      <c r="X654" s="1302"/>
      <c r="Y654" s="1302"/>
      <c r="Z654" s="1302"/>
    </row>
    <row r="655" spans="1:26" ht="19.5" hidden="1">
      <c r="A655" s="1317"/>
      <c r="B655" s="1301"/>
      <c r="C655" s="1301" t="s">
        <v>16</v>
      </c>
      <c r="D655" s="1318" t="s">
        <v>17</v>
      </c>
      <c r="E655" s="841"/>
      <c r="F655" s="841"/>
      <c r="G655" s="1016"/>
      <c r="H655" s="597" t="s">
        <v>12</v>
      </c>
      <c r="I655" s="880"/>
      <c r="J655" s="880"/>
      <c r="K655" s="881"/>
      <c r="L655" s="1020">
        <f t="shared" ref="L655:N655" ca="1" si="273">L656+L657</f>
        <v>0</v>
      </c>
      <c r="M655" s="1020">
        <f t="shared" si="273"/>
        <v>0</v>
      </c>
      <c r="N655" s="1020">
        <f t="shared" si="273"/>
        <v>0</v>
      </c>
      <c r="O655" s="1020">
        <f t="shared" ref="O655:O660" ca="1" si="274">IF(L655&gt;0,N655*100/L655,0)</f>
        <v>0</v>
      </c>
      <c r="P655" s="1020">
        <f t="shared" ref="P655:P660" si="275">IF(M655&gt;0,N655*100/M655,0)</f>
        <v>0</v>
      </c>
      <c r="Q655" s="1302"/>
      <c r="R655" s="1302"/>
      <c r="S655" s="1302"/>
      <c r="T655" s="1302"/>
      <c r="U655" s="1302"/>
      <c r="V655" s="1302"/>
      <c r="W655" s="1302"/>
      <c r="X655" s="1302"/>
      <c r="Y655" s="1302"/>
      <c r="Z655" s="1302"/>
    </row>
    <row r="656" spans="1:26" ht="18.75" hidden="1">
      <c r="A656" s="1319"/>
      <c r="B656" s="1320"/>
      <c r="C656" s="1320"/>
      <c r="D656" s="1321"/>
      <c r="E656" s="1320" t="s">
        <v>185</v>
      </c>
      <c r="F656" s="1320"/>
      <c r="G656" s="1322"/>
      <c r="H656" s="165" t="s">
        <v>12</v>
      </c>
      <c r="I656" s="886"/>
      <c r="J656" s="886"/>
      <c r="K656" s="887"/>
      <c r="L656" s="887">
        <f t="shared" ref="L656:N657" si="276">L659+L666</f>
        <v>0</v>
      </c>
      <c r="M656" s="887">
        <f t="shared" si="276"/>
        <v>0</v>
      </c>
      <c r="N656" s="887">
        <f t="shared" si="276"/>
        <v>0</v>
      </c>
      <c r="O656" s="887">
        <f t="shared" si="274"/>
        <v>0</v>
      </c>
      <c r="P656" s="887">
        <f t="shared" si="275"/>
        <v>0</v>
      </c>
      <c r="Q656" s="1323"/>
      <c r="R656" s="1323"/>
      <c r="S656" s="1323"/>
      <c r="T656" s="1323"/>
      <c r="U656" s="1323"/>
      <c r="V656" s="1323"/>
      <c r="W656" s="1323"/>
      <c r="X656" s="1323"/>
      <c r="Y656" s="1323"/>
      <c r="Z656" s="1323"/>
    </row>
    <row r="657" spans="1:26" ht="18.75" hidden="1">
      <c r="A657" s="1319"/>
      <c r="B657" s="1324"/>
      <c r="C657" s="1320"/>
      <c r="D657" s="1321"/>
      <c r="E657" s="1320" t="s">
        <v>186</v>
      </c>
      <c r="F657" s="1320"/>
      <c r="G657" s="1322"/>
      <c r="H657" s="165" t="s">
        <v>12</v>
      </c>
      <c r="I657" s="886"/>
      <c r="J657" s="886"/>
      <c r="K657" s="887"/>
      <c r="L657" s="887">
        <f t="shared" ca="1" si="276"/>
        <v>0</v>
      </c>
      <c r="M657" s="887">
        <f t="shared" si="276"/>
        <v>0</v>
      </c>
      <c r="N657" s="887">
        <f t="shared" si="276"/>
        <v>0</v>
      </c>
      <c r="O657" s="887">
        <f t="shared" ca="1" si="274"/>
        <v>0</v>
      </c>
      <c r="P657" s="887">
        <f t="shared" si="275"/>
        <v>0</v>
      </c>
      <c r="Q657" s="1323"/>
      <c r="R657" s="1323"/>
      <c r="S657" s="1323"/>
      <c r="T657" s="1323"/>
      <c r="U657" s="1323"/>
      <c r="V657" s="1323"/>
      <c r="W657" s="1323"/>
      <c r="X657" s="1323"/>
      <c r="Y657" s="1323"/>
      <c r="Z657" s="1323"/>
    </row>
    <row r="658" spans="1:26" ht="18.75" hidden="1">
      <c r="A658" s="1317"/>
      <c r="B658" s="1300"/>
      <c r="C658" s="1301"/>
      <c r="D658" s="1325" t="s">
        <v>20</v>
      </c>
      <c r="E658" s="1301"/>
      <c r="F658" s="1301"/>
      <c r="G658" s="1016"/>
      <c r="H658" s="161" t="s">
        <v>12</v>
      </c>
      <c r="I658" s="997"/>
      <c r="J658" s="997"/>
      <c r="K658" s="998"/>
      <c r="L658" s="881">
        <f t="shared" ref="L658:N658" ca="1" si="277">L659+L660</f>
        <v>0</v>
      </c>
      <c r="M658" s="881">
        <f t="shared" si="277"/>
        <v>0</v>
      </c>
      <c r="N658" s="881">
        <f t="shared" si="277"/>
        <v>0</v>
      </c>
      <c r="O658" s="881">
        <f t="shared" ca="1" si="274"/>
        <v>0</v>
      </c>
      <c r="P658" s="881">
        <f t="shared" si="275"/>
        <v>0</v>
      </c>
      <c r="Q658" s="1302"/>
      <c r="R658" s="1302"/>
      <c r="S658" s="1302"/>
      <c r="T658" s="1302"/>
      <c r="U658" s="1302"/>
      <c r="V658" s="1302"/>
      <c r="W658" s="1302"/>
      <c r="X658" s="1302"/>
      <c r="Y658" s="1302"/>
      <c r="Z658" s="1302"/>
    </row>
    <row r="659" spans="1:26" ht="18.75" hidden="1">
      <c r="A659" s="1319"/>
      <c r="B659" s="1324"/>
      <c r="C659" s="1320"/>
      <c r="D659" s="1321"/>
      <c r="E659" s="1320" t="s">
        <v>185</v>
      </c>
      <c r="F659" s="1320"/>
      <c r="G659" s="1322"/>
      <c r="H659" s="165" t="s">
        <v>12</v>
      </c>
      <c r="I659" s="886"/>
      <c r="J659" s="886"/>
      <c r="K659" s="887"/>
      <c r="L659" s="887">
        <v>0</v>
      </c>
      <c r="M659" s="887">
        <v>0</v>
      </c>
      <c r="N659" s="887">
        <v>0</v>
      </c>
      <c r="O659" s="887">
        <f t="shared" si="274"/>
        <v>0</v>
      </c>
      <c r="P659" s="887">
        <f t="shared" si="275"/>
        <v>0</v>
      </c>
      <c r="Q659" s="1323"/>
      <c r="R659" s="1323"/>
      <c r="S659" s="1323"/>
      <c r="T659" s="1323"/>
      <c r="U659" s="1323"/>
      <c r="V659" s="1323"/>
      <c r="W659" s="1323"/>
      <c r="X659" s="1323"/>
      <c r="Y659" s="1323"/>
      <c r="Z659" s="1323"/>
    </row>
    <row r="660" spans="1:26" ht="18.75" hidden="1">
      <c r="A660" s="1319"/>
      <c r="B660" s="1324"/>
      <c r="C660" s="1320"/>
      <c r="D660" s="1321"/>
      <c r="E660" s="1320" t="s">
        <v>186</v>
      </c>
      <c r="F660" s="1320"/>
      <c r="G660" s="1322"/>
      <c r="H660" s="165" t="s">
        <v>12</v>
      </c>
      <c r="I660" s="886"/>
      <c r="J660" s="886"/>
      <c r="K660" s="887"/>
      <c r="L660" s="887">
        <f ca="1">IFERROR(__xludf.DUMMYFUNCTION("IMPORTRANGE(""https://docs.google.com/spreadsheets/d/1QqKyyYR6Q21VydFLVH3TRQUabQu_ym0Zz7PgGX0-kHA/edit?usp=sharing"",""แผน!HV81"")"),0)</f>
        <v>0</v>
      </c>
      <c r="M660" s="887">
        <v>0</v>
      </c>
      <c r="N660" s="887">
        <f>N661+N662+N663+N664</f>
        <v>0</v>
      </c>
      <c r="O660" s="887">
        <f t="shared" ca="1" si="274"/>
        <v>0</v>
      </c>
      <c r="P660" s="887">
        <f t="shared" si="275"/>
        <v>0</v>
      </c>
      <c r="Q660" s="1323"/>
      <c r="R660" s="1323"/>
      <c r="S660" s="1323"/>
      <c r="T660" s="1323"/>
      <c r="U660" s="1323"/>
      <c r="V660" s="1323"/>
      <c r="W660" s="1323"/>
      <c r="X660" s="1323"/>
      <c r="Y660" s="1323"/>
      <c r="Z660" s="1323"/>
    </row>
    <row r="661" spans="1:26" ht="18.75" hidden="1">
      <c r="A661" s="1299"/>
      <c r="B661" s="1300"/>
      <c r="C661" s="1301"/>
      <c r="D661" s="1301"/>
      <c r="E661" s="1301"/>
      <c r="F661" s="1301" t="s">
        <v>187</v>
      </c>
      <c r="G661" s="1016"/>
      <c r="H661" s="161" t="s">
        <v>12</v>
      </c>
      <c r="I661" s="880"/>
      <c r="J661" s="880"/>
      <c r="K661" s="881"/>
      <c r="L661" s="881"/>
      <c r="M661" s="881"/>
      <c r="N661" s="1085">
        <v>0</v>
      </c>
      <c r="O661" s="881"/>
      <c r="P661" s="881"/>
      <c r="Q661" s="1302"/>
      <c r="R661" s="1302"/>
      <c r="S661" s="1302"/>
      <c r="T661" s="1302"/>
      <c r="U661" s="1302"/>
      <c r="V661" s="1302"/>
      <c r="W661" s="1302"/>
      <c r="X661" s="1302"/>
      <c r="Y661" s="1302"/>
      <c r="Z661" s="1302"/>
    </row>
    <row r="662" spans="1:26" ht="18.75" hidden="1">
      <c r="A662" s="1299"/>
      <c r="B662" s="1300"/>
      <c r="C662" s="1301"/>
      <c r="D662" s="1301"/>
      <c r="E662" s="1301"/>
      <c r="F662" s="1301" t="s">
        <v>188</v>
      </c>
      <c r="G662" s="1016"/>
      <c r="H662" s="161" t="s">
        <v>12</v>
      </c>
      <c r="I662" s="880"/>
      <c r="J662" s="880"/>
      <c r="K662" s="881"/>
      <c r="L662" s="881"/>
      <c r="M662" s="881"/>
      <c r="N662" s="1085">
        <v>0</v>
      </c>
      <c r="O662" s="881"/>
      <c r="P662" s="881"/>
      <c r="Q662" s="1302"/>
      <c r="R662" s="1302"/>
      <c r="S662" s="1302"/>
      <c r="T662" s="1302"/>
      <c r="U662" s="1302"/>
      <c r="V662" s="1302"/>
      <c r="W662" s="1302"/>
      <c r="X662" s="1302"/>
      <c r="Y662" s="1302"/>
      <c r="Z662" s="1302"/>
    </row>
    <row r="663" spans="1:26" ht="18.75" hidden="1">
      <c r="A663" s="1299"/>
      <c r="B663" s="1300"/>
      <c r="C663" s="1300"/>
      <c r="D663" s="1301"/>
      <c r="E663" s="1301"/>
      <c r="F663" s="1301" t="s">
        <v>189</v>
      </c>
      <c r="G663" s="1016"/>
      <c r="H663" s="161" t="s">
        <v>12</v>
      </c>
      <c r="I663" s="880"/>
      <c r="J663" s="880"/>
      <c r="K663" s="881"/>
      <c r="L663" s="881"/>
      <c r="M663" s="881"/>
      <c r="N663" s="1085">
        <v>0</v>
      </c>
      <c r="O663" s="881"/>
      <c r="P663" s="881"/>
      <c r="Q663" s="1302"/>
      <c r="R663" s="1302"/>
      <c r="S663" s="1302"/>
      <c r="T663" s="1302"/>
      <c r="U663" s="1302"/>
      <c r="V663" s="1302"/>
      <c r="W663" s="1302"/>
      <c r="X663" s="1302"/>
      <c r="Y663" s="1302"/>
      <c r="Z663" s="1302"/>
    </row>
    <row r="664" spans="1:26" ht="18.75" hidden="1">
      <c r="A664" s="1299"/>
      <c r="B664" s="1300"/>
      <c r="C664" s="1300"/>
      <c r="D664" s="1300"/>
      <c r="E664" s="1301"/>
      <c r="F664" s="1301" t="s">
        <v>190</v>
      </c>
      <c r="G664" s="1016"/>
      <c r="H664" s="161" t="s">
        <v>12</v>
      </c>
      <c r="I664" s="880"/>
      <c r="J664" s="880"/>
      <c r="K664" s="881"/>
      <c r="L664" s="881"/>
      <c r="M664" s="881"/>
      <c r="N664" s="1085">
        <v>0</v>
      </c>
      <c r="O664" s="881"/>
      <c r="P664" s="881"/>
      <c r="Q664" s="1302"/>
      <c r="R664" s="1302"/>
      <c r="S664" s="1302"/>
      <c r="T664" s="1302"/>
      <c r="U664" s="1302"/>
      <c r="V664" s="1302"/>
      <c r="W664" s="1302"/>
      <c r="X664" s="1302"/>
      <c r="Y664" s="1302"/>
      <c r="Z664" s="1302"/>
    </row>
    <row r="665" spans="1:26" ht="18.75" hidden="1">
      <c r="A665" s="1317"/>
      <c r="B665" s="1300"/>
      <c r="C665" s="1300"/>
      <c r="D665" s="1325" t="s">
        <v>21</v>
      </c>
      <c r="E665" s="1301"/>
      <c r="F665" s="1301"/>
      <c r="G665" s="1016"/>
      <c r="H665" s="168" t="s">
        <v>12</v>
      </c>
      <c r="I665" s="997"/>
      <c r="J665" s="997"/>
      <c r="K665" s="998"/>
      <c r="L665" s="881">
        <f t="shared" ref="L665:N665" si="278">L666+L667</f>
        <v>0</v>
      </c>
      <c r="M665" s="881">
        <f t="shared" si="278"/>
        <v>0</v>
      </c>
      <c r="N665" s="881">
        <f t="shared" si="278"/>
        <v>0</v>
      </c>
      <c r="O665" s="881">
        <f t="shared" ref="O665:O667" si="279">IF(L665&gt;0,N665*100/L665,0)</f>
        <v>0</v>
      </c>
      <c r="P665" s="881">
        <f t="shared" ref="P665:P667" si="280">IF(M665&gt;0,N665*100/M665,0)</f>
        <v>0</v>
      </c>
      <c r="Q665" s="1302"/>
      <c r="R665" s="1302"/>
      <c r="S665" s="1302"/>
      <c r="T665" s="1302"/>
      <c r="U665" s="1302"/>
      <c r="V665" s="1302"/>
      <c r="W665" s="1302"/>
      <c r="X665" s="1302"/>
      <c r="Y665" s="1302"/>
      <c r="Z665" s="1302"/>
    </row>
    <row r="666" spans="1:26" ht="18.75" hidden="1">
      <c r="A666" s="1319"/>
      <c r="B666" s="1324"/>
      <c r="C666" s="1324"/>
      <c r="D666" s="1324"/>
      <c r="E666" s="1320" t="s">
        <v>18</v>
      </c>
      <c r="F666" s="1320"/>
      <c r="G666" s="1322"/>
      <c r="H666" s="165" t="s">
        <v>12</v>
      </c>
      <c r="I666" s="1000"/>
      <c r="J666" s="1000"/>
      <c r="K666" s="1001"/>
      <c r="L666" s="887">
        <v>0</v>
      </c>
      <c r="M666" s="887">
        <v>0</v>
      </c>
      <c r="N666" s="887">
        <v>0</v>
      </c>
      <c r="O666" s="887">
        <f t="shared" si="279"/>
        <v>0</v>
      </c>
      <c r="P666" s="887">
        <f t="shared" si="280"/>
        <v>0</v>
      </c>
      <c r="Q666" s="1323"/>
      <c r="R666" s="1323"/>
      <c r="S666" s="1323"/>
      <c r="T666" s="1323"/>
      <c r="U666" s="1323"/>
      <c r="V666" s="1323"/>
      <c r="W666" s="1323"/>
      <c r="X666" s="1323"/>
      <c r="Y666" s="1323"/>
      <c r="Z666" s="1323"/>
    </row>
    <row r="667" spans="1:26" ht="18.75" hidden="1">
      <c r="A667" s="1319"/>
      <c r="B667" s="1324"/>
      <c r="C667" s="1324"/>
      <c r="D667" s="1324"/>
      <c r="E667" s="1320" t="s">
        <v>19</v>
      </c>
      <c r="F667" s="1320"/>
      <c r="G667" s="1322"/>
      <c r="H667" s="169" t="s">
        <v>12</v>
      </c>
      <c r="I667" s="1000"/>
      <c r="J667" s="1000"/>
      <c r="K667" s="1001"/>
      <c r="L667" s="887">
        <v>0</v>
      </c>
      <c r="M667" s="887">
        <v>0</v>
      </c>
      <c r="N667" s="887">
        <v>0</v>
      </c>
      <c r="O667" s="887">
        <f t="shared" si="279"/>
        <v>0</v>
      </c>
      <c r="P667" s="887">
        <f t="shared" si="280"/>
        <v>0</v>
      </c>
      <c r="Q667" s="1323"/>
      <c r="R667" s="1323"/>
      <c r="S667" s="1323"/>
      <c r="T667" s="1323"/>
      <c r="U667" s="1323"/>
      <c r="V667" s="1323"/>
      <c r="W667" s="1323"/>
      <c r="X667" s="1323"/>
      <c r="Y667" s="1323"/>
      <c r="Z667" s="1323"/>
    </row>
    <row r="668" spans="1:26" ht="19.5" hidden="1">
      <c r="A668" s="1326"/>
      <c r="B668" s="1327"/>
      <c r="C668" s="1300" t="s">
        <v>16</v>
      </c>
      <c r="D668" s="1328" t="s">
        <v>38</v>
      </c>
      <c r="E668" s="1330"/>
      <c r="F668" s="1330"/>
      <c r="G668" s="1331"/>
      <c r="H668" s="1007"/>
      <c r="I668" s="997"/>
      <c r="J668" s="997"/>
      <c r="K668" s="998"/>
      <c r="L668" s="998"/>
      <c r="M668" s="998"/>
      <c r="N668" s="998"/>
      <c r="O668" s="998"/>
      <c r="P668" s="998"/>
      <c r="Q668" s="1302"/>
      <c r="R668" s="1302"/>
      <c r="S668" s="1302"/>
      <c r="T668" s="1302"/>
      <c r="U668" s="1302"/>
      <c r="V668" s="1302"/>
      <c r="W668" s="1302"/>
      <c r="X668" s="1302"/>
      <c r="Y668" s="1302"/>
      <c r="Z668" s="1302"/>
    </row>
    <row r="669" spans="1:26" ht="19.5" hidden="1">
      <c r="A669" s="1326"/>
      <c r="B669" s="1327"/>
      <c r="C669" s="1327"/>
      <c r="D669" s="1327" t="s">
        <v>281</v>
      </c>
      <c r="E669" s="1014"/>
      <c r="F669" s="1014"/>
      <c r="G669" s="1007"/>
      <c r="H669" s="765" t="s">
        <v>46</v>
      </c>
      <c r="I669" s="1019">
        <f ca="1">IFERROR(__xludf.DUMMYFUNCTION("IMPORTRANGE(""https://docs.google.com/spreadsheets/d/1QqKyyYR6Q21VydFLVH3TRQUabQu_ym0Zz7PgGX0-kHA/edit?usp=sharing"",""แผน!IA81"")"),0)</f>
        <v>0</v>
      </c>
      <c r="J669" s="1019">
        <f>J675</f>
        <v>0</v>
      </c>
      <c r="K669" s="1020">
        <f ca="1">IF(I669&gt;0,J669*100/I669,0)</f>
        <v>0</v>
      </c>
      <c r="L669" s="998"/>
      <c r="M669" s="998"/>
      <c r="N669" s="998"/>
      <c r="O669" s="998"/>
      <c r="P669" s="998"/>
      <c r="Q669" s="1302"/>
      <c r="R669" s="1302"/>
      <c r="S669" s="1302"/>
      <c r="T669" s="1302"/>
      <c r="U669" s="1302"/>
      <c r="V669" s="1302"/>
      <c r="W669" s="1302"/>
      <c r="X669" s="1302"/>
      <c r="Y669" s="1302"/>
      <c r="Z669" s="1302"/>
    </row>
    <row r="670" spans="1:26" ht="18.75" hidden="1">
      <c r="A670" s="1326"/>
      <c r="B670" s="1327"/>
      <c r="C670" s="1327"/>
      <c r="D670" s="1327"/>
      <c r="E670" s="1014" t="s">
        <v>282</v>
      </c>
      <c r="F670" s="1014"/>
      <c r="G670" s="1007"/>
      <c r="H670" s="762" t="s">
        <v>66</v>
      </c>
      <c r="I670" s="880">
        <f ca="1">IFERROR(__xludf.DUMMYFUNCTION("IMPORTRANGE(""https://docs.google.com/spreadsheets/d/1QqKyyYR6Q21VydFLVH3TRQUabQu_ym0Zz7PgGX0-kHA/edit?usp=sharing"",""แผน!HZ81"")"),0)</f>
        <v>0</v>
      </c>
      <c r="J670" s="1012">
        <v>0</v>
      </c>
      <c r="K670" s="881">
        <f ca="1">IF(I670&gt;0,(J670*100)/I670,0)</f>
        <v>0</v>
      </c>
      <c r="L670" s="998"/>
      <c r="M670" s="998"/>
      <c r="N670" s="998"/>
      <c r="O670" s="998"/>
      <c r="P670" s="998"/>
      <c r="Q670" s="1302"/>
      <c r="R670" s="1302"/>
      <c r="S670" s="1302"/>
      <c r="T670" s="1302"/>
      <c r="U670" s="1302"/>
      <c r="V670" s="1302"/>
      <c r="W670" s="1302"/>
      <c r="X670" s="1302"/>
      <c r="Y670" s="1302"/>
      <c r="Z670" s="1302"/>
    </row>
    <row r="671" spans="1:26" ht="18.75" hidden="1">
      <c r="A671" s="1326"/>
      <c r="B671" s="1327"/>
      <c r="C671" s="1327"/>
      <c r="D671" s="1327"/>
      <c r="E671" s="1014" t="s">
        <v>283</v>
      </c>
      <c r="F671" s="1014"/>
      <c r="G671" s="1007"/>
      <c r="H671" s="762" t="s">
        <v>66</v>
      </c>
      <c r="I671" s="880">
        <f ca="1">IFERROR(__xludf.DUMMYFUNCTION("IMPORTRANGE(""https://docs.google.com/spreadsheets/d/1QqKyyYR6Q21VydFLVH3TRQUabQu_ym0Zz7PgGX0-kHA/edit?usp=sharing"",""แผน!HZ81"")"),0)</f>
        <v>0</v>
      </c>
      <c r="J671" s="1012">
        <v>0</v>
      </c>
      <c r="K671" s="881">
        <f ca="1">IF(I$671&gt;0,J671*100/I$671,0)</f>
        <v>0</v>
      </c>
      <c r="L671" s="998"/>
      <c r="M671" s="998"/>
      <c r="N671" s="998"/>
      <c r="O671" s="998"/>
      <c r="P671" s="998"/>
      <c r="Q671" s="1302"/>
      <c r="R671" s="1302"/>
      <c r="S671" s="1302"/>
      <c r="T671" s="1302"/>
      <c r="U671" s="1302"/>
      <c r="V671" s="1302"/>
      <c r="W671" s="1302"/>
      <c r="X671" s="1302"/>
      <c r="Y671" s="1302"/>
      <c r="Z671" s="1302"/>
    </row>
    <row r="672" spans="1:26" ht="18.75" hidden="1">
      <c r="A672" s="1326"/>
      <c r="B672" s="1327"/>
      <c r="C672" s="1327"/>
      <c r="D672" s="1327"/>
      <c r="E672" s="1014" t="s">
        <v>284</v>
      </c>
      <c r="F672" s="1014"/>
      <c r="G672" s="1007"/>
      <c r="H672" s="762" t="s">
        <v>46</v>
      </c>
      <c r="I672" s="880"/>
      <c r="J672" s="1012">
        <v>0</v>
      </c>
      <c r="K672" s="881">
        <f t="shared" ref="K672:K675" ca="1" si="281">IF(I$669&gt;0,J672*100/I$669,0)</f>
        <v>0</v>
      </c>
      <c r="L672" s="998"/>
      <c r="M672" s="998"/>
      <c r="N672" s="998"/>
      <c r="O672" s="998"/>
      <c r="P672" s="998"/>
      <c r="Q672" s="1302"/>
      <c r="R672" s="1302"/>
      <c r="S672" s="1302"/>
      <c r="T672" s="1302"/>
      <c r="U672" s="1302"/>
      <c r="V672" s="1302"/>
      <c r="W672" s="1302"/>
      <c r="X672" s="1302"/>
      <c r="Y672" s="1302"/>
      <c r="Z672" s="1302"/>
    </row>
    <row r="673" spans="1:26" ht="18.75" hidden="1">
      <c r="A673" s="1326"/>
      <c r="B673" s="1327"/>
      <c r="C673" s="1327"/>
      <c r="D673" s="1327"/>
      <c r="E673" s="1014" t="s">
        <v>285</v>
      </c>
      <c r="F673" s="1014"/>
      <c r="G673" s="1007"/>
      <c r="H673" s="762" t="s">
        <v>46</v>
      </c>
      <c r="I673" s="880"/>
      <c r="J673" s="1012">
        <v>0</v>
      </c>
      <c r="K673" s="881">
        <f t="shared" ca="1" si="281"/>
        <v>0</v>
      </c>
      <c r="L673" s="998"/>
      <c r="M673" s="998"/>
      <c r="N673" s="998"/>
      <c r="O673" s="998"/>
      <c r="P673" s="998"/>
      <c r="Q673" s="1302"/>
      <c r="R673" s="1302"/>
      <c r="S673" s="1302"/>
      <c r="T673" s="1302"/>
      <c r="U673" s="1302"/>
      <c r="V673" s="1302"/>
      <c r="W673" s="1302"/>
      <c r="X673" s="1302"/>
      <c r="Y673" s="1302"/>
      <c r="Z673" s="1302"/>
    </row>
    <row r="674" spans="1:26" ht="18.75" hidden="1">
      <c r="A674" s="1326"/>
      <c r="B674" s="1327"/>
      <c r="C674" s="1327"/>
      <c r="D674" s="1327"/>
      <c r="E674" s="1014" t="s">
        <v>286</v>
      </c>
      <c r="F674" s="1014"/>
      <c r="G674" s="1007"/>
      <c r="H674" s="762" t="s">
        <v>46</v>
      </c>
      <c r="I674" s="880"/>
      <c r="J674" s="1012">
        <v>0</v>
      </c>
      <c r="K674" s="881">
        <f t="shared" ca="1" si="281"/>
        <v>0</v>
      </c>
      <c r="L674" s="998"/>
      <c r="M674" s="998"/>
      <c r="N674" s="998"/>
      <c r="O674" s="998"/>
      <c r="P674" s="998"/>
      <c r="Q674" s="1302"/>
      <c r="R674" s="1302"/>
      <c r="S674" s="1302"/>
      <c r="T674" s="1302"/>
      <c r="U674" s="1302"/>
      <c r="V674" s="1302"/>
      <c r="W674" s="1302"/>
      <c r="X674" s="1302"/>
      <c r="Y674" s="1302"/>
      <c r="Z674" s="1302"/>
    </row>
    <row r="675" spans="1:26" ht="19.5" hidden="1">
      <c r="A675" s="1326"/>
      <c r="B675" s="1327"/>
      <c r="C675" s="1327"/>
      <c r="D675" s="1327"/>
      <c r="E675" s="1014" t="s">
        <v>287</v>
      </c>
      <c r="F675" s="1014"/>
      <c r="G675" s="1007"/>
      <c r="H675" s="762" t="s">
        <v>46</v>
      </c>
      <c r="I675" s="880"/>
      <c r="J675" s="1019">
        <f>J676+J677</f>
        <v>0</v>
      </c>
      <c r="K675" s="1020">
        <f t="shared" ca="1" si="281"/>
        <v>0</v>
      </c>
      <c r="L675" s="998"/>
      <c r="M675" s="998"/>
      <c r="N675" s="998"/>
      <c r="O675" s="998"/>
      <c r="P675" s="998"/>
      <c r="Q675" s="1302"/>
      <c r="R675" s="1302"/>
      <c r="S675" s="1302"/>
      <c r="T675" s="1302"/>
      <c r="U675" s="1302"/>
      <c r="V675" s="1302"/>
      <c r="W675" s="1302"/>
      <c r="X675" s="1302"/>
      <c r="Y675" s="1302"/>
      <c r="Z675" s="1302"/>
    </row>
    <row r="676" spans="1:26" ht="18.75" hidden="1">
      <c r="A676" s="1326"/>
      <c r="B676" s="1327"/>
      <c r="C676" s="1327"/>
      <c r="D676" s="1327"/>
      <c r="E676" s="1014"/>
      <c r="F676" s="1014" t="s">
        <v>288</v>
      </c>
      <c r="G676" s="1007"/>
      <c r="H676" s="762" t="s">
        <v>46</v>
      </c>
      <c r="I676" s="880"/>
      <c r="J676" s="1012">
        <v>0</v>
      </c>
      <c r="K676" s="881"/>
      <c r="L676" s="998"/>
      <c r="M676" s="998"/>
      <c r="N676" s="998"/>
      <c r="O676" s="998"/>
      <c r="P676" s="998"/>
      <c r="Q676" s="1302"/>
      <c r="R676" s="1302"/>
      <c r="S676" s="1302"/>
      <c r="T676" s="1302"/>
      <c r="U676" s="1302"/>
      <c r="V676" s="1302"/>
      <c r="W676" s="1302"/>
      <c r="X676" s="1302"/>
      <c r="Y676" s="1302"/>
      <c r="Z676" s="1302"/>
    </row>
    <row r="677" spans="1:26" ht="18.75" hidden="1">
      <c r="A677" s="1326"/>
      <c r="B677" s="1327"/>
      <c r="C677" s="1327"/>
      <c r="D677" s="1327"/>
      <c r="E677" s="1014"/>
      <c r="F677" s="1014" t="s">
        <v>289</v>
      </c>
      <c r="G677" s="1007"/>
      <c r="H677" s="762" t="s">
        <v>46</v>
      </c>
      <c r="I677" s="880"/>
      <c r="J677" s="1012">
        <v>0</v>
      </c>
      <c r="K677" s="881"/>
      <c r="L677" s="998"/>
      <c r="M677" s="998"/>
      <c r="N677" s="998"/>
      <c r="O677" s="998"/>
      <c r="P677" s="998"/>
      <c r="Q677" s="1302"/>
      <c r="R677" s="1302"/>
      <c r="S677" s="1302"/>
      <c r="T677" s="1302"/>
      <c r="U677" s="1302"/>
      <c r="V677" s="1302"/>
      <c r="W677" s="1302"/>
      <c r="X677" s="1302"/>
      <c r="Y677" s="1302"/>
      <c r="Z677" s="1302"/>
    </row>
    <row r="678" spans="1:26" ht="19.5" hidden="1">
      <c r="A678" s="1326"/>
      <c r="B678" s="1327"/>
      <c r="C678" s="1327"/>
      <c r="D678" s="1327" t="s">
        <v>290</v>
      </c>
      <c r="E678" s="1014"/>
      <c r="F678" s="1014"/>
      <c r="G678" s="1007"/>
      <c r="H678" s="762" t="s">
        <v>46</v>
      </c>
      <c r="I678" s="1019">
        <f ca="1">IFERROR(__xludf.DUMMYFUNCTION("IMPORTRANGE(""https://docs.google.com/spreadsheets/d/1QqKyyYR6Q21VydFLVH3TRQUabQu_ym0Zz7PgGX0-kHA/edit?usp=sharing"",""แผน!IB81"")"),0)</f>
        <v>0</v>
      </c>
      <c r="J678" s="1019">
        <f>J679</f>
        <v>0</v>
      </c>
      <c r="K678" s="1020">
        <f ca="1">IF(I678&gt;0,J678*100/I678,0)</f>
        <v>0</v>
      </c>
      <c r="L678" s="998"/>
      <c r="M678" s="998"/>
      <c r="N678" s="998"/>
      <c r="O678" s="998"/>
      <c r="P678" s="998"/>
      <c r="Q678" s="1302"/>
      <c r="R678" s="1302"/>
      <c r="S678" s="1302"/>
      <c r="T678" s="1302"/>
      <c r="U678" s="1302"/>
      <c r="V678" s="1302"/>
      <c r="W678" s="1302"/>
      <c r="X678" s="1302"/>
      <c r="Y678" s="1302"/>
      <c r="Z678" s="1302"/>
    </row>
    <row r="679" spans="1:26" ht="18.75" hidden="1">
      <c r="A679" s="1326"/>
      <c r="B679" s="1327"/>
      <c r="C679" s="1327"/>
      <c r="D679" s="1327"/>
      <c r="E679" s="1014" t="s">
        <v>291</v>
      </c>
      <c r="F679" s="1014"/>
      <c r="G679" s="1007"/>
      <c r="H679" s="762" t="s">
        <v>46</v>
      </c>
      <c r="I679" s="880"/>
      <c r="J679" s="880">
        <f>J680+J681</f>
        <v>0</v>
      </c>
      <c r="K679" s="881"/>
      <c r="L679" s="998"/>
      <c r="M679" s="998"/>
      <c r="N679" s="998"/>
      <c r="O679" s="998"/>
      <c r="P679" s="998"/>
      <c r="Q679" s="1302"/>
      <c r="R679" s="1302"/>
      <c r="S679" s="1302"/>
      <c r="T679" s="1302"/>
      <c r="U679" s="1302"/>
      <c r="V679" s="1302"/>
      <c r="W679" s="1302"/>
      <c r="X679" s="1302"/>
      <c r="Y679" s="1302"/>
      <c r="Z679" s="1302"/>
    </row>
    <row r="680" spans="1:26" ht="18.75" hidden="1">
      <c r="A680" s="1326"/>
      <c r="B680" s="1327"/>
      <c r="C680" s="1327"/>
      <c r="D680" s="1327"/>
      <c r="E680" s="1014"/>
      <c r="F680" s="1014" t="s">
        <v>288</v>
      </c>
      <c r="G680" s="1007"/>
      <c r="H680" s="762" t="s">
        <v>46</v>
      </c>
      <c r="I680" s="880"/>
      <c r="J680" s="1012">
        <v>0</v>
      </c>
      <c r="K680" s="881"/>
      <c r="L680" s="998"/>
      <c r="M680" s="998"/>
      <c r="N680" s="998"/>
      <c r="O680" s="998"/>
      <c r="P680" s="998"/>
      <c r="Q680" s="1302"/>
      <c r="R680" s="1302"/>
      <c r="S680" s="1302"/>
      <c r="T680" s="1302"/>
      <c r="U680" s="1302"/>
      <c r="V680" s="1302"/>
      <c r="W680" s="1302"/>
      <c r="X680" s="1302"/>
      <c r="Y680" s="1302"/>
      <c r="Z680" s="1302"/>
    </row>
    <row r="681" spans="1:26" ht="18.75" hidden="1">
      <c r="A681" s="1326"/>
      <c r="B681" s="1327"/>
      <c r="C681" s="1327"/>
      <c r="D681" s="1327"/>
      <c r="E681" s="1014"/>
      <c r="F681" s="1014" t="s">
        <v>289</v>
      </c>
      <c r="G681" s="1007"/>
      <c r="H681" s="762" t="s">
        <v>46</v>
      </c>
      <c r="I681" s="880"/>
      <c r="J681" s="1012">
        <v>0</v>
      </c>
      <c r="K681" s="881"/>
      <c r="L681" s="998"/>
      <c r="M681" s="998"/>
      <c r="N681" s="998"/>
      <c r="O681" s="998"/>
      <c r="P681" s="998"/>
      <c r="Q681" s="1302"/>
      <c r="R681" s="1302"/>
      <c r="S681" s="1302"/>
      <c r="T681" s="1302"/>
      <c r="U681" s="1302"/>
      <c r="V681" s="1302"/>
      <c r="W681" s="1302"/>
      <c r="X681" s="1302"/>
      <c r="Y681" s="1302"/>
      <c r="Z681" s="1302"/>
    </row>
    <row r="682" spans="1:26" ht="18.75" hidden="1">
      <c r="A682" s="1326"/>
      <c r="B682" s="1327"/>
      <c r="C682" s="1327"/>
      <c r="D682" s="1327"/>
      <c r="E682" s="1014" t="s">
        <v>292</v>
      </c>
      <c r="F682" s="1014"/>
      <c r="G682" s="1007"/>
      <c r="H682" s="762" t="s">
        <v>46</v>
      </c>
      <c r="I682" s="880"/>
      <c r="J682" s="1012">
        <v>0</v>
      </c>
      <c r="K682" s="881"/>
      <c r="L682" s="998"/>
      <c r="M682" s="998"/>
      <c r="N682" s="998"/>
      <c r="O682" s="998"/>
      <c r="P682" s="998"/>
      <c r="Q682" s="1302"/>
      <c r="R682" s="1302"/>
      <c r="S682" s="1302"/>
      <c r="T682" s="1302"/>
      <c r="U682" s="1302"/>
      <c r="V682" s="1302"/>
      <c r="W682" s="1302"/>
      <c r="X682" s="1302"/>
      <c r="Y682" s="1302"/>
      <c r="Z682" s="1302"/>
    </row>
    <row r="683" spans="1:26" ht="18.75" hidden="1">
      <c r="A683" s="1326"/>
      <c r="B683" s="1327"/>
      <c r="C683" s="1327"/>
      <c r="D683" s="1327"/>
      <c r="E683" s="1014"/>
      <c r="F683" s="1014" t="s">
        <v>293</v>
      </c>
      <c r="G683" s="1007"/>
      <c r="H683" s="762" t="s">
        <v>46</v>
      </c>
      <c r="I683" s="880"/>
      <c r="J683" s="1012">
        <v>0</v>
      </c>
      <c r="K683" s="881"/>
      <c r="L683" s="998"/>
      <c r="M683" s="998"/>
      <c r="N683" s="998"/>
      <c r="O683" s="998"/>
      <c r="P683" s="998"/>
      <c r="Q683" s="1302"/>
      <c r="R683" s="1302"/>
      <c r="S683" s="1302"/>
      <c r="T683" s="1302"/>
      <c r="U683" s="1302"/>
      <c r="V683" s="1302"/>
      <c r="W683" s="1302"/>
      <c r="X683" s="1302"/>
      <c r="Y683" s="1302"/>
      <c r="Z683" s="1302"/>
    </row>
    <row r="684" spans="1:26" ht="19.5">
      <c r="A684" s="1434"/>
      <c r="B684" s="1435" t="s">
        <v>294</v>
      </c>
      <c r="C684" s="1434"/>
      <c r="D684" s="1434"/>
      <c r="E684" s="1434"/>
      <c r="F684" s="1434"/>
      <c r="G684" s="1436"/>
      <c r="H684" s="1436"/>
      <c r="I684" s="1437"/>
      <c r="J684" s="1437"/>
      <c r="K684" s="1438"/>
      <c r="L684" s="1438"/>
      <c r="M684" s="1438"/>
      <c r="N684" s="1438"/>
      <c r="O684" s="1438"/>
      <c r="P684" s="1438"/>
      <c r="Q684" s="1302"/>
      <c r="R684" s="1302"/>
      <c r="S684" s="1302"/>
      <c r="T684" s="1302"/>
      <c r="U684" s="1302"/>
      <c r="V684" s="1302"/>
      <c r="W684" s="1302"/>
      <c r="X684" s="1302"/>
      <c r="Y684" s="1302"/>
      <c r="Z684" s="1302"/>
    </row>
    <row r="685" spans="1:26" ht="19.5">
      <c r="A685" s="1317"/>
      <c r="B685" s="1301"/>
      <c r="C685" s="1301" t="s">
        <v>16</v>
      </c>
      <c r="D685" s="1318" t="s">
        <v>17</v>
      </c>
      <c r="E685" s="841"/>
      <c r="F685" s="841"/>
      <c r="G685" s="1016"/>
      <c r="H685" s="597" t="s">
        <v>12</v>
      </c>
      <c r="I685" s="880"/>
      <c r="J685" s="880"/>
      <c r="K685" s="881"/>
      <c r="L685" s="1020">
        <f t="shared" ref="L685:N685" ca="1" si="282">L686+L687</f>
        <v>2000</v>
      </c>
      <c r="M685" s="1020">
        <f t="shared" ca="1" si="282"/>
        <v>2000</v>
      </c>
      <c r="N685" s="1020">
        <f t="shared" si="282"/>
        <v>0</v>
      </c>
      <c r="O685" s="1020">
        <f t="shared" ref="O685:O688" ca="1" si="283">IF(L685&gt;0,N685*100/L685,0)</f>
        <v>0</v>
      </c>
      <c r="P685" s="1020">
        <f t="shared" ref="P685:P688" ca="1" si="284">IF(M685&gt;0,N685*100/M685,0)</f>
        <v>0</v>
      </c>
      <c r="Q685" s="1302"/>
      <c r="R685" s="1302"/>
      <c r="S685" s="1302"/>
      <c r="T685" s="1302"/>
      <c r="U685" s="1302"/>
      <c r="V685" s="1302"/>
      <c r="W685" s="1302"/>
      <c r="X685" s="1302"/>
      <c r="Y685" s="1302"/>
      <c r="Z685" s="1302"/>
    </row>
    <row r="686" spans="1:26" ht="18.75" hidden="1">
      <c r="A686" s="1319"/>
      <c r="B686" s="1320"/>
      <c r="C686" s="1320"/>
      <c r="D686" s="1321"/>
      <c r="E686" s="1320" t="s">
        <v>185</v>
      </c>
      <c r="F686" s="1320"/>
      <c r="G686" s="1322"/>
      <c r="H686" s="165" t="s">
        <v>12</v>
      </c>
      <c r="I686" s="886"/>
      <c r="J686" s="886"/>
      <c r="K686" s="887"/>
      <c r="L686" s="887">
        <f t="shared" ref="L686:N687" si="285">L689+L696</f>
        <v>0</v>
      </c>
      <c r="M686" s="887">
        <f t="shared" si="285"/>
        <v>0</v>
      </c>
      <c r="N686" s="887">
        <f t="shared" si="285"/>
        <v>0</v>
      </c>
      <c r="O686" s="887">
        <f t="shared" si="283"/>
        <v>0</v>
      </c>
      <c r="P686" s="887">
        <f t="shared" si="284"/>
        <v>0</v>
      </c>
      <c r="Q686" s="1323"/>
      <c r="R686" s="1323"/>
      <c r="S686" s="1323"/>
      <c r="T686" s="1323"/>
      <c r="U686" s="1323"/>
      <c r="V686" s="1323"/>
      <c r="W686" s="1323"/>
      <c r="X686" s="1323"/>
      <c r="Y686" s="1323"/>
      <c r="Z686" s="1323"/>
    </row>
    <row r="687" spans="1:26" ht="18.75" hidden="1">
      <c r="A687" s="1319"/>
      <c r="B687" s="1324"/>
      <c r="C687" s="1320"/>
      <c r="D687" s="1321"/>
      <c r="E687" s="1320" t="s">
        <v>186</v>
      </c>
      <c r="F687" s="1320"/>
      <c r="G687" s="1322"/>
      <c r="H687" s="165" t="s">
        <v>12</v>
      </c>
      <c r="I687" s="886"/>
      <c r="J687" s="886"/>
      <c r="K687" s="887"/>
      <c r="L687" s="887">
        <f t="shared" ca="1" si="285"/>
        <v>2000</v>
      </c>
      <c r="M687" s="887">
        <f t="shared" ca="1" si="285"/>
        <v>2000</v>
      </c>
      <c r="N687" s="887">
        <f t="shared" si="285"/>
        <v>0</v>
      </c>
      <c r="O687" s="887">
        <f t="shared" ca="1" si="283"/>
        <v>0</v>
      </c>
      <c r="P687" s="887">
        <f t="shared" ca="1" si="284"/>
        <v>0</v>
      </c>
      <c r="Q687" s="1323"/>
      <c r="R687" s="1323"/>
      <c r="S687" s="1323"/>
      <c r="T687" s="1323"/>
      <c r="U687" s="1323"/>
      <c r="V687" s="1323"/>
      <c r="W687" s="1323"/>
      <c r="X687" s="1323"/>
      <c r="Y687" s="1323"/>
      <c r="Z687" s="1323"/>
    </row>
    <row r="688" spans="1:26" ht="18.75">
      <c r="A688" s="1317"/>
      <c r="B688" s="1300"/>
      <c r="C688" s="1301"/>
      <c r="D688" s="1325" t="s">
        <v>20</v>
      </c>
      <c r="E688" s="1301"/>
      <c r="F688" s="1301"/>
      <c r="G688" s="1016"/>
      <c r="H688" s="161" t="s">
        <v>12</v>
      </c>
      <c r="I688" s="997"/>
      <c r="J688" s="997"/>
      <c r="K688" s="998"/>
      <c r="L688" s="881">
        <f t="shared" ref="L688:N688" ca="1" si="286">L689+L690</f>
        <v>2000</v>
      </c>
      <c r="M688" s="881">
        <f t="shared" ca="1" si="286"/>
        <v>2000</v>
      </c>
      <c r="N688" s="881">
        <f t="shared" si="286"/>
        <v>0</v>
      </c>
      <c r="O688" s="881">
        <f t="shared" ca="1" si="283"/>
        <v>0</v>
      </c>
      <c r="P688" s="881">
        <f t="shared" ca="1" si="284"/>
        <v>0</v>
      </c>
      <c r="Q688" s="1302"/>
      <c r="R688" s="1302"/>
      <c r="S688" s="1302"/>
      <c r="T688" s="1302"/>
      <c r="U688" s="1302"/>
      <c r="V688" s="1302"/>
      <c r="W688" s="1302"/>
      <c r="X688" s="1302"/>
      <c r="Y688" s="1302"/>
      <c r="Z688" s="1302"/>
    </row>
    <row r="689" spans="1:26" ht="18.75" hidden="1">
      <c r="A689" s="1319"/>
      <c r="B689" s="1324"/>
      <c r="C689" s="1320"/>
      <c r="D689" s="1321"/>
      <c r="E689" s="1320" t="s">
        <v>185</v>
      </c>
      <c r="F689" s="1320"/>
      <c r="G689" s="1322"/>
      <c r="H689" s="165" t="s">
        <v>12</v>
      </c>
      <c r="I689" s="886"/>
      <c r="J689" s="886"/>
      <c r="K689" s="887"/>
      <c r="L689" s="887">
        <v>0</v>
      </c>
      <c r="M689" s="887">
        <v>0</v>
      </c>
      <c r="N689" s="887">
        <v>0</v>
      </c>
      <c r="O689" s="887"/>
      <c r="P689" s="887"/>
      <c r="Q689" s="1323"/>
      <c r="R689" s="1323"/>
      <c r="S689" s="1323"/>
      <c r="T689" s="1323"/>
      <c r="U689" s="1323"/>
      <c r="V689" s="1323"/>
      <c r="W689" s="1323"/>
      <c r="X689" s="1323"/>
      <c r="Y689" s="1323"/>
      <c r="Z689" s="1323"/>
    </row>
    <row r="690" spans="1:26" ht="18.75" hidden="1">
      <c r="A690" s="1319"/>
      <c r="B690" s="1324"/>
      <c r="C690" s="1320"/>
      <c r="D690" s="1321"/>
      <c r="E690" s="1320" t="s">
        <v>186</v>
      </c>
      <c r="F690" s="1320"/>
      <c r="G690" s="1322"/>
      <c r="H690" s="165" t="s">
        <v>12</v>
      </c>
      <c r="I690" s="886"/>
      <c r="J690" s="886"/>
      <c r="K690" s="887"/>
      <c r="L690" s="887">
        <f ca="1">IFERROR(__xludf.DUMMYFUNCTION("IMPORTRANGE(""https://docs.google.com/spreadsheets/d/1QqKyyYR6Q21VydFLVH3TRQUabQu_ym0Zz7PgGX0-kHA/edit?usp=sharing"",""แผน!HW81"")"),2000)</f>
        <v>2000</v>
      </c>
      <c r="M690" s="887">
        <f ca="1">L690</f>
        <v>2000</v>
      </c>
      <c r="N690" s="887">
        <f>N691+N692+N693+N694</f>
        <v>0</v>
      </c>
      <c r="O690" s="887">
        <f ca="1">IF(L690&gt;0,N690*100/L690,0)</f>
        <v>0</v>
      </c>
      <c r="P690" s="887">
        <f ca="1">IF(M690&gt;0,N690*100/M690,0)</f>
        <v>0</v>
      </c>
      <c r="Q690" s="1323"/>
      <c r="R690" s="1323"/>
      <c r="S690" s="1323"/>
      <c r="T690" s="1323"/>
      <c r="U690" s="1323"/>
      <c r="V690" s="1323"/>
      <c r="W690" s="1323"/>
      <c r="X690" s="1323"/>
      <c r="Y690" s="1323"/>
      <c r="Z690" s="1323"/>
    </row>
    <row r="691" spans="1:26" ht="18.75">
      <c r="A691" s="1299"/>
      <c r="B691" s="1300"/>
      <c r="C691" s="1301"/>
      <c r="D691" s="1301"/>
      <c r="E691" s="1301"/>
      <c r="F691" s="1301" t="s">
        <v>187</v>
      </c>
      <c r="G691" s="1016"/>
      <c r="H691" s="161" t="s">
        <v>12</v>
      </c>
      <c r="I691" s="880"/>
      <c r="J691" s="880"/>
      <c r="K691" s="881"/>
      <c r="L691" s="881"/>
      <c r="M691" s="881"/>
      <c r="N691" s="1085">
        <v>0</v>
      </c>
      <c r="O691" s="881"/>
      <c r="P691" s="881"/>
      <c r="Q691" s="1302"/>
      <c r="R691" s="1302"/>
      <c r="S691" s="1302"/>
      <c r="T691" s="1302"/>
      <c r="U691" s="1302"/>
      <c r="V691" s="1302"/>
      <c r="W691" s="1302"/>
      <c r="X691" s="1302"/>
      <c r="Y691" s="1302"/>
      <c r="Z691" s="1302"/>
    </row>
    <row r="692" spans="1:26" ht="18.75">
      <c r="A692" s="1299"/>
      <c r="B692" s="1300"/>
      <c r="C692" s="1301"/>
      <c r="D692" s="1301"/>
      <c r="E692" s="1301"/>
      <c r="F692" s="1301" t="s">
        <v>188</v>
      </c>
      <c r="G692" s="1016"/>
      <c r="H692" s="161" t="s">
        <v>12</v>
      </c>
      <c r="I692" s="880"/>
      <c r="J692" s="880"/>
      <c r="K692" s="881"/>
      <c r="L692" s="881"/>
      <c r="M692" s="881"/>
      <c r="N692" s="1085">
        <v>0</v>
      </c>
      <c r="O692" s="881"/>
      <c r="P692" s="881"/>
      <c r="Q692" s="1302"/>
      <c r="R692" s="1302"/>
      <c r="S692" s="1302"/>
      <c r="T692" s="1302"/>
      <c r="U692" s="1302"/>
      <c r="V692" s="1302"/>
      <c r="W692" s="1302"/>
      <c r="X692" s="1302"/>
      <c r="Y692" s="1302"/>
      <c r="Z692" s="1302"/>
    </row>
    <row r="693" spans="1:26" ht="18.75">
      <c r="A693" s="1299"/>
      <c r="B693" s="1300"/>
      <c r="C693" s="1301"/>
      <c r="D693" s="1301"/>
      <c r="E693" s="1301"/>
      <c r="F693" s="1301" t="s">
        <v>189</v>
      </c>
      <c r="G693" s="1016"/>
      <c r="H693" s="161" t="s">
        <v>12</v>
      </c>
      <c r="I693" s="880"/>
      <c r="J693" s="880"/>
      <c r="K693" s="881"/>
      <c r="L693" s="881"/>
      <c r="M693" s="881"/>
      <c r="N693" s="1085">
        <v>0</v>
      </c>
      <c r="O693" s="881"/>
      <c r="P693" s="881"/>
      <c r="Q693" s="1302"/>
      <c r="R693" s="1302"/>
      <c r="S693" s="1302"/>
      <c r="T693" s="1302"/>
      <c r="U693" s="1302"/>
      <c r="V693" s="1302"/>
      <c r="W693" s="1302"/>
      <c r="X693" s="1302"/>
      <c r="Y693" s="1302"/>
      <c r="Z693" s="1302"/>
    </row>
    <row r="694" spans="1:26" ht="18.75">
      <c r="A694" s="1299"/>
      <c r="B694" s="1300"/>
      <c r="C694" s="1301"/>
      <c r="D694" s="1301"/>
      <c r="E694" s="1301"/>
      <c r="F694" s="1301" t="s">
        <v>190</v>
      </c>
      <c r="G694" s="1016"/>
      <c r="H694" s="161" t="s">
        <v>12</v>
      </c>
      <c r="I694" s="880"/>
      <c r="J694" s="880"/>
      <c r="K694" s="881"/>
      <c r="L694" s="881"/>
      <c r="M694" s="881"/>
      <c r="N694" s="1085">
        <v>0</v>
      </c>
      <c r="O694" s="881"/>
      <c r="P694" s="881"/>
      <c r="Q694" s="1302"/>
      <c r="R694" s="1302"/>
      <c r="S694" s="1302"/>
      <c r="T694" s="1302"/>
      <c r="U694" s="1302"/>
      <c r="V694" s="1302"/>
      <c r="W694" s="1302"/>
      <c r="X694" s="1302"/>
      <c r="Y694" s="1302"/>
      <c r="Z694" s="1302"/>
    </row>
    <row r="695" spans="1:26" ht="18.75">
      <c r="A695" s="1317"/>
      <c r="B695" s="1300"/>
      <c r="C695" s="1301"/>
      <c r="D695" s="1325" t="s">
        <v>21</v>
      </c>
      <c r="E695" s="1301"/>
      <c r="F695" s="1301"/>
      <c r="G695" s="1016"/>
      <c r="H695" s="168" t="s">
        <v>12</v>
      </c>
      <c r="I695" s="997"/>
      <c r="J695" s="997"/>
      <c r="K695" s="998"/>
      <c r="L695" s="881">
        <f t="shared" ref="L695:N695" si="287">L696+L697</f>
        <v>0</v>
      </c>
      <c r="M695" s="881">
        <f t="shared" si="287"/>
        <v>0</v>
      </c>
      <c r="N695" s="881">
        <f t="shared" si="287"/>
        <v>0</v>
      </c>
      <c r="O695" s="881">
        <f t="shared" ref="O695:O697" si="288">IF(L695&gt;0,N695*100/L695,0)</f>
        <v>0</v>
      </c>
      <c r="P695" s="881">
        <f t="shared" ref="P695:P697" si="289">IF(M695&gt;0,N695*100/M695,0)</f>
        <v>0</v>
      </c>
      <c r="Q695" s="1302"/>
      <c r="R695" s="1302"/>
      <c r="S695" s="1302"/>
      <c r="T695" s="1302"/>
      <c r="U695" s="1302"/>
      <c r="V695" s="1302"/>
      <c r="W695" s="1302"/>
      <c r="X695" s="1302"/>
      <c r="Y695" s="1302"/>
      <c r="Z695" s="1302"/>
    </row>
    <row r="696" spans="1:26" ht="18.75" hidden="1">
      <c r="A696" s="1319"/>
      <c r="B696" s="1324"/>
      <c r="C696" s="1320"/>
      <c r="D696" s="1320"/>
      <c r="E696" s="1320" t="s">
        <v>18</v>
      </c>
      <c r="F696" s="1320"/>
      <c r="G696" s="1322"/>
      <c r="H696" s="165" t="s">
        <v>12</v>
      </c>
      <c r="I696" s="1000"/>
      <c r="J696" s="1000"/>
      <c r="K696" s="1001"/>
      <c r="L696" s="887">
        <v>0</v>
      </c>
      <c r="M696" s="887">
        <v>0</v>
      </c>
      <c r="N696" s="887">
        <v>0</v>
      </c>
      <c r="O696" s="887">
        <f t="shared" si="288"/>
        <v>0</v>
      </c>
      <c r="P696" s="887">
        <f t="shared" si="289"/>
        <v>0</v>
      </c>
      <c r="Q696" s="1323"/>
      <c r="R696" s="1323"/>
      <c r="S696" s="1323"/>
      <c r="T696" s="1323"/>
      <c r="U696" s="1323"/>
      <c r="V696" s="1323"/>
      <c r="W696" s="1323"/>
      <c r="X696" s="1323"/>
      <c r="Y696" s="1323"/>
      <c r="Z696" s="1323"/>
    </row>
    <row r="697" spans="1:26" ht="18.75" hidden="1">
      <c r="A697" s="1319"/>
      <c r="B697" s="1324"/>
      <c r="C697" s="1320"/>
      <c r="D697" s="1320"/>
      <c r="E697" s="1320" t="s">
        <v>19</v>
      </c>
      <c r="F697" s="1320"/>
      <c r="G697" s="1322"/>
      <c r="H697" s="169" t="s">
        <v>12</v>
      </c>
      <c r="I697" s="1000"/>
      <c r="J697" s="1000"/>
      <c r="K697" s="1001"/>
      <c r="L697" s="887">
        <v>0</v>
      </c>
      <c r="M697" s="887">
        <v>0</v>
      </c>
      <c r="N697" s="887">
        <v>0</v>
      </c>
      <c r="O697" s="887">
        <f t="shared" si="288"/>
        <v>0</v>
      </c>
      <c r="P697" s="887">
        <f t="shared" si="289"/>
        <v>0</v>
      </c>
      <c r="Q697" s="1323"/>
      <c r="R697" s="1323"/>
      <c r="S697" s="1323"/>
      <c r="T697" s="1323"/>
      <c r="U697" s="1323"/>
      <c r="V697" s="1323"/>
      <c r="W697" s="1323"/>
      <c r="X697" s="1323"/>
      <c r="Y697" s="1323"/>
      <c r="Z697" s="1323"/>
    </row>
    <row r="698" spans="1:26" ht="19.5">
      <c r="A698" s="1326"/>
      <c r="B698" s="1327"/>
      <c r="C698" s="1301" t="s">
        <v>16</v>
      </c>
      <c r="D698" s="1439" t="s">
        <v>38</v>
      </c>
      <c r="E698" s="1330"/>
      <c r="F698" s="1330"/>
      <c r="G698" s="1331"/>
      <c r="H698" s="1007"/>
      <c r="I698" s="997"/>
      <c r="J698" s="997"/>
      <c r="K698" s="998"/>
      <c r="L698" s="998"/>
      <c r="M698" s="998"/>
      <c r="N698" s="998"/>
      <c r="O698" s="998"/>
      <c r="P698" s="998"/>
      <c r="Q698" s="1302"/>
      <c r="R698" s="1302"/>
      <c r="S698" s="1302"/>
      <c r="T698" s="1302"/>
      <c r="U698" s="1302"/>
      <c r="V698" s="1302"/>
      <c r="W698" s="1302"/>
      <c r="X698" s="1302"/>
      <c r="Y698" s="1302"/>
      <c r="Z698" s="1302"/>
    </row>
    <row r="699" spans="1:26" ht="18.75">
      <c r="A699" s="1429"/>
      <c r="B699" s="1301"/>
      <c r="C699" s="1301"/>
      <c r="D699" s="1301" t="s">
        <v>295</v>
      </c>
      <c r="E699" s="1301"/>
      <c r="F699" s="1301"/>
      <c r="G699" s="1016"/>
      <c r="H699" s="762" t="s">
        <v>46</v>
      </c>
      <c r="I699" s="1440">
        <f ca="1">IFERROR(__xludf.DUMMYFUNCTION("IMPORTRANGE(""https://docs.google.com/spreadsheets/d/1QqKyyYR6Q21VydFLVH3TRQUabQu_ym0Zz7PgGX0-kHA/edit?usp=sharing"",""แผน!IC81"")"),0)</f>
        <v>0</v>
      </c>
      <c r="J699" s="880">
        <f ca="1">IFERROR(__xludf.DUMMYFUNCTION("IMPORTRANGE(""https://docs.google.com/spreadsheets/d/1XWAQStnk-4SwqDmLtmXYiTMKHgktTP8We1SCoS47DrQ/edit?usp=sharing"",""จัดที่ดิน!BB81"")"),0)</f>
        <v>0</v>
      </c>
      <c r="K699" s="881">
        <f t="shared" ref="K699:K701" ca="1" si="290">IF(I699&gt;0,J699*100/I699,0)</f>
        <v>0</v>
      </c>
      <c r="L699" s="881"/>
      <c r="M699" s="1016"/>
      <c r="N699" s="1441"/>
      <c r="O699" s="881"/>
      <c r="P699" s="881"/>
      <c r="Q699" s="1302"/>
      <c r="R699" s="1302"/>
      <c r="S699" s="1302"/>
      <c r="T699" s="1302"/>
      <c r="U699" s="1302"/>
      <c r="V699" s="1302"/>
      <c r="W699" s="1302"/>
      <c r="X699" s="1302"/>
      <c r="Y699" s="1302"/>
      <c r="Z699" s="1302"/>
    </row>
    <row r="700" spans="1:26" ht="18.75">
      <c r="A700" s="1429"/>
      <c r="B700" s="1301"/>
      <c r="C700" s="1301"/>
      <c r="D700" s="1301" t="s">
        <v>296</v>
      </c>
      <c r="E700" s="1301"/>
      <c r="F700" s="1301"/>
      <c r="G700" s="1016"/>
      <c r="H700" s="762" t="s">
        <v>35</v>
      </c>
      <c r="I700" s="1440">
        <f ca="1">IFERROR(__xludf.DUMMYFUNCTION("IMPORTRANGE(""https://docs.google.com/spreadsheets/d/1QqKyyYR6Q21VydFLVH3TRQUabQu_ym0Zz7PgGX0-kHA/edit?usp=sharing"",""แผน!ID81"")"),0)</f>
        <v>0</v>
      </c>
      <c r="J700" s="880">
        <f ca="1">IFERROR(__xludf.DUMMYFUNCTION("IMPORTRANGE(""https://docs.google.com/spreadsheets/d/1XWAQStnk-4SwqDmLtmXYiTMKHgktTP8We1SCoS47DrQ/edit?usp=sharing"",""จัดที่ดิน!BD81"")"),0)</f>
        <v>0</v>
      </c>
      <c r="K700" s="881">
        <f t="shared" ca="1" si="290"/>
        <v>0</v>
      </c>
      <c r="L700" s="881"/>
      <c r="M700" s="1016"/>
      <c r="N700" s="1441"/>
      <c r="O700" s="881"/>
      <c r="P700" s="881"/>
      <c r="Q700" s="1302"/>
      <c r="R700" s="1302"/>
      <c r="S700" s="1302"/>
      <c r="T700" s="1302"/>
      <c r="U700" s="1302"/>
      <c r="V700" s="1302"/>
      <c r="W700" s="1302"/>
      <c r="X700" s="1302"/>
      <c r="Y700" s="1302"/>
      <c r="Z700" s="1302"/>
    </row>
    <row r="701" spans="1:26" ht="19.5">
      <c r="A701" s="1429"/>
      <c r="B701" s="1301"/>
      <c r="C701" s="1301"/>
      <c r="D701" s="1301" t="s">
        <v>297</v>
      </c>
      <c r="E701" s="1301"/>
      <c r="F701" s="1301"/>
      <c r="G701" s="1016"/>
      <c r="H701" s="765" t="s">
        <v>46</v>
      </c>
      <c r="I701" s="1442">
        <f ca="1">IFERROR(__xludf.DUMMYFUNCTION("IMPORTRANGE(""https://docs.google.com/spreadsheets/d/1QqKyyYR6Q21VydFLVH3TRQUabQu_ym0Zz7PgGX0-kHA/edit?usp=sharing"",""แผน!IE81"")"),50)</f>
        <v>50</v>
      </c>
      <c r="J701" s="1019">
        <f>J704+J707</f>
        <v>0</v>
      </c>
      <c r="K701" s="1020">
        <f t="shared" ca="1" si="290"/>
        <v>0</v>
      </c>
      <c r="L701" s="881"/>
      <c r="M701" s="1016"/>
      <c r="N701" s="1441"/>
      <c r="O701" s="881"/>
      <c r="P701" s="881"/>
      <c r="Q701" s="1302"/>
      <c r="R701" s="1302"/>
      <c r="S701" s="1302"/>
      <c r="T701" s="1302"/>
      <c r="U701" s="1302"/>
      <c r="V701" s="1302"/>
      <c r="W701" s="1302"/>
      <c r="X701" s="1302"/>
      <c r="Y701" s="1302"/>
      <c r="Z701" s="1302"/>
    </row>
    <row r="702" spans="1:26" ht="18.75">
      <c r="A702" s="1429"/>
      <c r="B702" s="1301"/>
      <c r="C702" s="1301"/>
      <c r="D702" s="1301"/>
      <c r="E702" s="1301" t="s">
        <v>298</v>
      </c>
      <c r="F702" s="1301"/>
      <c r="G702" s="1016"/>
      <c r="H702" s="762" t="s">
        <v>35</v>
      </c>
      <c r="I702" s="1440"/>
      <c r="J702" s="1012">
        <v>0</v>
      </c>
      <c r="K702" s="881"/>
      <c r="L702" s="881"/>
      <c r="M702" s="1016"/>
      <c r="N702" s="1441"/>
      <c r="O702" s="881"/>
      <c r="P702" s="881"/>
      <c r="Q702" s="1302"/>
      <c r="R702" s="1302"/>
      <c r="S702" s="1302"/>
      <c r="T702" s="1302"/>
      <c r="U702" s="1302"/>
      <c r="V702" s="1302"/>
      <c r="W702" s="1302"/>
      <c r="X702" s="1302"/>
      <c r="Y702" s="1302"/>
      <c r="Z702" s="1302"/>
    </row>
    <row r="703" spans="1:26" ht="18.75">
      <c r="A703" s="1429"/>
      <c r="B703" s="1301"/>
      <c r="C703" s="1301"/>
      <c r="D703" s="1301"/>
      <c r="E703" s="1301"/>
      <c r="F703" s="1301"/>
      <c r="G703" s="1016"/>
      <c r="H703" s="762" t="s">
        <v>34</v>
      </c>
      <c r="I703" s="1440"/>
      <c r="J703" s="1012">
        <v>0</v>
      </c>
      <c r="K703" s="881"/>
      <c r="L703" s="881"/>
      <c r="M703" s="1016"/>
      <c r="N703" s="1441"/>
      <c r="O703" s="881"/>
      <c r="P703" s="881"/>
      <c r="Q703" s="1302"/>
      <c r="R703" s="1302"/>
      <c r="S703" s="1302"/>
      <c r="T703" s="1302"/>
      <c r="U703" s="1302"/>
      <c r="V703" s="1302"/>
      <c r="W703" s="1302"/>
      <c r="X703" s="1302"/>
      <c r="Y703" s="1302"/>
      <c r="Z703" s="1302"/>
    </row>
    <row r="704" spans="1:26" ht="18.75">
      <c r="A704" s="1429"/>
      <c r="B704" s="1301"/>
      <c r="C704" s="1301"/>
      <c r="D704" s="1301"/>
      <c r="E704" s="1301"/>
      <c r="F704" s="1301"/>
      <c r="G704" s="1016"/>
      <c r="H704" s="762" t="s">
        <v>46</v>
      </c>
      <c r="I704" s="1440">
        <f ca="1">IFERROR(__xludf.DUMMYFUNCTION("IMPORTRANGE(""https://docs.google.com/spreadsheets/d/1QqKyyYR6Q21VydFLVH3TRQUabQu_ym0Zz7PgGX0-kHA/edit?usp=sharing"",""แผน!IF81"")"),0)</f>
        <v>0</v>
      </c>
      <c r="J704" s="1012">
        <v>0</v>
      </c>
      <c r="K704" s="881"/>
      <c r="L704" s="881"/>
      <c r="M704" s="1016"/>
      <c r="N704" s="1441"/>
      <c r="O704" s="881"/>
      <c r="P704" s="881"/>
      <c r="Q704" s="1302"/>
      <c r="R704" s="1302"/>
      <c r="S704" s="1302"/>
      <c r="T704" s="1302"/>
      <c r="U704" s="1302"/>
      <c r="V704" s="1302"/>
      <c r="W704" s="1302"/>
      <c r="X704" s="1302"/>
      <c r="Y704" s="1302"/>
      <c r="Z704" s="1302"/>
    </row>
    <row r="705" spans="1:26" ht="18.75">
      <c r="A705" s="1429"/>
      <c r="B705" s="1301"/>
      <c r="C705" s="1301"/>
      <c r="D705" s="1301"/>
      <c r="E705" s="1301" t="s">
        <v>299</v>
      </c>
      <c r="F705" s="1301"/>
      <c r="G705" s="1016"/>
      <c r="H705" s="762" t="s">
        <v>35</v>
      </c>
      <c r="I705" s="1440"/>
      <c r="J705" s="1012">
        <v>0</v>
      </c>
      <c r="K705" s="881"/>
      <c r="L705" s="881"/>
      <c r="M705" s="1016"/>
      <c r="N705" s="1441"/>
      <c r="O705" s="881"/>
      <c r="P705" s="881"/>
      <c r="Q705" s="1302"/>
      <c r="R705" s="1302"/>
      <c r="S705" s="1302"/>
      <c r="T705" s="1302"/>
      <c r="U705" s="1302"/>
      <c r="V705" s="1302"/>
      <c r="W705" s="1302"/>
      <c r="X705" s="1302"/>
      <c r="Y705" s="1302"/>
      <c r="Z705" s="1302"/>
    </row>
    <row r="706" spans="1:26" ht="18.75">
      <c r="A706" s="1429"/>
      <c r="B706" s="1301"/>
      <c r="C706" s="1301"/>
      <c r="D706" s="1301"/>
      <c r="E706" s="1301"/>
      <c r="F706" s="1301"/>
      <c r="G706" s="1016"/>
      <c r="H706" s="762" t="s">
        <v>34</v>
      </c>
      <c r="I706" s="1440"/>
      <c r="J706" s="1012">
        <v>0</v>
      </c>
      <c r="K706" s="881"/>
      <c r="L706" s="881"/>
      <c r="M706" s="1016"/>
      <c r="N706" s="1441"/>
      <c r="O706" s="881"/>
      <c r="P706" s="881"/>
      <c r="Q706" s="1302"/>
      <c r="R706" s="1302"/>
      <c r="S706" s="1302"/>
      <c r="T706" s="1302"/>
      <c r="U706" s="1302"/>
      <c r="V706" s="1302"/>
      <c r="W706" s="1302"/>
      <c r="X706" s="1302"/>
      <c r="Y706" s="1302"/>
      <c r="Z706" s="1302"/>
    </row>
    <row r="707" spans="1:26" ht="18.75">
      <c r="A707" s="1429"/>
      <c r="B707" s="1301"/>
      <c r="C707" s="1301"/>
      <c r="D707" s="1301"/>
      <c r="E707" s="1301"/>
      <c r="F707" s="1301"/>
      <c r="G707" s="1016"/>
      <c r="H707" s="762" t="s">
        <v>46</v>
      </c>
      <c r="I707" s="1440">
        <f ca="1">IFERROR(__xludf.DUMMYFUNCTION("IMPORTRANGE(""https://docs.google.com/spreadsheets/d/1QqKyyYR6Q21VydFLVH3TRQUabQu_ym0Zz7PgGX0-kHA/edit?usp=sharing"",""แผน!IG81"")"),50)</f>
        <v>50</v>
      </c>
      <c r="J707" s="1012">
        <v>0</v>
      </c>
      <c r="K707" s="881"/>
      <c r="L707" s="881"/>
      <c r="M707" s="1016"/>
      <c r="N707" s="1441"/>
      <c r="O707" s="881"/>
      <c r="P707" s="881"/>
      <c r="Q707" s="1302"/>
      <c r="R707" s="1302"/>
      <c r="S707" s="1302"/>
      <c r="T707" s="1302"/>
      <c r="U707" s="1302"/>
      <c r="V707" s="1302"/>
      <c r="W707" s="1302"/>
      <c r="X707" s="1302"/>
      <c r="Y707" s="1302"/>
      <c r="Z707" s="1302"/>
    </row>
    <row r="708" spans="1:26" ht="19.5">
      <c r="A708" s="1429"/>
      <c r="B708" s="1301"/>
      <c r="C708" s="1301"/>
      <c r="D708" s="1382" t="s">
        <v>300</v>
      </c>
      <c r="E708" s="1301"/>
      <c r="F708" s="1301"/>
      <c r="G708" s="1016"/>
      <c r="H708" s="765" t="s">
        <v>46</v>
      </c>
      <c r="I708" s="1442">
        <f ca="1">IFERROR(__xludf.DUMMYFUNCTION("IMPORTRANGE(""https://docs.google.com/spreadsheets/d/1QqKyyYR6Q21VydFLVH3TRQUabQu_ym0Zz7PgGX0-kHA/edit?usp=sharing"",""แผน!IH81"")"),0)</f>
        <v>0</v>
      </c>
      <c r="J708" s="1019">
        <f>J714+J717</f>
        <v>0</v>
      </c>
      <c r="K708" s="1020">
        <f ca="1">IF(I708&gt;0,J708*100/I708,0)</f>
        <v>0</v>
      </c>
      <c r="L708" s="881"/>
      <c r="M708" s="1016"/>
      <c r="N708" s="1441"/>
      <c r="O708" s="881"/>
      <c r="P708" s="881"/>
      <c r="Q708" s="1302"/>
      <c r="R708" s="1302"/>
      <c r="S708" s="1302"/>
      <c r="T708" s="1302"/>
      <c r="U708" s="1302"/>
      <c r="V708" s="1302"/>
      <c r="W708" s="1302"/>
      <c r="X708" s="1302"/>
      <c r="Y708" s="1302"/>
      <c r="Z708" s="1302"/>
    </row>
    <row r="709" spans="1:26" ht="18.75">
      <c r="A709" s="1429"/>
      <c r="B709" s="1301"/>
      <c r="C709" s="1301"/>
      <c r="D709" s="1301"/>
      <c r="E709" s="1301" t="s">
        <v>301</v>
      </c>
      <c r="F709" s="1301"/>
      <c r="G709" s="1016"/>
      <c r="H709" s="762" t="s">
        <v>34</v>
      </c>
      <c r="I709" s="1440"/>
      <c r="J709" s="1012">
        <v>0</v>
      </c>
      <c r="K709" s="881"/>
      <c r="L709" s="1441"/>
      <c r="M709" s="1016"/>
      <c r="N709" s="1441"/>
      <c r="O709" s="881"/>
      <c r="P709" s="881"/>
      <c r="Q709" s="1302"/>
      <c r="R709" s="1302"/>
      <c r="S709" s="1302"/>
      <c r="T709" s="1302"/>
      <c r="U709" s="1302"/>
      <c r="V709" s="1302"/>
      <c r="W709" s="1302"/>
      <c r="X709" s="1302"/>
      <c r="Y709" s="1302"/>
      <c r="Z709" s="1302"/>
    </row>
    <row r="710" spans="1:26" ht="18.75">
      <c r="A710" s="1429"/>
      <c r="B710" s="1301"/>
      <c r="C710" s="1301"/>
      <c r="D710" s="1301"/>
      <c r="E710" s="1301"/>
      <c r="F710" s="1301"/>
      <c r="G710" s="1016"/>
      <c r="H710" s="762" t="s">
        <v>46</v>
      </c>
      <c r="I710" s="1440"/>
      <c r="J710" s="1012">
        <v>0</v>
      </c>
      <c r="K710" s="881"/>
      <c r="L710" s="1441"/>
      <c r="M710" s="1016"/>
      <c r="N710" s="1441"/>
      <c r="O710" s="881"/>
      <c r="P710" s="881"/>
      <c r="Q710" s="1302"/>
      <c r="R710" s="1302"/>
      <c r="S710" s="1302"/>
      <c r="T710" s="1302"/>
      <c r="U710" s="1302"/>
      <c r="V710" s="1302"/>
      <c r="W710" s="1302"/>
      <c r="X710" s="1302"/>
      <c r="Y710" s="1302"/>
      <c r="Z710" s="1302"/>
    </row>
    <row r="711" spans="1:26" ht="18.75">
      <c r="A711" s="1429"/>
      <c r="B711" s="1301"/>
      <c r="C711" s="1301"/>
      <c r="D711" s="1301"/>
      <c r="E711" s="1301" t="s">
        <v>302</v>
      </c>
      <c r="F711" s="1301"/>
      <c r="G711" s="1016"/>
      <c r="H711" s="1007"/>
      <c r="I711" s="1440"/>
      <c r="J711" s="880"/>
      <c r="K711" s="881"/>
      <c r="L711" s="1441"/>
      <c r="M711" s="1016"/>
      <c r="N711" s="1441"/>
      <c r="O711" s="881"/>
      <c r="P711" s="881"/>
      <c r="Q711" s="1302"/>
      <c r="R711" s="1302"/>
      <c r="S711" s="1302"/>
      <c r="T711" s="1302"/>
      <c r="U711" s="1302"/>
      <c r="V711" s="1302"/>
      <c r="W711" s="1302"/>
      <c r="X711" s="1302"/>
      <c r="Y711" s="1302"/>
      <c r="Z711" s="1302"/>
    </row>
    <row r="712" spans="1:26" ht="18.75">
      <c r="A712" s="1429"/>
      <c r="B712" s="1301"/>
      <c r="C712" s="1301"/>
      <c r="D712" s="1301"/>
      <c r="E712" s="1301"/>
      <c r="F712" s="1301" t="s">
        <v>303</v>
      </c>
      <c r="G712" s="1016"/>
      <c r="H712" s="762" t="s">
        <v>35</v>
      </c>
      <c r="I712" s="1440"/>
      <c r="J712" s="1012">
        <v>0</v>
      </c>
      <c r="K712" s="881"/>
      <c r="L712" s="1441"/>
      <c r="M712" s="1016"/>
      <c r="N712" s="1441"/>
      <c r="O712" s="881"/>
      <c r="P712" s="881"/>
      <c r="Q712" s="1302"/>
      <c r="R712" s="1302"/>
      <c r="S712" s="1302"/>
      <c r="T712" s="1302"/>
      <c r="U712" s="1302"/>
      <c r="V712" s="1302"/>
      <c r="W712" s="1302"/>
      <c r="X712" s="1302"/>
      <c r="Y712" s="1302"/>
      <c r="Z712" s="1302"/>
    </row>
    <row r="713" spans="1:26" ht="18.75">
      <c r="A713" s="1429"/>
      <c r="B713" s="1301"/>
      <c r="C713" s="1301"/>
      <c r="D713" s="1301"/>
      <c r="E713" s="1301"/>
      <c r="F713" s="1301"/>
      <c r="G713" s="1016"/>
      <c r="H713" s="762" t="s">
        <v>34</v>
      </c>
      <c r="I713" s="1440"/>
      <c r="J713" s="1012">
        <v>0</v>
      </c>
      <c r="K713" s="881"/>
      <c r="L713" s="1441"/>
      <c r="M713" s="1016"/>
      <c r="N713" s="1441"/>
      <c r="O713" s="881"/>
      <c r="P713" s="881"/>
      <c r="Q713" s="1302"/>
      <c r="R713" s="1302"/>
      <c r="S713" s="1302"/>
      <c r="T713" s="1302"/>
      <c r="U713" s="1302"/>
      <c r="V713" s="1302"/>
      <c r="W713" s="1302"/>
      <c r="X713" s="1302"/>
      <c r="Y713" s="1302"/>
      <c r="Z713" s="1302"/>
    </row>
    <row r="714" spans="1:26" ht="18.75">
      <c r="A714" s="1429"/>
      <c r="B714" s="1301"/>
      <c r="C714" s="1301"/>
      <c r="D714" s="1301"/>
      <c r="E714" s="1301"/>
      <c r="F714" s="1301"/>
      <c r="G714" s="1016"/>
      <c r="H714" s="762" t="s">
        <v>46</v>
      </c>
      <c r="I714" s="1440"/>
      <c r="J714" s="1012">
        <v>0</v>
      </c>
      <c r="K714" s="881"/>
      <c r="L714" s="1441"/>
      <c r="M714" s="1016"/>
      <c r="N714" s="1441"/>
      <c r="O714" s="881"/>
      <c r="P714" s="881"/>
      <c r="Q714" s="1302"/>
      <c r="R714" s="1302"/>
      <c r="S714" s="1302"/>
      <c r="T714" s="1302"/>
      <c r="U714" s="1302"/>
      <c r="V714" s="1302"/>
      <c r="W714" s="1302"/>
      <c r="X714" s="1302"/>
      <c r="Y714" s="1302"/>
      <c r="Z714" s="1302"/>
    </row>
    <row r="715" spans="1:26" ht="18.75">
      <c r="A715" s="1429"/>
      <c r="B715" s="1301"/>
      <c r="C715" s="1301"/>
      <c r="D715" s="1301"/>
      <c r="E715" s="1301"/>
      <c r="F715" s="1301" t="s">
        <v>304</v>
      </c>
      <c r="G715" s="1016"/>
      <c r="H715" s="762" t="s">
        <v>35</v>
      </c>
      <c r="I715" s="1440"/>
      <c r="J715" s="1012">
        <v>0</v>
      </c>
      <c r="K715" s="881"/>
      <c r="L715" s="1441"/>
      <c r="M715" s="1016"/>
      <c r="N715" s="1441"/>
      <c r="O715" s="881"/>
      <c r="P715" s="881"/>
      <c r="Q715" s="1302"/>
      <c r="R715" s="1302"/>
      <c r="S715" s="1302"/>
      <c r="T715" s="1302"/>
      <c r="U715" s="1302"/>
      <c r="V715" s="1302"/>
      <c r="W715" s="1302"/>
      <c r="X715" s="1302"/>
      <c r="Y715" s="1302"/>
      <c r="Z715" s="1302"/>
    </row>
    <row r="716" spans="1:26" ht="18.75">
      <c r="A716" s="1429"/>
      <c r="B716" s="1301"/>
      <c r="C716" s="1301"/>
      <c r="D716" s="1301"/>
      <c r="E716" s="1301"/>
      <c r="F716" s="1301"/>
      <c r="G716" s="1016"/>
      <c r="H716" s="762" t="s">
        <v>34</v>
      </c>
      <c r="I716" s="1440"/>
      <c r="J716" s="1012">
        <v>0</v>
      </c>
      <c r="K716" s="881"/>
      <c r="L716" s="1441"/>
      <c r="M716" s="1016"/>
      <c r="N716" s="1441"/>
      <c r="O716" s="881"/>
      <c r="P716" s="881"/>
      <c r="Q716" s="1302"/>
      <c r="R716" s="1302"/>
      <c r="S716" s="1302"/>
      <c r="T716" s="1302"/>
      <c r="U716" s="1302"/>
      <c r="V716" s="1302"/>
      <c r="W716" s="1302"/>
      <c r="X716" s="1302"/>
      <c r="Y716" s="1302"/>
      <c r="Z716" s="1302"/>
    </row>
    <row r="717" spans="1:26" ht="18.75">
      <c r="A717" s="1429"/>
      <c r="B717" s="1301"/>
      <c r="C717" s="1301"/>
      <c r="D717" s="1301"/>
      <c r="E717" s="1301"/>
      <c r="F717" s="1301"/>
      <c r="G717" s="1016"/>
      <c r="H717" s="762" t="s">
        <v>46</v>
      </c>
      <c r="I717" s="1440"/>
      <c r="J717" s="1012">
        <v>0</v>
      </c>
      <c r="K717" s="881"/>
      <c r="L717" s="1441"/>
      <c r="M717" s="1016"/>
      <c r="N717" s="1441"/>
      <c r="O717" s="881"/>
      <c r="P717" s="881"/>
      <c r="Q717" s="1302"/>
      <c r="R717" s="1302"/>
      <c r="S717" s="1302"/>
      <c r="T717" s="1302"/>
      <c r="U717" s="1302"/>
      <c r="V717" s="1302"/>
      <c r="W717" s="1302"/>
      <c r="X717" s="1302"/>
      <c r="Y717" s="1302"/>
      <c r="Z717" s="1302"/>
    </row>
    <row r="718" spans="1:26" ht="18.75">
      <c r="A718" s="1429"/>
      <c r="B718" s="1301"/>
      <c r="C718" s="1301"/>
      <c r="D718" s="1301" t="s">
        <v>305</v>
      </c>
      <c r="E718" s="1301"/>
      <c r="F718" s="1301"/>
      <c r="G718" s="1016"/>
      <c r="H718" s="762" t="s">
        <v>35</v>
      </c>
      <c r="I718" s="1440"/>
      <c r="J718" s="880">
        <f ca="1">IFERROR(__xludf.DUMMYFUNCTION("IMPORTRANGE(""https://docs.google.com/spreadsheets/d/1XWAQStnk-4SwqDmLtmXYiTMKHgktTP8We1SCoS47DrQ/edit?usp=sharing"",""จัดที่ดิน!BF81"")"),0)</f>
        <v>0</v>
      </c>
      <c r="K718" s="881"/>
      <c r="L718" s="881"/>
      <c r="M718" s="1016"/>
      <c r="N718" s="1441"/>
      <c r="O718" s="881"/>
      <c r="P718" s="881"/>
      <c r="Q718" s="1302"/>
      <c r="R718" s="1302"/>
      <c r="S718" s="1302"/>
      <c r="T718" s="1302"/>
      <c r="U718" s="1302"/>
      <c r="V718" s="1302"/>
      <c r="W718" s="1302"/>
      <c r="X718" s="1302"/>
      <c r="Y718" s="1302"/>
      <c r="Z718" s="1302"/>
    </row>
    <row r="719" spans="1:26" ht="18.75">
      <c r="A719" s="1429"/>
      <c r="B719" s="1301"/>
      <c r="C719" s="1301"/>
      <c r="D719" s="1301"/>
      <c r="E719" s="1301"/>
      <c r="F719" s="1301"/>
      <c r="G719" s="1016"/>
      <c r="H719" s="762" t="s">
        <v>34</v>
      </c>
      <c r="I719" s="1440"/>
      <c r="J719" s="880">
        <f ca="1">IFERROR(__xludf.DUMMYFUNCTION("IMPORTRANGE(""https://docs.google.com/spreadsheets/d/1XWAQStnk-4SwqDmLtmXYiTMKHgktTP8We1SCoS47DrQ/edit?usp=sharing"",""จัดที่ดิน!BG81"")"),0)</f>
        <v>0</v>
      </c>
      <c r="K719" s="881"/>
      <c r="L719" s="1441"/>
      <c r="M719" s="1016"/>
      <c r="N719" s="1441"/>
      <c r="O719" s="881"/>
      <c r="P719" s="881"/>
      <c r="Q719" s="1302"/>
      <c r="R719" s="1302"/>
      <c r="S719" s="1302"/>
      <c r="T719" s="1302"/>
      <c r="U719" s="1302"/>
      <c r="V719" s="1302"/>
      <c r="W719" s="1302"/>
      <c r="X719" s="1302"/>
      <c r="Y719" s="1302"/>
      <c r="Z719" s="1302"/>
    </row>
    <row r="720" spans="1:26" ht="18.75">
      <c r="A720" s="1429"/>
      <c r="B720" s="1301"/>
      <c r="C720" s="1301"/>
      <c r="D720" s="1301"/>
      <c r="E720" s="1301"/>
      <c r="F720" s="1301"/>
      <c r="G720" s="1016"/>
      <c r="H720" s="762" t="s">
        <v>46</v>
      </c>
      <c r="I720" s="1440">
        <f ca="1">IFERROR(__xludf.DUMMYFUNCTION("IMPORTRANGE(""https://docs.google.com/spreadsheets/d/1QqKyyYR6Q21VydFLVH3TRQUabQu_ym0Zz7PgGX0-kHA/edit?usp=sharing"",""แผน!II81"")"),0)</f>
        <v>0</v>
      </c>
      <c r="J720" s="880">
        <f ca="1">IFERROR(__xludf.DUMMYFUNCTION("IMPORTRANGE(""https://docs.google.com/spreadsheets/d/1XWAQStnk-4SwqDmLtmXYiTMKHgktTP8We1SCoS47DrQ/edit?usp=sharing"",""จัดที่ดิน!BH81"")"),0)</f>
        <v>0</v>
      </c>
      <c r="K720" s="881">
        <f t="shared" ref="K720:K723" ca="1" si="291">IF(I720&gt;0,J720*100/I720,0)</f>
        <v>0</v>
      </c>
      <c r="L720" s="1441"/>
      <c r="M720" s="1016"/>
      <c r="N720" s="1441"/>
      <c r="O720" s="881"/>
      <c r="P720" s="881"/>
      <c r="Q720" s="1302"/>
      <c r="R720" s="1302"/>
      <c r="S720" s="1302"/>
      <c r="T720" s="1302"/>
      <c r="U720" s="1302"/>
      <c r="V720" s="1302"/>
      <c r="W720" s="1302"/>
      <c r="X720" s="1302"/>
      <c r="Y720" s="1302"/>
      <c r="Z720" s="1302"/>
    </row>
    <row r="721" spans="1:26" ht="19.5">
      <c r="A721" s="1429"/>
      <c r="B721" s="1301"/>
      <c r="C721" s="1301"/>
      <c r="D721" s="1301" t="s">
        <v>306</v>
      </c>
      <c r="E721" s="1301"/>
      <c r="F721" s="1301"/>
      <c r="G721" s="1016"/>
      <c r="H721" s="765" t="s">
        <v>35</v>
      </c>
      <c r="I721" s="1442">
        <f ca="1">IFERROR(__xludf.DUMMYFUNCTION("IMPORTRANGE(""https://docs.google.com/spreadsheets/d/1QqKyyYR6Q21VydFLVH3TRQUabQu_ym0Zz7PgGX0-kHA/edit?usp=sharing"",""แผน!IJ81"")"),0)</f>
        <v>0</v>
      </c>
      <c r="J721" s="1019">
        <f ca="1">J723+J726</f>
        <v>0</v>
      </c>
      <c r="K721" s="1020">
        <f t="shared" ca="1" si="291"/>
        <v>0</v>
      </c>
      <c r="L721" s="1441"/>
      <c r="M721" s="1016"/>
      <c r="N721" s="1441"/>
      <c r="O721" s="881"/>
      <c r="P721" s="881"/>
      <c r="Q721" s="1302"/>
      <c r="R721" s="1302"/>
      <c r="S721" s="1302"/>
      <c r="T721" s="1302"/>
      <c r="U721" s="1302"/>
      <c r="V721" s="1302"/>
      <c r="W721" s="1302"/>
      <c r="X721" s="1302"/>
      <c r="Y721" s="1302"/>
      <c r="Z721" s="1302"/>
    </row>
    <row r="722" spans="1:26" ht="19.5">
      <c r="A722" s="1429"/>
      <c r="B722" s="1301"/>
      <c r="C722" s="1301"/>
      <c r="D722" s="1301"/>
      <c r="E722" s="1301"/>
      <c r="F722" s="1301"/>
      <c r="G722" s="1016"/>
      <c r="H722" s="765" t="s">
        <v>46</v>
      </c>
      <c r="I722" s="1442">
        <f ca="1">IFERROR(__xludf.DUMMYFUNCTION("IMPORTRANGE(""https://docs.google.com/spreadsheets/d/1QqKyyYR6Q21VydFLVH3TRQUabQu_ym0Zz7PgGX0-kHA/edit?usp=sharing"",""แผน!IK81"")"),0)</f>
        <v>0</v>
      </c>
      <c r="J722" s="1019">
        <f ca="1">J725+J728</f>
        <v>0</v>
      </c>
      <c r="K722" s="1020">
        <f t="shared" ca="1" si="291"/>
        <v>0</v>
      </c>
      <c r="L722" s="881"/>
      <c r="M722" s="1016"/>
      <c r="N722" s="1441"/>
      <c r="O722" s="881"/>
      <c r="P722" s="881"/>
      <c r="Q722" s="1302"/>
      <c r="R722" s="1302"/>
      <c r="S722" s="1302"/>
      <c r="T722" s="1302"/>
      <c r="U722" s="1302"/>
      <c r="V722" s="1302"/>
      <c r="W722" s="1302"/>
      <c r="X722" s="1302"/>
      <c r="Y722" s="1302"/>
      <c r="Z722" s="1302"/>
    </row>
    <row r="723" spans="1:26" ht="18.75">
      <c r="A723" s="1429"/>
      <c r="B723" s="1301"/>
      <c r="C723" s="1301"/>
      <c r="D723" s="1301"/>
      <c r="E723" s="1301" t="s">
        <v>307</v>
      </c>
      <c r="F723" s="1301"/>
      <c r="G723" s="1016"/>
      <c r="H723" s="762" t="s">
        <v>35</v>
      </c>
      <c r="I723" s="1440">
        <f ca="1">IFERROR(__xludf.DUMMYFUNCTION("IMPORTRANGE(""https://docs.google.com/spreadsheets/d/1QqKyyYR6Q21VydFLVH3TRQUabQu_ym0Zz7PgGX0-kHA/edit?usp=sharing"",""แผน!IL81"")"),0)</f>
        <v>0</v>
      </c>
      <c r="J723" s="880">
        <f ca="1">IFERROR(__xludf.DUMMYFUNCTION("IMPORTRANGE(""https://docs.google.com/spreadsheets/d/1XWAQStnk-4SwqDmLtmXYiTMKHgktTP8We1SCoS47DrQ/edit?usp=sharing"",""จัดที่ดิน!BM81"")"),0)</f>
        <v>0</v>
      </c>
      <c r="K723" s="881">
        <f t="shared" ca="1" si="291"/>
        <v>0</v>
      </c>
      <c r="L723" s="881"/>
      <c r="M723" s="1016"/>
      <c r="N723" s="1441"/>
      <c r="O723" s="881"/>
      <c r="P723" s="881"/>
      <c r="Q723" s="1302"/>
      <c r="R723" s="1302"/>
      <c r="S723" s="1302"/>
      <c r="T723" s="1302"/>
      <c r="U723" s="1302"/>
      <c r="V723" s="1302"/>
      <c r="W723" s="1302"/>
      <c r="X723" s="1302"/>
      <c r="Y723" s="1302"/>
      <c r="Z723" s="1302"/>
    </row>
    <row r="724" spans="1:26" ht="18.75">
      <c r="A724" s="1429"/>
      <c r="B724" s="1301"/>
      <c r="C724" s="1301"/>
      <c r="D724" s="1301"/>
      <c r="E724" s="1301"/>
      <c r="F724" s="1301"/>
      <c r="G724" s="1016"/>
      <c r="H724" s="762" t="s">
        <v>34</v>
      </c>
      <c r="I724" s="1440"/>
      <c r="J724" s="880">
        <f ca="1">IFERROR(__xludf.DUMMYFUNCTION("IMPORTRANGE(""https://docs.google.com/spreadsheets/d/1XWAQStnk-4SwqDmLtmXYiTMKHgktTP8We1SCoS47DrQ/edit?usp=sharing"",""จัดที่ดิน!BN81"")"),0)</f>
        <v>0</v>
      </c>
      <c r="K724" s="881"/>
      <c r="L724" s="1441"/>
      <c r="M724" s="1016"/>
      <c r="N724" s="1441"/>
      <c r="O724" s="881"/>
      <c r="P724" s="881"/>
      <c r="Q724" s="1302"/>
      <c r="R724" s="1302"/>
      <c r="S724" s="1302"/>
      <c r="T724" s="1302"/>
      <c r="U724" s="1302"/>
      <c r="V724" s="1302"/>
      <c r="W724" s="1302"/>
      <c r="X724" s="1302"/>
      <c r="Y724" s="1302"/>
      <c r="Z724" s="1302"/>
    </row>
    <row r="725" spans="1:26" ht="18.75">
      <c r="A725" s="1429"/>
      <c r="B725" s="1301"/>
      <c r="C725" s="1301"/>
      <c r="D725" s="1301"/>
      <c r="E725" s="1301"/>
      <c r="F725" s="1301"/>
      <c r="G725" s="1016"/>
      <c r="H725" s="762" t="s">
        <v>46</v>
      </c>
      <c r="I725" s="1440">
        <f ca="1">IFERROR(__xludf.DUMMYFUNCTION("IMPORTRANGE(""https://docs.google.com/spreadsheets/d/1QqKyyYR6Q21VydFLVH3TRQUabQu_ym0Zz7PgGX0-kHA/edit?usp=sharing"",""แผน!IM81"")"),0)</f>
        <v>0</v>
      </c>
      <c r="J725" s="880">
        <f ca="1">IFERROR(__xludf.DUMMYFUNCTION("IMPORTRANGE(""https://docs.google.com/spreadsheets/d/1XWAQStnk-4SwqDmLtmXYiTMKHgktTP8We1SCoS47DrQ/edit?usp=sharing"",""จัดที่ดิน!BO81"")"),0)</f>
        <v>0</v>
      </c>
      <c r="K725" s="881">
        <f t="shared" ref="K725:K726" ca="1" si="292">IF(I725&gt;0,J725*100/I725,0)</f>
        <v>0</v>
      </c>
      <c r="L725" s="1441"/>
      <c r="M725" s="1016"/>
      <c r="N725" s="1441"/>
      <c r="O725" s="881"/>
      <c r="P725" s="881"/>
      <c r="Q725" s="1302"/>
      <c r="R725" s="1302"/>
      <c r="S725" s="1302"/>
      <c r="T725" s="1302"/>
      <c r="U725" s="1302"/>
      <c r="V725" s="1302"/>
      <c r="W725" s="1302"/>
      <c r="X725" s="1302"/>
      <c r="Y725" s="1302"/>
      <c r="Z725" s="1302"/>
    </row>
    <row r="726" spans="1:26" ht="18.75">
      <c r="A726" s="1429"/>
      <c r="B726" s="1301"/>
      <c r="C726" s="1301"/>
      <c r="D726" s="1301"/>
      <c r="E726" s="1301" t="s">
        <v>308</v>
      </c>
      <c r="F726" s="1301"/>
      <c r="G726" s="1016"/>
      <c r="H726" s="762" t="s">
        <v>35</v>
      </c>
      <c r="I726" s="1440">
        <f ca="1">IFERROR(__xludf.DUMMYFUNCTION("IMPORTRANGE(""https://docs.google.com/spreadsheets/d/1QqKyyYR6Q21VydFLVH3TRQUabQu_ym0Zz7PgGX0-kHA/edit?usp=sharing"",""แผน!IN81"")"),0)</f>
        <v>0</v>
      </c>
      <c r="J726" s="880">
        <f ca="1">IFERROR(__xludf.DUMMYFUNCTION("IMPORTRANGE(""https://docs.google.com/spreadsheets/d/1XWAQStnk-4SwqDmLtmXYiTMKHgktTP8We1SCoS47DrQ/edit?usp=sharing"",""จัดที่ดิน!BR81"")"),0)</f>
        <v>0</v>
      </c>
      <c r="K726" s="881">
        <f t="shared" ca="1" si="292"/>
        <v>0</v>
      </c>
      <c r="L726" s="881"/>
      <c r="M726" s="1016"/>
      <c r="N726" s="1441"/>
      <c r="O726" s="881"/>
      <c r="P726" s="881"/>
      <c r="Q726" s="1302"/>
      <c r="R726" s="1302"/>
      <c r="S726" s="1302"/>
      <c r="T726" s="1302"/>
      <c r="U726" s="1302"/>
      <c r="V726" s="1302"/>
      <c r="W726" s="1302"/>
      <c r="X726" s="1302"/>
      <c r="Y726" s="1302"/>
      <c r="Z726" s="1302"/>
    </row>
    <row r="727" spans="1:26" ht="18.75">
      <c r="A727" s="1429"/>
      <c r="B727" s="1301"/>
      <c r="C727" s="1301"/>
      <c r="D727" s="1301"/>
      <c r="E727" s="1301"/>
      <c r="F727" s="1301"/>
      <c r="G727" s="1016"/>
      <c r="H727" s="762" t="s">
        <v>34</v>
      </c>
      <c r="I727" s="1440"/>
      <c r="J727" s="880">
        <f ca="1">IFERROR(__xludf.DUMMYFUNCTION("IMPORTRANGE(""https://docs.google.com/spreadsheets/d/1XWAQStnk-4SwqDmLtmXYiTMKHgktTP8We1SCoS47DrQ/edit?usp=sharing"",""จัดที่ดิน!BS81"")"),0)</f>
        <v>0</v>
      </c>
      <c r="K727" s="881"/>
      <c r="L727" s="1441"/>
      <c r="M727" s="1016"/>
      <c r="N727" s="1441"/>
      <c r="O727" s="881"/>
      <c r="P727" s="881"/>
      <c r="Q727" s="1302"/>
      <c r="R727" s="1302"/>
      <c r="S727" s="1302"/>
      <c r="T727" s="1302"/>
      <c r="U727" s="1302"/>
      <c r="V727" s="1302"/>
      <c r="W727" s="1302"/>
      <c r="X727" s="1302"/>
      <c r="Y727" s="1302"/>
      <c r="Z727" s="1302"/>
    </row>
    <row r="728" spans="1:26" ht="18.75">
      <c r="A728" s="1429"/>
      <c r="B728" s="1301"/>
      <c r="C728" s="1301"/>
      <c r="D728" s="1301"/>
      <c r="E728" s="1301"/>
      <c r="F728" s="1301"/>
      <c r="G728" s="1016"/>
      <c r="H728" s="762" t="s">
        <v>46</v>
      </c>
      <c r="I728" s="1440">
        <f ca="1">IFERROR(__xludf.DUMMYFUNCTION("IMPORTRANGE(""https://docs.google.com/spreadsheets/d/1QqKyyYR6Q21VydFLVH3TRQUabQu_ym0Zz7PgGX0-kHA/edit?usp=sharing"",""แผน!IO81"")"),0)</f>
        <v>0</v>
      </c>
      <c r="J728" s="880">
        <f ca="1">IFERROR(__xludf.DUMMYFUNCTION("IMPORTRANGE(""https://docs.google.com/spreadsheets/d/1XWAQStnk-4SwqDmLtmXYiTMKHgktTP8We1SCoS47DrQ/edit?usp=sharing"",""จัดที่ดิน!BT81"")"),0)</f>
        <v>0</v>
      </c>
      <c r="K728" s="881">
        <f t="shared" ref="K728:K729" ca="1" si="293">IF(I728&gt;0,J728*100/I728,0)</f>
        <v>0</v>
      </c>
      <c r="L728" s="1441"/>
      <c r="M728" s="1016"/>
      <c r="N728" s="1441"/>
      <c r="O728" s="881"/>
      <c r="P728" s="881"/>
      <c r="Q728" s="1302"/>
      <c r="R728" s="1302"/>
      <c r="S728" s="1302"/>
      <c r="T728" s="1302"/>
      <c r="U728" s="1302"/>
      <c r="V728" s="1302"/>
      <c r="W728" s="1302"/>
      <c r="X728" s="1302"/>
      <c r="Y728" s="1302"/>
      <c r="Z728" s="1302"/>
    </row>
    <row r="729" spans="1:26" ht="19.5">
      <c r="A729" s="1429"/>
      <c r="B729" s="1301"/>
      <c r="C729" s="1301"/>
      <c r="D729" s="1301" t="s">
        <v>309</v>
      </c>
      <c r="E729" s="1301"/>
      <c r="F729" s="1301"/>
      <c r="G729" s="1016"/>
      <c r="H729" s="765" t="s">
        <v>46</v>
      </c>
      <c r="I729" s="1442">
        <f ca="1">IFERROR(__xludf.DUMMYFUNCTION("IMPORTRANGE(""https://docs.google.com/spreadsheets/d/1QqKyyYR6Q21VydFLVH3TRQUabQu_ym0Zz7PgGX0-kHA/edit?usp=sharing"",""แผน!IP81"")"),0)</f>
        <v>0</v>
      </c>
      <c r="J729" s="1019">
        <f>J732+J735</f>
        <v>0</v>
      </c>
      <c r="K729" s="1020">
        <f t="shared" ca="1" si="293"/>
        <v>0</v>
      </c>
      <c r="L729" s="881"/>
      <c r="M729" s="1016"/>
      <c r="N729" s="1441"/>
      <c r="O729" s="881"/>
      <c r="P729" s="881"/>
      <c r="Q729" s="1302"/>
      <c r="R729" s="1302"/>
      <c r="S729" s="1302"/>
      <c r="T729" s="1302"/>
      <c r="U729" s="1302"/>
      <c r="V729" s="1302"/>
      <c r="W729" s="1302"/>
      <c r="X729" s="1302"/>
      <c r="Y729" s="1302"/>
      <c r="Z729" s="1302"/>
    </row>
    <row r="730" spans="1:26" ht="18.75">
      <c r="A730" s="1429"/>
      <c r="B730" s="1301"/>
      <c r="C730" s="1301"/>
      <c r="D730" s="1301"/>
      <c r="E730" s="1301" t="s">
        <v>310</v>
      </c>
      <c r="F730" s="1301"/>
      <c r="G730" s="1016"/>
      <c r="H730" s="762" t="s">
        <v>35</v>
      </c>
      <c r="I730" s="1440"/>
      <c r="J730" s="1012">
        <v>0</v>
      </c>
      <c r="K730" s="881"/>
      <c r="L730" s="1441"/>
      <c r="M730" s="881"/>
      <c r="N730" s="1441"/>
      <c r="O730" s="881"/>
      <c r="P730" s="881"/>
      <c r="Q730" s="1302"/>
      <c r="R730" s="1302"/>
      <c r="S730" s="1302"/>
      <c r="T730" s="1302"/>
      <c r="U730" s="1302"/>
      <c r="V730" s="1302"/>
      <c r="W730" s="1302"/>
      <c r="X730" s="1302"/>
      <c r="Y730" s="1302"/>
      <c r="Z730" s="1302"/>
    </row>
    <row r="731" spans="1:26" ht="18.75">
      <c r="A731" s="1429"/>
      <c r="B731" s="1301"/>
      <c r="C731" s="1301"/>
      <c r="D731" s="1301"/>
      <c r="E731" s="1301"/>
      <c r="F731" s="1301"/>
      <c r="G731" s="1016"/>
      <c r="H731" s="762" t="s">
        <v>34</v>
      </c>
      <c r="I731" s="1440"/>
      <c r="J731" s="1012">
        <v>0</v>
      </c>
      <c r="K731" s="881"/>
      <c r="L731" s="1441"/>
      <c r="M731" s="881"/>
      <c r="N731" s="1441"/>
      <c r="O731" s="881"/>
      <c r="P731" s="881"/>
      <c r="Q731" s="1302"/>
      <c r="R731" s="1302"/>
      <c r="S731" s="1302"/>
      <c r="T731" s="1302"/>
      <c r="U731" s="1302"/>
      <c r="V731" s="1302"/>
      <c r="W731" s="1302"/>
      <c r="X731" s="1302"/>
      <c r="Y731" s="1302"/>
      <c r="Z731" s="1302"/>
    </row>
    <row r="732" spans="1:26" ht="18.75">
      <c r="A732" s="1429"/>
      <c r="B732" s="1301"/>
      <c r="C732" s="1301"/>
      <c r="D732" s="1301"/>
      <c r="E732" s="1301"/>
      <c r="F732" s="1301"/>
      <c r="G732" s="1016"/>
      <c r="H732" s="762" t="s">
        <v>46</v>
      </c>
      <c r="I732" s="1440"/>
      <c r="J732" s="1012">
        <v>0</v>
      </c>
      <c r="K732" s="881"/>
      <c r="L732" s="1441"/>
      <c r="M732" s="881"/>
      <c r="N732" s="1441"/>
      <c r="O732" s="881"/>
      <c r="P732" s="881"/>
      <c r="Q732" s="1302"/>
      <c r="R732" s="1302"/>
      <c r="S732" s="1302"/>
      <c r="T732" s="1302"/>
      <c r="U732" s="1302"/>
      <c r="V732" s="1302"/>
      <c r="W732" s="1302"/>
      <c r="X732" s="1302"/>
      <c r="Y732" s="1302"/>
      <c r="Z732" s="1302"/>
    </row>
    <row r="733" spans="1:26" ht="18.75">
      <c r="A733" s="1429"/>
      <c r="B733" s="1301"/>
      <c r="C733" s="1301"/>
      <c r="D733" s="1301"/>
      <c r="E733" s="1301" t="s">
        <v>311</v>
      </c>
      <c r="F733" s="1301"/>
      <c r="G733" s="1016"/>
      <c r="H733" s="762" t="s">
        <v>35</v>
      </c>
      <c r="I733" s="1440"/>
      <c r="J733" s="1012">
        <v>0</v>
      </c>
      <c r="K733" s="881"/>
      <c r="L733" s="1441"/>
      <c r="M733" s="881"/>
      <c r="N733" s="1441"/>
      <c r="O733" s="881"/>
      <c r="P733" s="881"/>
      <c r="Q733" s="1302"/>
      <c r="R733" s="1302"/>
      <c r="S733" s="1302"/>
      <c r="T733" s="1302"/>
      <c r="U733" s="1302"/>
      <c r="V733" s="1302"/>
      <c r="W733" s="1302"/>
      <c r="X733" s="1302"/>
      <c r="Y733" s="1302"/>
      <c r="Z733" s="1302"/>
    </row>
    <row r="734" spans="1:26" ht="18.75">
      <c r="A734" s="1429"/>
      <c r="B734" s="1301"/>
      <c r="C734" s="1301"/>
      <c r="D734" s="1301"/>
      <c r="E734" s="1301"/>
      <c r="F734" s="1301"/>
      <c r="G734" s="1016"/>
      <c r="H734" s="762" t="s">
        <v>34</v>
      </c>
      <c r="I734" s="1440"/>
      <c r="J734" s="1012">
        <v>0</v>
      </c>
      <c r="K734" s="881"/>
      <c r="L734" s="1441"/>
      <c r="M734" s="881"/>
      <c r="N734" s="1441"/>
      <c r="O734" s="881"/>
      <c r="P734" s="881"/>
      <c r="Q734" s="1302"/>
      <c r="R734" s="1302"/>
      <c r="S734" s="1302"/>
      <c r="T734" s="1302"/>
      <c r="U734" s="1302"/>
      <c r="V734" s="1302"/>
      <c r="W734" s="1302"/>
      <c r="X734" s="1302"/>
      <c r="Y734" s="1302"/>
      <c r="Z734" s="1302"/>
    </row>
    <row r="735" spans="1:26" ht="19.5">
      <c r="A735" s="1443"/>
      <c r="B735" s="1444" t="s">
        <v>312</v>
      </c>
      <c r="C735" s="1169"/>
      <c r="D735" s="1169"/>
      <c r="E735" s="1169"/>
      <c r="F735" s="1169"/>
      <c r="G735" s="1422"/>
      <c r="H735" s="423" t="s">
        <v>46</v>
      </c>
      <c r="I735" s="1445"/>
      <c r="J735" s="1171">
        <v>0</v>
      </c>
      <c r="K735" s="1239"/>
      <c r="L735" s="1446"/>
      <c r="M735" s="1239"/>
      <c r="N735" s="1446"/>
      <c r="O735" s="1239"/>
      <c r="P735" s="1239"/>
      <c r="Q735" s="1302"/>
      <c r="R735" s="1302"/>
      <c r="S735" s="1302"/>
      <c r="T735" s="1302"/>
      <c r="U735" s="1302"/>
      <c r="V735" s="1302"/>
      <c r="W735" s="1302"/>
      <c r="X735" s="1302"/>
      <c r="Y735" s="1302"/>
      <c r="Z735" s="1302"/>
    </row>
    <row r="736" spans="1:26" ht="19.5" hidden="1">
      <c r="A736" s="772">
        <v>9</v>
      </c>
      <c r="B736" s="1447" t="s">
        <v>313</v>
      </c>
      <c r="C736" s="1448"/>
      <c r="D736" s="1448"/>
      <c r="E736" s="1448"/>
      <c r="F736" s="1448"/>
      <c r="G736" s="1449"/>
      <c r="H736" s="776" t="s">
        <v>46</v>
      </c>
      <c r="I736" s="1450"/>
      <c r="J736" s="1450">
        <f>J751</f>
        <v>0</v>
      </c>
      <c r="K736" s="1451">
        <f>IF(I736&gt;0,J736*100/I736,0)</f>
        <v>0</v>
      </c>
      <c r="L736" s="1452"/>
      <c r="M736" s="1452"/>
      <c r="N736" s="1452"/>
      <c r="O736" s="1452"/>
      <c r="P736" s="1452"/>
      <c r="Q736" s="1323"/>
      <c r="R736" s="1323"/>
      <c r="S736" s="1323"/>
      <c r="T736" s="1323"/>
      <c r="U736" s="1323"/>
      <c r="V736" s="1323"/>
      <c r="W736" s="1323"/>
      <c r="X736" s="1323"/>
      <c r="Y736" s="1323"/>
      <c r="Z736" s="1323"/>
    </row>
    <row r="737" spans="1:26" ht="19.5" hidden="1">
      <c r="A737" s="1319"/>
      <c r="B737" s="1320"/>
      <c r="C737" s="1320" t="s">
        <v>16</v>
      </c>
      <c r="D737" s="1351" t="s">
        <v>17</v>
      </c>
      <c r="E737" s="841"/>
      <c r="F737" s="841"/>
      <c r="G737" s="1322"/>
      <c r="H737" s="644" t="s">
        <v>12</v>
      </c>
      <c r="I737" s="886"/>
      <c r="J737" s="886"/>
      <c r="K737" s="887"/>
      <c r="L737" s="1352">
        <f t="shared" ref="L737:N737" si="294">L738+L739</f>
        <v>0</v>
      </c>
      <c r="M737" s="1352">
        <f t="shared" si="294"/>
        <v>0</v>
      </c>
      <c r="N737" s="1352">
        <f t="shared" si="294"/>
        <v>0</v>
      </c>
      <c r="O737" s="1352">
        <f t="shared" ref="O737:O742" si="295">IF(L737&gt;0,N737*100/L737,0)</f>
        <v>0</v>
      </c>
      <c r="P737" s="1352">
        <f t="shared" ref="P737:P742" si="296">IF(M737&gt;0,N737*100/M737,0)</f>
        <v>0</v>
      </c>
      <c r="Q737" s="1323"/>
      <c r="R737" s="1323"/>
      <c r="S737" s="1323"/>
      <c r="T737" s="1323"/>
      <c r="U737" s="1323"/>
      <c r="V737" s="1323"/>
      <c r="W737" s="1323"/>
      <c r="X737" s="1323"/>
      <c r="Y737" s="1323"/>
      <c r="Z737" s="1323"/>
    </row>
    <row r="738" spans="1:26" ht="18.75" hidden="1">
      <c r="A738" s="1319"/>
      <c r="B738" s="1320"/>
      <c r="C738" s="1320"/>
      <c r="D738" s="1321"/>
      <c r="E738" s="1320" t="s">
        <v>185</v>
      </c>
      <c r="F738" s="1320"/>
      <c r="G738" s="1322"/>
      <c r="H738" s="165" t="s">
        <v>12</v>
      </c>
      <c r="I738" s="886"/>
      <c r="J738" s="886"/>
      <c r="K738" s="887"/>
      <c r="L738" s="887">
        <f t="shared" ref="L738:N739" si="297">L741+L748</f>
        <v>0</v>
      </c>
      <c r="M738" s="887">
        <f t="shared" si="297"/>
        <v>0</v>
      </c>
      <c r="N738" s="887">
        <f t="shared" si="297"/>
        <v>0</v>
      </c>
      <c r="O738" s="887">
        <f t="shared" si="295"/>
        <v>0</v>
      </c>
      <c r="P738" s="887">
        <f t="shared" si="296"/>
        <v>0</v>
      </c>
      <c r="Q738" s="1323"/>
      <c r="R738" s="1323"/>
      <c r="S738" s="1323"/>
      <c r="T738" s="1323"/>
      <c r="U738" s="1323"/>
      <c r="V738" s="1323"/>
      <c r="W738" s="1323"/>
      <c r="X738" s="1323"/>
      <c r="Y738" s="1323"/>
      <c r="Z738" s="1323"/>
    </row>
    <row r="739" spans="1:26" ht="18.75" hidden="1">
      <c r="A739" s="1319"/>
      <c r="B739" s="1324"/>
      <c r="C739" s="1320"/>
      <c r="D739" s="1321"/>
      <c r="E739" s="1320" t="s">
        <v>186</v>
      </c>
      <c r="F739" s="1320"/>
      <c r="G739" s="1322"/>
      <c r="H739" s="165" t="s">
        <v>12</v>
      </c>
      <c r="I739" s="886"/>
      <c r="J739" s="886"/>
      <c r="K739" s="887"/>
      <c r="L739" s="887">
        <f t="shared" si="297"/>
        <v>0</v>
      </c>
      <c r="M739" s="887">
        <f t="shared" si="297"/>
        <v>0</v>
      </c>
      <c r="N739" s="887">
        <f t="shared" si="297"/>
        <v>0</v>
      </c>
      <c r="O739" s="887">
        <f t="shared" si="295"/>
        <v>0</v>
      </c>
      <c r="P739" s="887">
        <f t="shared" si="296"/>
        <v>0</v>
      </c>
      <c r="Q739" s="1323"/>
      <c r="R739" s="1323"/>
      <c r="S739" s="1323"/>
      <c r="T739" s="1323"/>
      <c r="U739" s="1323"/>
      <c r="V739" s="1323"/>
      <c r="W739" s="1323"/>
      <c r="X739" s="1323"/>
      <c r="Y739" s="1323"/>
      <c r="Z739" s="1323"/>
    </row>
    <row r="740" spans="1:26" ht="19.5" hidden="1">
      <c r="A740" s="1319"/>
      <c r="B740" s="1324"/>
      <c r="C740" s="1320"/>
      <c r="D740" s="1453" t="s">
        <v>20</v>
      </c>
      <c r="E740" s="1320"/>
      <c r="F740" s="1320"/>
      <c r="G740" s="1322"/>
      <c r="H740" s="644" t="s">
        <v>12</v>
      </c>
      <c r="I740" s="1000"/>
      <c r="J740" s="1000"/>
      <c r="K740" s="1001"/>
      <c r="L740" s="1352">
        <f t="shared" ref="L740:N740" si="298">L741+L742</f>
        <v>0</v>
      </c>
      <c r="M740" s="1352">
        <f t="shared" si="298"/>
        <v>0</v>
      </c>
      <c r="N740" s="1352">
        <f t="shared" si="298"/>
        <v>0</v>
      </c>
      <c r="O740" s="1352">
        <f t="shared" si="295"/>
        <v>0</v>
      </c>
      <c r="P740" s="1352">
        <f t="shared" si="296"/>
        <v>0</v>
      </c>
      <c r="Q740" s="1323"/>
      <c r="R740" s="1323"/>
      <c r="S740" s="1323"/>
      <c r="T740" s="1323"/>
      <c r="U740" s="1323"/>
      <c r="V740" s="1323"/>
      <c r="W740" s="1323"/>
      <c r="X740" s="1323"/>
      <c r="Y740" s="1323"/>
      <c r="Z740" s="1323"/>
    </row>
    <row r="741" spans="1:26" ht="18.75" hidden="1">
      <c r="A741" s="1319"/>
      <c r="B741" s="1324"/>
      <c r="C741" s="1320"/>
      <c r="D741" s="1321"/>
      <c r="E741" s="1320" t="s">
        <v>185</v>
      </c>
      <c r="F741" s="1320"/>
      <c r="G741" s="1322"/>
      <c r="H741" s="165" t="s">
        <v>12</v>
      </c>
      <c r="I741" s="886"/>
      <c r="J741" s="886"/>
      <c r="K741" s="887"/>
      <c r="L741" s="887">
        <v>0</v>
      </c>
      <c r="M741" s="887">
        <v>0</v>
      </c>
      <c r="N741" s="887">
        <v>0</v>
      </c>
      <c r="O741" s="887">
        <f t="shared" si="295"/>
        <v>0</v>
      </c>
      <c r="P741" s="887">
        <f t="shared" si="296"/>
        <v>0</v>
      </c>
      <c r="Q741" s="1323"/>
      <c r="R741" s="1323"/>
      <c r="S741" s="1323"/>
      <c r="T741" s="1323"/>
      <c r="U741" s="1323"/>
      <c r="V741" s="1323"/>
      <c r="W741" s="1323"/>
      <c r="X741" s="1323"/>
      <c r="Y741" s="1323"/>
      <c r="Z741" s="1323"/>
    </row>
    <row r="742" spans="1:26" ht="18.75" hidden="1">
      <c r="A742" s="1319"/>
      <c r="B742" s="1324"/>
      <c r="C742" s="1320"/>
      <c r="D742" s="1321"/>
      <c r="E742" s="1320" t="s">
        <v>186</v>
      </c>
      <c r="F742" s="1320"/>
      <c r="G742" s="1322"/>
      <c r="H742" s="165" t="s">
        <v>12</v>
      </c>
      <c r="I742" s="886"/>
      <c r="J742" s="886"/>
      <c r="K742" s="887"/>
      <c r="L742" s="887">
        <v>0</v>
      </c>
      <c r="M742" s="887">
        <v>0</v>
      </c>
      <c r="N742" s="887">
        <f>N743+N744+N745+N746</f>
        <v>0</v>
      </c>
      <c r="O742" s="887">
        <f t="shared" si="295"/>
        <v>0</v>
      </c>
      <c r="P742" s="887">
        <f t="shared" si="296"/>
        <v>0</v>
      </c>
      <c r="Q742" s="1323"/>
      <c r="R742" s="1323"/>
      <c r="S742" s="1323"/>
      <c r="T742" s="1323"/>
      <c r="U742" s="1323"/>
      <c r="V742" s="1323"/>
      <c r="W742" s="1323"/>
      <c r="X742" s="1323"/>
      <c r="Y742" s="1323"/>
      <c r="Z742" s="1323"/>
    </row>
    <row r="743" spans="1:26" ht="18.75" hidden="1">
      <c r="A743" s="1354"/>
      <c r="B743" s="1324"/>
      <c r="C743" s="1320"/>
      <c r="D743" s="1320"/>
      <c r="E743" s="1320"/>
      <c r="F743" s="1320" t="s">
        <v>187</v>
      </c>
      <c r="G743" s="1322"/>
      <c r="H743" s="165" t="s">
        <v>12</v>
      </c>
      <c r="I743" s="886"/>
      <c r="J743" s="886"/>
      <c r="K743" s="887"/>
      <c r="L743" s="887"/>
      <c r="M743" s="887"/>
      <c r="N743" s="887"/>
      <c r="O743" s="887"/>
      <c r="P743" s="887"/>
      <c r="Q743" s="1323"/>
      <c r="R743" s="1323"/>
      <c r="S743" s="1323"/>
      <c r="T743" s="1323"/>
      <c r="U743" s="1323"/>
      <c r="V743" s="1323"/>
      <c r="W743" s="1323"/>
      <c r="X743" s="1323"/>
      <c r="Y743" s="1323"/>
      <c r="Z743" s="1323"/>
    </row>
    <row r="744" spans="1:26" ht="18.75" hidden="1">
      <c r="A744" s="1354"/>
      <c r="B744" s="1324"/>
      <c r="C744" s="1320"/>
      <c r="D744" s="1320"/>
      <c r="E744" s="1320"/>
      <c r="F744" s="1320" t="s">
        <v>188</v>
      </c>
      <c r="G744" s="1322"/>
      <c r="H744" s="165" t="s">
        <v>12</v>
      </c>
      <c r="I744" s="886"/>
      <c r="J744" s="886"/>
      <c r="K744" s="887"/>
      <c r="L744" s="887"/>
      <c r="M744" s="887"/>
      <c r="N744" s="887"/>
      <c r="O744" s="887"/>
      <c r="P744" s="887"/>
      <c r="Q744" s="1323"/>
      <c r="R744" s="1323"/>
      <c r="S744" s="1323"/>
      <c r="T744" s="1323"/>
      <c r="U744" s="1323"/>
      <c r="V744" s="1323"/>
      <c r="W744" s="1323"/>
      <c r="X744" s="1323"/>
      <c r="Y744" s="1323"/>
      <c r="Z744" s="1323"/>
    </row>
    <row r="745" spans="1:26" ht="18.75" hidden="1">
      <c r="A745" s="1354"/>
      <c r="B745" s="1324"/>
      <c r="C745" s="1320"/>
      <c r="D745" s="1320"/>
      <c r="E745" s="1320"/>
      <c r="F745" s="1320" t="s">
        <v>189</v>
      </c>
      <c r="G745" s="1322"/>
      <c r="H745" s="165" t="s">
        <v>12</v>
      </c>
      <c r="I745" s="886"/>
      <c r="J745" s="886"/>
      <c r="K745" s="887"/>
      <c r="L745" s="887"/>
      <c r="M745" s="887"/>
      <c r="N745" s="887"/>
      <c r="O745" s="887"/>
      <c r="P745" s="887"/>
      <c r="Q745" s="1323"/>
      <c r="R745" s="1323"/>
      <c r="S745" s="1323"/>
      <c r="T745" s="1323"/>
      <c r="U745" s="1323"/>
      <c r="V745" s="1323"/>
      <c r="W745" s="1323"/>
      <c r="X745" s="1323"/>
      <c r="Y745" s="1323"/>
      <c r="Z745" s="1323"/>
    </row>
    <row r="746" spans="1:26" ht="18.75" hidden="1">
      <c r="A746" s="1354"/>
      <c r="B746" s="1324"/>
      <c r="C746" s="1320"/>
      <c r="D746" s="1320"/>
      <c r="E746" s="1320"/>
      <c r="F746" s="1320" t="s">
        <v>190</v>
      </c>
      <c r="G746" s="1322"/>
      <c r="H746" s="165" t="s">
        <v>12</v>
      </c>
      <c r="I746" s="886"/>
      <c r="J746" s="886"/>
      <c r="K746" s="887"/>
      <c r="L746" s="887"/>
      <c r="M746" s="887"/>
      <c r="N746" s="887"/>
      <c r="O746" s="887"/>
      <c r="P746" s="887"/>
      <c r="Q746" s="1323"/>
      <c r="R746" s="1323"/>
      <c r="S746" s="1323"/>
      <c r="T746" s="1323"/>
      <c r="U746" s="1323"/>
      <c r="V746" s="1323"/>
      <c r="W746" s="1323"/>
      <c r="X746" s="1323"/>
      <c r="Y746" s="1323"/>
      <c r="Z746" s="1323"/>
    </row>
    <row r="747" spans="1:26" ht="19.5" hidden="1">
      <c r="A747" s="1319"/>
      <c r="B747" s="1324"/>
      <c r="C747" s="1320"/>
      <c r="D747" s="1453" t="s">
        <v>21</v>
      </c>
      <c r="E747" s="1320"/>
      <c r="F747" s="1320"/>
      <c r="G747" s="1322"/>
      <c r="H747" s="781" t="s">
        <v>12</v>
      </c>
      <c r="I747" s="1000"/>
      <c r="J747" s="1000"/>
      <c r="K747" s="1001"/>
      <c r="L747" s="1352">
        <f t="shared" ref="L747:N747" si="299">L748+L749</f>
        <v>0</v>
      </c>
      <c r="M747" s="1352">
        <f t="shared" si="299"/>
        <v>0</v>
      </c>
      <c r="N747" s="1352">
        <f t="shared" si="299"/>
        <v>0</v>
      </c>
      <c r="O747" s="1352">
        <f t="shared" ref="O747:O749" si="300">IF(L747&gt;0,N747*100/L747,0)</f>
        <v>0</v>
      </c>
      <c r="P747" s="1352">
        <f t="shared" ref="P747:P749" si="301">IF(M747&gt;0,N747*100/M747,0)</f>
        <v>0</v>
      </c>
      <c r="Q747" s="1323"/>
      <c r="R747" s="1323"/>
      <c r="S747" s="1323"/>
      <c r="T747" s="1323"/>
      <c r="U747" s="1323"/>
      <c r="V747" s="1323"/>
      <c r="W747" s="1323"/>
      <c r="X747" s="1323"/>
      <c r="Y747" s="1323"/>
      <c r="Z747" s="1323"/>
    </row>
    <row r="748" spans="1:26" ht="18.75" hidden="1">
      <c r="A748" s="1319"/>
      <c r="B748" s="1324"/>
      <c r="C748" s="1320"/>
      <c r="D748" s="1320"/>
      <c r="E748" s="1320" t="s">
        <v>18</v>
      </c>
      <c r="F748" s="1320"/>
      <c r="G748" s="1322"/>
      <c r="H748" s="165" t="s">
        <v>12</v>
      </c>
      <c r="I748" s="1000"/>
      <c r="J748" s="1000"/>
      <c r="K748" s="1001"/>
      <c r="L748" s="887">
        <v>0</v>
      </c>
      <c r="M748" s="887">
        <v>0</v>
      </c>
      <c r="N748" s="887">
        <v>0</v>
      </c>
      <c r="O748" s="887">
        <f t="shared" si="300"/>
        <v>0</v>
      </c>
      <c r="P748" s="887">
        <f t="shared" si="301"/>
        <v>0</v>
      </c>
      <c r="Q748" s="1323"/>
      <c r="R748" s="1323"/>
      <c r="S748" s="1323"/>
      <c r="T748" s="1323"/>
      <c r="U748" s="1323"/>
      <c r="V748" s="1323"/>
      <c r="W748" s="1323"/>
      <c r="X748" s="1323"/>
      <c r="Y748" s="1323"/>
      <c r="Z748" s="1323"/>
    </row>
    <row r="749" spans="1:26" ht="18.75" hidden="1">
      <c r="A749" s="1319"/>
      <c r="B749" s="1324"/>
      <c r="C749" s="1320"/>
      <c r="D749" s="1320"/>
      <c r="E749" s="1320" t="s">
        <v>19</v>
      </c>
      <c r="F749" s="1320"/>
      <c r="G749" s="1322"/>
      <c r="H749" s="169" t="s">
        <v>12</v>
      </c>
      <c r="I749" s="1000"/>
      <c r="J749" s="1000"/>
      <c r="K749" s="1001"/>
      <c r="L749" s="887">
        <v>0</v>
      </c>
      <c r="M749" s="887">
        <v>0</v>
      </c>
      <c r="N749" s="887">
        <v>0</v>
      </c>
      <c r="O749" s="887">
        <f t="shared" si="300"/>
        <v>0</v>
      </c>
      <c r="P749" s="887">
        <f t="shared" si="301"/>
        <v>0</v>
      </c>
      <c r="Q749" s="1323"/>
      <c r="R749" s="1323"/>
      <c r="S749" s="1323"/>
      <c r="T749" s="1323"/>
      <c r="U749" s="1323"/>
      <c r="V749" s="1323"/>
      <c r="W749" s="1323"/>
      <c r="X749" s="1323"/>
      <c r="Y749" s="1323"/>
      <c r="Z749" s="1323"/>
    </row>
    <row r="750" spans="1:26" ht="19.5" hidden="1">
      <c r="A750" s="1332"/>
      <c r="B750" s="1333"/>
      <c r="C750" s="1320" t="s">
        <v>16</v>
      </c>
      <c r="D750" s="1454" t="s">
        <v>38</v>
      </c>
      <c r="E750" s="1356"/>
      <c r="F750" s="1356"/>
      <c r="G750" s="1357"/>
      <c r="H750" s="1113"/>
      <c r="I750" s="1000"/>
      <c r="J750" s="1000"/>
      <c r="K750" s="1001"/>
      <c r="L750" s="1001"/>
      <c r="M750" s="1001"/>
      <c r="N750" s="1001"/>
      <c r="O750" s="1001"/>
      <c r="P750" s="1001"/>
      <c r="Q750" s="1323"/>
      <c r="R750" s="1323"/>
      <c r="S750" s="1323"/>
      <c r="T750" s="1323"/>
      <c r="U750" s="1323"/>
      <c r="V750" s="1323"/>
      <c r="W750" s="1323"/>
      <c r="X750" s="1323"/>
      <c r="Y750" s="1323"/>
      <c r="Z750" s="1323"/>
    </row>
    <row r="751" spans="1:26" ht="18.75" hidden="1">
      <c r="A751" s="1354"/>
      <c r="B751" s="1324"/>
      <c r="C751" s="1320"/>
      <c r="D751" s="1320"/>
      <c r="E751" s="1320" t="s">
        <v>314</v>
      </c>
      <c r="F751" s="1320"/>
      <c r="G751" s="1322"/>
      <c r="H751" s="165" t="s">
        <v>46</v>
      </c>
      <c r="I751" s="886"/>
      <c r="J751" s="886"/>
      <c r="K751" s="887"/>
      <c r="L751" s="887"/>
      <c r="M751" s="887"/>
      <c r="N751" s="887"/>
      <c r="O751" s="887"/>
      <c r="P751" s="887"/>
      <c r="Q751" s="1323"/>
      <c r="R751" s="1323"/>
      <c r="S751" s="1323"/>
      <c r="T751" s="1323"/>
      <c r="U751" s="1323"/>
      <c r="V751" s="1323"/>
      <c r="W751" s="1323"/>
      <c r="X751" s="1323"/>
      <c r="Y751" s="1323"/>
      <c r="Z751" s="1323"/>
    </row>
    <row r="752" spans="1:26" ht="18.75" hidden="1">
      <c r="A752" s="1354"/>
      <c r="B752" s="1324"/>
      <c r="C752" s="1320"/>
      <c r="D752" s="1320"/>
      <c r="E752" s="1320"/>
      <c r="F752" s="1320"/>
      <c r="G752" s="1322"/>
      <c r="H752" s="165" t="s">
        <v>315</v>
      </c>
      <c r="I752" s="886"/>
      <c r="J752" s="886"/>
      <c r="K752" s="887"/>
      <c r="L752" s="887"/>
      <c r="M752" s="887"/>
      <c r="N752" s="887"/>
      <c r="O752" s="887"/>
      <c r="P752" s="887"/>
      <c r="Q752" s="1323"/>
      <c r="R752" s="1323"/>
      <c r="S752" s="1323"/>
      <c r="T752" s="1323"/>
      <c r="U752" s="1323"/>
      <c r="V752" s="1323"/>
      <c r="W752" s="1323"/>
      <c r="X752" s="1323"/>
      <c r="Y752" s="1323"/>
      <c r="Z752" s="1323"/>
    </row>
    <row r="753" spans="1:26" ht="19.5" hidden="1">
      <c r="A753" s="783">
        <v>10</v>
      </c>
      <c r="B753" s="1455" t="s">
        <v>316</v>
      </c>
      <c r="C753" s="1456"/>
      <c r="D753" s="1456"/>
      <c r="E753" s="1456"/>
      <c r="F753" s="1456"/>
      <c r="G753" s="1457"/>
      <c r="H753" s="787" t="s">
        <v>46</v>
      </c>
      <c r="I753" s="1458"/>
      <c r="J753" s="1458">
        <f>J768</f>
        <v>0</v>
      </c>
      <c r="K753" s="1459">
        <f>IF(I753&gt;0,J753*100/I753,0)</f>
        <v>0</v>
      </c>
      <c r="L753" s="1460"/>
      <c r="M753" s="1460"/>
      <c r="N753" s="1460"/>
      <c r="O753" s="1460"/>
      <c r="P753" s="1460"/>
      <c r="Q753" s="1323"/>
      <c r="R753" s="1323"/>
      <c r="S753" s="1323"/>
      <c r="T753" s="1323"/>
      <c r="U753" s="1323"/>
      <c r="V753" s="1323"/>
      <c r="W753" s="1323"/>
      <c r="X753" s="1323"/>
      <c r="Y753" s="1323"/>
      <c r="Z753" s="1323"/>
    </row>
    <row r="754" spans="1:26" ht="19.5" hidden="1">
      <c r="A754" s="1319"/>
      <c r="B754" s="1320"/>
      <c r="C754" s="1320" t="s">
        <v>16</v>
      </c>
      <c r="D754" s="1351" t="s">
        <v>17</v>
      </c>
      <c r="E754" s="841"/>
      <c r="F754" s="841"/>
      <c r="G754" s="1322"/>
      <c r="H754" s="644" t="s">
        <v>12</v>
      </c>
      <c r="I754" s="886"/>
      <c r="J754" s="886"/>
      <c r="K754" s="887"/>
      <c r="L754" s="1352">
        <f t="shared" ref="L754:N754" si="302">L755+L756</f>
        <v>0</v>
      </c>
      <c r="M754" s="1352">
        <f t="shared" si="302"/>
        <v>0</v>
      </c>
      <c r="N754" s="1352">
        <f t="shared" si="302"/>
        <v>0</v>
      </c>
      <c r="O754" s="1352">
        <f t="shared" ref="O754:O759" si="303">IF(L754&gt;0,N754*100/L754,0)</f>
        <v>0</v>
      </c>
      <c r="P754" s="1352">
        <f t="shared" ref="P754:P759" si="304">IF(M754&gt;0,N754*100/M754,0)</f>
        <v>0</v>
      </c>
      <c r="Q754" s="1323"/>
      <c r="R754" s="1323"/>
      <c r="S754" s="1323"/>
      <c r="T754" s="1323"/>
      <c r="U754" s="1323"/>
      <c r="V754" s="1323"/>
      <c r="W754" s="1323"/>
      <c r="X754" s="1323"/>
      <c r="Y754" s="1323"/>
      <c r="Z754" s="1323"/>
    </row>
    <row r="755" spans="1:26" ht="18.75" hidden="1">
      <c r="A755" s="1319"/>
      <c r="B755" s="1320"/>
      <c r="C755" s="1320"/>
      <c r="D755" s="1321"/>
      <c r="E755" s="1320" t="s">
        <v>185</v>
      </c>
      <c r="F755" s="1320"/>
      <c r="G755" s="1322"/>
      <c r="H755" s="165" t="s">
        <v>12</v>
      </c>
      <c r="I755" s="886"/>
      <c r="J755" s="886"/>
      <c r="K755" s="887"/>
      <c r="L755" s="887">
        <f t="shared" ref="L755:N756" si="305">L758+L765</f>
        <v>0</v>
      </c>
      <c r="M755" s="887">
        <f t="shared" si="305"/>
        <v>0</v>
      </c>
      <c r="N755" s="887">
        <f t="shared" si="305"/>
        <v>0</v>
      </c>
      <c r="O755" s="887">
        <f t="shared" si="303"/>
        <v>0</v>
      </c>
      <c r="P755" s="887">
        <f t="shared" si="304"/>
        <v>0</v>
      </c>
      <c r="Q755" s="1323"/>
      <c r="R755" s="1323"/>
      <c r="S755" s="1323"/>
      <c r="T755" s="1323"/>
      <c r="U755" s="1323"/>
      <c r="V755" s="1323"/>
      <c r="W755" s="1323"/>
      <c r="X755" s="1323"/>
      <c r="Y755" s="1323"/>
      <c r="Z755" s="1323"/>
    </row>
    <row r="756" spans="1:26" ht="18.75" hidden="1">
      <c r="A756" s="1319"/>
      <c r="B756" s="1324"/>
      <c r="C756" s="1320"/>
      <c r="D756" s="1321"/>
      <c r="E756" s="1320" t="s">
        <v>186</v>
      </c>
      <c r="F756" s="1320"/>
      <c r="G756" s="1322"/>
      <c r="H756" s="165" t="s">
        <v>12</v>
      </c>
      <c r="I756" s="886"/>
      <c r="J756" s="886"/>
      <c r="K756" s="887"/>
      <c r="L756" s="887">
        <f t="shared" si="305"/>
        <v>0</v>
      </c>
      <c r="M756" s="887">
        <f t="shared" si="305"/>
        <v>0</v>
      </c>
      <c r="N756" s="887">
        <f t="shared" si="305"/>
        <v>0</v>
      </c>
      <c r="O756" s="887">
        <f t="shared" si="303"/>
        <v>0</v>
      </c>
      <c r="P756" s="887">
        <f t="shared" si="304"/>
        <v>0</v>
      </c>
      <c r="Q756" s="1323"/>
      <c r="R756" s="1323"/>
      <c r="S756" s="1323"/>
      <c r="T756" s="1323"/>
      <c r="U756" s="1323"/>
      <c r="V756" s="1323"/>
      <c r="W756" s="1323"/>
      <c r="X756" s="1323"/>
      <c r="Y756" s="1323"/>
      <c r="Z756" s="1323"/>
    </row>
    <row r="757" spans="1:26" ht="19.5" hidden="1">
      <c r="A757" s="1319"/>
      <c r="B757" s="1324"/>
      <c r="C757" s="1320"/>
      <c r="D757" s="1453" t="s">
        <v>20</v>
      </c>
      <c r="E757" s="1320"/>
      <c r="F757" s="1320"/>
      <c r="G757" s="1322"/>
      <c r="H757" s="644" t="s">
        <v>12</v>
      </c>
      <c r="I757" s="1000"/>
      <c r="J757" s="1000"/>
      <c r="K757" s="1001"/>
      <c r="L757" s="1352">
        <f t="shared" ref="L757:N757" si="306">L758+L759</f>
        <v>0</v>
      </c>
      <c r="M757" s="1352">
        <f t="shared" si="306"/>
        <v>0</v>
      </c>
      <c r="N757" s="1352">
        <f t="shared" si="306"/>
        <v>0</v>
      </c>
      <c r="O757" s="1352">
        <f t="shared" si="303"/>
        <v>0</v>
      </c>
      <c r="P757" s="1352">
        <f t="shared" si="304"/>
        <v>0</v>
      </c>
      <c r="Q757" s="1323"/>
      <c r="R757" s="1323"/>
      <c r="S757" s="1323"/>
      <c r="T757" s="1323"/>
      <c r="U757" s="1323"/>
      <c r="V757" s="1323"/>
      <c r="W757" s="1323"/>
      <c r="X757" s="1323"/>
      <c r="Y757" s="1323"/>
      <c r="Z757" s="1323"/>
    </row>
    <row r="758" spans="1:26" ht="18.75" hidden="1">
      <c r="A758" s="1319"/>
      <c r="B758" s="1324"/>
      <c r="C758" s="1320"/>
      <c r="D758" s="1321"/>
      <c r="E758" s="1320" t="s">
        <v>185</v>
      </c>
      <c r="F758" s="1320"/>
      <c r="G758" s="1322"/>
      <c r="H758" s="165" t="s">
        <v>12</v>
      </c>
      <c r="I758" s="886"/>
      <c r="J758" s="886"/>
      <c r="K758" s="887"/>
      <c r="L758" s="887">
        <v>0</v>
      </c>
      <c r="M758" s="887">
        <v>0</v>
      </c>
      <c r="N758" s="887">
        <v>0</v>
      </c>
      <c r="O758" s="887">
        <f t="shared" si="303"/>
        <v>0</v>
      </c>
      <c r="P758" s="887">
        <f t="shared" si="304"/>
        <v>0</v>
      </c>
      <c r="Q758" s="1323"/>
      <c r="R758" s="1323"/>
      <c r="S758" s="1323"/>
      <c r="T758" s="1323"/>
      <c r="U758" s="1323"/>
      <c r="V758" s="1323"/>
      <c r="W758" s="1323"/>
      <c r="X758" s="1323"/>
      <c r="Y758" s="1323"/>
      <c r="Z758" s="1323"/>
    </row>
    <row r="759" spans="1:26" ht="18.75" hidden="1">
      <c r="A759" s="1319"/>
      <c r="B759" s="1324"/>
      <c r="C759" s="1320"/>
      <c r="D759" s="1321"/>
      <c r="E759" s="1320" t="s">
        <v>186</v>
      </c>
      <c r="F759" s="1320"/>
      <c r="G759" s="1322"/>
      <c r="H759" s="165" t="s">
        <v>12</v>
      </c>
      <c r="I759" s="886"/>
      <c r="J759" s="886"/>
      <c r="K759" s="887"/>
      <c r="L759" s="887">
        <v>0</v>
      </c>
      <c r="M759" s="887">
        <v>0</v>
      </c>
      <c r="N759" s="887">
        <f>N760+N761+N762+N763</f>
        <v>0</v>
      </c>
      <c r="O759" s="887">
        <f t="shared" si="303"/>
        <v>0</v>
      </c>
      <c r="P759" s="887">
        <f t="shared" si="304"/>
        <v>0</v>
      </c>
      <c r="Q759" s="1323"/>
      <c r="R759" s="1323"/>
      <c r="S759" s="1323"/>
      <c r="T759" s="1323"/>
      <c r="U759" s="1323"/>
      <c r="V759" s="1323"/>
      <c r="W759" s="1323"/>
      <c r="X759" s="1323"/>
      <c r="Y759" s="1323"/>
      <c r="Z759" s="1323"/>
    </row>
    <row r="760" spans="1:26" ht="18.75" hidden="1">
      <c r="A760" s="1354"/>
      <c r="B760" s="1324"/>
      <c r="C760" s="1320"/>
      <c r="D760" s="1320"/>
      <c r="E760" s="1320"/>
      <c r="F760" s="1320" t="s">
        <v>187</v>
      </c>
      <c r="G760" s="1322"/>
      <c r="H760" s="165" t="s">
        <v>12</v>
      </c>
      <c r="I760" s="886"/>
      <c r="J760" s="886"/>
      <c r="K760" s="887"/>
      <c r="L760" s="887"/>
      <c r="M760" s="887"/>
      <c r="N760" s="887"/>
      <c r="O760" s="887"/>
      <c r="P760" s="887"/>
      <c r="Q760" s="1323"/>
      <c r="R760" s="1323"/>
      <c r="S760" s="1323"/>
      <c r="T760" s="1323"/>
      <c r="U760" s="1323"/>
      <c r="V760" s="1323"/>
      <c r="W760" s="1323"/>
      <c r="X760" s="1323"/>
      <c r="Y760" s="1323"/>
      <c r="Z760" s="1323"/>
    </row>
    <row r="761" spans="1:26" ht="18.75" hidden="1">
      <c r="A761" s="1354"/>
      <c r="B761" s="1324"/>
      <c r="C761" s="1320"/>
      <c r="D761" s="1320"/>
      <c r="E761" s="1320"/>
      <c r="F761" s="1320" t="s">
        <v>188</v>
      </c>
      <c r="G761" s="1322"/>
      <c r="H761" s="165" t="s">
        <v>12</v>
      </c>
      <c r="I761" s="886"/>
      <c r="J761" s="886"/>
      <c r="K761" s="887"/>
      <c r="L761" s="887"/>
      <c r="M761" s="887"/>
      <c r="N761" s="887"/>
      <c r="O761" s="887"/>
      <c r="P761" s="887"/>
      <c r="Q761" s="1323"/>
      <c r="R761" s="1323"/>
      <c r="S761" s="1323"/>
      <c r="T761" s="1323"/>
      <c r="U761" s="1323"/>
      <c r="V761" s="1323"/>
      <c r="W761" s="1323"/>
      <c r="X761" s="1323"/>
      <c r="Y761" s="1323"/>
      <c r="Z761" s="1323"/>
    </row>
    <row r="762" spans="1:26" ht="18.75" hidden="1">
      <c r="A762" s="1354"/>
      <c r="B762" s="1324"/>
      <c r="C762" s="1320"/>
      <c r="D762" s="1320"/>
      <c r="E762" s="1320"/>
      <c r="F762" s="1320" t="s">
        <v>189</v>
      </c>
      <c r="G762" s="1322"/>
      <c r="H762" s="165" t="s">
        <v>12</v>
      </c>
      <c r="I762" s="886"/>
      <c r="J762" s="886"/>
      <c r="K762" s="887"/>
      <c r="L762" s="887"/>
      <c r="M762" s="887"/>
      <c r="N762" s="887"/>
      <c r="O762" s="887"/>
      <c r="P762" s="887"/>
      <c r="Q762" s="1323"/>
      <c r="R762" s="1323"/>
      <c r="S762" s="1323"/>
      <c r="T762" s="1323"/>
      <c r="U762" s="1323"/>
      <c r="V762" s="1323"/>
      <c r="W762" s="1323"/>
      <c r="X762" s="1323"/>
      <c r="Y762" s="1323"/>
      <c r="Z762" s="1323"/>
    </row>
    <row r="763" spans="1:26" ht="18.75" hidden="1">
      <c r="A763" s="1354"/>
      <c r="B763" s="1324"/>
      <c r="C763" s="1320"/>
      <c r="D763" s="1320"/>
      <c r="E763" s="1320"/>
      <c r="F763" s="1320" t="s">
        <v>190</v>
      </c>
      <c r="G763" s="1322"/>
      <c r="H763" s="165" t="s">
        <v>12</v>
      </c>
      <c r="I763" s="886"/>
      <c r="J763" s="886"/>
      <c r="K763" s="887"/>
      <c r="L763" s="887"/>
      <c r="M763" s="887"/>
      <c r="N763" s="887"/>
      <c r="O763" s="887"/>
      <c r="P763" s="887"/>
      <c r="Q763" s="1323"/>
      <c r="R763" s="1323"/>
      <c r="S763" s="1323"/>
      <c r="T763" s="1323"/>
      <c r="U763" s="1323"/>
      <c r="V763" s="1323"/>
      <c r="W763" s="1323"/>
      <c r="X763" s="1323"/>
      <c r="Y763" s="1323"/>
      <c r="Z763" s="1323"/>
    </row>
    <row r="764" spans="1:26" ht="19.5" hidden="1">
      <c r="A764" s="1319"/>
      <c r="B764" s="1324"/>
      <c r="C764" s="1320"/>
      <c r="D764" s="1453" t="s">
        <v>21</v>
      </c>
      <c r="E764" s="1320"/>
      <c r="F764" s="1320"/>
      <c r="G764" s="1322"/>
      <c r="H764" s="781" t="s">
        <v>12</v>
      </c>
      <c r="I764" s="1000"/>
      <c r="J764" s="1000"/>
      <c r="K764" s="1001"/>
      <c r="L764" s="1352">
        <f t="shared" ref="L764:N764" si="307">L765+L766</f>
        <v>0</v>
      </c>
      <c r="M764" s="1352">
        <f t="shared" si="307"/>
        <v>0</v>
      </c>
      <c r="N764" s="1352">
        <f t="shared" si="307"/>
        <v>0</v>
      </c>
      <c r="O764" s="1352">
        <f t="shared" ref="O764:O766" si="308">IF(L764&gt;0,N764*100/L764,0)</f>
        <v>0</v>
      </c>
      <c r="P764" s="1352">
        <f t="shared" ref="P764:P766" si="309">IF(M764&gt;0,N764*100/M764,0)</f>
        <v>0</v>
      </c>
      <c r="Q764" s="1323"/>
      <c r="R764" s="1323"/>
      <c r="S764" s="1323"/>
      <c r="T764" s="1323"/>
      <c r="U764" s="1323"/>
      <c r="V764" s="1323"/>
      <c r="W764" s="1323"/>
      <c r="X764" s="1323"/>
      <c r="Y764" s="1323"/>
      <c r="Z764" s="1323"/>
    </row>
    <row r="765" spans="1:26" ht="18.75" hidden="1">
      <c r="A765" s="1319"/>
      <c r="B765" s="1324"/>
      <c r="C765" s="1320"/>
      <c r="D765" s="1320"/>
      <c r="E765" s="1320" t="s">
        <v>18</v>
      </c>
      <c r="F765" s="1320"/>
      <c r="G765" s="1322"/>
      <c r="H765" s="165" t="s">
        <v>12</v>
      </c>
      <c r="I765" s="1000"/>
      <c r="J765" s="1000"/>
      <c r="K765" s="1001"/>
      <c r="L765" s="887">
        <v>0</v>
      </c>
      <c r="M765" s="887">
        <v>0</v>
      </c>
      <c r="N765" s="887">
        <v>0</v>
      </c>
      <c r="O765" s="887">
        <f t="shared" si="308"/>
        <v>0</v>
      </c>
      <c r="P765" s="887">
        <f t="shared" si="309"/>
        <v>0</v>
      </c>
      <c r="Q765" s="1323"/>
      <c r="R765" s="1323"/>
      <c r="S765" s="1323"/>
      <c r="T765" s="1323"/>
      <c r="U765" s="1323"/>
      <c r="V765" s="1323"/>
      <c r="W765" s="1323"/>
      <c r="X765" s="1323"/>
      <c r="Y765" s="1323"/>
      <c r="Z765" s="1323"/>
    </row>
    <row r="766" spans="1:26" ht="18.75" hidden="1">
      <c r="A766" s="1319"/>
      <c r="B766" s="1324"/>
      <c r="C766" s="1320"/>
      <c r="D766" s="1320"/>
      <c r="E766" s="1320" t="s">
        <v>19</v>
      </c>
      <c r="F766" s="1320"/>
      <c r="G766" s="1322"/>
      <c r="H766" s="169" t="s">
        <v>12</v>
      </c>
      <c r="I766" s="1000"/>
      <c r="J766" s="1000"/>
      <c r="K766" s="1001"/>
      <c r="L766" s="887">
        <v>0</v>
      </c>
      <c r="M766" s="887">
        <v>0</v>
      </c>
      <c r="N766" s="887">
        <v>0</v>
      </c>
      <c r="O766" s="887">
        <f t="shared" si="308"/>
        <v>0</v>
      </c>
      <c r="P766" s="887">
        <f t="shared" si="309"/>
        <v>0</v>
      </c>
      <c r="Q766" s="1323"/>
      <c r="R766" s="1323"/>
      <c r="S766" s="1323"/>
      <c r="T766" s="1323"/>
      <c r="U766" s="1323"/>
      <c r="V766" s="1323"/>
      <c r="W766" s="1323"/>
      <c r="X766" s="1323"/>
      <c r="Y766" s="1323"/>
      <c r="Z766" s="1323"/>
    </row>
    <row r="767" spans="1:26" ht="19.5" hidden="1">
      <c r="A767" s="1332"/>
      <c r="B767" s="1333"/>
      <c r="C767" s="1320" t="s">
        <v>16</v>
      </c>
      <c r="D767" s="1454" t="s">
        <v>38</v>
      </c>
      <c r="E767" s="1356"/>
      <c r="F767" s="1356"/>
      <c r="G767" s="1357"/>
      <c r="H767" s="1113"/>
      <c r="I767" s="1000"/>
      <c r="J767" s="1000"/>
      <c r="K767" s="1001"/>
      <c r="L767" s="1001"/>
      <c r="M767" s="1001"/>
      <c r="N767" s="1001"/>
      <c r="O767" s="1001"/>
      <c r="P767" s="1001"/>
      <c r="Q767" s="1323"/>
      <c r="R767" s="1323"/>
      <c r="S767" s="1323"/>
      <c r="T767" s="1323"/>
      <c r="U767" s="1323"/>
      <c r="V767" s="1323"/>
      <c r="W767" s="1323"/>
      <c r="X767" s="1323"/>
      <c r="Y767" s="1323"/>
      <c r="Z767" s="1323"/>
    </row>
    <row r="768" spans="1:26" ht="18.75" hidden="1">
      <c r="A768" s="1354"/>
      <c r="B768" s="1324"/>
      <c r="C768" s="1320"/>
      <c r="D768" s="1320"/>
      <c r="E768" s="1320" t="s">
        <v>317</v>
      </c>
      <c r="F768" s="1320"/>
      <c r="G768" s="1322"/>
      <c r="H768" s="165" t="s">
        <v>46</v>
      </c>
      <c r="I768" s="886"/>
      <c r="J768" s="886"/>
      <c r="K768" s="887"/>
      <c r="L768" s="887"/>
      <c r="M768" s="887"/>
      <c r="N768" s="887"/>
      <c r="O768" s="887"/>
      <c r="P768" s="887"/>
      <c r="Q768" s="1323"/>
      <c r="R768" s="1323"/>
      <c r="S768" s="1323"/>
      <c r="T768" s="1323"/>
      <c r="U768" s="1323"/>
      <c r="V768" s="1323"/>
      <c r="W768" s="1323"/>
      <c r="X768" s="1323"/>
      <c r="Y768" s="1323"/>
      <c r="Z768" s="1323"/>
    </row>
    <row r="769" spans="1:26" ht="19.5" hidden="1">
      <c r="A769" s="791">
        <v>11</v>
      </c>
      <c r="B769" s="1461" t="s">
        <v>318</v>
      </c>
      <c r="C769" s="1462"/>
      <c r="D769" s="1462"/>
      <c r="E769" s="1462"/>
      <c r="F769" s="1462"/>
      <c r="G769" s="1463"/>
      <c r="H769" s="795" t="s">
        <v>46</v>
      </c>
      <c r="I769" s="1464"/>
      <c r="J769" s="1464">
        <f>J784</f>
        <v>0</v>
      </c>
      <c r="K769" s="1465">
        <f>IF(I769&gt;0,J769*100/I769,0)</f>
        <v>0</v>
      </c>
      <c r="L769" s="1466"/>
      <c r="M769" s="1466"/>
      <c r="N769" s="1466"/>
      <c r="O769" s="1466"/>
      <c r="P769" s="1466"/>
      <c r="Q769" s="1323"/>
      <c r="R769" s="1323"/>
      <c r="S769" s="1323"/>
      <c r="T769" s="1323"/>
      <c r="U769" s="1323"/>
      <c r="V769" s="1323"/>
      <c r="W769" s="1323"/>
      <c r="X769" s="1323"/>
      <c r="Y769" s="1323"/>
      <c r="Z769" s="1323"/>
    </row>
    <row r="770" spans="1:26" ht="19.5" hidden="1">
      <c r="A770" s="1319"/>
      <c r="B770" s="1320"/>
      <c r="C770" s="1320" t="s">
        <v>16</v>
      </c>
      <c r="D770" s="1351" t="s">
        <v>17</v>
      </c>
      <c r="E770" s="841"/>
      <c r="F770" s="841"/>
      <c r="G770" s="1322"/>
      <c r="H770" s="644" t="s">
        <v>12</v>
      </c>
      <c r="I770" s="886"/>
      <c r="J770" s="886"/>
      <c r="K770" s="887"/>
      <c r="L770" s="1352">
        <f t="shared" ref="L770:N770" si="310">L771+L772</f>
        <v>0</v>
      </c>
      <c r="M770" s="1352">
        <f t="shared" si="310"/>
        <v>0</v>
      </c>
      <c r="N770" s="1352">
        <f t="shared" si="310"/>
        <v>0</v>
      </c>
      <c r="O770" s="1352">
        <f t="shared" ref="O770:O775" si="311">IF(L770&gt;0,N770*100/L770,0)</f>
        <v>0</v>
      </c>
      <c r="P770" s="1352">
        <f t="shared" ref="P770:P775" si="312">IF(M770&gt;0,N770*100/M770,0)</f>
        <v>0</v>
      </c>
      <c r="Q770" s="1323"/>
      <c r="R770" s="1323"/>
      <c r="S770" s="1323"/>
      <c r="T770" s="1323"/>
      <c r="U770" s="1323"/>
      <c r="V770" s="1323"/>
      <c r="W770" s="1323"/>
      <c r="X770" s="1323"/>
      <c r="Y770" s="1323"/>
      <c r="Z770" s="1323"/>
    </row>
    <row r="771" spans="1:26" ht="18.75" hidden="1">
      <c r="A771" s="1319"/>
      <c r="B771" s="1320"/>
      <c r="C771" s="1320"/>
      <c r="D771" s="1321"/>
      <c r="E771" s="1320" t="s">
        <v>185</v>
      </c>
      <c r="F771" s="1320"/>
      <c r="G771" s="1322"/>
      <c r="H771" s="165" t="s">
        <v>12</v>
      </c>
      <c r="I771" s="886"/>
      <c r="J771" s="886"/>
      <c r="K771" s="887"/>
      <c r="L771" s="887">
        <f t="shared" ref="L771:N772" si="313">L774+L781</f>
        <v>0</v>
      </c>
      <c r="M771" s="887">
        <f t="shared" si="313"/>
        <v>0</v>
      </c>
      <c r="N771" s="887">
        <f t="shared" si="313"/>
        <v>0</v>
      </c>
      <c r="O771" s="887">
        <f t="shared" si="311"/>
        <v>0</v>
      </c>
      <c r="P771" s="887">
        <f t="shared" si="312"/>
        <v>0</v>
      </c>
      <c r="Q771" s="1323"/>
      <c r="R771" s="1323"/>
      <c r="S771" s="1323"/>
      <c r="T771" s="1323"/>
      <c r="U771" s="1323"/>
      <c r="V771" s="1323"/>
      <c r="W771" s="1323"/>
      <c r="X771" s="1323"/>
      <c r="Y771" s="1323"/>
      <c r="Z771" s="1323"/>
    </row>
    <row r="772" spans="1:26" ht="18.75" hidden="1">
      <c r="A772" s="1319"/>
      <c r="B772" s="1324"/>
      <c r="C772" s="1320"/>
      <c r="D772" s="1321"/>
      <c r="E772" s="1320" t="s">
        <v>186</v>
      </c>
      <c r="F772" s="1320"/>
      <c r="G772" s="1322"/>
      <c r="H772" s="165" t="s">
        <v>12</v>
      </c>
      <c r="I772" s="886"/>
      <c r="J772" s="886"/>
      <c r="K772" s="887"/>
      <c r="L772" s="887">
        <f t="shared" si="313"/>
        <v>0</v>
      </c>
      <c r="M772" s="887">
        <f t="shared" si="313"/>
        <v>0</v>
      </c>
      <c r="N772" s="887">
        <f t="shared" si="313"/>
        <v>0</v>
      </c>
      <c r="O772" s="887">
        <f t="shared" si="311"/>
        <v>0</v>
      </c>
      <c r="P772" s="887">
        <f t="shared" si="312"/>
        <v>0</v>
      </c>
      <c r="Q772" s="1323"/>
      <c r="R772" s="1323"/>
      <c r="S772" s="1323"/>
      <c r="T772" s="1323"/>
      <c r="U772" s="1323"/>
      <c r="V772" s="1323"/>
      <c r="W772" s="1323"/>
      <c r="X772" s="1323"/>
      <c r="Y772" s="1323"/>
      <c r="Z772" s="1323"/>
    </row>
    <row r="773" spans="1:26" ht="19.5" hidden="1">
      <c r="A773" s="1319"/>
      <c r="B773" s="1324"/>
      <c r="C773" s="1320"/>
      <c r="D773" s="1453" t="s">
        <v>20</v>
      </c>
      <c r="E773" s="1320"/>
      <c r="F773" s="1320"/>
      <c r="G773" s="1322"/>
      <c r="H773" s="644" t="s">
        <v>12</v>
      </c>
      <c r="I773" s="1000"/>
      <c r="J773" s="1000"/>
      <c r="K773" s="1001"/>
      <c r="L773" s="1352">
        <f t="shared" ref="L773:N773" si="314">L774+L775</f>
        <v>0</v>
      </c>
      <c r="M773" s="1352">
        <f t="shared" si="314"/>
        <v>0</v>
      </c>
      <c r="N773" s="1352">
        <f t="shared" si="314"/>
        <v>0</v>
      </c>
      <c r="O773" s="1352">
        <f t="shared" si="311"/>
        <v>0</v>
      </c>
      <c r="P773" s="1352">
        <f t="shared" si="312"/>
        <v>0</v>
      </c>
      <c r="Q773" s="1323"/>
      <c r="R773" s="1323"/>
      <c r="S773" s="1323"/>
      <c r="T773" s="1323"/>
      <c r="U773" s="1323"/>
      <c r="V773" s="1323"/>
      <c r="W773" s="1323"/>
      <c r="X773" s="1323"/>
      <c r="Y773" s="1323"/>
      <c r="Z773" s="1323"/>
    </row>
    <row r="774" spans="1:26" ht="18.75" hidden="1">
      <c r="A774" s="1319"/>
      <c r="B774" s="1324"/>
      <c r="C774" s="1320"/>
      <c r="D774" s="1321"/>
      <c r="E774" s="1320" t="s">
        <v>185</v>
      </c>
      <c r="F774" s="1320"/>
      <c r="G774" s="1322"/>
      <c r="H774" s="165" t="s">
        <v>12</v>
      </c>
      <c r="I774" s="886"/>
      <c r="J774" s="886"/>
      <c r="K774" s="887"/>
      <c r="L774" s="887">
        <v>0</v>
      </c>
      <c r="M774" s="887">
        <v>0</v>
      </c>
      <c r="N774" s="887">
        <v>0</v>
      </c>
      <c r="O774" s="887">
        <f t="shared" si="311"/>
        <v>0</v>
      </c>
      <c r="P774" s="887">
        <f t="shared" si="312"/>
        <v>0</v>
      </c>
      <c r="Q774" s="1323"/>
      <c r="R774" s="1323"/>
      <c r="S774" s="1323"/>
      <c r="T774" s="1323"/>
      <c r="U774" s="1323"/>
      <c r="V774" s="1323"/>
      <c r="W774" s="1323"/>
      <c r="X774" s="1323"/>
      <c r="Y774" s="1323"/>
      <c r="Z774" s="1323"/>
    </row>
    <row r="775" spans="1:26" ht="18.75" hidden="1">
      <c r="A775" s="1319"/>
      <c r="B775" s="1324"/>
      <c r="C775" s="1320"/>
      <c r="D775" s="1321"/>
      <c r="E775" s="1320" t="s">
        <v>186</v>
      </c>
      <c r="F775" s="1320"/>
      <c r="G775" s="1322"/>
      <c r="H775" s="165" t="s">
        <v>12</v>
      </c>
      <c r="I775" s="886"/>
      <c r="J775" s="886"/>
      <c r="K775" s="887"/>
      <c r="L775" s="887">
        <v>0</v>
      </c>
      <c r="M775" s="887">
        <v>0</v>
      </c>
      <c r="N775" s="887">
        <f>N776+N777+N778+N779</f>
        <v>0</v>
      </c>
      <c r="O775" s="887">
        <f t="shared" si="311"/>
        <v>0</v>
      </c>
      <c r="P775" s="887">
        <f t="shared" si="312"/>
        <v>0</v>
      </c>
      <c r="Q775" s="1323"/>
      <c r="R775" s="1323"/>
      <c r="S775" s="1323"/>
      <c r="T775" s="1323"/>
      <c r="U775" s="1323"/>
      <c r="V775" s="1323"/>
      <c r="W775" s="1323"/>
      <c r="X775" s="1323"/>
      <c r="Y775" s="1323"/>
      <c r="Z775" s="1323"/>
    </row>
    <row r="776" spans="1:26" ht="18.75" hidden="1">
      <c r="A776" s="1354"/>
      <c r="B776" s="1324"/>
      <c r="C776" s="1320"/>
      <c r="D776" s="1320"/>
      <c r="E776" s="1320"/>
      <c r="F776" s="1320" t="s">
        <v>187</v>
      </c>
      <c r="G776" s="1322"/>
      <c r="H776" s="165" t="s">
        <v>12</v>
      </c>
      <c r="I776" s="886"/>
      <c r="J776" s="886"/>
      <c r="K776" s="887"/>
      <c r="L776" s="887"/>
      <c r="M776" s="887"/>
      <c r="N776" s="887"/>
      <c r="O776" s="887"/>
      <c r="P776" s="887"/>
      <c r="Q776" s="1323"/>
      <c r="R776" s="1323"/>
      <c r="S776" s="1323"/>
      <c r="T776" s="1323"/>
      <c r="U776" s="1323"/>
      <c r="V776" s="1323"/>
      <c r="W776" s="1323"/>
      <c r="X776" s="1323"/>
      <c r="Y776" s="1323"/>
      <c r="Z776" s="1323"/>
    </row>
    <row r="777" spans="1:26" ht="18.75" hidden="1">
      <c r="A777" s="1354"/>
      <c r="B777" s="1324"/>
      <c r="C777" s="1320"/>
      <c r="D777" s="1320"/>
      <c r="E777" s="1320"/>
      <c r="F777" s="1320" t="s">
        <v>188</v>
      </c>
      <c r="G777" s="1322"/>
      <c r="H777" s="165" t="s">
        <v>12</v>
      </c>
      <c r="I777" s="886"/>
      <c r="J777" s="886"/>
      <c r="K777" s="887"/>
      <c r="L777" s="887"/>
      <c r="M777" s="887"/>
      <c r="N777" s="887"/>
      <c r="O777" s="887"/>
      <c r="P777" s="887"/>
      <c r="Q777" s="1323"/>
      <c r="R777" s="1323"/>
      <c r="S777" s="1323"/>
      <c r="T777" s="1323"/>
      <c r="U777" s="1323"/>
      <c r="V777" s="1323"/>
      <c r="W777" s="1323"/>
      <c r="X777" s="1323"/>
      <c r="Y777" s="1323"/>
      <c r="Z777" s="1323"/>
    </row>
    <row r="778" spans="1:26" ht="18.75" hidden="1">
      <c r="A778" s="1354"/>
      <c r="B778" s="1324"/>
      <c r="C778" s="1320"/>
      <c r="D778" s="1320"/>
      <c r="E778" s="1320"/>
      <c r="F778" s="1320" t="s">
        <v>189</v>
      </c>
      <c r="G778" s="1322"/>
      <c r="H778" s="165" t="s">
        <v>12</v>
      </c>
      <c r="I778" s="886"/>
      <c r="J778" s="886"/>
      <c r="K778" s="887"/>
      <c r="L778" s="887"/>
      <c r="M778" s="887"/>
      <c r="N778" s="887"/>
      <c r="O778" s="887"/>
      <c r="P778" s="887"/>
      <c r="Q778" s="1323"/>
      <c r="R778" s="1323"/>
      <c r="S778" s="1323"/>
      <c r="T778" s="1323"/>
      <c r="U778" s="1323"/>
      <c r="V778" s="1323"/>
      <c r="W778" s="1323"/>
      <c r="X778" s="1323"/>
      <c r="Y778" s="1323"/>
      <c r="Z778" s="1323"/>
    </row>
    <row r="779" spans="1:26" ht="18.75" hidden="1">
      <c r="A779" s="1354"/>
      <c r="B779" s="1324"/>
      <c r="C779" s="1320"/>
      <c r="D779" s="1320"/>
      <c r="E779" s="1320"/>
      <c r="F779" s="1320" t="s">
        <v>190</v>
      </c>
      <c r="G779" s="1322"/>
      <c r="H779" s="165" t="s">
        <v>12</v>
      </c>
      <c r="I779" s="886"/>
      <c r="J779" s="886"/>
      <c r="K779" s="887"/>
      <c r="L779" s="887"/>
      <c r="M779" s="887"/>
      <c r="N779" s="887"/>
      <c r="O779" s="887"/>
      <c r="P779" s="887"/>
      <c r="Q779" s="1323"/>
      <c r="R779" s="1323"/>
      <c r="S779" s="1323"/>
      <c r="T779" s="1323"/>
      <c r="U779" s="1323"/>
      <c r="V779" s="1323"/>
      <c r="W779" s="1323"/>
      <c r="X779" s="1323"/>
      <c r="Y779" s="1323"/>
      <c r="Z779" s="1323"/>
    </row>
    <row r="780" spans="1:26" ht="19.5" hidden="1">
      <c r="A780" s="1319"/>
      <c r="B780" s="1324"/>
      <c r="C780" s="1320"/>
      <c r="D780" s="1453" t="s">
        <v>21</v>
      </c>
      <c r="E780" s="1320"/>
      <c r="F780" s="1320"/>
      <c r="G780" s="1322"/>
      <c r="H780" s="781" t="s">
        <v>12</v>
      </c>
      <c r="I780" s="1000"/>
      <c r="J780" s="1000"/>
      <c r="K780" s="1001"/>
      <c r="L780" s="1352">
        <f t="shared" ref="L780:N780" si="315">L781+L782</f>
        <v>0</v>
      </c>
      <c r="M780" s="1352">
        <f t="shared" si="315"/>
        <v>0</v>
      </c>
      <c r="N780" s="1352">
        <f t="shared" si="315"/>
        <v>0</v>
      </c>
      <c r="O780" s="1352">
        <f t="shared" ref="O780:O782" si="316">IF(L780&gt;0,N780*100/L780,0)</f>
        <v>0</v>
      </c>
      <c r="P780" s="1352">
        <f t="shared" ref="P780:P782" si="317">IF(M780&gt;0,N780*100/M780,0)</f>
        <v>0</v>
      </c>
      <c r="Q780" s="1323"/>
      <c r="R780" s="1323"/>
      <c r="S780" s="1323"/>
      <c r="T780" s="1323"/>
      <c r="U780" s="1323"/>
      <c r="V780" s="1323"/>
      <c r="W780" s="1323"/>
      <c r="X780" s="1323"/>
      <c r="Y780" s="1323"/>
      <c r="Z780" s="1323"/>
    </row>
    <row r="781" spans="1:26" ht="18.75" hidden="1">
      <c r="A781" s="1319"/>
      <c r="B781" s="1324"/>
      <c r="C781" s="1320"/>
      <c r="D781" s="1320"/>
      <c r="E781" s="1320" t="s">
        <v>18</v>
      </c>
      <c r="F781" s="1320"/>
      <c r="G781" s="1322"/>
      <c r="H781" s="165" t="s">
        <v>12</v>
      </c>
      <c r="I781" s="1000"/>
      <c r="J781" s="1000"/>
      <c r="K781" s="1001"/>
      <c r="L781" s="887">
        <v>0</v>
      </c>
      <c r="M781" s="887">
        <v>0</v>
      </c>
      <c r="N781" s="887">
        <v>0</v>
      </c>
      <c r="O781" s="887">
        <f t="shared" si="316"/>
        <v>0</v>
      </c>
      <c r="P781" s="887">
        <f t="shared" si="317"/>
        <v>0</v>
      </c>
      <c r="Q781" s="1323"/>
      <c r="R781" s="1323"/>
      <c r="S781" s="1323"/>
      <c r="T781" s="1323"/>
      <c r="U781" s="1323"/>
      <c r="V781" s="1323"/>
      <c r="W781" s="1323"/>
      <c r="X781" s="1323"/>
      <c r="Y781" s="1323"/>
      <c r="Z781" s="1323"/>
    </row>
    <row r="782" spans="1:26" ht="18.75" hidden="1">
      <c r="A782" s="1319"/>
      <c r="B782" s="1324"/>
      <c r="C782" s="1320"/>
      <c r="D782" s="1320"/>
      <c r="E782" s="1320" t="s">
        <v>19</v>
      </c>
      <c r="F782" s="1320"/>
      <c r="G782" s="1322"/>
      <c r="H782" s="169" t="s">
        <v>12</v>
      </c>
      <c r="I782" s="1000"/>
      <c r="J782" s="1000"/>
      <c r="K782" s="1001"/>
      <c r="L782" s="887">
        <v>0</v>
      </c>
      <c r="M782" s="887">
        <v>0</v>
      </c>
      <c r="N782" s="887">
        <v>0</v>
      </c>
      <c r="O782" s="887">
        <f t="shared" si="316"/>
        <v>0</v>
      </c>
      <c r="P782" s="887">
        <f t="shared" si="317"/>
        <v>0</v>
      </c>
      <c r="Q782" s="1323"/>
      <c r="R782" s="1323"/>
      <c r="S782" s="1323"/>
      <c r="T782" s="1323"/>
      <c r="U782" s="1323"/>
      <c r="V782" s="1323"/>
      <c r="W782" s="1323"/>
      <c r="X782" s="1323"/>
      <c r="Y782" s="1323"/>
      <c r="Z782" s="1323"/>
    </row>
    <row r="783" spans="1:26" ht="19.5" hidden="1">
      <c r="A783" s="1332"/>
      <c r="B783" s="1333"/>
      <c r="C783" s="1320" t="s">
        <v>16</v>
      </c>
      <c r="D783" s="1454" t="s">
        <v>38</v>
      </c>
      <c r="E783" s="1356"/>
      <c r="F783" s="1356"/>
      <c r="G783" s="1357"/>
      <c r="H783" s="1467"/>
      <c r="I783" s="1000"/>
      <c r="J783" s="1000"/>
      <c r="K783" s="1001"/>
      <c r="L783" s="1001"/>
      <c r="M783" s="1001"/>
      <c r="N783" s="1001"/>
      <c r="O783" s="1001"/>
      <c r="P783" s="1001"/>
      <c r="Q783" s="1323"/>
      <c r="R783" s="1323"/>
      <c r="S783" s="1323"/>
      <c r="T783" s="1323"/>
      <c r="U783" s="1323"/>
      <c r="V783" s="1323"/>
      <c r="W783" s="1323"/>
      <c r="X783" s="1323"/>
      <c r="Y783" s="1323"/>
      <c r="Z783" s="1323"/>
    </row>
    <row r="784" spans="1:26" ht="18.75" hidden="1">
      <c r="A784" s="1354"/>
      <c r="B784" s="1324"/>
      <c r="C784" s="1320"/>
      <c r="D784" s="1320"/>
      <c r="E784" s="1320" t="s">
        <v>319</v>
      </c>
      <c r="F784" s="1320"/>
      <c r="G784" s="1322"/>
      <c r="H784" s="165" t="s">
        <v>46</v>
      </c>
      <c r="I784" s="886"/>
      <c r="J784" s="886"/>
      <c r="K784" s="887"/>
      <c r="L784" s="887"/>
      <c r="M784" s="887"/>
      <c r="N784" s="887"/>
      <c r="O784" s="887"/>
      <c r="P784" s="887"/>
      <c r="Q784" s="1323"/>
      <c r="R784" s="1323"/>
      <c r="S784" s="1323"/>
      <c r="T784" s="1323"/>
      <c r="U784" s="1323"/>
      <c r="V784" s="1323"/>
      <c r="W784" s="1323"/>
      <c r="X784" s="1323"/>
      <c r="Y784" s="1323"/>
      <c r="Z784" s="1323"/>
    </row>
    <row r="785" spans="1:26" ht="19.5" hidden="1">
      <c r="A785" s="800">
        <v>12</v>
      </c>
      <c r="B785" s="1468" t="s">
        <v>320</v>
      </c>
      <c r="C785" s="1469"/>
      <c r="D785" s="1469"/>
      <c r="E785" s="1469"/>
      <c r="F785" s="1469"/>
      <c r="G785" s="1470"/>
      <c r="H785" s="804" t="s">
        <v>46</v>
      </c>
      <c r="I785" s="1471">
        <f t="shared" ref="I785:J785" ca="1" si="318">I800</f>
        <v>0</v>
      </c>
      <c r="J785" s="1472">
        <f t="shared" ca="1" si="318"/>
        <v>0</v>
      </c>
      <c r="K785" s="1473">
        <f ca="1">IF(I785&gt;0,J785*100/I785,0)</f>
        <v>0</v>
      </c>
      <c r="L785" s="1474"/>
      <c r="M785" s="1474"/>
      <c r="N785" s="1474"/>
      <c r="O785" s="1474"/>
      <c r="P785" s="1474"/>
      <c r="Q785" s="1302"/>
      <c r="R785" s="1302"/>
      <c r="S785" s="1302"/>
      <c r="T785" s="1302"/>
      <c r="U785" s="1302"/>
      <c r="V785" s="1302"/>
      <c r="W785" s="1302"/>
      <c r="X785" s="1302"/>
      <c r="Y785" s="1302"/>
      <c r="Z785" s="1302"/>
    </row>
    <row r="786" spans="1:26" ht="19.5" hidden="1">
      <c r="A786" s="1317"/>
      <c r="B786" s="1300"/>
      <c r="C786" s="1301" t="s">
        <v>16</v>
      </c>
      <c r="D786" s="1318" t="s">
        <v>17</v>
      </c>
      <c r="E786" s="841"/>
      <c r="F786" s="841"/>
      <c r="G786" s="1016"/>
      <c r="H786" s="597" t="s">
        <v>12</v>
      </c>
      <c r="I786" s="880"/>
      <c r="J786" s="880"/>
      <c r="K786" s="881"/>
      <c r="L786" s="1020">
        <f t="shared" ref="L786:N786" ca="1" si="319">L787+L788</f>
        <v>0</v>
      </c>
      <c r="M786" s="1020">
        <f t="shared" si="319"/>
        <v>0</v>
      </c>
      <c r="N786" s="1020">
        <f t="shared" si="319"/>
        <v>0</v>
      </c>
      <c r="O786" s="1020">
        <f t="shared" ref="O786:O791" ca="1" si="320">IF(L786&gt;0,N786*100/L786,0)</f>
        <v>0</v>
      </c>
      <c r="P786" s="1020">
        <f t="shared" ref="P786:P791" si="321">IF(M786&gt;0,N786*100/M786,0)</f>
        <v>0</v>
      </c>
      <c r="Q786" s="1302"/>
      <c r="R786" s="1302"/>
      <c r="S786" s="1302"/>
      <c r="T786" s="1302"/>
      <c r="U786" s="1302"/>
      <c r="V786" s="1302"/>
      <c r="W786" s="1302"/>
      <c r="X786" s="1302"/>
      <c r="Y786" s="1302"/>
      <c r="Z786" s="1302"/>
    </row>
    <row r="787" spans="1:26" ht="18.75" hidden="1">
      <c r="A787" s="1319"/>
      <c r="B787" s="1324"/>
      <c r="C787" s="1320"/>
      <c r="D787" s="1321"/>
      <c r="E787" s="1320" t="s">
        <v>185</v>
      </c>
      <c r="F787" s="1320"/>
      <c r="G787" s="1322"/>
      <c r="H787" s="165" t="s">
        <v>12</v>
      </c>
      <c r="I787" s="886"/>
      <c r="J787" s="886"/>
      <c r="K787" s="887"/>
      <c r="L787" s="887">
        <f t="shared" ref="L787:N788" si="322">L790+L797</f>
        <v>0</v>
      </c>
      <c r="M787" s="887">
        <f t="shared" si="322"/>
        <v>0</v>
      </c>
      <c r="N787" s="887">
        <f t="shared" si="322"/>
        <v>0</v>
      </c>
      <c r="O787" s="887">
        <f t="shared" si="320"/>
        <v>0</v>
      </c>
      <c r="P787" s="887">
        <f t="shared" si="321"/>
        <v>0</v>
      </c>
      <c r="Q787" s="1323"/>
      <c r="R787" s="1323"/>
      <c r="S787" s="1323"/>
      <c r="T787" s="1323"/>
      <c r="U787" s="1323"/>
      <c r="V787" s="1323"/>
      <c r="W787" s="1323"/>
      <c r="X787" s="1323"/>
      <c r="Y787" s="1323"/>
      <c r="Z787" s="1323"/>
    </row>
    <row r="788" spans="1:26" ht="18.75" hidden="1">
      <c r="A788" s="1319"/>
      <c r="B788" s="1324"/>
      <c r="C788" s="1324"/>
      <c r="D788" s="1333"/>
      <c r="E788" s="1320" t="s">
        <v>186</v>
      </c>
      <c r="F788" s="1320"/>
      <c r="G788" s="1322"/>
      <c r="H788" s="165" t="s">
        <v>12</v>
      </c>
      <c r="I788" s="886"/>
      <c r="J788" s="886"/>
      <c r="K788" s="887"/>
      <c r="L788" s="887">
        <f t="shared" ca="1" si="322"/>
        <v>0</v>
      </c>
      <c r="M788" s="887">
        <f t="shared" si="322"/>
        <v>0</v>
      </c>
      <c r="N788" s="887">
        <f t="shared" si="322"/>
        <v>0</v>
      </c>
      <c r="O788" s="887">
        <f t="shared" ca="1" si="320"/>
        <v>0</v>
      </c>
      <c r="P788" s="887">
        <f t="shared" si="321"/>
        <v>0</v>
      </c>
      <c r="Q788" s="1323"/>
      <c r="R788" s="1323"/>
      <c r="S788" s="1323"/>
      <c r="T788" s="1323"/>
      <c r="U788" s="1323"/>
      <c r="V788" s="1323"/>
      <c r="W788" s="1323"/>
      <c r="X788" s="1323"/>
      <c r="Y788" s="1323"/>
      <c r="Z788" s="1323"/>
    </row>
    <row r="789" spans="1:26" ht="18.75" hidden="1">
      <c r="A789" s="1317"/>
      <c r="B789" s="1300"/>
      <c r="C789" s="1300"/>
      <c r="D789" s="1325" t="s">
        <v>20</v>
      </c>
      <c r="E789" s="1301"/>
      <c r="F789" s="1301"/>
      <c r="G789" s="1016"/>
      <c r="H789" s="161" t="s">
        <v>12</v>
      </c>
      <c r="I789" s="997"/>
      <c r="J789" s="997"/>
      <c r="K789" s="998"/>
      <c r="L789" s="881">
        <f t="shared" ref="L789:N789" ca="1" si="323">L790+L791</f>
        <v>0</v>
      </c>
      <c r="M789" s="881">
        <f t="shared" si="323"/>
        <v>0</v>
      </c>
      <c r="N789" s="881">
        <f t="shared" si="323"/>
        <v>0</v>
      </c>
      <c r="O789" s="881">
        <f t="shared" ca="1" si="320"/>
        <v>0</v>
      </c>
      <c r="P789" s="881">
        <f t="shared" si="321"/>
        <v>0</v>
      </c>
      <c r="Q789" s="1302"/>
      <c r="R789" s="1302"/>
      <c r="S789" s="1302"/>
      <c r="T789" s="1302"/>
      <c r="U789" s="1302"/>
      <c r="V789" s="1302"/>
      <c r="W789" s="1302"/>
      <c r="X789" s="1302"/>
      <c r="Y789" s="1302"/>
      <c r="Z789" s="1302"/>
    </row>
    <row r="790" spans="1:26" ht="18.75" hidden="1">
      <c r="A790" s="1319"/>
      <c r="B790" s="1324"/>
      <c r="C790" s="1324"/>
      <c r="D790" s="1333"/>
      <c r="E790" s="1320" t="s">
        <v>185</v>
      </c>
      <c r="F790" s="1320"/>
      <c r="G790" s="1322"/>
      <c r="H790" s="165" t="s">
        <v>12</v>
      </c>
      <c r="I790" s="886"/>
      <c r="J790" s="886"/>
      <c r="K790" s="887"/>
      <c r="L790" s="887">
        <v>0</v>
      </c>
      <c r="M790" s="887">
        <v>0</v>
      </c>
      <c r="N790" s="887">
        <v>0</v>
      </c>
      <c r="O790" s="887">
        <f t="shared" si="320"/>
        <v>0</v>
      </c>
      <c r="P790" s="887">
        <f t="shared" si="321"/>
        <v>0</v>
      </c>
      <c r="Q790" s="1323"/>
      <c r="R790" s="1323"/>
      <c r="S790" s="1323"/>
      <c r="T790" s="1323"/>
      <c r="U790" s="1323"/>
      <c r="V790" s="1323"/>
      <c r="W790" s="1323"/>
      <c r="X790" s="1323"/>
      <c r="Y790" s="1323"/>
      <c r="Z790" s="1323"/>
    </row>
    <row r="791" spans="1:26" ht="18.75" hidden="1">
      <c r="A791" s="1319"/>
      <c r="B791" s="1324"/>
      <c r="C791" s="1324"/>
      <c r="D791" s="1333"/>
      <c r="E791" s="1320" t="s">
        <v>186</v>
      </c>
      <c r="F791" s="1320"/>
      <c r="G791" s="1322"/>
      <c r="H791" s="165" t="s">
        <v>12</v>
      </c>
      <c r="I791" s="886"/>
      <c r="J791" s="886"/>
      <c r="K791" s="887"/>
      <c r="L791" s="887">
        <f ca="1">IFERROR(__xludf.DUMMYFUNCTION("IMPORTRANGE(""https://docs.google.com/spreadsheets/d/1QqKyyYR6Q21VydFLVH3TRQUabQu_ym0Zz7PgGX0-kHA/edit?usp=sharing"",""แผน!JJ81"")"),0)</f>
        <v>0</v>
      </c>
      <c r="M791" s="887">
        <v>0</v>
      </c>
      <c r="N791" s="887">
        <f>N792+N793+N794+N795</f>
        <v>0</v>
      </c>
      <c r="O791" s="887">
        <f t="shared" ca="1" si="320"/>
        <v>0</v>
      </c>
      <c r="P791" s="887">
        <f t="shared" si="321"/>
        <v>0</v>
      </c>
      <c r="Q791" s="1323"/>
      <c r="R791" s="1323"/>
      <c r="S791" s="1323"/>
      <c r="T791" s="1323"/>
      <c r="U791" s="1323"/>
      <c r="V791" s="1323"/>
      <c r="W791" s="1323"/>
      <c r="X791" s="1323"/>
      <c r="Y791" s="1323"/>
      <c r="Z791" s="1323"/>
    </row>
    <row r="792" spans="1:26" ht="18.75" hidden="1">
      <c r="A792" s="1299"/>
      <c r="B792" s="1300"/>
      <c r="C792" s="1301"/>
      <c r="D792" s="1301"/>
      <c r="E792" s="1301"/>
      <c r="F792" s="1301" t="s">
        <v>187</v>
      </c>
      <c r="G792" s="1016"/>
      <c r="H792" s="161" t="s">
        <v>12</v>
      </c>
      <c r="I792" s="880"/>
      <c r="J792" s="880"/>
      <c r="K792" s="881"/>
      <c r="L792" s="881"/>
      <c r="M792" s="881"/>
      <c r="N792" s="1085">
        <v>0</v>
      </c>
      <c r="O792" s="881"/>
      <c r="P792" s="881"/>
      <c r="Q792" s="1302"/>
      <c r="R792" s="1302"/>
      <c r="S792" s="1302"/>
      <c r="T792" s="1302"/>
      <c r="U792" s="1302"/>
      <c r="V792" s="1302"/>
      <c r="W792" s="1302"/>
      <c r="X792" s="1302"/>
      <c r="Y792" s="1302"/>
      <c r="Z792" s="1302"/>
    </row>
    <row r="793" spans="1:26" ht="18.75" hidden="1">
      <c r="A793" s="1299"/>
      <c r="B793" s="1300"/>
      <c r="C793" s="1301"/>
      <c r="D793" s="1301"/>
      <c r="E793" s="1301"/>
      <c r="F793" s="1301" t="s">
        <v>188</v>
      </c>
      <c r="G793" s="1016"/>
      <c r="H793" s="161" t="s">
        <v>12</v>
      </c>
      <c r="I793" s="880"/>
      <c r="J793" s="880"/>
      <c r="K793" s="881"/>
      <c r="L793" s="881"/>
      <c r="M793" s="881"/>
      <c r="N793" s="1085">
        <v>0</v>
      </c>
      <c r="O793" s="881"/>
      <c r="P793" s="881"/>
      <c r="Q793" s="1302"/>
      <c r="R793" s="1302"/>
      <c r="S793" s="1302"/>
      <c r="T793" s="1302"/>
      <c r="U793" s="1302"/>
      <c r="V793" s="1302"/>
      <c r="W793" s="1302"/>
      <c r="X793" s="1302"/>
      <c r="Y793" s="1302"/>
      <c r="Z793" s="1302"/>
    </row>
    <row r="794" spans="1:26" ht="18.75" hidden="1">
      <c r="A794" s="1299"/>
      <c r="B794" s="1300"/>
      <c r="C794" s="1301"/>
      <c r="D794" s="1301"/>
      <c r="E794" s="1301"/>
      <c r="F794" s="1301" t="s">
        <v>189</v>
      </c>
      <c r="G794" s="1016"/>
      <c r="H794" s="161" t="s">
        <v>12</v>
      </c>
      <c r="I794" s="880"/>
      <c r="J794" s="880"/>
      <c r="K794" s="881"/>
      <c r="L794" s="881"/>
      <c r="M794" s="881"/>
      <c r="N794" s="1085">
        <v>0</v>
      </c>
      <c r="O794" s="881"/>
      <c r="P794" s="881"/>
      <c r="Q794" s="1302"/>
      <c r="R794" s="1302"/>
      <c r="S794" s="1302"/>
      <c r="T794" s="1302"/>
      <c r="U794" s="1302"/>
      <c r="V794" s="1302"/>
      <c r="W794" s="1302"/>
      <c r="X794" s="1302"/>
      <c r="Y794" s="1302"/>
      <c r="Z794" s="1302"/>
    </row>
    <row r="795" spans="1:26" ht="18.75" hidden="1">
      <c r="A795" s="1299"/>
      <c r="B795" s="1300"/>
      <c r="C795" s="1301"/>
      <c r="D795" s="1301"/>
      <c r="E795" s="1301"/>
      <c r="F795" s="1301" t="s">
        <v>190</v>
      </c>
      <c r="G795" s="1016"/>
      <c r="H795" s="161" t="s">
        <v>12</v>
      </c>
      <c r="I795" s="880"/>
      <c r="J795" s="880"/>
      <c r="K795" s="881"/>
      <c r="L795" s="881"/>
      <c r="M795" s="881"/>
      <c r="N795" s="1085">
        <v>0</v>
      </c>
      <c r="O795" s="881"/>
      <c r="P795" s="881"/>
      <c r="Q795" s="1302"/>
      <c r="R795" s="1302"/>
      <c r="S795" s="1302"/>
      <c r="T795" s="1302"/>
      <c r="U795" s="1302"/>
      <c r="V795" s="1302"/>
      <c r="W795" s="1302"/>
      <c r="X795" s="1302"/>
      <c r="Y795" s="1302"/>
      <c r="Z795" s="1302"/>
    </row>
    <row r="796" spans="1:26" ht="18.75" hidden="1">
      <c r="A796" s="1317"/>
      <c r="B796" s="1300"/>
      <c r="C796" s="1301"/>
      <c r="D796" s="1325" t="s">
        <v>21</v>
      </c>
      <c r="E796" s="1301"/>
      <c r="F796" s="1301"/>
      <c r="G796" s="1016"/>
      <c r="H796" s="168" t="s">
        <v>12</v>
      </c>
      <c r="I796" s="997"/>
      <c r="J796" s="997"/>
      <c r="K796" s="998"/>
      <c r="L796" s="881">
        <f t="shared" ref="L796:N796" si="324">L797+L798</f>
        <v>0</v>
      </c>
      <c r="M796" s="881">
        <f t="shared" si="324"/>
        <v>0</v>
      </c>
      <c r="N796" s="881">
        <f t="shared" si="324"/>
        <v>0</v>
      </c>
      <c r="O796" s="881">
        <f t="shared" ref="O796:O798" si="325">IF(L796&gt;0,N796*100/L796,0)</f>
        <v>0</v>
      </c>
      <c r="P796" s="881">
        <f t="shared" ref="P796:P798" si="326">IF(M796&gt;0,N796*100/M796,0)</f>
        <v>0</v>
      </c>
      <c r="Q796" s="1302"/>
      <c r="R796" s="1302"/>
      <c r="S796" s="1302"/>
      <c r="T796" s="1302"/>
      <c r="U796" s="1302"/>
      <c r="V796" s="1302"/>
      <c r="W796" s="1302"/>
      <c r="X796" s="1302"/>
      <c r="Y796" s="1302"/>
      <c r="Z796" s="1302"/>
    </row>
    <row r="797" spans="1:26" ht="18.75" hidden="1">
      <c r="A797" s="1319"/>
      <c r="B797" s="1324"/>
      <c r="C797" s="1320"/>
      <c r="D797" s="1320"/>
      <c r="E797" s="1320" t="s">
        <v>18</v>
      </c>
      <c r="F797" s="1320"/>
      <c r="G797" s="1322"/>
      <c r="H797" s="165" t="s">
        <v>12</v>
      </c>
      <c r="I797" s="1000"/>
      <c r="J797" s="1000"/>
      <c r="K797" s="1001"/>
      <c r="L797" s="887">
        <v>0</v>
      </c>
      <c r="M797" s="887">
        <v>0</v>
      </c>
      <c r="N797" s="887">
        <v>0</v>
      </c>
      <c r="O797" s="887">
        <f t="shared" si="325"/>
        <v>0</v>
      </c>
      <c r="P797" s="887">
        <f t="shared" si="326"/>
        <v>0</v>
      </c>
      <c r="Q797" s="1323"/>
      <c r="R797" s="1323"/>
      <c r="S797" s="1323"/>
      <c r="T797" s="1323"/>
      <c r="U797" s="1323"/>
      <c r="V797" s="1323"/>
      <c r="W797" s="1323"/>
      <c r="X797" s="1323"/>
      <c r="Y797" s="1323"/>
      <c r="Z797" s="1323"/>
    </row>
    <row r="798" spans="1:26" ht="18.75" hidden="1">
      <c r="A798" s="1319"/>
      <c r="B798" s="1324"/>
      <c r="C798" s="1320"/>
      <c r="D798" s="1320"/>
      <c r="E798" s="1320" t="s">
        <v>19</v>
      </c>
      <c r="F798" s="1320"/>
      <c r="G798" s="1322"/>
      <c r="H798" s="169" t="s">
        <v>12</v>
      </c>
      <c r="I798" s="1000"/>
      <c r="J798" s="1000"/>
      <c r="K798" s="1001"/>
      <c r="L798" s="887">
        <v>0</v>
      </c>
      <c r="M798" s="887">
        <v>0</v>
      </c>
      <c r="N798" s="887">
        <v>0</v>
      </c>
      <c r="O798" s="887">
        <f t="shared" si="325"/>
        <v>0</v>
      </c>
      <c r="P798" s="887">
        <f t="shared" si="326"/>
        <v>0</v>
      </c>
      <c r="Q798" s="1323"/>
      <c r="R798" s="1323"/>
      <c r="S798" s="1323"/>
      <c r="T798" s="1323"/>
      <c r="U798" s="1323"/>
      <c r="V798" s="1323"/>
      <c r="W798" s="1323"/>
      <c r="X798" s="1323"/>
      <c r="Y798" s="1323"/>
      <c r="Z798" s="1323"/>
    </row>
    <row r="799" spans="1:26" ht="19.5" hidden="1">
      <c r="A799" s="1326"/>
      <c r="B799" s="1327"/>
      <c r="C799" s="1301" t="s">
        <v>16</v>
      </c>
      <c r="D799" s="1439" t="s">
        <v>38</v>
      </c>
      <c r="E799" s="1330"/>
      <c r="F799" s="1330"/>
      <c r="G799" s="1331"/>
      <c r="H799" s="1475"/>
      <c r="I799" s="997"/>
      <c r="J799" s="997"/>
      <c r="K799" s="998"/>
      <c r="L799" s="998"/>
      <c r="M799" s="998"/>
      <c r="N799" s="998"/>
      <c r="O799" s="998"/>
      <c r="P799" s="998"/>
      <c r="Q799" s="1302"/>
      <c r="R799" s="1302"/>
      <c r="S799" s="1302"/>
      <c r="T799" s="1302"/>
      <c r="U799" s="1302"/>
      <c r="V799" s="1302"/>
      <c r="W799" s="1302"/>
      <c r="X799" s="1302"/>
      <c r="Y799" s="1302"/>
      <c r="Z799" s="1302"/>
    </row>
    <row r="800" spans="1:26" ht="18.75" hidden="1">
      <c r="A800" s="1326"/>
      <c r="B800" s="1327"/>
      <c r="C800" s="1327"/>
      <c r="D800" s="1327"/>
      <c r="E800" s="1014"/>
      <c r="F800" s="1014" t="s">
        <v>321</v>
      </c>
      <c r="G800" s="1007"/>
      <c r="H800" s="185" t="s">
        <v>46</v>
      </c>
      <c r="I800" s="997">
        <f ca="1">IFERROR(__xludf.DUMMYFUNCTION("IMPORTRANGE(""https://docs.google.com/spreadsheets/d/1QqKyyYR6Q21VydFLVH3TRQUabQu_ym0Zz7PgGX0-kHA/edit?usp=sharing"",""แผน!JN81"")"),0)</f>
        <v>0</v>
      </c>
      <c r="J800" s="997">
        <f ca="1">IFERROR(__xludf.DUMMYFUNCTION("IMPORTRANGE(""https://docs.google.com/spreadsheets/d/1MaWodYyGHDf7siQLGxnXhG4mBNTNIuy296niS2xXulU/edit?usp=sharing"",""RTK!H81"")"),0)</f>
        <v>0</v>
      </c>
      <c r="K800" s="881">
        <f ca="1">IF(I800&gt;0,J800*100/I800,0)</f>
        <v>0</v>
      </c>
      <c r="L800" s="881"/>
      <c r="M800" s="881"/>
      <c r="N800" s="881"/>
      <c r="O800" s="998"/>
      <c r="P800" s="998"/>
      <c r="Q800" s="1302"/>
      <c r="R800" s="1302"/>
      <c r="S800" s="1302"/>
      <c r="T800" s="1302"/>
      <c r="U800" s="1302"/>
      <c r="V800" s="1302"/>
      <c r="W800" s="1302"/>
      <c r="X800" s="1302"/>
      <c r="Y800" s="1302"/>
      <c r="Z800" s="1302"/>
    </row>
    <row r="801" spans="1:26" ht="18.75" hidden="1">
      <c r="A801" s="1326"/>
      <c r="B801" s="1327"/>
      <c r="C801" s="1327"/>
      <c r="D801" s="1327"/>
      <c r="E801" s="1014"/>
      <c r="F801" s="1014"/>
      <c r="G801" s="1007"/>
      <c r="H801" s="161" t="s">
        <v>34</v>
      </c>
      <c r="I801" s="997"/>
      <c r="J801" s="880">
        <f ca="1">IFERROR(__xludf.DUMMYFUNCTION("IMPORTRANGE(""https://docs.google.com/spreadsheets/d/1MaWodYyGHDf7siQLGxnXhG4mBNTNIuy296niS2xXulU/edit?usp=sharing"",""RTK!I81"")"),0)</f>
        <v>0</v>
      </c>
      <c r="K801" s="881"/>
      <c r="L801" s="881"/>
      <c r="M801" s="881"/>
      <c r="N801" s="881"/>
      <c r="O801" s="998"/>
      <c r="P801" s="998"/>
      <c r="Q801" s="1302"/>
      <c r="R801" s="1302"/>
      <c r="S801" s="1302"/>
      <c r="T801" s="1302"/>
      <c r="U801" s="1302"/>
      <c r="V801" s="1302"/>
      <c r="W801" s="1302"/>
      <c r="X801" s="1302"/>
      <c r="Y801" s="1302"/>
      <c r="Z801" s="1302"/>
    </row>
    <row r="802" spans="1:26" ht="18.75" hidden="1">
      <c r="A802" s="1332"/>
      <c r="B802" s="1333"/>
      <c r="C802" s="1333"/>
      <c r="D802" s="1333"/>
      <c r="E802" s="1321"/>
      <c r="F802" s="1321" t="s">
        <v>322</v>
      </c>
      <c r="G802" s="1113"/>
      <c r="H802" s="651" t="s">
        <v>46</v>
      </c>
      <c r="I802" s="1000"/>
      <c r="J802" s="886"/>
      <c r="K802" s="1001">
        <f>IF(I802&gt;0,J802*100/I802,0)</f>
        <v>0</v>
      </c>
      <c r="L802" s="1001"/>
      <c r="M802" s="1001"/>
      <c r="N802" s="1001"/>
      <c r="O802" s="1001"/>
      <c r="P802" s="1001"/>
      <c r="Q802" s="1323"/>
      <c r="R802" s="1323"/>
      <c r="S802" s="1323"/>
      <c r="T802" s="1323"/>
      <c r="U802" s="1323"/>
      <c r="V802" s="1323"/>
      <c r="W802" s="1323"/>
      <c r="X802" s="1323"/>
      <c r="Y802" s="1323"/>
      <c r="Z802" s="1323"/>
    </row>
    <row r="803" spans="1:26" ht="18.75" hidden="1">
      <c r="A803" s="1332"/>
      <c r="B803" s="1333"/>
      <c r="C803" s="1333"/>
      <c r="D803" s="1333"/>
      <c r="E803" s="1321"/>
      <c r="F803" s="1321"/>
      <c r="G803" s="1113"/>
      <c r="H803" s="651" t="s">
        <v>34</v>
      </c>
      <c r="I803" s="1000"/>
      <c r="J803" s="886"/>
      <c r="K803" s="1001"/>
      <c r="L803" s="1001"/>
      <c r="M803" s="1001"/>
      <c r="N803" s="1001"/>
      <c r="O803" s="1001"/>
      <c r="P803" s="1001"/>
      <c r="Q803" s="1323"/>
      <c r="R803" s="1323"/>
      <c r="S803" s="1323"/>
      <c r="T803" s="1323"/>
      <c r="U803" s="1323"/>
      <c r="V803" s="1323"/>
      <c r="W803" s="1323"/>
      <c r="X803" s="1323"/>
      <c r="Y803" s="1323"/>
      <c r="Z803" s="1323"/>
    </row>
    <row r="804" spans="1:26" ht="19.5" hidden="1">
      <c r="A804" s="791">
        <v>13</v>
      </c>
      <c r="B804" s="1461" t="s">
        <v>323</v>
      </c>
      <c r="C804" s="1462"/>
      <c r="D804" s="1476"/>
      <c r="E804" s="1462"/>
      <c r="F804" s="1462"/>
      <c r="G804" s="1463"/>
      <c r="H804" s="795" t="s">
        <v>46</v>
      </c>
      <c r="I804" s="1464"/>
      <c r="J804" s="1464">
        <f>J819</f>
        <v>0</v>
      </c>
      <c r="K804" s="1465">
        <f>IF(I804&gt;0,J804*100/I804,0)</f>
        <v>0</v>
      </c>
      <c r="L804" s="1466"/>
      <c r="M804" s="1466"/>
      <c r="N804" s="1466"/>
      <c r="O804" s="1466"/>
      <c r="P804" s="1466"/>
      <c r="Q804" s="1323"/>
      <c r="R804" s="1323"/>
      <c r="S804" s="1323"/>
      <c r="T804" s="1323"/>
      <c r="U804" s="1323"/>
      <c r="V804" s="1323"/>
      <c r="W804" s="1323"/>
      <c r="X804" s="1323"/>
      <c r="Y804" s="1323"/>
      <c r="Z804" s="1323"/>
    </row>
    <row r="805" spans="1:26" ht="19.5" hidden="1">
      <c r="A805" s="1319"/>
      <c r="B805" s="1320"/>
      <c r="C805" s="1320" t="s">
        <v>16</v>
      </c>
      <c r="D805" s="1351" t="s">
        <v>17</v>
      </c>
      <c r="E805" s="841"/>
      <c r="F805" s="841"/>
      <c r="G805" s="1322"/>
      <c r="H805" s="644" t="s">
        <v>12</v>
      </c>
      <c r="I805" s="886"/>
      <c r="J805" s="886"/>
      <c r="K805" s="887"/>
      <c r="L805" s="1352">
        <f t="shared" ref="L805:N805" si="327">L806+L807</f>
        <v>0</v>
      </c>
      <c r="M805" s="1352">
        <f t="shared" si="327"/>
        <v>0</v>
      </c>
      <c r="N805" s="1352">
        <f t="shared" si="327"/>
        <v>0</v>
      </c>
      <c r="O805" s="1352">
        <f t="shared" ref="O805:O810" si="328">IF(L805&gt;0,N805*100/L805,0)</f>
        <v>0</v>
      </c>
      <c r="P805" s="1352">
        <f t="shared" ref="P805:P810" si="329">IF(M805&gt;0,N805*100/M805,0)</f>
        <v>0</v>
      </c>
      <c r="Q805" s="1323"/>
      <c r="R805" s="1323"/>
      <c r="S805" s="1323"/>
      <c r="T805" s="1323"/>
      <c r="U805" s="1323"/>
      <c r="V805" s="1323"/>
      <c r="W805" s="1323"/>
      <c r="X805" s="1323"/>
      <c r="Y805" s="1323"/>
      <c r="Z805" s="1323"/>
    </row>
    <row r="806" spans="1:26" ht="18.75" hidden="1">
      <c r="A806" s="1319"/>
      <c r="B806" s="1320"/>
      <c r="C806" s="1320"/>
      <c r="D806" s="1333"/>
      <c r="E806" s="1320" t="s">
        <v>185</v>
      </c>
      <c r="F806" s="1320"/>
      <c r="G806" s="1322"/>
      <c r="H806" s="165" t="s">
        <v>12</v>
      </c>
      <c r="I806" s="886"/>
      <c r="J806" s="886"/>
      <c r="K806" s="887"/>
      <c r="L806" s="887">
        <f t="shared" ref="L806:N807" si="330">L809+L816</f>
        <v>0</v>
      </c>
      <c r="M806" s="887">
        <f t="shared" si="330"/>
        <v>0</v>
      </c>
      <c r="N806" s="887">
        <f t="shared" si="330"/>
        <v>0</v>
      </c>
      <c r="O806" s="887">
        <f t="shared" si="328"/>
        <v>0</v>
      </c>
      <c r="P806" s="887">
        <f t="shared" si="329"/>
        <v>0</v>
      </c>
      <c r="Q806" s="1323"/>
      <c r="R806" s="1323"/>
      <c r="S806" s="1323"/>
      <c r="T806" s="1323"/>
      <c r="U806" s="1323"/>
      <c r="V806" s="1323"/>
      <c r="W806" s="1323"/>
      <c r="X806" s="1323"/>
      <c r="Y806" s="1323"/>
      <c r="Z806" s="1323"/>
    </row>
    <row r="807" spans="1:26" ht="18.75" hidden="1">
      <c r="A807" s="1319"/>
      <c r="B807" s="1320"/>
      <c r="C807" s="1320"/>
      <c r="D807" s="1333"/>
      <c r="E807" s="1320" t="s">
        <v>186</v>
      </c>
      <c r="F807" s="1320"/>
      <c r="G807" s="1322"/>
      <c r="H807" s="165" t="s">
        <v>12</v>
      </c>
      <c r="I807" s="886"/>
      <c r="J807" s="886"/>
      <c r="K807" s="887"/>
      <c r="L807" s="887">
        <f t="shared" si="330"/>
        <v>0</v>
      </c>
      <c r="M807" s="887">
        <f t="shared" si="330"/>
        <v>0</v>
      </c>
      <c r="N807" s="887">
        <f t="shared" si="330"/>
        <v>0</v>
      </c>
      <c r="O807" s="887">
        <f t="shared" si="328"/>
        <v>0</v>
      </c>
      <c r="P807" s="887">
        <f t="shared" si="329"/>
        <v>0</v>
      </c>
      <c r="Q807" s="1323"/>
      <c r="R807" s="1323"/>
      <c r="S807" s="1323"/>
      <c r="T807" s="1323"/>
      <c r="U807" s="1323"/>
      <c r="V807" s="1323"/>
      <c r="W807" s="1323"/>
      <c r="X807" s="1323"/>
      <c r="Y807" s="1323"/>
      <c r="Z807" s="1323"/>
    </row>
    <row r="808" spans="1:26" ht="19.5" hidden="1">
      <c r="A808" s="1319"/>
      <c r="B808" s="1324"/>
      <c r="C808" s="1320"/>
      <c r="D808" s="1477" t="s">
        <v>20</v>
      </c>
      <c r="E808" s="841"/>
      <c r="F808" s="841"/>
      <c r="G808" s="1322"/>
      <c r="H808" s="644" t="s">
        <v>12</v>
      </c>
      <c r="I808" s="1000"/>
      <c r="J808" s="1000"/>
      <c r="K808" s="1001"/>
      <c r="L808" s="1352">
        <f t="shared" ref="L808:N808" si="331">L809+L810</f>
        <v>0</v>
      </c>
      <c r="M808" s="1352">
        <f t="shared" si="331"/>
        <v>0</v>
      </c>
      <c r="N808" s="1352">
        <f t="shared" si="331"/>
        <v>0</v>
      </c>
      <c r="O808" s="1352">
        <f t="shared" si="328"/>
        <v>0</v>
      </c>
      <c r="P808" s="1352">
        <f t="shared" si="329"/>
        <v>0</v>
      </c>
      <c r="Q808" s="1323"/>
      <c r="R808" s="1323"/>
      <c r="S808" s="1323"/>
      <c r="T808" s="1323"/>
      <c r="U808" s="1323"/>
      <c r="V808" s="1323"/>
      <c r="W808" s="1323"/>
      <c r="X808" s="1323"/>
      <c r="Y808" s="1323"/>
      <c r="Z808" s="1323"/>
    </row>
    <row r="809" spans="1:26" ht="18.75" hidden="1">
      <c r="A809" s="1319"/>
      <c r="B809" s="1320"/>
      <c r="C809" s="1320"/>
      <c r="D809" s="1333"/>
      <c r="E809" s="1320" t="s">
        <v>185</v>
      </c>
      <c r="F809" s="1320"/>
      <c r="G809" s="1322"/>
      <c r="H809" s="165" t="s">
        <v>12</v>
      </c>
      <c r="I809" s="886"/>
      <c r="J809" s="886"/>
      <c r="K809" s="887"/>
      <c r="L809" s="887">
        <v>0</v>
      </c>
      <c r="M809" s="887">
        <v>0</v>
      </c>
      <c r="N809" s="887">
        <v>0</v>
      </c>
      <c r="O809" s="887">
        <f t="shared" si="328"/>
        <v>0</v>
      </c>
      <c r="P809" s="887">
        <f t="shared" si="329"/>
        <v>0</v>
      </c>
      <c r="Q809" s="1323"/>
      <c r="R809" s="1323"/>
      <c r="S809" s="1323"/>
      <c r="T809" s="1323"/>
      <c r="U809" s="1323"/>
      <c r="V809" s="1323"/>
      <c r="W809" s="1323"/>
      <c r="X809" s="1323"/>
      <c r="Y809" s="1323"/>
      <c r="Z809" s="1323"/>
    </row>
    <row r="810" spans="1:26" ht="18.75" hidden="1">
      <c r="A810" s="1319"/>
      <c r="B810" s="1320"/>
      <c r="C810" s="1320"/>
      <c r="D810" s="1333"/>
      <c r="E810" s="1320" t="s">
        <v>186</v>
      </c>
      <c r="F810" s="1320"/>
      <c r="G810" s="1322"/>
      <c r="H810" s="165" t="s">
        <v>12</v>
      </c>
      <c r="I810" s="886"/>
      <c r="J810" s="886"/>
      <c r="K810" s="887"/>
      <c r="L810" s="887">
        <v>0</v>
      </c>
      <c r="M810" s="887">
        <v>0</v>
      </c>
      <c r="N810" s="887">
        <f>N811+N812+N813+N814</f>
        <v>0</v>
      </c>
      <c r="O810" s="887">
        <f t="shared" si="328"/>
        <v>0</v>
      </c>
      <c r="P810" s="887">
        <f t="shared" si="329"/>
        <v>0</v>
      </c>
      <c r="Q810" s="1323"/>
      <c r="R810" s="1323"/>
      <c r="S810" s="1323"/>
      <c r="T810" s="1323"/>
      <c r="U810" s="1323"/>
      <c r="V810" s="1323"/>
      <c r="W810" s="1323"/>
      <c r="X810" s="1323"/>
      <c r="Y810" s="1323"/>
      <c r="Z810" s="1323"/>
    </row>
    <row r="811" spans="1:26" ht="18.75" hidden="1">
      <c r="A811" s="1354"/>
      <c r="B811" s="1324"/>
      <c r="C811" s="1320"/>
      <c r="D811" s="1324"/>
      <c r="E811" s="1320"/>
      <c r="F811" s="1320" t="s">
        <v>187</v>
      </c>
      <c r="G811" s="1322"/>
      <c r="H811" s="165" t="s">
        <v>12</v>
      </c>
      <c r="I811" s="886"/>
      <c r="J811" s="886"/>
      <c r="K811" s="887"/>
      <c r="L811" s="887"/>
      <c r="M811" s="887"/>
      <c r="N811" s="887"/>
      <c r="O811" s="887"/>
      <c r="P811" s="887"/>
      <c r="Q811" s="1323"/>
      <c r="R811" s="1323"/>
      <c r="S811" s="1323"/>
      <c r="T811" s="1323"/>
      <c r="U811" s="1323"/>
      <c r="V811" s="1323"/>
      <c r="W811" s="1323"/>
      <c r="X811" s="1323"/>
      <c r="Y811" s="1323"/>
      <c r="Z811" s="1323"/>
    </row>
    <row r="812" spans="1:26" ht="18.75" hidden="1">
      <c r="A812" s="1354"/>
      <c r="B812" s="1324"/>
      <c r="C812" s="1320"/>
      <c r="D812" s="1324"/>
      <c r="E812" s="1320"/>
      <c r="F812" s="1320" t="s">
        <v>188</v>
      </c>
      <c r="G812" s="1322"/>
      <c r="H812" s="165" t="s">
        <v>12</v>
      </c>
      <c r="I812" s="886"/>
      <c r="J812" s="886"/>
      <c r="K812" s="887"/>
      <c r="L812" s="887"/>
      <c r="M812" s="887"/>
      <c r="N812" s="887"/>
      <c r="O812" s="887"/>
      <c r="P812" s="887"/>
      <c r="Q812" s="1323"/>
      <c r="R812" s="1323"/>
      <c r="S812" s="1323"/>
      <c r="T812" s="1323"/>
      <c r="U812" s="1323"/>
      <c r="V812" s="1323"/>
      <c r="W812" s="1323"/>
      <c r="X812" s="1323"/>
      <c r="Y812" s="1323"/>
      <c r="Z812" s="1323"/>
    </row>
    <row r="813" spans="1:26" ht="18.75" hidden="1">
      <c r="A813" s="1354"/>
      <c r="B813" s="1324"/>
      <c r="C813" s="1320"/>
      <c r="D813" s="1324"/>
      <c r="E813" s="1320"/>
      <c r="F813" s="1320" t="s">
        <v>189</v>
      </c>
      <c r="G813" s="1322"/>
      <c r="H813" s="165" t="s">
        <v>12</v>
      </c>
      <c r="I813" s="886"/>
      <c r="J813" s="886"/>
      <c r="K813" s="887"/>
      <c r="L813" s="887"/>
      <c r="M813" s="887"/>
      <c r="N813" s="887"/>
      <c r="O813" s="887"/>
      <c r="P813" s="887"/>
      <c r="Q813" s="1323"/>
      <c r="R813" s="1323"/>
      <c r="S813" s="1323"/>
      <c r="T813" s="1323"/>
      <c r="U813" s="1323"/>
      <c r="V813" s="1323"/>
      <c r="W813" s="1323"/>
      <c r="X813" s="1323"/>
      <c r="Y813" s="1323"/>
      <c r="Z813" s="1323"/>
    </row>
    <row r="814" spans="1:26" ht="18.75" hidden="1">
      <c r="A814" s="1354"/>
      <c r="B814" s="1324"/>
      <c r="C814" s="1320"/>
      <c r="D814" s="1324"/>
      <c r="E814" s="1320"/>
      <c r="F814" s="1320" t="s">
        <v>190</v>
      </c>
      <c r="G814" s="1322"/>
      <c r="H814" s="165" t="s">
        <v>12</v>
      </c>
      <c r="I814" s="886"/>
      <c r="J814" s="886"/>
      <c r="K814" s="887"/>
      <c r="L814" s="887"/>
      <c r="M814" s="887"/>
      <c r="N814" s="887"/>
      <c r="O814" s="887"/>
      <c r="P814" s="887"/>
      <c r="Q814" s="1323"/>
      <c r="R814" s="1323"/>
      <c r="S814" s="1323"/>
      <c r="T814" s="1323"/>
      <c r="U814" s="1323"/>
      <c r="V814" s="1323"/>
      <c r="W814" s="1323"/>
      <c r="X814" s="1323"/>
      <c r="Y814" s="1323"/>
      <c r="Z814" s="1323"/>
    </row>
    <row r="815" spans="1:26" ht="19.5" hidden="1">
      <c r="A815" s="1319"/>
      <c r="B815" s="1324"/>
      <c r="C815" s="1320"/>
      <c r="D815" s="1477" t="s">
        <v>21</v>
      </c>
      <c r="E815" s="841"/>
      <c r="F815" s="841"/>
      <c r="G815" s="1322"/>
      <c r="H815" s="781" t="s">
        <v>12</v>
      </c>
      <c r="I815" s="1000"/>
      <c r="J815" s="1000"/>
      <c r="K815" s="1001"/>
      <c r="L815" s="1352">
        <f t="shared" ref="L815:N815" si="332">L816+L817</f>
        <v>0</v>
      </c>
      <c r="M815" s="1352">
        <f t="shared" si="332"/>
        <v>0</v>
      </c>
      <c r="N815" s="1352">
        <f t="shared" si="332"/>
        <v>0</v>
      </c>
      <c r="O815" s="1352">
        <f t="shared" ref="O815:O817" si="333">IF(L815&gt;0,N815*100/L815,0)</f>
        <v>0</v>
      </c>
      <c r="P815" s="1352">
        <f t="shared" ref="P815:P817" si="334">IF(M815&gt;0,N815*100/M815,0)</f>
        <v>0</v>
      </c>
      <c r="Q815" s="1323"/>
      <c r="R815" s="1323"/>
      <c r="S815" s="1323"/>
      <c r="T815" s="1323"/>
      <c r="U815" s="1323"/>
      <c r="V815" s="1323"/>
      <c r="W815" s="1323"/>
      <c r="X815" s="1323"/>
      <c r="Y815" s="1323"/>
      <c r="Z815" s="1323"/>
    </row>
    <row r="816" spans="1:26" ht="18.75" hidden="1">
      <c r="A816" s="1319"/>
      <c r="B816" s="1324"/>
      <c r="C816" s="1320"/>
      <c r="D816" s="1324"/>
      <c r="E816" s="1320" t="s">
        <v>18</v>
      </c>
      <c r="F816" s="1320"/>
      <c r="G816" s="1322"/>
      <c r="H816" s="165" t="s">
        <v>12</v>
      </c>
      <c r="I816" s="1000"/>
      <c r="J816" s="1000"/>
      <c r="K816" s="1001"/>
      <c r="L816" s="887">
        <v>0</v>
      </c>
      <c r="M816" s="887">
        <v>0</v>
      </c>
      <c r="N816" s="887">
        <v>0</v>
      </c>
      <c r="O816" s="887">
        <f t="shared" si="333"/>
        <v>0</v>
      </c>
      <c r="P816" s="887">
        <f t="shared" si="334"/>
        <v>0</v>
      </c>
      <c r="Q816" s="1323"/>
      <c r="R816" s="1323"/>
      <c r="S816" s="1323"/>
      <c r="T816" s="1323"/>
      <c r="U816" s="1323"/>
      <c r="V816" s="1323"/>
      <c r="W816" s="1323"/>
      <c r="X816" s="1323"/>
      <c r="Y816" s="1323"/>
      <c r="Z816" s="1323"/>
    </row>
    <row r="817" spans="1:26" ht="18.75" hidden="1">
      <c r="A817" s="1319"/>
      <c r="B817" s="1324"/>
      <c r="C817" s="1320"/>
      <c r="D817" s="1324"/>
      <c r="E817" s="1320" t="s">
        <v>19</v>
      </c>
      <c r="F817" s="1320"/>
      <c r="G817" s="1322"/>
      <c r="H817" s="169" t="s">
        <v>12</v>
      </c>
      <c r="I817" s="1000"/>
      <c r="J817" s="1000"/>
      <c r="K817" s="1001"/>
      <c r="L817" s="887">
        <v>0</v>
      </c>
      <c r="M817" s="887">
        <v>0</v>
      </c>
      <c r="N817" s="887">
        <v>0</v>
      </c>
      <c r="O817" s="887">
        <f t="shared" si="333"/>
        <v>0</v>
      </c>
      <c r="P817" s="887">
        <f t="shared" si="334"/>
        <v>0</v>
      </c>
      <c r="Q817" s="1323"/>
      <c r="R817" s="1323"/>
      <c r="S817" s="1323"/>
      <c r="T817" s="1323"/>
      <c r="U817" s="1323"/>
      <c r="V817" s="1323"/>
      <c r="W817" s="1323"/>
      <c r="X817" s="1323"/>
      <c r="Y817" s="1323"/>
      <c r="Z817" s="1323"/>
    </row>
    <row r="818" spans="1:26" ht="19.5" hidden="1">
      <c r="A818" s="1332"/>
      <c r="B818" s="1333"/>
      <c r="C818" s="1320" t="s">
        <v>16</v>
      </c>
      <c r="D818" s="1478" t="s">
        <v>38</v>
      </c>
      <c r="E818" s="1356"/>
      <c r="F818" s="1356"/>
      <c r="G818" s="1357"/>
      <c r="H818" s="1113"/>
      <c r="I818" s="1000"/>
      <c r="J818" s="1000"/>
      <c r="K818" s="1001"/>
      <c r="L818" s="1001"/>
      <c r="M818" s="1001"/>
      <c r="N818" s="1001"/>
      <c r="O818" s="1001"/>
      <c r="P818" s="1001"/>
      <c r="Q818" s="1323"/>
      <c r="R818" s="1323"/>
      <c r="S818" s="1323"/>
      <c r="T818" s="1323"/>
      <c r="U818" s="1323"/>
      <c r="V818" s="1323"/>
      <c r="W818" s="1323"/>
      <c r="X818" s="1323"/>
      <c r="Y818" s="1323"/>
      <c r="Z818" s="1323"/>
    </row>
    <row r="819" spans="1:26" ht="19.5" hidden="1" thickBot="1">
      <c r="A819" s="1479"/>
      <c r="B819" s="1480"/>
      <c r="C819" s="1481"/>
      <c r="D819" s="1480"/>
      <c r="E819" s="1481" t="s">
        <v>324</v>
      </c>
      <c r="F819" s="1481"/>
      <c r="G819" s="1482"/>
      <c r="H819" s="817" t="s">
        <v>46</v>
      </c>
      <c r="I819" s="1483"/>
      <c r="J819" s="1483"/>
      <c r="K819" s="1484"/>
      <c r="L819" s="1484"/>
      <c r="M819" s="1484"/>
      <c r="N819" s="1484"/>
      <c r="O819" s="1484"/>
      <c r="P819" s="1484"/>
      <c r="Q819" s="1323"/>
      <c r="R819" s="1323"/>
      <c r="S819" s="1323"/>
      <c r="T819" s="1323"/>
      <c r="U819" s="1323"/>
      <c r="V819" s="1323"/>
      <c r="W819" s="1323"/>
      <c r="X819" s="1323"/>
      <c r="Y819" s="1323"/>
      <c r="Z819" s="1323"/>
    </row>
    <row r="820" spans="1:26" ht="19.5">
      <c r="A820" s="1485" t="s">
        <v>342</v>
      </c>
      <c r="B820" s="1486"/>
      <c r="C820" s="1486"/>
      <c r="D820" s="1487"/>
      <c r="E820" s="1486"/>
      <c r="F820" s="1486"/>
      <c r="G820" s="1488"/>
      <c r="H820" s="1489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0"/>
      <c r="J820" s="1490"/>
      <c r="K820" s="1491"/>
      <c r="L820" s="1491"/>
      <c r="M820" s="1491"/>
      <c r="N820" s="1491"/>
      <c r="O820" s="1491"/>
      <c r="P820" s="1491"/>
      <c r="Q820" s="1302"/>
      <c r="R820" s="1302"/>
      <c r="S820" s="1302"/>
      <c r="T820" s="1302"/>
      <c r="U820" s="1302"/>
      <c r="V820" s="1302"/>
      <c r="W820" s="1302"/>
      <c r="X820" s="1302"/>
      <c r="Y820" s="1302"/>
      <c r="Z820" s="1302"/>
    </row>
    <row r="821" spans="1:26" ht="18.75">
      <c r="A821" s="1429"/>
      <c r="B821" s="1301" t="s">
        <v>326</v>
      </c>
      <c r="C821" s="1301"/>
      <c r="D821" s="1300"/>
      <c r="E821" s="1301"/>
      <c r="F821" s="1301"/>
      <c r="G821" s="1016"/>
      <c r="H821" s="622" t="s">
        <v>12</v>
      </c>
      <c r="I821" s="880">
        <f ca="1">IFERROR(__xludf.DUMMYFUNCTION("IMPORTRANGE(""https://docs.google.com/spreadsheets/d/19vJNZY_5yjcGF2XGBMNZRCAIB0Kwfpjp8YEOfu-bneM/edit?usp=sharing"",""งานกองทุน!D81"")"),1239835.02)</f>
        <v>1239835.02</v>
      </c>
      <c r="J821" s="880">
        <f ca="1">IFERROR(__xludf.DUMMYFUNCTION("IMPORTRANGE(""https://docs.google.com/spreadsheets/d/19vJNZY_5yjcGF2XGBMNZRCAIB0Kwfpjp8YEOfu-bneM/edit?usp=sharing"",""งานกองทุน!F81"")"),510646.26)</f>
        <v>510646.26</v>
      </c>
      <c r="K821" s="881">
        <f t="shared" ref="K821:K828" ca="1" si="335">IF(I821&gt;0,J821*100/I821,0)</f>
        <v>41.186629814666794</v>
      </c>
      <c r="L821" s="881"/>
      <c r="M821" s="881"/>
      <c r="N821" s="881"/>
      <c r="O821" s="881"/>
      <c r="P821" s="881"/>
      <c r="Q821" s="1302"/>
      <c r="R821" s="1302"/>
      <c r="S821" s="1302"/>
      <c r="T821" s="1302"/>
      <c r="U821" s="1302"/>
      <c r="V821" s="1302"/>
      <c r="W821" s="1302"/>
      <c r="X821" s="1302"/>
      <c r="Y821" s="1302"/>
      <c r="Z821" s="1302"/>
    </row>
    <row r="822" spans="1:26" ht="18.75">
      <c r="A822" s="1429"/>
      <c r="B822" s="1301"/>
      <c r="C822" s="1301"/>
      <c r="D822" s="1300"/>
      <c r="E822" s="1301"/>
      <c r="F822" s="1301"/>
      <c r="G822" s="1016"/>
      <c r="H822" s="622" t="s">
        <v>35</v>
      </c>
      <c r="I822" s="880">
        <f ca="1">IFERROR(__xludf.DUMMYFUNCTION("IMPORTRANGE(""https://docs.google.com/spreadsheets/d/19vJNZY_5yjcGF2XGBMNZRCAIB0Kwfpjp8YEOfu-bneM/edit?usp=sharing"",""งานกองทุน!C81"")"),93)</f>
        <v>93</v>
      </c>
      <c r="J822" s="880">
        <f ca="1">IFERROR(__xludf.DUMMYFUNCTION("IMPORTRANGE(""https://docs.google.com/spreadsheets/d/19vJNZY_5yjcGF2XGBMNZRCAIB0Kwfpjp8YEOfu-bneM/edit?usp=sharing"",""งานกองทุน!E81"")"),39)</f>
        <v>39</v>
      </c>
      <c r="K822" s="881">
        <f t="shared" ca="1" si="335"/>
        <v>41.935483870967744</v>
      </c>
      <c r="L822" s="881"/>
      <c r="M822" s="881"/>
      <c r="N822" s="881"/>
      <c r="O822" s="881"/>
      <c r="P822" s="881"/>
      <c r="Q822" s="1302"/>
      <c r="R822" s="1302"/>
      <c r="S822" s="1302"/>
      <c r="T822" s="1302"/>
      <c r="U822" s="1302"/>
      <c r="V822" s="1302"/>
      <c r="W822" s="1302"/>
      <c r="X822" s="1302"/>
      <c r="Y822" s="1302"/>
      <c r="Z822" s="1302"/>
    </row>
    <row r="823" spans="1:26" ht="18.75">
      <c r="A823" s="1429"/>
      <c r="B823" s="1301" t="s">
        <v>327</v>
      </c>
      <c r="C823" s="1301"/>
      <c r="D823" s="1300"/>
      <c r="E823" s="1301"/>
      <c r="F823" s="1301"/>
      <c r="G823" s="1016"/>
      <c r="H823" s="622" t="s">
        <v>12</v>
      </c>
      <c r="I823" s="880">
        <f ca="1">IFERROR(__xludf.DUMMYFUNCTION("IMPORTRANGE(""https://docs.google.com/spreadsheets/d/19vJNZY_5yjcGF2XGBMNZRCAIB0Kwfpjp8YEOfu-bneM/edit?usp=sharing"",""งานกองทุน!I81"")"),263191.16)</f>
        <v>263191.15999999997</v>
      </c>
      <c r="J823" s="880">
        <f ca="1">IFERROR(__xludf.DUMMYFUNCTION("IMPORTRANGE(""https://docs.google.com/spreadsheets/d/19vJNZY_5yjcGF2XGBMNZRCAIB0Kwfpjp8YEOfu-bneM/edit?usp=sharing"",""งานกองทุน!K81"")"),52551.82)</f>
        <v>52551.82</v>
      </c>
      <c r="K823" s="881">
        <f t="shared" ca="1" si="335"/>
        <v>19.967167590279249</v>
      </c>
      <c r="L823" s="881"/>
      <c r="M823" s="881"/>
      <c r="N823" s="881"/>
      <c r="O823" s="881"/>
      <c r="P823" s="881"/>
      <c r="Q823" s="1302"/>
      <c r="R823" s="1302"/>
      <c r="S823" s="1302"/>
      <c r="T823" s="1302"/>
      <c r="U823" s="1302"/>
      <c r="V823" s="1302"/>
      <c r="W823" s="1302"/>
      <c r="X823" s="1302"/>
      <c r="Y823" s="1302"/>
      <c r="Z823" s="1302"/>
    </row>
    <row r="824" spans="1:26" ht="18.75">
      <c r="A824" s="1429"/>
      <c r="B824" s="1301"/>
      <c r="C824" s="1301"/>
      <c r="D824" s="1300"/>
      <c r="E824" s="1301"/>
      <c r="F824" s="1301"/>
      <c r="G824" s="1016"/>
      <c r="H824" s="622" t="s">
        <v>35</v>
      </c>
      <c r="I824" s="880">
        <f ca="1">IFERROR(__xludf.DUMMYFUNCTION("IMPORTRANGE(""https://docs.google.com/spreadsheets/d/19vJNZY_5yjcGF2XGBMNZRCAIB0Kwfpjp8YEOfu-bneM/edit?usp=sharing"",""งานกองทุน!H81"")"),11)</f>
        <v>11</v>
      </c>
      <c r="J824" s="880">
        <f ca="1">IFERROR(__xludf.DUMMYFUNCTION("IMPORTRANGE(""https://docs.google.com/spreadsheets/d/19vJNZY_5yjcGF2XGBMNZRCAIB0Kwfpjp8YEOfu-bneM/edit?usp=sharing"",""งานกองทุน!J81"")"),6)</f>
        <v>6</v>
      </c>
      <c r="K824" s="881">
        <f t="shared" ca="1" si="335"/>
        <v>54.545454545454547</v>
      </c>
      <c r="L824" s="881"/>
      <c r="M824" s="881"/>
      <c r="N824" s="881"/>
      <c r="O824" s="881"/>
      <c r="P824" s="881"/>
      <c r="Q824" s="1302"/>
      <c r="R824" s="1302"/>
      <c r="S824" s="1302"/>
      <c r="T824" s="1302"/>
      <c r="U824" s="1302"/>
      <c r="V824" s="1302"/>
      <c r="W824" s="1302"/>
      <c r="X824" s="1302"/>
      <c r="Y824" s="1302"/>
      <c r="Z824" s="1302"/>
    </row>
    <row r="825" spans="1:26" ht="18.75">
      <c r="A825" s="1429"/>
      <c r="B825" s="1301" t="s">
        <v>328</v>
      </c>
      <c r="C825" s="1301"/>
      <c r="D825" s="1300"/>
      <c r="E825" s="1301"/>
      <c r="F825" s="1301"/>
      <c r="G825" s="1016"/>
      <c r="H825" s="622" t="s">
        <v>12</v>
      </c>
      <c r="I825" s="880">
        <f ca="1">IFERROR(__xludf.DUMMYFUNCTION("IMPORTRANGE(""https://docs.google.com/spreadsheets/d/19vJNZY_5yjcGF2XGBMNZRCAIB0Kwfpjp8YEOfu-bneM/edit?usp=sharing"",""งานกองทุน!N81"")"),29366.44)</f>
        <v>29366.44</v>
      </c>
      <c r="J825" s="880">
        <f ca="1">IFERROR(__xludf.DUMMYFUNCTION("IMPORTRANGE(""https://docs.google.com/spreadsheets/d/19vJNZY_5yjcGF2XGBMNZRCAIB0Kwfpjp8YEOfu-bneM/edit?usp=sharing"",""งานกองทุน!P81"")"),2250)</f>
        <v>2250</v>
      </c>
      <c r="K825" s="881">
        <f t="shared" ca="1" si="335"/>
        <v>7.661807151292428</v>
      </c>
      <c r="L825" s="881"/>
      <c r="M825" s="881"/>
      <c r="N825" s="881"/>
      <c r="O825" s="881"/>
      <c r="P825" s="881"/>
      <c r="Q825" s="1302"/>
      <c r="R825" s="1302"/>
      <c r="S825" s="1302"/>
      <c r="T825" s="1302"/>
      <c r="U825" s="1302"/>
      <c r="V825" s="1302"/>
      <c r="W825" s="1302"/>
      <c r="X825" s="1302"/>
      <c r="Y825" s="1302"/>
      <c r="Z825" s="1302"/>
    </row>
    <row r="826" spans="1:26" ht="18.75">
      <c r="A826" s="1429"/>
      <c r="B826" s="1301"/>
      <c r="C826" s="1301"/>
      <c r="D826" s="1300"/>
      <c r="E826" s="1301"/>
      <c r="F826" s="1301"/>
      <c r="G826" s="1016"/>
      <c r="H826" s="622" t="s">
        <v>35</v>
      </c>
      <c r="I826" s="880">
        <f ca="1">IFERROR(__xludf.DUMMYFUNCTION("IMPORTRANGE(""https://docs.google.com/spreadsheets/d/19vJNZY_5yjcGF2XGBMNZRCAIB0Kwfpjp8YEOfu-bneM/edit?usp=sharing"",""งานกองทุน!M81"")"),51)</f>
        <v>51</v>
      </c>
      <c r="J826" s="880">
        <f ca="1">IFERROR(__xludf.DUMMYFUNCTION("IMPORTRANGE(""https://docs.google.com/spreadsheets/d/19vJNZY_5yjcGF2XGBMNZRCAIB0Kwfpjp8YEOfu-bneM/edit?usp=sharing"",""งานกองทุน!O81"")"),2)</f>
        <v>2</v>
      </c>
      <c r="K826" s="881">
        <f t="shared" ca="1" si="335"/>
        <v>3.9215686274509802</v>
      </c>
      <c r="L826" s="881"/>
      <c r="M826" s="881"/>
      <c r="N826" s="881"/>
      <c r="O826" s="881"/>
      <c r="P826" s="881"/>
      <c r="Q826" s="1302"/>
      <c r="R826" s="1302"/>
      <c r="S826" s="1302"/>
      <c r="T826" s="1302"/>
      <c r="U826" s="1302"/>
      <c r="V826" s="1302"/>
      <c r="W826" s="1302"/>
      <c r="X826" s="1302"/>
      <c r="Y826" s="1302"/>
      <c r="Z826" s="1302"/>
    </row>
    <row r="827" spans="1:26" ht="18.75">
      <c r="A827" s="1429"/>
      <c r="B827" s="1301" t="s">
        <v>329</v>
      </c>
      <c r="C827" s="1301"/>
      <c r="D827" s="1300"/>
      <c r="E827" s="1301"/>
      <c r="F827" s="1301"/>
      <c r="G827" s="1016"/>
      <c r="H827" s="622" t="s">
        <v>12</v>
      </c>
      <c r="I827" s="880">
        <f ca="1">IFERROR(__xludf.DUMMYFUNCTION("IMPORTRANGE(""https://docs.google.com/spreadsheets/d/19vJNZY_5yjcGF2XGBMNZRCAIB0Kwfpjp8YEOfu-bneM/edit?usp=sharing"",""งานกองทุน!S81"")"),700000)</f>
        <v>700000</v>
      </c>
      <c r="J827" s="880">
        <f ca="1">IFERROR(__xludf.DUMMYFUNCTION("IMPORTRANGE(""https://docs.google.com/spreadsheets/d/19vJNZY_5yjcGF2XGBMNZRCAIB0Kwfpjp8YEOfu-bneM/edit?usp=sharing"",""งานกองทุน!U81"")"),600000)</f>
        <v>600000</v>
      </c>
      <c r="K827" s="881">
        <f t="shared" ca="1" si="335"/>
        <v>85.714285714285708</v>
      </c>
      <c r="L827" s="881"/>
      <c r="M827" s="881"/>
      <c r="N827" s="881"/>
      <c r="O827" s="881"/>
      <c r="P827" s="881"/>
      <c r="Q827" s="1302"/>
      <c r="R827" s="1302"/>
      <c r="S827" s="1302"/>
      <c r="T827" s="1302"/>
      <c r="U827" s="1302"/>
      <c r="V827" s="1302"/>
      <c r="W827" s="1302"/>
      <c r="X827" s="1302"/>
      <c r="Y827" s="1302"/>
      <c r="Z827" s="1302"/>
    </row>
    <row r="828" spans="1:26" ht="18.75">
      <c r="A828" s="1430"/>
      <c r="B828" s="1432"/>
      <c r="C828" s="1432"/>
      <c r="D828" s="1431"/>
      <c r="E828" s="1432"/>
      <c r="F828" s="1432"/>
      <c r="G828" s="1492"/>
      <c r="H828" s="827" t="s">
        <v>35</v>
      </c>
      <c r="I828" s="1138">
        <f ca="1">IFERROR(__xludf.DUMMYFUNCTION("IMPORTRANGE(""https://docs.google.com/spreadsheets/d/19vJNZY_5yjcGF2XGBMNZRCAIB0Kwfpjp8YEOfu-bneM/edit?usp=sharing"",""งานกองทุน!R81"")"),28)</f>
        <v>28</v>
      </c>
      <c r="J828" s="1138">
        <f ca="1">IFERROR(__xludf.DUMMYFUNCTION("IMPORTRANGE(""https://docs.google.com/spreadsheets/d/19vJNZY_5yjcGF2XGBMNZRCAIB0Kwfpjp8YEOfu-bneM/edit?usp=sharing"",""งานกองทุน!T81"")"),15)</f>
        <v>15</v>
      </c>
      <c r="K828" s="1239">
        <f t="shared" ca="1" si="335"/>
        <v>53.571428571428569</v>
      </c>
      <c r="L828" s="1239"/>
      <c r="M828" s="1239"/>
      <c r="N828" s="1239"/>
      <c r="O828" s="1239"/>
      <c r="P828" s="1239"/>
      <c r="Q828" s="1302"/>
      <c r="R828" s="1302"/>
      <c r="S828" s="1302"/>
      <c r="T828" s="1302"/>
      <c r="U828" s="1302"/>
      <c r="V828" s="1302"/>
      <c r="W828" s="1302"/>
      <c r="X828" s="1302"/>
      <c r="Y828" s="1302"/>
      <c r="Z828" s="130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7ED96-4171-4C88-A2DA-0DA77AE1BAD5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52" customWidth="1"/>
    <col min="4" max="6" width="5.85546875" style="852" customWidth="1"/>
    <col min="7" max="7" width="56.42578125" style="852" customWidth="1"/>
    <col min="8" max="8" width="9.42578125" style="852" customWidth="1"/>
    <col min="9" max="9" width="16.140625" style="852" bestFit="1" customWidth="1"/>
    <col min="10" max="10" width="13.7109375" style="852" bestFit="1" customWidth="1"/>
    <col min="11" max="11" width="13.28515625" style="852" bestFit="1" customWidth="1"/>
    <col min="12" max="15" width="20.28515625" style="852" bestFit="1" customWidth="1"/>
    <col min="16" max="16" width="22.140625" style="852" bestFit="1" customWidth="1"/>
    <col min="17" max="16384" width="12.5703125" style="852"/>
  </cols>
  <sheetData>
    <row r="1" spans="1:26" ht="19.5">
      <c r="A1" s="828" t="s">
        <v>0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51"/>
    </row>
    <row r="2" spans="1:26" ht="19.5">
      <c r="A2" s="828" t="s">
        <v>345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</row>
    <row r="3" spans="1:26" ht="19.5">
      <c r="A3" s="828" t="s">
        <v>330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</row>
    <row r="4" spans="1:26" ht="12.75">
      <c r="A4" s="853"/>
      <c r="B4" s="853"/>
      <c r="C4" s="853"/>
      <c r="D4" s="853"/>
      <c r="E4" s="853"/>
      <c r="F4" s="853"/>
      <c r="G4" s="853"/>
      <c r="H4" s="853"/>
      <c r="I4" s="853"/>
      <c r="J4" s="854"/>
      <c r="K4" s="855"/>
      <c r="L4" s="854"/>
      <c r="M4" s="854"/>
      <c r="N4" s="854"/>
      <c r="O4" s="853"/>
      <c r="P4" s="853"/>
    </row>
    <row r="5" spans="1:26" ht="19.5">
      <c r="A5" s="836" t="s">
        <v>2</v>
      </c>
      <c r="B5" s="851"/>
      <c r="C5" s="851"/>
      <c r="D5" s="851"/>
      <c r="E5" s="851"/>
      <c r="F5" s="851"/>
      <c r="G5" s="837"/>
      <c r="H5" s="830" t="s">
        <v>3</v>
      </c>
      <c r="I5" s="832" t="s">
        <v>4</v>
      </c>
      <c r="J5" s="833"/>
      <c r="K5" s="831"/>
      <c r="L5" s="834" t="s">
        <v>5</v>
      </c>
      <c r="M5" s="831"/>
      <c r="N5" s="835" t="s">
        <v>6</v>
      </c>
      <c r="O5" s="833"/>
      <c r="P5" s="831"/>
    </row>
    <row r="6" spans="1:26" ht="19.5">
      <c r="A6" s="838"/>
      <c r="B6" s="833"/>
      <c r="C6" s="833"/>
      <c r="D6" s="833"/>
      <c r="E6" s="833"/>
      <c r="F6" s="833"/>
      <c r="G6" s="831"/>
      <c r="H6" s="83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6" t="s">
        <v>15</v>
      </c>
      <c r="B7" s="833"/>
      <c r="C7" s="833"/>
      <c r="D7" s="833"/>
      <c r="E7" s="833"/>
      <c r="F7" s="833"/>
      <c r="G7" s="831"/>
      <c r="H7" s="857"/>
      <c r="I7" s="858"/>
      <c r="J7" s="858"/>
      <c r="K7" s="859"/>
      <c r="L7" s="859"/>
      <c r="M7" s="859"/>
      <c r="N7" s="859"/>
      <c r="O7" s="859"/>
      <c r="P7" s="859"/>
    </row>
    <row r="8" spans="1:26" ht="19.5">
      <c r="A8" s="860"/>
      <c r="B8" s="861"/>
      <c r="C8" s="862" t="s">
        <v>16</v>
      </c>
      <c r="D8" s="863" t="s">
        <v>17</v>
      </c>
      <c r="E8" s="861"/>
      <c r="F8" s="861"/>
      <c r="G8" s="864"/>
      <c r="H8" s="19" t="s">
        <v>12</v>
      </c>
      <c r="I8" s="865"/>
      <c r="J8" s="865"/>
      <c r="K8" s="866"/>
      <c r="L8" s="867">
        <f t="shared" ref="L8:N8" ca="1" si="0">L9+L10</f>
        <v>4673138</v>
      </c>
      <c r="M8" s="867">
        <f t="shared" ca="1" si="0"/>
        <v>4139378</v>
      </c>
      <c r="N8" s="867">
        <f t="shared" ca="1" si="0"/>
        <v>2352199.87</v>
      </c>
      <c r="O8" s="867">
        <f t="shared" ref="O8:O16" ca="1" si="1">IF(L8&gt;0,N8*100/L8,0)</f>
        <v>50.334483381402393</v>
      </c>
      <c r="P8" s="867">
        <f t="shared" ref="P8:P16" ca="1" si="2">IF(M8&gt;0,N8*100/M8,0)</f>
        <v>56.82495945042951</v>
      </c>
      <c r="Q8" s="868"/>
      <c r="R8" s="868"/>
      <c r="S8" s="868"/>
      <c r="T8" s="868"/>
      <c r="U8" s="868"/>
      <c r="V8" s="868"/>
      <c r="W8" s="868"/>
      <c r="X8" s="868"/>
      <c r="Y8" s="868"/>
      <c r="Z8" s="868"/>
    </row>
    <row r="9" spans="1:26" ht="18.75" hidden="1">
      <c r="A9" s="869"/>
      <c r="B9" s="870"/>
      <c r="C9" s="870"/>
      <c r="D9" s="870"/>
      <c r="E9" s="871" t="s">
        <v>18</v>
      </c>
      <c r="F9" s="870"/>
      <c r="G9" s="872"/>
      <c r="H9" s="28" t="s">
        <v>12</v>
      </c>
      <c r="I9" s="873"/>
      <c r="J9" s="873"/>
      <c r="K9" s="874"/>
      <c r="L9" s="874">
        <f t="shared" ref="L9:N10" si="3">L12+L15</f>
        <v>0</v>
      </c>
      <c r="M9" s="874">
        <f t="shared" si="3"/>
        <v>0</v>
      </c>
      <c r="N9" s="874">
        <f t="shared" si="3"/>
        <v>0</v>
      </c>
      <c r="O9" s="874">
        <f t="shared" si="1"/>
        <v>0</v>
      </c>
      <c r="P9" s="874">
        <f t="shared" si="2"/>
        <v>0</v>
      </c>
      <c r="Q9" s="875"/>
      <c r="R9" s="875"/>
      <c r="S9" s="875"/>
      <c r="T9" s="875"/>
      <c r="U9" s="875"/>
      <c r="V9" s="875"/>
      <c r="W9" s="875"/>
      <c r="X9" s="875"/>
      <c r="Y9" s="875"/>
      <c r="Z9" s="875"/>
    </row>
    <row r="10" spans="1:26" ht="18.75" hidden="1">
      <c r="A10" s="869"/>
      <c r="B10" s="870"/>
      <c r="C10" s="870"/>
      <c r="D10" s="870"/>
      <c r="E10" s="871" t="s">
        <v>19</v>
      </c>
      <c r="F10" s="870"/>
      <c r="G10" s="872"/>
      <c r="H10" s="28" t="s">
        <v>12</v>
      </c>
      <c r="I10" s="873"/>
      <c r="J10" s="873"/>
      <c r="K10" s="874"/>
      <c r="L10" s="874">
        <f t="shared" ca="1" si="3"/>
        <v>4673138</v>
      </c>
      <c r="M10" s="874">
        <f t="shared" ca="1" si="3"/>
        <v>4139378</v>
      </c>
      <c r="N10" s="874">
        <f t="shared" ca="1" si="3"/>
        <v>2352199.87</v>
      </c>
      <c r="O10" s="874">
        <f t="shared" ca="1" si="1"/>
        <v>50.334483381402393</v>
      </c>
      <c r="P10" s="874">
        <f t="shared" ca="1" si="2"/>
        <v>56.82495945042951</v>
      </c>
      <c r="Q10" s="875"/>
      <c r="R10" s="875"/>
      <c r="S10" s="875"/>
      <c r="T10" s="875"/>
      <c r="U10" s="875"/>
      <c r="V10" s="875"/>
      <c r="W10" s="875"/>
      <c r="X10" s="875"/>
      <c r="Y10" s="875"/>
      <c r="Z10" s="875"/>
    </row>
    <row r="11" spans="1:26" ht="18.75">
      <c r="A11" s="876"/>
      <c r="B11" s="877"/>
      <c r="C11" s="877"/>
      <c r="D11" s="878" t="s">
        <v>20</v>
      </c>
      <c r="E11" s="877"/>
      <c r="F11" s="877"/>
      <c r="G11" s="879"/>
      <c r="H11" s="622" t="s">
        <v>12</v>
      </c>
      <c r="I11" s="880"/>
      <c r="J11" s="880"/>
      <c r="K11" s="881"/>
      <c r="L11" s="881">
        <f t="shared" ref="L11:N11" ca="1" si="4">L12+L13</f>
        <v>4319138</v>
      </c>
      <c r="M11" s="881">
        <f t="shared" ca="1" si="4"/>
        <v>3785378</v>
      </c>
      <c r="N11" s="881">
        <f t="shared" ca="1" si="4"/>
        <v>1998199.87</v>
      </c>
      <c r="O11" s="881">
        <f t="shared" ca="1" si="1"/>
        <v>46.263857973512309</v>
      </c>
      <c r="P11" s="881">
        <f t="shared" ca="1" si="2"/>
        <v>52.787327183705301</v>
      </c>
      <c r="Q11" s="868"/>
      <c r="R11" s="868"/>
      <c r="S11" s="868"/>
      <c r="T11" s="868"/>
      <c r="U11" s="868"/>
      <c r="V11" s="868"/>
      <c r="W11" s="868"/>
      <c r="X11" s="868"/>
      <c r="Y11" s="868"/>
      <c r="Z11" s="868"/>
    </row>
    <row r="12" spans="1:26" ht="18.75" hidden="1">
      <c r="A12" s="882"/>
      <c r="B12" s="883"/>
      <c r="C12" s="883"/>
      <c r="D12" s="883"/>
      <c r="E12" s="884" t="s">
        <v>18</v>
      </c>
      <c r="F12" s="883"/>
      <c r="G12" s="885"/>
      <c r="H12" s="43" t="s">
        <v>12</v>
      </c>
      <c r="I12" s="886"/>
      <c r="J12" s="886"/>
      <c r="K12" s="887"/>
      <c r="L12" s="887">
        <f t="shared" ref="L12:N13" si="5">L22+L32</f>
        <v>0</v>
      </c>
      <c r="M12" s="887">
        <f t="shared" si="5"/>
        <v>0</v>
      </c>
      <c r="N12" s="887">
        <f t="shared" si="5"/>
        <v>0</v>
      </c>
      <c r="O12" s="887">
        <f t="shared" si="1"/>
        <v>0</v>
      </c>
      <c r="P12" s="887">
        <f t="shared" si="2"/>
        <v>0</v>
      </c>
      <c r="Q12" s="875"/>
      <c r="R12" s="875"/>
      <c r="S12" s="875"/>
      <c r="T12" s="875"/>
      <c r="U12" s="875"/>
      <c r="V12" s="875"/>
      <c r="W12" s="875"/>
      <c r="X12" s="875"/>
      <c r="Y12" s="875"/>
      <c r="Z12" s="875"/>
    </row>
    <row r="13" spans="1:26" ht="18.75" hidden="1">
      <c r="A13" s="882"/>
      <c r="B13" s="883"/>
      <c r="C13" s="883"/>
      <c r="D13" s="883"/>
      <c r="E13" s="884" t="s">
        <v>19</v>
      </c>
      <c r="F13" s="883"/>
      <c r="G13" s="885"/>
      <c r="H13" s="43" t="s">
        <v>12</v>
      </c>
      <c r="I13" s="886"/>
      <c r="J13" s="886"/>
      <c r="K13" s="887"/>
      <c r="L13" s="887">
        <f t="shared" ca="1" si="5"/>
        <v>4319138</v>
      </c>
      <c r="M13" s="887">
        <f t="shared" ca="1" si="5"/>
        <v>3785378</v>
      </c>
      <c r="N13" s="887">
        <f t="shared" ca="1" si="5"/>
        <v>1998199.87</v>
      </c>
      <c r="O13" s="887">
        <f t="shared" ca="1" si="1"/>
        <v>46.263857973512309</v>
      </c>
      <c r="P13" s="887">
        <f t="shared" ca="1" si="2"/>
        <v>52.787327183705301</v>
      </c>
      <c r="Q13" s="875"/>
      <c r="R13" s="875"/>
      <c r="S13" s="875"/>
      <c r="T13" s="875"/>
      <c r="U13" s="875"/>
      <c r="V13" s="875"/>
      <c r="W13" s="875"/>
      <c r="X13" s="875"/>
      <c r="Y13" s="875"/>
      <c r="Z13" s="875"/>
    </row>
    <row r="14" spans="1:26" ht="18.75">
      <c r="A14" s="876"/>
      <c r="B14" s="877"/>
      <c r="C14" s="877"/>
      <c r="D14" s="878" t="s">
        <v>21</v>
      </c>
      <c r="E14" s="877"/>
      <c r="F14" s="877"/>
      <c r="G14" s="879"/>
      <c r="H14" s="622" t="s">
        <v>12</v>
      </c>
      <c r="I14" s="880"/>
      <c r="J14" s="880"/>
      <c r="K14" s="881"/>
      <c r="L14" s="881">
        <f t="shared" ref="L14:N14" ca="1" si="6">L15+L16</f>
        <v>354000</v>
      </c>
      <c r="M14" s="881">
        <f t="shared" ca="1" si="6"/>
        <v>354000</v>
      </c>
      <c r="N14" s="881">
        <f t="shared" ca="1" si="6"/>
        <v>354000</v>
      </c>
      <c r="O14" s="881">
        <f t="shared" ca="1" si="1"/>
        <v>100</v>
      </c>
      <c r="P14" s="881">
        <f t="shared" ca="1" si="2"/>
        <v>100</v>
      </c>
      <c r="Q14" s="868"/>
      <c r="R14" s="868"/>
      <c r="S14" s="868"/>
      <c r="T14" s="868"/>
      <c r="U14" s="868"/>
      <c r="V14" s="868"/>
      <c r="W14" s="868"/>
      <c r="X14" s="868"/>
      <c r="Y14" s="868"/>
      <c r="Z14" s="868"/>
    </row>
    <row r="15" spans="1:26" ht="18.75" hidden="1">
      <c r="A15" s="882"/>
      <c r="B15" s="883"/>
      <c r="C15" s="883"/>
      <c r="D15" s="883"/>
      <c r="E15" s="884" t="s">
        <v>18</v>
      </c>
      <c r="F15" s="883"/>
      <c r="G15" s="885"/>
      <c r="H15" s="43" t="s">
        <v>12</v>
      </c>
      <c r="I15" s="886"/>
      <c r="J15" s="886"/>
      <c r="K15" s="887"/>
      <c r="L15" s="887">
        <f t="shared" ref="L15:N16" si="7">L25+L35</f>
        <v>0</v>
      </c>
      <c r="M15" s="887">
        <f t="shared" si="7"/>
        <v>0</v>
      </c>
      <c r="N15" s="887">
        <f t="shared" si="7"/>
        <v>0</v>
      </c>
      <c r="O15" s="887">
        <f t="shared" si="1"/>
        <v>0</v>
      </c>
      <c r="P15" s="887">
        <f t="shared" si="2"/>
        <v>0</v>
      </c>
      <c r="Q15" s="875"/>
      <c r="R15" s="875"/>
      <c r="S15" s="875"/>
      <c r="T15" s="875"/>
      <c r="U15" s="875"/>
      <c r="V15" s="875"/>
      <c r="W15" s="875"/>
      <c r="X15" s="875"/>
      <c r="Y15" s="875"/>
      <c r="Z15" s="875"/>
    </row>
    <row r="16" spans="1:26" ht="18.75" hidden="1">
      <c r="A16" s="888"/>
      <c r="B16" s="889"/>
      <c r="C16" s="889"/>
      <c r="D16" s="889"/>
      <c r="E16" s="890" t="s">
        <v>19</v>
      </c>
      <c r="F16" s="889"/>
      <c r="G16" s="891"/>
      <c r="H16" s="50" t="s">
        <v>12</v>
      </c>
      <c r="I16" s="892"/>
      <c r="J16" s="892"/>
      <c r="K16" s="893"/>
      <c r="L16" s="893">
        <f t="shared" ca="1" si="7"/>
        <v>354000</v>
      </c>
      <c r="M16" s="893">
        <f t="shared" ca="1" si="7"/>
        <v>354000</v>
      </c>
      <c r="N16" s="893">
        <f t="shared" ca="1" si="7"/>
        <v>354000</v>
      </c>
      <c r="O16" s="893">
        <f t="shared" ca="1" si="1"/>
        <v>100</v>
      </c>
      <c r="P16" s="893">
        <f t="shared" ca="1" si="2"/>
        <v>100</v>
      </c>
      <c r="Q16" s="875"/>
      <c r="R16" s="875"/>
      <c r="S16" s="875"/>
      <c r="T16" s="875"/>
      <c r="U16" s="875"/>
      <c r="V16" s="875"/>
      <c r="W16" s="875"/>
      <c r="X16" s="875"/>
      <c r="Y16" s="875"/>
      <c r="Z16" s="875"/>
    </row>
    <row r="17" spans="1:26" ht="19.5">
      <c r="A17" s="856" t="s">
        <v>22</v>
      </c>
      <c r="B17" s="833"/>
      <c r="C17" s="833"/>
      <c r="D17" s="833"/>
      <c r="E17" s="833"/>
      <c r="F17" s="833"/>
      <c r="G17" s="831"/>
      <c r="H17" s="857"/>
      <c r="I17" s="858"/>
      <c r="J17" s="858"/>
      <c r="K17" s="859"/>
      <c r="L17" s="859"/>
      <c r="M17" s="859"/>
      <c r="N17" s="859"/>
      <c r="O17" s="859"/>
      <c r="P17" s="859"/>
    </row>
    <row r="18" spans="1:26" ht="19.5">
      <c r="A18" s="860"/>
      <c r="B18" s="861"/>
      <c r="C18" s="862" t="s">
        <v>16</v>
      </c>
      <c r="D18" s="863" t="s">
        <v>17</v>
      </c>
      <c r="E18" s="861"/>
      <c r="F18" s="861"/>
      <c r="G18" s="864"/>
      <c r="H18" s="19" t="s">
        <v>12</v>
      </c>
      <c r="I18" s="865"/>
      <c r="J18" s="865"/>
      <c r="K18" s="866"/>
      <c r="L18" s="867">
        <f t="shared" ref="L18:N18" ca="1" si="8">L19+L20</f>
        <v>3400530</v>
      </c>
      <c r="M18" s="867">
        <f t="shared" ca="1" si="8"/>
        <v>2866770</v>
      </c>
      <c r="N18" s="867">
        <f t="shared" ca="1" si="8"/>
        <v>1788067.75</v>
      </c>
      <c r="O18" s="867">
        <f t="shared" ref="O18:O26" ca="1" si="9">IF(L18&gt;0,N18*100/L18,0)</f>
        <v>52.58203133041026</v>
      </c>
      <c r="P18" s="867">
        <f t="shared" ref="P18:P26" ca="1" si="10">IF(M18&gt;0,N18*100/M18,0)</f>
        <v>62.372208094824487</v>
      </c>
      <c r="Q18" s="868"/>
      <c r="R18" s="868"/>
      <c r="S18" s="868"/>
      <c r="T18" s="868"/>
      <c r="U18" s="868"/>
      <c r="V18" s="868"/>
      <c r="W18" s="868"/>
      <c r="X18" s="868"/>
      <c r="Y18" s="868"/>
      <c r="Z18" s="868"/>
    </row>
    <row r="19" spans="1:26" ht="18.75" hidden="1">
      <c r="A19" s="869"/>
      <c r="B19" s="870"/>
      <c r="C19" s="870"/>
      <c r="D19" s="870"/>
      <c r="E19" s="871" t="s">
        <v>18</v>
      </c>
      <c r="F19" s="870"/>
      <c r="G19" s="872"/>
      <c r="H19" s="28" t="s">
        <v>12</v>
      </c>
      <c r="I19" s="873"/>
      <c r="J19" s="873"/>
      <c r="K19" s="874"/>
      <c r="L19" s="874">
        <f t="shared" ref="L19:N20" si="11">L22+L25</f>
        <v>0</v>
      </c>
      <c r="M19" s="874">
        <f t="shared" si="11"/>
        <v>0</v>
      </c>
      <c r="N19" s="874">
        <f t="shared" si="11"/>
        <v>0</v>
      </c>
      <c r="O19" s="874">
        <f t="shared" si="9"/>
        <v>0</v>
      </c>
      <c r="P19" s="874">
        <f t="shared" si="10"/>
        <v>0</v>
      </c>
      <c r="Q19" s="875"/>
      <c r="R19" s="875"/>
      <c r="S19" s="875"/>
      <c r="T19" s="875"/>
      <c r="U19" s="875"/>
      <c r="V19" s="875"/>
      <c r="W19" s="875"/>
      <c r="X19" s="875"/>
      <c r="Y19" s="875"/>
      <c r="Z19" s="875"/>
    </row>
    <row r="20" spans="1:26" ht="18.75" hidden="1">
      <c r="A20" s="869"/>
      <c r="B20" s="870"/>
      <c r="C20" s="870"/>
      <c r="D20" s="870"/>
      <c r="E20" s="871" t="s">
        <v>19</v>
      </c>
      <c r="F20" s="870"/>
      <c r="G20" s="872"/>
      <c r="H20" s="28" t="s">
        <v>12</v>
      </c>
      <c r="I20" s="873"/>
      <c r="J20" s="873"/>
      <c r="K20" s="874"/>
      <c r="L20" s="874">
        <f t="shared" ca="1" si="11"/>
        <v>3400530</v>
      </c>
      <c r="M20" s="874">
        <f t="shared" ca="1" si="11"/>
        <v>2866770</v>
      </c>
      <c r="N20" s="874">
        <f t="shared" ca="1" si="11"/>
        <v>1788067.75</v>
      </c>
      <c r="O20" s="874">
        <f t="shared" ca="1" si="9"/>
        <v>52.58203133041026</v>
      </c>
      <c r="P20" s="874">
        <f t="shared" ca="1" si="10"/>
        <v>62.372208094824487</v>
      </c>
      <c r="Q20" s="875"/>
      <c r="R20" s="875"/>
      <c r="S20" s="875"/>
      <c r="T20" s="875"/>
      <c r="U20" s="875"/>
      <c r="V20" s="875"/>
      <c r="W20" s="875"/>
      <c r="X20" s="875"/>
      <c r="Y20" s="875"/>
      <c r="Z20" s="875"/>
    </row>
    <row r="21" spans="1:26" ht="18.75">
      <c r="A21" s="876"/>
      <c r="B21" s="877"/>
      <c r="C21" s="877"/>
      <c r="D21" s="878" t="s">
        <v>20</v>
      </c>
      <c r="E21" s="877"/>
      <c r="F21" s="877"/>
      <c r="G21" s="879"/>
      <c r="H21" s="622" t="s">
        <v>12</v>
      </c>
      <c r="I21" s="880"/>
      <c r="J21" s="880"/>
      <c r="K21" s="881"/>
      <c r="L21" s="881">
        <f t="shared" ref="L21:N21" ca="1" si="12">L22+L23</f>
        <v>3046530</v>
      </c>
      <c r="M21" s="881">
        <f t="shared" ca="1" si="12"/>
        <v>2512770</v>
      </c>
      <c r="N21" s="881">
        <f t="shared" ca="1" si="12"/>
        <v>1434067.75</v>
      </c>
      <c r="O21" s="881">
        <f t="shared" ca="1" si="9"/>
        <v>47.072168992263329</v>
      </c>
      <c r="P21" s="881">
        <f t="shared" ca="1" si="10"/>
        <v>57.071190359642941</v>
      </c>
      <c r="Q21" s="868"/>
      <c r="R21" s="868"/>
      <c r="S21" s="868"/>
      <c r="T21" s="868"/>
      <c r="U21" s="868"/>
      <c r="V21" s="868"/>
      <c r="W21" s="868"/>
      <c r="X21" s="868"/>
      <c r="Y21" s="868"/>
      <c r="Z21" s="868"/>
    </row>
    <row r="22" spans="1:26" ht="18.75" hidden="1">
      <c r="A22" s="882"/>
      <c r="B22" s="883"/>
      <c r="C22" s="883"/>
      <c r="D22" s="883"/>
      <c r="E22" s="884" t="s">
        <v>18</v>
      </c>
      <c r="F22" s="883"/>
      <c r="G22" s="885"/>
      <c r="H22" s="43" t="s">
        <v>12</v>
      </c>
      <c r="I22" s="886"/>
      <c r="J22" s="886"/>
      <c r="K22" s="887"/>
      <c r="L22" s="887">
        <f t="shared" ref="L22:N23" si="13">L45+L57+L70+L92+L123+L136+L153+L185+L169+L265+L281+L302+L319+L332+L349+L393+L406</f>
        <v>0</v>
      </c>
      <c r="M22" s="887">
        <f t="shared" si="13"/>
        <v>0</v>
      </c>
      <c r="N22" s="887">
        <f t="shared" si="13"/>
        <v>0</v>
      </c>
      <c r="O22" s="887">
        <f t="shared" si="9"/>
        <v>0</v>
      </c>
      <c r="P22" s="887">
        <f t="shared" si="10"/>
        <v>0</v>
      </c>
      <c r="Q22" s="875"/>
      <c r="R22" s="875"/>
      <c r="S22" s="875"/>
      <c r="T22" s="875"/>
      <c r="U22" s="875"/>
      <c r="V22" s="875"/>
      <c r="W22" s="875"/>
      <c r="X22" s="875"/>
      <c r="Y22" s="875"/>
      <c r="Z22" s="875"/>
    </row>
    <row r="23" spans="1:26" ht="18.75" hidden="1">
      <c r="A23" s="882"/>
      <c r="B23" s="883"/>
      <c r="C23" s="883"/>
      <c r="D23" s="883"/>
      <c r="E23" s="884" t="s">
        <v>19</v>
      </c>
      <c r="F23" s="883"/>
      <c r="G23" s="885"/>
      <c r="H23" s="43" t="s">
        <v>12</v>
      </c>
      <c r="I23" s="886"/>
      <c r="J23" s="886"/>
      <c r="K23" s="887"/>
      <c r="L23" s="887">
        <f t="shared" ca="1" si="13"/>
        <v>3046530</v>
      </c>
      <c r="M23" s="887">
        <f t="shared" ca="1" si="13"/>
        <v>2512770</v>
      </c>
      <c r="N23" s="887">
        <f t="shared" ca="1" si="13"/>
        <v>1434067.75</v>
      </c>
      <c r="O23" s="887">
        <f t="shared" ca="1" si="9"/>
        <v>47.072168992263329</v>
      </c>
      <c r="P23" s="887">
        <f t="shared" ca="1" si="10"/>
        <v>57.071190359642941</v>
      </c>
      <c r="Q23" s="875"/>
      <c r="R23" s="875"/>
      <c r="S23" s="875"/>
      <c r="T23" s="875"/>
      <c r="U23" s="875"/>
      <c r="V23" s="875"/>
      <c r="W23" s="875"/>
      <c r="X23" s="875"/>
      <c r="Y23" s="875"/>
      <c r="Z23" s="875"/>
    </row>
    <row r="24" spans="1:26" ht="18.75">
      <c r="A24" s="876"/>
      <c r="B24" s="877"/>
      <c r="C24" s="877"/>
      <c r="D24" s="878" t="s">
        <v>21</v>
      </c>
      <c r="E24" s="877"/>
      <c r="F24" s="877"/>
      <c r="G24" s="879"/>
      <c r="H24" s="622" t="s">
        <v>12</v>
      </c>
      <c r="I24" s="880"/>
      <c r="J24" s="880"/>
      <c r="K24" s="881"/>
      <c r="L24" s="881">
        <f t="shared" ref="L24:N24" ca="1" si="14">L25+L26</f>
        <v>354000</v>
      </c>
      <c r="M24" s="881">
        <f t="shared" ca="1" si="14"/>
        <v>354000</v>
      </c>
      <c r="N24" s="881">
        <f t="shared" ca="1" si="14"/>
        <v>354000</v>
      </c>
      <c r="O24" s="881">
        <f t="shared" ca="1" si="9"/>
        <v>100</v>
      </c>
      <c r="P24" s="881">
        <f t="shared" ca="1" si="10"/>
        <v>100</v>
      </c>
      <c r="Q24" s="868"/>
      <c r="R24" s="868"/>
      <c r="S24" s="868"/>
      <c r="T24" s="868"/>
      <c r="U24" s="868"/>
      <c r="V24" s="868"/>
      <c r="W24" s="868"/>
      <c r="X24" s="868"/>
      <c r="Y24" s="868"/>
      <c r="Z24" s="868"/>
    </row>
    <row r="25" spans="1:26" ht="18.75" hidden="1">
      <c r="A25" s="882"/>
      <c r="B25" s="883"/>
      <c r="C25" s="883"/>
      <c r="D25" s="883"/>
      <c r="E25" s="884" t="s">
        <v>18</v>
      </c>
      <c r="F25" s="883"/>
      <c r="G25" s="885"/>
      <c r="H25" s="43" t="s">
        <v>12</v>
      </c>
      <c r="I25" s="886"/>
      <c r="J25" s="886"/>
      <c r="K25" s="887"/>
      <c r="L25" s="887">
        <f t="shared" ref="L25:N26" si="15">L48+L60+L73+L95+L126+L139+L156+L188+L172+L268+L284+L305+L322+L335+L352+L396+L409</f>
        <v>0</v>
      </c>
      <c r="M25" s="887">
        <f t="shared" si="15"/>
        <v>0</v>
      </c>
      <c r="N25" s="887">
        <f t="shared" si="15"/>
        <v>0</v>
      </c>
      <c r="O25" s="887">
        <f t="shared" si="9"/>
        <v>0</v>
      </c>
      <c r="P25" s="887">
        <f t="shared" si="10"/>
        <v>0</v>
      </c>
      <c r="Q25" s="875"/>
      <c r="R25" s="875"/>
      <c r="S25" s="875"/>
      <c r="T25" s="875"/>
      <c r="U25" s="875"/>
      <c r="V25" s="875"/>
      <c r="W25" s="875"/>
      <c r="X25" s="875"/>
      <c r="Y25" s="875"/>
      <c r="Z25" s="875"/>
    </row>
    <row r="26" spans="1:26" ht="18.75" hidden="1">
      <c r="A26" s="888"/>
      <c r="B26" s="889"/>
      <c r="C26" s="889"/>
      <c r="D26" s="889"/>
      <c r="E26" s="890" t="s">
        <v>19</v>
      </c>
      <c r="F26" s="889"/>
      <c r="G26" s="891"/>
      <c r="H26" s="50" t="s">
        <v>12</v>
      </c>
      <c r="I26" s="892"/>
      <c r="J26" s="892"/>
      <c r="K26" s="893"/>
      <c r="L26" s="893">
        <f t="shared" ca="1" si="15"/>
        <v>354000</v>
      </c>
      <c r="M26" s="893">
        <f t="shared" ca="1" si="15"/>
        <v>354000</v>
      </c>
      <c r="N26" s="893">
        <f t="shared" ca="1" si="15"/>
        <v>354000</v>
      </c>
      <c r="O26" s="893">
        <f t="shared" ca="1" si="9"/>
        <v>100</v>
      </c>
      <c r="P26" s="893">
        <f t="shared" ca="1" si="10"/>
        <v>100</v>
      </c>
      <c r="Q26" s="875"/>
      <c r="R26" s="875"/>
      <c r="S26" s="875"/>
      <c r="T26" s="875"/>
      <c r="U26" s="875"/>
      <c r="V26" s="875"/>
      <c r="W26" s="875"/>
      <c r="X26" s="875"/>
      <c r="Y26" s="875"/>
      <c r="Z26" s="875"/>
    </row>
    <row r="27" spans="1:26" ht="19.5">
      <c r="A27" s="856" t="s">
        <v>23</v>
      </c>
      <c r="B27" s="833"/>
      <c r="C27" s="833"/>
      <c r="D27" s="833"/>
      <c r="E27" s="833"/>
      <c r="F27" s="833"/>
      <c r="G27" s="831"/>
      <c r="H27" s="857"/>
      <c r="I27" s="858"/>
      <c r="J27" s="858"/>
      <c r="K27" s="859"/>
      <c r="L27" s="859"/>
      <c r="M27" s="859"/>
      <c r="N27" s="859"/>
      <c r="O27" s="859"/>
      <c r="P27" s="859"/>
    </row>
    <row r="28" spans="1:26" ht="19.5">
      <c r="A28" s="860"/>
      <c r="B28" s="861"/>
      <c r="C28" s="862" t="s">
        <v>16</v>
      </c>
      <c r="D28" s="863" t="s">
        <v>17</v>
      </c>
      <c r="E28" s="861"/>
      <c r="F28" s="861"/>
      <c r="G28" s="864"/>
      <c r="H28" s="19" t="s">
        <v>12</v>
      </c>
      <c r="I28" s="865"/>
      <c r="J28" s="865"/>
      <c r="K28" s="866"/>
      <c r="L28" s="867">
        <f t="shared" ref="L28:N28" ca="1" si="16">L29+L30</f>
        <v>1272608</v>
      </c>
      <c r="M28" s="867">
        <f t="shared" ca="1" si="16"/>
        <v>1272608</v>
      </c>
      <c r="N28" s="867">
        <f t="shared" si="16"/>
        <v>564132.12</v>
      </c>
      <c r="O28" s="867">
        <f t="shared" ref="O28:O37" ca="1" si="17">IF(L28&gt;0,N28*100/L28,0)</f>
        <v>44.328820815207827</v>
      </c>
      <c r="P28" s="867">
        <f t="shared" ref="P28:P37" ca="1" si="18">IF(M28&gt;0,N28*100/M28,0)</f>
        <v>44.328820815207827</v>
      </c>
      <c r="Q28" s="868"/>
      <c r="R28" s="868"/>
      <c r="S28" s="868"/>
      <c r="T28" s="868"/>
      <c r="U28" s="868"/>
      <c r="V28" s="868"/>
      <c r="W28" s="868"/>
      <c r="X28" s="868"/>
      <c r="Y28" s="868"/>
      <c r="Z28" s="868"/>
    </row>
    <row r="29" spans="1:26" ht="18.75" hidden="1">
      <c r="A29" s="869"/>
      <c r="B29" s="870"/>
      <c r="C29" s="870"/>
      <c r="D29" s="870"/>
      <c r="E29" s="871" t="s">
        <v>18</v>
      </c>
      <c r="F29" s="870"/>
      <c r="G29" s="872"/>
      <c r="H29" s="28" t="s">
        <v>12</v>
      </c>
      <c r="I29" s="873"/>
      <c r="J29" s="873"/>
      <c r="K29" s="874"/>
      <c r="L29" s="874">
        <f t="shared" ref="L29:N30" si="19">L32+L35</f>
        <v>0</v>
      </c>
      <c r="M29" s="874">
        <f t="shared" si="19"/>
        <v>0</v>
      </c>
      <c r="N29" s="874">
        <f t="shared" si="19"/>
        <v>0</v>
      </c>
      <c r="O29" s="874">
        <f t="shared" si="17"/>
        <v>0</v>
      </c>
      <c r="P29" s="874">
        <f t="shared" si="18"/>
        <v>0</v>
      </c>
      <c r="Q29" s="875"/>
      <c r="R29" s="875"/>
      <c r="S29" s="875"/>
      <c r="T29" s="875"/>
      <c r="U29" s="875"/>
      <c r="V29" s="875"/>
      <c r="W29" s="875"/>
      <c r="X29" s="875"/>
      <c r="Y29" s="875"/>
      <c r="Z29" s="875"/>
    </row>
    <row r="30" spans="1:26" ht="18.75" hidden="1">
      <c r="A30" s="869"/>
      <c r="B30" s="870"/>
      <c r="C30" s="870"/>
      <c r="D30" s="870"/>
      <c r="E30" s="871" t="s">
        <v>19</v>
      </c>
      <c r="F30" s="870"/>
      <c r="G30" s="872"/>
      <c r="H30" s="28" t="s">
        <v>12</v>
      </c>
      <c r="I30" s="873"/>
      <c r="J30" s="873"/>
      <c r="K30" s="874"/>
      <c r="L30" s="874">
        <f t="shared" ca="1" si="19"/>
        <v>1272608</v>
      </c>
      <c r="M30" s="874">
        <f t="shared" ca="1" si="19"/>
        <v>1272608</v>
      </c>
      <c r="N30" s="874">
        <f t="shared" si="19"/>
        <v>564132.12</v>
      </c>
      <c r="O30" s="874">
        <f t="shared" ca="1" si="17"/>
        <v>44.328820815207827</v>
      </c>
      <c r="P30" s="874">
        <f t="shared" ca="1" si="18"/>
        <v>44.328820815207827</v>
      </c>
      <c r="Q30" s="875"/>
      <c r="R30" s="875"/>
      <c r="S30" s="875"/>
      <c r="T30" s="875"/>
      <c r="U30" s="875"/>
      <c r="V30" s="875"/>
      <c r="W30" s="875"/>
      <c r="X30" s="875"/>
      <c r="Y30" s="875"/>
      <c r="Z30" s="875"/>
    </row>
    <row r="31" spans="1:26" ht="18.75">
      <c r="A31" s="876"/>
      <c r="B31" s="877"/>
      <c r="C31" s="877"/>
      <c r="D31" s="878" t="s">
        <v>20</v>
      </c>
      <c r="E31" s="877"/>
      <c r="F31" s="877"/>
      <c r="G31" s="879"/>
      <c r="H31" s="622" t="s">
        <v>12</v>
      </c>
      <c r="I31" s="880"/>
      <c r="J31" s="880"/>
      <c r="K31" s="881"/>
      <c r="L31" s="881">
        <f t="shared" ref="L31:N31" ca="1" si="20">L32+L33</f>
        <v>1272608</v>
      </c>
      <c r="M31" s="881">
        <f t="shared" ca="1" si="20"/>
        <v>1272608</v>
      </c>
      <c r="N31" s="881">
        <f t="shared" si="20"/>
        <v>564132.12</v>
      </c>
      <c r="O31" s="881">
        <f t="shared" ca="1" si="17"/>
        <v>44.328820815207827</v>
      </c>
      <c r="P31" s="881">
        <f t="shared" ca="1" si="18"/>
        <v>44.328820815207827</v>
      </c>
      <c r="Q31" s="868"/>
      <c r="R31" s="868"/>
      <c r="S31" s="868"/>
      <c r="T31" s="868"/>
      <c r="U31" s="868"/>
      <c r="V31" s="868"/>
      <c r="W31" s="868"/>
      <c r="X31" s="868"/>
      <c r="Y31" s="868"/>
      <c r="Z31" s="868"/>
    </row>
    <row r="32" spans="1:26" ht="18.75" hidden="1">
      <c r="A32" s="882"/>
      <c r="B32" s="883"/>
      <c r="C32" s="883"/>
      <c r="D32" s="883"/>
      <c r="E32" s="884" t="s">
        <v>18</v>
      </c>
      <c r="F32" s="883"/>
      <c r="G32" s="885"/>
      <c r="H32" s="43" t="s">
        <v>12</v>
      </c>
      <c r="I32" s="886"/>
      <c r="J32" s="886"/>
      <c r="K32" s="887"/>
      <c r="L32" s="887">
        <f t="shared" ref="L32:N33" si="21">L423+L448+L471+L506+L527+L548+L633+L659+L689+L741+L758+L774+L790+L809</f>
        <v>0</v>
      </c>
      <c r="M32" s="887">
        <f t="shared" si="21"/>
        <v>0</v>
      </c>
      <c r="N32" s="887">
        <f t="shared" si="21"/>
        <v>0</v>
      </c>
      <c r="O32" s="887">
        <f t="shared" si="17"/>
        <v>0</v>
      </c>
      <c r="P32" s="887">
        <f t="shared" si="18"/>
        <v>0</v>
      </c>
      <c r="Q32" s="875"/>
      <c r="R32" s="875"/>
      <c r="S32" s="875"/>
      <c r="T32" s="875"/>
      <c r="U32" s="875"/>
      <c r="V32" s="875"/>
      <c r="W32" s="875"/>
      <c r="X32" s="875"/>
      <c r="Y32" s="875"/>
      <c r="Z32" s="875"/>
    </row>
    <row r="33" spans="1:26" ht="18.75" hidden="1">
      <c r="A33" s="882"/>
      <c r="B33" s="883"/>
      <c r="C33" s="883"/>
      <c r="D33" s="883"/>
      <c r="E33" s="884" t="s">
        <v>19</v>
      </c>
      <c r="F33" s="883"/>
      <c r="G33" s="885"/>
      <c r="H33" s="43" t="s">
        <v>12</v>
      </c>
      <c r="I33" s="886"/>
      <c r="J33" s="886"/>
      <c r="K33" s="887"/>
      <c r="L33" s="887">
        <f t="shared" ca="1" si="21"/>
        <v>1272608</v>
      </c>
      <c r="M33" s="887">
        <f t="shared" ca="1" si="21"/>
        <v>1272608</v>
      </c>
      <c r="N33" s="887">
        <f t="shared" si="21"/>
        <v>564132.12</v>
      </c>
      <c r="O33" s="887">
        <f t="shared" ca="1" si="17"/>
        <v>44.328820815207827</v>
      </c>
      <c r="P33" s="887">
        <f t="shared" ca="1" si="18"/>
        <v>44.328820815207827</v>
      </c>
      <c r="Q33" s="875"/>
      <c r="R33" s="875"/>
      <c r="S33" s="875"/>
      <c r="T33" s="875"/>
      <c r="U33" s="875"/>
      <c r="V33" s="875"/>
      <c r="W33" s="875"/>
      <c r="X33" s="875"/>
      <c r="Y33" s="875"/>
      <c r="Z33" s="875"/>
    </row>
    <row r="34" spans="1:26" ht="18.75">
      <c r="A34" s="876"/>
      <c r="B34" s="877"/>
      <c r="C34" s="877"/>
      <c r="D34" s="878" t="s">
        <v>21</v>
      </c>
      <c r="E34" s="877"/>
      <c r="F34" s="877"/>
      <c r="G34" s="879"/>
      <c r="H34" s="622" t="s">
        <v>12</v>
      </c>
      <c r="I34" s="880"/>
      <c r="J34" s="880"/>
      <c r="K34" s="881"/>
      <c r="L34" s="881">
        <f t="shared" ref="L34:N34" ca="1" si="22">L35+L36</f>
        <v>0</v>
      </c>
      <c r="M34" s="881">
        <f t="shared" si="22"/>
        <v>0</v>
      </c>
      <c r="N34" s="881">
        <f t="shared" si="22"/>
        <v>0</v>
      </c>
      <c r="O34" s="881">
        <f t="shared" ca="1" si="17"/>
        <v>0</v>
      </c>
      <c r="P34" s="881">
        <f t="shared" si="18"/>
        <v>0</v>
      </c>
      <c r="Q34" s="868"/>
      <c r="R34" s="868"/>
      <c r="S34" s="868"/>
      <c r="T34" s="868"/>
      <c r="U34" s="868"/>
      <c r="V34" s="868"/>
      <c r="W34" s="868"/>
      <c r="X34" s="868"/>
      <c r="Y34" s="868"/>
      <c r="Z34" s="868"/>
    </row>
    <row r="35" spans="1:26" ht="18.75" hidden="1">
      <c r="A35" s="882"/>
      <c r="B35" s="883"/>
      <c r="C35" s="883"/>
      <c r="D35" s="883"/>
      <c r="E35" s="884" t="s">
        <v>18</v>
      </c>
      <c r="F35" s="883"/>
      <c r="G35" s="885"/>
      <c r="H35" s="43" t="s">
        <v>12</v>
      </c>
      <c r="I35" s="886"/>
      <c r="J35" s="886"/>
      <c r="K35" s="887"/>
      <c r="L35" s="887">
        <f t="shared" ref="L35:N36" si="23">L430+L455+L478+L513+L534+L556+L640+L666+L696+L748+L765+L781+L797+L816</f>
        <v>0</v>
      </c>
      <c r="M35" s="887">
        <f t="shared" si="23"/>
        <v>0</v>
      </c>
      <c r="N35" s="887">
        <f t="shared" si="23"/>
        <v>0</v>
      </c>
      <c r="O35" s="887">
        <f t="shared" si="17"/>
        <v>0</v>
      </c>
      <c r="P35" s="887">
        <f t="shared" si="18"/>
        <v>0</v>
      </c>
      <c r="Q35" s="875"/>
      <c r="R35" s="875"/>
      <c r="S35" s="875"/>
      <c r="T35" s="875"/>
      <c r="U35" s="875"/>
      <c r="V35" s="875"/>
      <c r="W35" s="875"/>
      <c r="X35" s="875"/>
      <c r="Y35" s="875"/>
      <c r="Z35" s="875"/>
    </row>
    <row r="36" spans="1:26" ht="18.75" hidden="1">
      <c r="A36" s="888"/>
      <c r="B36" s="889"/>
      <c r="C36" s="889"/>
      <c r="D36" s="889"/>
      <c r="E36" s="890" t="s">
        <v>19</v>
      </c>
      <c r="F36" s="889"/>
      <c r="G36" s="891"/>
      <c r="H36" s="50" t="s">
        <v>12</v>
      </c>
      <c r="I36" s="892"/>
      <c r="J36" s="892"/>
      <c r="K36" s="893"/>
      <c r="L36" s="893">
        <f t="shared" ca="1" si="23"/>
        <v>0</v>
      </c>
      <c r="M36" s="893">
        <f t="shared" si="23"/>
        <v>0</v>
      </c>
      <c r="N36" s="893">
        <f t="shared" si="23"/>
        <v>0</v>
      </c>
      <c r="O36" s="893">
        <f t="shared" ca="1" si="17"/>
        <v>0</v>
      </c>
      <c r="P36" s="893">
        <f t="shared" si="18"/>
        <v>0</v>
      </c>
      <c r="Q36" s="875"/>
      <c r="R36" s="875"/>
      <c r="S36" s="875"/>
      <c r="T36" s="875"/>
      <c r="U36" s="875"/>
      <c r="V36" s="875"/>
      <c r="W36" s="875"/>
      <c r="X36" s="875"/>
      <c r="Y36" s="875"/>
      <c r="Z36" s="875"/>
    </row>
    <row r="37" spans="1:26" ht="19.5">
      <c r="A37" s="894" t="s">
        <v>24</v>
      </c>
      <c r="B37" s="895"/>
      <c r="C37" s="895"/>
      <c r="D37" s="895"/>
      <c r="E37" s="895"/>
      <c r="F37" s="895"/>
      <c r="G37" s="896"/>
      <c r="H37" s="897"/>
      <c r="I37" s="898"/>
      <c r="J37" s="898"/>
      <c r="K37" s="899"/>
      <c r="L37" s="900">
        <f t="shared" ref="L37:N37" ca="1" si="24">L41+L53+L66+L88+L119+L132+L149+L165+L181+L261+L277+L298+L315+L328+L345+L389+L402</f>
        <v>3400530</v>
      </c>
      <c r="M37" s="900">
        <f t="shared" ca="1" si="24"/>
        <v>2866770</v>
      </c>
      <c r="N37" s="900">
        <f t="shared" ca="1" si="24"/>
        <v>1788067.75</v>
      </c>
      <c r="O37" s="900">
        <f t="shared" ca="1" si="17"/>
        <v>52.58203133041026</v>
      </c>
      <c r="P37" s="900">
        <f t="shared" ca="1" si="18"/>
        <v>62.372208094824487</v>
      </c>
    </row>
    <row r="38" spans="1:26" ht="19.5">
      <c r="A38" s="901" t="s">
        <v>25</v>
      </c>
      <c r="B38" s="902"/>
      <c r="C38" s="902"/>
      <c r="D38" s="902"/>
      <c r="E38" s="902"/>
      <c r="F38" s="902"/>
      <c r="G38" s="903"/>
      <c r="H38" s="904"/>
      <c r="I38" s="905"/>
      <c r="J38" s="905"/>
      <c r="K38" s="906"/>
      <c r="L38" s="906"/>
      <c r="M38" s="906"/>
      <c r="N38" s="906"/>
      <c r="O38" s="906"/>
      <c r="P38" s="906"/>
    </row>
    <row r="39" spans="1:26" ht="19.5">
      <c r="A39" s="907"/>
      <c r="B39" s="908" t="s">
        <v>26</v>
      </c>
      <c r="C39" s="909"/>
      <c r="D39" s="909"/>
      <c r="E39" s="909"/>
      <c r="F39" s="909"/>
      <c r="G39" s="910"/>
      <c r="H39" s="911"/>
      <c r="I39" s="912"/>
      <c r="J39" s="912"/>
      <c r="K39" s="913"/>
      <c r="L39" s="913"/>
      <c r="M39" s="913"/>
      <c r="N39" s="913"/>
      <c r="O39" s="913"/>
      <c r="P39" s="913"/>
    </row>
    <row r="40" spans="1:26" ht="19.5">
      <c r="A40" s="914"/>
      <c r="B40" s="915" t="s">
        <v>27</v>
      </c>
      <c r="C40" s="841"/>
      <c r="D40" s="841"/>
      <c r="E40" s="841"/>
      <c r="F40" s="841"/>
      <c r="G40" s="842"/>
      <c r="H40" s="916"/>
      <c r="I40" s="917"/>
      <c r="J40" s="917"/>
      <c r="K40" s="918"/>
      <c r="L40" s="918"/>
      <c r="M40" s="918"/>
      <c r="N40" s="918"/>
      <c r="O40" s="918"/>
      <c r="P40" s="918"/>
    </row>
    <row r="41" spans="1:26" ht="19.5">
      <c r="A41" s="919"/>
      <c r="B41" s="920"/>
      <c r="C41" s="921" t="s">
        <v>16</v>
      </c>
      <c r="D41" s="922" t="s">
        <v>17</v>
      </c>
      <c r="E41" s="920"/>
      <c r="F41" s="920"/>
      <c r="G41" s="923"/>
      <c r="H41" s="82" t="s">
        <v>12</v>
      </c>
      <c r="I41" s="924"/>
      <c r="J41" s="924"/>
      <c r="K41" s="925"/>
      <c r="L41" s="926">
        <f t="shared" ref="L41:N41" ca="1" si="25">L42+L43</f>
        <v>560900</v>
      </c>
      <c r="M41" s="926">
        <f t="shared" ca="1" si="25"/>
        <v>570860</v>
      </c>
      <c r="N41" s="926">
        <f t="shared" ca="1" si="25"/>
        <v>197498.75</v>
      </c>
      <c r="O41" s="926">
        <f t="shared" ref="O41:O49" ca="1" si="26">IF(L41&gt;0,N41*100/L41,0)</f>
        <v>35.211044749509718</v>
      </c>
      <c r="P41" s="926">
        <f t="shared" ref="P41:P49" ca="1" si="27">IF(M41&gt;0,N41*100/M41,0)</f>
        <v>34.596704971446592</v>
      </c>
      <c r="Q41" s="868"/>
      <c r="R41" s="868"/>
      <c r="S41" s="868"/>
      <c r="T41" s="868"/>
      <c r="U41" s="868"/>
      <c r="V41" s="868"/>
      <c r="W41" s="868"/>
      <c r="X41" s="868"/>
      <c r="Y41" s="868"/>
      <c r="Z41" s="868"/>
    </row>
    <row r="42" spans="1:26" ht="18.75" hidden="1">
      <c r="A42" s="927"/>
      <c r="B42" s="928"/>
      <c r="C42" s="928"/>
      <c r="D42" s="928"/>
      <c r="E42" s="929" t="s">
        <v>18</v>
      </c>
      <c r="F42" s="928"/>
      <c r="G42" s="930"/>
      <c r="H42" s="90" t="s">
        <v>12</v>
      </c>
      <c r="I42" s="931"/>
      <c r="J42" s="931"/>
      <c r="K42" s="932"/>
      <c r="L42" s="932">
        <f t="shared" ref="L42:N43" si="28">L45+L48</f>
        <v>0</v>
      </c>
      <c r="M42" s="932">
        <f t="shared" si="28"/>
        <v>0</v>
      </c>
      <c r="N42" s="932">
        <f t="shared" si="28"/>
        <v>0</v>
      </c>
      <c r="O42" s="932">
        <f t="shared" si="26"/>
        <v>0</v>
      </c>
      <c r="P42" s="932">
        <f t="shared" si="27"/>
        <v>0</v>
      </c>
      <c r="Q42" s="875"/>
      <c r="R42" s="875"/>
      <c r="S42" s="875"/>
      <c r="T42" s="875"/>
      <c r="U42" s="875"/>
      <c r="V42" s="875"/>
      <c r="W42" s="875"/>
      <c r="X42" s="875"/>
      <c r="Y42" s="875"/>
      <c r="Z42" s="875"/>
    </row>
    <row r="43" spans="1:26" ht="18.75" hidden="1">
      <c r="A43" s="927"/>
      <c r="B43" s="928"/>
      <c r="C43" s="928"/>
      <c r="D43" s="928"/>
      <c r="E43" s="929" t="s">
        <v>19</v>
      </c>
      <c r="F43" s="928"/>
      <c r="G43" s="930"/>
      <c r="H43" s="90" t="s">
        <v>12</v>
      </c>
      <c r="I43" s="931"/>
      <c r="J43" s="931"/>
      <c r="K43" s="932"/>
      <c r="L43" s="932">
        <f t="shared" ca="1" si="28"/>
        <v>560900</v>
      </c>
      <c r="M43" s="932">
        <f t="shared" ca="1" si="28"/>
        <v>570860</v>
      </c>
      <c r="N43" s="932">
        <f t="shared" ca="1" si="28"/>
        <v>197498.75</v>
      </c>
      <c r="O43" s="932">
        <f t="shared" ca="1" si="26"/>
        <v>35.211044749509718</v>
      </c>
      <c r="P43" s="932">
        <f t="shared" ca="1" si="27"/>
        <v>34.596704971446592</v>
      </c>
      <c r="Q43" s="875"/>
      <c r="R43" s="875"/>
      <c r="S43" s="875"/>
      <c r="T43" s="875"/>
      <c r="U43" s="875"/>
      <c r="V43" s="875"/>
      <c r="W43" s="875"/>
      <c r="X43" s="875"/>
      <c r="Y43" s="875"/>
      <c r="Z43" s="875"/>
    </row>
    <row r="44" spans="1:26" ht="18.75">
      <c r="A44" s="876"/>
      <c r="B44" s="877"/>
      <c r="C44" s="877"/>
      <c r="D44" s="878" t="s">
        <v>20</v>
      </c>
      <c r="E44" s="877"/>
      <c r="F44" s="877"/>
      <c r="G44" s="879"/>
      <c r="H44" s="622" t="s">
        <v>12</v>
      </c>
      <c r="I44" s="880"/>
      <c r="J44" s="880"/>
      <c r="K44" s="881"/>
      <c r="L44" s="881">
        <f t="shared" ref="L44:N44" ca="1" si="29">L45+L46</f>
        <v>560900</v>
      </c>
      <c r="M44" s="881">
        <f t="shared" ca="1" si="29"/>
        <v>570860</v>
      </c>
      <c r="N44" s="881">
        <f t="shared" ca="1" si="29"/>
        <v>197498.75</v>
      </c>
      <c r="O44" s="881">
        <f t="shared" ca="1" si="26"/>
        <v>35.211044749509718</v>
      </c>
      <c r="P44" s="881">
        <f t="shared" ca="1" si="27"/>
        <v>34.596704971446592</v>
      </c>
      <c r="Q44" s="868"/>
      <c r="R44" s="868"/>
      <c r="S44" s="868"/>
      <c r="T44" s="868"/>
      <c r="U44" s="868"/>
      <c r="V44" s="868"/>
      <c r="W44" s="868"/>
      <c r="X44" s="868"/>
      <c r="Y44" s="868"/>
      <c r="Z44" s="868"/>
    </row>
    <row r="45" spans="1:26" ht="18.75" hidden="1">
      <c r="A45" s="882"/>
      <c r="B45" s="883"/>
      <c r="C45" s="883"/>
      <c r="D45" s="883"/>
      <c r="E45" s="884" t="s">
        <v>18</v>
      </c>
      <c r="F45" s="883"/>
      <c r="G45" s="885"/>
      <c r="H45" s="43" t="s">
        <v>12</v>
      </c>
      <c r="I45" s="886"/>
      <c r="J45" s="886"/>
      <c r="K45" s="887"/>
      <c r="L45" s="887">
        <v>0</v>
      </c>
      <c r="M45" s="887">
        <v>0</v>
      </c>
      <c r="N45" s="887">
        <v>0</v>
      </c>
      <c r="O45" s="887">
        <f t="shared" si="26"/>
        <v>0</v>
      </c>
      <c r="P45" s="887">
        <f t="shared" si="27"/>
        <v>0</v>
      </c>
      <c r="Q45" s="875"/>
      <c r="R45" s="875"/>
      <c r="S45" s="875"/>
      <c r="T45" s="875"/>
      <c r="U45" s="875"/>
      <c r="V45" s="875"/>
      <c r="W45" s="875"/>
      <c r="X45" s="875"/>
      <c r="Y45" s="875"/>
      <c r="Z45" s="875"/>
    </row>
    <row r="46" spans="1:26" ht="18.75" hidden="1">
      <c r="A46" s="882"/>
      <c r="B46" s="883"/>
      <c r="C46" s="883"/>
      <c r="D46" s="883"/>
      <c r="E46" s="884" t="s">
        <v>19</v>
      </c>
      <c r="F46" s="883"/>
      <c r="G46" s="885"/>
      <c r="H46" s="43" t="s">
        <v>12</v>
      </c>
      <c r="I46" s="886"/>
      <c r="J46" s="886"/>
      <c r="K46" s="887"/>
      <c r="L46" s="887">
        <f ca="1">IFERROR(__xludf.DUMMYFUNCTION("IMPORTRANGE(""https://docs.google.com/spreadsheets/d/1MeEWN-I1oV_STSDYn1IFDPWt_1FKiwhDph83XaGc0o0/edit?usp=sharing"",""งบพรบ!M82"")"),560900)</f>
        <v>560900</v>
      </c>
      <c r="M46" s="887">
        <f ca="1">IFERROR(__xludf.DUMMYFUNCTION("IMPORTRANGE(""https://docs.google.com/spreadsheets/d/1MeEWN-I1oV_STSDYn1IFDPWt_1FKiwhDph83XaGc0o0/edit?usp=sharing"",""งบพรบ!R82"")"),570860)</f>
        <v>570860</v>
      </c>
      <c r="N46" s="887">
        <f ca="1">IFERROR(__xludf.DUMMYFUNCTION("IMPORTRANGE(""https://docs.google.com/spreadsheets/d/1MeEWN-I1oV_STSDYn1IFDPWt_1FKiwhDph83XaGc0o0/edit?usp=sharing"",""งบพรบ!T82"")"),197498.75)</f>
        <v>197498.75</v>
      </c>
      <c r="O46" s="887">
        <f t="shared" ca="1" si="26"/>
        <v>35.211044749509718</v>
      </c>
      <c r="P46" s="887">
        <f t="shared" ca="1" si="27"/>
        <v>34.596704971446592</v>
      </c>
      <c r="Q46" s="875"/>
      <c r="R46" s="875"/>
      <c r="S46" s="875"/>
      <c r="T46" s="875"/>
      <c r="U46" s="875"/>
      <c r="V46" s="875"/>
      <c r="W46" s="875"/>
      <c r="X46" s="875"/>
      <c r="Y46" s="875"/>
      <c r="Z46" s="875"/>
    </row>
    <row r="47" spans="1:26" ht="18.75">
      <c r="A47" s="876"/>
      <c r="B47" s="877"/>
      <c r="C47" s="877"/>
      <c r="D47" s="878" t="s">
        <v>21</v>
      </c>
      <c r="E47" s="877"/>
      <c r="F47" s="877"/>
      <c r="G47" s="879"/>
      <c r="H47" s="622" t="s">
        <v>12</v>
      </c>
      <c r="I47" s="880"/>
      <c r="J47" s="880"/>
      <c r="K47" s="881"/>
      <c r="L47" s="881">
        <f t="shared" ref="L47:N47" ca="1" si="30">L48+L49</f>
        <v>0</v>
      </c>
      <c r="M47" s="881">
        <f t="shared" ca="1" si="30"/>
        <v>0</v>
      </c>
      <c r="N47" s="881">
        <f t="shared" ca="1" si="30"/>
        <v>0</v>
      </c>
      <c r="O47" s="881">
        <f t="shared" ca="1" si="26"/>
        <v>0</v>
      </c>
      <c r="P47" s="881">
        <f t="shared" ca="1" si="27"/>
        <v>0</v>
      </c>
      <c r="Q47" s="868"/>
      <c r="R47" s="868"/>
      <c r="S47" s="868"/>
      <c r="T47" s="868"/>
      <c r="U47" s="868"/>
      <c r="V47" s="868"/>
      <c r="W47" s="868"/>
      <c r="X47" s="868"/>
      <c r="Y47" s="868"/>
      <c r="Z47" s="868"/>
    </row>
    <row r="48" spans="1:26" ht="18.75" hidden="1">
      <c r="A48" s="882"/>
      <c r="B48" s="883"/>
      <c r="C48" s="883"/>
      <c r="D48" s="883"/>
      <c r="E48" s="884" t="s">
        <v>18</v>
      </c>
      <c r="F48" s="883"/>
      <c r="G48" s="885"/>
      <c r="H48" s="43" t="s">
        <v>12</v>
      </c>
      <c r="I48" s="886"/>
      <c r="J48" s="886"/>
      <c r="K48" s="887"/>
      <c r="L48" s="887">
        <v>0</v>
      </c>
      <c r="M48" s="887">
        <v>0</v>
      </c>
      <c r="N48" s="887">
        <v>0</v>
      </c>
      <c r="O48" s="887">
        <f t="shared" si="26"/>
        <v>0</v>
      </c>
      <c r="P48" s="887">
        <f t="shared" si="27"/>
        <v>0</v>
      </c>
      <c r="Q48" s="875"/>
      <c r="R48" s="875"/>
      <c r="S48" s="875"/>
      <c r="T48" s="875"/>
      <c r="U48" s="875"/>
      <c r="V48" s="875"/>
      <c r="W48" s="875"/>
      <c r="X48" s="875"/>
      <c r="Y48" s="875"/>
      <c r="Z48" s="875"/>
    </row>
    <row r="49" spans="1:26" ht="18.75" hidden="1">
      <c r="A49" s="888"/>
      <c r="B49" s="889"/>
      <c r="C49" s="889"/>
      <c r="D49" s="889"/>
      <c r="E49" s="890" t="s">
        <v>19</v>
      </c>
      <c r="F49" s="889"/>
      <c r="G49" s="891"/>
      <c r="H49" s="50" t="s">
        <v>12</v>
      </c>
      <c r="I49" s="892"/>
      <c r="J49" s="892"/>
      <c r="K49" s="893"/>
      <c r="L49" s="893">
        <f ca="1">IFERROR(__xludf.DUMMYFUNCTION("IMPORTRANGE(""https://docs.google.com/spreadsheets/d/1MeEWN-I1oV_STSDYn1IFDPWt_1FKiwhDph83XaGc0o0/edit?usp=sharing"",""งบพรบ!P82"")"),0)</f>
        <v>0</v>
      </c>
      <c r="M49" s="893">
        <f ca="1">IFERROR(__xludf.DUMMYFUNCTION("IMPORTRANGE(""https://docs.google.com/spreadsheets/d/1MeEWN-I1oV_STSDYn1IFDPWt_1FKiwhDph83XaGc0o0/edit?usp=sharing"",""งบพรบ!S82"")"),0)</f>
        <v>0</v>
      </c>
      <c r="N49" s="893">
        <f ca="1">IFERROR(__xludf.DUMMYFUNCTION("IMPORTRANGE(""https://docs.google.com/spreadsheets/d/1MeEWN-I1oV_STSDYn1IFDPWt_1FKiwhDph83XaGc0o0/edit?usp=sharing"",""งบพรบ!U82"")"),0)</f>
        <v>0</v>
      </c>
      <c r="O49" s="893">
        <f t="shared" ca="1" si="26"/>
        <v>0</v>
      </c>
      <c r="P49" s="893">
        <f t="shared" ca="1" si="27"/>
        <v>0</v>
      </c>
      <c r="Q49" s="875"/>
      <c r="R49" s="875"/>
      <c r="S49" s="875"/>
      <c r="T49" s="875"/>
      <c r="U49" s="875"/>
      <c r="V49" s="875"/>
      <c r="W49" s="875"/>
      <c r="X49" s="875"/>
      <c r="Y49" s="875"/>
      <c r="Z49" s="875"/>
    </row>
    <row r="50" spans="1:26" ht="19.5">
      <c r="A50" s="933" t="s">
        <v>28</v>
      </c>
      <c r="B50" s="833"/>
      <c r="C50" s="833"/>
      <c r="D50" s="833"/>
      <c r="E50" s="833"/>
      <c r="F50" s="833"/>
      <c r="G50" s="831"/>
      <c r="H50" s="934"/>
      <c r="I50" s="935"/>
      <c r="J50" s="935"/>
      <c r="K50" s="936"/>
      <c r="L50" s="936"/>
      <c r="M50" s="936"/>
      <c r="N50" s="936"/>
      <c r="O50" s="936"/>
      <c r="P50" s="936"/>
    </row>
    <row r="51" spans="1:26" ht="19.5">
      <c r="A51" s="937"/>
      <c r="B51" s="938" t="s">
        <v>29</v>
      </c>
      <c r="C51" s="841"/>
      <c r="D51" s="841"/>
      <c r="E51" s="841"/>
      <c r="F51" s="841"/>
      <c r="G51" s="842"/>
      <c r="H51" s="939"/>
      <c r="I51" s="940"/>
      <c r="J51" s="940"/>
      <c r="K51" s="941"/>
      <c r="L51" s="941"/>
      <c r="M51" s="941"/>
      <c r="N51" s="941"/>
      <c r="O51" s="941"/>
      <c r="P51" s="941"/>
    </row>
    <row r="52" spans="1:26" ht="19.5">
      <c r="A52" s="942"/>
      <c r="B52" s="943" t="s">
        <v>30</v>
      </c>
      <c r="C52" s="944"/>
      <c r="D52" s="944"/>
      <c r="E52" s="944"/>
      <c r="F52" s="944"/>
      <c r="G52" s="945"/>
      <c r="H52" s="946"/>
      <c r="I52" s="947"/>
      <c r="J52" s="947"/>
      <c r="K52" s="948"/>
      <c r="L52" s="948"/>
      <c r="M52" s="948"/>
      <c r="N52" s="948"/>
      <c r="O52" s="948"/>
      <c r="P52" s="948"/>
    </row>
    <row r="53" spans="1:26" ht="19.5">
      <c r="A53" s="949"/>
      <c r="B53" s="950"/>
      <c r="C53" s="951" t="s">
        <v>16</v>
      </c>
      <c r="D53" s="952" t="s">
        <v>17</v>
      </c>
      <c r="E53" s="950"/>
      <c r="F53" s="950"/>
      <c r="G53" s="953"/>
      <c r="H53" s="113" t="s">
        <v>12</v>
      </c>
      <c r="I53" s="954"/>
      <c r="J53" s="954"/>
      <c r="K53" s="955"/>
      <c r="L53" s="956">
        <f t="shared" ref="L53:N53" ca="1" si="31">L54+L55</f>
        <v>607300</v>
      </c>
      <c r="M53" s="956">
        <f t="shared" ca="1" si="31"/>
        <v>455475</v>
      </c>
      <c r="N53" s="956">
        <f t="shared" ca="1" si="31"/>
        <v>282320.18</v>
      </c>
      <c r="O53" s="956">
        <f t="shared" ref="O53:O61" ca="1" si="32">IF(L53&gt;0,N53*100/L53,0)</f>
        <v>46.487762226247327</v>
      </c>
      <c r="P53" s="956">
        <f t="shared" ref="P53:P61" ca="1" si="33">IF(M53&gt;0,N53*100/M53,0)</f>
        <v>61.983682968329767</v>
      </c>
      <c r="Q53" s="868"/>
      <c r="R53" s="868"/>
      <c r="S53" s="868"/>
      <c r="T53" s="868"/>
      <c r="U53" s="868"/>
      <c r="V53" s="868"/>
      <c r="W53" s="868"/>
      <c r="X53" s="868"/>
      <c r="Y53" s="868"/>
      <c r="Z53" s="868"/>
    </row>
    <row r="54" spans="1:26" ht="18.75" hidden="1">
      <c r="A54" s="957"/>
      <c r="B54" s="958"/>
      <c r="C54" s="958"/>
      <c r="D54" s="958"/>
      <c r="E54" s="959" t="s">
        <v>18</v>
      </c>
      <c r="F54" s="958"/>
      <c r="G54" s="960"/>
      <c r="H54" s="121" t="s">
        <v>12</v>
      </c>
      <c r="I54" s="961"/>
      <c r="J54" s="961"/>
      <c r="K54" s="962"/>
      <c r="L54" s="962">
        <f t="shared" ref="L54:N55" si="34">L57+L60</f>
        <v>0</v>
      </c>
      <c r="M54" s="962">
        <f t="shared" si="34"/>
        <v>0</v>
      </c>
      <c r="N54" s="962">
        <f t="shared" si="34"/>
        <v>0</v>
      </c>
      <c r="O54" s="962">
        <f t="shared" si="32"/>
        <v>0</v>
      </c>
      <c r="P54" s="962">
        <f t="shared" si="33"/>
        <v>0</v>
      </c>
      <c r="Q54" s="875"/>
      <c r="R54" s="875"/>
      <c r="S54" s="875"/>
      <c r="T54" s="875"/>
      <c r="U54" s="875"/>
      <c r="V54" s="875"/>
      <c r="W54" s="875"/>
      <c r="X54" s="875"/>
      <c r="Y54" s="875"/>
      <c r="Z54" s="875"/>
    </row>
    <row r="55" spans="1:26" ht="18.75" hidden="1">
      <c r="A55" s="957"/>
      <c r="B55" s="958"/>
      <c r="C55" s="958"/>
      <c r="D55" s="958"/>
      <c r="E55" s="959" t="s">
        <v>19</v>
      </c>
      <c r="F55" s="958"/>
      <c r="G55" s="960"/>
      <c r="H55" s="121" t="s">
        <v>12</v>
      </c>
      <c r="I55" s="961"/>
      <c r="J55" s="961"/>
      <c r="K55" s="962"/>
      <c r="L55" s="962">
        <f t="shared" ca="1" si="34"/>
        <v>607300</v>
      </c>
      <c r="M55" s="962">
        <f t="shared" ca="1" si="34"/>
        <v>455475</v>
      </c>
      <c r="N55" s="962">
        <f t="shared" ca="1" si="34"/>
        <v>282320.18</v>
      </c>
      <c r="O55" s="962">
        <f t="shared" ca="1" si="32"/>
        <v>46.487762226247327</v>
      </c>
      <c r="P55" s="962">
        <f t="shared" ca="1" si="33"/>
        <v>61.983682968329767</v>
      </c>
      <c r="Q55" s="875"/>
      <c r="R55" s="875"/>
      <c r="S55" s="875"/>
      <c r="T55" s="875"/>
      <c r="U55" s="875"/>
      <c r="V55" s="875"/>
      <c r="W55" s="875"/>
      <c r="X55" s="875"/>
      <c r="Y55" s="875"/>
      <c r="Z55" s="875"/>
    </row>
    <row r="56" spans="1:26" ht="18.75">
      <c r="A56" s="876"/>
      <c r="B56" s="877"/>
      <c r="C56" s="877"/>
      <c r="D56" s="878" t="s">
        <v>20</v>
      </c>
      <c r="E56" s="877"/>
      <c r="F56" s="877"/>
      <c r="G56" s="879"/>
      <c r="H56" s="622" t="s">
        <v>12</v>
      </c>
      <c r="I56" s="880"/>
      <c r="J56" s="880"/>
      <c r="K56" s="881"/>
      <c r="L56" s="881">
        <f t="shared" ref="L56:N56" ca="1" si="35">L57+L58</f>
        <v>607300</v>
      </c>
      <c r="M56" s="881">
        <f t="shared" ca="1" si="35"/>
        <v>455475</v>
      </c>
      <c r="N56" s="881">
        <f t="shared" ca="1" si="35"/>
        <v>282320.18</v>
      </c>
      <c r="O56" s="881">
        <f t="shared" ca="1" si="32"/>
        <v>46.487762226247327</v>
      </c>
      <c r="P56" s="881">
        <f t="shared" ca="1" si="33"/>
        <v>61.983682968329767</v>
      </c>
      <c r="Q56" s="868"/>
      <c r="R56" s="868"/>
      <c r="S56" s="868"/>
      <c r="T56" s="868"/>
      <c r="U56" s="868"/>
      <c r="V56" s="868"/>
      <c r="W56" s="868"/>
      <c r="X56" s="868"/>
      <c r="Y56" s="868"/>
      <c r="Z56" s="868"/>
    </row>
    <row r="57" spans="1:26" ht="18.75" hidden="1">
      <c r="A57" s="882"/>
      <c r="B57" s="883"/>
      <c r="C57" s="883"/>
      <c r="D57" s="883"/>
      <c r="E57" s="884" t="s">
        <v>18</v>
      </c>
      <c r="F57" s="883"/>
      <c r="G57" s="885"/>
      <c r="H57" s="43" t="s">
        <v>12</v>
      </c>
      <c r="I57" s="886"/>
      <c r="J57" s="886"/>
      <c r="K57" s="887"/>
      <c r="L57" s="887">
        <v>0</v>
      </c>
      <c r="M57" s="887">
        <v>0</v>
      </c>
      <c r="N57" s="887">
        <v>0</v>
      </c>
      <c r="O57" s="887">
        <f t="shared" si="32"/>
        <v>0</v>
      </c>
      <c r="P57" s="887">
        <f t="shared" si="33"/>
        <v>0</v>
      </c>
      <c r="Q57" s="875"/>
      <c r="R57" s="875"/>
      <c r="S57" s="875"/>
      <c r="T57" s="875"/>
      <c r="U57" s="875"/>
      <c r="V57" s="875"/>
      <c r="W57" s="875"/>
      <c r="X57" s="875"/>
      <c r="Y57" s="875"/>
      <c r="Z57" s="875"/>
    </row>
    <row r="58" spans="1:26" ht="18.75" hidden="1">
      <c r="A58" s="882"/>
      <c r="B58" s="883"/>
      <c r="C58" s="883"/>
      <c r="D58" s="883"/>
      <c r="E58" s="884" t="s">
        <v>19</v>
      </c>
      <c r="F58" s="883"/>
      <c r="G58" s="885"/>
      <c r="H58" s="43" t="s">
        <v>12</v>
      </c>
      <c r="I58" s="886"/>
      <c r="J58" s="886"/>
      <c r="K58" s="887"/>
      <c r="L58" s="887">
        <f ca="1">IFERROR(__xludf.DUMMYFUNCTION("IMPORTRANGE(""https://docs.google.com/spreadsheets/d/1MeEWN-I1oV_STSDYn1IFDPWt_1FKiwhDph83XaGc0o0/edit?usp=sharing"",""งบพรบ!W82"")"),607300)</f>
        <v>607300</v>
      </c>
      <c r="M58" s="887">
        <f ca="1">IFERROR(__xludf.DUMMYFUNCTION("IMPORTRANGE(""https://docs.google.com/spreadsheets/d/1MeEWN-I1oV_STSDYn1IFDPWt_1FKiwhDph83XaGc0o0/edit?usp=sharing"",""งบพรบ!AB82"")"),455475)</f>
        <v>455475</v>
      </c>
      <c r="N58" s="887">
        <f ca="1">IFERROR(__xludf.DUMMYFUNCTION("IMPORTRANGE(""https://docs.google.com/spreadsheets/d/1MeEWN-I1oV_STSDYn1IFDPWt_1FKiwhDph83XaGc0o0/edit?usp=sharing"",""งบพรบ!AD82"")"),282320.18)</f>
        <v>282320.18</v>
      </c>
      <c r="O58" s="887">
        <f t="shared" ca="1" si="32"/>
        <v>46.487762226247327</v>
      </c>
      <c r="P58" s="887">
        <f t="shared" ca="1" si="33"/>
        <v>61.983682968329767</v>
      </c>
      <c r="Q58" s="875"/>
      <c r="R58" s="875"/>
      <c r="S58" s="875"/>
      <c r="T58" s="875"/>
      <c r="U58" s="875"/>
      <c r="V58" s="875"/>
      <c r="W58" s="875"/>
      <c r="X58" s="875"/>
      <c r="Y58" s="875"/>
      <c r="Z58" s="875"/>
    </row>
    <row r="59" spans="1:26" ht="18.75">
      <c r="A59" s="876"/>
      <c r="B59" s="877"/>
      <c r="C59" s="877"/>
      <c r="D59" s="878" t="s">
        <v>21</v>
      </c>
      <c r="E59" s="877"/>
      <c r="F59" s="877"/>
      <c r="G59" s="879"/>
      <c r="H59" s="622" t="s">
        <v>12</v>
      </c>
      <c r="I59" s="880"/>
      <c r="J59" s="880"/>
      <c r="K59" s="881"/>
      <c r="L59" s="881">
        <f t="shared" ref="L59:N59" ca="1" si="36">L60+L61</f>
        <v>0</v>
      </c>
      <c r="M59" s="881">
        <f t="shared" ca="1" si="36"/>
        <v>0</v>
      </c>
      <c r="N59" s="881">
        <f t="shared" ca="1" si="36"/>
        <v>0</v>
      </c>
      <c r="O59" s="881">
        <f t="shared" ca="1" si="32"/>
        <v>0</v>
      </c>
      <c r="P59" s="881">
        <f t="shared" ca="1" si="33"/>
        <v>0</v>
      </c>
      <c r="Q59" s="868"/>
      <c r="R59" s="868"/>
      <c r="S59" s="868"/>
      <c r="T59" s="868"/>
      <c r="U59" s="868"/>
      <c r="V59" s="868"/>
      <c r="W59" s="868"/>
      <c r="X59" s="868"/>
      <c r="Y59" s="868"/>
      <c r="Z59" s="868"/>
    </row>
    <row r="60" spans="1:26" ht="18.75" hidden="1">
      <c r="A60" s="882"/>
      <c r="B60" s="883"/>
      <c r="C60" s="883"/>
      <c r="D60" s="883"/>
      <c r="E60" s="884" t="s">
        <v>18</v>
      </c>
      <c r="F60" s="883"/>
      <c r="G60" s="885"/>
      <c r="H60" s="43" t="s">
        <v>12</v>
      </c>
      <c r="I60" s="886"/>
      <c r="J60" s="886"/>
      <c r="K60" s="887"/>
      <c r="L60" s="887">
        <v>0</v>
      </c>
      <c r="M60" s="887">
        <v>0</v>
      </c>
      <c r="N60" s="887">
        <v>0</v>
      </c>
      <c r="O60" s="887">
        <f t="shared" si="32"/>
        <v>0</v>
      </c>
      <c r="P60" s="887">
        <f t="shared" si="33"/>
        <v>0</v>
      </c>
      <c r="Q60" s="875"/>
      <c r="R60" s="875"/>
      <c r="S60" s="875"/>
      <c r="T60" s="875"/>
      <c r="U60" s="875"/>
      <c r="V60" s="875"/>
      <c r="W60" s="875"/>
      <c r="X60" s="875"/>
      <c r="Y60" s="875"/>
      <c r="Z60" s="875"/>
    </row>
    <row r="61" spans="1:26" ht="18.75" hidden="1">
      <c r="A61" s="888"/>
      <c r="B61" s="889"/>
      <c r="C61" s="889"/>
      <c r="D61" s="889"/>
      <c r="E61" s="890" t="s">
        <v>19</v>
      </c>
      <c r="F61" s="889"/>
      <c r="G61" s="891"/>
      <c r="H61" s="50" t="s">
        <v>12</v>
      </c>
      <c r="I61" s="892"/>
      <c r="J61" s="892"/>
      <c r="K61" s="893"/>
      <c r="L61" s="893">
        <f ca="1">IFERROR(__xludf.DUMMYFUNCTION("IMPORTRANGE(""https://docs.google.com/spreadsheets/d/1MeEWN-I1oV_STSDYn1IFDPWt_1FKiwhDph83XaGc0o0/edit?usp=sharing"",""งบพรบ!Z82"")"),0)</f>
        <v>0</v>
      </c>
      <c r="M61" s="893">
        <f ca="1">IFERROR(__xludf.DUMMYFUNCTION("IMPORTRANGE(""https://docs.google.com/spreadsheets/d/1MeEWN-I1oV_STSDYn1IFDPWt_1FKiwhDph83XaGc0o0/edit?usp=sharing"",""งบพรบ!AC82"")"),0)</f>
        <v>0</v>
      </c>
      <c r="N61" s="893">
        <f ca="1">IFERROR(__xludf.DUMMYFUNCTION("IMPORTRANGE(""https://docs.google.com/spreadsheets/d/1MeEWN-I1oV_STSDYn1IFDPWt_1FKiwhDph83XaGc0o0/edit?usp=sharing"",""งบพรบ!AE82"")"),0)</f>
        <v>0</v>
      </c>
      <c r="O61" s="893">
        <f t="shared" ca="1" si="32"/>
        <v>0</v>
      </c>
      <c r="P61" s="893">
        <f t="shared" ca="1" si="33"/>
        <v>0</v>
      </c>
      <c r="Q61" s="875"/>
      <c r="R61" s="875"/>
      <c r="S61" s="875"/>
      <c r="T61" s="875"/>
      <c r="U61" s="875"/>
      <c r="V61" s="875"/>
      <c r="W61" s="875"/>
      <c r="X61" s="875"/>
      <c r="Y61" s="875"/>
      <c r="Z61" s="875"/>
    </row>
    <row r="62" spans="1:26" ht="19.5">
      <c r="A62" s="963" t="s">
        <v>31</v>
      </c>
      <c r="B62" s="964"/>
      <c r="C62" s="964"/>
      <c r="D62" s="964"/>
      <c r="E62" s="965"/>
      <c r="F62" s="965"/>
      <c r="G62" s="966"/>
      <c r="H62" s="967"/>
      <c r="I62" s="968"/>
      <c r="J62" s="968"/>
      <c r="K62" s="969"/>
      <c r="L62" s="969"/>
      <c r="M62" s="969"/>
      <c r="N62" s="969"/>
      <c r="O62" s="969"/>
      <c r="P62" s="969"/>
    </row>
    <row r="63" spans="1:26" ht="19.5">
      <c r="A63" s="970" t="s">
        <v>32</v>
      </c>
      <c r="B63" s="971"/>
      <c r="C63" s="972"/>
      <c r="D63" s="971"/>
      <c r="E63" s="971"/>
      <c r="F63" s="971"/>
      <c r="G63" s="973"/>
      <c r="H63" s="974"/>
      <c r="I63" s="975"/>
      <c r="J63" s="975"/>
      <c r="K63" s="976"/>
      <c r="L63" s="976"/>
      <c r="M63" s="976"/>
      <c r="N63" s="976"/>
      <c r="O63" s="976"/>
      <c r="P63" s="976"/>
    </row>
    <row r="64" spans="1:26" ht="19.5">
      <c r="A64" s="977"/>
      <c r="B64" s="978" t="s">
        <v>33</v>
      </c>
      <c r="C64" s="979"/>
      <c r="D64" s="980"/>
      <c r="E64" s="979"/>
      <c r="F64" s="979"/>
      <c r="G64" s="981"/>
      <c r="H64" s="205" t="s">
        <v>34</v>
      </c>
      <c r="I64" s="982">
        <f t="shared" ref="I64:J65" ca="1" si="37">I76</f>
        <v>1</v>
      </c>
      <c r="J64" s="982">
        <f t="shared" si="37"/>
        <v>1</v>
      </c>
      <c r="K64" s="983">
        <f t="shared" ref="K64:K65" ca="1" si="38">IF(I64&gt;0,J64*100/I64,0)</f>
        <v>100</v>
      </c>
      <c r="L64" s="984"/>
      <c r="M64" s="984"/>
      <c r="N64" s="984"/>
      <c r="O64" s="984"/>
      <c r="P64" s="984"/>
    </row>
    <row r="65" spans="1:26" ht="19.5">
      <c r="A65" s="977"/>
      <c r="B65" s="979"/>
      <c r="C65" s="979"/>
      <c r="D65" s="980"/>
      <c r="E65" s="979"/>
      <c r="F65" s="979"/>
      <c r="G65" s="981"/>
      <c r="H65" s="205" t="s">
        <v>35</v>
      </c>
      <c r="I65" s="982">
        <f t="shared" ca="1" si="37"/>
        <v>30</v>
      </c>
      <c r="J65" s="982">
        <f t="shared" si="37"/>
        <v>30</v>
      </c>
      <c r="K65" s="983">
        <f t="shared" ca="1" si="38"/>
        <v>100</v>
      </c>
      <c r="L65" s="984"/>
      <c r="M65" s="984"/>
      <c r="N65" s="984"/>
      <c r="O65" s="984"/>
      <c r="P65" s="984"/>
    </row>
    <row r="66" spans="1:26" ht="19.5">
      <c r="A66" s="985"/>
      <c r="B66" s="986"/>
      <c r="C66" s="987" t="s">
        <v>16</v>
      </c>
      <c r="D66" s="988" t="s">
        <v>17</v>
      </c>
      <c r="E66" s="986"/>
      <c r="F66" s="986"/>
      <c r="G66" s="989"/>
      <c r="H66" s="152" t="s">
        <v>12</v>
      </c>
      <c r="I66" s="990"/>
      <c r="J66" s="990"/>
      <c r="K66" s="991"/>
      <c r="L66" s="992">
        <f t="shared" ref="L66:N66" ca="1" si="39">L67+L68</f>
        <v>916200</v>
      </c>
      <c r="M66" s="992">
        <f t="shared" ca="1" si="39"/>
        <v>700900</v>
      </c>
      <c r="N66" s="992">
        <f t="shared" ca="1" si="39"/>
        <v>460779.12</v>
      </c>
      <c r="O66" s="992">
        <f t="shared" ref="O66:O74" ca="1" si="40">IF(L66&gt;0,N66*100/L66,0)</f>
        <v>50.292416502946956</v>
      </c>
      <c r="P66" s="992">
        <f t="shared" ref="P66:P74" ca="1" si="41">IF(M66&gt;0,N66*100/M66,0)</f>
        <v>65.741064345841068</v>
      </c>
      <c r="Q66" s="868"/>
      <c r="R66" s="868"/>
      <c r="S66" s="868"/>
      <c r="T66" s="868"/>
      <c r="U66" s="868"/>
      <c r="V66" s="868"/>
      <c r="W66" s="868"/>
      <c r="X66" s="868"/>
      <c r="Y66" s="868"/>
      <c r="Z66" s="868"/>
    </row>
    <row r="67" spans="1:26" ht="18.75" hidden="1">
      <c r="A67" s="993"/>
      <c r="B67" s="883"/>
      <c r="C67" s="883"/>
      <c r="D67" s="883"/>
      <c r="E67" s="884" t="s">
        <v>18</v>
      </c>
      <c r="F67" s="883"/>
      <c r="G67" s="994"/>
      <c r="H67" s="158" t="s">
        <v>12</v>
      </c>
      <c r="I67" s="886"/>
      <c r="J67" s="886"/>
      <c r="K67" s="887"/>
      <c r="L67" s="887">
        <f t="shared" ref="L67:N68" si="42">L70+L73</f>
        <v>0</v>
      </c>
      <c r="M67" s="887">
        <f t="shared" si="42"/>
        <v>0</v>
      </c>
      <c r="N67" s="887">
        <f t="shared" si="42"/>
        <v>0</v>
      </c>
      <c r="O67" s="887">
        <f t="shared" si="40"/>
        <v>0</v>
      </c>
      <c r="P67" s="887">
        <f t="shared" si="41"/>
        <v>0</v>
      </c>
      <c r="Q67" s="875"/>
      <c r="R67" s="875"/>
      <c r="S67" s="875"/>
      <c r="T67" s="875"/>
      <c r="U67" s="875"/>
      <c r="V67" s="875"/>
      <c r="W67" s="875"/>
      <c r="X67" s="875"/>
      <c r="Y67" s="875"/>
      <c r="Z67" s="875"/>
    </row>
    <row r="68" spans="1:26" ht="18.75" hidden="1">
      <c r="A68" s="993"/>
      <c r="B68" s="883"/>
      <c r="C68" s="883"/>
      <c r="D68" s="883"/>
      <c r="E68" s="884" t="s">
        <v>19</v>
      </c>
      <c r="F68" s="883"/>
      <c r="G68" s="994"/>
      <c r="H68" s="158" t="s">
        <v>12</v>
      </c>
      <c r="I68" s="886"/>
      <c r="J68" s="886"/>
      <c r="K68" s="887"/>
      <c r="L68" s="887">
        <f t="shared" ca="1" si="42"/>
        <v>916200</v>
      </c>
      <c r="M68" s="887">
        <f t="shared" ca="1" si="42"/>
        <v>700900</v>
      </c>
      <c r="N68" s="887">
        <f t="shared" ca="1" si="42"/>
        <v>460779.12</v>
      </c>
      <c r="O68" s="887">
        <f t="shared" ca="1" si="40"/>
        <v>50.292416502946956</v>
      </c>
      <c r="P68" s="887">
        <f t="shared" ca="1" si="41"/>
        <v>65.741064345841068</v>
      </c>
      <c r="Q68" s="875"/>
      <c r="R68" s="875"/>
      <c r="S68" s="875"/>
      <c r="T68" s="875"/>
      <c r="U68" s="875"/>
      <c r="V68" s="875"/>
      <c r="W68" s="875"/>
      <c r="X68" s="875"/>
      <c r="Y68" s="875"/>
      <c r="Z68" s="875"/>
    </row>
    <row r="69" spans="1:26" ht="18.75">
      <c r="A69" s="995"/>
      <c r="B69" s="877"/>
      <c r="C69" s="996"/>
      <c r="D69" s="878" t="s">
        <v>20</v>
      </c>
      <c r="E69" s="877"/>
      <c r="F69" s="877"/>
      <c r="G69" s="879"/>
      <c r="H69" s="161" t="s">
        <v>12</v>
      </c>
      <c r="I69" s="997"/>
      <c r="J69" s="997"/>
      <c r="K69" s="998"/>
      <c r="L69" s="881">
        <f t="shared" ref="L69:N69" ca="1" si="43">L70+L71</f>
        <v>916200</v>
      </c>
      <c r="M69" s="881">
        <f t="shared" ca="1" si="43"/>
        <v>700900</v>
      </c>
      <c r="N69" s="881">
        <f t="shared" ca="1" si="43"/>
        <v>460779.12</v>
      </c>
      <c r="O69" s="881">
        <f t="shared" ca="1" si="40"/>
        <v>50.292416502946956</v>
      </c>
      <c r="P69" s="881">
        <f t="shared" ca="1" si="41"/>
        <v>65.741064345841068</v>
      </c>
      <c r="Q69" s="868"/>
      <c r="R69" s="868"/>
      <c r="S69" s="868"/>
      <c r="T69" s="868"/>
      <c r="U69" s="868"/>
      <c r="V69" s="868"/>
      <c r="W69" s="868"/>
      <c r="X69" s="868"/>
      <c r="Y69" s="868"/>
      <c r="Z69" s="868"/>
    </row>
    <row r="70" spans="1:26" ht="19.5" hidden="1">
      <c r="A70" s="993"/>
      <c r="B70" s="883"/>
      <c r="C70" s="999"/>
      <c r="D70" s="883"/>
      <c r="E70" s="884" t="s">
        <v>36</v>
      </c>
      <c r="F70" s="883"/>
      <c r="G70" s="994"/>
      <c r="H70" s="165" t="s">
        <v>12</v>
      </c>
      <c r="I70" s="1000"/>
      <c r="J70" s="1000"/>
      <c r="K70" s="1001"/>
      <c r="L70" s="887">
        <v>0</v>
      </c>
      <c r="M70" s="887">
        <v>0</v>
      </c>
      <c r="N70" s="887">
        <v>0</v>
      </c>
      <c r="O70" s="887">
        <f t="shared" si="40"/>
        <v>0</v>
      </c>
      <c r="P70" s="887">
        <f t="shared" si="41"/>
        <v>0</v>
      </c>
      <c r="Q70" s="875"/>
      <c r="R70" s="875"/>
      <c r="S70" s="875"/>
      <c r="T70" s="875"/>
      <c r="U70" s="875"/>
      <c r="V70" s="875"/>
      <c r="W70" s="875"/>
      <c r="X70" s="875"/>
      <c r="Y70" s="875"/>
      <c r="Z70" s="875"/>
    </row>
    <row r="71" spans="1:26" ht="19.5" hidden="1">
      <c r="A71" s="993"/>
      <c r="B71" s="883"/>
      <c r="C71" s="999"/>
      <c r="D71" s="883"/>
      <c r="E71" s="884" t="s">
        <v>37</v>
      </c>
      <c r="F71" s="883"/>
      <c r="G71" s="994"/>
      <c r="H71" s="165" t="s">
        <v>12</v>
      </c>
      <c r="I71" s="1000"/>
      <c r="J71" s="1000"/>
      <c r="K71" s="1001"/>
      <c r="L71" s="887">
        <f ca="1">IFERROR(__xludf.DUMMYFUNCTION("IMPORTRANGE(""https://docs.google.com/spreadsheets/d/1MeEWN-I1oV_STSDYn1IFDPWt_1FKiwhDph83XaGc0o0/edit?usp=sharing"",""งบพรบ!AG82"")"),916200)</f>
        <v>916200</v>
      </c>
      <c r="M71" s="887">
        <f ca="1">IFERROR(__xludf.DUMMYFUNCTION("IMPORTRANGE(""https://docs.google.com/spreadsheets/d/1MeEWN-I1oV_STSDYn1IFDPWt_1FKiwhDph83XaGc0o0/edit?usp=sharing"",""งบพรบ!AL82"")"),700900)</f>
        <v>700900</v>
      </c>
      <c r="N71" s="887">
        <f ca="1">IFERROR(__xludf.DUMMYFUNCTION("IMPORTRANGE(""https://docs.google.com/spreadsheets/d/1MeEWN-I1oV_STSDYn1IFDPWt_1FKiwhDph83XaGc0o0/edit?usp=sharing"",""งบพรบ!AN82"")"),460779.12)</f>
        <v>460779.12</v>
      </c>
      <c r="O71" s="887">
        <f t="shared" ca="1" si="40"/>
        <v>50.292416502946956</v>
      </c>
      <c r="P71" s="887">
        <f t="shared" ca="1" si="41"/>
        <v>65.741064345841068</v>
      </c>
      <c r="Q71" s="875"/>
      <c r="R71" s="875"/>
      <c r="S71" s="875"/>
      <c r="T71" s="875"/>
      <c r="U71" s="875"/>
      <c r="V71" s="875"/>
      <c r="W71" s="875"/>
      <c r="X71" s="875"/>
      <c r="Y71" s="875"/>
      <c r="Z71" s="875"/>
    </row>
    <row r="72" spans="1:26" ht="18.75">
      <c r="A72" s="995"/>
      <c r="B72" s="877"/>
      <c r="C72" s="996"/>
      <c r="D72" s="878" t="s">
        <v>21</v>
      </c>
      <c r="E72" s="877"/>
      <c r="F72" s="877"/>
      <c r="G72" s="879"/>
      <c r="H72" s="168" t="s">
        <v>12</v>
      </c>
      <c r="I72" s="997"/>
      <c r="J72" s="997"/>
      <c r="K72" s="998"/>
      <c r="L72" s="881">
        <f t="shared" ref="L72:N72" ca="1" si="44">L73+L74</f>
        <v>0</v>
      </c>
      <c r="M72" s="881">
        <f t="shared" ca="1" si="44"/>
        <v>0</v>
      </c>
      <c r="N72" s="881">
        <f t="shared" ca="1" si="44"/>
        <v>0</v>
      </c>
      <c r="O72" s="881">
        <f t="shared" ca="1" si="40"/>
        <v>0</v>
      </c>
      <c r="P72" s="881">
        <f t="shared" ca="1" si="41"/>
        <v>0</v>
      </c>
      <c r="Q72" s="868"/>
      <c r="R72" s="868"/>
      <c r="S72" s="868"/>
      <c r="T72" s="868"/>
      <c r="U72" s="868"/>
      <c r="V72" s="868"/>
      <c r="W72" s="868"/>
      <c r="X72" s="868"/>
      <c r="Y72" s="868"/>
      <c r="Z72" s="868"/>
    </row>
    <row r="73" spans="1:26" ht="19.5" hidden="1">
      <c r="A73" s="993"/>
      <c r="B73" s="883"/>
      <c r="C73" s="999"/>
      <c r="D73" s="883"/>
      <c r="E73" s="884" t="s">
        <v>18</v>
      </c>
      <c r="F73" s="883"/>
      <c r="G73" s="994"/>
      <c r="H73" s="165" t="s">
        <v>12</v>
      </c>
      <c r="I73" s="1000"/>
      <c r="J73" s="1000"/>
      <c r="K73" s="1001"/>
      <c r="L73" s="887">
        <v>0</v>
      </c>
      <c r="M73" s="887"/>
      <c r="N73" s="887"/>
      <c r="O73" s="887">
        <f t="shared" si="40"/>
        <v>0</v>
      </c>
      <c r="P73" s="887">
        <f t="shared" si="41"/>
        <v>0</v>
      </c>
      <c r="Q73" s="875"/>
      <c r="R73" s="875"/>
      <c r="S73" s="875"/>
      <c r="T73" s="875"/>
      <c r="U73" s="875"/>
      <c r="V73" s="875"/>
      <c r="W73" s="875"/>
      <c r="X73" s="875"/>
      <c r="Y73" s="875"/>
      <c r="Z73" s="875"/>
    </row>
    <row r="74" spans="1:26" ht="19.5" hidden="1">
      <c r="A74" s="993"/>
      <c r="B74" s="883"/>
      <c r="C74" s="999"/>
      <c r="D74" s="883"/>
      <c r="E74" s="884" t="s">
        <v>19</v>
      </c>
      <c r="F74" s="883"/>
      <c r="G74" s="994"/>
      <c r="H74" s="169" t="s">
        <v>12</v>
      </c>
      <c r="I74" s="1000"/>
      <c r="J74" s="1000"/>
      <c r="K74" s="1001"/>
      <c r="L74" s="887">
        <f ca="1">IFERROR(__xludf.DUMMYFUNCTION("IMPORTRANGE(""https://docs.google.com/spreadsheets/d/1MeEWN-I1oV_STSDYn1IFDPWt_1FKiwhDph83XaGc0o0/edit?usp=sharing"",""งบพรบ!AJ82"")"),0)</f>
        <v>0</v>
      </c>
      <c r="M74" s="887">
        <f ca="1">IFERROR(__xludf.DUMMYFUNCTION("IMPORTRANGE(""https://docs.google.com/spreadsheets/d/1MeEWN-I1oV_STSDYn1IFDPWt_1FKiwhDph83XaGc0o0/edit?usp=sharing"",""งบพรบ!AM82"")"),0)</f>
        <v>0</v>
      </c>
      <c r="N74" s="887">
        <f ca="1">IFERROR(__xludf.DUMMYFUNCTION("IMPORTRANGE(""https://docs.google.com/spreadsheets/d/1MeEWN-I1oV_STSDYn1IFDPWt_1FKiwhDph83XaGc0o0/edit?usp=sharing"",""งบพรบ!AO82"")"),0)</f>
        <v>0</v>
      </c>
      <c r="O74" s="887">
        <f t="shared" ca="1" si="40"/>
        <v>0</v>
      </c>
      <c r="P74" s="887">
        <f t="shared" ca="1" si="41"/>
        <v>0</v>
      </c>
      <c r="Q74" s="875"/>
      <c r="R74" s="875"/>
      <c r="S74" s="875"/>
      <c r="T74" s="875"/>
      <c r="U74" s="875"/>
      <c r="V74" s="875"/>
      <c r="W74" s="875"/>
      <c r="X74" s="875"/>
      <c r="Y74" s="875"/>
      <c r="Z74" s="875"/>
    </row>
    <row r="75" spans="1:26" ht="19.5">
      <c r="A75" s="1002"/>
      <c r="B75" s="1003"/>
      <c r="C75" s="999" t="s">
        <v>16</v>
      </c>
      <c r="D75" s="1004" t="s">
        <v>38</v>
      </c>
      <c r="E75" s="1005"/>
      <c r="F75" s="1005"/>
      <c r="G75" s="1006"/>
      <c r="H75" s="1007"/>
      <c r="I75" s="997"/>
      <c r="J75" s="997"/>
      <c r="K75" s="998"/>
      <c r="L75" s="998"/>
      <c r="M75" s="998"/>
      <c r="N75" s="998"/>
      <c r="O75" s="998"/>
      <c r="P75" s="998"/>
    </row>
    <row r="76" spans="1:26" ht="19.5">
      <c r="A76" s="1002"/>
      <c r="B76" s="1003"/>
      <c r="C76" s="1003"/>
      <c r="D76" s="1008" t="s">
        <v>39</v>
      </c>
      <c r="E76" s="1009"/>
      <c r="F76" s="1010"/>
      <c r="G76" s="1011"/>
      <c r="H76" s="180" t="s">
        <v>34</v>
      </c>
      <c r="I76" s="880">
        <f t="shared" ref="I76:J77" ca="1" si="45">I78+I80+I82</f>
        <v>1</v>
      </c>
      <c r="J76" s="880">
        <f t="shared" si="45"/>
        <v>1</v>
      </c>
      <c r="K76" s="998">
        <f t="shared" ref="K76:K84" ca="1" si="46">IF(I76&gt;0,J76*100/I76,0)</f>
        <v>100</v>
      </c>
      <c r="L76" s="998"/>
      <c r="M76" s="998"/>
      <c r="N76" s="998"/>
      <c r="O76" s="998"/>
      <c r="P76" s="998"/>
    </row>
    <row r="77" spans="1:26" ht="19.5">
      <c r="A77" s="1002"/>
      <c r="B77" s="1003"/>
      <c r="C77" s="1003"/>
      <c r="D77" s="1003"/>
      <c r="E77" s="1010"/>
      <c r="F77" s="1010"/>
      <c r="G77" s="1011"/>
      <c r="H77" s="180" t="s">
        <v>35</v>
      </c>
      <c r="I77" s="880">
        <f t="shared" ca="1" si="45"/>
        <v>30</v>
      </c>
      <c r="J77" s="880">
        <f t="shared" si="45"/>
        <v>30</v>
      </c>
      <c r="K77" s="998">
        <f t="shared" ca="1" si="46"/>
        <v>100</v>
      </c>
      <c r="L77" s="998"/>
      <c r="M77" s="998"/>
      <c r="N77" s="998"/>
      <c r="O77" s="998"/>
      <c r="P77" s="998"/>
    </row>
    <row r="78" spans="1:26" ht="18.75">
      <c r="A78" s="1002"/>
      <c r="B78" s="1003"/>
      <c r="C78" s="1003"/>
      <c r="D78" s="1003"/>
      <c r="E78" s="1009" t="s">
        <v>40</v>
      </c>
      <c r="F78" s="1009"/>
      <c r="G78" s="1011"/>
      <c r="H78" s="762" t="s">
        <v>34</v>
      </c>
      <c r="I78" s="997">
        <f ca="1">IFERROR(__xludf.DUMMYFUNCTION("IMPORTRANGE(""https://docs.google.com/spreadsheets/d/1QqKyyYR6Q21VydFLVH3TRQUabQu_ym0Zz7PgGX0-kHA/edit?usp=sharing"",""แผน!H82"")"),0)</f>
        <v>0</v>
      </c>
      <c r="J78" s="1012">
        <v>0</v>
      </c>
      <c r="K78" s="998">
        <f t="shared" ca="1" si="46"/>
        <v>0</v>
      </c>
      <c r="L78" s="998"/>
      <c r="M78" s="998"/>
      <c r="N78" s="998"/>
      <c r="O78" s="998"/>
      <c r="P78" s="998"/>
    </row>
    <row r="79" spans="1:26" ht="18.75">
      <c r="A79" s="1002"/>
      <c r="B79" s="1003"/>
      <c r="C79" s="1003"/>
      <c r="D79" s="1003"/>
      <c r="E79" s="1010"/>
      <c r="F79" s="1010"/>
      <c r="G79" s="1011"/>
      <c r="H79" s="762" t="s">
        <v>35</v>
      </c>
      <c r="I79" s="997">
        <f ca="1">IFERROR(__xludf.DUMMYFUNCTION("IMPORTRANGE(""https://docs.google.com/spreadsheets/d/1QqKyyYR6Q21VydFLVH3TRQUabQu_ym0Zz7PgGX0-kHA/edit?usp=sharing"",""แผน!I82"")"),0)</f>
        <v>0</v>
      </c>
      <c r="J79" s="1012">
        <v>0</v>
      </c>
      <c r="K79" s="998">
        <f t="shared" ca="1" si="46"/>
        <v>0</v>
      </c>
      <c r="L79" s="998"/>
      <c r="M79" s="998"/>
      <c r="N79" s="998"/>
      <c r="O79" s="998"/>
      <c r="P79" s="998"/>
    </row>
    <row r="80" spans="1:26" ht="18.75">
      <c r="A80" s="1002"/>
      <c r="B80" s="1003"/>
      <c r="C80" s="1003"/>
      <c r="D80" s="1003"/>
      <c r="E80" s="1009" t="s">
        <v>41</v>
      </c>
      <c r="F80" s="1009"/>
      <c r="G80" s="1011"/>
      <c r="H80" s="762" t="s">
        <v>34</v>
      </c>
      <c r="I80" s="997">
        <f ca="1">IFERROR(__xludf.DUMMYFUNCTION("IMPORTRANGE(""https://docs.google.com/spreadsheets/d/1QqKyyYR6Q21VydFLVH3TRQUabQu_ym0Zz7PgGX0-kHA/edit?usp=sharing"",""แผน!F82"")"),1)</f>
        <v>1</v>
      </c>
      <c r="J80" s="1012">
        <v>1</v>
      </c>
      <c r="K80" s="998">
        <f t="shared" ca="1" si="46"/>
        <v>100</v>
      </c>
      <c r="L80" s="998"/>
      <c r="M80" s="998"/>
      <c r="N80" s="998"/>
      <c r="O80" s="998"/>
      <c r="P80" s="998"/>
    </row>
    <row r="81" spans="1:26" ht="18.75">
      <c r="A81" s="1002"/>
      <c r="B81" s="1003"/>
      <c r="C81" s="1003"/>
      <c r="D81" s="1003"/>
      <c r="E81" s="1010"/>
      <c r="F81" s="1010"/>
      <c r="G81" s="1011"/>
      <c r="H81" s="762" t="s">
        <v>35</v>
      </c>
      <c r="I81" s="997">
        <f ca="1">IFERROR(__xludf.DUMMYFUNCTION("IMPORTRANGE(""https://docs.google.com/spreadsheets/d/1QqKyyYR6Q21VydFLVH3TRQUabQu_ym0Zz7PgGX0-kHA/edit?usp=sharing"",""แผน!G82"")"),30)</f>
        <v>30</v>
      </c>
      <c r="J81" s="1012">
        <v>30</v>
      </c>
      <c r="K81" s="998">
        <f t="shared" ca="1" si="46"/>
        <v>100</v>
      </c>
      <c r="L81" s="998"/>
      <c r="M81" s="998"/>
      <c r="N81" s="998"/>
      <c r="O81" s="998"/>
      <c r="P81" s="998"/>
    </row>
    <row r="82" spans="1:26" ht="18.75">
      <c r="A82" s="1002"/>
      <c r="B82" s="1003"/>
      <c r="C82" s="1003"/>
      <c r="D82" s="1003"/>
      <c r="E82" s="1009" t="s">
        <v>42</v>
      </c>
      <c r="F82" s="1009"/>
      <c r="G82" s="1011"/>
      <c r="H82" s="762" t="s">
        <v>34</v>
      </c>
      <c r="I82" s="997">
        <f ca="1">IFERROR(__xludf.DUMMYFUNCTION("IMPORTRANGE(""https://docs.google.com/spreadsheets/d/1QqKyyYR6Q21VydFLVH3TRQUabQu_ym0Zz7PgGX0-kHA/edit?usp=sharing"",""แผน!D82"")"),0)</f>
        <v>0</v>
      </c>
      <c r="J82" s="1012">
        <v>0</v>
      </c>
      <c r="K82" s="998">
        <f t="shared" ca="1" si="46"/>
        <v>0</v>
      </c>
      <c r="L82" s="998"/>
      <c r="M82" s="998"/>
      <c r="N82" s="998"/>
      <c r="O82" s="998"/>
      <c r="P82" s="998"/>
    </row>
    <row r="83" spans="1:26" ht="18.75">
      <c r="A83" s="1002"/>
      <c r="B83" s="1003"/>
      <c r="C83" s="1003"/>
      <c r="D83" s="1003"/>
      <c r="E83" s="1010"/>
      <c r="F83" s="1010"/>
      <c r="G83" s="1011"/>
      <c r="H83" s="762" t="s">
        <v>35</v>
      </c>
      <c r="I83" s="997">
        <f ca="1">IFERROR(__xludf.DUMMYFUNCTION("IMPORTRANGE(""https://docs.google.com/spreadsheets/d/1QqKyyYR6Q21VydFLVH3TRQUabQu_ym0Zz7PgGX0-kHA/edit?usp=sharing"",""แผน!E82"")"),0)</f>
        <v>0</v>
      </c>
      <c r="J83" s="1012">
        <v>0</v>
      </c>
      <c r="K83" s="998">
        <f t="shared" ca="1" si="46"/>
        <v>0</v>
      </c>
      <c r="L83" s="998"/>
      <c r="M83" s="998"/>
      <c r="N83" s="998"/>
      <c r="O83" s="998"/>
      <c r="P83" s="998"/>
    </row>
    <row r="84" spans="1:26" ht="18.75">
      <c r="A84" s="1002"/>
      <c r="B84" s="1003"/>
      <c r="C84" s="1003"/>
      <c r="D84" s="1008" t="s">
        <v>43</v>
      </c>
      <c r="E84" s="1009"/>
      <c r="F84" s="1010"/>
      <c r="G84" s="1011"/>
      <c r="H84" s="185" t="s">
        <v>34</v>
      </c>
      <c r="I84" s="997">
        <f ca="1">IFERROR(__xludf.DUMMYFUNCTION("IMPORTRANGE(""https://docs.google.com/spreadsheets/d/1QqKyyYR6Q21VydFLVH3TRQUabQu_ym0Zz7PgGX0-kHA/edit?usp=sharing"",""แผน!J82"")"),1)</f>
        <v>1</v>
      </c>
      <c r="J84" s="1012">
        <v>0</v>
      </c>
      <c r="K84" s="998">
        <f t="shared" ca="1" si="46"/>
        <v>0</v>
      </c>
      <c r="L84" s="998"/>
      <c r="M84" s="998"/>
      <c r="N84" s="998"/>
      <c r="O84" s="998"/>
      <c r="P84" s="998"/>
    </row>
    <row r="85" spans="1:26" ht="19.5">
      <c r="A85" s="970" t="s">
        <v>44</v>
      </c>
      <c r="B85" s="971"/>
      <c r="C85" s="972"/>
      <c r="D85" s="971"/>
      <c r="E85" s="971"/>
      <c r="F85" s="971"/>
      <c r="G85" s="973"/>
      <c r="H85" s="974"/>
      <c r="I85" s="975"/>
      <c r="J85" s="975"/>
      <c r="K85" s="976"/>
      <c r="L85" s="976"/>
      <c r="M85" s="976"/>
      <c r="N85" s="976"/>
      <c r="O85" s="976"/>
      <c r="P85" s="976"/>
    </row>
    <row r="86" spans="1:26" ht="19.5">
      <c r="A86" s="977"/>
      <c r="B86" s="978" t="s">
        <v>45</v>
      </c>
      <c r="C86" s="979"/>
      <c r="D86" s="980"/>
      <c r="E86" s="979"/>
      <c r="F86" s="979"/>
      <c r="G86" s="981"/>
      <c r="H86" s="205" t="s">
        <v>46</v>
      </c>
      <c r="I86" s="982">
        <f t="shared" ref="I86:J87" ca="1" si="47">I98</f>
        <v>30</v>
      </c>
      <c r="J86" s="982">
        <f t="shared" si="47"/>
        <v>30</v>
      </c>
      <c r="K86" s="983">
        <f t="shared" ref="K86:K87" ca="1" si="48">IF(I86&gt;0,J86*100/I86,0)</f>
        <v>100</v>
      </c>
      <c r="L86" s="984"/>
      <c r="M86" s="984"/>
      <c r="N86" s="984"/>
      <c r="O86" s="984"/>
      <c r="P86" s="984"/>
    </row>
    <row r="87" spans="1:26" ht="19.5">
      <c r="A87" s="977"/>
      <c r="B87" s="979"/>
      <c r="C87" s="979"/>
      <c r="D87" s="980"/>
      <c r="E87" s="979"/>
      <c r="F87" s="979"/>
      <c r="G87" s="981"/>
      <c r="H87" s="205" t="s">
        <v>35</v>
      </c>
      <c r="I87" s="982">
        <f t="shared" ca="1" si="47"/>
        <v>10</v>
      </c>
      <c r="J87" s="982">
        <f t="shared" si="47"/>
        <v>10</v>
      </c>
      <c r="K87" s="983">
        <f t="shared" ca="1" si="48"/>
        <v>100</v>
      </c>
      <c r="L87" s="984"/>
      <c r="M87" s="984"/>
      <c r="N87" s="984"/>
      <c r="O87" s="984"/>
      <c r="P87" s="984"/>
    </row>
    <row r="88" spans="1:26" ht="19.5">
      <c r="A88" s="985"/>
      <c r="B88" s="986"/>
      <c r="C88" s="987" t="s">
        <v>16</v>
      </c>
      <c r="D88" s="988" t="s">
        <v>17</v>
      </c>
      <c r="E88" s="986"/>
      <c r="F88" s="986"/>
      <c r="G88" s="989"/>
      <c r="H88" s="152" t="s">
        <v>12</v>
      </c>
      <c r="I88" s="990"/>
      <c r="J88" s="990"/>
      <c r="K88" s="991"/>
      <c r="L88" s="992">
        <f t="shared" ref="L88:N88" ca="1" si="49">L89+L90</f>
        <v>86340</v>
      </c>
      <c r="M88" s="992">
        <f t="shared" ca="1" si="49"/>
        <v>79640</v>
      </c>
      <c r="N88" s="992">
        <f t="shared" ca="1" si="49"/>
        <v>70070</v>
      </c>
      <c r="O88" s="992">
        <f t="shared" ref="O88:O96" ca="1" si="50">IF(L88&gt;0,N88*100/L88,0)</f>
        <v>81.155895297660408</v>
      </c>
      <c r="P88" s="992">
        <f t="shared" ref="P88:P96" ca="1" si="51">IF(M88&gt;0,N88*100/M88,0)</f>
        <v>87.983425414364646</v>
      </c>
      <c r="Q88" s="868"/>
      <c r="R88" s="868"/>
      <c r="S88" s="868"/>
      <c r="T88" s="868"/>
      <c r="U88" s="868"/>
      <c r="V88" s="868"/>
      <c r="W88" s="868"/>
      <c r="X88" s="868"/>
      <c r="Y88" s="868"/>
      <c r="Z88" s="868"/>
    </row>
    <row r="89" spans="1:26" ht="18.75" hidden="1">
      <c r="A89" s="993"/>
      <c r="B89" s="883"/>
      <c r="C89" s="883"/>
      <c r="D89" s="883"/>
      <c r="E89" s="884" t="s">
        <v>18</v>
      </c>
      <c r="F89" s="883"/>
      <c r="G89" s="994"/>
      <c r="H89" s="158" t="s">
        <v>12</v>
      </c>
      <c r="I89" s="886"/>
      <c r="J89" s="886"/>
      <c r="K89" s="887"/>
      <c r="L89" s="887">
        <f t="shared" ref="L89:N90" si="52">L92+L95</f>
        <v>0</v>
      </c>
      <c r="M89" s="887">
        <f t="shared" si="52"/>
        <v>0</v>
      </c>
      <c r="N89" s="887">
        <f t="shared" si="52"/>
        <v>0</v>
      </c>
      <c r="O89" s="887">
        <f t="shared" si="50"/>
        <v>0</v>
      </c>
      <c r="P89" s="887">
        <f t="shared" si="51"/>
        <v>0</v>
      </c>
      <c r="Q89" s="875"/>
      <c r="R89" s="875"/>
      <c r="S89" s="875"/>
      <c r="T89" s="875"/>
      <c r="U89" s="875"/>
      <c r="V89" s="875"/>
      <c r="W89" s="875"/>
      <c r="X89" s="875"/>
      <c r="Y89" s="875"/>
      <c r="Z89" s="875"/>
    </row>
    <row r="90" spans="1:26" ht="18.75" hidden="1">
      <c r="A90" s="993"/>
      <c r="B90" s="883"/>
      <c r="C90" s="883"/>
      <c r="D90" s="883"/>
      <c r="E90" s="884" t="s">
        <v>19</v>
      </c>
      <c r="F90" s="883"/>
      <c r="G90" s="994"/>
      <c r="H90" s="158" t="s">
        <v>12</v>
      </c>
      <c r="I90" s="886"/>
      <c r="J90" s="886"/>
      <c r="K90" s="887"/>
      <c r="L90" s="887">
        <f t="shared" ca="1" si="52"/>
        <v>86340</v>
      </c>
      <c r="M90" s="887">
        <f t="shared" ca="1" si="52"/>
        <v>79640</v>
      </c>
      <c r="N90" s="887">
        <f t="shared" ca="1" si="52"/>
        <v>70070</v>
      </c>
      <c r="O90" s="887">
        <f t="shared" ca="1" si="50"/>
        <v>81.155895297660408</v>
      </c>
      <c r="P90" s="887">
        <f t="shared" ca="1" si="51"/>
        <v>87.983425414364646</v>
      </c>
      <c r="Q90" s="875"/>
      <c r="R90" s="875"/>
      <c r="S90" s="875"/>
      <c r="T90" s="875"/>
      <c r="U90" s="875"/>
      <c r="V90" s="875"/>
      <c r="W90" s="875"/>
      <c r="X90" s="875"/>
      <c r="Y90" s="875"/>
      <c r="Z90" s="875"/>
    </row>
    <row r="91" spans="1:26" ht="18.75">
      <c r="A91" s="995"/>
      <c r="B91" s="877"/>
      <c r="C91" s="996"/>
      <c r="D91" s="878" t="s">
        <v>20</v>
      </c>
      <c r="E91" s="877"/>
      <c r="F91" s="877"/>
      <c r="G91" s="879"/>
      <c r="H91" s="161" t="s">
        <v>12</v>
      </c>
      <c r="I91" s="997"/>
      <c r="J91" s="997"/>
      <c r="K91" s="998"/>
      <c r="L91" s="881">
        <f t="shared" ref="L91:N91" ca="1" si="53">L92+L93</f>
        <v>86340</v>
      </c>
      <c r="M91" s="881">
        <f t="shared" ca="1" si="53"/>
        <v>79640</v>
      </c>
      <c r="N91" s="881">
        <f t="shared" ca="1" si="53"/>
        <v>70070</v>
      </c>
      <c r="O91" s="881">
        <f t="shared" ca="1" si="50"/>
        <v>81.155895297660408</v>
      </c>
      <c r="P91" s="881">
        <f t="shared" ca="1" si="51"/>
        <v>87.983425414364646</v>
      </c>
      <c r="Q91" s="868"/>
      <c r="R91" s="868"/>
      <c r="S91" s="868"/>
      <c r="T91" s="868"/>
      <c r="U91" s="868"/>
      <c r="V91" s="868"/>
      <c r="W91" s="868"/>
      <c r="X91" s="868"/>
      <c r="Y91" s="868"/>
      <c r="Z91" s="868"/>
    </row>
    <row r="92" spans="1:26" ht="19.5" hidden="1">
      <c r="A92" s="993"/>
      <c r="B92" s="883"/>
      <c r="C92" s="999"/>
      <c r="D92" s="883"/>
      <c r="E92" s="884" t="s">
        <v>36</v>
      </c>
      <c r="F92" s="883"/>
      <c r="G92" s="994"/>
      <c r="H92" s="165" t="s">
        <v>12</v>
      </c>
      <c r="I92" s="1000"/>
      <c r="J92" s="1000"/>
      <c r="K92" s="1001"/>
      <c r="L92" s="887">
        <v>0</v>
      </c>
      <c r="M92" s="887">
        <v>0</v>
      </c>
      <c r="N92" s="887">
        <v>0</v>
      </c>
      <c r="O92" s="887">
        <f t="shared" si="50"/>
        <v>0</v>
      </c>
      <c r="P92" s="887">
        <f t="shared" si="51"/>
        <v>0</v>
      </c>
      <c r="Q92" s="875"/>
      <c r="R92" s="875"/>
      <c r="S92" s="875"/>
      <c r="T92" s="875"/>
      <c r="U92" s="875"/>
      <c r="V92" s="875"/>
      <c r="W92" s="875"/>
      <c r="X92" s="875"/>
      <c r="Y92" s="875"/>
      <c r="Z92" s="875"/>
    </row>
    <row r="93" spans="1:26" ht="19.5" hidden="1">
      <c r="A93" s="993"/>
      <c r="B93" s="883"/>
      <c r="C93" s="999"/>
      <c r="D93" s="883"/>
      <c r="E93" s="884" t="s">
        <v>37</v>
      </c>
      <c r="F93" s="883"/>
      <c r="G93" s="994"/>
      <c r="H93" s="165" t="s">
        <v>12</v>
      </c>
      <c r="I93" s="1000"/>
      <c r="J93" s="1000"/>
      <c r="K93" s="1001"/>
      <c r="L93" s="887">
        <f ca="1">IFERROR(__xludf.DUMMYFUNCTION("IMPORTRANGE(""https://docs.google.com/spreadsheets/d/1MeEWN-I1oV_STSDYn1IFDPWt_1FKiwhDph83XaGc0o0/edit?usp=sharing"",""งบพรบ!AQ82"")"),86340)</f>
        <v>86340</v>
      </c>
      <c r="M93" s="887">
        <f ca="1">IFERROR(__xludf.DUMMYFUNCTION("IMPORTRANGE(""https://docs.google.com/spreadsheets/d/1MeEWN-I1oV_STSDYn1IFDPWt_1FKiwhDph83XaGc0o0/edit?usp=sharing"",""งบพรบ!AV82"")"),79640)</f>
        <v>79640</v>
      </c>
      <c r="N93" s="887">
        <f ca="1">IFERROR(__xludf.DUMMYFUNCTION("IMPORTRANGE(""https://docs.google.com/spreadsheets/d/1MeEWN-I1oV_STSDYn1IFDPWt_1FKiwhDph83XaGc0o0/edit?usp=sharing"",""งบพรบ!AX82"")"),70070)</f>
        <v>70070</v>
      </c>
      <c r="O93" s="887">
        <f t="shared" ca="1" si="50"/>
        <v>81.155895297660408</v>
      </c>
      <c r="P93" s="887">
        <f t="shared" ca="1" si="51"/>
        <v>87.983425414364646</v>
      </c>
      <c r="Q93" s="875"/>
      <c r="R93" s="875"/>
      <c r="S93" s="875"/>
      <c r="T93" s="875"/>
      <c r="U93" s="875"/>
      <c r="V93" s="875"/>
      <c r="W93" s="875"/>
      <c r="X93" s="875"/>
      <c r="Y93" s="875"/>
      <c r="Z93" s="875"/>
    </row>
    <row r="94" spans="1:26" ht="18.75">
      <c r="A94" s="995"/>
      <c r="B94" s="877"/>
      <c r="C94" s="996"/>
      <c r="D94" s="878" t="s">
        <v>21</v>
      </c>
      <c r="E94" s="877"/>
      <c r="F94" s="877"/>
      <c r="G94" s="879"/>
      <c r="H94" s="168" t="s">
        <v>12</v>
      </c>
      <c r="I94" s="997"/>
      <c r="J94" s="997"/>
      <c r="K94" s="998"/>
      <c r="L94" s="881">
        <f t="shared" ref="L94:N94" ca="1" si="54">L95+L96</f>
        <v>0</v>
      </c>
      <c r="M94" s="881">
        <f t="shared" ca="1" si="54"/>
        <v>0</v>
      </c>
      <c r="N94" s="881">
        <f t="shared" ca="1" si="54"/>
        <v>0</v>
      </c>
      <c r="O94" s="881">
        <f t="shared" ca="1" si="50"/>
        <v>0</v>
      </c>
      <c r="P94" s="881">
        <f t="shared" ca="1" si="51"/>
        <v>0</v>
      </c>
      <c r="Q94" s="868"/>
      <c r="R94" s="868"/>
      <c r="S94" s="868"/>
      <c r="T94" s="868"/>
      <c r="U94" s="868"/>
      <c r="V94" s="868"/>
      <c r="W94" s="868"/>
      <c r="X94" s="868"/>
      <c r="Y94" s="868"/>
      <c r="Z94" s="868"/>
    </row>
    <row r="95" spans="1:26" ht="19.5" hidden="1">
      <c r="A95" s="993"/>
      <c r="B95" s="883"/>
      <c r="C95" s="999"/>
      <c r="D95" s="883"/>
      <c r="E95" s="884" t="s">
        <v>18</v>
      </c>
      <c r="F95" s="883"/>
      <c r="G95" s="994"/>
      <c r="H95" s="165" t="s">
        <v>12</v>
      </c>
      <c r="I95" s="1000"/>
      <c r="J95" s="1000"/>
      <c r="K95" s="1001"/>
      <c r="L95" s="887">
        <v>0</v>
      </c>
      <c r="M95" s="887">
        <v>0</v>
      </c>
      <c r="N95" s="887">
        <v>0</v>
      </c>
      <c r="O95" s="887">
        <f t="shared" si="50"/>
        <v>0</v>
      </c>
      <c r="P95" s="887">
        <f t="shared" si="51"/>
        <v>0</v>
      </c>
      <c r="Q95" s="875"/>
      <c r="R95" s="875"/>
      <c r="S95" s="875"/>
      <c r="T95" s="875"/>
      <c r="U95" s="875"/>
      <c r="V95" s="875"/>
      <c r="W95" s="875"/>
      <c r="X95" s="875"/>
      <c r="Y95" s="875"/>
      <c r="Z95" s="875"/>
    </row>
    <row r="96" spans="1:26" ht="19.5" hidden="1">
      <c r="A96" s="993"/>
      <c r="B96" s="883"/>
      <c r="C96" s="999"/>
      <c r="D96" s="883"/>
      <c r="E96" s="884" t="s">
        <v>19</v>
      </c>
      <c r="F96" s="883"/>
      <c r="G96" s="994"/>
      <c r="H96" s="169" t="s">
        <v>12</v>
      </c>
      <c r="I96" s="1000"/>
      <c r="J96" s="1000"/>
      <c r="K96" s="1001"/>
      <c r="L96" s="887">
        <f ca="1">IFERROR(__xludf.DUMMYFUNCTION("IMPORTRANGE(""https://docs.google.com/spreadsheets/d/1MeEWN-I1oV_STSDYn1IFDPWt_1FKiwhDph83XaGc0o0/edit?usp=sharing"",""งบพรบ!AT82"")"),0)</f>
        <v>0</v>
      </c>
      <c r="M96" s="887">
        <f ca="1">IFERROR(__xludf.DUMMYFUNCTION("IMPORTRANGE(""https://docs.google.com/spreadsheets/d/1MeEWN-I1oV_STSDYn1IFDPWt_1FKiwhDph83XaGc0o0/edit?usp=sharing"",""งบพรบ!AW82"")"),0)</f>
        <v>0</v>
      </c>
      <c r="N96" s="887">
        <f ca="1">IFERROR(__xludf.DUMMYFUNCTION("IMPORTRANGE(""https://docs.google.com/spreadsheets/d/1MeEWN-I1oV_STSDYn1IFDPWt_1FKiwhDph83XaGc0o0/edit?usp=sharing"",""งบพรบ!AY82"")"),0)</f>
        <v>0</v>
      </c>
      <c r="O96" s="887">
        <f t="shared" ca="1" si="50"/>
        <v>0</v>
      </c>
      <c r="P96" s="887">
        <f t="shared" ca="1" si="51"/>
        <v>0</v>
      </c>
      <c r="Q96" s="875"/>
      <c r="R96" s="875"/>
      <c r="S96" s="875"/>
      <c r="T96" s="875"/>
      <c r="U96" s="875"/>
      <c r="V96" s="875"/>
      <c r="W96" s="875"/>
      <c r="X96" s="875"/>
      <c r="Y96" s="875"/>
      <c r="Z96" s="875"/>
    </row>
    <row r="97" spans="1:16" ht="19.5">
      <c r="A97" s="1002"/>
      <c r="B97" s="1003"/>
      <c r="C97" s="999" t="s">
        <v>16</v>
      </c>
      <c r="D97" s="1004" t="s">
        <v>38</v>
      </c>
      <c r="E97" s="1005"/>
      <c r="F97" s="1005"/>
      <c r="G97" s="1006"/>
      <c r="H97" s="1007"/>
      <c r="I97" s="997"/>
      <c r="J97" s="880"/>
      <c r="K97" s="881"/>
      <c r="L97" s="881"/>
      <c r="M97" s="881"/>
      <c r="N97" s="881"/>
      <c r="O97" s="998"/>
      <c r="P97" s="998"/>
    </row>
    <row r="98" spans="1:16" ht="18.75">
      <c r="A98" s="1002"/>
      <c r="B98" s="1003"/>
      <c r="C98" s="1003"/>
      <c r="D98" s="1009" t="s">
        <v>47</v>
      </c>
      <c r="E98" s="1009"/>
      <c r="F98" s="1010"/>
      <c r="G98" s="1011"/>
      <c r="H98" s="622" t="s">
        <v>46</v>
      </c>
      <c r="I98" s="880">
        <f ca="1">IFERROR(__xludf.DUMMYFUNCTION("IMPORTRANGE(""https://docs.google.com/spreadsheets/d/1QqKyyYR6Q21VydFLVH3TRQUabQu_ym0Zz7PgGX0-kHA/edit?usp=sharing"",""แผน!K82"")"),30)</f>
        <v>30</v>
      </c>
      <c r="J98" s="880">
        <f>J102</f>
        <v>30</v>
      </c>
      <c r="K98" s="881">
        <f t="shared" ref="K98:K100" ca="1" si="55">IF(I98&gt;0,J98*100/I98,0)</f>
        <v>100</v>
      </c>
      <c r="L98" s="881"/>
      <c r="M98" s="881"/>
      <c r="N98" s="881"/>
      <c r="O98" s="998"/>
      <c r="P98" s="998"/>
    </row>
    <row r="99" spans="1:16" ht="18.75">
      <c r="A99" s="1002"/>
      <c r="B99" s="1003"/>
      <c r="C99" s="1003"/>
      <c r="D99" s="1009" t="s">
        <v>48</v>
      </c>
      <c r="E99" s="1009"/>
      <c r="F99" s="1010"/>
      <c r="G99" s="1011"/>
      <c r="H99" s="622" t="s">
        <v>35</v>
      </c>
      <c r="I99" s="880">
        <f ca="1">IFERROR(__xludf.DUMMYFUNCTION("IMPORTRANGE(""https://docs.google.com/spreadsheets/d/1QqKyyYR6Q21VydFLVH3TRQUabQu_ym0Zz7PgGX0-kHA/edit?usp=sharing"",""แผน!L82"")"),10)</f>
        <v>10</v>
      </c>
      <c r="J99" s="880">
        <f>J104</f>
        <v>10</v>
      </c>
      <c r="K99" s="881">
        <f t="shared" ca="1" si="55"/>
        <v>100</v>
      </c>
      <c r="L99" s="881"/>
      <c r="M99" s="881"/>
      <c r="N99" s="881"/>
      <c r="O99" s="998"/>
      <c r="P99" s="998"/>
    </row>
    <row r="100" spans="1:16" ht="18.75">
      <c r="A100" s="1002"/>
      <c r="B100" s="1003"/>
      <c r="C100" s="1003"/>
      <c r="D100" s="1003"/>
      <c r="E100" s="1010"/>
      <c r="F100" s="1010"/>
      <c r="G100" s="1011"/>
      <c r="H100" s="622" t="s">
        <v>49</v>
      </c>
      <c r="I100" s="880">
        <f ca="1">IFERROR(__xludf.DUMMYFUNCTION("IMPORTRANGE(""https://docs.google.com/spreadsheets/d/1QqKyyYR6Q21VydFLVH3TRQUabQu_ym0Zz7PgGX0-kHA/edit?usp=sharing"",""แผน!M82"")"),2)</f>
        <v>2</v>
      </c>
      <c r="J100" s="880">
        <f>J107+J110</f>
        <v>2</v>
      </c>
      <c r="K100" s="881">
        <f t="shared" ca="1" si="55"/>
        <v>100</v>
      </c>
      <c r="L100" s="881"/>
      <c r="M100" s="881"/>
      <c r="N100" s="881"/>
      <c r="O100" s="998"/>
      <c r="P100" s="998"/>
    </row>
    <row r="101" spans="1:16" ht="19.5">
      <c r="A101" s="1002"/>
      <c r="B101" s="1003"/>
      <c r="C101" s="1003"/>
      <c r="D101" s="1010"/>
      <c r="E101" s="1013" t="s">
        <v>50</v>
      </c>
      <c r="F101" s="1010"/>
      <c r="G101" s="1011"/>
      <c r="H101" s="622"/>
      <c r="I101" s="880"/>
      <c r="J101" s="880"/>
      <c r="K101" s="881"/>
      <c r="L101" s="881"/>
      <c r="M101" s="881"/>
      <c r="N101" s="881"/>
      <c r="O101" s="998"/>
      <c r="P101" s="998"/>
    </row>
    <row r="102" spans="1:16" ht="18.75">
      <c r="A102" s="1002"/>
      <c r="B102" s="1003"/>
      <c r="C102" s="1003"/>
      <c r="D102" s="1010"/>
      <c r="E102" s="1014" t="s">
        <v>47</v>
      </c>
      <c r="F102" s="1010"/>
      <c r="G102" s="1011"/>
      <c r="H102" s="622" t="s">
        <v>46</v>
      </c>
      <c r="I102" s="880">
        <f ca="1">IFERROR(__xludf.DUMMYFUNCTION("IMPORTRANGE(""https://docs.google.com/spreadsheets/d/1QqKyyYR6Q21VydFLVH3TRQUabQu_ym0Zz7PgGX0-kHA/edit?usp=sharing"",""แผน!N82"")"),30)</f>
        <v>30</v>
      </c>
      <c r="J102" s="1012">
        <v>30</v>
      </c>
      <c r="K102" s="881">
        <f t="shared" ref="K102:K104" ca="1" si="56">IF(I102&gt;0,J102*100/I102,0)</f>
        <v>100</v>
      </c>
      <c r="L102" s="881"/>
      <c r="M102" s="881"/>
      <c r="N102" s="881"/>
      <c r="O102" s="998"/>
      <c r="P102" s="998"/>
    </row>
    <row r="103" spans="1:16" ht="19.5">
      <c r="A103" s="1002"/>
      <c r="B103" s="1003"/>
      <c r="C103" s="1003"/>
      <c r="D103" s="1010"/>
      <c r="E103" s="1009" t="s">
        <v>51</v>
      </c>
      <c r="F103" s="1010"/>
      <c r="G103" s="1011"/>
      <c r="H103" s="622" t="s">
        <v>35</v>
      </c>
      <c r="I103" s="880">
        <f ca="1">IFERROR(__xludf.DUMMYFUNCTION("IMPORTRANGE(""https://docs.google.com/spreadsheets/d/1QqKyyYR6Q21VydFLVH3TRQUabQu_ym0Zz7PgGX0-kHA/edit?usp=sharing"",""แผน!O82"")"),10)</f>
        <v>10</v>
      </c>
      <c r="J103" s="1012">
        <v>10</v>
      </c>
      <c r="K103" s="881">
        <f t="shared" ca="1" si="56"/>
        <v>100</v>
      </c>
      <c r="L103" s="881"/>
      <c r="M103" s="881"/>
      <c r="N103" s="881"/>
      <c r="O103" s="998"/>
      <c r="P103" s="998"/>
    </row>
    <row r="104" spans="1:16" ht="18.75">
      <c r="A104" s="1002"/>
      <c r="B104" s="1003"/>
      <c r="C104" s="1003"/>
      <c r="D104" s="1010"/>
      <c r="E104" s="1015" t="s">
        <v>52</v>
      </c>
      <c r="F104" s="1010"/>
      <c r="G104" s="1011"/>
      <c r="H104" s="622" t="s">
        <v>35</v>
      </c>
      <c r="I104" s="880">
        <f ca="1">IFERROR(__xludf.DUMMYFUNCTION("IMPORTRANGE(""https://docs.google.com/spreadsheets/d/1QqKyyYR6Q21VydFLVH3TRQUabQu_ym0Zz7PgGX0-kHA/edit?usp=sharing"",""แผน!O82"")"),10)</f>
        <v>10</v>
      </c>
      <c r="J104" s="1012">
        <v>10</v>
      </c>
      <c r="K104" s="881">
        <f t="shared" ca="1" si="56"/>
        <v>100</v>
      </c>
      <c r="L104" s="881"/>
      <c r="M104" s="881"/>
      <c r="N104" s="881"/>
      <c r="O104" s="998"/>
      <c r="P104" s="998"/>
    </row>
    <row r="105" spans="1:16" ht="19.5">
      <c r="A105" s="1002"/>
      <c r="B105" s="1003"/>
      <c r="C105" s="1003"/>
      <c r="D105" s="1010"/>
      <c r="E105" s="1013" t="s">
        <v>53</v>
      </c>
      <c r="F105" s="1010"/>
      <c r="G105" s="1011"/>
      <c r="H105" s="1016"/>
      <c r="I105" s="880"/>
      <c r="J105" s="880"/>
      <c r="K105" s="881"/>
      <c r="L105" s="881"/>
      <c r="M105" s="881"/>
      <c r="N105" s="881"/>
      <c r="O105" s="998"/>
      <c r="P105" s="998"/>
    </row>
    <row r="106" spans="1:16" ht="19.5">
      <c r="A106" s="1002"/>
      <c r="B106" s="1003"/>
      <c r="C106" s="1003"/>
      <c r="D106" s="1010"/>
      <c r="E106" s="1009" t="s">
        <v>54</v>
      </c>
      <c r="F106" s="1010"/>
      <c r="G106" s="1011"/>
      <c r="H106" s="622" t="s">
        <v>49</v>
      </c>
      <c r="I106" s="880">
        <f ca="1">IFERROR(__xludf.DUMMYFUNCTION("IMPORTRANGE(""https://docs.google.com/spreadsheets/d/1QqKyyYR6Q21VydFLVH3TRQUabQu_ym0Zz7PgGX0-kHA/edit?usp=sharing"",""แผน!P82"")"),1)</f>
        <v>1</v>
      </c>
      <c r="J106" s="1524">
        <v>1</v>
      </c>
      <c r="K106" s="881">
        <f t="shared" ref="K106:K107" ca="1" si="57">IF(I106&gt;0,J106*100/I106,0)</f>
        <v>100</v>
      </c>
      <c r="L106" s="881"/>
      <c r="M106" s="881"/>
      <c r="N106" s="881"/>
      <c r="O106" s="998"/>
      <c r="P106" s="998"/>
    </row>
    <row r="107" spans="1:16" ht="18.75">
      <c r="A107" s="1002"/>
      <c r="B107" s="1003"/>
      <c r="C107" s="1003"/>
      <c r="D107" s="1010"/>
      <c r="E107" s="1015" t="s">
        <v>55</v>
      </c>
      <c r="F107" s="1010"/>
      <c r="G107" s="1011"/>
      <c r="H107" s="622" t="s">
        <v>49</v>
      </c>
      <c r="I107" s="880">
        <f ca="1">IFERROR(__xludf.DUMMYFUNCTION("IMPORTRANGE(""https://docs.google.com/spreadsheets/d/1QqKyyYR6Q21VydFLVH3TRQUabQu_ym0Zz7PgGX0-kHA/edit?usp=sharing"",""แผน!P82"")"),1)</f>
        <v>1</v>
      </c>
      <c r="J107" s="1012">
        <v>1</v>
      </c>
      <c r="K107" s="881">
        <f t="shared" ca="1" si="57"/>
        <v>100</v>
      </c>
      <c r="L107" s="881"/>
      <c r="M107" s="881"/>
      <c r="N107" s="881"/>
      <c r="O107" s="998"/>
      <c r="P107" s="998"/>
    </row>
    <row r="108" spans="1:16" ht="19.5">
      <c r="A108" s="1002"/>
      <c r="B108" s="1003"/>
      <c r="C108" s="1003"/>
      <c r="D108" s="1010"/>
      <c r="E108" s="1013" t="s">
        <v>56</v>
      </c>
      <c r="F108" s="1010"/>
      <c r="G108" s="1011"/>
      <c r="H108" s="1016"/>
      <c r="I108" s="880"/>
      <c r="J108" s="880"/>
      <c r="K108" s="881"/>
      <c r="L108" s="881"/>
      <c r="M108" s="881"/>
      <c r="N108" s="881"/>
      <c r="O108" s="998"/>
      <c r="P108" s="998"/>
    </row>
    <row r="109" spans="1:16" ht="19.5">
      <c r="A109" s="1002"/>
      <c r="B109" s="1003"/>
      <c r="C109" s="1003"/>
      <c r="D109" s="1010"/>
      <c r="E109" s="1009" t="s">
        <v>57</v>
      </c>
      <c r="F109" s="1010"/>
      <c r="G109" s="1011"/>
      <c r="H109" s="622" t="s">
        <v>49</v>
      </c>
      <c r="I109" s="880">
        <f ca="1">IFERROR(__xludf.DUMMYFUNCTION("IMPORTRANGE(""https://docs.google.com/spreadsheets/d/1QqKyyYR6Q21VydFLVH3TRQUabQu_ym0Zz7PgGX0-kHA/edit?usp=sharing"",""แผน!Q82"")"),1)</f>
        <v>1</v>
      </c>
      <c r="J109" s="1012">
        <v>1</v>
      </c>
      <c r="K109" s="881">
        <f t="shared" ref="K109:K116" ca="1" si="58">IF(I109&gt;0,J109*100/I109,0)</f>
        <v>100</v>
      </c>
      <c r="L109" s="881"/>
      <c r="M109" s="881"/>
      <c r="N109" s="881"/>
      <c r="O109" s="998"/>
      <c r="P109" s="998"/>
    </row>
    <row r="110" spans="1:16" ht="18.75">
      <c r="A110" s="1002"/>
      <c r="B110" s="1003"/>
      <c r="C110" s="1003"/>
      <c r="D110" s="1010"/>
      <c r="E110" s="1017" t="s">
        <v>58</v>
      </c>
      <c r="F110" s="1010"/>
      <c r="G110" s="1011"/>
      <c r="H110" s="622" t="s">
        <v>49</v>
      </c>
      <c r="I110" s="880">
        <f ca="1">IFERROR(__xludf.DUMMYFUNCTION("IMPORTRANGE(""https://docs.google.com/spreadsheets/d/1QqKyyYR6Q21VydFLVH3TRQUabQu_ym0Zz7PgGX0-kHA/edit?usp=sharing"",""แผน!Q82"")"),1)</f>
        <v>1</v>
      </c>
      <c r="J110" s="1012">
        <v>1</v>
      </c>
      <c r="K110" s="881">
        <f t="shared" ca="1" si="58"/>
        <v>100</v>
      </c>
      <c r="L110" s="881"/>
      <c r="M110" s="881"/>
      <c r="N110" s="881"/>
      <c r="O110" s="998"/>
      <c r="P110" s="998"/>
    </row>
    <row r="111" spans="1:16" ht="19.5">
      <c r="A111" s="1002"/>
      <c r="B111" s="1003"/>
      <c r="C111" s="1003"/>
      <c r="D111" s="1013" t="s">
        <v>59</v>
      </c>
      <c r="E111" s="1013"/>
      <c r="F111" s="1010"/>
      <c r="G111" s="1011"/>
      <c r="H111" s="765" t="s">
        <v>35</v>
      </c>
      <c r="I111" s="1018">
        <f ca="1">IFERROR(__xludf.DUMMYFUNCTION("IMPORTRANGE(""https://docs.google.com/spreadsheets/d/1QqKyyYR6Q21VydFLVH3TRQUabQu_ym0Zz7PgGX0-kHA/edit?usp=sharing"",""แผน!R82"")"),10)</f>
        <v>10</v>
      </c>
      <c r="J111" s="1019">
        <f>J114</f>
        <v>0</v>
      </c>
      <c r="K111" s="1020">
        <f t="shared" ca="1" si="58"/>
        <v>0</v>
      </c>
      <c r="L111" s="881"/>
      <c r="M111" s="881"/>
      <c r="N111" s="881"/>
      <c r="O111" s="998"/>
      <c r="P111" s="998"/>
    </row>
    <row r="112" spans="1:16" ht="19.5">
      <c r="A112" s="1002"/>
      <c r="B112" s="1003"/>
      <c r="C112" s="1003"/>
      <c r="D112" s="1003"/>
      <c r="E112" s="1010"/>
      <c r="F112" s="1010"/>
      <c r="G112" s="1011"/>
      <c r="H112" s="196" t="s">
        <v>49</v>
      </c>
      <c r="I112" s="1018">
        <f t="shared" ref="I112:J112" ca="1" si="59">I115+I116</f>
        <v>2</v>
      </c>
      <c r="J112" s="1019">
        <f t="shared" si="59"/>
        <v>0</v>
      </c>
      <c r="K112" s="1020">
        <f t="shared" ca="1" si="58"/>
        <v>0</v>
      </c>
      <c r="L112" s="881"/>
      <c r="M112" s="881"/>
      <c r="N112" s="881"/>
      <c r="O112" s="998"/>
      <c r="P112" s="998"/>
    </row>
    <row r="113" spans="1:26" ht="19.5">
      <c r="A113" s="1002"/>
      <c r="B113" s="1003"/>
      <c r="C113" s="1003"/>
      <c r="D113" s="1003"/>
      <c r="E113" s="1021" t="s">
        <v>60</v>
      </c>
      <c r="F113" s="1010"/>
      <c r="G113" s="1011"/>
      <c r="H113" s="198" t="s">
        <v>35</v>
      </c>
      <c r="I113" s="997">
        <f ca="1">IFERROR(__xludf.DUMMYFUNCTION("IMPORTRANGE(""https://docs.google.com/spreadsheets/d/1QqKyyYR6Q21VydFLVH3TRQUabQu_ym0Zz7PgGX0-kHA/edit?usp=sharing"",""แผน!R82"")"),10)</f>
        <v>10</v>
      </c>
      <c r="J113" s="1012">
        <v>0</v>
      </c>
      <c r="K113" s="881">
        <f t="shared" ca="1" si="58"/>
        <v>0</v>
      </c>
      <c r="L113" s="881"/>
      <c r="M113" s="881"/>
      <c r="N113" s="881"/>
      <c r="O113" s="998"/>
      <c r="P113" s="998"/>
    </row>
    <row r="114" spans="1:26" ht="19.5">
      <c r="A114" s="1002"/>
      <c r="B114" s="1003"/>
      <c r="C114" s="1003"/>
      <c r="D114" s="1003"/>
      <c r="E114" s="1009" t="s">
        <v>61</v>
      </c>
      <c r="F114" s="1010"/>
      <c r="G114" s="1011"/>
      <c r="H114" s="199" t="s">
        <v>35</v>
      </c>
      <c r="I114" s="997">
        <f ca="1">IFERROR(__xludf.DUMMYFUNCTION("IMPORTRANGE(""https://docs.google.com/spreadsheets/d/1QqKyyYR6Q21VydFLVH3TRQUabQu_ym0Zz7PgGX0-kHA/edit?usp=sharing"",""แผน!R82"")"),10)</f>
        <v>10</v>
      </c>
      <c r="J114" s="1012">
        <v>0</v>
      </c>
      <c r="K114" s="881">
        <f t="shared" ca="1" si="58"/>
        <v>0</v>
      </c>
      <c r="L114" s="881"/>
      <c r="M114" s="881"/>
      <c r="N114" s="881"/>
      <c r="O114" s="998"/>
      <c r="P114" s="998"/>
    </row>
    <row r="115" spans="1:26" ht="18.75">
      <c r="A115" s="1002"/>
      <c r="B115" s="1003"/>
      <c r="C115" s="1003"/>
      <c r="D115" s="1003"/>
      <c r="E115" s="1009" t="s">
        <v>62</v>
      </c>
      <c r="F115" s="1010"/>
      <c r="G115" s="1011"/>
      <c r="H115" s="199" t="s">
        <v>49</v>
      </c>
      <c r="I115" s="997">
        <f ca="1">IFERROR(__xludf.DUMMYFUNCTION("IMPORTRANGE(""https://docs.google.com/spreadsheets/d/1QqKyyYR6Q21VydFLVH3TRQUabQu_ym0Zz7PgGX0-kHA/edit?usp=sharing"",""แผน!S82"")"),1)</f>
        <v>1</v>
      </c>
      <c r="J115" s="1012">
        <v>0</v>
      </c>
      <c r="K115" s="881">
        <f t="shared" ca="1" si="58"/>
        <v>0</v>
      </c>
      <c r="L115" s="881"/>
      <c r="M115" s="881"/>
      <c r="N115" s="881"/>
      <c r="O115" s="998"/>
      <c r="P115" s="998"/>
    </row>
    <row r="116" spans="1:26" ht="18.75">
      <c r="A116" s="1002"/>
      <c r="B116" s="1003"/>
      <c r="C116" s="1003"/>
      <c r="D116" s="1003"/>
      <c r="E116" s="1009" t="s">
        <v>63</v>
      </c>
      <c r="F116" s="1010"/>
      <c r="G116" s="1011"/>
      <c r="H116" s="199" t="s">
        <v>49</v>
      </c>
      <c r="I116" s="997">
        <f ca="1">IFERROR(__xludf.DUMMYFUNCTION("IMPORTRANGE(""https://docs.google.com/spreadsheets/d/1QqKyyYR6Q21VydFLVH3TRQUabQu_ym0Zz7PgGX0-kHA/edit?usp=sharing"",""แผน!T82"")"),1)</f>
        <v>1</v>
      </c>
      <c r="J116" s="1012">
        <v>0</v>
      </c>
      <c r="K116" s="881">
        <f t="shared" ca="1" si="58"/>
        <v>0</v>
      </c>
      <c r="L116" s="881"/>
      <c r="M116" s="881"/>
      <c r="N116" s="881"/>
      <c r="O116" s="998"/>
      <c r="P116" s="998"/>
    </row>
    <row r="117" spans="1:26" ht="19.5" hidden="1">
      <c r="A117" s="970" t="s">
        <v>64</v>
      </c>
      <c r="B117" s="971"/>
      <c r="C117" s="1022"/>
      <c r="D117" s="971"/>
      <c r="E117" s="971"/>
      <c r="F117" s="971"/>
      <c r="G117" s="971"/>
      <c r="H117" s="1023"/>
      <c r="I117" s="1024"/>
      <c r="J117" s="1024"/>
      <c r="K117" s="1025"/>
      <c r="L117" s="976"/>
      <c r="M117" s="976"/>
      <c r="N117" s="976"/>
      <c r="O117" s="976"/>
      <c r="P117" s="976"/>
    </row>
    <row r="118" spans="1:26" ht="19.5" hidden="1">
      <c r="A118" s="977"/>
      <c r="B118" s="978" t="s">
        <v>65</v>
      </c>
      <c r="C118" s="1026"/>
      <c r="D118" s="980"/>
      <c r="E118" s="979"/>
      <c r="F118" s="979"/>
      <c r="G118" s="981"/>
      <c r="H118" s="205"/>
      <c r="I118" s="1027"/>
      <c r="J118" s="1027"/>
      <c r="K118" s="984"/>
      <c r="L118" s="984"/>
      <c r="M118" s="984"/>
      <c r="N118" s="984"/>
      <c r="O118" s="984"/>
      <c r="P118" s="984"/>
    </row>
    <row r="119" spans="1:26" ht="19.5" hidden="1">
      <c r="A119" s="985"/>
      <c r="B119" s="986"/>
      <c r="C119" s="987" t="s">
        <v>16</v>
      </c>
      <c r="D119" s="988" t="s">
        <v>17</v>
      </c>
      <c r="E119" s="986"/>
      <c r="F119" s="986"/>
      <c r="G119" s="989"/>
      <c r="H119" s="152" t="s">
        <v>12</v>
      </c>
      <c r="I119" s="990"/>
      <c r="J119" s="990"/>
      <c r="K119" s="991"/>
      <c r="L119" s="992">
        <f t="shared" ref="L119:N119" ca="1" si="60">L120+L121</f>
        <v>0</v>
      </c>
      <c r="M119" s="992">
        <f t="shared" ca="1" si="60"/>
        <v>0</v>
      </c>
      <c r="N119" s="992">
        <f t="shared" ca="1" si="60"/>
        <v>0</v>
      </c>
      <c r="O119" s="992">
        <f t="shared" ref="O119:O127" ca="1" si="61">IF(L119&gt;0,N119*100/L119,0)</f>
        <v>0</v>
      </c>
      <c r="P119" s="992">
        <f t="shared" ref="P119:P127" ca="1" si="62">IF(M119&gt;0,N119*100/M119,0)</f>
        <v>0</v>
      </c>
      <c r="Q119" s="868"/>
      <c r="R119" s="868"/>
      <c r="S119" s="868"/>
      <c r="T119" s="868"/>
      <c r="U119" s="868"/>
      <c r="V119" s="868"/>
      <c r="W119" s="868"/>
      <c r="X119" s="868"/>
      <c r="Y119" s="868"/>
      <c r="Z119" s="868"/>
    </row>
    <row r="120" spans="1:26" ht="18.75" hidden="1">
      <c r="A120" s="993"/>
      <c r="B120" s="883"/>
      <c r="C120" s="883"/>
      <c r="D120" s="883"/>
      <c r="E120" s="884" t="s">
        <v>18</v>
      </c>
      <c r="F120" s="883"/>
      <c r="G120" s="994"/>
      <c r="H120" s="158" t="s">
        <v>12</v>
      </c>
      <c r="I120" s="886"/>
      <c r="J120" s="886"/>
      <c r="K120" s="887"/>
      <c r="L120" s="887">
        <f t="shared" ref="L120:N121" si="63">L123+L126</f>
        <v>0</v>
      </c>
      <c r="M120" s="887">
        <f t="shared" si="63"/>
        <v>0</v>
      </c>
      <c r="N120" s="887">
        <f t="shared" si="63"/>
        <v>0</v>
      </c>
      <c r="O120" s="887">
        <f t="shared" si="61"/>
        <v>0</v>
      </c>
      <c r="P120" s="887">
        <f t="shared" si="62"/>
        <v>0</v>
      </c>
      <c r="Q120" s="875"/>
      <c r="R120" s="875"/>
      <c r="S120" s="875"/>
      <c r="T120" s="875"/>
      <c r="U120" s="875"/>
      <c r="V120" s="875"/>
      <c r="W120" s="875"/>
      <c r="X120" s="875"/>
      <c r="Y120" s="875"/>
      <c r="Z120" s="875"/>
    </row>
    <row r="121" spans="1:26" ht="18.75" hidden="1">
      <c r="A121" s="993"/>
      <c r="B121" s="883"/>
      <c r="C121" s="883"/>
      <c r="D121" s="883"/>
      <c r="E121" s="884" t="s">
        <v>19</v>
      </c>
      <c r="F121" s="883"/>
      <c r="G121" s="994"/>
      <c r="H121" s="158" t="s">
        <v>12</v>
      </c>
      <c r="I121" s="886"/>
      <c r="J121" s="886"/>
      <c r="K121" s="887"/>
      <c r="L121" s="887">
        <f t="shared" ca="1" si="63"/>
        <v>0</v>
      </c>
      <c r="M121" s="887">
        <f t="shared" ca="1" si="63"/>
        <v>0</v>
      </c>
      <c r="N121" s="887">
        <f t="shared" ca="1" si="63"/>
        <v>0</v>
      </c>
      <c r="O121" s="887">
        <f t="shared" ca="1" si="61"/>
        <v>0</v>
      </c>
      <c r="P121" s="887">
        <f t="shared" ca="1" si="62"/>
        <v>0</v>
      </c>
      <c r="Q121" s="875"/>
      <c r="R121" s="875"/>
      <c r="S121" s="875"/>
      <c r="T121" s="875"/>
      <c r="U121" s="875"/>
      <c r="V121" s="875"/>
      <c r="W121" s="875"/>
      <c r="X121" s="875"/>
      <c r="Y121" s="875"/>
      <c r="Z121" s="875"/>
    </row>
    <row r="122" spans="1:26" ht="18.75" hidden="1">
      <c r="A122" s="995"/>
      <c r="B122" s="877"/>
      <c r="C122" s="996"/>
      <c r="D122" s="878" t="s">
        <v>20</v>
      </c>
      <c r="E122" s="877"/>
      <c r="F122" s="877"/>
      <c r="G122" s="879"/>
      <c r="H122" s="161" t="s">
        <v>12</v>
      </c>
      <c r="I122" s="997"/>
      <c r="J122" s="997"/>
      <c r="K122" s="998"/>
      <c r="L122" s="881">
        <f t="shared" ref="L122:N122" ca="1" si="64">L123+L124</f>
        <v>0</v>
      </c>
      <c r="M122" s="881">
        <f t="shared" ca="1" si="64"/>
        <v>0</v>
      </c>
      <c r="N122" s="881">
        <f t="shared" ca="1" si="64"/>
        <v>0</v>
      </c>
      <c r="O122" s="881">
        <f t="shared" ca="1" si="61"/>
        <v>0</v>
      </c>
      <c r="P122" s="881">
        <f t="shared" ca="1" si="62"/>
        <v>0</v>
      </c>
      <c r="Q122" s="868"/>
      <c r="R122" s="868"/>
      <c r="S122" s="868"/>
      <c r="T122" s="868"/>
      <c r="U122" s="868"/>
      <c r="V122" s="868"/>
      <c r="W122" s="868"/>
      <c r="X122" s="868"/>
      <c r="Y122" s="868"/>
      <c r="Z122" s="868"/>
    </row>
    <row r="123" spans="1:26" ht="18.75" hidden="1">
      <c r="A123" s="993"/>
      <c r="B123" s="883"/>
      <c r="C123" s="884"/>
      <c r="D123" s="883"/>
      <c r="E123" s="884" t="s">
        <v>36</v>
      </c>
      <c r="F123" s="883"/>
      <c r="G123" s="994"/>
      <c r="H123" s="165" t="s">
        <v>12</v>
      </c>
      <c r="I123" s="1000"/>
      <c r="J123" s="1000"/>
      <c r="K123" s="1001"/>
      <c r="L123" s="887">
        <v>0</v>
      </c>
      <c r="M123" s="887">
        <v>0</v>
      </c>
      <c r="N123" s="887">
        <v>0</v>
      </c>
      <c r="O123" s="887">
        <f t="shared" si="61"/>
        <v>0</v>
      </c>
      <c r="P123" s="887">
        <f t="shared" si="62"/>
        <v>0</v>
      </c>
      <c r="Q123" s="875"/>
      <c r="R123" s="875"/>
      <c r="S123" s="875"/>
      <c r="T123" s="875"/>
      <c r="U123" s="875"/>
      <c r="V123" s="875"/>
      <c r="W123" s="875"/>
      <c r="X123" s="875"/>
      <c r="Y123" s="875"/>
      <c r="Z123" s="875"/>
    </row>
    <row r="124" spans="1:26" ht="18.75" hidden="1">
      <c r="A124" s="993"/>
      <c r="B124" s="883"/>
      <c r="C124" s="884"/>
      <c r="D124" s="883"/>
      <c r="E124" s="884" t="s">
        <v>37</v>
      </c>
      <c r="F124" s="883"/>
      <c r="G124" s="994"/>
      <c r="H124" s="165" t="s">
        <v>12</v>
      </c>
      <c r="I124" s="1000"/>
      <c r="J124" s="1000"/>
      <c r="K124" s="1001"/>
      <c r="L124" s="887">
        <f ca="1">IFERROR(__xludf.DUMMYFUNCTION("IMPORTRANGE(""https://docs.google.com/spreadsheets/d/1MeEWN-I1oV_STSDYn1IFDPWt_1FKiwhDph83XaGc0o0/edit?usp=sharing"",""งบพรบ!BA82"")"),0)</f>
        <v>0</v>
      </c>
      <c r="M124" s="887">
        <f ca="1">IFERROR(__xludf.DUMMYFUNCTION("IMPORTRANGE(""https://docs.google.com/spreadsheets/d/1MeEWN-I1oV_STSDYn1IFDPWt_1FKiwhDph83XaGc0o0/edit?usp=sharing"",""งบพรบ!BF82"")"),0)</f>
        <v>0</v>
      </c>
      <c r="N124" s="887">
        <f ca="1">IFERROR(__xludf.DUMMYFUNCTION("IMPORTRANGE(""https://docs.google.com/spreadsheets/d/1MeEWN-I1oV_STSDYn1IFDPWt_1FKiwhDph83XaGc0o0/edit?usp=sharing"",""งบพรบ!BH82"")"),0)</f>
        <v>0</v>
      </c>
      <c r="O124" s="887">
        <f t="shared" ca="1" si="61"/>
        <v>0</v>
      </c>
      <c r="P124" s="887">
        <f t="shared" ca="1" si="62"/>
        <v>0</v>
      </c>
      <c r="Q124" s="875"/>
      <c r="R124" s="875"/>
      <c r="S124" s="875"/>
      <c r="T124" s="875"/>
      <c r="U124" s="875"/>
      <c r="V124" s="875"/>
      <c r="W124" s="875"/>
      <c r="X124" s="875"/>
      <c r="Y124" s="875"/>
      <c r="Z124" s="875"/>
    </row>
    <row r="125" spans="1:26" ht="18.75" hidden="1">
      <c r="A125" s="995"/>
      <c r="B125" s="877"/>
      <c r="C125" s="996"/>
      <c r="D125" s="878" t="s">
        <v>21</v>
      </c>
      <c r="E125" s="877"/>
      <c r="F125" s="877"/>
      <c r="G125" s="879"/>
      <c r="H125" s="168" t="s">
        <v>12</v>
      </c>
      <c r="I125" s="997"/>
      <c r="J125" s="997"/>
      <c r="K125" s="998"/>
      <c r="L125" s="881">
        <f t="shared" ref="L125:N125" ca="1" si="65">L126+L127</f>
        <v>0</v>
      </c>
      <c r="M125" s="881">
        <f t="shared" ca="1" si="65"/>
        <v>0</v>
      </c>
      <c r="N125" s="881">
        <f t="shared" ca="1" si="65"/>
        <v>0</v>
      </c>
      <c r="O125" s="881">
        <f t="shared" ca="1" si="61"/>
        <v>0</v>
      </c>
      <c r="P125" s="881">
        <f t="shared" ca="1" si="62"/>
        <v>0</v>
      </c>
      <c r="Q125" s="868"/>
      <c r="R125" s="868"/>
      <c r="S125" s="868"/>
      <c r="T125" s="868"/>
      <c r="U125" s="868"/>
      <c r="V125" s="868"/>
      <c r="W125" s="868"/>
      <c r="X125" s="868"/>
      <c r="Y125" s="868"/>
      <c r="Z125" s="868"/>
    </row>
    <row r="126" spans="1:26" ht="19.5" hidden="1">
      <c r="A126" s="993"/>
      <c r="B126" s="883"/>
      <c r="C126" s="999"/>
      <c r="D126" s="883"/>
      <c r="E126" s="884" t="s">
        <v>18</v>
      </c>
      <c r="F126" s="883"/>
      <c r="G126" s="994"/>
      <c r="H126" s="165" t="s">
        <v>12</v>
      </c>
      <c r="I126" s="1000"/>
      <c r="J126" s="1000"/>
      <c r="K126" s="1001"/>
      <c r="L126" s="887">
        <v>0</v>
      </c>
      <c r="M126" s="887">
        <v>0</v>
      </c>
      <c r="N126" s="887">
        <v>0</v>
      </c>
      <c r="O126" s="887">
        <f t="shared" si="61"/>
        <v>0</v>
      </c>
      <c r="P126" s="887">
        <f t="shared" si="62"/>
        <v>0</v>
      </c>
      <c r="Q126" s="875"/>
      <c r="R126" s="875"/>
      <c r="S126" s="875"/>
      <c r="T126" s="875"/>
      <c r="U126" s="875"/>
      <c r="V126" s="875"/>
      <c r="W126" s="875"/>
      <c r="X126" s="875"/>
      <c r="Y126" s="875"/>
      <c r="Z126" s="875"/>
    </row>
    <row r="127" spans="1:26" ht="19.5" hidden="1">
      <c r="A127" s="993"/>
      <c r="B127" s="883"/>
      <c r="C127" s="999"/>
      <c r="D127" s="883"/>
      <c r="E127" s="884" t="s">
        <v>19</v>
      </c>
      <c r="F127" s="883"/>
      <c r="G127" s="994"/>
      <c r="H127" s="169" t="s">
        <v>12</v>
      </c>
      <c r="I127" s="1000"/>
      <c r="J127" s="1000"/>
      <c r="K127" s="1001"/>
      <c r="L127" s="887">
        <f ca="1">IFERROR(__xludf.DUMMYFUNCTION("IMPORTRANGE(""https://docs.google.com/spreadsheets/d/1MeEWN-I1oV_STSDYn1IFDPWt_1FKiwhDph83XaGc0o0/edit?usp=sharing"",""งบพรบ!BD82"")"),0)</f>
        <v>0</v>
      </c>
      <c r="M127" s="887">
        <f ca="1">IFERROR(__xludf.DUMMYFUNCTION("IMPORTRANGE(""https://docs.google.com/spreadsheets/d/1MeEWN-I1oV_STSDYn1IFDPWt_1FKiwhDph83XaGc0o0/edit?usp=sharing"",""งบพรบ!BG82"")"),0)</f>
        <v>0</v>
      </c>
      <c r="N127" s="887">
        <f ca="1">IFERROR(__xludf.DUMMYFUNCTION("IMPORTRANGE(""https://docs.google.com/spreadsheets/d/1MeEWN-I1oV_STSDYn1IFDPWt_1FKiwhDph83XaGc0o0/edit?usp=sharing"",""งบพรบ!BI82"")"),0)</f>
        <v>0</v>
      </c>
      <c r="O127" s="887">
        <f t="shared" ca="1" si="61"/>
        <v>0</v>
      </c>
      <c r="P127" s="887">
        <f t="shared" ca="1" si="62"/>
        <v>0</v>
      </c>
      <c r="Q127" s="875"/>
      <c r="R127" s="875"/>
      <c r="S127" s="875"/>
      <c r="T127" s="875"/>
      <c r="U127" s="875"/>
      <c r="V127" s="875"/>
      <c r="W127" s="875"/>
      <c r="X127" s="875"/>
      <c r="Y127" s="875"/>
      <c r="Z127" s="875"/>
    </row>
    <row r="128" spans="1:26" ht="19.5">
      <c r="A128" s="970" t="s">
        <v>67</v>
      </c>
      <c r="B128" s="971"/>
      <c r="C128" s="1022"/>
      <c r="D128" s="971"/>
      <c r="E128" s="971"/>
      <c r="F128" s="971"/>
      <c r="G128" s="971"/>
      <c r="H128" s="1023"/>
      <c r="I128" s="1024"/>
      <c r="J128" s="1024"/>
      <c r="K128" s="1025"/>
      <c r="L128" s="976"/>
      <c r="M128" s="976"/>
      <c r="N128" s="976"/>
      <c r="O128" s="976"/>
      <c r="P128" s="976"/>
    </row>
    <row r="129" spans="1:26" ht="19.5">
      <c r="A129" s="977"/>
      <c r="B129" s="978" t="s">
        <v>68</v>
      </c>
      <c r="C129" s="1026"/>
      <c r="D129" s="980"/>
      <c r="E129" s="979"/>
      <c r="F129" s="979"/>
      <c r="G129" s="979"/>
      <c r="H129" s="207"/>
      <c r="I129" s="1027"/>
      <c r="J129" s="1027"/>
      <c r="K129" s="984"/>
      <c r="L129" s="984"/>
      <c r="M129" s="984"/>
      <c r="N129" s="984"/>
      <c r="O129" s="984"/>
      <c r="P129" s="984"/>
    </row>
    <row r="130" spans="1:26" ht="19.5">
      <c r="A130" s="977"/>
      <c r="B130" s="978"/>
      <c r="C130" s="1028" t="s">
        <v>69</v>
      </c>
      <c r="D130" s="980"/>
      <c r="E130" s="979"/>
      <c r="F130" s="979"/>
      <c r="G130" s="981"/>
      <c r="H130" s="205" t="s">
        <v>66</v>
      </c>
      <c r="I130" s="982">
        <f t="shared" ref="I130:J130" ca="1" si="66">I146</f>
        <v>3</v>
      </c>
      <c r="J130" s="982">
        <f t="shared" si="66"/>
        <v>0</v>
      </c>
      <c r="K130" s="983">
        <f t="shared" ref="K130:K131" ca="1" si="67">IF(I130&gt;0,J130*100/I130,0)</f>
        <v>0</v>
      </c>
      <c r="L130" s="984"/>
      <c r="M130" s="984"/>
      <c r="N130" s="984"/>
      <c r="O130" s="984"/>
      <c r="P130" s="984"/>
    </row>
    <row r="131" spans="1:26" ht="19.5">
      <c r="A131" s="977"/>
      <c r="B131" s="978"/>
      <c r="C131" s="1028" t="s">
        <v>70</v>
      </c>
      <c r="D131" s="980"/>
      <c r="E131" s="979"/>
      <c r="F131" s="979"/>
      <c r="G131" s="981"/>
      <c r="H131" s="205" t="s">
        <v>35</v>
      </c>
      <c r="I131" s="982">
        <f t="shared" ref="I131:J131" ca="1" si="68">I143</f>
        <v>30</v>
      </c>
      <c r="J131" s="982">
        <f t="shared" ca="1" si="68"/>
        <v>30</v>
      </c>
      <c r="K131" s="983">
        <f t="shared" ca="1" si="67"/>
        <v>100</v>
      </c>
      <c r="L131" s="984"/>
      <c r="M131" s="984"/>
      <c r="N131" s="984"/>
      <c r="O131" s="984"/>
      <c r="P131" s="984"/>
    </row>
    <row r="132" spans="1:26" ht="19.5">
      <c r="A132" s="985"/>
      <c r="B132" s="986"/>
      <c r="C132" s="987" t="s">
        <v>16</v>
      </c>
      <c r="D132" s="988" t="s">
        <v>17</v>
      </c>
      <c r="E132" s="986"/>
      <c r="F132" s="986"/>
      <c r="G132" s="989"/>
      <c r="H132" s="152" t="s">
        <v>12</v>
      </c>
      <c r="I132" s="990"/>
      <c r="J132" s="990"/>
      <c r="K132" s="991"/>
      <c r="L132" s="992">
        <f t="shared" ref="L132:N132" ca="1" si="69">L133+L134</f>
        <v>454965</v>
      </c>
      <c r="M132" s="992">
        <f t="shared" ca="1" si="69"/>
        <v>440600</v>
      </c>
      <c r="N132" s="992">
        <f t="shared" ca="1" si="69"/>
        <v>377810</v>
      </c>
      <c r="O132" s="992">
        <f t="shared" ref="O132:O140" ca="1" si="70">IF(L132&gt;0,N132*100/L132,0)</f>
        <v>83.041552646906908</v>
      </c>
      <c r="P132" s="992">
        <f t="shared" ref="P132:P140" ca="1" si="71">IF(M132&gt;0,N132*100/M132,0)</f>
        <v>85.748978665456193</v>
      </c>
      <c r="Q132" s="868"/>
      <c r="R132" s="868"/>
      <c r="S132" s="868"/>
      <c r="T132" s="868"/>
      <c r="U132" s="868"/>
      <c r="V132" s="868"/>
      <c r="W132" s="868"/>
      <c r="X132" s="868"/>
      <c r="Y132" s="868"/>
      <c r="Z132" s="868"/>
    </row>
    <row r="133" spans="1:26" ht="18.75" hidden="1">
      <c r="A133" s="993"/>
      <c r="B133" s="883"/>
      <c r="C133" s="883"/>
      <c r="D133" s="883"/>
      <c r="E133" s="884" t="s">
        <v>18</v>
      </c>
      <c r="F133" s="883"/>
      <c r="G133" s="994"/>
      <c r="H133" s="158" t="s">
        <v>12</v>
      </c>
      <c r="I133" s="886"/>
      <c r="J133" s="886"/>
      <c r="K133" s="887"/>
      <c r="L133" s="887">
        <f t="shared" ref="L133:N134" si="72">L136+L139</f>
        <v>0</v>
      </c>
      <c r="M133" s="887">
        <f t="shared" si="72"/>
        <v>0</v>
      </c>
      <c r="N133" s="887">
        <f t="shared" si="72"/>
        <v>0</v>
      </c>
      <c r="O133" s="887">
        <f t="shared" si="70"/>
        <v>0</v>
      </c>
      <c r="P133" s="887">
        <f t="shared" si="71"/>
        <v>0</v>
      </c>
      <c r="Q133" s="875"/>
      <c r="R133" s="875"/>
      <c r="S133" s="875"/>
      <c r="T133" s="875"/>
      <c r="U133" s="875"/>
      <c r="V133" s="875"/>
      <c r="W133" s="875"/>
      <c r="X133" s="875"/>
      <c r="Y133" s="875"/>
      <c r="Z133" s="875"/>
    </row>
    <row r="134" spans="1:26" ht="18.75" hidden="1">
      <c r="A134" s="993"/>
      <c r="B134" s="883"/>
      <c r="C134" s="883"/>
      <c r="D134" s="883"/>
      <c r="E134" s="884" t="s">
        <v>19</v>
      </c>
      <c r="F134" s="883"/>
      <c r="G134" s="994"/>
      <c r="H134" s="158" t="s">
        <v>12</v>
      </c>
      <c r="I134" s="886"/>
      <c r="J134" s="886"/>
      <c r="K134" s="887"/>
      <c r="L134" s="887">
        <f t="shared" ca="1" si="72"/>
        <v>454965</v>
      </c>
      <c r="M134" s="887">
        <f t="shared" ca="1" si="72"/>
        <v>440600</v>
      </c>
      <c r="N134" s="887">
        <f t="shared" ca="1" si="72"/>
        <v>377810</v>
      </c>
      <c r="O134" s="887">
        <f t="shared" ca="1" si="70"/>
        <v>83.041552646906908</v>
      </c>
      <c r="P134" s="887">
        <f t="shared" ca="1" si="71"/>
        <v>85.748978665456193</v>
      </c>
      <c r="Q134" s="875"/>
      <c r="R134" s="875"/>
      <c r="S134" s="875"/>
      <c r="T134" s="875"/>
      <c r="U134" s="875"/>
      <c r="V134" s="875"/>
      <c r="W134" s="875"/>
      <c r="X134" s="875"/>
      <c r="Y134" s="875"/>
      <c r="Z134" s="875"/>
    </row>
    <row r="135" spans="1:26" ht="18.75">
      <c r="A135" s="995"/>
      <c r="B135" s="877"/>
      <c r="C135" s="996"/>
      <c r="D135" s="878" t="s">
        <v>20</v>
      </c>
      <c r="E135" s="877"/>
      <c r="F135" s="877"/>
      <c r="G135" s="879"/>
      <c r="H135" s="161" t="s">
        <v>12</v>
      </c>
      <c r="I135" s="997"/>
      <c r="J135" s="997"/>
      <c r="K135" s="998"/>
      <c r="L135" s="881">
        <f t="shared" ref="L135:N135" ca="1" si="73">L136+L137</f>
        <v>145965</v>
      </c>
      <c r="M135" s="881">
        <f t="shared" ca="1" si="73"/>
        <v>131600</v>
      </c>
      <c r="N135" s="881">
        <f t="shared" ca="1" si="73"/>
        <v>68810</v>
      </c>
      <c r="O135" s="881">
        <f t="shared" ca="1" si="70"/>
        <v>47.141438015962734</v>
      </c>
      <c r="P135" s="881">
        <f t="shared" ca="1" si="71"/>
        <v>52.287234042553195</v>
      </c>
      <c r="Q135" s="868"/>
      <c r="R135" s="868"/>
      <c r="S135" s="868"/>
      <c r="T135" s="868"/>
      <c r="U135" s="868"/>
      <c r="V135" s="868"/>
      <c r="W135" s="868"/>
      <c r="X135" s="868"/>
      <c r="Y135" s="868"/>
      <c r="Z135" s="868"/>
    </row>
    <row r="136" spans="1:26" ht="19.5" hidden="1">
      <c r="A136" s="993"/>
      <c r="B136" s="883"/>
      <c r="C136" s="999"/>
      <c r="D136" s="883"/>
      <c r="E136" s="884" t="s">
        <v>36</v>
      </c>
      <c r="F136" s="883"/>
      <c r="G136" s="994"/>
      <c r="H136" s="165" t="s">
        <v>12</v>
      </c>
      <c r="I136" s="1000"/>
      <c r="J136" s="1000"/>
      <c r="K136" s="1001"/>
      <c r="L136" s="887">
        <v>0</v>
      </c>
      <c r="M136" s="887">
        <v>0</v>
      </c>
      <c r="N136" s="887">
        <v>0</v>
      </c>
      <c r="O136" s="887">
        <f t="shared" si="70"/>
        <v>0</v>
      </c>
      <c r="P136" s="887">
        <f t="shared" si="71"/>
        <v>0</v>
      </c>
      <c r="Q136" s="875"/>
      <c r="R136" s="875"/>
      <c r="S136" s="875"/>
      <c r="T136" s="875"/>
      <c r="U136" s="875"/>
      <c r="V136" s="875"/>
      <c r="W136" s="875"/>
      <c r="X136" s="875"/>
      <c r="Y136" s="875"/>
      <c r="Z136" s="875"/>
    </row>
    <row r="137" spans="1:26" ht="19.5" hidden="1">
      <c r="A137" s="993"/>
      <c r="B137" s="883"/>
      <c r="C137" s="999"/>
      <c r="D137" s="883"/>
      <c r="E137" s="884" t="s">
        <v>37</v>
      </c>
      <c r="F137" s="883"/>
      <c r="G137" s="994"/>
      <c r="H137" s="165" t="s">
        <v>12</v>
      </c>
      <c r="I137" s="1000"/>
      <c r="J137" s="1000"/>
      <c r="K137" s="1001"/>
      <c r="L137" s="887">
        <f ca="1">IFERROR(__xludf.DUMMYFUNCTION("IMPORTRANGE(""https://docs.google.com/spreadsheets/d/1MeEWN-I1oV_STSDYn1IFDPWt_1FKiwhDph83XaGc0o0/edit?usp=sharing"",""งบพรบ!BK82"")"),145965)</f>
        <v>145965</v>
      </c>
      <c r="M137" s="887">
        <f ca="1">IFERROR(__xludf.DUMMYFUNCTION("IMPORTRANGE(""https://docs.google.com/spreadsheets/d/1MeEWN-I1oV_STSDYn1IFDPWt_1FKiwhDph83XaGc0o0/edit?usp=sharing"",""งบพรบ!BP82"")"),131600)</f>
        <v>131600</v>
      </c>
      <c r="N137" s="887">
        <f ca="1">IFERROR(__xludf.DUMMYFUNCTION("IMPORTRANGE(""https://docs.google.com/spreadsheets/d/1MeEWN-I1oV_STSDYn1IFDPWt_1FKiwhDph83XaGc0o0/edit?usp=sharing"",""งบพรบ!BR82"")"),68810)</f>
        <v>68810</v>
      </c>
      <c r="O137" s="887">
        <f t="shared" ca="1" si="70"/>
        <v>47.141438015962734</v>
      </c>
      <c r="P137" s="887">
        <f t="shared" ca="1" si="71"/>
        <v>52.287234042553195</v>
      </c>
      <c r="Q137" s="875"/>
      <c r="R137" s="875"/>
      <c r="S137" s="875"/>
      <c r="T137" s="875"/>
      <c r="U137" s="875"/>
      <c r="V137" s="875"/>
      <c r="W137" s="875"/>
      <c r="X137" s="875"/>
      <c r="Y137" s="875"/>
      <c r="Z137" s="875"/>
    </row>
    <row r="138" spans="1:26" ht="18.75">
      <c r="A138" s="995"/>
      <c r="B138" s="877"/>
      <c r="C138" s="996"/>
      <c r="D138" s="878" t="s">
        <v>21</v>
      </c>
      <c r="E138" s="877"/>
      <c r="F138" s="877"/>
      <c r="G138" s="879"/>
      <c r="H138" s="168" t="s">
        <v>12</v>
      </c>
      <c r="I138" s="997"/>
      <c r="J138" s="997"/>
      <c r="K138" s="998"/>
      <c r="L138" s="881">
        <f t="shared" ref="L138:N138" ca="1" si="74">L139+L140</f>
        <v>309000</v>
      </c>
      <c r="M138" s="881">
        <f t="shared" ca="1" si="74"/>
        <v>309000</v>
      </c>
      <c r="N138" s="881">
        <f t="shared" ca="1" si="74"/>
        <v>309000</v>
      </c>
      <c r="O138" s="881">
        <f t="shared" ca="1" si="70"/>
        <v>100</v>
      </c>
      <c r="P138" s="881">
        <f t="shared" ca="1" si="71"/>
        <v>100</v>
      </c>
      <c r="Q138" s="868"/>
      <c r="R138" s="868"/>
      <c r="S138" s="868"/>
      <c r="T138" s="868"/>
      <c r="U138" s="868"/>
      <c r="V138" s="868"/>
      <c r="W138" s="868"/>
      <c r="X138" s="868"/>
      <c r="Y138" s="868"/>
      <c r="Z138" s="868"/>
    </row>
    <row r="139" spans="1:26" ht="19.5" hidden="1">
      <c r="A139" s="993"/>
      <c r="B139" s="883"/>
      <c r="C139" s="999"/>
      <c r="D139" s="883"/>
      <c r="E139" s="884" t="s">
        <v>18</v>
      </c>
      <c r="F139" s="883"/>
      <c r="G139" s="994"/>
      <c r="H139" s="165" t="s">
        <v>12</v>
      </c>
      <c r="I139" s="1000"/>
      <c r="J139" s="1000"/>
      <c r="K139" s="1001"/>
      <c r="L139" s="887">
        <v>0</v>
      </c>
      <c r="M139" s="887">
        <v>0</v>
      </c>
      <c r="N139" s="887">
        <v>0</v>
      </c>
      <c r="O139" s="887">
        <f t="shared" si="70"/>
        <v>0</v>
      </c>
      <c r="P139" s="887">
        <f t="shared" si="71"/>
        <v>0</v>
      </c>
      <c r="Q139" s="875"/>
      <c r="R139" s="875"/>
      <c r="S139" s="875"/>
      <c r="T139" s="875"/>
      <c r="U139" s="875"/>
      <c r="V139" s="875"/>
      <c r="W139" s="875"/>
      <c r="X139" s="875"/>
      <c r="Y139" s="875"/>
      <c r="Z139" s="875"/>
    </row>
    <row r="140" spans="1:26" ht="19.5" hidden="1">
      <c r="A140" s="993"/>
      <c r="B140" s="883"/>
      <c r="C140" s="999"/>
      <c r="D140" s="883"/>
      <c r="E140" s="884" t="s">
        <v>19</v>
      </c>
      <c r="F140" s="883"/>
      <c r="G140" s="994"/>
      <c r="H140" s="169" t="s">
        <v>12</v>
      </c>
      <c r="I140" s="1000"/>
      <c r="J140" s="1000"/>
      <c r="K140" s="1001"/>
      <c r="L140" s="887">
        <f ca="1">IFERROR(__xludf.DUMMYFUNCTION("IMPORTRANGE(""https://docs.google.com/spreadsheets/d/1MeEWN-I1oV_STSDYn1IFDPWt_1FKiwhDph83XaGc0o0/edit?usp=sharing"",""งบพรบ!BN82"")"),309000)</f>
        <v>309000</v>
      </c>
      <c r="M140" s="887">
        <f ca="1">IFERROR(__xludf.DUMMYFUNCTION("IMPORTRANGE(""https://docs.google.com/spreadsheets/d/1MeEWN-I1oV_STSDYn1IFDPWt_1FKiwhDph83XaGc0o0/edit?usp=sharing"",""งบพรบ!BQ82"")"),309000)</f>
        <v>309000</v>
      </c>
      <c r="N140" s="887">
        <f ca="1">IFERROR(__xludf.DUMMYFUNCTION("IMPORTRANGE(""https://docs.google.com/spreadsheets/d/1MeEWN-I1oV_STSDYn1IFDPWt_1FKiwhDph83XaGc0o0/edit?usp=sharing"",""งบพรบ!BS82"")"),309000)</f>
        <v>309000</v>
      </c>
      <c r="O140" s="887">
        <f t="shared" ca="1" si="70"/>
        <v>100</v>
      </c>
      <c r="P140" s="887">
        <f t="shared" ca="1" si="71"/>
        <v>100</v>
      </c>
      <c r="Q140" s="875"/>
      <c r="R140" s="875"/>
      <c r="S140" s="875"/>
      <c r="T140" s="875"/>
      <c r="U140" s="875"/>
      <c r="V140" s="875"/>
      <c r="W140" s="875"/>
      <c r="X140" s="875"/>
      <c r="Y140" s="875"/>
      <c r="Z140" s="875"/>
    </row>
    <row r="141" spans="1:26" ht="19.5">
      <c r="A141" s="1002"/>
      <c r="B141" s="1003"/>
      <c r="C141" s="987" t="s">
        <v>16</v>
      </c>
      <c r="D141" s="1004" t="s">
        <v>38</v>
      </c>
      <c r="E141" s="1005"/>
      <c r="F141" s="1005"/>
      <c r="G141" s="1006"/>
      <c r="H141" s="168"/>
      <c r="I141" s="880"/>
      <c r="J141" s="880"/>
      <c r="K141" s="881"/>
      <c r="L141" s="881"/>
      <c r="M141" s="881"/>
      <c r="N141" s="881"/>
      <c r="O141" s="881"/>
      <c r="P141" s="881"/>
    </row>
    <row r="142" spans="1:26" ht="19.5">
      <c r="A142" s="995"/>
      <c r="B142" s="877"/>
      <c r="C142" s="1029"/>
      <c r="D142" s="996" t="s">
        <v>71</v>
      </c>
      <c r="E142" s="878"/>
      <c r="F142" s="877"/>
      <c r="G142" s="1030"/>
      <c r="H142" s="168"/>
      <c r="I142" s="880"/>
      <c r="J142" s="1012">
        <v>0</v>
      </c>
      <c r="K142" s="881"/>
      <c r="L142" s="881"/>
      <c r="M142" s="881"/>
      <c r="N142" s="881"/>
      <c r="O142" s="881"/>
      <c r="P142" s="881"/>
    </row>
    <row r="143" spans="1:26" ht="19.5">
      <c r="A143" s="995"/>
      <c r="B143" s="877"/>
      <c r="C143" s="1029"/>
      <c r="D143" s="996" t="s">
        <v>72</v>
      </c>
      <c r="E143" s="878"/>
      <c r="F143" s="877"/>
      <c r="G143" s="1030"/>
      <c r="H143" s="168" t="s">
        <v>35</v>
      </c>
      <c r="I143" s="880">
        <f ca="1">I145</f>
        <v>30</v>
      </c>
      <c r="J143" s="880">
        <f ca="1">IF(AND(J144&gt;=I144,J145&gt;=I145),J145,0)</f>
        <v>30</v>
      </c>
      <c r="K143" s="881">
        <f t="shared" ref="K143:K146" ca="1" si="75">IF(I143&gt;0,J143*100/I143,0)</f>
        <v>100</v>
      </c>
      <c r="L143" s="881"/>
      <c r="M143" s="881"/>
      <c r="N143" s="881"/>
      <c r="O143" s="881"/>
      <c r="P143" s="881"/>
    </row>
    <row r="144" spans="1:26" ht="19.5">
      <c r="A144" s="995"/>
      <c r="B144" s="877"/>
      <c r="C144" s="1029"/>
      <c r="D144" s="1010"/>
      <c r="E144" s="996" t="s">
        <v>73</v>
      </c>
      <c r="F144" s="877"/>
      <c r="G144" s="1030"/>
      <c r="H144" s="168" t="s">
        <v>35</v>
      </c>
      <c r="I144" s="880">
        <f ca="1">IFERROR(__xludf.DUMMYFUNCTION("IMPORTRANGE(""https://docs.google.com/spreadsheets/d/1QqKyyYR6Q21VydFLVH3TRQUabQu_ym0Zz7PgGX0-kHA/edit?usp=sharing"",""แผน!U82"")"),15)</f>
        <v>15</v>
      </c>
      <c r="J144" s="1012">
        <v>15</v>
      </c>
      <c r="K144" s="881">
        <f t="shared" ca="1" si="75"/>
        <v>100</v>
      </c>
      <c r="L144" s="881"/>
      <c r="M144" s="881"/>
      <c r="N144" s="881"/>
      <c r="O144" s="881"/>
      <c r="P144" s="881"/>
    </row>
    <row r="145" spans="1:26" ht="19.5">
      <c r="A145" s="995"/>
      <c r="B145" s="877"/>
      <c r="C145" s="1029"/>
      <c r="D145" s="1010"/>
      <c r="E145" s="996" t="s">
        <v>74</v>
      </c>
      <c r="F145" s="877"/>
      <c r="G145" s="1030"/>
      <c r="H145" s="168" t="s">
        <v>35</v>
      </c>
      <c r="I145" s="880">
        <f ca="1">IFERROR(__xludf.DUMMYFUNCTION("IMPORTRANGE(""https://docs.google.com/spreadsheets/d/1QqKyyYR6Q21VydFLVH3TRQUabQu_ym0Zz7PgGX0-kHA/edit?usp=sharing"",""แผน!V82"")"),30)</f>
        <v>30</v>
      </c>
      <c r="J145" s="1012">
        <v>30</v>
      </c>
      <c r="K145" s="881">
        <f t="shared" ca="1" si="75"/>
        <v>100</v>
      </c>
      <c r="L145" s="881"/>
      <c r="M145" s="881"/>
      <c r="N145" s="881"/>
      <c r="O145" s="881"/>
      <c r="P145" s="881"/>
    </row>
    <row r="146" spans="1:26" ht="19.5">
      <c r="A146" s="995"/>
      <c r="B146" s="877"/>
      <c r="C146" s="1029"/>
      <c r="D146" s="996" t="s">
        <v>75</v>
      </c>
      <c r="E146" s="878"/>
      <c r="F146" s="877"/>
      <c r="G146" s="1030"/>
      <c r="H146" s="168" t="s">
        <v>66</v>
      </c>
      <c r="I146" s="880">
        <f ca="1">IFERROR(__xludf.DUMMYFUNCTION("IMPORTRANGE(""https://docs.google.com/spreadsheets/d/1QqKyyYR6Q21VydFLVH3TRQUabQu_ym0Zz7PgGX0-kHA/edit?usp=sharing"",""แผน!W82"")"),3)</f>
        <v>3</v>
      </c>
      <c r="J146" s="1012">
        <v>0</v>
      </c>
      <c r="K146" s="881">
        <f t="shared" ca="1" si="75"/>
        <v>0</v>
      </c>
      <c r="L146" s="881"/>
      <c r="M146" s="881"/>
      <c r="N146" s="881"/>
      <c r="O146" s="881"/>
      <c r="P146" s="881"/>
    </row>
    <row r="147" spans="1:26" ht="19.5" hidden="1">
      <c r="A147" s="970" t="s">
        <v>76</v>
      </c>
      <c r="B147" s="971"/>
      <c r="C147" s="1022"/>
      <c r="D147" s="971"/>
      <c r="E147" s="971"/>
      <c r="F147" s="971"/>
      <c r="G147" s="971"/>
      <c r="H147" s="1023"/>
      <c r="I147" s="1024"/>
      <c r="J147" s="1024"/>
      <c r="K147" s="1025"/>
      <c r="L147" s="976"/>
      <c r="M147" s="976"/>
      <c r="N147" s="976"/>
      <c r="O147" s="976"/>
      <c r="P147" s="976"/>
    </row>
    <row r="148" spans="1:26" ht="19.5" hidden="1">
      <c r="A148" s="1031"/>
      <c r="B148" s="978" t="s">
        <v>77</v>
      </c>
      <c r="C148" s="978"/>
      <c r="D148" s="978"/>
      <c r="E148" s="1032"/>
      <c r="F148" s="1033"/>
      <c r="G148" s="1034"/>
      <c r="H148" s="221" t="s">
        <v>35</v>
      </c>
      <c r="I148" s="982">
        <f t="shared" ref="I148:J148" ca="1" si="76">I159</f>
        <v>0</v>
      </c>
      <c r="J148" s="982">
        <f t="shared" si="76"/>
        <v>0</v>
      </c>
      <c r="K148" s="983">
        <f ca="1">IF(I148&gt;0,J148*100/I148,0)</f>
        <v>0</v>
      </c>
      <c r="L148" s="983"/>
      <c r="M148" s="983"/>
      <c r="N148" s="983"/>
      <c r="O148" s="983"/>
      <c r="P148" s="983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85"/>
      <c r="B149" s="986"/>
      <c r="C149" s="987" t="s">
        <v>16</v>
      </c>
      <c r="D149" s="988" t="s">
        <v>17</v>
      </c>
      <c r="E149" s="986"/>
      <c r="F149" s="986"/>
      <c r="G149" s="989"/>
      <c r="H149" s="152" t="s">
        <v>12</v>
      </c>
      <c r="I149" s="990"/>
      <c r="J149" s="990"/>
      <c r="K149" s="991"/>
      <c r="L149" s="992">
        <f t="shared" ref="L149:N149" ca="1" si="77">L150+L151</f>
        <v>0</v>
      </c>
      <c r="M149" s="992">
        <f t="shared" ca="1" si="77"/>
        <v>0</v>
      </c>
      <c r="N149" s="992">
        <f t="shared" ca="1" si="77"/>
        <v>0</v>
      </c>
      <c r="O149" s="992">
        <f t="shared" ref="O149:O157" ca="1" si="78">IF(L149&gt;0,N149*100/L149,0)</f>
        <v>0</v>
      </c>
      <c r="P149" s="992">
        <f t="shared" ref="P149:P157" ca="1" si="79">IF(M149&gt;0,N149*100/M149,0)</f>
        <v>0</v>
      </c>
      <c r="Q149" s="868"/>
      <c r="R149" s="868"/>
      <c r="S149" s="868"/>
      <c r="T149" s="868"/>
      <c r="U149" s="868"/>
      <c r="V149" s="868"/>
      <c r="W149" s="868"/>
      <c r="X149" s="868"/>
      <c r="Y149" s="868"/>
      <c r="Z149" s="868"/>
    </row>
    <row r="150" spans="1:26" ht="18.75" hidden="1">
      <c r="A150" s="993"/>
      <c r="B150" s="883"/>
      <c r="C150" s="883"/>
      <c r="D150" s="883"/>
      <c r="E150" s="884" t="s">
        <v>18</v>
      </c>
      <c r="F150" s="883"/>
      <c r="G150" s="994"/>
      <c r="H150" s="158" t="s">
        <v>12</v>
      </c>
      <c r="I150" s="886"/>
      <c r="J150" s="886"/>
      <c r="K150" s="887"/>
      <c r="L150" s="887">
        <f t="shared" ref="L150:N151" si="80">L153+L156</f>
        <v>0</v>
      </c>
      <c r="M150" s="887">
        <f t="shared" si="80"/>
        <v>0</v>
      </c>
      <c r="N150" s="887">
        <f t="shared" si="80"/>
        <v>0</v>
      </c>
      <c r="O150" s="887">
        <f t="shared" si="78"/>
        <v>0</v>
      </c>
      <c r="P150" s="887">
        <f t="shared" si="79"/>
        <v>0</v>
      </c>
      <c r="Q150" s="875"/>
      <c r="R150" s="875"/>
      <c r="S150" s="875"/>
      <c r="T150" s="875"/>
      <c r="U150" s="875"/>
      <c r="V150" s="875"/>
      <c r="W150" s="875"/>
      <c r="X150" s="875"/>
      <c r="Y150" s="875"/>
      <c r="Z150" s="875"/>
    </row>
    <row r="151" spans="1:26" ht="18.75" hidden="1">
      <c r="A151" s="993"/>
      <c r="B151" s="883"/>
      <c r="C151" s="883"/>
      <c r="D151" s="883"/>
      <c r="E151" s="884" t="s">
        <v>19</v>
      </c>
      <c r="F151" s="883"/>
      <c r="G151" s="994"/>
      <c r="H151" s="158" t="s">
        <v>12</v>
      </c>
      <c r="I151" s="886"/>
      <c r="J151" s="886"/>
      <c r="K151" s="887"/>
      <c r="L151" s="887">
        <f t="shared" ca="1" si="80"/>
        <v>0</v>
      </c>
      <c r="M151" s="887">
        <f t="shared" ca="1" si="80"/>
        <v>0</v>
      </c>
      <c r="N151" s="887">
        <f t="shared" ca="1" si="80"/>
        <v>0</v>
      </c>
      <c r="O151" s="887">
        <f t="shared" ca="1" si="78"/>
        <v>0</v>
      </c>
      <c r="P151" s="887">
        <f t="shared" ca="1" si="79"/>
        <v>0</v>
      </c>
      <c r="Q151" s="875"/>
      <c r="R151" s="875"/>
      <c r="S151" s="875"/>
      <c r="T151" s="875"/>
      <c r="U151" s="875"/>
      <c r="V151" s="875"/>
      <c r="W151" s="875"/>
      <c r="X151" s="875"/>
      <c r="Y151" s="875"/>
      <c r="Z151" s="875"/>
    </row>
    <row r="152" spans="1:26" ht="18.75" hidden="1">
      <c r="A152" s="995"/>
      <c r="B152" s="877"/>
      <c r="C152" s="996"/>
      <c r="D152" s="878" t="s">
        <v>20</v>
      </c>
      <c r="E152" s="877"/>
      <c r="F152" s="877"/>
      <c r="G152" s="879"/>
      <c r="H152" s="161" t="s">
        <v>12</v>
      </c>
      <c r="I152" s="997"/>
      <c r="J152" s="997"/>
      <c r="K152" s="998"/>
      <c r="L152" s="881">
        <f t="shared" ref="L152:N152" ca="1" si="81">L153+L154</f>
        <v>0</v>
      </c>
      <c r="M152" s="881">
        <f t="shared" ca="1" si="81"/>
        <v>0</v>
      </c>
      <c r="N152" s="881">
        <f t="shared" ca="1" si="81"/>
        <v>0</v>
      </c>
      <c r="O152" s="881">
        <f t="shared" ca="1" si="78"/>
        <v>0</v>
      </c>
      <c r="P152" s="881">
        <f t="shared" ca="1" si="79"/>
        <v>0</v>
      </c>
      <c r="Q152" s="868"/>
      <c r="R152" s="868"/>
      <c r="S152" s="868"/>
      <c r="T152" s="868"/>
      <c r="U152" s="868"/>
      <c r="V152" s="868"/>
      <c r="W152" s="868"/>
      <c r="X152" s="868"/>
      <c r="Y152" s="868"/>
      <c r="Z152" s="868"/>
    </row>
    <row r="153" spans="1:26" ht="19.5" hidden="1">
      <c r="A153" s="993"/>
      <c r="B153" s="883"/>
      <c r="C153" s="999"/>
      <c r="D153" s="883"/>
      <c r="E153" s="884" t="s">
        <v>36</v>
      </c>
      <c r="F153" s="883"/>
      <c r="G153" s="994"/>
      <c r="H153" s="165" t="s">
        <v>12</v>
      </c>
      <c r="I153" s="1000"/>
      <c r="J153" s="1000"/>
      <c r="K153" s="1001"/>
      <c r="L153" s="887">
        <v>0</v>
      </c>
      <c r="M153" s="887">
        <v>0</v>
      </c>
      <c r="N153" s="887">
        <v>0</v>
      </c>
      <c r="O153" s="887">
        <f t="shared" si="78"/>
        <v>0</v>
      </c>
      <c r="P153" s="887">
        <f t="shared" si="79"/>
        <v>0</v>
      </c>
      <c r="Q153" s="875"/>
      <c r="R153" s="875"/>
      <c r="S153" s="875"/>
      <c r="T153" s="875"/>
      <c r="U153" s="875"/>
      <c r="V153" s="875"/>
      <c r="W153" s="875"/>
      <c r="X153" s="875"/>
      <c r="Y153" s="875"/>
      <c r="Z153" s="875"/>
    </row>
    <row r="154" spans="1:26" ht="19.5" hidden="1">
      <c r="A154" s="993"/>
      <c r="B154" s="883"/>
      <c r="C154" s="999"/>
      <c r="D154" s="883"/>
      <c r="E154" s="884" t="s">
        <v>37</v>
      </c>
      <c r="F154" s="883"/>
      <c r="G154" s="994"/>
      <c r="H154" s="165" t="s">
        <v>12</v>
      </c>
      <c r="I154" s="1000"/>
      <c r="J154" s="1000"/>
      <c r="K154" s="1001"/>
      <c r="L154" s="887">
        <f ca="1">IFERROR(__xludf.DUMMYFUNCTION("IMPORTRANGE(""https://docs.google.com/spreadsheets/d/1MeEWN-I1oV_STSDYn1IFDPWt_1FKiwhDph83XaGc0o0/edit?usp=sharing"",""งบพรบ!BU82"")"),0)</f>
        <v>0</v>
      </c>
      <c r="M154" s="887">
        <f ca="1">IFERROR(__xludf.DUMMYFUNCTION("IMPORTRANGE(""https://docs.google.com/spreadsheets/d/1MeEWN-I1oV_STSDYn1IFDPWt_1FKiwhDph83XaGc0o0/edit?usp=sharing"",""งบพรบ!BZ82"")"),0)</f>
        <v>0</v>
      </c>
      <c r="N154" s="887">
        <f ca="1">IFERROR(__xludf.DUMMYFUNCTION("IMPORTRANGE(""https://docs.google.com/spreadsheets/d/1MeEWN-I1oV_STSDYn1IFDPWt_1FKiwhDph83XaGc0o0/edit?usp=sharing"",""งบพรบ!CB82"")"),0)</f>
        <v>0</v>
      </c>
      <c r="O154" s="887">
        <f t="shared" ca="1" si="78"/>
        <v>0</v>
      </c>
      <c r="P154" s="887">
        <f t="shared" ca="1" si="79"/>
        <v>0</v>
      </c>
      <c r="Q154" s="875"/>
      <c r="R154" s="875"/>
      <c r="S154" s="875"/>
      <c r="T154" s="875"/>
      <c r="U154" s="875"/>
      <c r="V154" s="875"/>
      <c r="W154" s="875"/>
      <c r="X154" s="875"/>
      <c r="Y154" s="875"/>
      <c r="Z154" s="875"/>
    </row>
    <row r="155" spans="1:26" ht="18.75" hidden="1">
      <c r="A155" s="995"/>
      <c r="B155" s="877"/>
      <c r="C155" s="996"/>
      <c r="D155" s="878" t="s">
        <v>21</v>
      </c>
      <c r="E155" s="877"/>
      <c r="F155" s="877"/>
      <c r="G155" s="879"/>
      <c r="H155" s="168" t="s">
        <v>12</v>
      </c>
      <c r="I155" s="997"/>
      <c r="J155" s="997"/>
      <c r="K155" s="998"/>
      <c r="L155" s="881">
        <f t="shared" ref="L155:N155" ca="1" si="82">L156+L157</f>
        <v>0</v>
      </c>
      <c r="M155" s="881">
        <f t="shared" ca="1" si="82"/>
        <v>0</v>
      </c>
      <c r="N155" s="881">
        <f t="shared" ca="1" si="82"/>
        <v>0</v>
      </c>
      <c r="O155" s="881">
        <f t="shared" ca="1" si="78"/>
        <v>0</v>
      </c>
      <c r="P155" s="881">
        <f t="shared" ca="1" si="79"/>
        <v>0</v>
      </c>
      <c r="Q155" s="868"/>
      <c r="R155" s="868"/>
      <c r="S155" s="868"/>
      <c r="T155" s="868"/>
      <c r="U155" s="868"/>
      <c r="V155" s="868"/>
      <c r="W155" s="868"/>
      <c r="X155" s="868"/>
      <c r="Y155" s="868"/>
      <c r="Z155" s="868"/>
    </row>
    <row r="156" spans="1:26" ht="19.5" hidden="1">
      <c r="A156" s="993"/>
      <c r="B156" s="883"/>
      <c r="C156" s="999"/>
      <c r="D156" s="883"/>
      <c r="E156" s="884" t="s">
        <v>18</v>
      </c>
      <c r="F156" s="883"/>
      <c r="G156" s="994"/>
      <c r="H156" s="165" t="s">
        <v>12</v>
      </c>
      <c r="I156" s="1000"/>
      <c r="J156" s="1000"/>
      <c r="K156" s="1001"/>
      <c r="L156" s="887">
        <v>0</v>
      </c>
      <c r="M156" s="887">
        <v>0</v>
      </c>
      <c r="N156" s="887">
        <v>0</v>
      </c>
      <c r="O156" s="887">
        <f t="shared" si="78"/>
        <v>0</v>
      </c>
      <c r="P156" s="887">
        <f t="shared" si="79"/>
        <v>0</v>
      </c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</row>
    <row r="157" spans="1:26" ht="19.5" hidden="1">
      <c r="A157" s="993"/>
      <c r="B157" s="883"/>
      <c r="C157" s="999"/>
      <c r="D157" s="883"/>
      <c r="E157" s="884" t="s">
        <v>19</v>
      </c>
      <c r="F157" s="883"/>
      <c r="G157" s="994"/>
      <c r="H157" s="169" t="s">
        <v>12</v>
      </c>
      <c r="I157" s="1000"/>
      <c r="J157" s="1000"/>
      <c r="K157" s="1001"/>
      <c r="L157" s="887">
        <f ca="1">IFERROR(__xludf.DUMMYFUNCTION("IMPORTRANGE(""https://docs.google.com/spreadsheets/d/1MeEWN-I1oV_STSDYn1IFDPWt_1FKiwhDph83XaGc0o0/edit?usp=sharing"",""งบพรบ!BX82"")"),0)</f>
        <v>0</v>
      </c>
      <c r="M157" s="887">
        <f ca="1">IFERROR(__xludf.DUMMYFUNCTION("IMPORTRANGE(""https://docs.google.com/spreadsheets/d/1MeEWN-I1oV_STSDYn1IFDPWt_1FKiwhDph83XaGc0o0/edit?usp=sharing"",""งบพรบ!CA82"")"),0)</f>
        <v>0</v>
      </c>
      <c r="N157" s="887">
        <f ca="1">IFERROR(__xludf.DUMMYFUNCTION("IMPORTRANGE(""https://docs.google.com/spreadsheets/d/1MeEWN-I1oV_STSDYn1IFDPWt_1FKiwhDph83XaGc0o0/edit?usp=sharing"",""งบพรบ!CC82"")"),0)</f>
        <v>0</v>
      </c>
      <c r="O157" s="887">
        <f t="shared" ca="1" si="78"/>
        <v>0</v>
      </c>
      <c r="P157" s="887">
        <f t="shared" ca="1" si="79"/>
        <v>0</v>
      </c>
      <c r="Q157" s="875"/>
      <c r="R157" s="875"/>
      <c r="S157" s="875"/>
      <c r="T157" s="875"/>
      <c r="U157" s="875"/>
      <c r="V157" s="875"/>
      <c r="W157" s="875"/>
      <c r="X157" s="875"/>
      <c r="Y157" s="875"/>
      <c r="Z157" s="875"/>
    </row>
    <row r="158" spans="1:26" ht="19.5" hidden="1">
      <c r="A158" s="1002"/>
      <c r="B158" s="1003"/>
      <c r="C158" s="999" t="s">
        <v>16</v>
      </c>
      <c r="D158" s="1004" t="s">
        <v>38</v>
      </c>
      <c r="E158" s="1005"/>
      <c r="F158" s="1005"/>
      <c r="G158" s="1006"/>
      <c r="H158" s="168"/>
      <c r="I158" s="880"/>
      <c r="J158" s="880"/>
      <c r="K158" s="881"/>
      <c r="L158" s="881"/>
      <c r="M158" s="881"/>
      <c r="N158" s="881"/>
      <c r="O158" s="881"/>
      <c r="P158" s="881"/>
    </row>
    <row r="159" spans="1:26" ht="19.5" hidden="1">
      <c r="A159" s="995"/>
      <c r="B159" s="877"/>
      <c r="C159" s="1029"/>
      <c r="D159" s="996" t="s">
        <v>78</v>
      </c>
      <c r="E159" s="878"/>
      <c r="F159" s="877"/>
      <c r="G159" s="1030"/>
      <c r="H159" s="168" t="s">
        <v>35</v>
      </c>
      <c r="I159" s="880">
        <f ca="1">IFERROR(__xludf.DUMMYFUNCTION("IMPORTRANGE(""https://docs.google.com/spreadsheets/d/1QqKyyYR6Q21VydFLVH3TRQUabQu_ym0Zz7PgGX0-kHA/edit?usp=sharing"",""แผน!X82"")"),0)</f>
        <v>0</v>
      </c>
      <c r="J159" s="1012">
        <v>0</v>
      </c>
      <c r="K159" s="881">
        <f ca="1">IF(I159&gt;0,J159*100/I159,0)</f>
        <v>0</v>
      </c>
      <c r="L159" s="881"/>
      <c r="M159" s="881"/>
      <c r="N159" s="881"/>
      <c r="O159" s="881"/>
      <c r="P159" s="881"/>
    </row>
    <row r="160" spans="1:26" ht="19.5" hidden="1">
      <c r="A160" s="993"/>
      <c r="B160" s="883"/>
      <c r="C160" s="999"/>
      <c r="D160" s="884" t="s">
        <v>79</v>
      </c>
      <c r="E160" s="1035"/>
      <c r="F160" s="883"/>
      <c r="G160" s="994"/>
      <c r="H160" s="169" t="s">
        <v>35</v>
      </c>
      <c r="I160" s="886"/>
      <c r="J160" s="886"/>
      <c r="K160" s="887"/>
      <c r="L160" s="887"/>
      <c r="M160" s="887"/>
      <c r="N160" s="887"/>
      <c r="O160" s="887"/>
      <c r="P160" s="887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36"/>
      <c r="B161" s="1037"/>
      <c r="C161" s="1038"/>
      <c r="D161" s="1039" t="s">
        <v>80</v>
      </c>
      <c r="E161" s="1040"/>
      <c r="F161" s="1037"/>
      <c r="G161" s="1041"/>
      <c r="H161" s="232" t="s">
        <v>35</v>
      </c>
      <c r="I161" s="1042"/>
      <c r="J161" s="1042"/>
      <c r="K161" s="1043"/>
      <c r="L161" s="1043"/>
      <c r="M161" s="1043"/>
      <c r="N161" s="1043"/>
      <c r="O161" s="1043"/>
      <c r="P161" s="1043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44" t="s">
        <v>81</v>
      </c>
      <c r="B162" s="1045"/>
      <c r="C162" s="1045"/>
      <c r="D162" s="1045"/>
      <c r="E162" s="1046"/>
      <c r="F162" s="1046"/>
      <c r="G162" s="1047"/>
      <c r="H162" s="1048"/>
      <c r="I162" s="1049"/>
      <c r="J162" s="1049"/>
      <c r="K162" s="1050"/>
      <c r="L162" s="1050"/>
      <c r="M162" s="1050"/>
      <c r="N162" s="1050"/>
      <c r="O162" s="1050"/>
      <c r="P162" s="1050"/>
    </row>
    <row r="163" spans="1:26" ht="19.5">
      <c r="A163" s="1051" t="s">
        <v>82</v>
      </c>
      <c r="B163" s="1052"/>
      <c r="C163" s="1052"/>
      <c r="D163" s="1053"/>
      <c r="E163" s="1053"/>
      <c r="F163" s="1053"/>
      <c r="G163" s="1054"/>
      <c r="H163" s="1055"/>
      <c r="I163" s="1056"/>
      <c r="J163" s="1056"/>
      <c r="K163" s="1057"/>
      <c r="L163" s="1057"/>
      <c r="M163" s="1057"/>
      <c r="N163" s="1057"/>
      <c r="O163" s="1057"/>
      <c r="P163" s="1057"/>
    </row>
    <row r="164" spans="1:26" ht="19.5">
      <c r="A164" s="1058"/>
      <c r="B164" s="1059" t="s">
        <v>83</v>
      </c>
      <c r="C164" s="1060"/>
      <c r="D164" s="1005"/>
      <c r="E164" s="1005"/>
      <c r="F164" s="1005"/>
      <c r="G164" s="1006"/>
      <c r="H164" s="252" t="s">
        <v>35</v>
      </c>
      <c r="I164" s="1075">
        <f t="shared" ref="I164:J164" ca="1" si="83">I174+I177</f>
        <v>11</v>
      </c>
      <c r="J164" s="1075">
        <f t="shared" si="83"/>
        <v>11</v>
      </c>
      <c r="K164" s="1076">
        <f ca="1">IF(I164&gt;0,J164*100/I164,0)</f>
        <v>100</v>
      </c>
      <c r="L164" s="1062"/>
      <c r="M164" s="1062"/>
      <c r="N164" s="1062"/>
      <c r="O164" s="1062"/>
      <c r="P164" s="1062"/>
    </row>
    <row r="165" spans="1:26" ht="19.5">
      <c r="A165" s="985"/>
      <c r="B165" s="986"/>
      <c r="C165" s="987" t="s">
        <v>16</v>
      </c>
      <c r="D165" s="988" t="s">
        <v>17</v>
      </c>
      <c r="E165" s="986"/>
      <c r="F165" s="986"/>
      <c r="G165" s="989"/>
      <c r="H165" s="152" t="s">
        <v>12</v>
      </c>
      <c r="I165" s="990"/>
      <c r="J165" s="990"/>
      <c r="K165" s="991"/>
      <c r="L165" s="992">
        <f t="shared" ref="L165:N165" ca="1" si="84">L166+L167</f>
        <v>22055</v>
      </c>
      <c r="M165" s="992">
        <f t="shared" ca="1" si="84"/>
        <v>39375</v>
      </c>
      <c r="N165" s="992">
        <f t="shared" ca="1" si="84"/>
        <v>39375</v>
      </c>
      <c r="O165" s="992">
        <f t="shared" ref="O165:O173" ca="1" si="85">IF(L165&gt;0,N165*100/L165,0)</f>
        <v>178.53094536386308</v>
      </c>
      <c r="P165" s="992">
        <f t="shared" ref="P165:P173" ca="1" si="86">IF(M165&gt;0,N165*100/M165,0)</f>
        <v>100</v>
      </c>
      <c r="Q165" s="868"/>
      <c r="R165" s="868"/>
      <c r="S165" s="868"/>
      <c r="T165" s="868"/>
      <c r="U165" s="868"/>
      <c r="V165" s="868"/>
      <c r="W165" s="868"/>
      <c r="X165" s="868"/>
      <c r="Y165" s="868"/>
      <c r="Z165" s="868"/>
    </row>
    <row r="166" spans="1:26" ht="18.75" hidden="1">
      <c r="A166" s="993"/>
      <c r="B166" s="883"/>
      <c r="C166" s="883"/>
      <c r="D166" s="883"/>
      <c r="E166" s="884" t="s">
        <v>18</v>
      </c>
      <c r="F166" s="883"/>
      <c r="G166" s="994"/>
      <c r="H166" s="158" t="s">
        <v>12</v>
      </c>
      <c r="I166" s="886"/>
      <c r="J166" s="886"/>
      <c r="K166" s="887"/>
      <c r="L166" s="887">
        <f t="shared" ref="L166:N167" si="87">L169+L172</f>
        <v>0</v>
      </c>
      <c r="M166" s="887">
        <f t="shared" si="87"/>
        <v>0</v>
      </c>
      <c r="N166" s="887">
        <f t="shared" si="87"/>
        <v>0</v>
      </c>
      <c r="O166" s="887">
        <f t="shared" si="85"/>
        <v>0</v>
      </c>
      <c r="P166" s="887">
        <f t="shared" si="86"/>
        <v>0</v>
      </c>
      <c r="Q166" s="875"/>
      <c r="R166" s="875"/>
      <c r="S166" s="875"/>
      <c r="T166" s="875"/>
      <c r="U166" s="875"/>
      <c r="V166" s="875"/>
      <c r="W166" s="875"/>
      <c r="X166" s="875"/>
      <c r="Y166" s="875"/>
      <c r="Z166" s="875"/>
    </row>
    <row r="167" spans="1:26" ht="18.75" hidden="1">
      <c r="A167" s="993"/>
      <c r="B167" s="883"/>
      <c r="C167" s="883"/>
      <c r="D167" s="883"/>
      <c r="E167" s="884" t="s">
        <v>19</v>
      </c>
      <c r="F167" s="883"/>
      <c r="G167" s="994"/>
      <c r="H167" s="158" t="s">
        <v>12</v>
      </c>
      <c r="I167" s="886"/>
      <c r="J167" s="886"/>
      <c r="K167" s="887"/>
      <c r="L167" s="887">
        <f t="shared" ca="1" si="87"/>
        <v>22055</v>
      </c>
      <c r="M167" s="887">
        <f t="shared" ca="1" si="87"/>
        <v>39375</v>
      </c>
      <c r="N167" s="887">
        <f t="shared" ca="1" si="87"/>
        <v>39375</v>
      </c>
      <c r="O167" s="887">
        <f t="shared" ca="1" si="85"/>
        <v>178.53094536386308</v>
      </c>
      <c r="P167" s="887">
        <f t="shared" ca="1" si="86"/>
        <v>100</v>
      </c>
      <c r="Q167" s="875"/>
      <c r="R167" s="875"/>
      <c r="S167" s="875"/>
      <c r="T167" s="875"/>
      <c r="U167" s="875"/>
      <c r="V167" s="875"/>
      <c r="W167" s="875"/>
      <c r="X167" s="875"/>
      <c r="Y167" s="875"/>
      <c r="Z167" s="875"/>
    </row>
    <row r="168" spans="1:26" ht="18.75">
      <c r="A168" s="995"/>
      <c r="B168" s="877"/>
      <c r="C168" s="996"/>
      <c r="D168" s="878" t="s">
        <v>20</v>
      </c>
      <c r="E168" s="877"/>
      <c r="F168" s="877"/>
      <c r="G168" s="879"/>
      <c r="H168" s="161" t="s">
        <v>12</v>
      </c>
      <c r="I168" s="997"/>
      <c r="J168" s="997"/>
      <c r="K168" s="998"/>
      <c r="L168" s="881">
        <f t="shared" ref="L168:N168" ca="1" si="88">L169+L170</f>
        <v>22055</v>
      </c>
      <c r="M168" s="881">
        <f t="shared" ca="1" si="88"/>
        <v>39375</v>
      </c>
      <c r="N168" s="881">
        <f t="shared" ca="1" si="88"/>
        <v>39375</v>
      </c>
      <c r="O168" s="881">
        <f t="shared" ca="1" si="85"/>
        <v>178.53094536386308</v>
      </c>
      <c r="P168" s="881">
        <f t="shared" ca="1" si="86"/>
        <v>100</v>
      </c>
      <c r="Q168" s="868"/>
      <c r="R168" s="868"/>
      <c r="S168" s="868"/>
      <c r="T168" s="868"/>
      <c r="U168" s="868"/>
      <c r="V168" s="868"/>
      <c r="W168" s="868"/>
      <c r="X168" s="868"/>
      <c r="Y168" s="868"/>
      <c r="Z168" s="868"/>
    </row>
    <row r="169" spans="1:26" ht="19.5" hidden="1">
      <c r="A169" s="993"/>
      <c r="B169" s="883"/>
      <c r="C169" s="999"/>
      <c r="D169" s="883"/>
      <c r="E169" s="884" t="s">
        <v>36</v>
      </c>
      <c r="F169" s="883"/>
      <c r="G169" s="994"/>
      <c r="H169" s="165" t="s">
        <v>12</v>
      </c>
      <c r="I169" s="1000"/>
      <c r="J169" s="1000"/>
      <c r="K169" s="1001"/>
      <c r="L169" s="887">
        <v>0</v>
      </c>
      <c r="M169" s="887">
        <v>0</v>
      </c>
      <c r="N169" s="887">
        <v>0</v>
      </c>
      <c r="O169" s="887">
        <f t="shared" si="85"/>
        <v>0</v>
      </c>
      <c r="P169" s="887">
        <f t="shared" si="86"/>
        <v>0</v>
      </c>
      <c r="Q169" s="875"/>
      <c r="R169" s="875"/>
      <c r="S169" s="875"/>
      <c r="T169" s="875"/>
      <c r="U169" s="875"/>
      <c r="V169" s="875"/>
      <c r="W169" s="875"/>
      <c r="X169" s="875"/>
      <c r="Y169" s="875"/>
      <c r="Z169" s="875"/>
    </row>
    <row r="170" spans="1:26" ht="19.5" hidden="1">
      <c r="A170" s="993"/>
      <c r="B170" s="883"/>
      <c r="C170" s="999"/>
      <c r="D170" s="883"/>
      <c r="E170" s="884" t="s">
        <v>37</v>
      </c>
      <c r="F170" s="883"/>
      <c r="G170" s="994"/>
      <c r="H170" s="165" t="s">
        <v>12</v>
      </c>
      <c r="I170" s="1000"/>
      <c r="J170" s="1000"/>
      <c r="K170" s="1001"/>
      <c r="L170" s="887">
        <f ca="1">IFERROR(__xludf.DUMMYFUNCTION("IMPORTRANGE(""https://docs.google.com/spreadsheets/d/1MeEWN-I1oV_STSDYn1IFDPWt_1FKiwhDph83XaGc0o0/edit?usp=sharing"",""งบพรบ!CE82"")"),22055)</f>
        <v>22055</v>
      </c>
      <c r="M170" s="887">
        <f ca="1">IFERROR(__xludf.DUMMYFUNCTION("IMPORTRANGE(""https://docs.google.com/spreadsheets/d/1MeEWN-I1oV_STSDYn1IFDPWt_1FKiwhDph83XaGc0o0/edit?usp=sharing"",""งบพรบ!CJ82"")"),39375)</f>
        <v>39375</v>
      </c>
      <c r="N170" s="887">
        <f ca="1">IFERROR(__xludf.DUMMYFUNCTION("IMPORTRANGE(""https://docs.google.com/spreadsheets/d/1MeEWN-I1oV_STSDYn1IFDPWt_1FKiwhDph83XaGc0o0/edit?usp=sharing"",""งบพรบ!CL82"")"),39375)</f>
        <v>39375</v>
      </c>
      <c r="O170" s="887">
        <f t="shared" ca="1" si="85"/>
        <v>178.53094536386308</v>
      </c>
      <c r="P170" s="887">
        <f t="shared" ca="1" si="86"/>
        <v>100</v>
      </c>
      <c r="Q170" s="875"/>
      <c r="R170" s="875"/>
      <c r="S170" s="875"/>
      <c r="T170" s="875"/>
      <c r="U170" s="875"/>
      <c r="V170" s="875"/>
      <c r="W170" s="875"/>
      <c r="X170" s="875"/>
      <c r="Y170" s="875"/>
      <c r="Z170" s="875"/>
    </row>
    <row r="171" spans="1:26" ht="18.75">
      <c r="A171" s="995"/>
      <c r="B171" s="877"/>
      <c r="C171" s="996"/>
      <c r="D171" s="878" t="s">
        <v>21</v>
      </c>
      <c r="E171" s="877"/>
      <c r="F171" s="877"/>
      <c r="G171" s="879"/>
      <c r="H171" s="168" t="s">
        <v>12</v>
      </c>
      <c r="I171" s="997"/>
      <c r="J171" s="997"/>
      <c r="K171" s="998"/>
      <c r="L171" s="881">
        <f t="shared" ref="L171:N171" ca="1" si="89">L172+L173</f>
        <v>0</v>
      </c>
      <c r="M171" s="881">
        <f t="shared" ca="1" si="89"/>
        <v>0</v>
      </c>
      <c r="N171" s="881">
        <f t="shared" ca="1" si="89"/>
        <v>0</v>
      </c>
      <c r="O171" s="881">
        <f t="shared" ca="1" si="85"/>
        <v>0</v>
      </c>
      <c r="P171" s="881">
        <f t="shared" ca="1" si="86"/>
        <v>0</v>
      </c>
      <c r="Q171" s="868"/>
      <c r="R171" s="868"/>
      <c r="S171" s="868"/>
      <c r="T171" s="868"/>
      <c r="U171" s="868"/>
      <c r="V171" s="868"/>
      <c r="W171" s="868"/>
      <c r="X171" s="868"/>
      <c r="Y171" s="868"/>
      <c r="Z171" s="868"/>
    </row>
    <row r="172" spans="1:26" ht="19.5" hidden="1">
      <c r="A172" s="993"/>
      <c r="B172" s="883"/>
      <c r="C172" s="999"/>
      <c r="D172" s="883"/>
      <c r="E172" s="884" t="s">
        <v>18</v>
      </c>
      <c r="F172" s="883"/>
      <c r="G172" s="994"/>
      <c r="H172" s="165" t="s">
        <v>12</v>
      </c>
      <c r="I172" s="1000"/>
      <c r="J172" s="1000"/>
      <c r="K172" s="1001"/>
      <c r="L172" s="887">
        <v>0</v>
      </c>
      <c r="M172" s="887">
        <v>0</v>
      </c>
      <c r="N172" s="887">
        <v>0</v>
      </c>
      <c r="O172" s="887">
        <f t="shared" si="85"/>
        <v>0</v>
      </c>
      <c r="P172" s="887">
        <f t="shared" si="86"/>
        <v>0</v>
      </c>
      <c r="Q172" s="875"/>
      <c r="R172" s="875"/>
      <c r="S172" s="875"/>
      <c r="T172" s="875"/>
      <c r="U172" s="875"/>
      <c r="V172" s="875"/>
      <c r="W172" s="875"/>
      <c r="X172" s="875"/>
      <c r="Y172" s="875"/>
      <c r="Z172" s="875"/>
    </row>
    <row r="173" spans="1:26" ht="19.5" hidden="1">
      <c r="A173" s="993"/>
      <c r="B173" s="883"/>
      <c r="C173" s="999"/>
      <c r="D173" s="883"/>
      <c r="E173" s="884" t="s">
        <v>19</v>
      </c>
      <c r="F173" s="883"/>
      <c r="G173" s="994"/>
      <c r="H173" s="169" t="s">
        <v>12</v>
      </c>
      <c r="I173" s="1000"/>
      <c r="J173" s="1000"/>
      <c r="K173" s="1001"/>
      <c r="L173" s="887">
        <f ca="1">IFERROR(__xludf.DUMMYFUNCTION("IMPORTRANGE(""https://docs.google.com/spreadsheets/d/1MeEWN-I1oV_STSDYn1IFDPWt_1FKiwhDph83XaGc0o0/edit?usp=sharing"",""งบพรบ!CH82"")"),0)</f>
        <v>0</v>
      </c>
      <c r="M173" s="887">
        <f ca="1">IFERROR(__xludf.DUMMYFUNCTION("IMPORTRANGE(""https://docs.google.com/spreadsheets/d/1MeEWN-I1oV_STSDYn1IFDPWt_1FKiwhDph83XaGc0o0/edit?usp=sharing"",""งบพรบ!CK82"")"),0)</f>
        <v>0</v>
      </c>
      <c r="N173" s="887">
        <f ca="1">IFERROR(__xludf.DUMMYFUNCTION("IMPORTRANGE(""https://docs.google.com/spreadsheets/d/1MeEWN-I1oV_STSDYn1IFDPWt_1FKiwhDph83XaGc0o0/edit?usp=sharing"",""งบพรบ!CM82"")"),0)</f>
        <v>0</v>
      </c>
      <c r="O173" s="887">
        <f t="shared" ca="1" si="85"/>
        <v>0</v>
      </c>
      <c r="P173" s="887">
        <f t="shared" ca="1" si="86"/>
        <v>0</v>
      </c>
      <c r="Q173" s="875"/>
      <c r="R173" s="875"/>
      <c r="S173" s="875"/>
      <c r="T173" s="875"/>
      <c r="U173" s="875"/>
      <c r="V173" s="875"/>
      <c r="W173" s="875"/>
      <c r="X173" s="875"/>
      <c r="Y173" s="875"/>
      <c r="Z173" s="875"/>
    </row>
    <row r="174" spans="1:26" ht="19.5">
      <c r="A174" s="1063"/>
      <c r="B174" s="1064"/>
      <c r="C174" s="1065" t="s">
        <v>84</v>
      </c>
      <c r="D174" s="1064"/>
      <c r="E174" s="1064"/>
      <c r="F174" s="1064"/>
      <c r="G174" s="1066"/>
      <c r="H174" s="260" t="s">
        <v>35</v>
      </c>
      <c r="I174" s="1067">
        <f t="shared" ref="I174:J174" ca="1" si="90">I176</f>
        <v>11</v>
      </c>
      <c r="J174" s="1067">
        <f t="shared" si="90"/>
        <v>11</v>
      </c>
      <c r="K174" s="1068">
        <f ca="1">IF(I174&gt;0,J174*100/I174,0)</f>
        <v>100</v>
      </c>
      <c r="L174" s="1068"/>
      <c r="M174" s="1068"/>
      <c r="N174" s="1068"/>
      <c r="O174" s="1068"/>
      <c r="P174" s="1068"/>
    </row>
    <row r="175" spans="1:26" ht="19.5">
      <c r="A175" s="1002"/>
      <c r="B175" s="1003"/>
      <c r="C175" s="999" t="s">
        <v>16</v>
      </c>
      <c r="D175" s="1004" t="s">
        <v>38</v>
      </c>
      <c r="E175" s="1005"/>
      <c r="F175" s="1005"/>
      <c r="G175" s="1006"/>
      <c r="H175" s="1007"/>
      <c r="I175" s="997"/>
      <c r="J175" s="997"/>
      <c r="K175" s="998"/>
      <c r="L175" s="998"/>
      <c r="M175" s="998"/>
      <c r="N175" s="998"/>
      <c r="O175" s="998"/>
      <c r="P175" s="998"/>
    </row>
    <row r="176" spans="1:26" ht="18.75">
      <c r="A176" s="1002"/>
      <c r="B176" s="1003"/>
      <c r="C176" s="1003"/>
      <c r="D176" s="1069" t="s">
        <v>85</v>
      </c>
      <c r="E176" s="1010"/>
      <c r="F176" s="1010"/>
      <c r="G176" s="1011"/>
      <c r="H176" s="622" t="s">
        <v>35</v>
      </c>
      <c r="I176" s="880">
        <f ca="1">IFERROR(__xludf.DUMMYFUNCTION("IMPORTRANGE(""https://docs.google.com/spreadsheets/d/1QqKyyYR6Q21VydFLVH3TRQUabQu_ym0Zz7PgGX0-kHA/edit?usp=sharing"",""แผน!Y82"")"),11)</f>
        <v>11</v>
      </c>
      <c r="J176" s="1012">
        <v>11</v>
      </c>
      <c r="K176" s="998">
        <f ca="1">IF(I176&gt;0,J176*100/I176,0)</f>
        <v>100</v>
      </c>
      <c r="L176" s="998"/>
      <c r="M176" s="998"/>
      <c r="N176" s="998"/>
      <c r="O176" s="998"/>
      <c r="P176" s="998"/>
    </row>
    <row r="177" spans="1:26" ht="19.5" hidden="1">
      <c r="A177" s="1063"/>
      <c r="B177" s="1070"/>
      <c r="C177" s="1071" t="s">
        <v>86</v>
      </c>
      <c r="D177" s="1070"/>
      <c r="E177" s="1064"/>
      <c r="F177" s="1064"/>
      <c r="G177" s="1066"/>
      <c r="H177" s="266" t="s">
        <v>35</v>
      </c>
      <c r="I177" s="1067"/>
      <c r="J177" s="1067">
        <f>J179</f>
        <v>0</v>
      </c>
      <c r="K177" s="1068"/>
      <c r="L177" s="1068"/>
      <c r="M177" s="1068"/>
      <c r="N177" s="1068"/>
      <c r="O177" s="1068"/>
      <c r="P177" s="1068"/>
    </row>
    <row r="178" spans="1:26" ht="19.5" hidden="1">
      <c r="A178" s="1002"/>
      <c r="B178" s="1003"/>
      <c r="C178" s="999" t="s">
        <v>16</v>
      </c>
      <c r="D178" s="1072" t="s">
        <v>38</v>
      </c>
      <c r="E178" s="1005"/>
      <c r="F178" s="1005"/>
      <c r="G178" s="1006"/>
      <c r="H178" s="1007"/>
      <c r="I178" s="997"/>
      <c r="J178" s="997"/>
      <c r="K178" s="998"/>
      <c r="L178" s="998"/>
      <c r="M178" s="998"/>
      <c r="N178" s="998"/>
      <c r="O178" s="998"/>
      <c r="P178" s="998"/>
    </row>
    <row r="179" spans="1:26" ht="18.75" hidden="1">
      <c r="A179" s="1002"/>
      <c r="B179" s="1003"/>
      <c r="C179" s="1003"/>
      <c r="D179" s="1073" t="s">
        <v>87</v>
      </c>
      <c r="E179" s="1010"/>
      <c r="F179" s="1074"/>
      <c r="G179" s="1011"/>
      <c r="H179" s="43" t="s">
        <v>35</v>
      </c>
      <c r="I179" s="880"/>
      <c r="J179" s="880"/>
      <c r="K179" s="998"/>
      <c r="L179" s="998"/>
      <c r="M179" s="998"/>
      <c r="N179" s="998"/>
      <c r="O179" s="998"/>
      <c r="P179" s="998"/>
    </row>
    <row r="180" spans="1:26" ht="19.5">
      <c r="A180" s="1058"/>
      <c r="B180" s="1059" t="s">
        <v>88</v>
      </c>
      <c r="C180" s="1060"/>
      <c r="D180" s="1005"/>
      <c r="E180" s="1005"/>
      <c r="F180" s="1005"/>
      <c r="G180" s="1006"/>
      <c r="H180" s="252" t="s">
        <v>35</v>
      </c>
      <c r="I180" s="1075" t="e">
        <f t="shared" ref="I180:J180" ca="1" si="91">I225+I226</f>
        <v>#VALUE!</v>
      </c>
      <c r="J180" s="1075">
        <f t="shared" si="91"/>
        <v>0</v>
      </c>
      <c r="K180" s="1076" t="e">
        <f ca="1">IF(I180&gt;0,J180*100/I180,0)</f>
        <v>#VALUE!</v>
      </c>
      <c r="L180" s="1062"/>
      <c r="M180" s="1062"/>
      <c r="N180" s="1062"/>
      <c r="O180" s="1062"/>
      <c r="P180" s="1062"/>
    </row>
    <row r="181" spans="1:26" ht="19.5">
      <c r="A181" s="985"/>
      <c r="B181" s="986"/>
      <c r="C181" s="987" t="s">
        <v>16</v>
      </c>
      <c r="D181" s="988" t="s">
        <v>17</v>
      </c>
      <c r="E181" s="986"/>
      <c r="F181" s="986"/>
      <c r="G181" s="989"/>
      <c r="H181" s="152" t="s">
        <v>12</v>
      </c>
      <c r="I181" s="990"/>
      <c r="J181" s="990"/>
      <c r="K181" s="991"/>
      <c r="L181" s="992">
        <f t="shared" ref="L181:N181" ca="1" si="92">L182+L183</f>
        <v>38500</v>
      </c>
      <c r="M181" s="992">
        <f t="shared" ca="1" si="92"/>
        <v>33500</v>
      </c>
      <c r="N181" s="992">
        <f t="shared" ca="1" si="92"/>
        <v>26000</v>
      </c>
      <c r="O181" s="992">
        <f t="shared" ref="O181:O189" ca="1" si="93">IF(L181&gt;0,N181*100/L181,0)</f>
        <v>67.532467532467535</v>
      </c>
      <c r="P181" s="992">
        <f t="shared" ref="P181:P189" ca="1" si="94">IF(M181&gt;0,N181*100/M181,0)</f>
        <v>77.611940298507463</v>
      </c>
      <c r="Q181" s="868"/>
      <c r="R181" s="868"/>
      <c r="S181" s="868"/>
      <c r="T181" s="868"/>
      <c r="U181" s="868"/>
      <c r="V181" s="868"/>
      <c r="W181" s="868"/>
      <c r="X181" s="868"/>
      <c r="Y181" s="868"/>
      <c r="Z181" s="868"/>
    </row>
    <row r="182" spans="1:26" ht="18.75" hidden="1">
      <c r="A182" s="993"/>
      <c r="B182" s="883"/>
      <c r="C182" s="883"/>
      <c r="D182" s="883"/>
      <c r="E182" s="884" t="s">
        <v>18</v>
      </c>
      <c r="F182" s="883"/>
      <c r="G182" s="994"/>
      <c r="H182" s="158" t="s">
        <v>12</v>
      </c>
      <c r="I182" s="886"/>
      <c r="J182" s="886"/>
      <c r="K182" s="887"/>
      <c r="L182" s="887">
        <f t="shared" ref="L182:N183" si="95">L185+L188</f>
        <v>0</v>
      </c>
      <c r="M182" s="887">
        <f t="shared" si="95"/>
        <v>0</v>
      </c>
      <c r="N182" s="887">
        <f t="shared" si="95"/>
        <v>0</v>
      </c>
      <c r="O182" s="887">
        <f t="shared" si="93"/>
        <v>0</v>
      </c>
      <c r="P182" s="887">
        <f t="shared" si="94"/>
        <v>0</v>
      </c>
      <c r="Q182" s="875"/>
      <c r="R182" s="875"/>
      <c r="S182" s="875"/>
      <c r="T182" s="875"/>
      <c r="U182" s="875"/>
      <c r="V182" s="875"/>
      <c r="W182" s="875"/>
      <c r="X182" s="875"/>
      <c r="Y182" s="875"/>
      <c r="Z182" s="875"/>
    </row>
    <row r="183" spans="1:26" ht="18.75" hidden="1">
      <c r="A183" s="993"/>
      <c r="B183" s="883"/>
      <c r="C183" s="883"/>
      <c r="D183" s="883"/>
      <c r="E183" s="884" t="s">
        <v>19</v>
      </c>
      <c r="F183" s="883"/>
      <c r="G183" s="994"/>
      <c r="H183" s="158" t="s">
        <v>12</v>
      </c>
      <c r="I183" s="886"/>
      <c r="J183" s="886"/>
      <c r="K183" s="887"/>
      <c r="L183" s="887">
        <f t="shared" ca="1" si="95"/>
        <v>38500</v>
      </c>
      <c r="M183" s="887">
        <f t="shared" ca="1" si="95"/>
        <v>33500</v>
      </c>
      <c r="N183" s="887">
        <f t="shared" ca="1" si="95"/>
        <v>26000</v>
      </c>
      <c r="O183" s="887">
        <f t="shared" ca="1" si="93"/>
        <v>67.532467532467535</v>
      </c>
      <c r="P183" s="887">
        <f t="shared" ca="1" si="94"/>
        <v>77.611940298507463</v>
      </c>
      <c r="Q183" s="875"/>
      <c r="R183" s="875"/>
      <c r="S183" s="875"/>
      <c r="T183" s="875"/>
      <c r="U183" s="875"/>
      <c r="V183" s="875"/>
      <c r="W183" s="875"/>
      <c r="X183" s="875"/>
      <c r="Y183" s="875"/>
      <c r="Z183" s="875"/>
    </row>
    <row r="184" spans="1:26" ht="18.75">
      <c r="A184" s="995"/>
      <c r="B184" s="877"/>
      <c r="C184" s="996"/>
      <c r="D184" s="878" t="s">
        <v>20</v>
      </c>
      <c r="E184" s="877"/>
      <c r="F184" s="877"/>
      <c r="G184" s="879"/>
      <c r="H184" s="161" t="s">
        <v>12</v>
      </c>
      <c r="I184" s="997"/>
      <c r="J184" s="997"/>
      <c r="K184" s="998"/>
      <c r="L184" s="881">
        <f t="shared" ref="L184:N184" ca="1" si="96">L185+L186</f>
        <v>38500</v>
      </c>
      <c r="M184" s="881">
        <f t="shared" ca="1" si="96"/>
        <v>33500</v>
      </c>
      <c r="N184" s="881">
        <f t="shared" ca="1" si="96"/>
        <v>26000</v>
      </c>
      <c r="O184" s="881">
        <f t="shared" ca="1" si="93"/>
        <v>67.532467532467535</v>
      </c>
      <c r="P184" s="881">
        <f t="shared" ca="1" si="94"/>
        <v>77.611940298507463</v>
      </c>
      <c r="Q184" s="868"/>
      <c r="R184" s="868"/>
      <c r="S184" s="868"/>
      <c r="T184" s="868"/>
      <c r="U184" s="868"/>
      <c r="V184" s="868"/>
      <c r="W184" s="868"/>
      <c r="X184" s="868"/>
      <c r="Y184" s="868"/>
      <c r="Z184" s="868"/>
    </row>
    <row r="185" spans="1:26" ht="19.5" hidden="1">
      <c r="A185" s="993"/>
      <c r="B185" s="883"/>
      <c r="C185" s="999"/>
      <c r="D185" s="883"/>
      <c r="E185" s="884" t="s">
        <v>36</v>
      </c>
      <c r="F185" s="883"/>
      <c r="G185" s="994"/>
      <c r="H185" s="165" t="s">
        <v>12</v>
      </c>
      <c r="I185" s="1000"/>
      <c r="J185" s="1000"/>
      <c r="K185" s="1001"/>
      <c r="L185" s="887">
        <v>0</v>
      </c>
      <c r="M185" s="887">
        <v>0</v>
      </c>
      <c r="N185" s="887">
        <v>0</v>
      </c>
      <c r="O185" s="887">
        <f t="shared" si="93"/>
        <v>0</v>
      </c>
      <c r="P185" s="887">
        <f t="shared" si="94"/>
        <v>0</v>
      </c>
      <c r="Q185" s="875"/>
      <c r="R185" s="875"/>
      <c r="S185" s="875"/>
      <c r="T185" s="875"/>
      <c r="U185" s="875"/>
      <c r="V185" s="875"/>
      <c r="W185" s="875"/>
      <c r="X185" s="875"/>
      <c r="Y185" s="875"/>
      <c r="Z185" s="875"/>
    </row>
    <row r="186" spans="1:26" ht="19.5" hidden="1">
      <c r="A186" s="993"/>
      <c r="B186" s="883"/>
      <c r="C186" s="999"/>
      <c r="D186" s="883"/>
      <c r="E186" s="884" t="s">
        <v>37</v>
      </c>
      <c r="F186" s="883"/>
      <c r="G186" s="994"/>
      <c r="H186" s="165" t="s">
        <v>12</v>
      </c>
      <c r="I186" s="1000"/>
      <c r="J186" s="1000"/>
      <c r="K186" s="1001"/>
      <c r="L186" s="887">
        <f ca="1">IFERROR(__xludf.DUMMYFUNCTION("IMPORTRANGE(""https://docs.google.com/spreadsheets/d/1MeEWN-I1oV_STSDYn1IFDPWt_1FKiwhDph83XaGc0o0/edit?usp=sharing"",""งบพรบ!CO82"")"),38500)</f>
        <v>38500</v>
      </c>
      <c r="M186" s="887">
        <f ca="1">IFERROR(__xludf.DUMMYFUNCTION("IMPORTRANGE(""https://docs.google.com/spreadsheets/d/1MeEWN-I1oV_STSDYn1IFDPWt_1FKiwhDph83XaGc0o0/edit?usp=sharing"",""งบพรบ!CT82"")"),33500)</f>
        <v>33500</v>
      </c>
      <c r="N186" s="887">
        <f ca="1">IFERROR(__xludf.DUMMYFUNCTION("IMPORTRANGE(""https://docs.google.com/spreadsheets/d/1MeEWN-I1oV_STSDYn1IFDPWt_1FKiwhDph83XaGc0o0/edit?usp=sharing"",""งบพรบ!CV82"")"),26000)</f>
        <v>26000</v>
      </c>
      <c r="O186" s="887">
        <f t="shared" ca="1" si="93"/>
        <v>67.532467532467535</v>
      </c>
      <c r="P186" s="887">
        <f t="shared" ca="1" si="94"/>
        <v>77.611940298507463</v>
      </c>
      <c r="Q186" s="875"/>
      <c r="R186" s="875"/>
      <c r="S186" s="875"/>
      <c r="T186" s="875"/>
      <c r="U186" s="875"/>
      <c r="V186" s="875"/>
      <c r="W186" s="875"/>
      <c r="X186" s="875"/>
      <c r="Y186" s="875"/>
      <c r="Z186" s="875"/>
    </row>
    <row r="187" spans="1:26" ht="18.75">
      <c r="A187" s="995"/>
      <c r="B187" s="877"/>
      <c r="C187" s="996"/>
      <c r="D187" s="878" t="s">
        <v>21</v>
      </c>
      <c r="E187" s="877"/>
      <c r="F187" s="877"/>
      <c r="G187" s="879"/>
      <c r="H187" s="168" t="s">
        <v>12</v>
      </c>
      <c r="I187" s="997"/>
      <c r="J187" s="997"/>
      <c r="K187" s="998"/>
      <c r="L187" s="881">
        <f t="shared" ref="L187:N187" ca="1" si="97">L188+L189</f>
        <v>0</v>
      </c>
      <c r="M187" s="881">
        <f t="shared" ca="1" si="97"/>
        <v>0</v>
      </c>
      <c r="N187" s="881">
        <f t="shared" ca="1" si="97"/>
        <v>0</v>
      </c>
      <c r="O187" s="881">
        <f t="shared" ca="1" si="93"/>
        <v>0</v>
      </c>
      <c r="P187" s="881">
        <f t="shared" ca="1" si="94"/>
        <v>0</v>
      </c>
      <c r="Q187" s="868"/>
      <c r="R187" s="868"/>
      <c r="S187" s="868"/>
      <c r="T187" s="868"/>
      <c r="U187" s="868"/>
      <c r="V187" s="868"/>
      <c r="W187" s="868"/>
      <c r="X187" s="868"/>
      <c r="Y187" s="868"/>
      <c r="Z187" s="868"/>
    </row>
    <row r="188" spans="1:26" ht="19.5" hidden="1">
      <c r="A188" s="993"/>
      <c r="B188" s="883"/>
      <c r="C188" s="999"/>
      <c r="D188" s="883"/>
      <c r="E188" s="884" t="s">
        <v>18</v>
      </c>
      <c r="F188" s="883"/>
      <c r="G188" s="994"/>
      <c r="H188" s="165" t="s">
        <v>12</v>
      </c>
      <c r="I188" s="1000"/>
      <c r="J188" s="1000"/>
      <c r="K188" s="1001"/>
      <c r="L188" s="887">
        <v>0</v>
      </c>
      <c r="M188" s="887">
        <v>0</v>
      </c>
      <c r="N188" s="887">
        <v>0</v>
      </c>
      <c r="O188" s="887">
        <f t="shared" si="93"/>
        <v>0</v>
      </c>
      <c r="P188" s="887">
        <f t="shared" si="94"/>
        <v>0</v>
      </c>
      <c r="Q188" s="875"/>
      <c r="R188" s="875"/>
      <c r="S188" s="875"/>
      <c r="T188" s="875"/>
      <c r="U188" s="875"/>
      <c r="V188" s="875"/>
      <c r="W188" s="875"/>
      <c r="X188" s="875"/>
      <c r="Y188" s="875"/>
      <c r="Z188" s="875"/>
    </row>
    <row r="189" spans="1:26" ht="19.5" hidden="1">
      <c r="A189" s="993"/>
      <c r="B189" s="883"/>
      <c r="C189" s="999"/>
      <c r="D189" s="883"/>
      <c r="E189" s="884" t="s">
        <v>19</v>
      </c>
      <c r="F189" s="883"/>
      <c r="G189" s="994"/>
      <c r="H189" s="169" t="s">
        <v>12</v>
      </c>
      <c r="I189" s="1000"/>
      <c r="J189" s="1000"/>
      <c r="K189" s="1001"/>
      <c r="L189" s="887">
        <f ca="1">IFERROR(__xludf.DUMMYFUNCTION("IMPORTRANGE(""https://docs.google.com/spreadsheets/d/1MeEWN-I1oV_STSDYn1IFDPWt_1FKiwhDph83XaGc0o0/edit?usp=sharing"",""งบพรบ!CR82"")"),0)</f>
        <v>0</v>
      </c>
      <c r="M189" s="887">
        <f ca="1">IFERROR(__xludf.DUMMYFUNCTION("IMPORTRANGE(""https://docs.google.com/spreadsheets/d/1MeEWN-I1oV_STSDYn1IFDPWt_1FKiwhDph83XaGc0o0/edit?usp=sharing"",""งบพรบ!CU82"")"),0)</f>
        <v>0</v>
      </c>
      <c r="N189" s="887">
        <f ca="1">IFERROR(__xludf.DUMMYFUNCTION("IMPORTRANGE(""https://docs.google.com/spreadsheets/d/1MeEWN-I1oV_STSDYn1IFDPWt_1FKiwhDph83XaGc0o0/edit?usp=sharing"",""งบพรบ!CW82"")"),0)</f>
        <v>0</v>
      </c>
      <c r="O189" s="887">
        <f t="shared" ca="1" si="93"/>
        <v>0</v>
      </c>
      <c r="P189" s="887">
        <f t="shared" ca="1" si="94"/>
        <v>0</v>
      </c>
      <c r="Q189" s="875"/>
      <c r="R189" s="875"/>
      <c r="S189" s="875"/>
      <c r="T189" s="875"/>
      <c r="U189" s="875"/>
      <c r="V189" s="875"/>
      <c r="W189" s="875"/>
      <c r="X189" s="875"/>
      <c r="Y189" s="875"/>
      <c r="Z189" s="875"/>
    </row>
    <row r="190" spans="1:26" ht="19.5">
      <c r="A190" s="1063"/>
      <c r="B190" s="1070"/>
      <c r="C190" s="1077" t="s">
        <v>89</v>
      </c>
      <c r="D190" s="1064"/>
      <c r="E190" s="1064"/>
      <c r="F190" s="1064"/>
      <c r="G190" s="1066"/>
      <c r="H190" s="260" t="s">
        <v>90</v>
      </c>
      <c r="I190" s="1078">
        <f t="shared" ref="I190:J190" ca="1" si="98">I193</f>
        <v>4</v>
      </c>
      <c r="J190" s="1078">
        <f t="shared" si="98"/>
        <v>1</v>
      </c>
      <c r="K190" s="1079">
        <f ca="1">IF(I190&gt;0,J190*100/I190,0)</f>
        <v>25</v>
      </c>
      <c r="L190" s="1068"/>
      <c r="M190" s="1068"/>
      <c r="N190" s="1068"/>
      <c r="O190" s="1068"/>
      <c r="P190" s="1068"/>
    </row>
    <row r="191" spans="1:26" ht="19.5">
      <c r="A191" s="985"/>
      <c r="B191" s="986"/>
      <c r="C191" s="987" t="s">
        <v>16</v>
      </c>
      <c r="D191" s="1080" t="s">
        <v>17</v>
      </c>
      <c r="E191" s="986"/>
      <c r="F191" s="986"/>
      <c r="G191" s="989"/>
      <c r="H191" s="275" t="s">
        <v>12</v>
      </c>
      <c r="I191" s="990"/>
      <c r="J191" s="990"/>
      <c r="K191" s="991"/>
      <c r="L191" s="992">
        <f ca="1">IFERROR(__xludf.DUMMYFUNCTION("IMPORTRANGE(""https://docs.google.com/spreadsheets/d/1QqKyyYR6Q21VydFLVH3TRQUabQu_ym0Zz7PgGX0-kHA/edit?usp=sharing"",""แผน!Z82"")"),6000)</f>
        <v>6000</v>
      </c>
      <c r="M191" s="992"/>
      <c r="N191" s="1081">
        <v>0</v>
      </c>
      <c r="O191" s="992">
        <f ca="1">IF(L191&gt;0,N191*100/L191,0)</f>
        <v>0</v>
      </c>
      <c r="P191" s="992">
        <f>IF(M191&gt;0,N191*100/M191,0)</f>
        <v>0</v>
      </c>
      <c r="Q191" s="868"/>
      <c r="R191" s="868"/>
      <c r="S191" s="868"/>
      <c r="T191" s="868"/>
      <c r="U191" s="868"/>
      <c r="V191" s="868"/>
      <c r="W191" s="868"/>
      <c r="X191" s="868"/>
      <c r="Y191" s="868"/>
      <c r="Z191" s="868"/>
    </row>
    <row r="192" spans="1:26" ht="19.5">
      <c r="A192" s="1002"/>
      <c r="B192" s="1003"/>
      <c r="C192" s="1029" t="s">
        <v>16</v>
      </c>
      <c r="D192" s="1004" t="s">
        <v>38</v>
      </c>
      <c r="E192" s="1005"/>
      <c r="F192" s="1005"/>
      <c r="G192" s="1006"/>
      <c r="H192" s="1007"/>
      <c r="I192" s="880"/>
      <c r="J192" s="880"/>
      <c r="K192" s="881"/>
      <c r="L192" s="881"/>
      <c r="M192" s="881"/>
      <c r="N192" s="881"/>
      <c r="O192" s="881"/>
      <c r="P192" s="881"/>
      <c r="Q192" s="868"/>
      <c r="R192" s="868"/>
      <c r="S192" s="868"/>
      <c r="T192" s="868"/>
      <c r="U192" s="868"/>
      <c r="V192" s="868"/>
      <c r="W192" s="868"/>
      <c r="X192" s="868"/>
      <c r="Y192" s="868"/>
      <c r="Z192" s="868"/>
    </row>
    <row r="193" spans="1:26" ht="18.75">
      <c r="A193" s="1002"/>
      <c r="B193" s="1003"/>
      <c r="C193" s="1003"/>
      <c r="D193" s="1009" t="s">
        <v>91</v>
      </c>
      <c r="E193" s="1010"/>
      <c r="F193" s="1010"/>
      <c r="G193" s="1011"/>
      <c r="H193" s="762" t="s">
        <v>90</v>
      </c>
      <c r="I193" s="880">
        <f ca="1">IFERROR(__xludf.DUMMYFUNCTION("IMPORTRANGE(""https://docs.google.com/spreadsheets/d/1QqKyyYR6Q21VydFLVH3TRQUabQu_ym0Zz7PgGX0-kHA/edit?usp=sharing"",""แผน!AC82"")"),4)</f>
        <v>4</v>
      </c>
      <c r="J193" s="1012">
        <v>1</v>
      </c>
      <c r="K193" s="881">
        <f ca="1">IF(I193&gt;0,J193*100/I193,0)</f>
        <v>25</v>
      </c>
      <c r="L193" s="881"/>
      <c r="M193" s="881"/>
      <c r="N193" s="881"/>
      <c r="O193" s="881"/>
      <c r="P193" s="881"/>
      <c r="Q193" s="868"/>
      <c r="R193" s="868"/>
      <c r="S193" s="868"/>
      <c r="T193" s="868"/>
      <c r="U193" s="868"/>
      <c r="V193" s="868"/>
      <c r="W193" s="868"/>
      <c r="X193" s="868"/>
      <c r="Y193" s="868"/>
      <c r="Z193" s="868"/>
    </row>
    <row r="194" spans="1:26" ht="18.75">
      <c r="A194" s="1002"/>
      <c r="B194" s="1003"/>
      <c r="C194" s="1003"/>
      <c r="D194" s="1009" t="s">
        <v>92</v>
      </c>
      <c r="E194" s="1010"/>
      <c r="F194" s="1010"/>
      <c r="G194" s="1011"/>
      <c r="H194" s="277" t="s">
        <v>35</v>
      </c>
      <c r="I194" s="880"/>
      <c r="J194" s="880">
        <f>J195+J196</f>
        <v>34</v>
      </c>
      <c r="K194" s="881"/>
      <c r="L194" s="881"/>
      <c r="M194" s="881"/>
      <c r="N194" s="881"/>
      <c r="O194" s="881"/>
      <c r="P194" s="881"/>
      <c r="Q194" s="868"/>
      <c r="R194" s="868"/>
      <c r="S194" s="868"/>
      <c r="T194" s="868"/>
      <c r="U194" s="868"/>
      <c r="V194" s="868"/>
      <c r="W194" s="868"/>
      <c r="X194" s="868"/>
      <c r="Y194" s="868"/>
      <c r="Z194" s="868"/>
    </row>
    <row r="195" spans="1:26" ht="18.75">
      <c r="A195" s="1002"/>
      <c r="B195" s="1003"/>
      <c r="C195" s="1003"/>
      <c r="D195" s="1003"/>
      <c r="E195" s="1009" t="s">
        <v>93</v>
      </c>
      <c r="F195" s="1010"/>
      <c r="G195" s="1011"/>
      <c r="H195" s="277" t="s">
        <v>35</v>
      </c>
      <c r="I195" s="880"/>
      <c r="J195" s="1012">
        <v>34</v>
      </c>
      <c r="K195" s="881"/>
      <c r="L195" s="881"/>
      <c r="M195" s="881"/>
      <c r="N195" s="881"/>
      <c r="O195" s="881"/>
      <c r="P195" s="881"/>
      <c r="Q195" s="868"/>
      <c r="R195" s="868"/>
      <c r="S195" s="868"/>
      <c r="T195" s="868"/>
      <c r="U195" s="868"/>
      <c r="V195" s="868"/>
      <c r="W195" s="868"/>
      <c r="X195" s="868"/>
      <c r="Y195" s="868"/>
      <c r="Z195" s="868"/>
    </row>
    <row r="196" spans="1:26" ht="18.75">
      <c r="A196" s="1002"/>
      <c r="B196" s="1003"/>
      <c r="C196" s="1003"/>
      <c r="D196" s="1003"/>
      <c r="E196" s="1009" t="s">
        <v>94</v>
      </c>
      <c r="F196" s="1010"/>
      <c r="G196" s="1011"/>
      <c r="H196" s="277" t="s">
        <v>35</v>
      </c>
      <c r="I196" s="880"/>
      <c r="J196" s="1012">
        <v>0</v>
      </c>
      <c r="K196" s="881"/>
      <c r="L196" s="881"/>
      <c r="M196" s="881"/>
      <c r="N196" s="881"/>
      <c r="O196" s="881"/>
      <c r="P196" s="881"/>
      <c r="Q196" s="868"/>
      <c r="R196" s="868"/>
      <c r="S196" s="868"/>
      <c r="T196" s="868"/>
      <c r="U196" s="868"/>
      <c r="V196" s="868"/>
      <c r="W196" s="868"/>
      <c r="X196" s="868"/>
      <c r="Y196" s="868"/>
      <c r="Z196" s="868"/>
    </row>
    <row r="197" spans="1:26" ht="19.5">
      <c r="A197" s="1063"/>
      <c r="B197" s="1070"/>
      <c r="C197" s="1077" t="s">
        <v>95</v>
      </c>
      <c r="D197" s="1064"/>
      <c r="E197" s="1064"/>
      <c r="F197" s="1064"/>
      <c r="G197" s="1066"/>
      <c r="H197" s="278" t="s">
        <v>96</v>
      </c>
      <c r="I197" s="1078">
        <f t="shared" ref="I197:J197" ca="1" si="99">I204</f>
        <v>2</v>
      </c>
      <c r="J197" s="1078">
        <f t="shared" si="99"/>
        <v>2</v>
      </c>
      <c r="K197" s="1079">
        <f ca="1">IF(I197&gt;0,J197*100/I197,0)</f>
        <v>100</v>
      </c>
      <c r="L197" s="1068"/>
      <c r="M197" s="1068"/>
      <c r="N197" s="1068"/>
      <c r="O197" s="1068"/>
      <c r="P197" s="1068"/>
    </row>
    <row r="198" spans="1:26" ht="19.5">
      <c r="A198" s="985"/>
      <c r="B198" s="986"/>
      <c r="C198" s="987" t="s">
        <v>16</v>
      </c>
      <c r="D198" s="1080" t="s">
        <v>17</v>
      </c>
      <c r="E198" s="986"/>
      <c r="F198" s="986"/>
      <c r="G198" s="989"/>
      <c r="H198" s="275" t="s">
        <v>12</v>
      </c>
      <c r="I198" s="1082"/>
      <c r="J198" s="1082"/>
      <c r="K198" s="1083"/>
      <c r="L198" s="992">
        <f ca="1">L199+L200+L201+L202</f>
        <v>26000</v>
      </c>
      <c r="M198" s="992"/>
      <c r="N198" s="992">
        <f>N199+N200+N201+N202</f>
        <v>26000</v>
      </c>
      <c r="O198" s="992">
        <f ca="1">IF(L198&gt;0,N198*100/L198,0)</f>
        <v>100</v>
      </c>
      <c r="P198" s="992">
        <f>IF(M198&gt;0,N198*100/M198,0)</f>
        <v>0</v>
      </c>
      <c r="Q198" s="868"/>
      <c r="R198" s="868"/>
      <c r="S198" s="868"/>
      <c r="T198" s="868"/>
      <c r="U198" s="868"/>
      <c r="V198" s="868"/>
      <c r="W198" s="868"/>
      <c r="X198" s="868"/>
      <c r="Y198" s="868"/>
      <c r="Z198" s="868"/>
    </row>
    <row r="199" spans="1:26" ht="18.75">
      <c r="A199" s="995"/>
      <c r="B199" s="1084"/>
      <c r="C199" s="877"/>
      <c r="D199" s="996" t="s">
        <v>97</v>
      </c>
      <c r="E199" s="877"/>
      <c r="F199" s="877"/>
      <c r="G199" s="879"/>
      <c r="H199" s="161" t="s">
        <v>12</v>
      </c>
      <c r="I199" s="997"/>
      <c r="J199" s="997"/>
      <c r="K199" s="998"/>
      <c r="L199" s="881">
        <f ca="1">IFERROR(__xludf.DUMMYFUNCTION("IMPORTRANGE(""https://docs.google.com/spreadsheets/d/1QqKyyYR6Q21VydFLVH3TRQUabQu_ym0Zz7PgGX0-kHA/edit?usp=sharing"",""แผน!AE82"")"),2000)</f>
        <v>2000</v>
      </c>
      <c r="M199" s="881"/>
      <c r="N199" s="1085">
        <v>856</v>
      </c>
      <c r="O199" s="881"/>
      <c r="P199" s="881"/>
      <c r="Q199" s="868"/>
      <c r="R199" s="868"/>
      <c r="S199" s="868"/>
      <c r="T199" s="868"/>
      <c r="U199" s="868"/>
      <c r="V199" s="868"/>
      <c r="W199" s="868"/>
      <c r="X199" s="868"/>
      <c r="Y199" s="868"/>
      <c r="Z199" s="868"/>
    </row>
    <row r="200" spans="1:26" ht="19.5">
      <c r="A200" s="1086"/>
      <c r="B200" s="1084"/>
      <c r="C200" s="1029"/>
      <c r="D200" s="996" t="s">
        <v>98</v>
      </c>
      <c r="E200" s="877"/>
      <c r="F200" s="877"/>
      <c r="G200" s="879"/>
      <c r="H200" s="622" t="s">
        <v>12</v>
      </c>
      <c r="I200" s="880"/>
      <c r="J200" s="880"/>
      <c r="K200" s="881"/>
      <c r="L200" s="881">
        <f ca="1">IFERROR(__xludf.DUMMYFUNCTION("IMPORTRANGE(""https://docs.google.com/spreadsheets/d/1QqKyyYR6Q21VydFLVH3TRQUabQu_ym0Zz7PgGX0-kHA/edit?usp=sharing"",""แผน!AF82"")"),16000)</f>
        <v>16000</v>
      </c>
      <c r="M200" s="881"/>
      <c r="N200" s="1085">
        <v>17144</v>
      </c>
      <c r="O200" s="881"/>
      <c r="P200" s="881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</row>
    <row r="201" spans="1:26" ht="19.5">
      <c r="A201" s="1086"/>
      <c r="B201" s="1084"/>
      <c r="C201" s="1029"/>
      <c r="D201" s="996" t="s">
        <v>99</v>
      </c>
      <c r="E201" s="877"/>
      <c r="F201" s="877"/>
      <c r="G201" s="879"/>
      <c r="H201" s="622" t="s">
        <v>12</v>
      </c>
      <c r="I201" s="880"/>
      <c r="J201" s="880"/>
      <c r="K201" s="881"/>
      <c r="L201" s="881">
        <f ca="1">IFERROR(__xludf.DUMMYFUNCTION("IMPORTRANGE(""https://docs.google.com/spreadsheets/d/1QqKyyYR6Q21VydFLVH3TRQUabQu_ym0Zz7PgGX0-kHA/edit?usp=sharing"",""แผน!AG82"")"),8000)</f>
        <v>8000</v>
      </c>
      <c r="M201" s="881"/>
      <c r="N201" s="1085">
        <v>8000</v>
      </c>
      <c r="O201" s="881"/>
      <c r="P201" s="881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</row>
    <row r="202" spans="1:26" ht="19.5">
      <c r="A202" s="1086"/>
      <c r="B202" s="1084"/>
      <c r="C202" s="1029"/>
      <c r="D202" s="996" t="s">
        <v>100</v>
      </c>
      <c r="E202" s="877"/>
      <c r="F202" s="877"/>
      <c r="G202" s="879"/>
      <c r="H202" s="622" t="s">
        <v>12</v>
      </c>
      <c r="I202" s="880"/>
      <c r="J202" s="880"/>
      <c r="K202" s="881"/>
      <c r="L202" s="881">
        <f ca="1">IFERROR(__xludf.DUMMYFUNCTION("IMPORTRANGE(""https://docs.google.com/spreadsheets/d/1QqKyyYR6Q21VydFLVH3TRQUabQu_ym0Zz7PgGX0-kHA/edit?usp=sharing"",""แผน!AH82"")"),0)</f>
        <v>0</v>
      </c>
      <c r="M202" s="881"/>
      <c r="N202" s="1085">
        <v>0</v>
      </c>
      <c r="O202" s="881"/>
      <c r="P202" s="881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</row>
    <row r="203" spans="1:26" ht="19.5">
      <c r="A203" s="1002"/>
      <c r="B203" s="1003"/>
      <c r="C203" s="1029" t="s">
        <v>16</v>
      </c>
      <c r="D203" s="1004" t="s">
        <v>38</v>
      </c>
      <c r="E203" s="1005"/>
      <c r="F203" s="1005"/>
      <c r="G203" s="1006"/>
      <c r="H203" s="1007"/>
      <c r="I203" s="997"/>
      <c r="J203" s="997"/>
      <c r="K203" s="998"/>
      <c r="L203" s="998"/>
      <c r="M203" s="998"/>
      <c r="N203" s="998"/>
      <c r="O203" s="998"/>
      <c r="P203" s="998"/>
      <c r="Q203" s="868"/>
      <c r="R203" s="868"/>
      <c r="S203" s="868"/>
      <c r="T203" s="868"/>
      <c r="U203" s="868"/>
      <c r="V203" s="868"/>
      <c r="W203" s="868"/>
      <c r="X203" s="868"/>
      <c r="Y203" s="868"/>
      <c r="Z203" s="868"/>
    </row>
    <row r="204" spans="1:26" ht="18.75">
      <c r="A204" s="1002"/>
      <c r="B204" s="1003"/>
      <c r="C204" s="1003"/>
      <c r="D204" s="1008" t="s">
        <v>101</v>
      </c>
      <c r="E204" s="1010"/>
      <c r="F204" s="1010"/>
      <c r="G204" s="1011"/>
      <c r="H204" s="1007" t="s">
        <v>96</v>
      </c>
      <c r="I204" s="880">
        <f ca="1">IFERROR(__xludf.DUMMYFUNCTION("IMPORTRANGE(""https://docs.google.com/spreadsheets/d/1QqKyyYR6Q21VydFLVH3TRQUabQu_ym0Zz7PgGX0-kHA/edit?usp=sharing"",""แผน!AI82"")"),2)</f>
        <v>2</v>
      </c>
      <c r="J204" s="1012">
        <v>2</v>
      </c>
      <c r="K204" s="998">
        <f ca="1">IF(I204&gt;0,J204*100/I204,0)</f>
        <v>100</v>
      </c>
      <c r="L204" s="881"/>
      <c r="M204" s="881"/>
      <c r="N204" s="881"/>
      <c r="O204" s="881"/>
      <c r="P204" s="881"/>
      <c r="Q204" s="868"/>
      <c r="R204" s="868"/>
      <c r="S204" s="868"/>
      <c r="T204" s="868"/>
      <c r="U204" s="868"/>
      <c r="V204" s="868"/>
      <c r="W204" s="868"/>
      <c r="X204" s="868"/>
      <c r="Y204" s="868"/>
      <c r="Z204" s="868"/>
    </row>
    <row r="205" spans="1:26" ht="18.75">
      <c r="A205" s="1002"/>
      <c r="B205" s="1003"/>
      <c r="C205" s="1003"/>
      <c r="D205" s="1009" t="s">
        <v>59</v>
      </c>
      <c r="E205" s="1010"/>
      <c r="F205" s="1010"/>
      <c r="G205" s="1011"/>
      <c r="H205" s="1007"/>
      <c r="I205" s="880"/>
      <c r="J205" s="880"/>
      <c r="K205" s="998"/>
      <c r="L205" s="881"/>
      <c r="M205" s="881"/>
      <c r="N205" s="881"/>
      <c r="O205" s="881"/>
      <c r="P205" s="881"/>
      <c r="Q205" s="868"/>
      <c r="R205" s="868"/>
      <c r="S205" s="868"/>
      <c r="T205" s="868"/>
      <c r="U205" s="868"/>
      <c r="V205" s="868"/>
      <c r="W205" s="868"/>
      <c r="X205" s="868"/>
      <c r="Y205" s="868"/>
      <c r="Z205" s="868"/>
    </row>
    <row r="206" spans="1:26" ht="18.75">
      <c r="A206" s="1002"/>
      <c r="B206" s="1003"/>
      <c r="C206" s="1003"/>
      <c r="D206" s="1010"/>
      <c r="E206" s="1021" t="s">
        <v>102</v>
      </c>
      <c r="F206" s="1088"/>
      <c r="G206" s="1089"/>
      <c r="H206" s="1090" t="s">
        <v>96</v>
      </c>
      <c r="I206" s="880">
        <v>2</v>
      </c>
      <c r="J206" s="1012">
        <v>2</v>
      </c>
      <c r="K206" s="998">
        <f t="shared" ref="K206:K208" si="100">IF(I206&gt;0,J206*100/I206,0)</f>
        <v>100</v>
      </c>
      <c r="L206" s="881"/>
      <c r="M206" s="881"/>
      <c r="N206" s="881"/>
      <c r="O206" s="881"/>
      <c r="P206" s="881"/>
      <c r="Q206" s="868"/>
      <c r="R206" s="868"/>
      <c r="S206" s="868"/>
      <c r="T206" s="868"/>
      <c r="U206" s="868"/>
      <c r="V206" s="868"/>
      <c r="W206" s="868"/>
      <c r="X206" s="868"/>
      <c r="Y206" s="868"/>
      <c r="Z206" s="868"/>
    </row>
    <row r="207" spans="1:26" ht="18.75">
      <c r="A207" s="1002"/>
      <c r="B207" s="1003"/>
      <c r="C207" s="1003"/>
      <c r="D207" s="1009"/>
      <c r="E207" s="1009" t="s">
        <v>103</v>
      </c>
      <c r="F207" s="1010"/>
      <c r="G207" s="1010"/>
      <c r="H207" s="290" t="s">
        <v>104</v>
      </c>
      <c r="I207" s="880">
        <v>0</v>
      </c>
      <c r="J207" s="1012">
        <v>40</v>
      </c>
      <c r="K207" s="998">
        <f t="shared" si="100"/>
        <v>0</v>
      </c>
      <c r="L207" s="881"/>
      <c r="M207" s="881"/>
      <c r="N207" s="881"/>
      <c r="O207" s="881"/>
      <c r="P207" s="881"/>
      <c r="Q207" s="868"/>
      <c r="R207" s="868"/>
      <c r="S207" s="868"/>
      <c r="T207" s="868"/>
      <c r="U207" s="868"/>
      <c r="V207" s="868"/>
      <c r="W207" s="868"/>
      <c r="X207" s="868"/>
      <c r="Y207" s="868"/>
      <c r="Z207" s="868"/>
    </row>
    <row r="208" spans="1:26" ht="19.5" hidden="1">
      <c r="A208" s="1063"/>
      <c r="B208" s="1070"/>
      <c r="C208" s="1077" t="s">
        <v>105</v>
      </c>
      <c r="D208" s="1064"/>
      <c r="E208" s="1064"/>
      <c r="F208" s="1091"/>
      <c r="G208" s="1066"/>
      <c r="H208" s="278" t="s">
        <v>96</v>
      </c>
      <c r="I208" s="1078">
        <f t="shared" ref="I208:J208" ca="1" si="101">I215</f>
        <v>0</v>
      </c>
      <c r="J208" s="1078">
        <f t="shared" si="101"/>
        <v>0</v>
      </c>
      <c r="K208" s="1079">
        <f t="shared" ca="1" si="100"/>
        <v>0</v>
      </c>
      <c r="L208" s="1068"/>
      <c r="M208" s="1068"/>
      <c r="N208" s="1068"/>
      <c r="O208" s="1068"/>
      <c r="P208" s="1068"/>
    </row>
    <row r="209" spans="1:26" ht="19.5" hidden="1">
      <c r="A209" s="985"/>
      <c r="B209" s="986"/>
      <c r="C209" s="987" t="s">
        <v>16</v>
      </c>
      <c r="D209" s="1080" t="s">
        <v>17</v>
      </c>
      <c r="E209" s="986"/>
      <c r="F209" s="986"/>
      <c r="G209" s="989"/>
      <c r="H209" s="275" t="s">
        <v>12</v>
      </c>
      <c r="I209" s="1082"/>
      <c r="J209" s="1082"/>
      <c r="K209" s="1083"/>
      <c r="L209" s="992">
        <f ca="1">L210+L211+L212</f>
        <v>0</v>
      </c>
      <c r="M209" s="992"/>
      <c r="N209" s="992">
        <f>N210+N211+N212</f>
        <v>0</v>
      </c>
      <c r="O209" s="992">
        <f ca="1">IF(L209&gt;0,N209*100/L209,0)</f>
        <v>0</v>
      </c>
      <c r="P209" s="992">
        <f>IF(M209&gt;0,N209*100/M209,0)</f>
        <v>0</v>
      </c>
      <c r="Q209" s="868"/>
      <c r="R209" s="868"/>
      <c r="S209" s="868"/>
      <c r="T209" s="868"/>
      <c r="U209" s="868"/>
      <c r="V209" s="868"/>
      <c r="W209" s="868"/>
      <c r="X209" s="868"/>
      <c r="Y209" s="868"/>
      <c r="Z209" s="868"/>
    </row>
    <row r="210" spans="1:26" ht="18.75" hidden="1">
      <c r="A210" s="995"/>
      <c r="B210" s="1084"/>
      <c r="C210" s="877"/>
      <c r="D210" s="996" t="s">
        <v>97</v>
      </c>
      <c r="E210" s="877"/>
      <c r="F210" s="877"/>
      <c r="G210" s="879"/>
      <c r="H210" s="161" t="s">
        <v>12</v>
      </c>
      <c r="I210" s="997"/>
      <c r="J210" s="997"/>
      <c r="K210" s="998"/>
      <c r="L210" s="881">
        <f ca="1">IFERROR(__xludf.DUMMYFUNCTION("IMPORTRANGE(""https://docs.google.com/spreadsheets/d/1QqKyyYR6Q21VydFLVH3TRQUabQu_ym0Zz7PgGX0-kHA/edit?usp=sharing"",""แผน!AK82"")"),0)</f>
        <v>0</v>
      </c>
      <c r="M210" s="881"/>
      <c r="N210" s="1085">
        <v>0</v>
      </c>
      <c r="O210" s="881"/>
      <c r="P210" s="881"/>
      <c r="Q210" s="868"/>
      <c r="R210" s="868"/>
      <c r="S210" s="868"/>
      <c r="T210" s="868"/>
      <c r="U210" s="868"/>
      <c r="V210" s="868"/>
      <c r="W210" s="868"/>
      <c r="X210" s="868"/>
      <c r="Y210" s="868"/>
      <c r="Z210" s="868"/>
    </row>
    <row r="211" spans="1:26" ht="19.5" hidden="1">
      <c r="A211" s="1086"/>
      <c r="B211" s="1084"/>
      <c r="C211" s="1092"/>
      <c r="D211" s="996" t="s">
        <v>99</v>
      </c>
      <c r="E211" s="877"/>
      <c r="F211" s="877"/>
      <c r="G211" s="879"/>
      <c r="H211" s="161" t="s">
        <v>12</v>
      </c>
      <c r="I211" s="880"/>
      <c r="J211" s="880"/>
      <c r="K211" s="881"/>
      <c r="L211" s="881">
        <f ca="1">IFERROR(__xludf.DUMMYFUNCTION("IMPORTRANGE(""https://docs.google.com/spreadsheets/d/1QqKyyYR6Q21VydFLVH3TRQUabQu_ym0Zz7PgGX0-kHA/edit?usp=sharing"",""แผน!AL82"")"),0)</f>
        <v>0</v>
      </c>
      <c r="M211" s="881"/>
      <c r="N211" s="1085">
        <v>0</v>
      </c>
      <c r="O211" s="881"/>
      <c r="P211" s="881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</row>
    <row r="212" spans="1:26" ht="19.5" hidden="1">
      <c r="A212" s="1086"/>
      <c r="B212" s="1084"/>
      <c r="C212" s="1092"/>
      <c r="D212" s="996" t="s">
        <v>98</v>
      </c>
      <c r="E212" s="877"/>
      <c r="F212" s="877"/>
      <c r="G212" s="879"/>
      <c r="H212" s="161" t="s">
        <v>12</v>
      </c>
      <c r="I212" s="880"/>
      <c r="J212" s="880"/>
      <c r="K212" s="881"/>
      <c r="L212" s="881">
        <f ca="1">IFERROR(__xludf.DUMMYFUNCTION("IMPORTRANGE(""https://docs.google.com/spreadsheets/d/1QqKyyYR6Q21VydFLVH3TRQUabQu_ym0Zz7PgGX0-kHA/edit?usp=sharing"",""แผน!AM82"")"),0)</f>
        <v>0</v>
      </c>
      <c r="M212" s="881"/>
      <c r="N212" s="1085">
        <v>0</v>
      </c>
      <c r="O212" s="881"/>
      <c r="P212" s="881"/>
      <c r="Q212" s="1087"/>
      <c r="R212" s="1087"/>
      <c r="S212" s="1087"/>
      <c r="T212" s="1087"/>
      <c r="U212" s="1087"/>
      <c r="V212" s="1087"/>
      <c r="W212" s="1087"/>
      <c r="X212" s="1087"/>
      <c r="Y212" s="1087"/>
      <c r="Z212" s="1087"/>
    </row>
    <row r="213" spans="1:26" ht="19.5" hidden="1">
      <c r="A213" s="1002"/>
      <c r="B213" s="1003"/>
      <c r="C213" s="1092" t="s">
        <v>16</v>
      </c>
      <c r="D213" s="1004" t="s">
        <v>38</v>
      </c>
      <c r="E213" s="1005"/>
      <c r="F213" s="1005"/>
      <c r="G213" s="1006"/>
      <c r="H213" s="1007"/>
      <c r="I213" s="997"/>
      <c r="J213" s="880"/>
      <c r="K213" s="881"/>
      <c r="L213" s="881"/>
      <c r="M213" s="881"/>
      <c r="N213" s="881"/>
      <c r="O213" s="998"/>
      <c r="P213" s="998"/>
      <c r="Q213" s="868"/>
      <c r="R213" s="868"/>
      <c r="S213" s="868"/>
      <c r="T213" s="868"/>
      <c r="U213" s="868"/>
      <c r="V213" s="868"/>
      <c r="W213" s="868"/>
      <c r="X213" s="868"/>
      <c r="Y213" s="868"/>
      <c r="Z213" s="868"/>
    </row>
    <row r="214" spans="1:26" ht="18.75" hidden="1">
      <c r="A214" s="1002"/>
      <c r="B214" s="1003"/>
      <c r="C214" s="1003"/>
      <c r="D214" s="1008" t="s">
        <v>106</v>
      </c>
      <c r="E214" s="1010"/>
      <c r="F214" s="1010"/>
      <c r="G214" s="1011"/>
      <c r="H214" s="1007" t="s">
        <v>96</v>
      </c>
      <c r="I214" s="880">
        <f ca="1">IFERROR(__xludf.DUMMYFUNCTION("IMPORTRANGE(""https://docs.google.com/spreadsheets/d/1QqKyyYR6Q21VydFLVH3TRQUabQu_ym0Zz7PgGX0-kHA/edit?usp=sharing"",""แผน!AN82"")"),0)</f>
        <v>0</v>
      </c>
      <c r="J214" s="1012">
        <v>0</v>
      </c>
      <c r="K214" s="881">
        <f t="shared" ref="K214:K216" ca="1" si="102">IF(I214&gt;0,J214*100/I214,0)</f>
        <v>0</v>
      </c>
      <c r="L214" s="881"/>
      <c r="M214" s="881"/>
      <c r="N214" s="881"/>
      <c r="O214" s="881"/>
      <c r="P214" s="881"/>
      <c r="Q214" s="868"/>
      <c r="R214" s="868"/>
      <c r="S214" s="868"/>
      <c r="T214" s="868"/>
      <c r="U214" s="868"/>
      <c r="V214" s="868"/>
      <c r="W214" s="868"/>
      <c r="X214" s="868"/>
      <c r="Y214" s="868"/>
      <c r="Z214" s="868"/>
    </row>
    <row r="215" spans="1:26" ht="18.75" hidden="1">
      <c r="A215" s="1002"/>
      <c r="B215" s="1003"/>
      <c r="C215" s="1003"/>
      <c r="D215" s="1008" t="s">
        <v>107</v>
      </c>
      <c r="E215" s="1010"/>
      <c r="F215" s="1010"/>
      <c r="G215" s="1011"/>
      <c r="H215" s="1007" t="s">
        <v>96</v>
      </c>
      <c r="I215" s="880">
        <f ca="1">IFERROR(__xludf.DUMMYFUNCTION("IMPORTRANGE(""https://docs.google.com/spreadsheets/d/1QqKyyYR6Q21VydFLVH3TRQUabQu_ym0Zz7PgGX0-kHA/edit?usp=sharing"",""แผน!AN82"")"),0)</f>
        <v>0</v>
      </c>
      <c r="J215" s="1012">
        <v>0</v>
      </c>
      <c r="K215" s="881">
        <f t="shared" ca="1" si="102"/>
        <v>0</v>
      </c>
      <c r="L215" s="881"/>
      <c r="M215" s="881"/>
      <c r="N215" s="881"/>
      <c r="O215" s="881"/>
      <c r="P215" s="881"/>
      <c r="Q215" s="868"/>
      <c r="R215" s="868"/>
      <c r="S215" s="868"/>
      <c r="T215" s="868"/>
      <c r="U215" s="868"/>
      <c r="V215" s="868"/>
      <c r="W215" s="868"/>
      <c r="X215" s="868"/>
      <c r="Y215" s="868"/>
      <c r="Z215" s="868"/>
    </row>
    <row r="216" spans="1:26" ht="19.5">
      <c r="A216" s="1063"/>
      <c r="B216" s="1070"/>
      <c r="C216" s="1077" t="s">
        <v>108</v>
      </c>
      <c r="D216" s="1064"/>
      <c r="E216" s="1064"/>
      <c r="F216" s="1091"/>
      <c r="G216" s="1066"/>
      <c r="H216" s="260" t="s">
        <v>109</v>
      </c>
      <c r="I216" s="1078">
        <f t="shared" ref="I216:J216" ca="1" si="103">I224</f>
        <v>10000</v>
      </c>
      <c r="J216" s="1078">
        <f t="shared" si="103"/>
        <v>5000</v>
      </c>
      <c r="K216" s="1079">
        <f t="shared" ca="1" si="102"/>
        <v>50</v>
      </c>
      <c r="L216" s="1068"/>
      <c r="M216" s="1068"/>
      <c r="N216" s="1068"/>
      <c r="O216" s="1068"/>
      <c r="P216" s="1068"/>
    </row>
    <row r="217" spans="1:26" ht="19.5">
      <c r="A217" s="985"/>
      <c r="B217" s="986"/>
      <c r="C217" s="987" t="s">
        <v>16</v>
      </c>
      <c r="D217" s="1080" t="s">
        <v>17</v>
      </c>
      <c r="E217" s="986"/>
      <c r="F217" s="986"/>
      <c r="G217" s="989"/>
      <c r="H217" s="275" t="s">
        <v>12</v>
      </c>
      <c r="I217" s="1082"/>
      <c r="J217" s="1082"/>
      <c r="K217" s="1083"/>
      <c r="L217" s="992">
        <f ca="1">L218+L219+L220</f>
        <v>6500</v>
      </c>
      <c r="M217" s="992"/>
      <c r="N217" s="992">
        <f>N218+N219+N220</f>
        <v>0</v>
      </c>
      <c r="O217" s="992">
        <f ca="1">IF(L217&gt;0,N217*100/L217,0)</f>
        <v>0</v>
      </c>
      <c r="P217" s="992">
        <f>IF(M217&gt;0,N217*100/M217,0)</f>
        <v>0</v>
      </c>
      <c r="Q217" s="868"/>
      <c r="R217" s="868"/>
      <c r="S217" s="868"/>
      <c r="T217" s="868"/>
      <c r="U217" s="868"/>
      <c r="V217" s="868"/>
      <c r="W217" s="868"/>
      <c r="X217" s="868"/>
      <c r="Y217" s="868"/>
      <c r="Z217" s="868"/>
    </row>
    <row r="218" spans="1:26" ht="18.75">
      <c r="A218" s="995"/>
      <c r="B218" s="1084"/>
      <c r="C218" s="877"/>
      <c r="D218" s="996" t="s">
        <v>97</v>
      </c>
      <c r="E218" s="877"/>
      <c r="F218" s="877"/>
      <c r="G218" s="879"/>
      <c r="H218" s="161" t="s">
        <v>12</v>
      </c>
      <c r="I218" s="997"/>
      <c r="J218" s="997"/>
      <c r="K218" s="998"/>
      <c r="L218" s="881">
        <f ca="1">IFERROR(__xludf.DUMMYFUNCTION("IMPORTRANGE(""https://docs.google.com/spreadsheets/d/1QqKyyYR6Q21VydFLVH3TRQUabQu_ym0Zz7PgGX0-kHA/edit?usp=sharing"",""แผน!AP82"")"),3000)</f>
        <v>3000</v>
      </c>
      <c r="M218" s="881"/>
      <c r="N218" s="1085">
        <v>0</v>
      </c>
      <c r="O218" s="881"/>
      <c r="P218" s="881"/>
      <c r="Q218" s="868"/>
      <c r="R218" s="868"/>
      <c r="S218" s="868"/>
      <c r="T218" s="868"/>
      <c r="U218" s="868"/>
      <c r="V218" s="868"/>
      <c r="W218" s="868"/>
      <c r="X218" s="868"/>
      <c r="Y218" s="868"/>
      <c r="Z218" s="868"/>
    </row>
    <row r="219" spans="1:26" ht="19.5">
      <c r="A219" s="1086"/>
      <c r="B219" s="1084"/>
      <c r="C219" s="1092"/>
      <c r="D219" s="996" t="s">
        <v>110</v>
      </c>
      <c r="E219" s="877"/>
      <c r="F219" s="877"/>
      <c r="G219" s="879"/>
      <c r="H219" s="161" t="s">
        <v>12</v>
      </c>
      <c r="I219" s="880"/>
      <c r="J219" s="880"/>
      <c r="K219" s="881"/>
      <c r="L219" s="881">
        <f ca="1">IFERROR(__xludf.DUMMYFUNCTION("IMPORTRANGE(""https://docs.google.com/spreadsheets/d/1QqKyyYR6Q21VydFLVH3TRQUabQu_ym0Zz7PgGX0-kHA/edit?usp=sharing"",""แผน!AQ82"")"),3500)</f>
        <v>3500</v>
      </c>
      <c r="M219" s="881"/>
      <c r="N219" s="1085">
        <v>0</v>
      </c>
      <c r="O219" s="881"/>
      <c r="P219" s="881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</row>
    <row r="220" spans="1:26" ht="19.5">
      <c r="A220" s="1086"/>
      <c r="B220" s="1084"/>
      <c r="C220" s="1092"/>
      <c r="D220" s="996" t="s">
        <v>98</v>
      </c>
      <c r="E220" s="877"/>
      <c r="F220" s="877"/>
      <c r="G220" s="879"/>
      <c r="H220" s="161" t="s">
        <v>12</v>
      </c>
      <c r="I220" s="880"/>
      <c r="J220" s="880"/>
      <c r="K220" s="881"/>
      <c r="L220" s="881">
        <f ca="1">IFERROR(__xludf.DUMMYFUNCTION("IMPORTRANGE(""https://docs.google.com/spreadsheets/d/1QqKyyYR6Q21VydFLVH3TRQUabQu_ym0Zz7PgGX0-kHA/edit?usp=sharing"",""แผน!AR82"")"),0)</f>
        <v>0</v>
      </c>
      <c r="M220" s="881"/>
      <c r="N220" s="1085">
        <v>0</v>
      </c>
      <c r="O220" s="881"/>
      <c r="P220" s="881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</row>
    <row r="221" spans="1:26" ht="19.5">
      <c r="A221" s="1002"/>
      <c r="B221" s="1003"/>
      <c r="C221" s="1092" t="s">
        <v>16</v>
      </c>
      <c r="D221" s="1004" t="s">
        <v>38</v>
      </c>
      <c r="E221" s="1005"/>
      <c r="F221" s="1005"/>
      <c r="G221" s="1006"/>
      <c r="H221" s="1007"/>
      <c r="I221" s="997"/>
      <c r="J221" s="997"/>
      <c r="K221" s="998"/>
      <c r="L221" s="998"/>
      <c r="M221" s="998"/>
      <c r="N221" s="998"/>
      <c r="O221" s="998"/>
      <c r="P221" s="99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8"/>
    </row>
    <row r="222" spans="1:26" ht="18.75">
      <c r="A222" s="1002"/>
      <c r="B222" s="1003"/>
      <c r="C222" s="1003"/>
      <c r="D222" s="996" t="s">
        <v>111</v>
      </c>
      <c r="E222" s="1010"/>
      <c r="F222" s="1010"/>
      <c r="G222" s="1011"/>
      <c r="H222" s="1007"/>
      <c r="I222" s="880"/>
      <c r="J222" s="880"/>
      <c r="K222" s="998"/>
      <c r="L222" s="998"/>
      <c r="M222" s="998"/>
      <c r="N222" s="998"/>
      <c r="O222" s="998"/>
      <c r="P222" s="998"/>
      <c r="Q222" s="868"/>
      <c r="R222" s="868"/>
      <c r="S222" s="868"/>
      <c r="T222" s="868"/>
      <c r="U222" s="868"/>
      <c r="V222" s="868"/>
      <c r="W222" s="868"/>
      <c r="X222" s="868"/>
      <c r="Y222" s="868"/>
      <c r="Z222" s="868"/>
    </row>
    <row r="223" spans="1:26" ht="18.75">
      <c r="A223" s="1002"/>
      <c r="B223" s="1003"/>
      <c r="C223" s="1003"/>
      <c r="D223" s="1003"/>
      <c r="E223" s="1008" t="s">
        <v>112</v>
      </c>
      <c r="F223" s="1010"/>
      <c r="G223" s="1011"/>
      <c r="H223" s="762" t="s">
        <v>109</v>
      </c>
      <c r="I223" s="880">
        <f ca="1">IFERROR(__xludf.DUMMYFUNCTION("IMPORTRANGE(""https://docs.google.com/spreadsheets/d/1QqKyyYR6Q21VydFLVH3TRQUabQu_ym0Zz7PgGX0-kHA/edit?usp=sharing"",""แผน!AT82"")"),10000)</f>
        <v>10000</v>
      </c>
      <c r="J223" s="1012">
        <v>10000</v>
      </c>
      <c r="K223" s="998">
        <f t="shared" ref="K223:K226" ca="1" si="104">IF(I223&gt;0,J223*100/I223,0)</f>
        <v>100</v>
      </c>
      <c r="L223" s="998"/>
      <c r="M223" s="998"/>
      <c r="N223" s="998"/>
      <c r="O223" s="998"/>
      <c r="P223" s="998"/>
      <c r="Q223" s="868"/>
      <c r="R223" s="868"/>
      <c r="S223" s="868"/>
      <c r="T223" s="868"/>
      <c r="U223" s="868"/>
      <c r="V223" s="868"/>
      <c r="W223" s="868"/>
      <c r="X223" s="868"/>
      <c r="Y223" s="868"/>
      <c r="Z223" s="868"/>
    </row>
    <row r="224" spans="1:26" ht="18.75">
      <c r="A224" s="1002"/>
      <c r="B224" s="1003"/>
      <c r="C224" s="1003"/>
      <c r="D224" s="1003"/>
      <c r="E224" s="1008" t="s">
        <v>113</v>
      </c>
      <c r="F224" s="1010"/>
      <c r="G224" s="1011"/>
      <c r="H224" s="762" t="s">
        <v>109</v>
      </c>
      <c r="I224" s="880">
        <f ca="1">IFERROR(__xludf.DUMMYFUNCTION("IMPORTRANGE(""https://docs.google.com/spreadsheets/d/1QqKyyYR6Q21VydFLVH3TRQUabQu_ym0Zz7PgGX0-kHA/edit?usp=sharing"",""แผน!AT82"")"),10000)</f>
        <v>10000</v>
      </c>
      <c r="J224" s="1012">
        <v>5000</v>
      </c>
      <c r="K224" s="998">
        <f t="shared" ca="1" si="104"/>
        <v>50</v>
      </c>
      <c r="L224" s="881"/>
      <c r="M224" s="881"/>
      <c r="N224" s="881"/>
      <c r="O224" s="881"/>
      <c r="P224" s="881"/>
      <c r="Q224" s="868"/>
      <c r="R224" s="868"/>
      <c r="S224" s="868"/>
      <c r="T224" s="868"/>
      <c r="U224" s="868"/>
      <c r="V224" s="868"/>
      <c r="W224" s="868"/>
      <c r="X224" s="868"/>
      <c r="Y224" s="868"/>
      <c r="Z224" s="868"/>
    </row>
    <row r="225" spans="1:26" ht="18.75">
      <c r="A225" s="1002"/>
      <c r="B225" s="1003"/>
      <c r="C225" s="1003"/>
      <c r="D225" s="996" t="s">
        <v>114</v>
      </c>
      <c r="E225" s="1010"/>
      <c r="F225" s="1010"/>
      <c r="G225" s="1011"/>
      <c r="H225" s="762" t="s">
        <v>35</v>
      </c>
      <c r="I225" s="880">
        <f ca="1">IFERROR(__xludf.DUMMYFUNCTION("IMPORTRANGE(""https://docs.google.com/spreadsheets/d/1QqKyyYR6Q21VydFLVH3TRQUabQu_ym0Zz7PgGX0-kHA/edit?usp=sharing"",""แผน!AS82"")"),0)</f>
        <v>0</v>
      </c>
      <c r="J225" s="1012">
        <v>0</v>
      </c>
      <c r="K225" s="998">
        <f t="shared" ca="1" si="104"/>
        <v>0</v>
      </c>
      <c r="L225" s="881"/>
      <c r="M225" s="881"/>
      <c r="N225" s="881"/>
      <c r="O225" s="881"/>
      <c r="P225" s="881"/>
      <c r="Q225" s="868"/>
      <c r="R225" s="868"/>
      <c r="S225" s="868"/>
      <c r="T225" s="868"/>
      <c r="U225" s="868"/>
      <c r="V225" s="868"/>
      <c r="W225" s="868"/>
      <c r="X225" s="868"/>
      <c r="Y225" s="868"/>
      <c r="Z225" s="868"/>
    </row>
    <row r="226" spans="1:26" ht="19.5" hidden="1">
      <c r="A226" s="1063"/>
      <c r="B226" s="1070"/>
      <c r="C226" s="1093" t="s">
        <v>115</v>
      </c>
      <c r="D226" s="1064"/>
      <c r="E226" s="1064"/>
      <c r="F226" s="1064"/>
      <c r="G226" s="1066"/>
      <c r="H226" s="266" t="s">
        <v>35</v>
      </c>
      <c r="I226" s="1094" t="e">
        <f t="shared" ref="I226:J226" ca="1" si="105">I237+I248</f>
        <v>#VALUE!</v>
      </c>
      <c r="J226" s="1094">
        <f t="shared" si="105"/>
        <v>0</v>
      </c>
      <c r="K226" s="1095" t="e">
        <f t="shared" ca="1" si="104"/>
        <v>#VALUE!</v>
      </c>
      <c r="L226" s="1068"/>
      <c r="M226" s="1068"/>
      <c r="N226" s="1068"/>
      <c r="O226" s="1068"/>
      <c r="P226" s="1068"/>
    </row>
    <row r="227" spans="1:26" ht="19.5" hidden="1">
      <c r="A227" s="1096"/>
      <c r="B227" s="1097"/>
      <c r="C227" s="1098" t="s">
        <v>16</v>
      </c>
      <c r="D227" s="1099" t="s">
        <v>17</v>
      </c>
      <c r="E227" s="1097"/>
      <c r="F227" s="1097"/>
      <c r="G227" s="1100"/>
      <c r="H227" s="353" t="s">
        <v>12</v>
      </c>
      <c r="I227" s="1101"/>
      <c r="J227" s="1101"/>
      <c r="K227" s="1102"/>
      <c r="L227" s="1103">
        <f t="shared" ref="L227:L231" ca="1" si="106">L238+L249</f>
        <v>0</v>
      </c>
      <c r="M227" s="1103"/>
      <c r="N227" s="1103">
        <f t="shared" ref="N227:N231" si="107">N238+N249</f>
        <v>0</v>
      </c>
      <c r="O227" s="1104"/>
      <c r="P227" s="1104"/>
      <c r="Q227" s="875"/>
      <c r="R227" s="875"/>
      <c r="S227" s="875"/>
      <c r="T227" s="875"/>
      <c r="U227" s="875"/>
      <c r="V227" s="875"/>
      <c r="W227" s="875"/>
      <c r="X227" s="875"/>
      <c r="Y227" s="875"/>
      <c r="Z227" s="875"/>
    </row>
    <row r="228" spans="1:26" ht="18.75" hidden="1">
      <c r="A228" s="993"/>
      <c r="B228" s="1105"/>
      <c r="C228" s="883"/>
      <c r="D228" s="884" t="s">
        <v>97</v>
      </c>
      <c r="E228" s="883"/>
      <c r="F228" s="883"/>
      <c r="G228" s="885"/>
      <c r="H228" s="165" t="s">
        <v>12</v>
      </c>
      <c r="I228" s="1000"/>
      <c r="J228" s="1000"/>
      <c r="K228" s="1001"/>
      <c r="L228" s="887">
        <f t="shared" ca="1" si="106"/>
        <v>0</v>
      </c>
      <c r="M228" s="887"/>
      <c r="N228" s="887">
        <f t="shared" si="107"/>
        <v>0</v>
      </c>
      <c r="O228" s="887"/>
      <c r="P228" s="887"/>
      <c r="Q228" s="875"/>
      <c r="R228" s="875"/>
      <c r="S228" s="875"/>
      <c r="T228" s="875"/>
      <c r="U228" s="875"/>
      <c r="V228" s="875"/>
      <c r="W228" s="875"/>
      <c r="X228" s="875"/>
      <c r="Y228" s="875"/>
      <c r="Z228" s="875"/>
    </row>
    <row r="229" spans="1:26" ht="19.5" hidden="1">
      <c r="A229" s="1106"/>
      <c r="B229" s="1105"/>
      <c r="C229" s="1107"/>
      <c r="D229" s="884" t="s">
        <v>98</v>
      </c>
      <c r="E229" s="883"/>
      <c r="F229" s="883"/>
      <c r="G229" s="885"/>
      <c r="H229" s="165" t="s">
        <v>12</v>
      </c>
      <c r="I229" s="886"/>
      <c r="J229" s="886"/>
      <c r="K229" s="887"/>
      <c r="L229" s="887">
        <f t="shared" ca="1" si="106"/>
        <v>0</v>
      </c>
      <c r="M229" s="887"/>
      <c r="N229" s="887">
        <f t="shared" si="107"/>
        <v>0</v>
      </c>
      <c r="O229" s="887"/>
      <c r="P229" s="887"/>
      <c r="Q229" s="1108"/>
      <c r="R229" s="1108"/>
      <c r="S229" s="1108"/>
      <c r="T229" s="1108"/>
      <c r="U229" s="1108"/>
      <c r="V229" s="1108"/>
      <c r="W229" s="1108"/>
      <c r="X229" s="1108"/>
      <c r="Y229" s="1108"/>
      <c r="Z229" s="1108"/>
    </row>
    <row r="230" spans="1:26" ht="19.5" hidden="1">
      <c r="A230" s="1106"/>
      <c r="B230" s="1105"/>
      <c r="C230" s="1107"/>
      <c r="D230" s="884" t="s">
        <v>116</v>
      </c>
      <c r="E230" s="883"/>
      <c r="F230" s="883"/>
      <c r="G230" s="885"/>
      <c r="H230" s="165" t="s">
        <v>12</v>
      </c>
      <c r="I230" s="886"/>
      <c r="J230" s="886"/>
      <c r="K230" s="887"/>
      <c r="L230" s="887">
        <f t="shared" ca="1" si="106"/>
        <v>0</v>
      </c>
      <c r="M230" s="887"/>
      <c r="N230" s="887">
        <f t="shared" si="107"/>
        <v>0</v>
      </c>
      <c r="O230" s="887"/>
      <c r="P230" s="887"/>
      <c r="Q230" s="1108"/>
      <c r="R230" s="1108"/>
      <c r="S230" s="1108"/>
      <c r="T230" s="1108"/>
      <c r="U230" s="1108"/>
      <c r="V230" s="1108"/>
      <c r="W230" s="1108"/>
      <c r="X230" s="1108"/>
      <c r="Y230" s="1108"/>
      <c r="Z230" s="1108"/>
    </row>
    <row r="231" spans="1:26" ht="19.5" hidden="1">
      <c r="A231" s="1106"/>
      <c r="B231" s="1105"/>
      <c r="C231" s="1107"/>
      <c r="D231" s="884" t="s">
        <v>100</v>
      </c>
      <c r="E231" s="883"/>
      <c r="F231" s="883"/>
      <c r="G231" s="885"/>
      <c r="H231" s="165" t="s">
        <v>12</v>
      </c>
      <c r="I231" s="886"/>
      <c r="J231" s="886"/>
      <c r="K231" s="887"/>
      <c r="L231" s="887">
        <f t="shared" ca="1" si="106"/>
        <v>0</v>
      </c>
      <c r="M231" s="887"/>
      <c r="N231" s="887">
        <f t="shared" si="107"/>
        <v>0</v>
      </c>
      <c r="O231" s="887"/>
      <c r="P231" s="887"/>
      <c r="Q231" s="1108"/>
      <c r="R231" s="1108"/>
      <c r="S231" s="1108"/>
      <c r="T231" s="1108"/>
      <c r="U231" s="1108"/>
      <c r="V231" s="1108"/>
      <c r="W231" s="1108"/>
      <c r="X231" s="1108"/>
      <c r="Y231" s="1108"/>
      <c r="Z231" s="1108"/>
    </row>
    <row r="232" spans="1:26" ht="19.5" hidden="1">
      <c r="A232" s="1109"/>
      <c r="B232" s="1110"/>
      <c r="C232" s="1107" t="s">
        <v>16</v>
      </c>
      <c r="D232" s="1072" t="s">
        <v>38</v>
      </c>
      <c r="E232" s="1111"/>
      <c r="F232" s="1111"/>
      <c r="G232" s="1112"/>
      <c r="H232" s="1113"/>
      <c r="I232" s="1000"/>
      <c r="J232" s="886"/>
      <c r="K232" s="887"/>
      <c r="L232" s="887"/>
      <c r="M232" s="887"/>
      <c r="N232" s="887"/>
      <c r="O232" s="1001"/>
      <c r="P232" s="1001"/>
      <c r="Q232" s="875"/>
      <c r="R232" s="875"/>
      <c r="S232" s="875"/>
      <c r="T232" s="875"/>
      <c r="U232" s="875"/>
      <c r="V232" s="875"/>
      <c r="W232" s="875"/>
      <c r="X232" s="875"/>
      <c r="Y232" s="875"/>
      <c r="Z232" s="875"/>
    </row>
    <row r="233" spans="1:26" ht="18.75" hidden="1">
      <c r="A233" s="1109"/>
      <c r="B233" s="1110"/>
      <c r="C233" s="1110"/>
      <c r="D233" s="1074" t="s">
        <v>117</v>
      </c>
      <c r="E233" s="1114"/>
      <c r="F233" s="1114"/>
      <c r="G233" s="1115"/>
      <c r="H233" s="370" t="s">
        <v>35</v>
      </c>
      <c r="I233" s="886" t="e">
        <f t="shared" ref="I233:J233" ca="1" si="108">I244+I255</f>
        <v>#VALUE!</v>
      </c>
      <c r="J233" s="886">
        <f t="shared" si="108"/>
        <v>0</v>
      </c>
      <c r="K233" s="887" t="e">
        <f ca="1">IF(I233&gt;0,J233*100/I233,0)</f>
        <v>#VALUE!</v>
      </c>
      <c r="L233" s="887"/>
      <c r="M233" s="887"/>
      <c r="N233" s="887"/>
      <c r="O233" s="887"/>
      <c r="P233" s="887"/>
      <c r="Q233" s="875"/>
      <c r="R233" s="875"/>
      <c r="S233" s="875"/>
      <c r="T233" s="875"/>
      <c r="U233" s="875"/>
      <c r="V233" s="875"/>
      <c r="W233" s="875"/>
      <c r="X233" s="875"/>
      <c r="Y233" s="875"/>
      <c r="Z233" s="875"/>
    </row>
    <row r="234" spans="1:26" ht="18.75" hidden="1">
      <c r="A234" s="1109"/>
      <c r="B234" s="1110"/>
      <c r="C234" s="1110"/>
      <c r="D234" s="1116" t="s">
        <v>43</v>
      </c>
      <c r="E234" s="1114"/>
      <c r="F234" s="1114"/>
      <c r="G234" s="1115"/>
      <c r="H234" s="370"/>
      <c r="I234" s="886"/>
      <c r="J234" s="886"/>
      <c r="K234" s="887"/>
      <c r="L234" s="887"/>
      <c r="M234" s="887"/>
      <c r="N234" s="887"/>
      <c r="O234" s="1001"/>
      <c r="P234" s="1001"/>
      <c r="Q234" s="875"/>
      <c r="R234" s="875"/>
      <c r="S234" s="875"/>
      <c r="T234" s="875"/>
      <c r="U234" s="875"/>
      <c r="V234" s="875"/>
      <c r="W234" s="875"/>
      <c r="X234" s="875"/>
      <c r="Y234" s="875"/>
      <c r="Z234" s="875"/>
    </row>
    <row r="235" spans="1:26" ht="18.75" hidden="1">
      <c r="A235" s="1109"/>
      <c r="B235" s="1110"/>
      <c r="C235" s="1110"/>
      <c r="D235" s="1110"/>
      <c r="E235" s="1073" t="s">
        <v>118</v>
      </c>
      <c r="F235" s="1114"/>
      <c r="G235" s="1115"/>
      <c r="H235" s="370" t="s">
        <v>35</v>
      </c>
      <c r="I235" s="886">
        <f t="shared" ref="I235:J236" si="109">I246+I257</f>
        <v>0</v>
      </c>
      <c r="J235" s="886">
        <f t="shared" si="109"/>
        <v>0</v>
      </c>
      <c r="K235" s="887">
        <f t="shared" ref="K235:K237" si="110">IF(I235&gt;0,J235*100/I235,0)</f>
        <v>0</v>
      </c>
      <c r="L235" s="887"/>
      <c r="M235" s="887"/>
      <c r="N235" s="887"/>
      <c r="O235" s="887"/>
      <c r="P235" s="887"/>
      <c r="Q235" s="875"/>
      <c r="R235" s="875"/>
      <c r="S235" s="875"/>
      <c r="T235" s="875"/>
      <c r="U235" s="875"/>
      <c r="V235" s="875"/>
      <c r="W235" s="875"/>
      <c r="X235" s="875"/>
      <c r="Y235" s="875"/>
      <c r="Z235" s="875"/>
    </row>
    <row r="236" spans="1:26" ht="18.75" hidden="1">
      <c r="A236" s="1109"/>
      <c r="B236" s="1110"/>
      <c r="C236" s="1110"/>
      <c r="D236" s="1110"/>
      <c r="E236" s="1073" t="s">
        <v>119</v>
      </c>
      <c r="F236" s="1114"/>
      <c r="G236" s="1115"/>
      <c r="H236" s="370" t="s">
        <v>66</v>
      </c>
      <c r="I236" s="886">
        <f t="shared" si="109"/>
        <v>0</v>
      </c>
      <c r="J236" s="886">
        <f t="shared" si="109"/>
        <v>0</v>
      </c>
      <c r="K236" s="887">
        <f t="shared" si="110"/>
        <v>0</v>
      </c>
      <c r="L236" s="887"/>
      <c r="M236" s="887"/>
      <c r="N236" s="887"/>
      <c r="O236" s="887"/>
      <c r="P236" s="887"/>
      <c r="Q236" s="875"/>
      <c r="R236" s="875"/>
      <c r="S236" s="875"/>
      <c r="T236" s="875"/>
      <c r="U236" s="875"/>
      <c r="V236" s="875"/>
      <c r="W236" s="875"/>
      <c r="X236" s="875"/>
      <c r="Y236" s="875"/>
      <c r="Z236" s="875"/>
    </row>
    <row r="237" spans="1:26" ht="19.5" hidden="1">
      <c r="A237" s="1063"/>
      <c r="B237" s="1070"/>
      <c r="C237" s="1077" t="s">
        <v>332</v>
      </c>
      <c r="D237" s="1064"/>
      <c r="E237" s="1064"/>
      <c r="F237" s="1064"/>
      <c r="G237" s="1066"/>
      <c r="H237" s="260" t="s">
        <v>35</v>
      </c>
      <c r="I237" s="1078">
        <f t="shared" ref="I237:J237" ca="1" si="111">I244</f>
        <v>0</v>
      </c>
      <c r="J237" s="1078">
        <f t="shared" si="111"/>
        <v>0</v>
      </c>
      <c r="K237" s="1079">
        <f t="shared" ca="1" si="110"/>
        <v>0</v>
      </c>
      <c r="L237" s="1068"/>
      <c r="M237" s="1068"/>
      <c r="N237" s="1068"/>
      <c r="O237" s="1068"/>
      <c r="P237" s="1068"/>
    </row>
    <row r="238" spans="1:26" ht="19.5" hidden="1">
      <c r="A238" s="985"/>
      <c r="B238" s="986"/>
      <c r="C238" s="987" t="s">
        <v>16</v>
      </c>
      <c r="D238" s="988" t="s">
        <v>17</v>
      </c>
      <c r="E238" s="986"/>
      <c r="F238" s="986"/>
      <c r="G238" s="989"/>
      <c r="H238" s="275" t="s">
        <v>12</v>
      </c>
      <c r="I238" s="1082"/>
      <c r="J238" s="1082"/>
      <c r="K238" s="1083"/>
      <c r="L238" s="992">
        <f ca="1">L239+L240+L241+L242</f>
        <v>0</v>
      </c>
      <c r="M238" s="992"/>
      <c r="N238" s="992">
        <f>N239+N240+N241+N242</f>
        <v>0</v>
      </c>
      <c r="O238" s="992">
        <f ca="1">IF(L238&gt;0,N238*100/L238,0)</f>
        <v>0</v>
      </c>
      <c r="P238" s="992">
        <f>IF(M238&gt;0,N238*100/M238,0)</f>
        <v>0</v>
      </c>
      <c r="Q238" s="868"/>
      <c r="R238" s="868"/>
      <c r="S238" s="868"/>
      <c r="T238" s="868"/>
      <c r="U238" s="868"/>
      <c r="V238" s="868"/>
      <c r="W238" s="868"/>
      <c r="X238" s="868"/>
      <c r="Y238" s="868"/>
      <c r="Z238" s="868"/>
    </row>
    <row r="239" spans="1:26" ht="18.75" hidden="1">
      <c r="A239" s="1117"/>
      <c r="B239" s="1118"/>
      <c r="C239" s="1119"/>
      <c r="D239" s="1120" t="s">
        <v>97</v>
      </c>
      <c r="E239" s="1119"/>
      <c r="F239" s="1119"/>
      <c r="G239" s="1121"/>
      <c r="H239" s="319" t="s">
        <v>12</v>
      </c>
      <c r="I239" s="1122"/>
      <c r="J239" s="1122"/>
      <c r="K239" s="1123"/>
      <c r="L239" s="1124">
        <f ca="1">IFERROR(__xludf.DUMMYFUNCTION("IMPORTRANGE(""https://docs.google.com/spreadsheets/d/1QqKyyYR6Q21VydFLVH3TRQUabQu_ym0Zz7PgGX0-kHA/edit?usp=sharing"",""แผน!AV82"")"),0)</f>
        <v>0</v>
      </c>
      <c r="M239" s="1124"/>
      <c r="N239" s="1125">
        <v>0</v>
      </c>
      <c r="O239" s="1124"/>
      <c r="P239" s="1124"/>
      <c r="Q239" s="1126"/>
      <c r="R239" s="1126"/>
      <c r="S239" s="1126"/>
      <c r="T239" s="1126"/>
      <c r="U239" s="1126"/>
      <c r="V239" s="1126"/>
      <c r="W239" s="1126"/>
      <c r="X239" s="1126"/>
      <c r="Y239" s="1126"/>
      <c r="Z239" s="1126"/>
    </row>
    <row r="240" spans="1:26" ht="19.5" hidden="1">
      <c r="A240" s="1127"/>
      <c r="B240" s="1118"/>
      <c r="C240" s="1128"/>
      <c r="D240" s="1120" t="s">
        <v>98</v>
      </c>
      <c r="E240" s="1119"/>
      <c r="F240" s="1119"/>
      <c r="G240" s="1121"/>
      <c r="H240" s="319" t="s">
        <v>12</v>
      </c>
      <c r="I240" s="1129"/>
      <c r="J240" s="1129"/>
      <c r="K240" s="1124"/>
      <c r="L240" s="1124">
        <f ca="1">IFERROR(__xludf.DUMMYFUNCTION("IMPORTRANGE(""https://docs.google.com/spreadsheets/d/1QqKyyYR6Q21VydFLVH3TRQUabQu_ym0Zz7PgGX0-kHA/edit?usp=sharing"",""แผน!AW82"")"),0)</f>
        <v>0</v>
      </c>
      <c r="M240" s="1124"/>
      <c r="N240" s="1125">
        <v>0</v>
      </c>
      <c r="O240" s="1124"/>
      <c r="P240" s="1124"/>
      <c r="Q240" s="1130"/>
      <c r="R240" s="1130"/>
      <c r="S240" s="1130"/>
      <c r="T240" s="1130"/>
      <c r="U240" s="1130"/>
      <c r="V240" s="1130"/>
      <c r="W240" s="1130"/>
      <c r="X240" s="1130"/>
      <c r="Y240" s="1130"/>
      <c r="Z240" s="1130"/>
    </row>
    <row r="241" spans="1:26" ht="19.5" hidden="1">
      <c r="A241" s="1127"/>
      <c r="B241" s="1118"/>
      <c r="C241" s="1128"/>
      <c r="D241" s="1120" t="s">
        <v>116</v>
      </c>
      <c r="E241" s="1119"/>
      <c r="F241" s="1119"/>
      <c r="G241" s="1121"/>
      <c r="H241" s="319" t="s">
        <v>12</v>
      </c>
      <c r="I241" s="1129"/>
      <c r="J241" s="1129"/>
      <c r="K241" s="1124"/>
      <c r="L241" s="1124">
        <f ca="1">IFERROR(__xludf.DUMMYFUNCTION("IMPORTRANGE(""https://docs.google.com/spreadsheets/d/1QqKyyYR6Q21VydFLVH3TRQUabQu_ym0Zz7PgGX0-kHA/edit?usp=sharing"",""แผน!AX82"")"),0)</f>
        <v>0</v>
      </c>
      <c r="M241" s="1124"/>
      <c r="N241" s="1125">
        <v>0</v>
      </c>
      <c r="O241" s="1124"/>
      <c r="P241" s="1124"/>
      <c r="Q241" s="1130"/>
      <c r="R241" s="1130"/>
      <c r="S241" s="1130"/>
      <c r="T241" s="1130"/>
      <c r="U241" s="1130"/>
      <c r="V241" s="1130"/>
      <c r="W241" s="1130"/>
      <c r="X241" s="1130"/>
      <c r="Y241" s="1130"/>
      <c r="Z241" s="1130"/>
    </row>
    <row r="242" spans="1:26" ht="19.5" hidden="1">
      <c r="A242" s="1127"/>
      <c r="B242" s="1118"/>
      <c r="C242" s="1128"/>
      <c r="D242" s="1120" t="s">
        <v>100</v>
      </c>
      <c r="E242" s="1119"/>
      <c r="F242" s="1119"/>
      <c r="G242" s="1121"/>
      <c r="H242" s="319" t="s">
        <v>12</v>
      </c>
      <c r="I242" s="1129"/>
      <c r="J242" s="1129"/>
      <c r="K242" s="1124"/>
      <c r="L242" s="1124">
        <f ca="1">IFERROR(__xludf.DUMMYFUNCTION("IMPORTRANGE(""https://docs.google.com/spreadsheets/d/1QqKyyYR6Q21VydFLVH3TRQUabQu_ym0Zz7PgGX0-kHA/edit?usp=sharing"",""แผน!AY82"")"),0)</f>
        <v>0</v>
      </c>
      <c r="M242" s="1124"/>
      <c r="N242" s="1125">
        <v>0</v>
      </c>
      <c r="O242" s="1124"/>
      <c r="P242" s="1124"/>
      <c r="Q242" s="1130"/>
      <c r="R242" s="1130"/>
      <c r="S242" s="1130"/>
      <c r="T242" s="1130"/>
      <c r="U242" s="1130"/>
      <c r="V242" s="1130"/>
      <c r="W242" s="1130"/>
      <c r="X242" s="1130"/>
      <c r="Y242" s="1130"/>
      <c r="Z242" s="1130"/>
    </row>
    <row r="243" spans="1:26" ht="19.5" hidden="1">
      <c r="A243" s="1002"/>
      <c r="B243" s="1003"/>
      <c r="C243" s="1092" t="s">
        <v>16</v>
      </c>
      <c r="D243" s="1004" t="s">
        <v>38</v>
      </c>
      <c r="E243" s="1005"/>
      <c r="F243" s="1005"/>
      <c r="G243" s="1006"/>
      <c r="H243" s="1007"/>
      <c r="I243" s="997"/>
      <c r="J243" s="880"/>
      <c r="K243" s="881"/>
      <c r="L243" s="881"/>
      <c r="M243" s="881"/>
      <c r="N243" s="881"/>
      <c r="O243" s="998"/>
      <c r="P243" s="998"/>
      <c r="Q243" s="868"/>
      <c r="R243" s="868"/>
      <c r="S243" s="868"/>
      <c r="T243" s="868"/>
      <c r="U243" s="868"/>
      <c r="V243" s="868"/>
      <c r="W243" s="868"/>
      <c r="X243" s="868"/>
      <c r="Y243" s="868"/>
      <c r="Z243" s="868"/>
    </row>
    <row r="244" spans="1:26" ht="18.75" hidden="1">
      <c r="A244" s="1002"/>
      <c r="B244" s="1003"/>
      <c r="C244" s="1003"/>
      <c r="D244" s="1009" t="s">
        <v>117</v>
      </c>
      <c r="E244" s="1010"/>
      <c r="F244" s="1010"/>
      <c r="G244" s="1011"/>
      <c r="H244" s="762" t="s">
        <v>35</v>
      </c>
      <c r="I244" s="880">
        <f ca="1">IFERROR(__xludf.DUMMYFUNCTION("IMPORTRANGE(""https://docs.google.com/spreadsheets/d/1QqKyyYR6Q21VydFLVH3TRQUabQu_ym0Zz7PgGX0-kHA/edit?usp=sharing"",""แผน!BE82"")"),0)</f>
        <v>0</v>
      </c>
      <c r="J244" s="1012">
        <v>0</v>
      </c>
      <c r="K244" s="881">
        <f ca="1">IF(I244&gt;0,J244*100/I244,0)</f>
        <v>0</v>
      </c>
      <c r="L244" s="881"/>
      <c r="M244" s="881"/>
      <c r="N244" s="881"/>
      <c r="O244" s="881"/>
      <c r="P244" s="881"/>
      <c r="Q244" s="868"/>
      <c r="R244" s="868"/>
      <c r="S244" s="868"/>
      <c r="T244" s="868"/>
      <c r="U244" s="868"/>
      <c r="V244" s="868"/>
      <c r="W244" s="868"/>
      <c r="X244" s="868"/>
      <c r="Y244" s="868"/>
      <c r="Z244" s="868"/>
    </row>
    <row r="245" spans="1:26" ht="18.75" hidden="1">
      <c r="A245" s="1002"/>
      <c r="B245" s="1003"/>
      <c r="C245" s="1003"/>
      <c r="D245" s="1131" t="s">
        <v>43</v>
      </c>
      <c r="E245" s="1010"/>
      <c r="F245" s="1010"/>
      <c r="G245" s="1011"/>
      <c r="H245" s="762"/>
      <c r="I245" s="880"/>
      <c r="J245" s="880"/>
      <c r="K245" s="881"/>
      <c r="L245" s="881"/>
      <c r="M245" s="881"/>
      <c r="N245" s="881"/>
      <c r="O245" s="998"/>
      <c r="P245" s="998"/>
      <c r="Q245" s="868"/>
      <c r="R245" s="868"/>
      <c r="S245" s="868"/>
      <c r="T245" s="868"/>
      <c r="U245" s="868"/>
      <c r="V245" s="868"/>
      <c r="W245" s="868"/>
      <c r="X245" s="868"/>
      <c r="Y245" s="868"/>
      <c r="Z245" s="868"/>
    </row>
    <row r="246" spans="1:26" ht="18.75" hidden="1">
      <c r="A246" s="1002"/>
      <c r="B246" s="1003"/>
      <c r="C246" s="1003"/>
      <c r="D246" s="1003"/>
      <c r="E246" s="1008" t="s">
        <v>118</v>
      </c>
      <c r="F246" s="1010"/>
      <c r="G246" s="1011"/>
      <c r="H246" s="762" t="s">
        <v>35</v>
      </c>
      <c r="I246" s="880"/>
      <c r="J246" s="1012">
        <v>0</v>
      </c>
      <c r="K246" s="881">
        <f t="shared" ref="K246:K248" si="112">IF(I246&gt;0,J246*100/I246,0)</f>
        <v>0</v>
      </c>
      <c r="L246" s="881"/>
      <c r="M246" s="881"/>
      <c r="N246" s="881"/>
      <c r="O246" s="881"/>
      <c r="P246" s="881"/>
      <c r="Q246" s="868"/>
      <c r="R246" s="868"/>
      <c r="S246" s="868"/>
      <c r="T246" s="868"/>
      <c r="U246" s="868"/>
      <c r="V246" s="868"/>
      <c r="W246" s="868"/>
      <c r="X246" s="868"/>
      <c r="Y246" s="868"/>
      <c r="Z246" s="868"/>
    </row>
    <row r="247" spans="1:26" ht="18.75" hidden="1">
      <c r="A247" s="1002"/>
      <c r="B247" s="1003"/>
      <c r="C247" s="1003"/>
      <c r="D247" s="1003"/>
      <c r="E247" s="1008" t="s">
        <v>119</v>
      </c>
      <c r="F247" s="1010"/>
      <c r="G247" s="1011"/>
      <c r="H247" s="762" t="s">
        <v>66</v>
      </c>
      <c r="I247" s="880"/>
      <c r="J247" s="1012">
        <v>0</v>
      </c>
      <c r="K247" s="881">
        <f t="shared" si="112"/>
        <v>0</v>
      </c>
      <c r="L247" s="881"/>
      <c r="M247" s="881"/>
      <c r="N247" s="881"/>
      <c r="O247" s="881"/>
      <c r="P247" s="881"/>
      <c r="Q247" s="868"/>
      <c r="R247" s="868"/>
      <c r="S247" s="868"/>
      <c r="T247" s="868"/>
      <c r="U247" s="868"/>
      <c r="V247" s="868"/>
      <c r="W247" s="868"/>
      <c r="X247" s="868"/>
      <c r="Y247" s="868"/>
      <c r="Z247" s="868"/>
    </row>
    <row r="248" spans="1:26" ht="19.5" hidden="1">
      <c r="A248" s="1063"/>
      <c r="B248" s="1070"/>
      <c r="C248" s="1077" t="s">
        <v>333</v>
      </c>
      <c r="D248" s="1064"/>
      <c r="E248" s="1064"/>
      <c r="F248" s="1064"/>
      <c r="G248" s="1066"/>
      <c r="H248" s="260" t="s">
        <v>35</v>
      </c>
      <c r="I248" s="1078" t="str">
        <f t="shared" ref="I248:J248" ca="1" si="113">I255</f>
        <v/>
      </c>
      <c r="J248" s="1078">
        <f t="shared" si="113"/>
        <v>0</v>
      </c>
      <c r="K248" s="1079" t="e">
        <f t="shared" ca="1" si="112"/>
        <v>#VALUE!</v>
      </c>
      <c r="L248" s="1068"/>
      <c r="M248" s="1068"/>
      <c r="N248" s="1068"/>
      <c r="O248" s="1068"/>
      <c r="P248" s="1068"/>
    </row>
    <row r="249" spans="1:26" ht="19.5" hidden="1">
      <c r="A249" s="985"/>
      <c r="B249" s="986"/>
      <c r="C249" s="987" t="s">
        <v>16</v>
      </c>
      <c r="D249" s="1080" t="s">
        <v>17</v>
      </c>
      <c r="E249" s="986"/>
      <c r="F249" s="986"/>
      <c r="G249" s="989"/>
      <c r="H249" s="275" t="s">
        <v>12</v>
      </c>
      <c r="I249" s="1082"/>
      <c r="J249" s="1082"/>
      <c r="K249" s="1083"/>
      <c r="L249" s="992">
        <f ca="1">L250+L251+L252+L253</f>
        <v>0</v>
      </c>
      <c r="M249" s="992"/>
      <c r="N249" s="992">
        <f>N250+N251+N252+N253</f>
        <v>0</v>
      </c>
      <c r="O249" s="992">
        <f ca="1">IF(L249&gt;0,N249*100/L249,0)</f>
        <v>0</v>
      </c>
      <c r="P249" s="992">
        <f>IF(M249&gt;0,N249*100/M249,0)</f>
        <v>0</v>
      </c>
      <c r="Q249" s="868"/>
      <c r="R249" s="868"/>
      <c r="S249" s="868"/>
      <c r="T249" s="868"/>
      <c r="U249" s="868"/>
      <c r="V249" s="868"/>
      <c r="W249" s="868"/>
      <c r="X249" s="868"/>
      <c r="Y249" s="868"/>
      <c r="Z249" s="868"/>
    </row>
    <row r="250" spans="1:26" ht="18.75" hidden="1">
      <c r="A250" s="1117"/>
      <c r="B250" s="1118"/>
      <c r="C250" s="1119"/>
      <c r="D250" s="1120" t="s">
        <v>97</v>
      </c>
      <c r="E250" s="1119"/>
      <c r="F250" s="1119"/>
      <c r="G250" s="1121"/>
      <c r="H250" s="319" t="s">
        <v>12</v>
      </c>
      <c r="I250" s="1122"/>
      <c r="J250" s="1122"/>
      <c r="K250" s="1123"/>
      <c r="L250" s="1124">
        <f ca="1">IFERROR(__xludf.DUMMYFUNCTION("IMPORTRANGE(""https://docs.google.com/spreadsheets/d/1QqKyyYR6Q21VydFLVH3TRQUabQu_ym0Zz7PgGX0-kHA/edit?usp=sharing"",""แผน!AZ82"")"),0)</f>
        <v>0</v>
      </c>
      <c r="M250" s="1124"/>
      <c r="N250" s="1125">
        <v>0</v>
      </c>
      <c r="O250" s="1124"/>
      <c r="P250" s="1124"/>
      <c r="Q250" s="1126"/>
      <c r="R250" s="1126"/>
      <c r="S250" s="1126"/>
      <c r="T250" s="1126"/>
      <c r="U250" s="1126"/>
      <c r="V250" s="1126"/>
      <c r="W250" s="1126"/>
      <c r="X250" s="1126"/>
      <c r="Y250" s="1126"/>
      <c r="Z250" s="1126"/>
    </row>
    <row r="251" spans="1:26" ht="19.5" hidden="1">
      <c r="A251" s="1127"/>
      <c r="B251" s="1118"/>
      <c r="C251" s="1128"/>
      <c r="D251" s="1120" t="s">
        <v>98</v>
      </c>
      <c r="E251" s="1119"/>
      <c r="F251" s="1119"/>
      <c r="G251" s="1121"/>
      <c r="H251" s="319" t="s">
        <v>12</v>
      </c>
      <c r="I251" s="1129"/>
      <c r="J251" s="1129"/>
      <c r="K251" s="1124"/>
      <c r="L251" s="1124">
        <f ca="1">IFERROR(__xludf.DUMMYFUNCTION("IMPORTRANGE(""https://docs.google.com/spreadsheets/d/1QqKyyYR6Q21VydFLVH3TRQUabQu_ym0Zz7PgGX0-kHA/edit?usp=sharing"",""แผน!BA82"")"),0)</f>
        <v>0</v>
      </c>
      <c r="M251" s="1124"/>
      <c r="N251" s="1125">
        <v>0</v>
      </c>
      <c r="O251" s="1124"/>
      <c r="P251" s="1124"/>
      <c r="Q251" s="1130"/>
      <c r="R251" s="1130"/>
      <c r="S251" s="1130"/>
      <c r="T251" s="1130"/>
      <c r="U251" s="1130"/>
      <c r="V251" s="1130"/>
      <c r="W251" s="1130"/>
      <c r="X251" s="1130"/>
      <c r="Y251" s="1130"/>
      <c r="Z251" s="1130"/>
    </row>
    <row r="252" spans="1:26" ht="19.5" hidden="1">
      <c r="A252" s="1127"/>
      <c r="B252" s="1118"/>
      <c r="C252" s="1128"/>
      <c r="D252" s="1120" t="s">
        <v>116</v>
      </c>
      <c r="E252" s="1119"/>
      <c r="F252" s="1119"/>
      <c r="G252" s="1121"/>
      <c r="H252" s="319" t="s">
        <v>12</v>
      </c>
      <c r="I252" s="1129"/>
      <c r="J252" s="1129"/>
      <c r="K252" s="1124"/>
      <c r="L252" s="1124">
        <f ca="1">IFERROR(__xludf.DUMMYFUNCTION("IMPORTRANGE(""https://docs.google.com/spreadsheets/d/1QqKyyYR6Q21VydFLVH3TRQUabQu_ym0Zz7PgGX0-kHA/edit?usp=sharing"",""แผน!BB82"")"),0)</f>
        <v>0</v>
      </c>
      <c r="M252" s="1124"/>
      <c r="N252" s="1125">
        <v>0</v>
      </c>
      <c r="O252" s="1124"/>
      <c r="P252" s="1124"/>
      <c r="Q252" s="1130"/>
      <c r="R252" s="1130"/>
      <c r="S252" s="1130"/>
      <c r="T252" s="1130"/>
      <c r="U252" s="1130"/>
      <c r="V252" s="1130"/>
      <c r="W252" s="1130"/>
      <c r="X252" s="1130"/>
      <c r="Y252" s="1130"/>
      <c r="Z252" s="1130"/>
    </row>
    <row r="253" spans="1:26" ht="19.5" hidden="1">
      <c r="A253" s="1127"/>
      <c r="B253" s="1118"/>
      <c r="C253" s="1128"/>
      <c r="D253" s="1120" t="s">
        <v>100</v>
      </c>
      <c r="E253" s="1119"/>
      <c r="F253" s="1119"/>
      <c r="G253" s="1121"/>
      <c r="H253" s="319" t="s">
        <v>12</v>
      </c>
      <c r="I253" s="1129"/>
      <c r="J253" s="1129"/>
      <c r="K253" s="1124"/>
      <c r="L253" s="1124">
        <f ca="1">IFERROR(__xludf.DUMMYFUNCTION("IMPORTRANGE(""https://docs.google.com/spreadsheets/d/1QqKyyYR6Q21VydFLVH3TRQUabQu_ym0Zz7PgGX0-kHA/edit?usp=sharing"",""แผน!BC82"")"),0)</f>
        <v>0</v>
      </c>
      <c r="M253" s="1124"/>
      <c r="N253" s="1125">
        <v>0</v>
      </c>
      <c r="O253" s="1124"/>
      <c r="P253" s="1124"/>
      <c r="Q253" s="1130"/>
      <c r="R253" s="1130"/>
      <c r="S253" s="1130"/>
      <c r="T253" s="1130"/>
      <c r="U253" s="1130"/>
      <c r="V253" s="1130"/>
      <c r="W253" s="1130"/>
      <c r="X253" s="1130"/>
      <c r="Y253" s="1130"/>
      <c r="Z253" s="1130"/>
    </row>
    <row r="254" spans="1:26" ht="19.5" hidden="1">
      <c r="A254" s="1002"/>
      <c r="B254" s="1003"/>
      <c r="C254" s="1092" t="s">
        <v>16</v>
      </c>
      <c r="D254" s="1004" t="s">
        <v>38</v>
      </c>
      <c r="E254" s="1005"/>
      <c r="F254" s="1005"/>
      <c r="G254" s="1006"/>
      <c r="H254" s="1007"/>
      <c r="I254" s="997"/>
      <c r="J254" s="880"/>
      <c r="K254" s="881"/>
      <c r="L254" s="881"/>
      <c r="M254" s="881"/>
      <c r="N254" s="881"/>
      <c r="O254" s="998"/>
      <c r="P254" s="998"/>
      <c r="Q254" s="868"/>
      <c r="R254" s="868"/>
      <c r="S254" s="868"/>
      <c r="T254" s="868"/>
      <c r="U254" s="868"/>
      <c r="V254" s="868"/>
      <c r="W254" s="868"/>
      <c r="X254" s="868"/>
      <c r="Y254" s="868"/>
      <c r="Z254" s="868"/>
    </row>
    <row r="255" spans="1:26" ht="18.75" hidden="1">
      <c r="A255" s="1002"/>
      <c r="B255" s="1003"/>
      <c r="C255" s="1003"/>
      <c r="D255" s="1009" t="s">
        <v>117</v>
      </c>
      <c r="E255" s="1010"/>
      <c r="F255" s="1010"/>
      <c r="G255" s="1011"/>
      <c r="H255" s="762" t="s">
        <v>35</v>
      </c>
      <c r="I255" s="880" t="str">
        <f ca="1">IFERROR(__xludf.DUMMYFUNCTION("IMPORTRANGE(""https://docs.google.com/spreadsheets/d/1QqKyyYR6Q21VydFLVH3TRQUabQu_ym0Zz7PgGX0-kHA/edit?usp=sharing"",""แผน!BF82"")"),"")</f>
        <v/>
      </c>
      <c r="J255" s="1012">
        <v>0</v>
      </c>
      <c r="K255" s="881" t="e">
        <f ca="1">IF(I255&gt;0,J255*100/I255,0)</f>
        <v>#VALUE!</v>
      </c>
      <c r="L255" s="881"/>
      <c r="M255" s="881"/>
      <c r="N255" s="881"/>
      <c r="O255" s="881"/>
      <c r="P255" s="881"/>
      <c r="Q255" s="868"/>
      <c r="R255" s="868"/>
      <c r="S255" s="868"/>
      <c r="T255" s="868"/>
      <c r="U255" s="868"/>
      <c r="V255" s="868"/>
      <c r="W255" s="868"/>
      <c r="X255" s="868"/>
      <c r="Y255" s="868"/>
      <c r="Z255" s="868"/>
    </row>
    <row r="256" spans="1:26" ht="18.75" hidden="1">
      <c r="A256" s="1002"/>
      <c r="B256" s="1003"/>
      <c r="C256" s="1003"/>
      <c r="D256" s="1131" t="s">
        <v>43</v>
      </c>
      <c r="E256" s="1010"/>
      <c r="F256" s="1010"/>
      <c r="G256" s="1011"/>
      <c r="H256" s="762"/>
      <c r="I256" s="880"/>
      <c r="J256" s="880"/>
      <c r="K256" s="881"/>
      <c r="L256" s="881"/>
      <c r="M256" s="881"/>
      <c r="N256" s="881"/>
      <c r="O256" s="998"/>
      <c r="P256" s="998"/>
      <c r="Q256" s="868"/>
      <c r="R256" s="868"/>
      <c r="S256" s="868"/>
      <c r="T256" s="868"/>
      <c r="U256" s="868"/>
      <c r="V256" s="868"/>
      <c r="W256" s="868"/>
      <c r="X256" s="868"/>
      <c r="Y256" s="868"/>
      <c r="Z256" s="868"/>
    </row>
    <row r="257" spans="1:26" ht="18.75" hidden="1">
      <c r="A257" s="1002"/>
      <c r="B257" s="1003"/>
      <c r="C257" s="1003"/>
      <c r="D257" s="1003"/>
      <c r="E257" s="1008" t="s">
        <v>118</v>
      </c>
      <c r="F257" s="1010"/>
      <c r="G257" s="1011"/>
      <c r="H257" s="762" t="s">
        <v>35</v>
      </c>
      <c r="I257" s="880"/>
      <c r="J257" s="1012">
        <v>0</v>
      </c>
      <c r="K257" s="881">
        <f t="shared" ref="K257:K258" si="114">IF(I257&gt;0,J257*100/I257,0)</f>
        <v>0</v>
      </c>
      <c r="L257" s="881"/>
      <c r="M257" s="881"/>
      <c r="N257" s="881"/>
      <c r="O257" s="881"/>
      <c r="P257" s="881"/>
      <c r="Q257" s="868"/>
      <c r="R257" s="868"/>
      <c r="S257" s="868"/>
      <c r="T257" s="868"/>
      <c r="U257" s="868"/>
      <c r="V257" s="868"/>
      <c r="W257" s="868"/>
      <c r="X257" s="868"/>
      <c r="Y257" s="868"/>
      <c r="Z257" s="868"/>
    </row>
    <row r="258" spans="1:26" ht="18.75" hidden="1">
      <c r="A258" s="1002"/>
      <c r="B258" s="1003"/>
      <c r="C258" s="1003"/>
      <c r="D258" s="1003"/>
      <c r="E258" s="1008" t="s">
        <v>119</v>
      </c>
      <c r="F258" s="1010"/>
      <c r="G258" s="1011"/>
      <c r="H258" s="762" t="s">
        <v>66</v>
      </c>
      <c r="I258" s="880"/>
      <c r="J258" s="1012">
        <v>0</v>
      </c>
      <c r="K258" s="881">
        <f t="shared" si="114"/>
        <v>0</v>
      </c>
      <c r="L258" s="881"/>
      <c r="M258" s="881"/>
      <c r="N258" s="881"/>
      <c r="O258" s="881"/>
      <c r="P258" s="881"/>
      <c r="Q258" s="868"/>
      <c r="R258" s="868"/>
      <c r="S258" s="868"/>
      <c r="T258" s="868"/>
      <c r="U258" s="868"/>
      <c r="V258" s="868"/>
      <c r="W258" s="868"/>
      <c r="X258" s="868"/>
      <c r="Y258" s="868"/>
      <c r="Z258" s="868"/>
    </row>
    <row r="259" spans="1:26" ht="19.5">
      <c r="A259" s="1051" t="s">
        <v>122</v>
      </c>
      <c r="B259" s="1052"/>
      <c r="C259" s="1052"/>
      <c r="D259" s="1053"/>
      <c r="E259" s="1053"/>
      <c r="F259" s="1053"/>
      <c r="G259" s="1054"/>
      <c r="H259" s="1055"/>
      <c r="I259" s="1056"/>
      <c r="J259" s="1056"/>
      <c r="K259" s="1057"/>
      <c r="L259" s="1057"/>
      <c r="M259" s="1057"/>
      <c r="N259" s="1057"/>
      <c r="O259" s="1057"/>
      <c r="P259" s="1057"/>
    </row>
    <row r="260" spans="1:26" ht="19.5">
      <c r="A260" s="1058"/>
      <c r="B260" s="1059" t="s">
        <v>123</v>
      </c>
      <c r="C260" s="1060"/>
      <c r="D260" s="1005"/>
      <c r="E260" s="1005"/>
      <c r="F260" s="1005"/>
      <c r="G260" s="1006"/>
      <c r="H260" s="252" t="s">
        <v>35</v>
      </c>
      <c r="I260" s="1075">
        <f t="shared" ref="I260:J260" ca="1" si="115">I271</f>
        <v>20</v>
      </c>
      <c r="J260" s="1075">
        <f t="shared" si="115"/>
        <v>0</v>
      </c>
      <c r="K260" s="1076">
        <f ca="1">IF(I260&gt;0,J260*100/I260,0)</f>
        <v>0</v>
      </c>
      <c r="L260" s="1062"/>
      <c r="M260" s="1062"/>
      <c r="N260" s="1062"/>
      <c r="O260" s="1062"/>
      <c r="P260" s="1062"/>
    </row>
    <row r="261" spans="1:26" ht="19.5">
      <c r="A261" s="985"/>
      <c r="B261" s="986"/>
      <c r="C261" s="987" t="s">
        <v>16</v>
      </c>
      <c r="D261" s="988" t="s">
        <v>17</v>
      </c>
      <c r="E261" s="986"/>
      <c r="F261" s="986"/>
      <c r="G261" s="989"/>
      <c r="H261" s="152" t="s">
        <v>12</v>
      </c>
      <c r="I261" s="990"/>
      <c r="J261" s="990"/>
      <c r="K261" s="991"/>
      <c r="L261" s="992">
        <f t="shared" ref="L261:N261" ca="1" si="116">L262+L263</f>
        <v>25000</v>
      </c>
      <c r="M261" s="992">
        <f t="shared" ca="1" si="116"/>
        <v>0</v>
      </c>
      <c r="N261" s="992">
        <f t="shared" ca="1" si="116"/>
        <v>0</v>
      </c>
      <c r="O261" s="992">
        <f t="shared" ref="O261:O269" ca="1" si="117">IF(L261&gt;0,N261*100/L261,0)</f>
        <v>0</v>
      </c>
      <c r="P261" s="992">
        <f t="shared" ref="P261:P269" ca="1" si="118">IF(M261&gt;0,N261*100/M261,0)</f>
        <v>0</v>
      </c>
      <c r="Q261" s="868"/>
      <c r="R261" s="868"/>
      <c r="S261" s="868"/>
      <c r="T261" s="868"/>
      <c r="U261" s="868"/>
      <c r="V261" s="868"/>
      <c r="W261" s="868"/>
      <c r="X261" s="868"/>
      <c r="Y261" s="868"/>
      <c r="Z261" s="868"/>
    </row>
    <row r="262" spans="1:26" ht="18.75" hidden="1">
      <c r="A262" s="993"/>
      <c r="B262" s="883"/>
      <c r="C262" s="883"/>
      <c r="D262" s="883"/>
      <c r="E262" s="884" t="s">
        <v>18</v>
      </c>
      <c r="F262" s="883"/>
      <c r="G262" s="994"/>
      <c r="H262" s="158" t="s">
        <v>12</v>
      </c>
      <c r="I262" s="886"/>
      <c r="J262" s="886"/>
      <c r="K262" s="887"/>
      <c r="L262" s="887">
        <f t="shared" ref="L262:N263" si="119">L265+L268</f>
        <v>0</v>
      </c>
      <c r="M262" s="887">
        <f t="shared" si="119"/>
        <v>0</v>
      </c>
      <c r="N262" s="887">
        <f t="shared" si="119"/>
        <v>0</v>
      </c>
      <c r="O262" s="887">
        <f t="shared" si="117"/>
        <v>0</v>
      </c>
      <c r="P262" s="887">
        <f t="shared" si="118"/>
        <v>0</v>
      </c>
      <c r="Q262" s="875"/>
      <c r="R262" s="875"/>
      <c r="S262" s="875"/>
      <c r="T262" s="875"/>
      <c r="U262" s="875"/>
      <c r="V262" s="875"/>
      <c r="W262" s="875"/>
      <c r="X262" s="875"/>
      <c r="Y262" s="875"/>
      <c r="Z262" s="875"/>
    </row>
    <row r="263" spans="1:26" ht="18.75" hidden="1">
      <c r="A263" s="993"/>
      <c r="B263" s="883"/>
      <c r="C263" s="883"/>
      <c r="D263" s="883"/>
      <c r="E263" s="884" t="s">
        <v>19</v>
      </c>
      <c r="F263" s="883"/>
      <c r="G263" s="994"/>
      <c r="H263" s="158" t="s">
        <v>12</v>
      </c>
      <c r="I263" s="886"/>
      <c r="J263" s="886"/>
      <c r="K263" s="887"/>
      <c r="L263" s="887">
        <f t="shared" ca="1" si="119"/>
        <v>25000</v>
      </c>
      <c r="M263" s="887">
        <f t="shared" ca="1" si="119"/>
        <v>0</v>
      </c>
      <c r="N263" s="887">
        <f t="shared" ca="1" si="119"/>
        <v>0</v>
      </c>
      <c r="O263" s="887">
        <f t="shared" ca="1" si="117"/>
        <v>0</v>
      </c>
      <c r="P263" s="887">
        <f t="shared" ca="1" si="118"/>
        <v>0</v>
      </c>
      <c r="Q263" s="875"/>
      <c r="R263" s="875"/>
      <c r="S263" s="875"/>
      <c r="T263" s="875"/>
      <c r="U263" s="875"/>
      <c r="V263" s="875"/>
      <c r="W263" s="875"/>
      <c r="X263" s="875"/>
      <c r="Y263" s="875"/>
      <c r="Z263" s="875"/>
    </row>
    <row r="264" spans="1:26" ht="18.75">
      <c r="A264" s="995"/>
      <c r="B264" s="877"/>
      <c r="C264" s="996"/>
      <c r="D264" s="878" t="s">
        <v>20</v>
      </c>
      <c r="E264" s="877"/>
      <c r="F264" s="877"/>
      <c r="G264" s="879"/>
      <c r="H264" s="161" t="s">
        <v>12</v>
      </c>
      <c r="I264" s="997"/>
      <c r="J264" s="997"/>
      <c r="K264" s="998"/>
      <c r="L264" s="881">
        <f t="shared" ref="L264:N264" ca="1" si="120">L265+L266</f>
        <v>25000</v>
      </c>
      <c r="M264" s="881">
        <f t="shared" ca="1" si="120"/>
        <v>0</v>
      </c>
      <c r="N264" s="881">
        <f t="shared" ca="1" si="120"/>
        <v>0</v>
      </c>
      <c r="O264" s="881">
        <f t="shared" ca="1" si="117"/>
        <v>0</v>
      </c>
      <c r="P264" s="881">
        <f t="shared" ca="1" si="118"/>
        <v>0</v>
      </c>
      <c r="Q264" s="868"/>
      <c r="R264" s="868"/>
      <c r="S264" s="868"/>
      <c r="T264" s="868"/>
      <c r="U264" s="868"/>
      <c r="V264" s="868"/>
      <c r="W264" s="868"/>
      <c r="X264" s="868"/>
      <c r="Y264" s="868"/>
      <c r="Z264" s="868"/>
    </row>
    <row r="265" spans="1:26" ht="19.5" hidden="1">
      <c r="A265" s="993"/>
      <c r="B265" s="883"/>
      <c r="C265" s="999"/>
      <c r="D265" s="883"/>
      <c r="E265" s="884" t="s">
        <v>36</v>
      </c>
      <c r="F265" s="883"/>
      <c r="G265" s="994"/>
      <c r="H265" s="165" t="s">
        <v>12</v>
      </c>
      <c r="I265" s="1000"/>
      <c r="J265" s="1000"/>
      <c r="K265" s="1001"/>
      <c r="L265" s="887">
        <v>0</v>
      </c>
      <c r="M265" s="887">
        <v>0</v>
      </c>
      <c r="N265" s="887">
        <v>0</v>
      </c>
      <c r="O265" s="887">
        <f t="shared" si="117"/>
        <v>0</v>
      </c>
      <c r="P265" s="887">
        <f t="shared" si="118"/>
        <v>0</v>
      </c>
      <c r="Q265" s="875"/>
      <c r="R265" s="875"/>
      <c r="S265" s="875"/>
      <c r="T265" s="875"/>
      <c r="U265" s="875"/>
      <c r="V265" s="875"/>
      <c r="W265" s="875"/>
      <c r="X265" s="875"/>
      <c r="Y265" s="875"/>
      <c r="Z265" s="875"/>
    </row>
    <row r="266" spans="1:26" ht="19.5" hidden="1">
      <c r="A266" s="993"/>
      <c r="B266" s="883"/>
      <c r="C266" s="999"/>
      <c r="D266" s="883"/>
      <c r="E266" s="884" t="s">
        <v>37</v>
      </c>
      <c r="F266" s="883"/>
      <c r="G266" s="994"/>
      <c r="H266" s="165" t="s">
        <v>12</v>
      </c>
      <c r="I266" s="1000"/>
      <c r="J266" s="1000"/>
      <c r="K266" s="1001"/>
      <c r="L266" s="887">
        <f ca="1">IFERROR(__xludf.DUMMYFUNCTION("IMPORTRANGE(""https://docs.google.com/spreadsheets/d/1MeEWN-I1oV_STSDYn1IFDPWt_1FKiwhDph83XaGc0o0/edit?usp=sharing"",""งบพรบ!CY82"")"),25000)</f>
        <v>25000</v>
      </c>
      <c r="M266" s="887">
        <f ca="1">IFERROR(__xludf.DUMMYFUNCTION("IMPORTRANGE(""https://docs.google.com/spreadsheets/d/1MeEWN-I1oV_STSDYn1IFDPWt_1FKiwhDph83XaGc0o0/edit?usp=sharing"",""งบพรบ!DD82"")"),0)</f>
        <v>0</v>
      </c>
      <c r="N266" s="887">
        <f ca="1">IFERROR(__xludf.DUMMYFUNCTION("IMPORTRANGE(""https://docs.google.com/spreadsheets/d/1MeEWN-I1oV_STSDYn1IFDPWt_1FKiwhDph83XaGc0o0/edit?usp=sharing"",""งบพรบ!DF82"")"),0)</f>
        <v>0</v>
      </c>
      <c r="O266" s="887">
        <f t="shared" ca="1" si="117"/>
        <v>0</v>
      </c>
      <c r="P266" s="887">
        <f t="shared" ca="1" si="118"/>
        <v>0</v>
      </c>
      <c r="Q266" s="875"/>
      <c r="R266" s="875"/>
      <c r="S266" s="875"/>
      <c r="T266" s="875"/>
      <c r="U266" s="875"/>
      <c r="V266" s="875"/>
      <c r="W266" s="875"/>
      <c r="X266" s="875"/>
      <c r="Y266" s="875"/>
      <c r="Z266" s="875"/>
    </row>
    <row r="267" spans="1:26" ht="18.75">
      <c r="A267" s="995"/>
      <c r="B267" s="877"/>
      <c r="C267" s="996"/>
      <c r="D267" s="878" t="s">
        <v>21</v>
      </c>
      <c r="E267" s="877"/>
      <c r="F267" s="877"/>
      <c r="G267" s="879"/>
      <c r="H267" s="168" t="s">
        <v>12</v>
      </c>
      <c r="I267" s="997"/>
      <c r="J267" s="997"/>
      <c r="K267" s="998"/>
      <c r="L267" s="881">
        <f t="shared" ref="L267:N267" ca="1" si="121">L268+L269</f>
        <v>0</v>
      </c>
      <c r="M267" s="881">
        <f t="shared" ca="1" si="121"/>
        <v>0</v>
      </c>
      <c r="N267" s="881">
        <f t="shared" ca="1" si="121"/>
        <v>0</v>
      </c>
      <c r="O267" s="881">
        <f t="shared" ca="1" si="117"/>
        <v>0</v>
      </c>
      <c r="P267" s="881">
        <f t="shared" ca="1" si="118"/>
        <v>0</v>
      </c>
      <c r="Q267" s="868"/>
      <c r="R267" s="868"/>
      <c r="S267" s="868"/>
      <c r="T267" s="868"/>
      <c r="U267" s="868"/>
      <c r="V267" s="868"/>
      <c r="W267" s="868"/>
      <c r="X267" s="868"/>
      <c r="Y267" s="868"/>
      <c r="Z267" s="868"/>
    </row>
    <row r="268" spans="1:26" ht="19.5" hidden="1">
      <c r="A268" s="993"/>
      <c r="B268" s="883"/>
      <c r="C268" s="999"/>
      <c r="D268" s="883"/>
      <c r="E268" s="884" t="s">
        <v>18</v>
      </c>
      <c r="F268" s="883"/>
      <c r="G268" s="994"/>
      <c r="H268" s="165" t="s">
        <v>12</v>
      </c>
      <c r="I268" s="1000"/>
      <c r="J268" s="1000"/>
      <c r="K268" s="1001"/>
      <c r="L268" s="887">
        <v>0</v>
      </c>
      <c r="M268" s="887">
        <v>0</v>
      </c>
      <c r="N268" s="887">
        <v>0</v>
      </c>
      <c r="O268" s="887">
        <f t="shared" si="117"/>
        <v>0</v>
      </c>
      <c r="P268" s="887">
        <f t="shared" si="118"/>
        <v>0</v>
      </c>
      <c r="Q268" s="875"/>
      <c r="R268" s="875"/>
      <c r="S268" s="875"/>
      <c r="T268" s="875"/>
      <c r="U268" s="875"/>
      <c r="V268" s="875"/>
      <c r="W268" s="875"/>
      <c r="X268" s="875"/>
      <c r="Y268" s="875"/>
      <c r="Z268" s="875"/>
    </row>
    <row r="269" spans="1:26" ht="19.5" hidden="1">
      <c r="A269" s="993"/>
      <c r="B269" s="883"/>
      <c r="C269" s="999"/>
      <c r="D269" s="883"/>
      <c r="E269" s="884" t="s">
        <v>19</v>
      </c>
      <c r="F269" s="883"/>
      <c r="G269" s="994"/>
      <c r="H269" s="169" t="s">
        <v>12</v>
      </c>
      <c r="I269" s="1000"/>
      <c r="J269" s="1000"/>
      <c r="K269" s="1001"/>
      <c r="L269" s="887">
        <f ca="1">IFERROR(__xludf.DUMMYFUNCTION("IMPORTRANGE(""https://docs.google.com/spreadsheets/d/1MeEWN-I1oV_STSDYn1IFDPWt_1FKiwhDph83XaGc0o0/edit?usp=sharing"",""งบพรบ!DB82"")"),0)</f>
        <v>0</v>
      </c>
      <c r="M269" s="887">
        <f ca="1">IFERROR(__xludf.DUMMYFUNCTION("IMPORTRANGE(""https://docs.google.com/spreadsheets/d/1MeEWN-I1oV_STSDYn1IFDPWt_1FKiwhDph83XaGc0o0/edit?usp=sharing"",""งบพรบ!DE82"")"),0)</f>
        <v>0</v>
      </c>
      <c r="N269" s="887">
        <f ca="1">IFERROR(__xludf.DUMMYFUNCTION("IMPORTRANGE(""https://docs.google.com/spreadsheets/d/1MeEWN-I1oV_STSDYn1IFDPWt_1FKiwhDph83XaGc0o0/edit?usp=sharing"",""งบพรบ!DG82"")"),0)</f>
        <v>0</v>
      </c>
      <c r="O269" s="887">
        <f t="shared" ca="1" si="117"/>
        <v>0</v>
      </c>
      <c r="P269" s="887">
        <f t="shared" ca="1" si="118"/>
        <v>0</v>
      </c>
      <c r="Q269" s="875"/>
      <c r="R269" s="875"/>
      <c r="S269" s="875"/>
      <c r="T269" s="875"/>
      <c r="U269" s="875"/>
      <c r="V269" s="875"/>
      <c r="W269" s="875"/>
      <c r="X269" s="875"/>
      <c r="Y269" s="875"/>
      <c r="Z269" s="875"/>
    </row>
    <row r="270" spans="1:26" ht="19.5">
      <c r="A270" s="1002"/>
      <c r="B270" s="1003"/>
      <c r="C270" s="996" t="s">
        <v>16</v>
      </c>
      <c r="D270" s="1004" t="s">
        <v>38</v>
      </c>
      <c r="E270" s="1005"/>
      <c r="F270" s="1005"/>
      <c r="G270" s="1006"/>
      <c r="H270" s="1007"/>
      <c r="I270" s="997"/>
      <c r="J270" s="997"/>
      <c r="K270" s="998"/>
      <c r="L270" s="998"/>
      <c r="M270" s="998"/>
      <c r="N270" s="998"/>
      <c r="O270" s="998"/>
      <c r="P270" s="998"/>
    </row>
    <row r="271" spans="1:26" ht="18.75">
      <c r="A271" s="1002"/>
      <c r="B271" s="1003"/>
      <c r="C271" s="1003"/>
      <c r="D271" s="1132" t="s">
        <v>124</v>
      </c>
      <c r="E271" s="1010"/>
      <c r="F271" s="1074"/>
      <c r="G271" s="1011"/>
      <c r="H271" s="377" t="s">
        <v>35</v>
      </c>
      <c r="I271" s="880">
        <f ca="1">IFERROR(__xludf.DUMMYFUNCTION("IMPORTRANGE(""https://docs.google.com/spreadsheets/d/1QqKyyYR6Q21VydFLVH3TRQUabQu_ym0Zz7PgGX0-kHA/edit?usp=sharing"",""แผน!EA82"")"),20)</f>
        <v>20</v>
      </c>
      <c r="J271" s="1012">
        <v>0</v>
      </c>
      <c r="K271" s="998">
        <f ca="1">IF(I271&gt;0,J271*100/I271,0)</f>
        <v>0</v>
      </c>
      <c r="L271" s="998"/>
      <c r="M271" s="998"/>
      <c r="N271" s="998"/>
      <c r="O271" s="998"/>
      <c r="P271" s="998"/>
    </row>
    <row r="272" spans="1:26" ht="18.75" hidden="1">
      <c r="A272" s="1133"/>
      <c r="B272" s="1134"/>
      <c r="C272" s="1134"/>
      <c r="D272" s="1135" t="s">
        <v>125</v>
      </c>
      <c r="E272" s="1136"/>
      <c r="F272" s="1136"/>
      <c r="G272" s="1137"/>
      <c r="H272" s="50" t="s">
        <v>35</v>
      </c>
      <c r="I272" s="1138">
        <v>0</v>
      </c>
      <c r="J272" s="1138">
        <v>0</v>
      </c>
      <c r="K272" s="1139">
        <v>0</v>
      </c>
      <c r="L272" s="1139"/>
      <c r="M272" s="1139"/>
      <c r="N272" s="1139"/>
      <c r="O272" s="1139"/>
      <c r="P272" s="1139"/>
    </row>
    <row r="273" spans="1:26" ht="19.5" hidden="1">
      <c r="A273" s="1140" t="s">
        <v>126</v>
      </c>
      <c r="B273" s="1141"/>
      <c r="C273" s="1141"/>
      <c r="D273" s="1141"/>
      <c r="E273" s="1142"/>
      <c r="F273" s="1142"/>
      <c r="G273" s="1143"/>
      <c r="H273" s="1144"/>
      <c r="I273" s="1145"/>
      <c r="J273" s="1145"/>
      <c r="K273" s="1146"/>
      <c r="L273" s="1146"/>
      <c r="M273" s="1146"/>
      <c r="N273" s="1146"/>
      <c r="O273" s="1146"/>
      <c r="P273" s="1146"/>
    </row>
    <row r="274" spans="1:26" ht="19.5" hidden="1">
      <c r="A274" s="1147" t="s">
        <v>127</v>
      </c>
      <c r="B274" s="1148"/>
      <c r="C274" s="1149"/>
      <c r="D274" s="1148"/>
      <c r="E274" s="1148"/>
      <c r="F274" s="1148"/>
      <c r="G274" s="1148"/>
      <c r="H274" s="1150"/>
      <c r="I274" s="1151"/>
      <c r="J274" s="1152"/>
      <c r="K274" s="1153"/>
      <c r="L274" s="1153"/>
      <c r="M274" s="1153"/>
      <c r="N274" s="1153"/>
      <c r="O274" s="1153"/>
      <c r="P274" s="1153"/>
    </row>
    <row r="275" spans="1:26" ht="19.5" hidden="1">
      <c r="A275" s="1154"/>
      <c r="B275" s="1155" t="s">
        <v>128</v>
      </c>
      <c r="C275" s="1156"/>
      <c r="D275" s="1157"/>
      <c r="E275" s="1156"/>
      <c r="F275" s="1156"/>
      <c r="G275" s="1158"/>
      <c r="H275" s="405" t="s">
        <v>35</v>
      </c>
      <c r="I275" s="1159">
        <f t="shared" ref="I275:J275" ca="1" si="122">I288</f>
        <v>0</v>
      </c>
      <c r="J275" s="1159">
        <f t="shared" ca="1" si="122"/>
        <v>0</v>
      </c>
      <c r="K275" s="1160">
        <f t="shared" ref="K275:K276" ca="1" si="123">IF(I275&gt;0,J275*100/I275,0)</f>
        <v>0</v>
      </c>
      <c r="L275" s="1161"/>
      <c r="M275" s="1161"/>
      <c r="N275" s="1161"/>
      <c r="O275" s="1161"/>
      <c r="P275" s="1161"/>
    </row>
    <row r="276" spans="1:26" ht="19.5" hidden="1">
      <c r="A276" s="1154"/>
      <c r="B276" s="1155"/>
      <c r="C276" s="1156"/>
      <c r="D276" s="1157"/>
      <c r="E276" s="1156"/>
      <c r="F276" s="1156"/>
      <c r="G276" s="1158"/>
      <c r="H276" s="405" t="s">
        <v>46</v>
      </c>
      <c r="I276" s="1493">
        <f t="shared" ref="I276:J276" ca="1" si="124">I287</f>
        <v>0</v>
      </c>
      <c r="J276" s="1493">
        <f t="shared" si="124"/>
        <v>0</v>
      </c>
      <c r="K276" s="1161">
        <f t="shared" ca="1" si="123"/>
        <v>0</v>
      </c>
      <c r="L276" s="1161"/>
      <c r="M276" s="1161"/>
      <c r="N276" s="1161"/>
      <c r="O276" s="1161"/>
      <c r="P276" s="1161"/>
    </row>
    <row r="277" spans="1:26" ht="19.5" hidden="1">
      <c r="A277" s="985"/>
      <c r="B277" s="986"/>
      <c r="C277" s="987" t="s">
        <v>16</v>
      </c>
      <c r="D277" s="988" t="s">
        <v>17</v>
      </c>
      <c r="E277" s="986"/>
      <c r="F277" s="986"/>
      <c r="G277" s="989"/>
      <c r="H277" s="152" t="s">
        <v>12</v>
      </c>
      <c r="I277" s="990"/>
      <c r="J277" s="990"/>
      <c r="K277" s="991"/>
      <c r="L277" s="992">
        <f t="shared" ref="L277:N277" ca="1" si="125">L278+L279</f>
        <v>0</v>
      </c>
      <c r="M277" s="992">
        <f t="shared" ca="1" si="125"/>
        <v>0</v>
      </c>
      <c r="N277" s="992">
        <f t="shared" ca="1" si="125"/>
        <v>0</v>
      </c>
      <c r="O277" s="992">
        <f t="shared" ref="O277:O285" ca="1" si="126">IF(L277&gt;0,N277*100/L277,0)</f>
        <v>0</v>
      </c>
      <c r="P277" s="992">
        <f t="shared" ref="P277:P285" ca="1" si="127">IF(M277&gt;0,N277*100/M277,0)</f>
        <v>0</v>
      </c>
      <c r="Q277" s="868"/>
      <c r="R277" s="868"/>
      <c r="S277" s="868"/>
      <c r="T277" s="868"/>
      <c r="U277" s="868"/>
      <c r="V277" s="868"/>
      <c r="W277" s="868"/>
      <c r="X277" s="868"/>
      <c r="Y277" s="868"/>
      <c r="Z277" s="868"/>
    </row>
    <row r="278" spans="1:26" ht="18.75" hidden="1">
      <c r="A278" s="993"/>
      <c r="B278" s="883"/>
      <c r="C278" s="883"/>
      <c r="D278" s="883"/>
      <c r="E278" s="884" t="s">
        <v>18</v>
      </c>
      <c r="F278" s="883"/>
      <c r="G278" s="994"/>
      <c r="H278" s="158" t="s">
        <v>12</v>
      </c>
      <c r="I278" s="886"/>
      <c r="J278" s="886"/>
      <c r="K278" s="887"/>
      <c r="L278" s="887">
        <f t="shared" ref="L278:N279" si="128">L281+L284</f>
        <v>0</v>
      </c>
      <c r="M278" s="887">
        <f t="shared" si="128"/>
        <v>0</v>
      </c>
      <c r="N278" s="887">
        <f t="shared" si="128"/>
        <v>0</v>
      </c>
      <c r="O278" s="887">
        <f t="shared" si="126"/>
        <v>0</v>
      </c>
      <c r="P278" s="887">
        <f t="shared" si="127"/>
        <v>0</v>
      </c>
      <c r="Q278" s="875"/>
      <c r="R278" s="875"/>
      <c r="S278" s="875"/>
      <c r="T278" s="875"/>
      <c r="U278" s="875"/>
      <c r="V278" s="875"/>
      <c r="W278" s="875"/>
      <c r="X278" s="875"/>
      <c r="Y278" s="875"/>
      <c r="Z278" s="875"/>
    </row>
    <row r="279" spans="1:26" ht="18.75" hidden="1">
      <c r="A279" s="993"/>
      <c r="B279" s="883"/>
      <c r="C279" s="883"/>
      <c r="D279" s="883"/>
      <c r="E279" s="884" t="s">
        <v>19</v>
      </c>
      <c r="F279" s="883"/>
      <c r="G279" s="994"/>
      <c r="H279" s="158" t="s">
        <v>12</v>
      </c>
      <c r="I279" s="886"/>
      <c r="J279" s="886"/>
      <c r="K279" s="887"/>
      <c r="L279" s="887">
        <f t="shared" ca="1" si="128"/>
        <v>0</v>
      </c>
      <c r="M279" s="887">
        <f t="shared" ca="1" si="128"/>
        <v>0</v>
      </c>
      <c r="N279" s="887">
        <f t="shared" ca="1" si="128"/>
        <v>0</v>
      </c>
      <c r="O279" s="887">
        <f t="shared" ca="1" si="126"/>
        <v>0</v>
      </c>
      <c r="P279" s="887">
        <f t="shared" ca="1" si="127"/>
        <v>0</v>
      </c>
      <c r="Q279" s="875"/>
      <c r="R279" s="875"/>
      <c r="S279" s="875"/>
      <c r="T279" s="875"/>
      <c r="U279" s="875"/>
      <c r="V279" s="875"/>
      <c r="W279" s="875"/>
      <c r="X279" s="875"/>
      <c r="Y279" s="875"/>
      <c r="Z279" s="875"/>
    </row>
    <row r="280" spans="1:26" ht="18.75" hidden="1">
      <c r="A280" s="995"/>
      <c r="B280" s="877"/>
      <c r="C280" s="996"/>
      <c r="D280" s="878" t="s">
        <v>20</v>
      </c>
      <c r="E280" s="877"/>
      <c r="F280" s="877"/>
      <c r="G280" s="879"/>
      <c r="H280" s="161" t="s">
        <v>12</v>
      </c>
      <c r="I280" s="997"/>
      <c r="J280" s="997"/>
      <c r="K280" s="998"/>
      <c r="L280" s="881">
        <f t="shared" ref="L280:N280" ca="1" si="129">L281+L282</f>
        <v>0</v>
      </c>
      <c r="M280" s="881">
        <f t="shared" ca="1" si="129"/>
        <v>0</v>
      </c>
      <c r="N280" s="881">
        <f t="shared" ca="1" si="129"/>
        <v>0</v>
      </c>
      <c r="O280" s="881">
        <f t="shared" ca="1" si="126"/>
        <v>0</v>
      </c>
      <c r="P280" s="881">
        <f t="shared" ca="1" si="127"/>
        <v>0</v>
      </c>
      <c r="Q280" s="868"/>
      <c r="R280" s="868"/>
      <c r="S280" s="868"/>
      <c r="T280" s="868"/>
      <c r="U280" s="868"/>
      <c r="V280" s="868"/>
      <c r="W280" s="868"/>
      <c r="X280" s="868"/>
      <c r="Y280" s="868"/>
      <c r="Z280" s="868"/>
    </row>
    <row r="281" spans="1:26" ht="19.5" hidden="1">
      <c r="A281" s="993"/>
      <c r="B281" s="883"/>
      <c r="C281" s="999"/>
      <c r="D281" s="883"/>
      <c r="E281" s="884" t="s">
        <v>36</v>
      </c>
      <c r="F281" s="883"/>
      <c r="G281" s="994"/>
      <c r="H281" s="165" t="s">
        <v>12</v>
      </c>
      <c r="I281" s="1000"/>
      <c r="J281" s="1000"/>
      <c r="K281" s="1001"/>
      <c r="L281" s="887">
        <v>0</v>
      </c>
      <c r="M281" s="887">
        <v>0</v>
      </c>
      <c r="N281" s="887">
        <v>0</v>
      </c>
      <c r="O281" s="887">
        <f t="shared" si="126"/>
        <v>0</v>
      </c>
      <c r="P281" s="887">
        <f t="shared" si="127"/>
        <v>0</v>
      </c>
      <c r="Q281" s="875"/>
      <c r="R281" s="875"/>
      <c r="S281" s="875"/>
      <c r="T281" s="875"/>
      <c r="U281" s="875"/>
      <c r="V281" s="875"/>
      <c r="W281" s="875"/>
      <c r="X281" s="875"/>
      <c r="Y281" s="875"/>
      <c r="Z281" s="875"/>
    </row>
    <row r="282" spans="1:26" ht="19.5" hidden="1">
      <c r="A282" s="993"/>
      <c r="B282" s="883"/>
      <c r="C282" s="999"/>
      <c r="D282" s="883"/>
      <c r="E282" s="884" t="s">
        <v>37</v>
      </c>
      <c r="F282" s="883"/>
      <c r="G282" s="994"/>
      <c r="H282" s="165" t="s">
        <v>12</v>
      </c>
      <c r="I282" s="1000"/>
      <c r="J282" s="1000"/>
      <c r="K282" s="1001"/>
      <c r="L282" s="887">
        <f ca="1">IFERROR(__xludf.DUMMYFUNCTION("IMPORTRANGE(""https://docs.google.com/spreadsheets/d/1MeEWN-I1oV_STSDYn1IFDPWt_1FKiwhDph83XaGc0o0/edit?usp=sharing"",""งบพรบ!DI82"")"),0)</f>
        <v>0</v>
      </c>
      <c r="M282" s="887">
        <f ca="1">IFERROR(__xludf.DUMMYFUNCTION("IMPORTRANGE(""https://docs.google.com/spreadsheets/d/1MeEWN-I1oV_STSDYn1IFDPWt_1FKiwhDph83XaGc0o0/edit?usp=sharing"",""งบพรบ!DN82"")"),0)</f>
        <v>0</v>
      </c>
      <c r="N282" s="887">
        <f ca="1">IFERROR(__xludf.DUMMYFUNCTION("IMPORTRANGE(""https://docs.google.com/spreadsheets/d/1MeEWN-I1oV_STSDYn1IFDPWt_1FKiwhDph83XaGc0o0/edit?usp=sharing"",""งบพรบ!DP82"")"),0)</f>
        <v>0</v>
      </c>
      <c r="O282" s="887">
        <f t="shared" ca="1" si="126"/>
        <v>0</v>
      </c>
      <c r="P282" s="887">
        <f t="shared" ca="1" si="127"/>
        <v>0</v>
      </c>
      <c r="Q282" s="875"/>
      <c r="R282" s="875"/>
      <c r="S282" s="875"/>
      <c r="T282" s="875"/>
      <c r="U282" s="875"/>
      <c r="V282" s="875"/>
      <c r="W282" s="875"/>
      <c r="X282" s="875"/>
      <c r="Y282" s="875"/>
      <c r="Z282" s="875"/>
    </row>
    <row r="283" spans="1:26" ht="18.75" hidden="1">
      <c r="A283" s="995"/>
      <c r="B283" s="877"/>
      <c r="C283" s="996"/>
      <c r="D283" s="878" t="s">
        <v>21</v>
      </c>
      <c r="E283" s="877"/>
      <c r="F283" s="877"/>
      <c r="G283" s="879"/>
      <c r="H283" s="168" t="s">
        <v>12</v>
      </c>
      <c r="I283" s="997"/>
      <c r="J283" s="997"/>
      <c r="K283" s="998"/>
      <c r="L283" s="881">
        <f t="shared" ref="L283:N283" ca="1" si="130">L284+L285</f>
        <v>0</v>
      </c>
      <c r="M283" s="881">
        <f t="shared" ca="1" si="130"/>
        <v>0</v>
      </c>
      <c r="N283" s="881">
        <f t="shared" ca="1" si="130"/>
        <v>0</v>
      </c>
      <c r="O283" s="881">
        <f t="shared" ca="1" si="126"/>
        <v>0</v>
      </c>
      <c r="P283" s="881">
        <f t="shared" ca="1" si="127"/>
        <v>0</v>
      </c>
      <c r="Q283" s="868"/>
      <c r="R283" s="868"/>
      <c r="S283" s="868"/>
      <c r="T283" s="868"/>
      <c r="U283" s="868"/>
      <c r="V283" s="868"/>
      <c r="W283" s="868"/>
      <c r="X283" s="868"/>
      <c r="Y283" s="868"/>
      <c r="Z283" s="868"/>
    </row>
    <row r="284" spans="1:26" ht="19.5" hidden="1">
      <c r="A284" s="993"/>
      <c r="B284" s="883"/>
      <c r="C284" s="999"/>
      <c r="D284" s="883"/>
      <c r="E284" s="884" t="s">
        <v>18</v>
      </c>
      <c r="F284" s="883"/>
      <c r="G284" s="994"/>
      <c r="H284" s="165" t="s">
        <v>12</v>
      </c>
      <c r="I284" s="1000"/>
      <c r="J284" s="1000"/>
      <c r="K284" s="1001"/>
      <c r="L284" s="887">
        <v>0</v>
      </c>
      <c r="M284" s="887">
        <v>0</v>
      </c>
      <c r="N284" s="887">
        <v>0</v>
      </c>
      <c r="O284" s="887">
        <f t="shared" si="126"/>
        <v>0</v>
      </c>
      <c r="P284" s="887">
        <f t="shared" si="127"/>
        <v>0</v>
      </c>
      <c r="Q284" s="875"/>
      <c r="R284" s="875"/>
      <c r="S284" s="875"/>
      <c r="T284" s="875"/>
      <c r="U284" s="875"/>
      <c r="V284" s="875"/>
      <c r="W284" s="875"/>
      <c r="X284" s="875"/>
      <c r="Y284" s="875"/>
      <c r="Z284" s="875"/>
    </row>
    <row r="285" spans="1:26" ht="19.5" hidden="1">
      <c r="A285" s="993"/>
      <c r="B285" s="883"/>
      <c r="C285" s="999"/>
      <c r="D285" s="883"/>
      <c r="E285" s="884" t="s">
        <v>19</v>
      </c>
      <c r="F285" s="883"/>
      <c r="G285" s="994"/>
      <c r="H285" s="169" t="s">
        <v>12</v>
      </c>
      <c r="I285" s="1000"/>
      <c r="J285" s="1000"/>
      <c r="K285" s="1001"/>
      <c r="L285" s="887">
        <f ca="1">IFERROR(__xludf.DUMMYFUNCTION("IMPORTRANGE(""https://docs.google.com/spreadsheets/d/1MeEWN-I1oV_STSDYn1IFDPWt_1FKiwhDph83XaGc0o0/edit?usp=sharing"",""งบพรบ!DL82"")"),0)</f>
        <v>0</v>
      </c>
      <c r="M285" s="887">
        <f ca="1">IFERROR(__xludf.DUMMYFUNCTION("IMPORTRANGE(""https://docs.google.com/spreadsheets/d/1MeEWN-I1oV_STSDYn1IFDPWt_1FKiwhDph83XaGc0o0/edit?usp=sharing"",""งบพรบ!DO82"")"),0)</f>
        <v>0</v>
      </c>
      <c r="N285" s="887">
        <f ca="1">IFERROR(__xludf.DUMMYFUNCTION("IMPORTRANGE(""https://docs.google.com/spreadsheets/d/1MeEWN-I1oV_STSDYn1IFDPWt_1FKiwhDph83XaGc0o0/edit?usp=sharing"",""งบพรบ!DQ82"")"),0)</f>
        <v>0</v>
      </c>
      <c r="O285" s="887">
        <f t="shared" ca="1" si="126"/>
        <v>0</v>
      </c>
      <c r="P285" s="887">
        <f t="shared" ca="1" si="127"/>
        <v>0</v>
      </c>
      <c r="Q285" s="875"/>
      <c r="R285" s="875"/>
      <c r="S285" s="875"/>
      <c r="T285" s="875"/>
      <c r="U285" s="875"/>
      <c r="V285" s="875"/>
      <c r="W285" s="875"/>
      <c r="X285" s="875"/>
      <c r="Y285" s="875"/>
      <c r="Z285" s="875"/>
    </row>
    <row r="286" spans="1:26" ht="19.5" hidden="1">
      <c r="A286" s="1002"/>
      <c r="B286" s="1003"/>
      <c r="C286" s="999" t="s">
        <v>16</v>
      </c>
      <c r="D286" s="1004" t="s">
        <v>38</v>
      </c>
      <c r="E286" s="1005"/>
      <c r="F286" s="1005"/>
      <c r="G286" s="1006"/>
      <c r="H286" s="1007"/>
      <c r="I286" s="997"/>
      <c r="J286" s="997"/>
      <c r="K286" s="998"/>
      <c r="L286" s="998"/>
      <c r="M286" s="998"/>
      <c r="N286" s="998"/>
      <c r="O286" s="998"/>
      <c r="P286" s="998"/>
    </row>
    <row r="287" spans="1:26" ht="18.75" hidden="1">
      <c r="A287" s="1002"/>
      <c r="B287" s="1003"/>
      <c r="C287" s="1003"/>
      <c r="D287" s="1014" t="s">
        <v>129</v>
      </c>
      <c r="E287" s="1003"/>
      <c r="F287" s="1010"/>
      <c r="G287" s="1011"/>
      <c r="H287" s="185" t="s">
        <v>46</v>
      </c>
      <c r="I287" s="880">
        <f ca="1">IFERROR(__xludf.DUMMYFUNCTION("IMPORTRANGE(""https://docs.google.com/spreadsheets/d/1QqKyyYR6Q21VydFLVH3TRQUabQu_ym0Zz7PgGX0-kHA/edit?usp=sharing"",""แผน!EC82"")"),0)</f>
        <v>0</v>
      </c>
      <c r="J287" s="880">
        <v>0</v>
      </c>
      <c r="K287" s="998">
        <f t="shared" ref="K287:K288" ca="1" si="131">IF(I287&gt;0,J287*100/I287,0)</f>
        <v>0</v>
      </c>
      <c r="L287" s="998"/>
      <c r="M287" s="998"/>
      <c r="N287" s="998"/>
      <c r="O287" s="998"/>
      <c r="P287" s="998"/>
    </row>
    <row r="288" spans="1:26" ht="19.5" hidden="1">
      <c r="A288" s="1002"/>
      <c r="B288" s="1003"/>
      <c r="C288" s="1003"/>
      <c r="D288" s="1014" t="s">
        <v>130</v>
      </c>
      <c r="E288" s="1003"/>
      <c r="F288" s="1010"/>
      <c r="G288" s="1011"/>
      <c r="H288" s="180" t="s">
        <v>35</v>
      </c>
      <c r="I288" s="1019">
        <f ca="1">IFERROR(__xludf.DUMMYFUNCTION("IMPORTRANGE(""https://docs.google.com/spreadsheets/d/1QqKyyYR6Q21VydFLVH3TRQUabQu_ym0Zz7PgGX0-kHA/edit?usp=sharing"",""แผน!EB82"")"),0)</f>
        <v>0</v>
      </c>
      <c r="J288" s="1019">
        <f ca="1">IF(AND(J291&gt;=I288,J294&gt;=I288),J294,0)</f>
        <v>0</v>
      </c>
      <c r="K288" s="1162">
        <f t="shared" ca="1" si="131"/>
        <v>0</v>
      </c>
      <c r="L288" s="998"/>
      <c r="M288" s="998"/>
      <c r="N288" s="998"/>
      <c r="O288" s="998"/>
      <c r="P288" s="998"/>
    </row>
    <row r="289" spans="1:26" ht="19.5" hidden="1">
      <c r="A289" s="1002"/>
      <c r="B289" s="1003"/>
      <c r="C289" s="1003"/>
      <c r="D289" s="1163"/>
      <c r="E289" s="1164" t="s">
        <v>131</v>
      </c>
      <c r="F289" s="1010"/>
      <c r="G289" s="1011"/>
      <c r="H289" s="762"/>
      <c r="I289" s="997"/>
      <c r="J289" s="880"/>
      <c r="K289" s="998"/>
      <c r="L289" s="998"/>
      <c r="M289" s="998"/>
      <c r="N289" s="998"/>
      <c r="O289" s="998"/>
      <c r="P289" s="998"/>
    </row>
    <row r="290" spans="1:26" ht="19.5" hidden="1">
      <c r="A290" s="1002"/>
      <c r="B290" s="1003"/>
      <c r="C290" s="1003"/>
      <c r="D290" s="1163"/>
      <c r="E290" s="1014" t="s">
        <v>132</v>
      </c>
      <c r="F290" s="1010"/>
      <c r="G290" s="1011"/>
      <c r="H290" s="762" t="s">
        <v>35</v>
      </c>
      <c r="I290" s="997">
        <f ca="1">IFERROR(__xludf.DUMMYFUNCTION("IMPORTRANGE(""https://docs.google.com/spreadsheets/d/1QqKyyYR6Q21VydFLVH3TRQUabQu_ym0Zz7PgGX0-kHA/edit?usp=sharing"",""แผน!EB82"")"),0)</f>
        <v>0</v>
      </c>
      <c r="J290" s="1012">
        <v>0</v>
      </c>
      <c r="K290" s="998">
        <f t="shared" ref="K290:K291" ca="1" si="132">IF(I290&gt;0,J290*100/I290,0)</f>
        <v>0</v>
      </c>
      <c r="L290" s="998"/>
      <c r="M290" s="998"/>
      <c r="N290" s="998"/>
      <c r="O290" s="998"/>
      <c r="P290" s="998"/>
    </row>
    <row r="291" spans="1:26" ht="19.5" hidden="1">
      <c r="A291" s="1002"/>
      <c r="B291" s="1003"/>
      <c r="C291" s="1003"/>
      <c r="D291" s="1010"/>
      <c r="E291" s="1014" t="s">
        <v>338</v>
      </c>
      <c r="F291" s="1010"/>
      <c r="G291" s="1011"/>
      <c r="H291" s="762" t="s">
        <v>35</v>
      </c>
      <c r="I291" s="997">
        <f ca="1">IFERROR(__xludf.DUMMYFUNCTION("IMPORTRANGE(""https://docs.google.com/spreadsheets/d/1QqKyyYR6Q21VydFLVH3TRQUabQu_ym0Zz7PgGX0-kHA/edit?usp=sharing"",""แผน!EB82"")"),0)</f>
        <v>0</v>
      </c>
      <c r="J291" s="1012">
        <v>0</v>
      </c>
      <c r="K291" s="998">
        <f t="shared" ca="1" si="132"/>
        <v>0</v>
      </c>
      <c r="L291" s="998"/>
      <c r="M291" s="998"/>
      <c r="N291" s="998"/>
      <c r="O291" s="998"/>
      <c r="P291" s="998"/>
    </row>
    <row r="292" spans="1:26" ht="19.5" hidden="1">
      <c r="A292" s="1165"/>
      <c r="B292" s="1166"/>
      <c r="C292" s="1166"/>
      <c r="D292" s="1167"/>
      <c r="E292" s="1168" t="s">
        <v>134</v>
      </c>
      <c r="F292" s="1088"/>
      <c r="G292" s="1089"/>
      <c r="H292" s="419"/>
      <c r="I292" s="1082"/>
      <c r="J292" s="990"/>
      <c r="K292" s="1083"/>
      <c r="L292" s="1083"/>
      <c r="M292" s="1083"/>
      <c r="N292" s="1083"/>
      <c r="O292" s="1083"/>
      <c r="P292" s="1083"/>
    </row>
    <row r="293" spans="1:26" ht="19.5" hidden="1">
      <c r="A293" s="1002"/>
      <c r="B293" s="1003"/>
      <c r="C293" s="1003"/>
      <c r="D293" s="1163"/>
      <c r="E293" s="1014" t="s">
        <v>132</v>
      </c>
      <c r="F293" s="1010"/>
      <c r="G293" s="1011"/>
      <c r="H293" s="762" t="s">
        <v>35</v>
      </c>
      <c r="I293" s="997">
        <f ca="1">IFERROR(__xludf.DUMMYFUNCTION("IMPORTRANGE(""https://docs.google.com/spreadsheets/d/1QqKyyYR6Q21VydFLVH3TRQUabQu_ym0Zz7PgGX0-kHA/edit?usp=sharing"",""แผน!EB82"")"),0)</f>
        <v>0</v>
      </c>
      <c r="J293" s="1012">
        <v>0</v>
      </c>
      <c r="K293" s="998">
        <f t="shared" ref="K293:K294" ca="1" si="133">IF(I293&gt;0,J293*100/I293,0)</f>
        <v>0</v>
      </c>
      <c r="L293" s="998"/>
      <c r="M293" s="998"/>
      <c r="N293" s="998"/>
      <c r="O293" s="998"/>
      <c r="P293" s="998"/>
    </row>
    <row r="294" spans="1:26" ht="19.5" hidden="1">
      <c r="A294" s="1133"/>
      <c r="B294" s="1134"/>
      <c r="C294" s="1134"/>
      <c r="D294" s="1136"/>
      <c r="E294" s="1169" t="s">
        <v>338</v>
      </c>
      <c r="F294" s="1136"/>
      <c r="G294" s="1137"/>
      <c r="H294" s="423" t="s">
        <v>35</v>
      </c>
      <c r="I294" s="1170">
        <f ca="1">IFERROR(__xludf.DUMMYFUNCTION("IMPORTRANGE(""https://docs.google.com/spreadsheets/d/1QqKyyYR6Q21VydFLVH3TRQUabQu_ym0Zz7PgGX0-kHA/edit?usp=sharing"",""แผน!EB82"")"),0)</f>
        <v>0</v>
      </c>
      <c r="J294" s="1171">
        <v>0</v>
      </c>
      <c r="K294" s="1139">
        <f t="shared" ca="1" si="133"/>
        <v>0</v>
      </c>
      <c r="L294" s="1139"/>
      <c r="M294" s="1139"/>
      <c r="N294" s="1139"/>
      <c r="O294" s="1139"/>
      <c r="P294" s="1139"/>
    </row>
    <row r="295" spans="1:26" ht="19.5">
      <c r="A295" s="1172" t="s">
        <v>137</v>
      </c>
      <c r="B295" s="1173"/>
      <c r="C295" s="1173"/>
      <c r="D295" s="1173"/>
      <c r="E295" s="1174"/>
      <c r="F295" s="1174"/>
      <c r="G295" s="1175"/>
      <c r="H295" s="1176"/>
      <c r="I295" s="1177"/>
      <c r="J295" s="1177"/>
      <c r="K295" s="1178"/>
      <c r="L295" s="1178"/>
      <c r="M295" s="1178"/>
      <c r="N295" s="1178"/>
      <c r="O295" s="1178"/>
      <c r="P295" s="1178"/>
    </row>
    <row r="296" spans="1:26" ht="19.5">
      <c r="A296" s="1179" t="s">
        <v>138</v>
      </c>
      <c r="B296" s="1180"/>
      <c r="C296" s="1180"/>
      <c r="D296" s="1181"/>
      <c r="E296" s="1181"/>
      <c r="F296" s="1181"/>
      <c r="G296" s="1182"/>
      <c r="H296" s="1183"/>
      <c r="I296" s="1184"/>
      <c r="J296" s="1184"/>
      <c r="K296" s="1185"/>
      <c r="L296" s="1185"/>
      <c r="M296" s="1185"/>
      <c r="N296" s="1185"/>
      <c r="O296" s="1185"/>
      <c r="P296" s="1185"/>
    </row>
    <row r="297" spans="1:26" ht="19.5">
      <c r="A297" s="1186"/>
      <c r="B297" s="1187" t="s">
        <v>139</v>
      </c>
      <c r="C297" s="1188"/>
      <c r="D297" s="1188"/>
      <c r="E297" s="1188"/>
      <c r="F297" s="1188"/>
      <c r="G297" s="1189"/>
      <c r="H297" s="444" t="s">
        <v>35</v>
      </c>
      <c r="I297" s="1190">
        <f t="shared" ref="I297:J297" ca="1" si="134">I309</f>
        <v>20</v>
      </c>
      <c r="J297" s="1190">
        <f t="shared" si="134"/>
        <v>20</v>
      </c>
      <c r="K297" s="1191">
        <f ca="1">IF(I297&gt;0,J297*100/I297,0)</f>
        <v>100</v>
      </c>
      <c r="L297" s="1192"/>
      <c r="M297" s="1192"/>
      <c r="N297" s="1192"/>
      <c r="O297" s="1192"/>
      <c r="P297" s="1192"/>
    </row>
    <row r="298" spans="1:26" ht="19.5">
      <c r="A298" s="985"/>
      <c r="B298" s="986"/>
      <c r="C298" s="987" t="s">
        <v>16</v>
      </c>
      <c r="D298" s="988" t="s">
        <v>17</v>
      </c>
      <c r="E298" s="986"/>
      <c r="F298" s="986"/>
      <c r="G298" s="989"/>
      <c r="H298" s="152" t="s">
        <v>12</v>
      </c>
      <c r="I298" s="990"/>
      <c r="J298" s="990"/>
      <c r="K298" s="991"/>
      <c r="L298" s="992">
        <f t="shared" ref="L298:N298" ca="1" si="135">L299+L300</f>
        <v>82400</v>
      </c>
      <c r="M298" s="992">
        <f t="shared" ca="1" si="135"/>
        <v>64400</v>
      </c>
      <c r="N298" s="992">
        <f t="shared" ca="1" si="135"/>
        <v>64400</v>
      </c>
      <c r="O298" s="992">
        <f t="shared" ref="O298:O306" ca="1" si="136">IF(L298&gt;0,N298*100/L298,0)</f>
        <v>78.15533980582525</v>
      </c>
      <c r="P298" s="992">
        <f t="shared" ref="P298:P306" ca="1" si="137">IF(M298&gt;0,N298*100/M298,0)</f>
        <v>100</v>
      </c>
      <c r="Q298" s="868"/>
      <c r="R298" s="868"/>
      <c r="S298" s="868"/>
      <c r="T298" s="868"/>
      <c r="U298" s="868"/>
      <c r="V298" s="868"/>
      <c r="W298" s="868"/>
      <c r="X298" s="868"/>
      <c r="Y298" s="868"/>
      <c r="Z298" s="868"/>
    </row>
    <row r="299" spans="1:26" ht="18.75" hidden="1">
      <c r="A299" s="993"/>
      <c r="B299" s="883"/>
      <c r="C299" s="883"/>
      <c r="D299" s="883"/>
      <c r="E299" s="884" t="s">
        <v>18</v>
      </c>
      <c r="F299" s="883"/>
      <c r="G299" s="994"/>
      <c r="H299" s="158" t="s">
        <v>12</v>
      </c>
      <c r="I299" s="886"/>
      <c r="J299" s="886"/>
      <c r="K299" s="887"/>
      <c r="L299" s="887">
        <f t="shared" ref="L299:N300" si="138">L302+L305</f>
        <v>0</v>
      </c>
      <c r="M299" s="887">
        <f t="shared" si="138"/>
        <v>0</v>
      </c>
      <c r="N299" s="887">
        <f t="shared" si="138"/>
        <v>0</v>
      </c>
      <c r="O299" s="887">
        <f t="shared" si="136"/>
        <v>0</v>
      </c>
      <c r="P299" s="887">
        <f t="shared" si="137"/>
        <v>0</v>
      </c>
      <c r="Q299" s="875"/>
      <c r="R299" s="875"/>
      <c r="S299" s="875"/>
      <c r="T299" s="875"/>
      <c r="U299" s="875"/>
      <c r="V299" s="875"/>
      <c r="W299" s="875"/>
      <c r="X299" s="875"/>
      <c r="Y299" s="875"/>
      <c r="Z299" s="875"/>
    </row>
    <row r="300" spans="1:26" ht="18.75" hidden="1">
      <c r="A300" s="993"/>
      <c r="B300" s="883"/>
      <c r="C300" s="883"/>
      <c r="D300" s="883"/>
      <c r="E300" s="884" t="s">
        <v>19</v>
      </c>
      <c r="F300" s="883"/>
      <c r="G300" s="994"/>
      <c r="H300" s="158" t="s">
        <v>12</v>
      </c>
      <c r="I300" s="886"/>
      <c r="J300" s="886"/>
      <c r="K300" s="887"/>
      <c r="L300" s="887">
        <f t="shared" ca="1" si="138"/>
        <v>82400</v>
      </c>
      <c r="M300" s="887">
        <f t="shared" ca="1" si="138"/>
        <v>64400</v>
      </c>
      <c r="N300" s="887">
        <f t="shared" ca="1" si="138"/>
        <v>64400</v>
      </c>
      <c r="O300" s="887">
        <f t="shared" ca="1" si="136"/>
        <v>78.15533980582525</v>
      </c>
      <c r="P300" s="887">
        <f t="shared" ca="1" si="137"/>
        <v>100</v>
      </c>
      <c r="Q300" s="875"/>
      <c r="R300" s="875"/>
      <c r="S300" s="875"/>
      <c r="T300" s="875"/>
      <c r="U300" s="875"/>
      <c r="V300" s="875"/>
      <c r="W300" s="875"/>
      <c r="X300" s="875"/>
      <c r="Y300" s="875"/>
      <c r="Z300" s="875"/>
    </row>
    <row r="301" spans="1:26" ht="18.75">
      <c r="A301" s="995"/>
      <c r="B301" s="877"/>
      <c r="C301" s="996"/>
      <c r="D301" s="878" t="s">
        <v>20</v>
      </c>
      <c r="E301" s="877"/>
      <c r="F301" s="877"/>
      <c r="G301" s="879"/>
      <c r="H301" s="161" t="s">
        <v>12</v>
      </c>
      <c r="I301" s="997"/>
      <c r="J301" s="997"/>
      <c r="K301" s="998"/>
      <c r="L301" s="881">
        <f t="shared" ref="L301:N301" ca="1" si="139">L302+L303</f>
        <v>82400</v>
      </c>
      <c r="M301" s="881">
        <f t="shared" ca="1" si="139"/>
        <v>64400</v>
      </c>
      <c r="N301" s="881">
        <f t="shared" ca="1" si="139"/>
        <v>64400</v>
      </c>
      <c r="O301" s="881">
        <f t="shared" ca="1" si="136"/>
        <v>78.15533980582525</v>
      </c>
      <c r="P301" s="881">
        <f t="shared" ca="1" si="137"/>
        <v>100</v>
      </c>
      <c r="Q301" s="868"/>
      <c r="R301" s="868"/>
      <c r="S301" s="868"/>
      <c r="T301" s="868"/>
      <c r="U301" s="868"/>
      <c r="V301" s="868"/>
      <c r="W301" s="868"/>
      <c r="X301" s="868"/>
      <c r="Y301" s="868"/>
      <c r="Z301" s="868"/>
    </row>
    <row r="302" spans="1:26" ht="19.5" hidden="1">
      <c r="A302" s="993"/>
      <c r="B302" s="883"/>
      <c r="C302" s="999"/>
      <c r="D302" s="883"/>
      <c r="E302" s="884" t="s">
        <v>36</v>
      </c>
      <c r="F302" s="883"/>
      <c r="G302" s="994"/>
      <c r="H302" s="165" t="s">
        <v>12</v>
      </c>
      <c r="I302" s="1000"/>
      <c r="J302" s="1000"/>
      <c r="K302" s="1001"/>
      <c r="L302" s="887">
        <v>0</v>
      </c>
      <c r="M302" s="887">
        <v>0</v>
      </c>
      <c r="N302" s="887">
        <v>0</v>
      </c>
      <c r="O302" s="887">
        <f t="shared" si="136"/>
        <v>0</v>
      </c>
      <c r="P302" s="887">
        <f t="shared" si="137"/>
        <v>0</v>
      </c>
      <c r="Q302" s="875"/>
      <c r="R302" s="875"/>
      <c r="S302" s="875"/>
      <c r="T302" s="875"/>
      <c r="U302" s="875"/>
      <c r="V302" s="875"/>
      <c r="W302" s="875"/>
      <c r="X302" s="875"/>
      <c r="Y302" s="875"/>
      <c r="Z302" s="875"/>
    </row>
    <row r="303" spans="1:26" ht="19.5" hidden="1">
      <c r="A303" s="993"/>
      <c r="B303" s="883"/>
      <c r="C303" s="999"/>
      <c r="D303" s="883"/>
      <c r="E303" s="884" t="s">
        <v>37</v>
      </c>
      <c r="F303" s="883"/>
      <c r="G303" s="994"/>
      <c r="H303" s="165" t="s">
        <v>12</v>
      </c>
      <c r="I303" s="1000"/>
      <c r="J303" s="1000"/>
      <c r="K303" s="1001"/>
      <c r="L303" s="887">
        <f ca="1">IFERROR(__xludf.DUMMYFUNCTION("IMPORTRANGE(""https://docs.google.com/spreadsheets/d/1MeEWN-I1oV_STSDYn1IFDPWt_1FKiwhDph83XaGc0o0/edit?usp=sharing"",""งบพรบ!DS82"")"),82400)</f>
        <v>82400</v>
      </c>
      <c r="M303" s="887">
        <f ca="1">IFERROR(__xludf.DUMMYFUNCTION("IMPORTRANGE(""https://docs.google.com/spreadsheets/d/1MeEWN-I1oV_STSDYn1IFDPWt_1FKiwhDph83XaGc0o0/edit?usp=sharing"",""งบพรบ!DX82"")"),64400)</f>
        <v>64400</v>
      </c>
      <c r="N303" s="887">
        <f ca="1">IFERROR(__xludf.DUMMYFUNCTION("IMPORTRANGE(""https://docs.google.com/spreadsheets/d/1MeEWN-I1oV_STSDYn1IFDPWt_1FKiwhDph83XaGc0o0/edit?usp=sharing"",""งบพรบ!DZ82"")"),64400)</f>
        <v>64400</v>
      </c>
      <c r="O303" s="887">
        <f t="shared" ca="1" si="136"/>
        <v>78.15533980582525</v>
      </c>
      <c r="P303" s="887">
        <f t="shared" ca="1" si="137"/>
        <v>100</v>
      </c>
      <c r="Q303" s="875"/>
      <c r="R303" s="875"/>
      <c r="S303" s="875"/>
      <c r="T303" s="875"/>
      <c r="U303" s="875"/>
      <c r="V303" s="875"/>
      <c r="W303" s="875"/>
      <c r="X303" s="875"/>
      <c r="Y303" s="875"/>
      <c r="Z303" s="875"/>
    </row>
    <row r="304" spans="1:26" ht="18.75">
      <c r="A304" s="995"/>
      <c r="B304" s="877"/>
      <c r="C304" s="996"/>
      <c r="D304" s="878" t="s">
        <v>21</v>
      </c>
      <c r="E304" s="877"/>
      <c r="F304" s="877"/>
      <c r="G304" s="879"/>
      <c r="H304" s="168" t="s">
        <v>12</v>
      </c>
      <c r="I304" s="997"/>
      <c r="J304" s="997"/>
      <c r="K304" s="998"/>
      <c r="L304" s="881">
        <f t="shared" ref="L304:N304" ca="1" si="140">L305+L306</f>
        <v>0</v>
      </c>
      <c r="M304" s="881">
        <f t="shared" ca="1" si="140"/>
        <v>0</v>
      </c>
      <c r="N304" s="881">
        <f t="shared" ca="1" si="140"/>
        <v>0</v>
      </c>
      <c r="O304" s="881">
        <f t="shared" ca="1" si="136"/>
        <v>0</v>
      </c>
      <c r="P304" s="881">
        <f t="shared" ca="1" si="137"/>
        <v>0</v>
      </c>
      <c r="Q304" s="868"/>
      <c r="R304" s="868"/>
      <c r="S304" s="868"/>
      <c r="T304" s="868"/>
      <c r="U304" s="868"/>
      <c r="V304" s="868"/>
      <c r="W304" s="868"/>
      <c r="X304" s="868"/>
      <c r="Y304" s="868"/>
      <c r="Z304" s="868"/>
    </row>
    <row r="305" spans="1:26" ht="19.5" hidden="1">
      <c r="A305" s="993"/>
      <c r="B305" s="883"/>
      <c r="C305" s="999"/>
      <c r="D305" s="883"/>
      <c r="E305" s="884" t="s">
        <v>18</v>
      </c>
      <c r="F305" s="883"/>
      <c r="G305" s="994"/>
      <c r="H305" s="165" t="s">
        <v>12</v>
      </c>
      <c r="I305" s="1000"/>
      <c r="J305" s="1000"/>
      <c r="K305" s="1001"/>
      <c r="L305" s="887">
        <v>0</v>
      </c>
      <c r="M305" s="887">
        <v>0</v>
      </c>
      <c r="N305" s="887">
        <v>0</v>
      </c>
      <c r="O305" s="887">
        <f t="shared" si="136"/>
        <v>0</v>
      </c>
      <c r="P305" s="887">
        <f t="shared" si="137"/>
        <v>0</v>
      </c>
      <c r="Q305" s="875"/>
      <c r="R305" s="875"/>
      <c r="S305" s="875"/>
      <c r="T305" s="875"/>
      <c r="U305" s="875"/>
      <c r="V305" s="875"/>
      <c r="W305" s="875"/>
      <c r="X305" s="875"/>
      <c r="Y305" s="875"/>
      <c r="Z305" s="875"/>
    </row>
    <row r="306" spans="1:26" ht="19.5" hidden="1">
      <c r="A306" s="993"/>
      <c r="B306" s="883"/>
      <c r="C306" s="999"/>
      <c r="D306" s="883"/>
      <c r="E306" s="884" t="s">
        <v>19</v>
      </c>
      <c r="F306" s="883"/>
      <c r="G306" s="994"/>
      <c r="H306" s="169" t="s">
        <v>12</v>
      </c>
      <c r="I306" s="1000"/>
      <c r="J306" s="1000"/>
      <c r="K306" s="1001"/>
      <c r="L306" s="887">
        <f ca="1">IFERROR(__xludf.DUMMYFUNCTION("IMPORTRANGE(""https://docs.google.com/spreadsheets/d/1MeEWN-I1oV_STSDYn1IFDPWt_1FKiwhDph83XaGc0o0/edit?usp=sharing"",""งบพรบ!DV82"")"),0)</f>
        <v>0</v>
      </c>
      <c r="M306" s="887">
        <f ca="1">IFERROR(__xludf.DUMMYFUNCTION("IMPORTRANGE(""https://docs.google.com/spreadsheets/d/1MeEWN-I1oV_STSDYn1IFDPWt_1FKiwhDph83XaGc0o0/edit?usp=sharing"",""งบพรบ!DY82"")"),0)</f>
        <v>0</v>
      </c>
      <c r="N306" s="887">
        <f ca="1">IFERROR(__xludf.DUMMYFUNCTION("IMPORTRANGE(""https://docs.google.com/spreadsheets/d/1MeEWN-I1oV_STSDYn1IFDPWt_1FKiwhDph83XaGc0o0/edit?usp=sharing"",""งบพรบ!EA82"")"),0)</f>
        <v>0</v>
      </c>
      <c r="O306" s="887">
        <f t="shared" ca="1" si="136"/>
        <v>0</v>
      </c>
      <c r="P306" s="887">
        <f t="shared" ca="1" si="137"/>
        <v>0</v>
      </c>
      <c r="Q306" s="875"/>
      <c r="R306" s="875"/>
      <c r="S306" s="875"/>
      <c r="T306" s="875"/>
      <c r="U306" s="875"/>
      <c r="V306" s="875"/>
      <c r="W306" s="875"/>
      <c r="X306" s="875"/>
      <c r="Y306" s="875"/>
      <c r="Z306" s="875"/>
    </row>
    <row r="307" spans="1:26" ht="19.5">
      <c r="A307" s="1002"/>
      <c r="B307" s="1003"/>
      <c r="C307" s="999" t="s">
        <v>16</v>
      </c>
      <c r="D307" s="1004" t="s">
        <v>38</v>
      </c>
      <c r="E307" s="1005"/>
      <c r="F307" s="1005"/>
      <c r="G307" s="1006"/>
      <c r="H307" s="1007"/>
      <c r="I307" s="880"/>
      <c r="J307" s="880"/>
      <c r="K307" s="881"/>
      <c r="L307" s="881"/>
      <c r="M307" s="881"/>
      <c r="N307" s="881"/>
      <c r="O307" s="881"/>
      <c r="P307" s="881"/>
    </row>
    <row r="308" spans="1:26" ht="18.75">
      <c r="A308" s="1002"/>
      <c r="B308" s="1003"/>
      <c r="C308" s="1003"/>
      <c r="D308" s="1009" t="s">
        <v>140</v>
      </c>
      <c r="E308" s="1009"/>
      <c r="F308" s="1009"/>
      <c r="G308" s="1011"/>
      <c r="H308" s="762"/>
      <c r="I308" s="880"/>
      <c r="J308" s="1012">
        <v>0</v>
      </c>
      <c r="K308" s="881"/>
      <c r="L308" s="881"/>
      <c r="M308" s="881"/>
      <c r="N308" s="881"/>
      <c r="O308" s="881"/>
      <c r="P308" s="881"/>
    </row>
    <row r="309" spans="1:26" ht="18.75">
      <c r="A309" s="1002"/>
      <c r="B309" s="1003"/>
      <c r="C309" s="1003"/>
      <c r="D309" s="1009" t="s">
        <v>141</v>
      </c>
      <c r="E309" s="1009"/>
      <c r="F309" s="1009"/>
      <c r="G309" s="1011"/>
      <c r="H309" s="762" t="s">
        <v>35</v>
      </c>
      <c r="I309" s="880">
        <f ca="1">IFERROR(__xludf.DUMMYFUNCTION("IMPORTRANGE(""https://docs.google.com/spreadsheets/d/1QqKyyYR6Q21VydFLVH3TRQUabQu_ym0Zz7PgGX0-kHA/edit?usp=sharing"",""แผน!ED82"")"),20)</f>
        <v>20</v>
      </c>
      <c r="J309" s="1012">
        <v>20</v>
      </c>
      <c r="K309" s="881">
        <f t="shared" ref="K309:K312" ca="1" si="141">IF(I309&gt;0,J309*100/I309,0)</f>
        <v>100</v>
      </c>
      <c r="L309" s="881"/>
      <c r="M309" s="881"/>
      <c r="N309" s="881"/>
      <c r="O309" s="881"/>
      <c r="P309" s="881"/>
    </row>
    <row r="310" spans="1:26" ht="18.75">
      <c r="A310" s="1002"/>
      <c r="B310" s="1003"/>
      <c r="C310" s="1003"/>
      <c r="D310" s="1009" t="s">
        <v>142</v>
      </c>
      <c r="E310" s="1009"/>
      <c r="F310" s="1009"/>
      <c r="G310" s="1011"/>
      <c r="H310" s="762" t="s">
        <v>35</v>
      </c>
      <c r="I310" s="880">
        <f ca="1">IFERROR(__xludf.DUMMYFUNCTION("IMPORTRANGE(""https://docs.google.com/spreadsheets/d/1QqKyyYR6Q21VydFLVH3TRQUabQu_ym0Zz7PgGX0-kHA/edit?usp=sharing"",""แผน!ED82"")"),20)</f>
        <v>20</v>
      </c>
      <c r="J310" s="1012">
        <v>20</v>
      </c>
      <c r="K310" s="881">
        <f t="shared" ca="1" si="141"/>
        <v>100</v>
      </c>
      <c r="L310" s="881"/>
      <c r="M310" s="881"/>
      <c r="N310" s="881"/>
      <c r="O310" s="881"/>
      <c r="P310" s="881"/>
    </row>
    <row r="311" spans="1:26" ht="18.75">
      <c r="A311" s="1002"/>
      <c r="B311" s="1003"/>
      <c r="C311" s="1003"/>
      <c r="D311" s="1009" t="s">
        <v>59</v>
      </c>
      <c r="E311" s="1009"/>
      <c r="F311" s="1009"/>
      <c r="G311" s="1011"/>
      <c r="H311" s="762" t="s">
        <v>35</v>
      </c>
      <c r="I311" s="880">
        <f ca="1">IFERROR(__xludf.DUMMYFUNCTION("IMPORTRANGE(""https://docs.google.com/spreadsheets/d/1QqKyyYR6Q21VydFLVH3TRQUabQu_ym0Zz7PgGX0-kHA/edit?usp=sharing"",""แผน!ED82"")"),20)</f>
        <v>20</v>
      </c>
      <c r="J311" s="1012">
        <v>0</v>
      </c>
      <c r="K311" s="881">
        <f t="shared" ca="1" si="141"/>
        <v>0</v>
      </c>
      <c r="L311" s="881"/>
      <c r="M311" s="881"/>
      <c r="N311" s="881"/>
      <c r="O311" s="881"/>
      <c r="P311" s="881"/>
    </row>
    <row r="312" spans="1:26" ht="18.75">
      <c r="A312" s="1002"/>
      <c r="B312" s="1003"/>
      <c r="C312" s="1003"/>
      <c r="D312" s="1009" t="s">
        <v>143</v>
      </c>
      <c r="E312" s="1009"/>
      <c r="F312" s="1009"/>
      <c r="G312" s="1011"/>
      <c r="H312" s="762" t="s">
        <v>35</v>
      </c>
      <c r="I312" s="880">
        <f ca="1">IFERROR(__xludf.DUMMYFUNCTION("IMPORTRANGE(""https://docs.google.com/spreadsheets/d/1QqKyyYR6Q21VydFLVH3TRQUabQu_ym0Zz7PgGX0-kHA/edit?usp=sharing"",""แผน!EE82"")"),4)</f>
        <v>4</v>
      </c>
      <c r="J312" s="1012">
        <v>0</v>
      </c>
      <c r="K312" s="881">
        <f t="shared" ca="1" si="141"/>
        <v>0</v>
      </c>
      <c r="L312" s="881"/>
      <c r="M312" s="881"/>
      <c r="N312" s="881"/>
      <c r="O312" s="881"/>
      <c r="P312" s="881"/>
    </row>
    <row r="313" spans="1:26" ht="19.5" hidden="1">
      <c r="A313" s="1179" t="s">
        <v>144</v>
      </c>
      <c r="B313" s="1180"/>
      <c r="C313" s="1180"/>
      <c r="D313" s="1181"/>
      <c r="E313" s="1180"/>
      <c r="F313" s="1180"/>
      <c r="G313" s="1180"/>
      <c r="H313" s="1193"/>
      <c r="I313" s="1184"/>
      <c r="J313" s="1184"/>
      <c r="K313" s="1185"/>
      <c r="L313" s="1185"/>
      <c r="M313" s="1185"/>
      <c r="N313" s="1185"/>
      <c r="O313" s="1185"/>
      <c r="P313" s="1185"/>
    </row>
    <row r="314" spans="1:26" ht="19.5" hidden="1">
      <c r="A314" s="1194"/>
      <c r="B314" s="1187" t="s">
        <v>145</v>
      </c>
      <c r="C314" s="1195"/>
      <c r="D314" s="1196"/>
      <c r="E314" s="1188"/>
      <c r="F314" s="1188"/>
      <c r="G314" s="1189"/>
      <c r="H314" s="444" t="s">
        <v>146</v>
      </c>
      <c r="I314" s="1190">
        <f t="shared" ref="I314:J314" ca="1" si="142">I325</f>
        <v>0</v>
      </c>
      <c r="J314" s="1190">
        <f t="shared" si="142"/>
        <v>0</v>
      </c>
      <c r="K314" s="1191">
        <f ca="1">IF(I314&gt;0,J314*100/I314,0)</f>
        <v>0</v>
      </c>
      <c r="L314" s="1192"/>
      <c r="M314" s="1192"/>
      <c r="N314" s="1192"/>
      <c r="O314" s="1192"/>
      <c r="P314" s="1192"/>
    </row>
    <row r="315" spans="1:26" ht="19.5" hidden="1">
      <c r="A315" s="985"/>
      <c r="B315" s="986"/>
      <c r="C315" s="987" t="s">
        <v>16</v>
      </c>
      <c r="D315" s="988" t="s">
        <v>17</v>
      </c>
      <c r="E315" s="986"/>
      <c r="F315" s="986"/>
      <c r="G315" s="989"/>
      <c r="H315" s="152" t="s">
        <v>12</v>
      </c>
      <c r="I315" s="990"/>
      <c r="J315" s="990"/>
      <c r="K315" s="991"/>
      <c r="L315" s="992">
        <f t="shared" ref="L315:N315" ca="1" si="143">L316+L317</f>
        <v>0</v>
      </c>
      <c r="M315" s="992">
        <f t="shared" ca="1" si="143"/>
        <v>0</v>
      </c>
      <c r="N315" s="992">
        <f t="shared" ca="1" si="143"/>
        <v>0</v>
      </c>
      <c r="O315" s="992">
        <f t="shared" ref="O315:O323" ca="1" si="144">IF(L315&gt;0,N315*100/L315,0)</f>
        <v>0</v>
      </c>
      <c r="P315" s="992">
        <f t="shared" ref="P315:P323" ca="1" si="145">IF(M315&gt;0,N315*100/M315,0)</f>
        <v>0</v>
      </c>
      <c r="Q315" s="868"/>
      <c r="R315" s="868"/>
      <c r="S315" s="868"/>
      <c r="T315" s="868"/>
      <c r="U315" s="868"/>
      <c r="V315" s="868"/>
      <c r="W315" s="868"/>
      <c r="X315" s="868"/>
      <c r="Y315" s="868"/>
      <c r="Z315" s="868"/>
    </row>
    <row r="316" spans="1:26" ht="18.75" hidden="1">
      <c r="A316" s="993"/>
      <c r="B316" s="883"/>
      <c r="C316" s="883"/>
      <c r="D316" s="883"/>
      <c r="E316" s="884" t="s">
        <v>18</v>
      </c>
      <c r="F316" s="883"/>
      <c r="G316" s="994"/>
      <c r="H316" s="158" t="s">
        <v>12</v>
      </c>
      <c r="I316" s="886"/>
      <c r="J316" s="886"/>
      <c r="K316" s="887"/>
      <c r="L316" s="887">
        <f t="shared" ref="L316:N317" si="146">L319+L322</f>
        <v>0</v>
      </c>
      <c r="M316" s="887">
        <f t="shared" si="146"/>
        <v>0</v>
      </c>
      <c r="N316" s="887">
        <f t="shared" si="146"/>
        <v>0</v>
      </c>
      <c r="O316" s="887">
        <f t="shared" si="144"/>
        <v>0</v>
      </c>
      <c r="P316" s="887">
        <f t="shared" si="145"/>
        <v>0</v>
      </c>
      <c r="Q316" s="875"/>
      <c r="R316" s="875"/>
      <c r="S316" s="875"/>
      <c r="T316" s="875"/>
      <c r="U316" s="875"/>
      <c r="V316" s="875"/>
      <c r="W316" s="875"/>
      <c r="X316" s="875"/>
      <c r="Y316" s="875"/>
      <c r="Z316" s="875"/>
    </row>
    <row r="317" spans="1:26" ht="18.75" hidden="1">
      <c r="A317" s="993"/>
      <c r="B317" s="883"/>
      <c r="C317" s="883"/>
      <c r="D317" s="883"/>
      <c r="E317" s="884" t="s">
        <v>19</v>
      </c>
      <c r="F317" s="883"/>
      <c r="G317" s="994"/>
      <c r="H317" s="158" t="s">
        <v>12</v>
      </c>
      <c r="I317" s="886"/>
      <c r="J317" s="886"/>
      <c r="K317" s="887"/>
      <c r="L317" s="887">
        <f t="shared" ca="1" si="146"/>
        <v>0</v>
      </c>
      <c r="M317" s="887">
        <f t="shared" ca="1" si="146"/>
        <v>0</v>
      </c>
      <c r="N317" s="887">
        <f t="shared" ca="1" si="146"/>
        <v>0</v>
      </c>
      <c r="O317" s="887">
        <f t="shared" ca="1" si="144"/>
        <v>0</v>
      </c>
      <c r="P317" s="887">
        <f t="shared" ca="1" si="145"/>
        <v>0</v>
      </c>
      <c r="Q317" s="875"/>
      <c r="R317" s="875"/>
      <c r="S317" s="875"/>
      <c r="T317" s="875"/>
      <c r="U317" s="875"/>
      <c r="V317" s="875"/>
      <c r="W317" s="875"/>
      <c r="X317" s="875"/>
      <c r="Y317" s="875"/>
      <c r="Z317" s="875"/>
    </row>
    <row r="318" spans="1:26" ht="18.75" hidden="1">
      <c r="A318" s="995"/>
      <c r="B318" s="877"/>
      <c r="C318" s="996"/>
      <c r="D318" s="878" t="s">
        <v>20</v>
      </c>
      <c r="E318" s="877"/>
      <c r="F318" s="877"/>
      <c r="G318" s="879"/>
      <c r="H318" s="161" t="s">
        <v>12</v>
      </c>
      <c r="I318" s="997"/>
      <c r="J318" s="997"/>
      <c r="K318" s="998"/>
      <c r="L318" s="881">
        <f t="shared" ref="L318:N318" ca="1" si="147">L319+L320</f>
        <v>0</v>
      </c>
      <c r="M318" s="881">
        <f t="shared" ca="1" si="147"/>
        <v>0</v>
      </c>
      <c r="N318" s="881">
        <f t="shared" ca="1" si="147"/>
        <v>0</v>
      </c>
      <c r="O318" s="881">
        <f t="shared" ca="1" si="144"/>
        <v>0</v>
      </c>
      <c r="P318" s="881">
        <f t="shared" ca="1" si="145"/>
        <v>0</v>
      </c>
      <c r="Q318" s="868"/>
      <c r="R318" s="868"/>
      <c r="S318" s="868"/>
      <c r="T318" s="868"/>
      <c r="U318" s="868"/>
      <c r="V318" s="868"/>
      <c r="W318" s="868"/>
      <c r="X318" s="868"/>
      <c r="Y318" s="868"/>
      <c r="Z318" s="868"/>
    </row>
    <row r="319" spans="1:26" ht="19.5" hidden="1">
      <c r="A319" s="993"/>
      <c r="B319" s="883"/>
      <c r="C319" s="999"/>
      <c r="D319" s="883"/>
      <c r="E319" s="884" t="s">
        <v>36</v>
      </c>
      <c r="F319" s="883"/>
      <c r="G319" s="994"/>
      <c r="H319" s="165" t="s">
        <v>12</v>
      </c>
      <c r="I319" s="1000"/>
      <c r="J319" s="1000"/>
      <c r="K319" s="1001"/>
      <c r="L319" s="887">
        <v>0</v>
      </c>
      <c r="M319" s="887">
        <v>0</v>
      </c>
      <c r="N319" s="887">
        <v>0</v>
      </c>
      <c r="O319" s="887">
        <f t="shared" si="144"/>
        <v>0</v>
      </c>
      <c r="P319" s="887">
        <f t="shared" si="145"/>
        <v>0</v>
      </c>
      <c r="Q319" s="875"/>
      <c r="R319" s="875"/>
      <c r="S319" s="875"/>
      <c r="T319" s="875"/>
      <c r="U319" s="875"/>
      <c r="V319" s="875"/>
      <c r="W319" s="875"/>
      <c r="X319" s="875"/>
      <c r="Y319" s="875"/>
      <c r="Z319" s="875"/>
    </row>
    <row r="320" spans="1:26" ht="19.5" hidden="1">
      <c r="A320" s="993"/>
      <c r="B320" s="883"/>
      <c r="C320" s="999"/>
      <c r="D320" s="883"/>
      <c r="E320" s="884" t="s">
        <v>37</v>
      </c>
      <c r="F320" s="883"/>
      <c r="G320" s="994"/>
      <c r="H320" s="165" t="s">
        <v>12</v>
      </c>
      <c r="I320" s="1000"/>
      <c r="J320" s="1000"/>
      <c r="K320" s="1001"/>
      <c r="L320" s="887">
        <f ca="1">IFERROR(__xludf.DUMMYFUNCTION("IMPORTRANGE(""https://docs.google.com/spreadsheets/d/1MeEWN-I1oV_STSDYn1IFDPWt_1FKiwhDph83XaGc0o0/edit?usp=sharing"",""งบพรบ!EC82"")"),0)</f>
        <v>0</v>
      </c>
      <c r="M320" s="887">
        <f ca="1">IFERROR(__xludf.DUMMYFUNCTION("IMPORTRANGE(""https://docs.google.com/spreadsheets/d/1MeEWN-I1oV_STSDYn1IFDPWt_1FKiwhDph83XaGc0o0/edit?usp=sharing"",""งบพรบ!EH82"")"),0)</f>
        <v>0</v>
      </c>
      <c r="N320" s="887">
        <f ca="1">IFERROR(__xludf.DUMMYFUNCTION("IMPORTRANGE(""https://docs.google.com/spreadsheets/d/1MeEWN-I1oV_STSDYn1IFDPWt_1FKiwhDph83XaGc0o0/edit?usp=sharing"",""งบพรบ!EJ82"")"),0)</f>
        <v>0</v>
      </c>
      <c r="O320" s="887">
        <f t="shared" ca="1" si="144"/>
        <v>0</v>
      </c>
      <c r="P320" s="887">
        <f t="shared" ca="1" si="145"/>
        <v>0</v>
      </c>
      <c r="Q320" s="875"/>
      <c r="R320" s="875"/>
      <c r="S320" s="875"/>
      <c r="T320" s="875"/>
      <c r="U320" s="875"/>
      <c r="V320" s="875"/>
      <c r="W320" s="875"/>
      <c r="X320" s="875"/>
      <c r="Y320" s="875"/>
      <c r="Z320" s="875"/>
    </row>
    <row r="321" spans="1:26" ht="18.75" hidden="1">
      <c r="A321" s="995"/>
      <c r="B321" s="877"/>
      <c r="C321" s="996"/>
      <c r="D321" s="878" t="s">
        <v>21</v>
      </c>
      <c r="E321" s="877"/>
      <c r="F321" s="877"/>
      <c r="G321" s="879"/>
      <c r="H321" s="168" t="s">
        <v>12</v>
      </c>
      <c r="I321" s="997"/>
      <c r="J321" s="997"/>
      <c r="K321" s="998"/>
      <c r="L321" s="881">
        <f t="shared" ref="L321:N321" ca="1" si="148">L322+L323</f>
        <v>0</v>
      </c>
      <c r="M321" s="881">
        <f t="shared" ca="1" si="148"/>
        <v>0</v>
      </c>
      <c r="N321" s="881">
        <f t="shared" ca="1" si="148"/>
        <v>0</v>
      </c>
      <c r="O321" s="881">
        <f t="shared" ca="1" si="144"/>
        <v>0</v>
      </c>
      <c r="P321" s="881">
        <f t="shared" ca="1" si="145"/>
        <v>0</v>
      </c>
      <c r="Q321" s="868"/>
      <c r="R321" s="868"/>
      <c r="S321" s="868"/>
      <c r="T321" s="868"/>
      <c r="U321" s="868"/>
      <c r="V321" s="868"/>
      <c r="W321" s="868"/>
      <c r="X321" s="868"/>
      <c r="Y321" s="868"/>
      <c r="Z321" s="868"/>
    </row>
    <row r="322" spans="1:26" ht="19.5" hidden="1">
      <c r="A322" s="993"/>
      <c r="B322" s="883"/>
      <c r="C322" s="999"/>
      <c r="D322" s="883"/>
      <c r="E322" s="884" t="s">
        <v>18</v>
      </c>
      <c r="F322" s="883"/>
      <c r="G322" s="994"/>
      <c r="H322" s="165" t="s">
        <v>12</v>
      </c>
      <c r="I322" s="1000"/>
      <c r="J322" s="1000"/>
      <c r="K322" s="1001"/>
      <c r="L322" s="887">
        <v>0</v>
      </c>
      <c r="M322" s="887">
        <v>0</v>
      </c>
      <c r="N322" s="887">
        <v>0</v>
      </c>
      <c r="O322" s="887">
        <f t="shared" si="144"/>
        <v>0</v>
      </c>
      <c r="P322" s="887">
        <f t="shared" si="145"/>
        <v>0</v>
      </c>
      <c r="Q322" s="875"/>
      <c r="R322" s="875"/>
      <c r="S322" s="875"/>
      <c r="T322" s="875"/>
      <c r="U322" s="875"/>
      <c r="V322" s="875"/>
      <c r="W322" s="875"/>
      <c r="X322" s="875"/>
      <c r="Y322" s="875"/>
      <c r="Z322" s="875"/>
    </row>
    <row r="323" spans="1:26" ht="19.5" hidden="1">
      <c r="A323" s="993"/>
      <c r="B323" s="883"/>
      <c r="C323" s="999"/>
      <c r="D323" s="883"/>
      <c r="E323" s="884" t="s">
        <v>19</v>
      </c>
      <c r="F323" s="883"/>
      <c r="G323" s="994"/>
      <c r="H323" s="169" t="s">
        <v>12</v>
      </c>
      <c r="I323" s="1000"/>
      <c r="J323" s="1000"/>
      <c r="K323" s="1001"/>
      <c r="L323" s="887">
        <f ca="1">IFERROR(__xludf.DUMMYFUNCTION("IMPORTRANGE(""https://docs.google.com/spreadsheets/d/1MeEWN-I1oV_STSDYn1IFDPWt_1FKiwhDph83XaGc0o0/edit?usp=sharing"",""งบพรบ!EF82"")"),0)</f>
        <v>0</v>
      </c>
      <c r="M323" s="887">
        <f ca="1">IFERROR(__xludf.DUMMYFUNCTION("IMPORTRANGE(""https://docs.google.com/spreadsheets/d/1MeEWN-I1oV_STSDYn1IFDPWt_1FKiwhDph83XaGc0o0/edit?usp=sharing"",""งบพรบ!EI82"")"),0)</f>
        <v>0</v>
      </c>
      <c r="N323" s="887">
        <f ca="1">IFERROR(__xludf.DUMMYFUNCTION("IMPORTRANGE(""https://docs.google.com/spreadsheets/d/1MeEWN-I1oV_STSDYn1IFDPWt_1FKiwhDph83XaGc0o0/edit?usp=sharing"",""งบพรบ!EK82"")"),0)</f>
        <v>0</v>
      </c>
      <c r="O323" s="887">
        <f t="shared" ca="1" si="144"/>
        <v>0</v>
      </c>
      <c r="P323" s="887">
        <f t="shared" ca="1" si="145"/>
        <v>0</v>
      </c>
      <c r="Q323" s="875"/>
      <c r="R323" s="875"/>
      <c r="S323" s="875"/>
      <c r="T323" s="875"/>
      <c r="U323" s="875"/>
      <c r="V323" s="875"/>
      <c r="W323" s="875"/>
      <c r="X323" s="875"/>
      <c r="Y323" s="875"/>
      <c r="Z323" s="875"/>
    </row>
    <row r="324" spans="1:26" ht="19.5" hidden="1">
      <c r="A324" s="1002"/>
      <c r="B324" s="1003"/>
      <c r="C324" s="999" t="s">
        <v>16</v>
      </c>
      <c r="D324" s="1004" t="s">
        <v>38</v>
      </c>
      <c r="E324" s="1005"/>
      <c r="F324" s="1005"/>
      <c r="G324" s="1006"/>
      <c r="H324" s="1007"/>
      <c r="I324" s="997"/>
      <c r="J324" s="880"/>
      <c r="K324" s="881"/>
      <c r="L324" s="881"/>
      <c r="M324" s="881"/>
      <c r="N324" s="881"/>
      <c r="O324" s="998"/>
      <c r="P324" s="998"/>
    </row>
    <row r="325" spans="1:26" ht="18.75" hidden="1">
      <c r="A325" s="1002"/>
      <c r="B325" s="1003"/>
      <c r="C325" s="1003"/>
      <c r="D325" s="1008" t="s">
        <v>147</v>
      </c>
      <c r="E325" s="1010"/>
      <c r="F325" s="1009"/>
      <c r="G325" s="1011"/>
      <c r="H325" s="622" t="s">
        <v>146</v>
      </c>
      <c r="I325" s="880">
        <f ca="1">IFERROR(__xludf.DUMMYFUNCTION("IMPORTRANGE(""https://docs.google.com/spreadsheets/d/1QqKyyYR6Q21VydFLVH3TRQUabQu_ym0Zz7PgGX0-kHA/edit?usp=sharing"",""แผน!EF82"")"),0)</f>
        <v>0</v>
      </c>
      <c r="J325" s="1012">
        <v>0</v>
      </c>
      <c r="K325" s="881">
        <f ca="1">IF(I325&gt;0,J325*100/I325,0)</f>
        <v>0</v>
      </c>
      <c r="L325" s="881"/>
      <c r="M325" s="881"/>
      <c r="N325" s="881"/>
      <c r="O325" s="998"/>
      <c r="P325" s="998"/>
    </row>
    <row r="326" spans="1:26" ht="19.5">
      <c r="A326" s="1179" t="s">
        <v>148</v>
      </c>
      <c r="B326" s="1180"/>
      <c r="C326" s="1180"/>
      <c r="D326" s="1181"/>
      <c r="E326" s="1180"/>
      <c r="F326" s="1180"/>
      <c r="G326" s="1180"/>
      <c r="H326" s="1193"/>
      <c r="I326" s="1184"/>
      <c r="J326" s="1184"/>
      <c r="K326" s="1185"/>
      <c r="L326" s="1185"/>
      <c r="M326" s="1185"/>
      <c r="N326" s="1185"/>
      <c r="O326" s="1185"/>
      <c r="P326" s="1185"/>
    </row>
    <row r="327" spans="1:26" ht="19.5">
      <c r="A327" s="1186"/>
      <c r="B327" s="1187" t="s">
        <v>149</v>
      </c>
      <c r="C327" s="1196"/>
      <c r="D327" s="1188"/>
      <c r="E327" s="1188"/>
      <c r="F327" s="1188"/>
      <c r="G327" s="1189"/>
      <c r="H327" s="444" t="s">
        <v>35</v>
      </c>
      <c r="I327" s="1190">
        <f ca="1">IFERROR(__xludf.DUMMYFUNCTION("IMPORTRANGE(""https://docs.google.com/spreadsheets/d/1QqKyyYR6Q21VydFLVH3TRQUabQu_ym0Zz7PgGX0-kHA/edit?usp=sharing"",""แผน!EG82"")"),1200)</f>
        <v>1200</v>
      </c>
      <c r="J327" s="1190">
        <f ca="1">J338+J341+J342+J343</f>
        <v>1071</v>
      </c>
      <c r="K327" s="1191">
        <f ca="1">IF(I327&gt;0,J327*100/I327,0)</f>
        <v>89.25</v>
      </c>
      <c r="L327" s="1192"/>
      <c r="M327" s="1192"/>
      <c r="N327" s="1192"/>
      <c r="O327" s="1192"/>
      <c r="P327" s="1192"/>
    </row>
    <row r="328" spans="1:26" ht="19.5">
      <c r="A328" s="985"/>
      <c r="B328" s="986"/>
      <c r="C328" s="987" t="s">
        <v>16</v>
      </c>
      <c r="D328" s="988" t="s">
        <v>17</v>
      </c>
      <c r="E328" s="986"/>
      <c r="F328" s="986"/>
      <c r="G328" s="989"/>
      <c r="H328" s="152" t="s">
        <v>12</v>
      </c>
      <c r="I328" s="990"/>
      <c r="J328" s="990"/>
      <c r="K328" s="991"/>
      <c r="L328" s="992">
        <f t="shared" ref="L328:N328" ca="1" si="149">L329+L330</f>
        <v>162000</v>
      </c>
      <c r="M328" s="992">
        <f t="shared" ca="1" si="149"/>
        <v>124000</v>
      </c>
      <c r="N328" s="992">
        <f t="shared" ca="1" si="149"/>
        <v>57869</v>
      </c>
      <c r="O328" s="992">
        <f t="shared" ref="O328:O336" ca="1" si="150">IF(L328&gt;0,N328*100/L328,0)</f>
        <v>35.721604938271604</v>
      </c>
      <c r="P328" s="992">
        <f t="shared" ref="P328:P336" ca="1" si="151">IF(M328&gt;0,N328*100/M328,0)</f>
        <v>46.668548387096777</v>
      </c>
      <c r="Q328" s="868"/>
      <c r="R328" s="868"/>
      <c r="S328" s="868"/>
      <c r="T328" s="868"/>
      <c r="U328" s="868"/>
      <c r="V328" s="868"/>
      <c r="W328" s="868"/>
      <c r="X328" s="868"/>
      <c r="Y328" s="868"/>
      <c r="Z328" s="868"/>
    </row>
    <row r="329" spans="1:26" ht="18.75" hidden="1">
      <c r="A329" s="993"/>
      <c r="B329" s="883"/>
      <c r="C329" s="883"/>
      <c r="D329" s="883"/>
      <c r="E329" s="884" t="s">
        <v>18</v>
      </c>
      <c r="F329" s="883"/>
      <c r="G329" s="994"/>
      <c r="H329" s="158" t="s">
        <v>12</v>
      </c>
      <c r="I329" s="886"/>
      <c r="J329" s="886"/>
      <c r="K329" s="887"/>
      <c r="L329" s="887">
        <f t="shared" ref="L329:N330" si="152">L332+L335</f>
        <v>0</v>
      </c>
      <c r="M329" s="887">
        <f t="shared" si="152"/>
        <v>0</v>
      </c>
      <c r="N329" s="887">
        <f t="shared" si="152"/>
        <v>0</v>
      </c>
      <c r="O329" s="887">
        <f t="shared" si="150"/>
        <v>0</v>
      </c>
      <c r="P329" s="887">
        <f t="shared" si="151"/>
        <v>0</v>
      </c>
      <c r="Q329" s="875"/>
      <c r="R329" s="875"/>
      <c r="S329" s="875"/>
      <c r="T329" s="875"/>
      <c r="U329" s="875"/>
      <c r="V329" s="875"/>
      <c r="W329" s="875"/>
      <c r="X329" s="875"/>
      <c r="Y329" s="875"/>
      <c r="Z329" s="875"/>
    </row>
    <row r="330" spans="1:26" ht="18.75" hidden="1">
      <c r="A330" s="993"/>
      <c r="B330" s="883"/>
      <c r="C330" s="883"/>
      <c r="D330" s="883"/>
      <c r="E330" s="884" t="s">
        <v>19</v>
      </c>
      <c r="F330" s="883"/>
      <c r="G330" s="994"/>
      <c r="H330" s="158" t="s">
        <v>12</v>
      </c>
      <c r="I330" s="886"/>
      <c r="J330" s="886"/>
      <c r="K330" s="887"/>
      <c r="L330" s="887">
        <f t="shared" ca="1" si="152"/>
        <v>162000</v>
      </c>
      <c r="M330" s="887">
        <f t="shared" ca="1" si="152"/>
        <v>124000</v>
      </c>
      <c r="N330" s="887">
        <f t="shared" ca="1" si="152"/>
        <v>57869</v>
      </c>
      <c r="O330" s="887">
        <f t="shared" ca="1" si="150"/>
        <v>35.721604938271604</v>
      </c>
      <c r="P330" s="887">
        <f t="shared" ca="1" si="151"/>
        <v>46.668548387096777</v>
      </c>
      <c r="Q330" s="875"/>
      <c r="R330" s="875"/>
      <c r="S330" s="875"/>
      <c r="T330" s="875"/>
      <c r="U330" s="875"/>
      <c r="V330" s="875"/>
      <c r="W330" s="875"/>
      <c r="X330" s="875"/>
      <c r="Y330" s="875"/>
      <c r="Z330" s="875"/>
    </row>
    <row r="331" spans="1:26" ht="18.75">
      <c r="A331" s="995"/>
      <c r="B331" s="877"/>
      <c r="C331" s="996"/>
      <c r="D331" s="878" t="s">
        <v>20</v>
      </c>
      <c r="E331" s="877"/>
      <c r="F331" s="877"/>
      <c r="G331" s="879"/>
      <c r="H331" s="161" t="s">
        <v>12</v>
      </c>
      <c r="I331" s="997"/>
      <c r="J331" s="997"/>
      <c r="K331" s="998"/>
      <c r="L331" s="881">
        <f t="shared" ref="L331:N331" ca="1" si="153">L332+L333</f>
        <v>162000</v>
      </c>
      <c r="M331" s="881">
        <f t="shared" ca="1" si="153"/>
        <v>124000</v>
      </c>
      <c r="N331" s="881">
        <f t="shared" ca="1" si="153"/>
        <v>57869</v>
      </c>
      <c r="O331" s="881">
        <f t="shared" ca="1" si="150"/>
        <v>35.721604938271604</v>
      </c>
      <c r="P331" s="881">
        <f t="shared" ca="1" si="151"/>
        <v>46.668548387096777</v>
      </c>
      <c r="Q331" s="868"/>
      <c r="R331" s="868"/>
      <c r="S331" s="868"/>
      <c r="T331" s="868"/>
      <c r="U331" s="868"/>
      <c r="V331" s="868"/>
      <c r="W331" s="868"/>
      <c r="X331" s="868"/>
      <c r="Y331" s="868"/>
      <c r="Z331" s="868"/>
    </row>
    <row r="332" spans="1:26" ht="19.5" hidden="1">
      <c r="A332" s="993"/>
      <c r="B332" s="883"/>
      <c r="C332" s="999"/>
      <c r="D332" s="883"/>
      <c r="E332" s="884" t="s">
        <v>36</v>
      </c>
      <c r="F332" s="883"/>
      <c r="G332" s="994"/>
      <c r="H332" s="165" t="s">
        <v>12</v>
      </c>
      <c r="I332" s="1000"/>
      <c r="J332" s="1000"/>
      <c r="K332" s="1001"/>
      <c r="L332" s="887">
        <v>0</v>
      </c>
      <c r="M332" s="887">
        <v>0</v>
      </c>
      <c r="N332" s="887">
        <v>0</v>
      </c>
      <c r="O332" s="887">
        <f t="shared" si="150"/>
        <v>0</v>
      </c>
      <c r="P332" s="887">
        <f t="shared" si="151"/>
        <v>0</v>
      </c>
      <c r="Q332" s="875"/>
      <c r="R332" s="875"/>
      <c r="S332" s="875"/>
      <c r="T332" s="875"/>
      <c r="U332" s="875"/>
      <c r="V332" s="875"/>
      <c r="W332" s="875"/>
      <c r="X332" s="875"/>
      <c r="Y332" s="875"/>
      <c r="Z332" s="875"/>
    </row>
    <row r="333" spans="1:26" ht="19.5" hidden="1">
      <c r="A333" s="993"/>
      <c r="B333" s="883"/>
      <c r="C333" s="999"/>
      <c r="D333" s="883"/>
      <c r="E333" s="884" t="s">
        <v>37</v>
      </c>
      <c r="F333" s="883"/>
      <c r="G333" s="994"/>
      <c r="H333" s="165" t="s">
        <v>12</v>
      </c>
      <c r="I333" s="1000"/>
      <c r="J333" s="1000"/>
      <c r="K333" s="1001"/>
      <c r="L333" s="887">
        <f ca="1">IFERROR(__xludf.DUMMYFUNCTION("IMPORTRANGE(""https://docs.google.com/spreadsheets/d/1MeEWN-I1oV_STSDYn1IFDPWt_1FKiwhDph83XaGc0o0/edit?usp=sharing"",""งบพรบ!EM82"")"),162000)</f>
        <v>162000</v>
      </c>
      <c r="M333" s="887">
        <f ca="1">IFERROR(__xludf.DUMMYFUNCTION("IMPORTRANGE(""https://docs.google.com/spreadsheets/d/1MeEWN-I1oV_STSDYn1IFDPWt_1FKiwhDph83XaGc0o0/edit?usp=sharing"",""งบพรบ!ER82"")"),124000)</f>
        <v>124000</v>
      </c>
      <c r="N333" s="887">
        <f ca="1">IFERROR(__xludf.DUMMYFUNCTION("IMPORTRANGE(""https://docs.google.com/spreadsheets/d/1MeEWN-I1oV_STSDYn1IFDPWt_1FKiwhDph83XaGc0o0/edit?usp=sharing"",""งบพรบ!ET82"")"),57869)</f>
        <v>57869</v>
      </c>
      <c r="O333" s="887">
        <f t="shared" ca="1" si="150"/>
        <v>35.721604938271604</v>
      </c>
      <c r="P333" s="887">
        <f t="shared" ca="1" si="151"/>
        <v>46.668548387096777</v>
      </c>
      <c r="Q333" s="875"/>
      <c r="R333" s="875"/>
      <c r="S333" s="875"/>
      <c r="T333" s="875"/>
      <c r="U333" s="875"/>
      <c r="V333" s="875"/>
      <c r="W333" s="875"/>
      <c r="X333" s="875"/>
      <c r="Y333" s="875"/>
      <c r="Z333" s="875"/>
    </row>
    <row r="334" spans="1:26" ht="18.75">
      <c r="A334" s="995"/>
      <c r="B334" s="877"/>
      <c r="C334" s="996"/>
      <c r="D334" s="878" t="s">
        <v>21</v>
      </c>
      <c r="E334" s="877"/>
      <c r="F334" s="877"/>
      <c r="G334" s="879"/>
      <c r="H334" s="168" t="s">
        <v>12</v>
      </c>
      <c r="I334" s="997"/>
      <c r="J334" s="997"/>
      <c r="K334" s="998"/>
      <c r="L334" s="881">
        <f t="shared" ref="L334:N334" ca="1" si="154">L335+L336</f>
        <v>0</v>
      </c>
      <c r="M334" s="881">
        <f t="shared" ca="1" si="154"/>
        <v>0</v>
      </c>
      <c r="N334" s="881">
        <f t="shared" ca="1" si="154"/>
        <v>0</v>
      </c>
      <c r="O334" s="881">
        <f t="shared" ca="1" si="150"/>
        <v>0</v>
      </c>
      <c r="P334" s="881">
        <f t="shared" ca="1" si="151"/>
        <v>0</v>
      </c>
      <c r="Q334" s="868"/>
      <c r="R334" s="868"/>
      <c r="S334" s="868"/>
      <c r="T334" s="868"/>
      <c r="U334" s="868"/>
      <c r="V334" s="868"/>
      <c r="W334" s="868"/>
      <c r="X334" s="868"/>
      <c r="Y334" s="868"/>
      <c r="Z334" s="868"/>
    </row>
    <row r="335" spans="1:26" ht="19.5" hidden="1">
      <c r="A335" s="993"/>
      <c r="B335" s="883"/>
      <c r="C335" s="999"/>
      <c r="D335" s="883"/>
      <c r="E335" s="884" t="s">
        <v>18</v>
      </c>
      <c r="F335" s="883"/>
      <c r="G335" s="994"/>
      <c r="H335" s="165" t="s">
        <v>12</v>
      </c>
      <c r="I335" s="1000"/>
      <c r="J335" s="1000"/>
      <c r="K335" s="1001"/>
      <c r="L335" s="887">
        <v>0</v>
      </c>
      <c r="M335" s="887">
        <v>0</v>
      </c>
      <c r="N335" s="887">
        <v>0</v>
      </c>
      <c r="O335" s="887">
        <f t="shared" si="150"/>
        <v>0</v>
      </c>
      <c r="P335" s="887">
        <f t="shared" si="151"/>
        <v>0</v>
      </c>
      <c r="Q335" s="875"/>
      <c r="R335" s="875"/>
      <c r="S335" s="875"/>
      <c r="T335" s="875"/>
      <c r="U335" s="875"/>
      <c r="V335" s="875"/>
      <c r="W335" s="875"/>
      <c r="X335" s="875"/>
      <c r="Y335" s="875"/>
      <c r="Z335" s="875"/>
    </row>
    <row r="336" spans="1:26" ht="19.5" hidden="1">
      <c r="A336" s="993"/>
      <c r="B336" s="883"/>
      <c r="C336" s="999"/>
      <c r="D336" s="883"/>
      <c r="E336" s="884" t="s">
        <v>19</v>
      </c>
      <c r="F336" s="883"/>
      <c r="G336" s="994"/>
      <c r="H336" s="169" t="s">
        <v>12</v>
      </c>
      <c r="I336" s="1000"/>
      <c r="J336" s="1000"/>
      <c r="K336" s="1001"/>
      <c r="L336" s="887">
        <f ca="1">IFERROR(__xludf.DUMMYFUNCTION("IMPORTRANGE(""https://docs.google.com/spreadsheets/d/1MeEWN-I1oV_STSDYn1IFDPWt_1FKiwhDph83XaGc0o0/edit?usp=sharing"",""งบพรบ!EP82"")"),0)</f>
        <v>0</v>
      </c>
      <c r="M336" s="887">
        <f ca="1">IFERROR(__xludf.DUMMYFUNCTION("IMPORTRANGE(""https://docs.google.com/spreadsheets/d/1MeEWN-I1oV_STSDYn1IFDPWt_1FKiwhDph83XaGc0o0/edit?usp=sharing"",""งบพรบ!ES82"")"),0)</f>
        <v>0</v>
      </c>
      <c r="N336" s="887">
        <f ca="1">IFERROR(__xludf.DUMMYFUNCTION("IMPORTRANGE(""https://docs.google.com/spreadsheets/d/1MeEWN-I1oV_STSDYn1IFDPWt_1FKiwhDph83XaGc0o0/edit?usp=sharing"",""งบพรบ!EU82"")"),0)</f>
        <v>0</v>
      </c>
      <c r="O336" s="887">
        <f t="shared" ca="1" si="150"/>
        <v>0</v>
      </c>
      <c r="P336" s="887">
        <f t="shared" ca="1" si="151"/>
        <v>0</v>
      </c>
      <c r="Q336" s="875"/>
      <c r="R336" s="875"/>
      <c r="S336" s="875"/>
      <c r="T336" s="875"/>
      <c r="U336" s="875"/>
      <c r="V336" s="875"/>
      <c r="W336" s="875"/>
      <c r="X336" s="875"/>
      <c r="Y336" s="875"/>
      <c r="Z336" s="875"/>
    </row>
    <row r="337" spans="1:26" ht="19.5">
      <c r="A337" s="1002"/>
      <c r="B337" s="1003"/>
      <c r="C337" s="999" t="s">
        <v>16</v>
      </c>
      <c r="D337" s="1004" t="s">
        <v>38</v>
      </c>
      <c r="E337" s="1005"/>
      <c r="F337" s="1005"/>
      <c r="G337" s="1006"/>
      <c r="H337" s="1007"/>
      <c r="I337" s="997"/>
      <c r="J337" s="880"/>
      <c r="K337" s="881"/>
      <c r="L337" s="881"/>
      <c r="M337" s="881"/>
      <c r="N337" s="881"/>
      <c r="O337" s="998"/>
      <c r="P337" s="998"/>
    </row>
    <row r="338" spans="1:26" ht="18.75">
      <c r="A338" s="1086"/>
      <c r="B338" s="877"/>
      <c r="C338" s="1084"/>
      <c r="D338" s="1009" t="s">
        <v>150</v>
      </c>
      <c r="E338" s="1003"/>
      <c r="F338" s="877"/>
      <c r="G338" s="879"/>
      <c r="H338" s="277" t="s">
        <v>35</v>
      </c>
      <c r="I338" s="880">
        <f ca="1">IFERROR(__xludf.DUMMYFUNCTION("IMPORTRANGE(""https://docs.google.com/spreadsheets/d/1QqKyyYR6Q21VydFLVH3TRQUabQu_ym0Zz7PgGX0-kHA/edit?usp=sharing"",""แผน!EG82"")"),1200)</f>
        <v>1200</v>
      </c>
      <c r="J338" s="880">
        <f ca="1">IFERROR(__xludf.DUMMYFUNCTION("IMPORTRANGE(""https://docs.google.com/spreadsheets/d/1kVcqe37tkHyjCSG3S0O1AXqVkqjo8mSIZil3BcpIysc/edit?usp=sharing"",""ศูนย์!D82"")"),1024)</f>
        <v>1024</v>
      </c>
      <c r="K338" s="881">
        <f ca="1">IF(I338&gt;0,J338*100/I338,0)</f>
        <v>85.333333333333329</v>
      </c>
      <c r="L338" s="881"/>
      <c r="M338" s="881"/>
      <c r="N338" s="881"/>
      <c r="O338" s="881"/>
      <c r="P338" s="881"/>
    </row>
    <row r="339" spans="1:26" ht="18.75">
      <c r="A339" s="1086"/>
      <c r="B339" s="877"/>
      <c r="C339" s="1084"/>
      <c r="D339" s="1009" t="s">
        <v>151</v>
      </c>
      <c r="E339" s="1003"/>
      <c r="F339" s="877"/>
      <c r="G339" s="879"/>
      <c r="H339" s="277"/>
      <c r="I339" s="880"/>
      <c r="J339" s="880"/>
      <c r="K339" s="881"/>
      <c r="L339" s="881"/>
      <c r="M339" s="881"/>
      <c r="N339" s="881"/>
      <c r="O339" s="881"/>
      <c r="P339" s="881"/>
    </row>
    <row r="340" spans="1:26" ht="18.75">
      <c r="A340" s="1086"/>
      <c r="B340" s="877"/>
      <c r="C340" s="1084"/>
      <c r="D340" s="1010"/>
      <c r="E340" s="1009" t="s">
        <v>152</v>
      </c>
      <c r="F340" s="877"/>
      <c r="G340" s="879"/>
      <c r="H340" s="277" t="s">
        <v>153</v>
      </c>
      <c r="I340" s="880">
        <f ca="1">IFERROR(__xludf.DUMMYFUNCTION("IMPORTRANGE(""https://docs.google.com/spreadsheets/d/1QqKyyYR6Q21VydFLVH3TRQUabQu_ym0Zz7PgGX0-kHA/edit?usp=sharing"",""แผน!EH82"")"),2)</f>
        <v>2</v>
      </c>
      <c r="J340" s="880">
        <f ca="1">IFERROR(__xludf.DUMMYFUNCTION("IMPORTRANGE(""https://docs.google.com/spreadsheets/d/1kVcqe37tkHyjCSG3S0O1AXqVkqjo8mSIZil3BcpIysc/edit?usp=sharing"",""ศูนย์!E82"")"),2)</f>
        <v>2</v>
      </c>
      <c r="K340" s="881">
        <f ca="1">IF(I340&gt;0,J340*100/I340,0)</f>
        <v>100</v>
      </c>
      <c r="L340" s="881"/>
      <c r="M340" s="881"/>
      <c r="N340" s="881"/>
      <c r="O340" s="881"/>
      <c r="P340" s="881"/>
    </row>
    <row r="341" spans="1:26" ht="18.75">
      <c r="A341" s="1086"/>
      <c r="B341" s="877"/>
      <c r="C341" s="1084"/>
      <c r="D341" s="1010"/>
      <c r="E341" s="1009" t="s">
        <v>154</v>
      </c>
      <c r="F341" s="877"/>
      <c r="G341" s="879"/>
      <c r="H341" s="277" t="s">
        <v>35</v>
      </c>
      <c r="I341" s="880"/>
      <c r="J341" s="880">
        <f ca="1">IFERROR(__xludf.DUMMYFUNCTION("IMPORTRANGE(""https://docs.google.com/spreadsheets/d/1kVcqe37tkHyjCSG3S0O1AXqVkqjo8mSIZil3BcpIysc/edit?usp=sharing"",""ศูนย์!F82"")"),47)</f>
        <v>47</v>
      </c>
      <c r="K341" s="881"/>
      <c r="L341" s="881"/>
      <c r="M341" s="881"/>
      <c r="N341" s="881"/>
      <c r="O341" s="881"/>
      <c r="P341" s="881"/>
    </row>
    <row r="342" spans="1:26" ht="18.75">
      <c r="A342" s="1086"/>
      <c r="B342" s="877"/>
      <c r="C342" s="1084"/>
      <c r="D342" s="1009" t="s">
        <v>155</v>
      </c>
      <c r="E342" s="1010"/>
      <c r="F342" s="1010"/>
      <c r="G342" s="879"/>
      <c r="H342" s="277" t="s">
        <v>35</v>
      </c>
      <c r="I342" s="880"/>
      <c r="J342" s="880">
        <f ca="1">IFERROR(__xludf.DUMMYFUNCTION("IMPORTRANGE(""https://docs.google.com/spreadsheets/d/1kVcqe37tkHyjCSG3S0O1AXqVkqjo8mSIZil3BcpIysc/edit?usp=sharing"",""ศูนย์!G82"")"),0)</f>
        <v>0</v>
      </c>
      <c r="K342" s="881"/>
      <c r="L342" s="881"/>
      <c r="M342" s="881"/>
      <c r="N342" s="881"/>
      <c r="O342" s="881"/>
      <c r="P342" s="881"/>
    </row>
    <row r="343" spans="1:26" ht="18.75">
      <c r="A343" s="1086"/>
      <c r="B343" s="877"/>
      <c r="C343" s="1084"/>
      <c r="D343" s="1009" t="s">
        <v>156</v>
      </c>
      <c r="E343" s="1010"/>
      <c r="F343" s="1010"/>
      <c r="G343" s="879"/>
      <c r="H343" s="277" t="s">
        <v>35</v>
      </c>
      <c r="I343" s="880"/>
      <c r="J343" s="880">
        <f ca="1">IFERROR(__xludf.DUMMYFUNCTION("IMPORTRANGE(""https://docs.google.com/spreadsheets/d/1kVcqe37tkHyjCSG3S0O1AXqVkqjo8mSIZil3BcpIysc/edit?usp=sharing"",""ศูนย์!H82"")"),0)</f>
        <v>0</v>
      </c>
      <c r="K343" s="881"/>
      <c r="L343" s="881"/>
      <c r="M343" s="881"/>
      <c r="N343" s="881"/>
      <c r="O343" s="881"/>
      <c r="P343" s="881"/>
    </row>
    <row r="344" spans="1:26" ht="19.5">
      <c r="A344" s="1186"/>
      <c r="B344" s="1187" t="s">
        <v>157</v>
      </c>
      <c r="C344" s="1196"/>
      <c r="D344" s="1188"/>
      <c r="E344" s="1188"/>
      <c r="F344" s="1188"/>
      <c r="G344" s="1189"/>
      <c r="H344" s="444"/>
      <c r="I344" s="1197"/>
      <c r="J344" s="1197"/>
      <c r="K344" s="1192"/>
      <c r="L344" s="1192"/>
      <c r="M344" s="1192"/>
      <c r="N344" s="1192"/>
      <c r="O344" s="1192"/>
      <c r="P344" s="1192"/>
    </row>
    <row r="345" spans="1:26" ht="19.5">
      <c r="A345" s="985"/>
      <c r="B345" s="986"/>
      <c r="C345" s="987" t="s">
        <v>16</v>
      </c>
      <c r="D345" s="988" t="s">
        <v>17</v>
      </c>
      <c r="E345" s="986"/>
      <c r="F345" s="986"/>
      <c r="G345" s="989"/>
      <c r="H345" s="152" t="s">
        <v>12</v>
      </c>
      <c r="I345" s="990"/>
      <c r="J345" s="990"/>
      <c r="K345" s="991"/>
      <c r="L345" s="992">
        <f t="shared" ref="L345:N345" ca="1" si="155">L346+L347</f>
        <v>444870</v>
      </c>
      <c r="M345" s="992">
        <f t="shared" ca="1" si="155"/>
        <v>358020</v>
      </c>
      <c r="N345" s="992">
        <f t="shared" ca="1" si="155"/>
        <v>211945.7</v>
      </c>
      <c r="O345" s="992">
        <f t="shared" ref="O345:O353" ca="1" si="156">IF(L345&gt;0,N345*100/L345,0)</f>
        <v>47.642165126891001</v>
      </c>
      <c r="P345" s="992">
        <f t="shared" ref="P345:P353" ca="1" si="157">IF(M345&gt;0,N345*100/M345,0)</f>
        <v>59.199402268029722</v>
      </c>
      <c r="Q345" s="868"/>
      <c r="R345" s="868"/>
      <c r="S345" s="868"/>
      <c r="T345" s="868"/>
      <c r="U345" s="868"/>
      <c r="V345" s="868"/>
      <c r="W345" s="868"/>
      <c r="X345" s="868"/>
      <c r="Y345" s="868"/>
      <c r="Z345" s="868"/>
    </row>
    <row r="346" spans="1:26" ht="18.75" hidden="1">
      <c r="A346" s="993"/>
      <c r="B346" s="883"/>
      <c r="C346" s="883"/>
      <c r="D346" s="883"/>
      <c r="E346" s="884" t="s">
        <v>18</v>
      </c>
      <c r="F346" s="883"/>
      <c r="G346" s="994"/>
      <c r="H346" s="158" t="s">
        <v>12</v>
      </c>
      <c r="I346" s="886"/>
      <c r="J346" s="886"/>
      <c r="K346" s="887"/>
      <c r="L346" s="887">
        <f t="shared" ref="L346:N347" si="158">L349+L352</f>
        <v>0</v>
      </c>
      <c r="M346" s="887">
        <f t="shared" si="158"/>
        <v>0</v>
      </c>
      <c r="N346" s="887">
        <f t="shared" si="158"/>
        <v>0</v>
      </c>
      <c r="O346" s="887">
        <f t="shared" si="156"/>
        <v>0</v>
      </c>
      <c r="P346" s="887">
        <f t="shared" si="157"/>
        <v>0</v>
      </c>
      <c r="Q346" s="875"/>
      <c r="R346" s="875"/>
      <c r="S346" s="875"/>
      <c r="T346" s="875"/>
      <c r="U346" s="875"/>
      <c r="V346" s="875"/>
      <c r="W346" s="875"/>
      <c r="X346" s="875"/>
      <c r="Y346" s="875"/>
      <c r="Z346" s="875"/>
    </row>
    <row r="347" spans="1:26" ht="18.75" hidden="1">
      <c r="A347" s="993"/>
      <c r="B347" s="883"/>
      <c r="C347" s="883"/>
      <c r="D347" s="883"/>
      <c r="E347" s="884" t="s">
        <v>19</v>
      </c>
      <c r="F347" s="883"/>
      <c r="G347" s="994"/>
      <c r="H347" s="158" t="s">
        <v>12</v>
      </c>
      <c r="I347" s="886"/>
      <c r="J347" s="886"/>
      <c r="K347" s="887"/>
      <c r="L347" s="887">
        <f t="shared" ca="1" si="158"/>
        <v>444870</v>
      </c>
      <c r="M347" s="887">
        <f t="shared" ca="1" si="158"/>
        <v>358020</v>
      </c>
      <c r="N347" s="887">
        <f t="shared" ca="1" si="158"/>
        <v>211945.7</v>
      </c>
      <c r="O347" s="887">
        <f t="shared" ca="1" si="156"/>
        <v>47.642165126891001</v>
      </c>
      <c r="P347" s="887">
        <f t="shared" ca="1" si="157"/>
        <v>59.199402268029722</v>
      </c>
      <c r="Q347" s="875"/>
      <c r="R347" s="875"/>
      <c r="S347" s="875"/>
      <c r="T347" s="875"/>
      <c r="U347" s="875"/>
      <c r="V347" s="875"/>
      <c r="W347" s="875"/>
      <c r="X347" s="875"/>
      <c r="Y347" s="875"/>
      <c r="Z347" s="875"/>
    </row>
    <row r="348" spans="1:26" ht="18.75">
      <c r="A348" s="995"/>
      <c r="B348" s="877"/>
      <c r="C348" s="996"/>
      <c r="D348" s="878" t="s">
        <v>20</v>
      </c>
      <c r="E348" s="877"/>
      <c r="F348" s="877"/>
      <c r="G348" s="879"/>
      <c r="H348" s="161" t="s">
        <v>12</v>
      </c>
      <c r="I348" s="997"/>
      <c r="J348" s="997"/>
      <c r="K348" s="998"/>
      <c r="L348" s="881">
        <f t="shared" ref="L348:N348" ca="1" si="159">L349+L350</f>
        <v>399870</v>
      </c>
      <c r="M348" s="881">
        <f t="shared" ca="1" si="159"/>
        <v>313020</v>
      </c>
      <c r="N348" s="881">
        <f t="shared" ca="1" si="159"/>
        <v>166945.70000000001</v>
      </c>
      <c r="O348" s="881">
        <f t="shared" ca="1" si="156"/>
        <v>41.749993747968091</v>
      </c>
      <c r="P348" s="881">
        <f t="shared" ca="1" si="157"/>
        <v>53.333876429621114</v>
      </c>
      <c r="Q348" s="868"/>
      <c r="R348" s="868"/>
      <c r="S348" s="868"/>
      <c r="T348" s="868"/>
      <c r="U348" s="868"/>
      <c r="V348" s="868"/>
      <c r="W348" s="868"/>
      <c r="X348" s="868"/>
      <c r="Y348" s="868"/>
      <c r="Z348" s="868"/>
    </row>
    <row r="349" spans="1:26" ht="19.5" hidden="1">
      <c r="A349" s="993"/>
      <c r="B349" s="883"/>
      <c r="C349" s="999"/>
      <c r="D349" s="883"/>
      <c r="E349" s="884" t="s">
        <v>36</v>
      </c>
      <c r="F349" s="883"/>
      <c r="G349" s="994"/>
      <c r="H349" s="165" t="s">
        <v>12</v>
      </c>
      <c r="I349" s="1000"/>
      <c r="J349" s="1000"/>
      <c r="K349" s="1001"/>
      <c r="L349" s="887">
        <v>0</v>
      </c>
      <c r="M349" s="887">
        <v>0</v>
      </c>
      <c r="N349" s="887">
        <v>0</v>
      </c>
      <c r="O349" s="887">
        <f t="shared" si="156"/>
        <v>0</v>
      </c>
      <c r="P349" s="887">
        <f t="shared" si="157"/>
        <v>0</v>
      </c>
      <c r="Q349" s="875"/>
      <c r="R349" s="875"/>
      <c r="S349" s="875"/>
      <c r="T349" s="875"/>
      <c r="U349" s="875"/>
      <c r="V349" s="875"/>
      <c r="W349" s="875"/>
      <c r="X349" s="875"/>
      <c r="Y349" s="875"/>
      <c r="Z349" s="875"/>
    </row>
    <row r="350" spans="1:26" ht="19.5" hidden="1">
      <c r="A350" s="993"/>
      <c r="B350" s="883"/>
      <c r="C350" s="999"/>
      <c r="D350" s="883"/>
      <c r="E350" s="884" t="s">
        <v>37</v>
      </c>
      <c r="F350" s="883"/>
      <c r="G350" s="994"/>
      <c r="H350" s="165" t="s">
        <v>12</v>
      </c>
      <c r="I350" s="1000"/>
      <c r="J350" s="1000"/>
      <c r="K350" s="1001"/>
      <c r="L350" s="887">
        <f ca="1">IFERROR(__xludf.DUMMYFUNCTION("IMPORTRANGE(""https://docs.google.com/spreadsheets/d/1MeEWN-I1oV_STSDYn1IFDPWt_1FKiwhDph83XaGc0o0/edit?usp=sharing"",""งบพรบ!EW82"")"),399870)</f>
        <v>399870</v>
      </c>
      <c r="M350" s="887">
        <f ca="1">IFERROR(__xludf.DUMMYFUNCTION("IMPORTRANGE(""https://docs.google.com/spreadsheets/d/1MeEWN-I1oV_STSDYn1IFDPWt_1FKiwhDph83XaGc0o0/edit?usp=sharing"",""งบพรบ!FB82"")"),313020)</f>
        <v>313020</v>
      </c>
      <c r="N350" s="887">
        <f ca="1">IFERROR(__xludf.DUMMYFUNCTION("IMPORTRANGE(""https://docs.google.com/spreadsheets/d/1MeEWN-I1oV_STSDYn1IFDPWt_1FKiwhDph83XaGc0o0/edit?usp=sharing"",""งบพรบ!FD82"")"),166945.7)</f>
        <v>166945.70000000001</v>
      </c>
      <c r="O350" s="887">
        <f t="shared" ca="1" si="156"/>
        <v>41.749993747968091</v>
      </c>
      <c r="P350" s="887">
        <f t="shared" ca="1" si="157"/>
        <v>53.333876429621114</v>
      </c>
      <c r="Q350" s="875"/>
      <c r="R350" s="875"/>
      <c r="S350" s="875"/>
      <c r="T350" s="875"/>
      <c r="U350" s="875"/>
      <c r="V350" s="875"/>
      <c r="W350" s="875"/>
      <c r="X350" s="875"/>
      <c r="Y350" s="875"/>
      <c r="Z350" s="875"/>
    </row>
    <row r="351" spans="1:26" ht="18.75">
      <c r="A351" s="995"/>
      <c r="B351" s="877"/>
      <c r="C351" s="996"/>
      <c r="D351" s="878" t="s">
        <v>21</v>
      </c>
      <c r="E351" s="877"/>
      <c r="F351" s="877"/>
      <c r="G351" s="879"/>
      <c r="H351" s="168" t="s">
        <v>12</v>
      </c>
      <c r="I351" s="997"/>
      <c r="J351" s="997"/>
      <c r="K351" s="998"/>
      <c r="L351" s="881">
        <f t="shared" ref="L351:N351" ca="1" si="160">L352+L353</f>
        <v>45000</v>
      </c>
      <c r="M351" s="881">
        <f t="shared" ca="1" si="160"/>
        <v>45000</v>
      </c>
      <c r="N351" s="881">
        <f t="shared" ca="1" si="160"/>
        <v>45000</v>
      </c>
      <c r="O351" s="881">
        <f t="shared" ca="1" si="156"/>
        <v>100</v>
      </c>
      <c r="P351" s="881">
        <f t="shared" ca="1" si="157"/>
        <v>100</v>
      </c>
      <c r="Q351" s="868"/>
      <c r="R351" s="868"/>
      <c r="S351" s="868"/>
      <c r="T351" s="868"/>
      <c r="U351" s="868"/>
      <c r="V351" s="868"/>
      <c r="W351" s="868"/>
      <c r="X351" s="868"/>
      <c r="Y351" s="868"/>
      <c r="Z351" s="868"/>
    </row>
    <row r="352" spans="1:26" ht="19.5" hidden="1">
      <c r="A352" s="993"/>
      <c r="B352" s="883"/>
      <c r="C352" s="999"/>
      <c r="D352" s="883"/>
      <c r="E352" s="884" t="s">
        <v>18</v>
      </c>
      <c r="F352" s="883"/>
      <c r="G352" s="994"/>
      <c r="H352" s="165" t="s">
        <v>12</v>
      </c>
      <c r="I352" s="1000"/>
      <c r="J352" s="1000"/>
      <c r="K352" s="1001"/>
      <c r="L352" s="887">
        <v>0</v>
      </c>
      <c r="M352" s="887">
        <v>0</v>
      </c>
      <c r="N352" s="887">
        <v>0</v>
      </c>
      <c r="O352" s="887">
        <f t="shared" si="156"/>
        <v>0</v>
      </c>
      <c r="P352" s="887">
        <f t="shared" si="157"/>
        <v>0</v>
      </c>
      <c r="Q352" s="875"/>
      <c r="R352" s="875"/>
      <c r="S352" s="875"/>
      <c r="T352" s="875"/>
      <c r="U352" s="875"/>
      <c r="V352" s="875"/>
      <c r="W352" s="875"/>
      <c r="X352" s="875"/>
      <c r="Y352" s="875"/>
      <c r="Z352" s="875"/>
    </row>
    <row r="353" spans="1:26" ht="19.5" hidden="1">
      <c r="A353" s="993"/>
      <c r="B353" s="883"/>
      <c r="C353" s="999"/>
      <c r="D353" s="883"/>
      <c r="E353" s="884" t="s">
        <v>19</v>
      </c>
      <c r="F353" s="883"/>
      <c r="G353" s="994"/>
      <c r="H353" s="169" t="s">
        <v>12</v>
      </c>
      <c r="I353" s="1000"/>
      <c r="J353" s="1000"/>
      <c r="K353" s="1001"/>
      <c r="L353" s="887">
        <f ca="1">IFERROR(__xludf.DUMMYFUNCTION("IMPORTRANGE(""https://docs.google.com/spreadsheets/d/1MeEWN-I1oV_STSDYn1IFDPWt_1FKiwhDph83XaGc0o0/edit?usp=sharing"",""งบพรบ!EZ82"")"),45000)</f>
        <v>45000</v>
      </c>
      <c r="M353" s="887">
        <f ca="1">IFERROR(__xludf.DUMMYFUNCTION("IMPORTRANGE(""https://docs.google.com/spreadsheets/d/1MeEWN-I1oV_STSDYn1IFDPWt_1FKiwhDph83XaGc0o0/edit?usp=sharing"",""งบพรบ!FC82"")"),45000)</f>
        <v>45000</v>
      </c>
      <c r="N353" s="887">
        <f ca="1">IFERROR(__xludf.DUMMYFUNCTION("IMPORTRANGE(""https://docs.google.com/spreadsheets/d/1MeEWN-I1oV_STSDYn1IFDPWt_1FKiwhDph83XaGc0o0/edit?usp=sharing"",""งบพรบ!FE82"")"),45000)</f>
        <v>45000</v>
      </c>
      <c r="O353" s="887">
        <f t="shared" ca="1" si="156"/>
        <v>100</v>
      </c>
      <c r="P353" s="887">
        <f t="shared" ca="1" si="157"/>
        <v>100</v>
      </c>
      <c r="Q353" s="875"/>
      <c r="R353" s="875"/>
      <c r="S353" s="875"/>
      <c r="T353" s="875"/>
      <c r="U353" s="875"/>
      <c r="V353" s="875"/>
      <c r="W353" s="875"/>
      <c r="X353" s="875"/>
      <c r="Y353" s="875"/>
      <c r="Z353" s="875"/>
    </row>
    <row r="354" spans="1:26" ht="19.5">
      <c r="A354" s="1063"/>
      <c r="B354" s="1070"/>
      <c r="C354" s="1064"/>
      <c r="D354" s="1198" t="s">
        <v>158</v>
      </c>
      <c r="E354" s="1064"/>
      <c r="F354" s="1064"/>
      <c r="G354" s="1066"/>
      <c r="H354" s="1199"/>
      <c r="I354" s="1067"/>
      <c r="J354" s="1067"/>
      <c r="K354" s="1068"/>
      <c r="L354" s="1068"/>
      <c r="M354" s="1068"/>
      <c r="N354" s="1068"/>
      <c r="O354" s="1068"/>
      <c r="P354" s="1068"/>
    </row>
    <row r="355" spans="1:26" ht="19.5">
      <c r="A355" s="1200"/>
      <c r="B355" s="1201"/>
      <c r="C355" s="1202"/>
      <c r="D355" s="1203" t="s">
        <v>159</v>
      </c>
      <c r="E355" s="1204"/>
      <c r="F355" s="1204"/>
      <c r="G355" s="1205"/>
      <c r="H355" s="463" t="s">
        <v>35</v>
      </c>
      <c r="I355" s="1206">
        <f ca="1">IFERROR(__xludf.DUMMYFUNCTION("IMPORTRANGE(""https://docs.google.com/spreadsheets/d/1QqKyyYR6Q21VydFLVH3TRQUabQu_ym0Zz7PgGX0-kHA/edit?usp=sharing"",""แผน!EP82"")"),127)</f>
        <v>127</v>
      </c>
      <c r="J355" s="1206">
        <f ca="1">J362</f>
        <v>36</v>
      </c>
      <c r="K355" s="1207">
        <f ca="1">IF(I355&gt;0,J355*100/I355,0)</f>
        <v>28.346456692913385</v>
      </c>
      <c r="L355" s="1208"/>
      <c r="M355" s="1208"/>
      <c r="N355" s="1208"/>
      <c r="O355" s="1208"/>
      <c r="P355" s="1208"/>
    </row>
    <row r="356" spans="1:26" ht="19.5">
      <c r="A356" s="1200"/>
      <c r="B356" s="1201"/>
      <c r="C356" s="1202"/>
      <c r="D356" s="1209" t="s">
        <v>160</v>
      </c>
      <c r="E356" s="1204"/>
      <c r="F356" s="1204"/>
      <c r="G356" s="1205"/>
      <c r="H356" s="1210"/>
      <c r="I356" s="1211"/>
      <c r="J356" s="1211"/>
      <c r="K356" s="1208"/>
      <c r="L356" s="1208"/>
      <c r="M356" s="1208"/>
      <c r="N356" s="1208"/>
      <c r="O356" s="1208"/>
      <c r="P356" s="1208"/>
    </row>
    <row r="357" spans="1:26" ht="19.5">
      <c r="A357" s="1002"/>
      <c r="B357" s="1003"/>
      <c r="C357" s="999" t="s">
        <v>16</v>
      </c>
      <c r="D357" s="1004" t="s">
        <v>38</v>
      </c>
      <c r="E357" s="1005"/>
      <c r="F357" s="1005"/>
      <c r="G357" s="1006"/>
      <c r="H357" s="1007"/>
      <c r="I357" s="880"/>
      <c r="J357" s="880"/>
      <c r="K357" s="881"/>
      <c r="L357" s="998"/>
      <c r="M357" s="998"/>
      <c r="N357" s="998"/>
      <c r="O357" s="998"/>
      <c r="P357" s="998"/>
    </row>
    <row r="358" spans="1:26" ht="18.75">
      <c r="A358" s="1002"/>
      <c r="B358" s="1010"/>
      <c r="C358" s="1003"/>
      <c r="D358" s="1010"/>
      <c r="E358" s="1008" t="s">
        <v>161</v>
      </c>
      <c r="F358" s="1010"/>
      <c r="G358" s="1011"/>
      <c r="H358" s="185" t="s">
        <v>35</v>
      </c>
      <c r="I358" s="880">
        <v>0</v>
      </c>
      <c r="J358" s="880">
        <f ca="1">IFERROR(__xludf.DUMMYFUNCTION("IMPORTRANGE(""https://docs.google.com/spreadsheets/d/1XWAQStnk-4SwqDmLtmXYiTMKHgktTP8We1SCoS47DrQ/edit?usp=sharing"",""จัดที่ดิน!W82"")"),16)</f>
        <v>16</v>
      </c>
      <c r="K358" s="881">
        <f t="shared" ref="K358:K365" si="161">IF(I358&gt;0,J358*100/I358,0)</f>
        <v>0</v>
      </c>
      <c r="L358" s="998"/>
      <c r="M358" s="998"/>
      <c r="N358" s="998"/>
      <c r="O358" s="998"/>
      <c r="P358" s="998"/>
    </row>
    <row r="359" spans="1:26" ht="18.75">
      <c r="A359" s="1002"/>
      <c r="B359" s="1010"/>
      <c r="C359" s="1003"/>
      <c r="D359" s="1010"/>
      <c r="E359" s="1010"/>
      <c r="F359" s="1010"/>
      <c r="G359" s="1011"/>
      <c r="H359" s="185" t="s">
        <v>46</v>
      </c>
      <c r="I359" s="880">
        <f ca="1">IFERROR(__xludf.DUMMYFUNCTION("IMPORTRANGE(""https://docs.google.com/spreadsheets/d/1QqKyyYR6Q21VydFLVH3TRQUabQu_ym0Zz7PgGX0-kHA/edit?usp=sharing"",""แผน!EO82"")"),970)</f>
        <v>970</v>
      </c>
      <c r="J359" s="880">
        <f ca="1">IFERROR(__xludf.DUMMYFUNCTION("IMPORTRANGE(""https://docs.google.com/spreadsheets/d/1XWAQStnk-4SwqDmLtmXYiTMKHgktTP8We1SCoS47DrQ/edit?usp=sharing"",""จัดที่ดิน!X82"")"),57.33)</f>
        <v>57.33</v>
      </c>
      <c r="K359" s="881">
        <f t="shared" ca="1" si="161"/>
        <v>5.9103092783505158</v>
      </c>
      <c r="L359" s="998"/>
      <c r="M359" s="998"/>
      <c r="N359" s="998"/>
      <c r="O359" s="998"/>
      <c r="P359" s="998"/>
    </row>
    <row r="360" spans="1:26" ht="18.75">
      <c r="A360" s="1002"/>
      <c r="B360" s="1010"/>
      <c r="C360" s="1003"/>
      <c r="D360" s="1010"/>
      <c r="E360" s="1008" t="s">
        <v>162</v>
      </c>
      <c r="F360" s="1010"/>
      <c r="G360" s="1011"/>
      <c r="H360" s="762" t="s">
        <v>35</v>
      </c>
      <c r="I360" s="880">
        <f ca="1">IFERROR(__xludf.DUMMYFUNCTION("IMPORTRANGE(""https://docs.google.com/spreadsheets/d/1QqKyyYR6Q21VydFLVH3TRQUabQu_ym0Zz7PgGX0-kHA/edit?usp=sharing"",""แผน!EP82"")"),127)</f>
        <v>127</v>
      </c>
      <c r="J360" s="880">
        <f ca="1">IFERROR(__xludf.DUMMYFUNCTION("IMPORTRANGE(""https://docs.google.com/spreadsheets/d/1XWAQStnk-4SwqDmLtmXYiTMKHgktTP8We1SCoS47DrQ/edit?usp=sharing"",""จัดที่ดิน!Y82"")"),36)</f>
        <v>36</v>
      </c>
      <c r="K360" s="881">
        <f t="shared" ca="1" si="161"/>
        <v>28.346456692913385</v>
      </c>
      <c r="L360" s="998"/>
      <c r="M360" s="998"/>
      <c r="N360" s="998"/>
      <c r="O360" s="998"/>
      <c r="P360" s="998"/>
    </row>
    <row r="361" spans="1:26" ht="18.75">
      <c r="A361" s="1002"/>
      <c r="B361" s="1010"/>
      <c r="C361" s="1003"/>
      <c r="D361" s="1010"/>
      <c r="E361" s="1010"/>
      <c r="F361" s="1010"/>
      <c r="G361" s="1011"/>
      <c r="H361" s="762" t="s">
        <v>46</v>
      </c>
      <c r="I361" s="880">
        <v>0</v>
      </c>
      <c r="J361" s="880">
        <f ca="1">IFERROR(__xludf.DUMMYFUNCTION("IMPORTRANGE(""https://docs.google.com/spreadsheets/d/1XWAQStnk-4SwqDmLtmXYiTMKHgktTP8We1SCoS47DrQ/edit?usp=sharing"",""จัดที่ดิน!Z82"")"),96.96)</f>
        <v>96.96</v>
      </c>
      <c r="K361" s="881">
        <f t="shared" si="161"/>
        <v>0</v>
      </c>
      <c r="L361" s="998"/>
      <c r="M361" s="998"/>
      <c r="N361" s="998"/>
      <c r="O361" s="998"/>
      <c r="P361" s="998"/>
    </row>
    <row r="362" spans="1:26" ht="18.75">
      <c r="A362" s="1002"/>
      <c r="B362" s="1010"/>
      <c r="C362" s="1003"/>
      <c r="D362" s="1010"/>
      <c r="E362" s="1008" t="s">
        <v>163</v>
      </c>
      <c r="F362" s="1010"/>
      <c r="G362" s="1011"/>
      <c r="H362" s="762" t="s">
        <v>35</v>
      </c>
      <c r="I362" s="880">
        <f ca="1">IFERROR(__xludf.DUMMYFUNCTION("IMPORTRANGE(""https://docs.google.com/spreadsheets/d/1QqKyyYR6Q21VydFLVH3TRQUabQu_ym0Zz7PgGX0-kHA/edit?usp=sharing"",""แผน!EP82"")"),127)</f>
        <v>127</v>
      </c>
      <c r="J362" s="880">
        <f ca="1">IFERROR(__xludf.DUMMYFUNCTION("IMPORTRANGE(""https://docs.google.com/spreadsheets/d/1XWAQStnk-4SwqDmLtmXYiTMKHgktTP8We1SCoS47DrQ/edit?usp=sharing"",""จัดที่ดิน!AA82"")"),36)</f>
        <v>36</v>
      </c>
      <c r="K362" s="881">
        <f t="shared" ca="1" si="161"/>
        <v>28.346456692913385</v>
      </c>
      <c r="L362" s="998"/>
      <c r="M362" s="998"/>
      <c r="N362" s="998"/>
      <c r="O362" s="998"/>
      <c r="P362" s="998"/>
    </row>
    <row r="363" spans="1:26" ht="18.75">
      <c r="A363" s="1212" t="s">
        <v>164</v>
      </c>
      <c r="B363" s="1010"/>
      <c r="C363" s="1003"/>
      <c r="D363" s="1010"/>
      <c r="E363" s="1009"/>
      <c r="F363" s="1010"/>
      <c r="G363" s="1011"/>
      <c r="H363" s="762" t="s">
        <v>46</v>
      </c>
      <c r="I363" s="880">
        <v>0</v>
      </c>
      <c r="J363" s="880">
        <f ca="1">IFERROR(__xludf.DUMMYFUNCTION("IMPORTRANGE(""https://docs.google.com/spreadsheets/d/1XWAQStnk-4SwqDmLtmXYiTMKHgktTP8We1SCoS47DrQ/edit?usp=sharing"",""จัดที่ดิน!AB82"")"),96.96)</f>
        <v>96.96</v>
      </c>
      <c r="K363" s="881">
        <f t="shared" si="161"/>
        <v>0</v>
      </c>
      <c r="L363" s="998"/>
      <c r="M363" s="998"/>
      <c r="N363" s="998"/>
      <c r="O363" s="998"/>
      <c r="P363" s="998"/>
    </row>
    <row r="364" spans="1:26" ht="19.5">
      <c r="A364" s="1213"/>
      <c r="B364" s="1214"/>
      <c r="C364" s="1215"/>
      <c r="D364" s="1216" t="s">
        <v>165</v>
      </c>
      <c r="E364" s="1217"/>
      <c r="F364" s="1217"/>
      <c r="G364" s="1218"/>
      <c r="H364" s="478" t="s">
        <v>35</v>
      </c>
      <c r="I364" s="1219">
        <f t="shared" ref="I364:J364" ca="1" si="162">I365+I374</f>
        <v>267</v>
      </c>
      <c r="J364" s="1219">
        <f t="shared" ca="1" si="162"/>
        <v>158</v>
      </c>
      <c r="K364" s="1220">
        <f t="shared" ca="1" si="161"/>
        <v>59.176029962546814</v>
      </c>
      <c r="L364" s="1221"/>
      <c r="M364" s="1221"/>
      <c r="N364" s="1221"/>
      <c r="O364" s="1221"/>
      <c r="P364" s="122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1222"/>
      <c r="B365" s="1223"/>
      <c r="C365" s="1224"/>
      <c r="D365" s="1224" t="s">
        <v>166</v>
      </c>
      <c r="E365" s="1225"/>
      <c r="F365" s="1225"/>
      <c r="G365" s="1226"/>
      <c r="H365" s="489" t="s">
        <v>35</v>
      </c>
      <c r="I365" s="1227">
        <f ca="1">IFERROR(__xludf.DUMMYFUNCTION("IMPORTRANGE(""https://docs.google.com/spreadsheets/d/1QqKyyYR6Q21VydFLVH3TRQUabQu_ym0Zz7PgGX0-kHA/edit?usp=sharing"",""แผน!EJ82"")"),67)</f>
        <v>67</v>
      </c>
      <c r="J365" s="1227">
        <f ca="1">J372</f>
        <v>26</v>
      </c>
      <c r="K365" s="1228">
        <f t="shared" ca="1" si="161"/>
        <v>38.805970149253731</v>
      </c>
      <c r="L365" s="1229"/>
      <c r="M365" s="1229"/>
      <c r="N365" s="1229"/>
      <c r="O365" s="1229"/>
      <c r="P365" s="1229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1222"/>
      <c r="B366" s="1223"/>
      <c r="C366" s="1224"/>
      <c r="D366" s="1230" t="s">
        <v>167</v>
      </c>
      <c r="E366" s="1225"/>
      <c r="F366" s="1225"/>
      <c r="G366" s="1226"/>
      <c r="H366" s="1231"/>
      <c r="I366" s="1232"/>
      <c r="J366" s="1232"/>
      <c r="K366" s="1229"/>
      <c r="L366" s="1229"/>
      <c r="M366" s="1229"/>
      <c r="N366" s="1229"/>
      <c r="O366" s="1229"/>
      <c r="P366" s="1229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002"/>
      <c r="B367" s="1003"/>
      <c r="C367" s="999" t="s">
        <v>16</v>
      </c>
      <c r="D367" s="1004" t="s">
        <v>38</v>
      </c>
      <c r="E367" s="1005"/>
      <c r="F367" s="1005"/>
      <c r="G367" s="1006"/>
      <c r="H367" s="1007"/>
      <c r="I367" s="880"/>
      <c r="J367" s="880"/>
      <c r="K367" s="881"/>
      <c r="L367" s="998"/>
      <c r="M367" s="998"/>
      <c r="N367" s="998"/>
      <c r="O367" s="998"/>
      <c r="P367" s="998"/>
    </row>
    <row r="368" spans="1:26" ht="18.75">
      <c r="A368" s="1002"/>
      <c r="B368" s="1010"/>
      <c r="C368" s="1003"/>
      <c r="D368" s="1010"/>
      <c r="E368" s="1008" t="s">
        <v>161</v>
      </c>
      <c r="F368" s="1010"/>
      <c r="G368" s="1011"/>
      <c r="H368" s="185" t="s">
        <v>35</v>
      </c>
      <c r="I368" s="880">
        <v>0</v>
      </c>
      <c r="J368" s="880">
        <f ca="1">IFERROR(__xludf.DUMMYFUNCTION("IMPORTRANGE(""https://docs.google.com/spreadsheets/d/1XWAQStnk-4SwqDmLtmXYiTMKHgktTP8We1SCoS47DrQ/edit?usp=sharing"",""จัดที่ดิน!E82"")"),6)</f>
        <v>6</v>
      </c>
      <c r="K368" s="881">
        <f t="shared" ref="K368:K374" si="163">IF(I368&gt;0,J368*100/I368,0)</f>
        <v>0</v>
      </c>
      <c r="L368" s="998"/>
      <c r="M368" s="998"/>
      <c r="N368" s="998"/>
      <c r="O368" s="998"/>
      <c r="P368" s="998"/>
    </row>
    <row r="369" spans="1:26" ht="18.75">
      <c r="A369" s="1002"/>
      <c r="B369" s="1010"/>
      <c r="C369" s="1003"/>
      <c r="D369" s="1010"/>
      <c r="E369" s="1010"/>
      <c r="F369" s="1010"/>
      <c r="G369" s="1011"/>
      <c r="H369" s="185" t="s">
        <v>46</v>
      </c>
      <c r="I369" s="880">
        <f ca="1">IFERROR(__xludf.DUMMYFUNCTION("IMPORTRANGE(""https://docs.google.com/spreadsheets/d/1QqKyyYR6Q21VydFLVH3TRQUabQu_ym0Zz7PgGX0-kHA/edit?usp=sharing"",""แผน!EI82"")"),670)</f>
        <v>670</v>
      </c>
      <c r="J369" s="880">
        <f ca="1">IFERROR(__xludf.DUMMYFUNCTION("IMPORTRANGE(""https://docs.google.com/spreadsheets/d/1XWAQStnk-4SwqDmLtmXYiTMKHgktTP8We1SCoS47DrQ/edit?usp=sharing"",""จัดที่ดิน!F82"")"),26.79)</f>
        <v>26.79</v>
      </c>
      <c r="K369" s="881">
        <f t="shared" ca="1" si="163"/>
        <v>3.9985074626865673</v>
      </c>
      <c r="L369" s="998"/>
      <c r="M369" s="998"/>
      <c r="N369" s="998"/>
      <c r="O369" s="998"/>
      <c r="P369" s="998"/>
    </row>
    <row r="370" spans="1:26" ht="18.75">
      <c r="A370" s="1002"/>
      <c r="B370" s="1010"/>
      <c r="C370" s="1003"/>
      <c r="D370" s="1010"/>
      <c r="E370" s="1008" t="s">
        <v>162</v>
      </c>
      <c r="F370" s="1010"/>
      <c r="G370" s="1011"/>
      <c r="H370" s="762" t="s">
        <v>35</v>
      </c>
      <c r="I370" s="880">
        <f ca="1">IFERROR(__xludf.DUMMYFUNCTION("IMPORTRANGE(""https://docs.google.com/spreadsheets/d/1QqKyyYR6Q21VydFLVH3TRQUabQu_ym0Zz7PgGX0-kHA/edit?usp=sharing"",""แผน!EJ82"")"),67)</f>
        <v>67</v>
      </c>
      <c r="J370" s="880">
        <f ca="1">IFERROR(__xludf.DUMMYFUNCTION("IMPORTRANGE(""https://docs.google.com/spreadsheets/d/1XWAQStnk-4SwqDmLtmXYiTMKHgktTP8We1SCoS47DrQ/edit?usp=sharing"",""จัดที่ดิน!G82"")"),26)</f>
        <v>26</v>
      </c>
      <c r="K370" s="881">
        <f t="shared" ca="1" si="163"/>
        <v>38.805970149253731</v>
      </c>
      <c r="L370" s="998"/>
      <c r="M370" s="998"/>
      <c r="N370" s="998"/>
      <c r="O370" s="998"/>
      <c r="P370" s="998"/>
    </row>
    <row r="371" spans="1:26" ht="18.75">
      <c r="A371" s="1002"/>
      <c r="B371" s="1010"/>
      <c r="C371" s="1003"/>
      <c r="D371" s="1010"/>
      <c r="E371" s="1010"/>
      <c r="F371" s="1010"/>
      <c r="G371" s="1011"/>
      <c r="H371" s="762" t="s">
        <v>46</v>
      </c>
      <c r="I371" s="880">
        <v>0</v>
      </c>
      <c r="J371" s="880">
        <f ca="1">IFERROR(__xludf.DUMMYFUNCTION("IMPORTRANGE(""https://docs.google.com/spreadsheets/d/1XWAQStnk-4SwqDmLtmXYiTMKHgktTP8We1SCoS47DrQ/edit?usp=sharing"",""จัดที่ดิน!H82"")"),66.42)</f>
        <v>66.42</v>
      </c>
      <c r="K371" s="881">
        <f t="shared" si="163"/>
        <v>0</v>
      </c>
      <c r="L371" s="998"/>
      <c r="M371" s="998"/>
      <c r="N371" s="998"/>
      <c r="O371" s="998"/>
      <c r="P371" s="998"/>
    </row>
    <row r="372" spans="1:26" ht="18.75">
      <c r="A372" s="1002"/>
      <c r="B372" s="1010"/>
      <c r="C372" s="1003"/>
      <c r="D372" s="1010"/>
      <c r="E372" s="1008" t="s">
        <v>163</v>
      </c>
      <c r="F372" s="1010"/>
      <c r="G372" s="1011"/>
      <c r="H372" s="762" t="s">
        <v>35</v>
      </c>
      <c r="I372" s="880">
        <f ca="1">IFERROR(__xludf.DUMMYFUNCTION("IMPORTRANGE(""https://docs.google.com/spreadsheets/d/1QqKyyYR6Q21VydFLVH3TRQUabQu_ym0Zz7PgGX0-kHA/edit?usp=sharing"",""แผน!EJ82"")"),67)</f>
        <v>67</v>
      </c>
      <c r="J372" s="880">
        <f ca="1">IFERROR(__xludf.DUMMYFUNCTION("IMPORTRANGE(""https://docs.google.com/spreadsheets/d/1XWAQStnk-4SwqDmLtmXYiTMKHgktTP8We1SCoS47DrQ/edit?usp=sharing"",""จัดที่ดิน!I82"")"),26)</f>
        <v>26</v>
      </c>
      <c r="K372" s="881">
        <f t="shared" ca="1" si="163"/>
        <v>38.805970149253731</v>
      </c>
      <c r="L372" s="998"/>
      <c r="M372" s="998"/>
      <c r="N372" s="998"/>
      <c r="O372" s="998"/>
      <c r="P372" s="998"/>
    </row>
    <row r="373" spans="1:26" ht="18.75">
      <c r="A373" s="1212" t="s">
        <v>164</v>
      </c>
      <c r="B373" s="1010"/>
      <c r="C373" s="1003"/>
      <c r="D373" s="1010"/>
      <c r="E373" s="1009"/>
      <c r="F373" s="1010"/>
      <c r="G373" s="1011"/>
      <c r="H373" s="762" t="s">
        <v>46</v>
      </c>
      <c r="I373" s="880">
        <v>0</v>
      </c>
      <c r="J373" s="880">
        <f ca="1">IFERROR(__xludf.DUMMYFUNCTION("IMPORTRANGE(""https://docs.google.com/spreadsheets/d/1XWAQStnk-4SwqDmLtmXYiTMKHgktTP8We1SCoS47DrQ/edit?usp=sharing"",""จัดที่ดิน!J82"")"),66.42)</f>
        <v>66.42</v>
      </c>
      <c r="K373" s="881">
        <f t="shared" si="163"/>
        <v>0</v>
      </c>
      <c r="L373" s="998"/>
      <c r="M373" s="998"/>
      <c r="N373" s="998"/>
      <c r="O373" s="998"/>
      <c r="P373" s="998"/>
    </row>
    <row r="374" spans="1:26" ht="19.5">
      <c r="A374" s="1222"/>
      <c r="B374" s="1223"/>
      <c r="C374" s="1224"/>
      <c r="D374" s="1224" t="s">
        <v>168</v>
      </c>
      <c r="E374" s="1225"/>
      <c r="F374" s="1225"/>
      <c r="G374" s="1226"/>
      <c r="H374" s="489" t="s">
        <v>35</v>
      </c>
      <c r="I374" s="1233">
        <f ca="1">IFERROR(__xludf.DUMMYFUNCTION("IMPORTRANGE(""https://docs.google.com/spreadsheets/d/1QqKyyYR6Q21VydFLVH3TRQUabQu_ym0Zz7PgGX0-kHA/edit?usp=sharing"",""แผน!EU82"")"),200)</f>
        <v>200</v>
      </c>
      <c r="J374" s="1227">
        <f ca="1">J381</f>
        <v>132</v>
      </c>
      <c r="K374" s="1228">
        <f t="shared" ca="1" si="163"/>
        <v>66</v>
      </c>
      <c r="L374" s="1229"/>
      <c r="M374" s="1229"/>
      <c r="N374" s="1229"/>
      <c r="O374" s="1229"/>
      <c r="P374" s="1229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1222"/>
      <c r="B375" s="1223"/>
      <c r="C375" s="1224"/>
      <c r="D375" s="1230" t="s">
        <v>169</v>
      </c>
      <c r="E375" s="1225"/>
      <c r="F375" s="1225"/>
      <c r="G375" s="1226"/>
      <c r="H375" s="1231"/>
      <c r="I375" s="1232"/>
      <c r="J375" s="1232"/>
      <c r="K375" s="1229"/>
      <c r="L375" s="1229"/>
      <c r="M375" s="1229"/>
      <c r="N375" s="1229"/>
      <c r="O375" s="1229"/>
      <c r="P375" s="1229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002"/>
      <c r="B376" s="1003"/>
      <c r="C376" s="999" t="s">
        <v>16</v>
      </c>
      <c r="D376" s="1004" t="s">
        <v>38</v>
      </c>
      <c r="E376" s="1005"/>
      <c r="F376" s="1005"/>
      <c r="G376" s="1006"/>
      <c r="H376" s="1007"/>
      <c r="I376" s="880"/>
      <c r="J376" s="880"/>
      <c r="K376" s="881"/>
      <c r="L376" s="998"/>
      <c r="M376" s="998"/>
      <c r="N376" s="998"/>
      <c r="O376" s="998"/>
      <c r="P376" s="998"/>
    </row>
    <row r="377" spans="1:26" ht="18.75">
      <c r="A377" s="1002"/>
      <c r="B377" s="1010"/>
      <c r="C377" s="1003"/>
      <c r="D377" s="1010"/>
      <c r="E377" s="1008" t="s">
        <v>161</v>
      </c>
      <c r="F377" s="1010"/>
      <c r="G377" s="1011"/>
      <c r="H377" s="185" t="s">
        <v>35</v>
      </c>
      <c r="I377" s="880">
        <v>0</v>
      </c>
      <c r="J377" s="880">
        <f ca="1">IFERROR(__xludf.DUMMYFUNCTION("IMPORTRANGE(""https://docs.google.com/spreadsheets/d/1XWAQStnk-4SwqDmLtmXYiTMKHgktTP8We1SCoS47DrQ/edit?usp=sharing"",""จัดที่ดิน!AH82"")"),10)</f>
        <v>10</v>
      </c>
      <c r="K377" s="881">
        <f t="shared" ref="K377:K382" si="164">IF(I377&gt;0,J377*100/I377,0)</f>
        <v>0</v>
      </c>
      <c r="L377" s="998"/>
      <c r="M377" s="998"/>
      <c r="N377" s="998"/>
      <c r="O377" s="998"/>
      <c r="P377" s="998"/>
    </row>
    <row r="378" spans="1:26" ht="18.75">
      <c r="A378" s="1002"/>
      <c r="B378" s="1010"/>
      <c r="C378" s="1003"/>
      <c r="D378" s="1010"/>
      <c r="E378" s="1010"/>
      <c r="F378" s="1010"/>
      <c r="G378" s="1011"/>
      <c r="H378" s="185" t="s">
        <v>46</v>
      </c>
      <c r="I378" s="880">
        <f ca="1">IFERROR(__xludf.DUMMYFUNCTION("IMPORTRANGE(""https://docs.google.com/spreadsheets/d/1QqKyyYR6Q21VydFLVH3TRQUabQu_ym0Zz7PgGX0-kHA/edit?usp=sharing"",""แผน!ET82"")"),300)</f>
        <v>300</v>
      </c>
      <c r="J378" s="880">
        <f ca="1">IFERROR(__xludf.DUMMYFUNCTION("IMPORTRANGE(""https://docs.google.com/spreadsheets/d/1XWAQStnk-4SwqDmLtmXYiTMKHgktTP8We1SCoS47DrQ/edit?usp=sharing"",""จัดที่ดิน!AI82"")"),30.54)</f>
        <v>30.54</v>
      </c>
      <c r="K378" s="881">
        <f t="shared" ca="1" si="164"/>
        <v>10.18</v>
      </c>
      <c r="L378" s="998"/>
      <c r="M378" s="998"/>
      <c r="N378" s="998"/>
      <c r="O378" s="998"/>
      <c r="P378" s="998"/>
    </row>
    <row r="379" spans="1:26" ht="18.75">
      <c r="A379" s="1002"/>
      <c r="B379" s="1010"/>
      <c r="C379" s="1003"/>
      <c r="D379" s="1010"/>
      <c r="E379" s="1008" t="s">
        <v>162</v>
      </c>
      <c r="F379" s="1010"/>
      <c r="G379" s="1011"/>
      <c r="H379" s="762" t="s">
        <v>35</v>
      </c>
      <c r="I379" s="880">
        <f ca="1">IFERROR(__xludf.DUMMYFUNCTION("IMPORTRANGE(""https://docs.google.com/spreadsheets/d/1QqKyyYR6Q21VydFLVH3TRQUabQu_ym0Zz7PgGX0-kHA/edit?usp=sharing"",""แผน!EU82"")"),200)</f>
        <v>200</v>
      </c>
      <c r="J379" s="880">
        <f ca="1">IFERROR(__xludf.DUMMYFUNCTION("IMPORTRANGE(""https://docs.google.com/spreadsheets/d/1XWAQStnk-4SwqDmLtmXYiTMKHgktTP8We1SCoS47DrQ/edit?usp=sharing"",""จัดที่ดิน!AJ82"")"),132)</f>
        <v>132</v>
      </c>
      <c r="K379" s="881">
        <f t="shared" ca="1" si="164"/>
        <v>66</v>
      </c>
      <c r="L379" s="998"/>
      <c r="M379" s="998"/>
      <c r="N379" s="998"/>
      <c r="O379" s="998"/>
      <c r="P379" s="998"/>
    </row>
    <row r="380" spans="1:26" ht="18.75">
      <c r="A380" s="1002"/>
      <c r="B380" s="1010"/>
      <c r="C380" s="1003"/>
      <c r="D380" s="1010"/>
      <c r="E380" s="1010"/>
      <c r="F380" s="1010"/>
      <c r="G380" s="1011"/>
      <c r="H380" s="762" t="s">
        <v>46</v>
      </c>
      <c r="I380" s="880">
        <v>0</v>
      </c>
      <c r="J380" s="880">
        <f ca="1">IFERROR(__xludf.DUMMYFUNCTION("IMPORTRANGE(""https://docs.google.com/spreadsheets/d/1XWAQStnk-4SwqDmLtmXYiTMKHgktTP8We1SCoS47DrQ/edit?usp=sharing"",""จัดที่ดิน!AK82"")"),886.079999999999)</f>
        <v>886.07999999999902</v>
      </c>
      <c r="K380" s="881">
        <f t="shared" si="164"/>
        <v>0</v>
      </c>
      <c r="L380" s="998"/>
      <c r="M380" s="998"/>
      <c r="N380" s="998"/>
      <c r="O380" s="998"/>
      <c r="P380" s="998"/>
    </row>
    <row r="381" spans="1:26" ht="18.75">
      <c r="A381" s="1002"/>
      <c r="B381" s="1010"/>
      <c r="C381" s="1003"/>
      <c r="D381" s="1010"/>
      <c r="E381" s="1008" t="s">
        <v>163</v>
      </c>
      <c r="F381" s="1010"/>
      <c r="G381" s="1011"/>
      <c r="H381" s="762" t="s">
        <v>35</v>
      </c>
      <c r="I381" s="880">
        <f ca="1">IFERROR(__xludf.DUMMYFUNCTION("IMPORTRANGE(""https://docs.google.com/spreadsheets/d/1QqKyyYR6Q21VydFLVH3TRQUabQu_ym0Zz7PgGX0-kHA/edit?usp=sharing"",""แผน!EU82"")"),200)</f>
        <v>200</v>
      </c>
      <c r="J381" s="880">
        <f ca="1">IFERROR(__xludf.DUMMYFUNCTION("IMPORTRANGE(""https://docs.google.com/spreadsheets/d/1XWAQStnk-4SwqDmLtmXYiTMKHgktTP8We1SCoS47DrQ/edit?usp=sharing"",""จัดที่ดิน!AL82"")"),132)</f>
        <v>132</v>
      </c>
      <c r="K381" s="881">
        <f t="shared" ca="1" si="164"/>
        <v>66</v>
      </c>
      <c r="L381" s="998"/>
      <c r="M381" s="998"/>
      <c r="N381" s="998"/>
      <c r="O381" s="998"/>
      <c r="P381" s="998"/>
    </row>
    <row r="382" spans="1:26" ht="18.75">
      <c r="A382" s="1212" t="s">
        <v>164</v>
      </c>
      <c r="B382" s="1010"/>
      <c r="C382" s="1003"/>
      <c r="D382" s="1010"/>
      <c r="E382" s="1009"/>
      <c r="F382" s="1010"/>
      <c r="G382" s="1011"/>
      <c r="H382" s="762" t="s">
        <v>46</v>
      </c>
      <c r="I382" s="880">
        <v>0</v>
      </c>
      <c r="J382" s="880">
        <f ca="1">IFERROR(__xludf.DUMMYFUNCTION("IMPORTRANGE(""https://docs.google.com/spreadsheets/d/1XWAQStnk-4SwqDmLtmXYiTMKHgktTP8We1SCoS47DrQ/edit?usp=sharing"",""จัดที่ดิน!AM82"")"),886.079999999999)</f>
        <v>886.07999999999902</v>
      </c>
      <c r="K382" s="881">
        <f t="shared" si="164"/>
        <v>0</v>
      </c>
      <c r="L382" s="998"/>
      <c r="M382" s="998"/>
      <c r="N382" s="998"/>
      <c r="O382" s="998"/>
      <c r="P382" s="998"/>
    </row>
    <row r="383" spans="1:26" ht="19.5">
      <c r="A383" s="1234"/>
      <c r="B383" s="1235"/>
      <c r="C383" s="1091"/>
      <c r="D383" s="1236" t="s">
        <v>170</v>
      </c>
      <c r="E383" s="1091"/>
      <c r="F383" s="1091"/>
      <c r="G383" s="1237"/>
      <c r="H383" s="1199"/>
      <c r="I383" s="1067"/>
      <c r="J383" s="1067"/>
      <c r="K383" s="1068"/>
      <c r="L383" s="1068"/>
      <c r="M383" s="1068"/>
      <c r="N383" s="1068"/>
      <c r="O383" s="1068"/>
      <c r="P383" s="1068"/>
    </row>
    <row r="384" spans="1:26" ht="19.5">
      <c r="A384" s="1002"/>
      <c r="B384" s="1003"/>
      <c r="C384" s="877" t="s">
        <v>16</v>
      </c>
      <c r="D384" s="1004" t="s">
        <v>38</v>
      </c>
      <c r="E384" s="1005"/>
      <c r="F384" s="1005"/>
      <c r="G384" s="1006"/>
      <c r="H384" s="1007"/>
      <c r="I384" s="880"/>
      <c r="J384" s="880"/>
      <c r="K384" s="881"/>
      <c r="L384" s="998"/>
      <c r="M384" s="998"/>
      <c r="N384" s="998"/>
      <c r="O384" s="998"/>
      <c r="P384" s="998"/>
    </row>
    <row r="385" spans="1:26" ht="18.75">
      <c r="A385" s="1133"/>
      <c r="B385" s="1136"/>
      <c r="C385" s="1134"/>
      <c r="D385" s="1136"/>
      <c r="E385" s="1238" t="s">
        <v>171</v>
      </c>
      <c r="F385" s="1136"/>
      <c r="G385" s="1137"/>
      <c r="H385" s="504" t="s">
        <v>35</v>
      </c>
      <c r="I385" s="1138">
        <f ca="1">IFERROR(__xludf.DUMMYFUNCTION("IMPORTRANGE(""https://docs.google.com/spreadsheets/d/1QqKyyYR6Q21VydFLVH3TRQUabQu_ym0Zz7PgGX0-kHA/edit?usp=sharing"",""แผน!EW82"")"),10)</f>
        <v>10</v>
      </c>
      <c r="J385" s="1138">
        <f ca="1">IFERROR(__xludf.DUMMYFUNCTION("IMPORTRANGE(""https://docs.google.com/spreadsheets/d/1XWAQStnk-4SwqDmLtmXYiTMKHgktTP8We1SCoS47DrQ/edit?usp=sharing"",""จัดที่ดิน!AP82"")"),3)</f>
        <v>3</v>
      </c>
      <c r="K385" s="1239">
        <f ca="1">IF(I385&gt;0,J385*100/I385,0)</f>
        <v>30</v>
      </c>
      <c r="L385" s="1139"/>
      <c r="M385" s="1139"/>
      <c r="N385" s="1139"/>
      <c r="O385" s="1139"/>
      <c r="P385" s="1139"/>
    </row>
    <row r="386" spans="1:26" ht="19.5" hidden="1">
      <c r="A386" s="1240" t="s">
        <v>172</v>
      </c>
      <c r="B386" s="1241"/>
      <c r="C386" s="1241"/>
      <c r="D386" s="1241"/>
      <c r="E386" s="1242"/>
      <c r="F386" s="1242"/>
      <c r="G386" s="1243"/>
      <c r="H386" s="1244"/>
      <c r="I386" s="1245"/>
      <c r="J386" s="1245"/>
      <c r="K386" s="1246"/>
      <c r="L386" s="1246"/>
      <c r="M386" s="1246"/>
      <c r="N386" s="1246"/>
      <c r="O386" s="1246"/>
      <c r="P386" s="1246"/>
    </row>
    <row r="387" spans="1:26" ht="19.5" hidden="1">
      <c r="A387" s="1247" t="s">
        <v>173</v>
      </c>
      <c r="B387" s="1248"/>
      <c r="C387" s="1248"/>
      <c r="D387" s="1249"/>
      <c r="E387" s="1248"/>
      <c r="F387" s="1248"/>
      <c r="G387" s="1248"/>
      <c r="H387" s="1250"/>
      <c r="I387" s="1251"/>
      <c r="J387" s="1251"/>
      <c r="K387" s="1252"/>
      <c r="L387" s="1252"/>
      <c r="M387" s="1252"/>
      <c r="N387" s="1252"/>
      <c r="O387" s="1252"/>
      <c r="P387" s="1252"/>
    </row>
    <row r="388" spans="1:26" ht="19.5" hidden="1">
      <c r="A388" s="1253"/>
      <c r="B388" s="1254" t="s">
        <v>174</v>
      </c>
      <c r="C388" s="1255"/>
      <c r="D388" s="1256"/>
      <c r="E388" s="1256"/>
      <c r="F388" s="1256"/>
      <c r="G388" s="1257"/>
      <c r="H388" s="525" t="s">
        <v>66</v>
      </c>
      <c r="I388" s="1258">
        <f t="shared" ref="I388:J388" si="165">I400</f>
        <v>0</v>
      </c>
      <c r="J388" s="1258">
        <f t="shared" si="165"/>
        <v>0</v>
      </c>
      <c r="K388" s="1259">
        <f>IF(I388&gt;0,J388*100/I388,0)</f>
        <v>0</v>
      </c>
      <c r="L388" s="1260"/>
      <c r="M388" s="1260"/>
      <c r="N388" s="1260"/>
      <c r="O388" s="1260"/>
      <c r="P388" s="1260"/>
    </row>
    <row r="389" spans="1:26" ht="19.5" hidden="1">
      <c r="A389" s="985"/>
      <c r="B389" s="986"/>
      <c r="C389" s="987" t="s">
        <v>16</v>
      </c>
      <c r="D389" s="988" t="s">
        <v>17</v>
      </c>
      <c r="E389" s="986"/>
      <c r="F389" s="986"/>
      <c r="G389" s="989"/>
      <c r="H389" s="152" t="s">
        <v>12</v>
      </c>
      <c r="I389" s="990"/>
      <c r="J389" s="990"/>
      <c r="K389" s="991"/>
      <c r="L389" s="992">
        <f t="shared" ref="L389:N389" ca="1" si="166">L390+L391</f>
        <v>0</v>
      </c>
      <c r="M389" s="992">
        <f t="shared" ca="1" si="166"/>
        <v>0</v>
      </c>
      <c r="N389" s="992">
        <f t="shared" ca="1" si="166"/>
        <v>0</v>
      </c>
      <c r="O389" s="992">
        <f t="shared" ref="O389:O397" ca="1" si="167">IF(L389&gt;0,N389*100/L389,0)</f>
        <v>0</v>
      </c>
      <c r="P389" s="992">
        <f t="shared" ref="P389:P397" ca="1" si="168">IF(M389&gt;0,N389*100/M389,0)</f>
        <v>0</v>
      </c>
      <c r="Q389" s="868"/>
      <c r="R389" s="868"/>
      <c r="S389" s="868"/>
      <c r="T389" s="868"/>
      <c r="U389" s="868"/>
      <c r="V389" s="868"/>
      <c r="W389" s="868"/>
      <c r="X389" s="868"/>
      <c r="Y389" s="868"/>
      <c r="Z389" s="868"/>
    </row>
    <row r="390" spans="1:26" ht="18.75" hidden="1">
      <c r="A390" s="993"/>
      <c r="B390" s="883"/>
      <c r="C390" s="883"/>
      <c r="D390" s="883"/>
      <c r="E390" s="884" t="s">
        <v>18</v>
      </c>
      <c r="F390" s="883"/>
      <c r="G390" s="994"/>
      <c r="H390" s="158" t="s">
        <v>12</v>
      </c>
      <c r="I390" s="886"/>
      <c r="J390" s="886"/>
      <c r="K390" s="887"/>
      <c r="L390" s="887">
        <f t="shared" ref="L390:N391" si="169">L393+L396</f>
        <v>0</v>
      </c>
      <c r="M390" s="887">
        <f t="shared" si="169"/>
        <v>0</v>
      </c>
      <c r="N390" s="887">
        <f t="shared" si="169"/>
        <v>0</v>
      </c>
      <c r="O390" s="887">
        <f t="shared" si="167"/>
        <v>0</v>
      </c>
      <c r="P390" s="887">
        <f t="shared" si="168"/>
        <v>0</v>
      </c>
      <c r="Q390" s="875"/>
      <c r="R390" s="875"/>
      <c r="S390" s="875"/>
      <c r="T390" s="875"/>
      <c r="U390" s="875"/>
      <c r="V390" s="875"/>
      <c r="W390" s="875"/>
      <c r="X390" s="875"/>
      <c r="Y390" s="875"/>
      <c r="Z390" s="875"/>
    </row>
    <row r="391" spans="1:26" ht="18.75" hidden="1">
      <c r="A391" s="993"/>
      <c r="B391" s="883"/>
      <c r="C391" s="883"/>
      <c r="D391" s="883"/>
      <c r="E391" s="884" t="s">
        <v>19</v>
      </c>
      <c r="F391" s="883"/>
      <c r="G391" s="994"/>
      <c r="H391" s="158" t="s">
        <v>12</v>
      </c>
      <c r="I391" s="886"/>
      <c r="J391" s="886"/>
      <c r="K391" s="887"/>
      <c r="L391" s="887">
        <f t="shared" ca="1" si="169"/>
        <v>0</v>
      </c>
      <c r="M391" s="887">
        <f t="shared" ca="1" si="169"/>
        <v>0</v>
      </c>
      <c r="N391" s="887">
        <f t="shared" ca="1" si="169"/>
        <v>0</v>
      </c>
      <c r="O391" s="887">
        <f t="shared" ca="1" si="167"/>
        <v>0</v>
      </c>
      <c r="P391" s="887">
        <f t="shared" ca="1" si="168"/>
        <v>0</v>
      </c>
      <c r="Q391" s="875"/>
      <c r="R391" s="875"/>
      <c r="S391" s="875"/>
      <c r="T391" s="875"/>
      <c r="U391" s="875"/>
      <c r="V391" s="875"/>
      <c r="W391" s="875"/>
      <c r="X391" s="875"/>
      <c r="Y391" s="875"/>
      <c r="Z391" s="875"/>
    </row>
    <row r="392" spans="1:26" ht="18.75" hidden="1">
      <c r="A392" s="995"/>
      <c r="B392" s="877"/>
      <c r="C392" s="996"/>
      <c r="D392" s="878" t="s">
        <v>20</v>
      </c>
      <c r="E392" s="877"/>
      <c r="F392" s="877"/>
      <c r="G392" s="879"/>
      <c r="H392" s="161" t="s">
        <v>12</v>
      </c>
      <c r="I392" s="997"/>
      <c r="J392" s="997"/>
      <c r="K392" s="998"/>
      <c r="L392" s="881">
        <f t="shared" ref="L392:N392" ca="1" si="170">L393+L394</f>
        <v>0</v>
      </c>
      <c r="M392" s="881">
        <f t="shared" ca="1" si="170"/>
        <v>0</v>
      </c>
      <c r="N392" s="881">
        <f t="shared" ca="1" si="170"/>
        <v>0</v>
      </c>
      <c r="O392" s="881">
        <f t="shared" ca="1" si="167"/>
        <v>0</v>
      </c>
      <c r="P392" s="881">
        <f t="shared" ca="1" si="168"/>
        <v>0</v>
      </c>
      <c r="Q392" s="868"/>
      <c r="R392" s="868"/>
      <c r="S392" s="868"/>
      <c r="T392" s="868"/>
      <c r="U392" s="868"/>
      <c r="V392" s="868"/>
      <c r="W392" s="868"/>
      <c r="X392" s="868"/>
      <c r="Y392" s="868"/>
      <c r="Z392" s="868"/>
    </row>
    <row r="393" spans="1:26" ht="19.5" hidden="1">
      <c r="A393" s="993"/>
      <c r="B393" s="883"/>
      <c r="C393" s="999"/>
      <c r="D393" s="883"/>
      <c r="E393" s="884" t="s">
        <v>36</v>
      </c>
      <c r="F393" s="883"/>
      <c r="G393" s="994"/>
      <c r="H393" s="165" t="s">
        <v>12</v>
      </c>
      <c r="I393" s="1000"/>
      <c r="J393" s="1000"/>
      <c r="K393" s="1001"/>
      <c r="L393" s="887">
        <v>0</v>
      </c>
      <c r="M393" s="887">
        <v>0</v>
      </c>
      <c r="N393" s="887">
        <v>0</v>
      </c>
      <c r="O393" s="887">
        <f t="shared" si="167"/>
        <v>0</v>
      </c>
      <c r="P393" s="887">
        <f t="shared" si="168"/>
        <v>0</v>
      </c>
      <c r="Q393" s="875"/>
      <c r="R393" s="875"/>
      <c r="S393" s="875"/>
      <c r="T393" s="875"/>
      <c r="U393" s="875"/>
      <c r="V393" s="875"/>
      <c r="W393" s="875"/>
      <c r="X393" s="875"/>
      <c r="Y393" s="875"/>
      <c r="Z393" s="875"/>
    </row>
    <row r="394" spans="1:26" ht="19.5" hidden="1">
      <c r="A394" s="993"/>
      <c r="B394" s="883"/>
      <c r="C394" s="999"/>
      <c r="D394" s="883"/>
      <c r="E394" s="884" t="s">
        <v>37</v>
      </c>
      <c r="F394" s="883"/>
      <c r="G394" s="994"/>
      <c r="H394" s="165" t="s">
        <v>12</v>
      </c>
      <c r="I394" s="1000"/>
      <c r="J394" s="1000"/>
      <c r="K394" s="1001"/>
      <c r="L394" s="887">
        <f ca="1">IFERROR(__xludf.DUMMYFUNCTION("IMPORTRANGE(""https://docs.google.com/spreadsheets/d/1MeEWN-I1oV_STSDYn1IFDPWt_1FKiwhDph83XaGc0o0/edit?usp=sharing"",""งบพรบ!FG82"")"),0)</f>
        <v>0</v>
      </c>
      <c r="M394" s="887">
        <f ca="1">IFERROR(__xludf.DUMMYFUNCTION("IMPORTRANGE(""https://docs.google.com/spreadsheets/d/1MeEWN-I1oV_STSDYn1IFDPWt_1FKiwhDph83XaGc0o0/edit?usp=sharing"",""งบพรบ!FL82"")"),0)</f>
        <v>0</v>
      </c>
      <c r="N394" s="887">
        <f ca="1">IFERROR(__xludf.DUMMYFUNCTION("IMPORTRANGE(""https://docs.google.com/spreadsheets/d/1MeEWN-I1oV_STSDYn1IFDPWt_1FKiwhDph83XaGc0o0/edit?usp=sharing"",""งบพรบ!FN82"")"),0)</f>
        <v>0</v>
      </c>
      <c r="O394" s="887">
        <f t="shared" ca="1" si="167"/>
        <v>0</v>
      </c>
      <c r="P394" s="887">
        <f t="shared" ca="1" si="168"/>
        <v>0</v>
      </c>
      <c r="Q394" s="875"/>
      <c r="R394" s="875"/>
      <c r="S394" s="875"/>
      <c r="T394" s="875"/>
      <c r="U394" s="875"/>
      <c r="V394" s="875"/>
      <c r="W394" s="875"/>
      <c r="X394" s="875"/>
      <c r="Y394" s="875"/>
      <c r="Z394" s="875"/>
    </row>
    <row r="395" spans="1:26" ht="18.75" hidden="1">
      <c r="A395" s="995"/>
      <c r="B395" s="877"/>
      <c r="C395" s="996"/>
      <c r="D395" s="878" t="s">
        <v>21</v>
      </c>
      <c r="E395" s="877"/>
      <c r="F395" s="877"/>
      <c r="G395" s="879"/>
      <c r="H395" s="168" t="s">
        <v>12</v>
      </c>
      <c r="I395" s="997"/>
      <c r="J395" s="997"/>
      <c r="K395" s="998"/>
      <c r="L395" s="881">
        <f t="shared" ref="L395:N395" ca="1" si="171">L396+L397</f>
        <v>0</v>
      </c>
      <c r="M395" s="881">
        <f t="shared" ca="1" si="171"/>
        <v>0</v>
      </c>
      <c r="N395" s="881">
        <f t="shared" ca="1" si="171"/>
        <v>0</v>
      </c>
      <c r="O395" s="881">
        <f t="shared" ca="1" si="167"/>
        <v>0</v>
      </c>
      <c r="P395" s="881">
        <f t="shared" ca="1" si="168"/>
        <v>0</v>
      </c>
      <c r="Q395" s="868"/>
      <c r="R395" s="868"/>
      <c r="S395" s="868"/>
      <c r="T395" s="868"/>
      <c r="U395" s="868"/>
      <c r="V395" s="868"/>
      <c r="W395" s="868"/>
      <c r="X395" s="868"/>
      <c r="Y395" s="868"/>
      <c r="Z395" s="868"/>
    </row>
    <row r="396" spans="1:26" ht="19.5" hidden="1">
      <c r="A396" s="993"/>
      <c r="B396" s="883"/>
      <c r="C396" s="999"/>
      <c r="D396" s="883"/>
      <c r="E396" s="884" t="s">
        <v>18</v>
      </c>
      <c r="F396" s="883"/>
      <c r="G396" s="994"/>
      <c r="H396" s="165" t="s">
        <v>12</v>
      </c>
      <c r="I396" s="1000"/>
      <c r="J396" s="1000"/>
      <c r="K396" s="1001"/>
      <c r="L396" s="887">
        <v>0</v>
      </c>
      <c r="M396" s="887">
        <v>0</v>
      </c>
      <c r="N396" s="887">
        <v>0</v>
      </c>
      <c r="O396" s="887">
        <f t="shared" si="167"/>
        <v>0</v>
      </c>
      <c r="P396" s="887">
        <f t="shared" si="168"/>
        <v>0</v>
      </c>
      <c r="Q396" s="875"/>
      <c r="R396" s="875"/>
      <c r="S396" s="875"/>
      <c r="T396" s="875"/>
      <c r="U396" s="875"/>
      <c r="V396" s="875"/>
      <c r="W396" s="875"/>
      <c r="X396" s="875"/>
      <c r="Y396" s="875"/>
      <c r="Z396" s="875"/>
    </row>
    <row r="397" spans="1:26" ht="19.5" hidden="1">
      <c r="A397" s="993"/>
      <c r="B397" s="883"/>
      <c r="C397" s="999"/>
      <c r="D397" s="883"/>
      <c r="E397" s="884" t="s">
        <v>19</v>
      </c>
      <c r="F397" s="883"/>
      <c r="G397" s="994"/>
      <c r="H397" s="169" t="s">
        <v>12</v>
      </c>
      <c r="I397" s="1000"/>
      <c r="J397" s="1000"/>
      <c r="K397" s="1001"/>
      <c r="L397" s="887">
        <f ca="1">IFERROR(__xludf.DUMMYFUNCTION("IMPORTRANGE(""https://docs.google.com/spreadsheets/d/1MeEWN-I1oV_STSDYn1IFDPWt_1FKiwhDph83XaGc0o0/edit?usp=sharing"",""งบพรบ!FJ82"")"),0)</f>
        <v>0</v>
      </c>
      <c r="M397" s="887">
        <f ca="1">IFERROR(__xludf.DUMMYFUNCTION("IMPORTRANGE(""https://docs.google.com/spreadsheets/d/1MeEWN-I1oV_STSDYn1IFDPWt_1FKiwhDph83XaGc0o0/edit?usp=sharing"",""งบพรบ!FM82"")"),0)</f>
        <v>0</v>
      </c>
      <c r="N397" s="887">
        <f ca="1">IFERROR(__xludf.DUMMYFUNCTION("IMPORTRANGE(""https://docs.google.com/spreadsheets/d/1MeEWN-I1oV_STSDYn1IFDPWt_1FKiwhDph83XaGc0o0/edit?usp=sharing"",""งบพรบ!FO82"")"),0)</f>
        <v>0</v>
      </c>
      <c r="O397" s="887">
        <f t="shared" ca="1" si="167"/>
        <v>0</v>
      </c>
      <c r="P397" s="887">
        <f t="shared" ca="1" si="168"/>
        <v>0</v>
      </c>
      <c r="Q397" s="875"/>
      <c r="R397" s="875"/>
      <c r="S397" s="875"/>
      <c r="T397" s="875"/>
      <c r="U397" s="875"/>
      <c r="V397" s="875"/>
      <c r="W397" s="875"/>
      <c r="X397" s="875"/>
      <c r="Y397" s="875"/>
      <c r="Z397" s="875"/>
    </row>
    <row r="398" spans="1:26" ht="19.5" hidden="1">
      <c r="A398" s="1002"/>
      <c r="B398" s="1003"/>
      <c r="C398" s="999" t="s">
        <v>16</v>
      </c>
      <c r="D398" s="1004" t="s">
        <v>38</v>
      </c>
      <c r="E398" s="1005"/>
      <c r="F398" s="1005"/>
      <c r="G398" s="1006"/>
      <c r="H398" s="1007"/>
      <c r="I398" s="997"/>
      <c r="J398" s="880"/>
      <c r="K398" s="881"/>
      <c r="L398" s="881"/>
      <c r="M398" s="881"/>
      <c r="N398" s="881"/>
      <c r="O398" s="998"/>
      <c r="P398" s="998"/>
    </row>
    <row r="399" spans="1:26" ht="18.75" hidden="1">
      <c r="A399" s="1261"/>
      <c r="B399" s="986"/>
      <c r="C399" s="1262"/>
      <c r="D399" s="1021" t="s">
        <v>175</v>
      </c>
      <c r="E399" s="1166"/>
      <c r="F399" s="986"/>
      <c r="G399" s="989"/>
      <c r="H399" s="532" t="s">
        <v>9</v>
      </c>
      <c r="I399" s="880">
        <v>0</v>
      </c>
      <c r="J399" s="1012">
        <v>0</v>
      </c>
      <c r="K399" s="881">
        <f t="shared" ref="K399:K401" si="172">IF(I399&gt;0,J399*100/I399,0)</f>
        <v>0</v>
      </c>
      <c r="L399" s="1263"/>
      <c r="M399" s="1263"/>
      <c r="N399" s="1263"/>
      <c r="O399" s="1263"/>
      <c r="P399" s="1263"/>
      <c r="Q399" s="868"/>
      <c r="R399" s="868"/>
      <c r="S399" s="868"/>
      <c r="T399" s="868"/>
      <c r="U399" s="868"/>
      <c r="V399" s="868"/>
      <c r="W399" s="868"/>
      <c r="X399" s="868"/>
      <c r="Y399" s="868"/>
      <c r="Z399" s="868"/>
    </row>
    <row r="400" spans="1:26" ht="18.75" hidden="1">
      <c r="A400" s="1086"/>
      <c r="B400" s="877"/>
      <c r="C400" s="1084"/>
      <c r="D400" s="1009" t="s">
        <v>176</v>
      </c>
      <c r="E400" s="1003"/>
      <c r="F400" s="877"/>
      <c r="G400" s="879"/>
      <c r="H400" s="277" t="s">
        <v>66</v>
      </c>
      <c r="I400" s="880">
        <v>0</v>
      </c>
      <c r="J400" s="1012">
        <v>0</v>
      </c>
      <c r="K400" s="881">
        <f t="shared" si="172"/>
        <v>0</v>
      </c>
      <c r="L400" s="881"/>
      <c r="M400" s="881"/>
      <c r="N400" s="881"/>
      <c r="O400" s="881"/>
      <c r="P400" s="881"/>
    </row>
    <row r="401" spans="1:26" ht="19.5" hidden="1">
      <c r="A401" s="1253"/>
      <c r="B401" s="1254" t="s">
        <v>177</v>
      </c>
      <c r="C401" s="1255"/>
      <c r="D401" s="1256"/>
      <c r="E401" s="1256"/>
      <c r="F401" s="1256"/>
      <c r="G401" s="1257"/>
      <c r="H401" s="525" t="s">
        <v>66</v>
      </c>
      <c r="I401" s="1258">
        <f t="shared" ref="I401:J401" si="173">I412</f>
        <v>0</v>
      </c>
      <c r="J401" s="1258">
        <f t="shared" si="173"/>
        <v>0</v>
      </c>
      <c r="K401" s="1259">
        <f t="shared" si="172"/>
        <v>0</v>
      </c>
      <c r="L401" s="1260"/>
      <c r="M401" s="1260"/>
      <c r="N401" s="1260"/>
      <c r="O401" s="1260"/>
      <c r="P401" s="1260"/>
    </row>
    <row r="402" spans="1:26" ht="19.5" hidden="1">
      <c r="A402" s="985"/>
      <c r="B402" s="986"/>
      <c r="C402" s="987" t="s">
        <v>16</v>
      </c>
      <c r="D402" s="988" t="s">
        <v>17</v>
      </c>
      <c r="E402" s="986"/>
      <c r="F402" s="986"/>
      <c r="G402" s="989"/>
      <c r="H402" s="152" t="s">
        <v>12</v>
      </c>
      <c r="I402" s="990"/>
      <c r="J402" s="990"/>
      <c r="K402" s="991"/>
      <c r="L402" s="992">
        <f t="shared" ref="L402:N402" ca="1" si="174">L403+L404</f>
        <v>0</v>
      </c>
      <c r="M402" s="992">
        <f t="shared" ca="1" si="174"/>
        <v>0</v>
      </c>
      <c r="N402" s="992">
        <f t="shared" ca="1" si="174"/>
        <v>0</v>
      </c>
      <c r="O402" s="992">
        <f t="shared" ref="O402:O410" ca="1" si="175">IF(L402&gt;0,N402*100/L402,0)</f>
        <v>0</v>
      </c>
      <c r="P402" s="992">
        <f t="shared" ref="P402:P410" ca="1" si="176">IF(M402&gt;0,N402*100/M402,0)</f>
        <v>0</v>
      </c>
      <c r="Q402" s="868"/>
      <c r="R402" s="868"/>
      <c r="S402" s="868"/>
      <c r="T402" s="868"/>
      <c r="U402" s="868"/>
      <c r="V402" s="868"/>
      <c r="W402" s="868"/>
      <c r="X402" s="868"/>
      <c r="Y402" s="868"/>
      <c r="Z402" s="868"/>
    </row>
    <row r="403" spans="1:26" ht="18.75" hidden="1">
      <c r="A403" s="993"/>
      <c r="B403" s="883"/>
      <c r="C403" s="883"/>
      <c r="D403" s="883"/>
      <c r="E403" s="884" t="s">
        <v>18</v>
      </c>
      <c r="F403" s="883"/>
      <c r="G403" s="994"/>
      <c r="H403" s="158" t="s">
        <v>12</v>
      </c>
      <c r="I403" s="886"/>
      <c r="J403" s="886"/>
      <c r="K403" s="887"/>
      <c r="L403" s="887">
        <f t="shared" ref="L403:N404" si="177">L406+L409</f>
        <v>0</v>
      </c>
      <c r="M403" s="887">
        <f t="shared" si="177"/>
        <v>0</v>
      </c>
      <c r="N403" s="887">
        <f t="shared" si="177"/>
        <v>0</v>
      </c>
      <c r="O403" s="887">
        <f t="shared" si="175"/>
        <v>0</v>
      </c>
      <c r="P403" s="887">
        <f t="shared" si="176"/>
        <v>0</v>
      </c>
      <c r="Q403" s="875"/>
      <c r="R403" s="875"/>
      <c r="S403" s="875"/>
      <c r="T403" s="875"/>
      <c r="U403" s="875"/>
      <c r="V403" s="875"/>
      <c r="W403" s="875"/>
      <c r="X403" s="875"/>
      <c r="Y403" s="875"/>
      <c r="Z403" s="875"/>
    </row>
    <row r="404" spans="1:26" ht="18.75" hidden="1">
      <c r="A404" s="993"/>
      <c r="B404" s="883"/>
      <c r="C404" s="883"/>
      <c r="D404" s="883"/>
      <c r="E404" s="884" t="s">
        <v>19</v>
      </c>
      <c r="F404" s="883"/>
      <c r="G404" s="994"/>
      <c r="H404" s="158" t="s">
        <v>12</v>
      </c>
      <c r="I404" s="886"/>
      <c r="J404" s="886"/>
      <c r="K404" s="887"/>
      <c r="L404" s="887">
        <f t="shared" ca="1" si="177"/>
        <v>0</v>
      </c>
      <c r="M404" s="887">
        <f t="shared" ca="1" si="177"/>
        <v>0</v>
      </c>
      <c r="N404" s="887">
        <f t="shared" ca="1" si="177"/>
        <v>0</v>
      </c>
      <c r="O404" s="887">
        <f t="shared" ca="1" si="175"/>
        <v>0</v>
      </c>
      <c r="P404" s="887">
        <f t="shared" ca="1" si="176"/>
        <v>0</v>
      </c>
      <c r="Q404" s="875"/>
      <c r="R404" s="875"/>
      <c r="S404" s="875"/>
      <c r="T404" s="875"/>
      <c r="U404" s="875"/>
      <c r="V404" s="875"/>
      <c r="W404" s="875"/>
      <c r="X404" s="875"/>
      <c r="Y404" s="875"/>
      <c r="Z404" s="875"/>
    </row>
    <row r="405" spans="1:26" ht="18.75" hidden="1">
      <c r="A405" s="995"/>
      <c r="B405" s="877"/>
      <c r="C405" s="996"/>
      <c r="D405" s="878" t="s">
        <v>20</v>
      </c>
      <c r="E405" s="877"/>
      <c r="F405" s="877"/>
      <c r="G405" s="879"/>
      <c r="H405" s="161" t="s">
        <v>12</v>
      </c>
      <c r="I405" s="997"/>
      <c r="J405" s="997"/>
      <c r="K405" s="998"/>
      <c r="L405" s="881">
        <f t="shared" ref="L405:N405" ca="1" si="178">L406+L407</f>
        <v>0</v>
      </c>
      <c r="M405" s="881">
        <f t="shared" ca="1" si="178"/>
        <v>0</v>
      </c>
      <c r="N405" s="881">
        <f t="shared" ca="1" si="178"/>
        <v>0</v>
      </c>
      <c r="O405" s="881">
        <f t="shared" ca="1" si="175"/>
        <v>0</v>
      </c>
      <c r="P405" s="881">
        <f t="shared" ca="1" si="176"/>
        <v>0</v>
      </c>
      <c r="Q405" s="868"/>
      <c r="R405" s="868"/>
      <c r="S405" s="868"/>
      <c r="T405" s="868"/>
      <c r="U405" s="868"/>
      <c r="V405" s="868"/>
      <c r="W405" s="868"/>
      <c r="X405" s="868"/>
      <c r="Y405" s="868"/>
      <c r="Z405" s="868"/>
    </row>
    <row r="406" spans="1:26" ht="19.5" hidden="1">
      <c r="A406" s="993"/>
      <c r="B406" s="883"/>
      <c r="C406" s="999"/>
      <c r="D406" s="883"/>
      <c r="E406" s="884" t="s">
        <v>36</v>
      </c>
      <c r="F406" s="883"/>
      <c r="G406" s="994"/>
      <c r="H406" s="165" t="s">
        <v>12</v>
      </c>
      <c r="I406" s="1000"/>
      <c r="J406" s="1000"/>
      <c r="K406" s="1001"/>
      <c r="L406" s="887">
        <v>0</v>
      </c>
      <c r="M406" s="887">
        <v>0</v>
      </c>
      <c r="N406" s="887">
        <v>0</v>
      </c>
      <c r="O406" s="887">
        <f t="shared" si="175"/>
        <v>0</v>
      </c>
      <c r="P406" s="887">
        <f t="shared" si="176"/>
        <v>0</v>
      </c>
      <c r="Q406" s="875"/>
      <c r="R406" s="875"/>
      <c r="S406" s="875"/>
      <c r="T406" s="875"/>
      <c r="U406" s="875"/>
      <c r="V406" s="875"/>
      <c r="W406" s="875"/>
      <c r="X406" s="875"/>
      <c r="Y406" s="875"/>
      <c r="Z406" s="875"/>
    </row>
    <row r="407" spans="1:26" ht="19.5" hidden="1">
      <c r="A407" s="993"/>
      <c r="B407" s="883"/>
      <c r="C407" s="999"/>
      <c r="D407" s="883"/>
      <c r="E407" s="884" t="s">
        <v>37</v>
      </c>
      <c r="F407" s="883"/>
      <c r="G407" s="994"/>
      <c r="H407" s="165" t="s">
        <v>12</v>
      </c>
      <c r="I407" s="1000"/>
      <c r="J407" s="1000"/>
      <c r="K407" s="1001"/>
      <c r="L407" s="887">
        <f ca="1">IFERROR(__xludf.DUMMYFUNCTION("IMPORTRANGE(""https://docs.google.com/spreadsheets/d/1MeEWN-I1oV_STSDYn1IFDPWt_1FKiwhDph83XaGc0o0/edit?usp=sharing"",""งบพรบ!FQ82"")"),0)</f>
        <v>0</v>
      </c>
      <c r="M407" s="887">
        <f ca="1">IFERROR(__xludf.DUMMYFUNCTION("IMPORTRANGE(""https://docs.google.com/spreadsheets/d/1MeEWN-I1oV_STSDYn1IFDPWt_1FKiwhDph83XaGc0o0/edit?usp=sharing"",""งบพรบ!FV82"")"),0)</f>
        <v>0</v>
      </c>
      <c r="N407" s="887">
        <f ca="1">IFERROR(__xludf.DUMMYFUNCTION("IMPORTRANGE(""https://docs.google.com/spreadsheets/d/1MeEWN-I1oV_STSDYn1IFDPWt_1FKiwhDph83XaGc0o0/edit?usp=sharing"",""งบพรบ!FX82"")"),0)</f>
        <v>0</v>
      </c>
      <c r="O407" s="887">
        <f t="shared" ca="1" si="175"/>
        <v>0</v>
      </c>
      <c r="P407" s="887">
        <f t="shared" ca="1" si="176"/>
        <v>0</v>
      </c>
      <c r="Q407" s="875"/>
      <c r="R407" s="875"/>
      <c r="S407" s="875"/>
      <c r="T407" s="875"/>
      <c r="U407" s="875"/>
      <c r="V407" s="875"/>
      <c r="W407" s="875"/>
      <c r="X407" s="875"/>
      <c r="Y407" s="875"/>
      <c r="Z407" s="875"/>
    </row>
    <row r="408" spans="1:26" ht="18.75" hidden="1">
      <c r="A408" s="995"/>
      <c r="B408" s="877"/>
      <c r="C408" s="996"/>
      <c r="D408" s="878" t="s">
        <v>21</v>
      </c>
      <c r="E408" s="877"/>
      <c r="F408" s="877"/>
      <c r="G408" s="879"/>
      <c r="H408" s="168" t="s">
        <v>12</v>
      </c>
      <c r="I408" s="997"/>
      <c r="J408" s="997"/>
      <c r="K408" s="998"/>
      <c r="L408" s="881">
        <f t="shared" ref="L408:N408" ca="1" si="179">L409+L410</f>
        <v>0</v>
      </c>
      <c r="M408" s="881">
        <f t="shared" ca="1" si="179"/>
        <v>0</v>
      </c>
      <c r="N408" s="881">
        <f t="shared" ca="1" si="179"/>
        <v>0</v>
      </c>
      <c r="O408" s="881">
        <f t="shared" ca="1" si="175"/>
        <v>0</v>
      </c>
      <c r="P408" s="881">
        <f t="shared" ca="1" si="176"/>
        <v>0</v>
      </c>
      <c r="Q408" s="868"/>
      <c r="R408" s="868"/>
      <c r="S408" s="868"/>
      <c r="T408" s="868"/>
      <c r="U408" s="868"/>
      <c r="V408" s="868"/>
      <c r="W408" s="868"/>
      <c r="X408" s="868"/>
      <c r="Y408" s="868"/>
      <c r="Z408" s="868"/>
    </row>
    <row r="409" spans="1:26" ht="19.5" hidden="1">
      <c r="A409" s="993"/>
      <c r="B409" s="883"/>
      <c r="C409" s="999"/>
      <c r="D409" s="883"/>
      <c r="E409" s="884" t="s">
        <v>18</v>
      </c>
      <c r="F409" s="883"/>
      <c r="G409" s="994"/>
      <c r="H409" s="165" t="s">
        <v>12</v>
      </c>
      <c r="I409" s="1000"/>
      <c r="J409" s="1000"/>
      <c r="K409" s="1001"/>
      <c r="L409" s="887">
        <v>0</v>
      </c>
      <c r="M409" s="887">
        <v>0</v>
      </c>
      <c r="N409" s="887">
        <v>0</v>
      </c>
      <c r="O409" s="887">
        <f t="shared" si="175"/>
        <v>0</v>
      </c>
      <c r="P409" s="887">
        <f t="shared" si="176"/>
        <v>0</v>
      </c>
      <c r="Q409" s="875"/>
      <c r="R409" s="875"/>
      <c r="S409" s="875"/>
      <c r="T409" s="875"/>
      <c r="U409" s="875"/>
      <c r="V409" s="875"/>
      <c r="W409" s="875"/>
      <c r="X409" s="875"/>
      <c r="Y409" s="875"/>
      <c r="Z409" s="875"/>
    </row>
    <row r="410" spans="1:26" ht="19.5" hidden="1">
      <c r="A410" s="993"/>
      <c r="B410" s="883"/>
      <c r="C410" s="999"/>
      <c r="D410" s="883"/>
      <c r="E410" s="884" t="s">
        <v>19</v>
      </c>
      <c r="F410" s="883"/>
      <c r="G410" s="994"/>
      <c r="H410" s="169" t="s">
        <v>12</v>
      </c>
      <c r="I410" s="1000"/>
      <c r="J410" s="1000"/>
      <c r="K410" s="1001"/>
      <c r="L410" s="887">
        <f ca="1">IFERROR(__xludf.DUMMYFUNCTION("IMPORTRANGE(""https://docs.google.com/spreadsheets/d/1MeEWN-I1oV_STSDYn1IFDPWt_1FKiwhDph83XaGc0o0/edit?usp=sharing"",""งบพรบ!FT82"")"),0)</f>
        <v>0</v>
      </c>
      <c r="M410" s="887">
        <f ca="1">IFERROR(__xludf.DUMMYFUNCTION("IMPORTRANGE(""https://docs.google.com/spreadsheets/d/1MeEWN-I1oV_STSDYn1IFDPWt_1FKiwhDph83XaGc0o0/edit?usp=sharing"",""งบพรบ!FW82"")"),0)</f>
        <v>0</v>
      </c>
      <c r="N410" s="887">
        <f ca="1">IFERROR(__xludf.DUMMYFUNCTION("IMPORTRANGE(""https://docs.google.com/spreadsheets/d/1MeEWN-I1oV_STSDYn1IFDPWt_1FKiwhDph83XaGc0o0/edit?usp=sharing"",""งบพรบ!FY82"")"),0)</f>
        <v>0</v>
      </c>
      <c r="O410" s="887">
        <f t="shared" ca="1" si="175"/>
        <v>0</v>
      </c>
      <c r="P410" s="887">
        <f t="shared" ca="1" si="176"/>
        <v>0</v>
      </c>
      <c r="Q410" s="875"/>
      <c r="R410" s="875"/>
      <c r="S410" s="875"/>
      <c r="T410" s="875"/>
      <c r="U410" s="875"/>
      <c r="V410" s="875"/>
      <c r="W410" s="875"/>
      <c r="X410" s="875"/>
      <c r="Y410" s="875"/>
      <c r="Z410" s="875"/>
    </row>
    <row r="411" spans="1:26" ht="19.5" hidden="1">
      <c r="A411" s="1002"/>
      <c r="B411" s="1003"/>
      <c r="C411" s="999" t="s">
        <v>16</v>
      </c>
      <c r="D411" s="1264" t="s">
        <v>38</v>
      </c>
      <c r="E411" s="1265"/>
      <c r="F411" s="1265"/>
      <c r="G411" s="1266"/>
      <c r="H411" s="1007"/>
      <c r="I411" s="880"/>
      <c r="J411" s="880"/>
      <c r="K411" s="881"/>
      <c r="L411" s="998"/>
      <c r="M411" s="998"/>
      <c r="N411" s="998"/>
      <c r="O411" s="998"/>
      <c r="P411" s="998"/>
    </row>
    <row r="412" spans="1:26" ht="18.75" hidden="1">
      <c r="A412" s="1002"/>
      <c r="B412" s="1010"/>
      <c r="C412" s="1010"/>
      <c r="D412" s="1009" t="s">
        <v>178</v>
      </c>
      <c r="E412" s="1010"/>
      <c r="F412" s="1010"/>
      <c r="G412" s="1011"/>
      <c r="H412" s="537" t="s">
        <v>66</v>
      </c>
      <c r="I412" s="880">
        <v>0</v>
      </c>
      <c r="J412" s="1012">
        <v>0</v>
      </c>
      <c r="K412" s="881">
        <f t="shared" ref="K412:K413" si="180">IF(I412&gt;0,J412*100/I412,0)</f>
        <v>0</v>
      </c>
      <c r="L412" s="998"/>
      <c r="M412" s="998"/>
      <c r="N412" s="998"/>
      <c r="O412" s="998"/>
      <c r="P412" s="998"/>
    </row>
    <row r="413" spans="1:26" ht="19.5" hidden="1" thickBot="1">
      <c r="A413" s="1267"/>
      <c r="B413" s="1268"/>
      <c r="C413" s="1268"/>
      <c r="D413" s="1269" t="s">
        <v>179</v>
      </c>
      <c r="E413" s="1268"/>
      <c r="F413" s="1268"/>
      <c r="G413" s="1270"/>
      <c r="H413" s="542" t="s">
        <v>180</v>
      </c>
      <c r="I413" s="1271">
        <v>0</v>
      </c>
      <c r="J413" s="1272">
        <v>0</v>
      </c>
      <c r="K413" s="1273">
        <f t="shared" si="180"/>
        <v>0</v>
      </c>
      <c r="L413" s="1274"/>
      <c r="M413" s="1274"/>
      <c r="N413" s="1274"/>
      <c r="O413" s="1274"/>
      <c r="P413" s="1274"/>
    </row>
    <row r="414" spans="1:26" ht="19.5">
      <c r="A414" s="1275" t="s">
        <v>181</v>
      </c>
      <c r="B414" s="1276"/>
      <c r="C414" s="1276"/>
      <c r="D414" s="1276"/>
      <c r="E414" s="1276"/>
      <c r="F414" s="1276"/>
      <c r="G414" s="1277"/>
      <c r="H414" s="1278"/>
      <c r="I414" s="1279"/>
      <c r="J414" s="1279"/>
      <c r="K414" s="1280"/>
      <c r="L414" s="1281">
        <f t="shared" ref="L414:N414" ca="1" si="181">L419+L444+L467+L502+L523+L544+L629+L655+L685+L737+L754+L770+L786+L805</f>
        <v>1272608</v>
      </c>
      <c r="M414" s="1281">
        <f t="shared" ca="1" si="181"/>
        <v>1272608</v>
      </c>
      <c r="N414" s="1281">
        <f t="shared" si="181"/>
        <v>564132.12</v>
      </c>
      <c r="O414" s="1281">
        <f ca="1">IF(L414&gt;0,N414*100/L414,0)</f>
        <v>44.328820815207827</v>
      </c>
      <c r="P414" s="1281">
        <f ca="1">IF(M414&gt;0,N414*100/M414,0)</f>
        <v>44.328820815207827</v>
      </c>
    </row>
    <row r="415" spans="1:26" ht="19.5">
      <c r="A415" s="1282" t="s">
        <v>182</v>
      </c>
      <c r="B415" s="1283"/>
      <c r="C415" s="1283"/>
      <c r="D415" s="1283"/>
      <c r="E415" s="1283"/>
      <c r="F415" s="1283"/>
      <c r="G415" s="1283"/>
      <c r="H415" s="1284"/>
      <c r="I415" s="1285"/>
      <c r="J415" s="1285"/>
      <c r="K415" s="1286"/>
      <c r="L415" s="1287"/>
      <c r="M415" s="1287"/>
      <c r="N415" s="1287"/>
      <c r="O415" s="1287"/>
      <c r="P415" s="1287"/>
    </row>
    <row r="416" spans="1:26" ht="19.5">
      <c r="A416" s="1282" t="s">
        <v>183</v>
      </c>
      <c r="B416" s="1283"/>
      <c r="C416" s="1283"/>
      <c r="D416" s="1283"/>
      <c r="E416" s="1283"/>
      <c r="F416" s="1283"/>
      <c r="G416" s="1288"/>
      <c r="H416" s="1289"/>
      <c r="I416" s="1290"/>
      <c r="J416" s="1290"/>
      <c r="K416" s="1287"/>
      <c r="L416" s="1287"/>
      <c r="M416" s="1287"/>
      <c r="N416" s="1287"/>
      <c r="O416" s="1287"/>
      <c r="P416" s="1287"/>
    </row>
    <row r="417" spans="1:26" ht="39">
      <c r="A417" s="563">
        <v>1</v>
      </c>
      <c r="B417" s="1291" t="s">
        <v>184</v>
      </c>
      <c r="C417" s="1291"/>
      <c r="D417" s="1292"/>
      <c r="E417" s="1292"/>
      <c r="F417" s="1292"/>
      <c r="G417" s="1293"/>
      <c r="H417" s="568" t="s">
        <v>35</v>
      </c>
      <c r="I417" s="1294">
        <f t="shared" ref="I417:J418" ca="1" si="182">I433</f>
        <v>15</v>
      </c>
      <c r="J417" s="1294">
        <f t="shared" ca="1" si="182"/>
        <v>15</v>
      </c>
      <c r="K417" s="1295">
        <f t="shared" ref="K417:K418" ca="1" si="183">IF(I417&gt;0,J417*100/I417,0)</f>
        <v>100</v>
      </c>
      <c r="L417" s="1296"/>
      <c r="M417" s="1296"/>
      <c r="N417" s="1296"/>
      <c r="O417" s="1296"/>
      <c r="P417" s="1296"/>
    </row>
    <row r="418" spans="1:26" ht="19.5">
      <c r="A418" s="1297"/>
      <c r="B418" s="563"/>
      <c r="C418" s="1291"/>
      <c r="D418" s="1292"/>
      <c r="E418" s="1292"/>
      <c r="F418" s="1292"/>
      <c r="G418" s="1293"/>
      <c r="H418" s="568" t="s">
        <v>49</v>
      </c>
      <c r="I418" s="1294">
        <f t="shared" ca="1" si="182"/>
        <v>1</v>
      </c>
      <c r="J418" s="1294">
        <f t="shared" si="182"/>
        <v>1</v>
      </c>
      <c r="K418" s="1295">
        <f t="shared" ca="1" si="183"/>
        <v>100</v>
      </c>
      <c r="L418" s="1296"/>
      <c r="M418" s="1296"/>
      <c r="N418" s="1296"/>
      <c r="O418" s="1296"/>
      <c r="P418" s="1296"/>
    </row>
    <row r="419" spans="1:26" ht="19.5">
      <c r="A419" s="985"/>
      <c r="B419" s="986"/>
      <c r="C419" s="986" t="s">
        <v>16</v>
      </c>
      <c r="D419" s="1298" t="s">
        <v>17</v>
      </c>
      <c r="E419" s="846"/>
      <c r="F419" s="846"/>
      <c r="G419" s="989"/>
      <c r="H419" s="275" t="s">
        <v>12</v>
      </c>
      <c r="I419" s="990"/>
      <c r="J419" s="990"/>
      <c r="K419" s="991"/>
      <c r="L419" s="992">
        <f t="shared" ref="L419:N419" ca="1" si="184">L420+L421</f>
        <v>92760</v>
      </c>
      <c r="M419" s="992">
        <f t="shared" ca="1" si="184"/>
        <v>92760</v>
      </c>
      <c r="N419" s="992">
        <f t="shared" si="184"/>
        <v>83750</v>
      </c>
      <c r="O419" s="992">
        <f t="shared" ref="O419:O424" ca="1" si="185">IF(L419&gt;0,N419*100/L419,0)</f>
        <v>90.286761535144464</v>
      </c>
      <c r="P419" s="992">
        <f t="shared" ref="P419:P424" ca="1" si="186">IF(M419&gt;0,N419*100/M419,0)</f>
        <v>90.286761535144464</v>
      </c>
      <c r="Q419" s="868"/>
      <c r="R419" s="868"/>
      <c r="S419" s="868"/>
      <c r="T419" s="868"/>
      <c r="U419" s="868"/>
      <c r="V419" s="868"/>
      <c r="W419" s="868"/>
      <c r="X419" s="868"/>
      <c r="Y419" s="868"/>
      <c r="Z419" s="868"/>
    </row>
    <row r="420" spans="1:26" ht="18.75" hidden="1">
      <c r="A420" s="993"/>
      <c r="B420" s="883"/>
      <c r="C420" s="883"/>
      <c r="D420" s="1114"/>
      <c r="E420" s="884" t="s">
        <v>185</v>
      </c>
      <c r="F420" s="883"/>
      <c r="G420" s="994"/>
      <c r="H420" s="165" t="s">
        <v>12</v>
      </c>
      <c r="I420" s="886"/>
      <c r="J420" s="886"/>
      <c r="K420" s="887"/>
      <c r="L420" s="887">
        <f t="shared" ref="L420:N421" si="187">L423+L430</f>
        <v>0</v>
      </c>
      <c r="M420" s="887">
        <f t="shared" si="187"/>
        <v>0</v>
      </c>
      <c r="N420" s="887">
        <f t="shared" si="187"/>
        <v>0</v>
      </c>
      <c r="O420" s="887">
        <f t="shared" si="185"/>
        <v>0</v>
      </c>
      <c r="P420" s="887">
        <f t="shared" si="186"/>
        <v>0</v>
      </c>
      <c r="Q420" s="875"/>
      <c r="R420" s="875"/>
      <c r="S420" s="875"/>
      <c r="T420" s="875"/>
      <c r="U420" s="875"/>
      <c r="V420" s="875"/>
      <c r="W420" s="875"/>
      <c r="X420" s="875"/>
      <c r="Y420" s="875"/>
      <c r="Z420" s="875"/>
    </row>
    <row r="421" spans="1:26" ht="18.75" hidden="1">
      <c r="A421" s="993"/>
      <c r="B421" s="883"/>
      <c r="C421" s="883"/>
      <c r="D421" s="1114"/>
      <c r="E421" s="884" t="s">
        <v>186</v>
      </c>
      <c r="F421" s="883"/>
      <c r="G421" s="994"/>
      <c r="H421" s="165" t="s">
        <v>12</v>
      </c>
      <c r="I421" s="886"/>
      <c r="J421" s="886"/>
      <c r="K421" s="887"/>
      <c r="L421" s="887">
        <f t="shared" ca="1" si="187"/>
        <v>92760</v>
      </c>
      <c r="M421" s="887">
        <f t="shared" ca="1" si="187"/>
        <v>92760</v>
      </c>
      <c r="N421" s="887">
        <f t="shared" si="187"/>
        <v>83750</v>
      </c>
      <c r="O421" s="887">
        <f t="shared" ca="1" si="185"/>
        <v>90.286761535144464</v>
      </c>
      <c r="P421" s="887">
        <f t="shared" ca="1" si="186"/>
        <v>90.286761535144464</v>
      </c>
      <c r="Q421" s="875"/>
      <c r="R421" s="875"/>
      <c r="S421" s="875"/>
      <c r="T421" s="875"/>
      <c r="U421" s="875"/>
      <c r="V421" s="875"/>
      <c r="W421" s="875"/>
      <c r="X421" s="875"/>
      <c r="Y421" s="875"/>
      <c r="Z421" s="875"/>
    </row>
    <row r="422" spans="1:26" ht="18.75">
      <c r="A422" s="995"/>
      <c r="B422" s="1084"/>
      <c r="C422" s="877"/>
      <c r="D422" s="878" t="s">
        <v>20</v>
      </c>
      <c r="E422" s="877"/>
      <c r="F422" s="877"/>
      <c r="G422" s="879"/>
      <c r="H422" s="161" t="s">
        <v>12</v>
      </c>
      <c r="I422" s="997"/>
      <c r="J422" s="997"/>
      <c r="K422" s="998"/>
      <c r="L422" s="881">
        <f t="shared" ref="L422:N422" ca="1" si="188">L423+L424</f>
        <v>92760</v>
      </c>
      <c r="M422" s="881">
        <f t="shared" ca="1" si="188"/>
        <v>92760</v>
      </c>
      <c r="N422" s="881">
        <f t="shared" si="188"/>
        <v>83750</v>
      </c>
      <c r="O422" s="881">
        <f t="shared" ca="1" si="185"/>
        <v>90.286761535144464</v>
      </c>
      <c r="P422" s="881">
        <f t="shared" ca="1" si="186"/>
        <v>90.286761535144464</v>
      </c>
      <c r="Q422" s="868"/>
      <c r="R422" s="868"/>
      <c r="S422" s="868"/>
      <c r="T422" s="868"/>
      <c r="U422" s="868"/>
      <c r="V422" s="868"/>
      <c r="W422" s="868"/>
      <c r="X422" s="868"/>
      <c r="Y422" s="868"/>
      <c r="Z422" s="868"/>
    </row>
    <row r="423" spans="1:26" ht="18.75" hidden="1">
      <c r="A423" s="993"/>
      <c r="B423" s="883"/>
      <c r="C423" s="883"/>
      <c r="D423" s="1114"/>
      <c r="E423" s="884" t="s">
        <v>185</v>
      </c>
      <c r="F423" s="883"/>
      <c r="G423" s="994"/>
      <c r="H423" s="165" t="s">
        <v>12</v>
      </c>
      <c r="I423" s="886"/>
      <c r="J423" s="886"/>
      <c r="K423" s="887"/>
      <c r="L423" s="887">
        <v>0</v>
      </c>
      <c r="M423" s="887">
        <v>0</v>
      </c>
      <c r="N423" s="887">
        <v>0</v>
      </c>
      <c r="O423" s="887">
        <f t="shared" si="185"/>
        <v>0</v>
      </c>
      <c r="P423" s="887">
        <f t="shared" si="186"/>
        <v>0</v>
      </c>
      <c r="Q423" s="875"/>
      <c r="R423" s="875"/>
      <c r="S423" s="875"/>
      <c r="T423" s="875"/>
      <c r="U423" s="875"/>
      <c r="V423" s="875"/>
      <c r="W423" s="875"/>
      <c r="X423" s="875"/>
      <c r="Y423" s="875"/>
      <c r="Z423" s="875"/>
    </row>
    <row r="424" spans="1:26" ht="18.75" hidden="1">
      <c r="A424" s="993"/>
      <c r="B424" s="883"/>
      <c r="C424" s="883"/>
      <c r="D424" s="1114"/>
      <c r="E424" s="884" t="s">
        <v>186</v>
      </c>
      <c r="F424" s="883"/>
      <c r="G424" s="994"/>
      <c r="H424" s="165" t="s">
        <v>12</v>
      </c>
      <c r="I424" s="886"/>
      <c r="J424" s="886"/>
      <c r="K424" s="887"/>
      <c r="L424" s="887">
        <f ca="1">IFERROR(__xludf.DUMMYFUNCTION("IMPORTRANGE(""https://docs.google.com/spreadsheets/d/1QqKyyYR6Q21VydFLVH3TRQUabQu_ym0Zz7PgGX0-kHA/edit?usp=sharing"",""แผน!EY82"")"),92760)</f>
        <v>92760</v>
      </c>
      <c r="M424" s="887">
        <f ca="1">L424</f>
        <v>92760</v>
      </c>
      <c r="N424" s="887">
        <f>N425+N426+N427+N428</f>
        <v>83750</v>
      </c>
      <c r="O424" s="887">
        <f t="shared" ca="1" si="185"/>
        <v>90.286761535144464</v>
      </c>
      <c r="P424" s="887">
        <f t="shared" ca="1" si="186"/>
        <v>90.286761535144464</v>
      </c>
      <c r="Q424" s="875"/>
      <c r="R424" s="875"/>
      <c r="S424" s="875"/>
      <c r="T424" s="875"/>
      <c r="U424" s="875"/>
      <c r="V424" s="875"/>
      <c r="W424" s="875"/>
      <c r="X424" s="875"/>
      <c r="Y424" s="875"/>
      <c r="Z424" s="875"/>
    </row>
    <row r="425" spans="1:26" ht="18.75">
      <c r="A425" s="1299"/>
      <c r="B425" s="1300"/>
      <c r="C425" s="1301"/>
      <c r="D425" s="1301"/>
      <c r="E425" s="1301"/>
      <c r="F425" s="1301" t="s">
        <v>187</v>
      </c>
      <c r="G425" s="1016"/>
      <c r="H425" s="161" t="s">
        <v>12</v>
      </c>
      <c r="I425" s="880"/>
      <c r="J425" s="880"/>
      <c r="K425" s="881"/>
      <c r="L425" s="881"/>
      <c r="M425" s="881"/>
      <c r="N425" s="1085">
        <v>36640</v>
      </c>
      <c r="O425" s="881"/>
      <c r="P425" s="881"/>
      <c r="Q425" s="1302"/>
      <c r="R425" s="1302"/>
      <c r="S425" s="1302"/>
      <c r="T425" s="1302"/>
      <c r="U425" s="1302"/>
      <c r="V425" s="1302"/>
      <c r="W425" s="1302"/>
      <c r="X425" s="1302"/>
      <c r="Y425" s="1302"/>
      <c r="Z425" s="1302"/>
    </row>
    <row r="426" spans="1:26" ht="18.75">
      <c r="A426" s="1299"/>
      <c r="B426" s="1300"/>
      <c r="C426" s="1301"/>
      <c r="D426" s="1301"/>
      <c r="E426" s="1301"/>
      <c r="F426" s="1301" t="s">
        <v>188</v>
      </c>
      <c r="G426" s="1016"/>
      <c r="H426" s="161" t="s">
        <v>12</v>
      </c>
      <c r="I426" s="880"/>
      <c r="J426" s="880"/>
      <c r="K426" s="881"/>
      <c r="L426" s="881"/>
      <c r="M426" s="881"/>
      <c r="N426" s="1085">
        <v>0</v>
      </c>
      <c r="O426" s="881"/>
      <c r="P426" s="881"/>
      <c r="Q426" s="1302"/>
      <c r="R426" s="1302"/>
      <c r="S426" s="1302"/>
      <c r="T426" s="1302"/>
      <c r="U426" s="1302"/>
      <c r="V426" s="1302"/>
      <c r="W426" s="1302"/>
      <c r="X426" s="1302"/>
      <c r="Y426" s="1302"/>
      <c r="Z426" s="1302"/>
    </row>
    <row r="427" spans="1:26" ht="18.75">
      <c r="A427" s="1299"/>
      <c r="B427" s="1300"/>
      <c r="C427" s="1301"/>
      <c r="D427" s="1301"/>
      <c r="E427" s="1301"/>
      <c r="F427" s="1301" t="s">
        <v>189</v>
      </c>
      <c r="G427" s="1016"/>
      <c r="H427" s="161" t="s">
        <v>12</v>
      </c>
      <c r="I427" s="880"/>
      <c r="J427" s="880"/>
      <c r="K427" s="881"/>
      <c r="L427" s="881"/>
      <c r="M427" s="881"/>
      <c r="N427" s="1085">
        <v>0</v>
      </c>
      <c r="O427" s="881"/>
      <c r="P427" s="881"/>
      <c r="Q427" s="1302"/>
      <c r="R427" s="1302"/>
      <c r="S427" s="1302"/>
      <c r="T427" s="1302"/>
      <c r="U427" s="1302"/>
      <c r="V427" s="1302"/>
      <c r="W427" s="1302"/>
      <c r="X427" s="1302"/>
      <c r="Y427" s="1302"/>
      <c r="Z427" s="1302"/>
    </row>
    <row r="428" spans="1:26" ht="18.75">
      <c r="A428" s="1086"/>
      <c r="B428" s="1084"/>
      <c r="C428" s="877"/>
      <c r="D428" s="877"/>
      <c r="E428" s="877"/>
      <c r="F428" s="996" t="s">
        <v>190</v>
      </c>
      <c r="G428" s="1030"/>
      <c r="H428" s="161" t="s">
        <v>12</v>
      </c>
      <c r="I428" s="880"/>
      <c r="J428" s="880"/>
      <c r="K428" s="881"/>
      <c r="L428" s="881"/>
      <c r="M428" s="881"/>
      <c r="N428" s="1085">
        <v>47110</v>
      </c>
      <c r="O428" s="881"/>
      <c r="P428" s="881"/>
      <c r="Q428" s="868"/>
      <c r="R428" s="868"/>
      <c r="S428" s="868"/>
      <c r="T428" s="868"/>
      <c r="U428" s="868"/>
      <c r="V428" s="868"/>
      <c r="W428" s="868"/>
      <c r="X428" s="868"/>
      <c r="Y428" s="868"/>
      <c r="Z428" s="868"/>
    </row>
    <row r="429" spans="1:26" ht="18.75">
      <c r="A429" s="995"/>
      <c r="B429" s="1084"/>
      <c r="C429" s="877"/>
      <c r="D429" s="878" t="s">
        <v>21</v>
      </c>
      <c r="E429" s="877"/>
      <c r="F429" s="877"/>
      <c r="G429" s="879"/>
      <c r="H429" s="168" t="s">
        <v>12</v>
      </c>
      <c r="I429" s="997"/>
      <c r="J429" s="997"/>
      <c r="K429" s="998"/>
      <c r="L429" s="881">
        <f t="shared" ref="L429:N429" ca="1" si="189">L430+L431</f>
        <v>0</v>
      </c>
      <c r="M429" s="881">
        <f t="shared" si="189"/>
        <v>0</v>
      </c>
      <c r="N429" s="881">
        <f t="shared" si="189"/>
        <v>0</v>
      </c>
      <c r="O429" s="881">
        <f t="shared" ref="O429:O431" ca="1" si="190">IF(L429&gt;0,N429*100/L429,0)</f>
        <v>0</v>
      </c>
      <c r="P429" s="881">
        <f t="shared" ref="P429:P431" si="191">IF(M429&gt;0,N429*100/M429,0)</f>
        <v>0</v>
      </c>
      <c r="Q429" s="868"/>
      <c r="R429" s="868"/>
      <c r="S429" s="868"/>
      <c r="T429" s="868"/>
      <c r="U429" s="868"/>
      <c r="V429" s="868"/>
      <c r="W429" s="868"/>
      <c r="X429" s="868"/>
      <c r="Y429" s="868"/>
      <c r="Z429" s="868"/>
    </row>
    <row r="430" spans="1:26" ht="18.75" hidden="1">
      <c r="A430" s="993"/>
      <c r="B430" s="1105"/>
      <c r="C430" s="883"/>
      <c r="D430" s="883"/>
      <c r="E430" s="884" t="s">
        <v>18</v>
      </c>
      <c r="F430" s="883"/>
      <c r="G430" s="885"/>
      <c r="H430" s="165" t="s">
        <v>12</v>
      </c>
      <c r="I430" s="1000"/>
      <c r="J430" s="1000"/>
      <c r="K430" s="1001"/>
      <c r="L430" s="887">
        <v>0</v>
      </c>
      <c r="M430" s="887">
        <v>0</v>
      </c>
      <c r="N430" s="887">
        <v>0</v>
      </c>
      <c r="O430" s="887">
        <f t="shared" si="190"/>
        <v>0</v>
      </c>
      <c r="P430" s="887">
        <f t="shared" si="191"/>
        <v>0</v>
      </c>
      <c r="Q430" s="875"/>
      <c r="R430" s="875"/>
      <c r="S430" s="875"/>
      <c r="T430" s="875"/>
      <c r="U430" s="875"/>
      <c r="V430" s="875"/>
      <c r="W430" s="875"/>
      <c r="X430" s="875"/>
      <c r="Y430" s="875"/>
      <c r="Z430" s="875"/>
    </row>
    <row r="431" spans="1:26" ht="18.75" hidden="1">
      <c r="A431" s="993"/>
      <c r="B431" s="1105"/>
      <c r="C431" s="883"/>
      <c r="D431" s="883"/>
      <c r="E431" s="884" t="s">
        <v>19</v>
      </c>
      <c r="F431" s="883"/>
      <c r="G431" s="885"/>
      <c r="H431" s="169" t="s">
        <v>12</v>
      </c>
      <c r="I431" s="1000"/>
      <c r="J431" s="1000"/>
      <c r="K431" s="1001"/>
      <c r="L431" s="887">
        <f ca="1">IFERROR(__xludf.DUMMYFUNCTION("IMPORTRANGE(""https://docs.google.com/spreadsheets/d/1QqKyyYR6Q21VydFLVH3TRQUabQu_ym0Zz7PgGX0-kHA/edit?usp=sharing"",""แผน!FB82"")"),0)</f>
        <v>0</v>
      </c>
      <c r="M431" s="887">
        <v>0</v>
      </c>
      <c r="N431" s="887">
        <v>0</v>
      </c>
      <c r="O431" s="887">
        <f t="shared" ca="1" si="190"/>
        <v>0</v>
      </c>
      <c r="P431" s="887">
        <f t="shared" si="191"/>
        <v>0</v>
      </c>
      <c r="Q431" s="875"/>
      <c r="R431" s="875"/>
      <c r="S431" s="875"/>
      <c r="T431" s="875"/>
      <c r="U431" s="875"/>
      <c r="V431" s="875"/>
      <c r="W431" s="875"/>
      <c r="X431" s="875"/>
      <c r="Y431" s="875"/>
      <c r="Z431" s="875"/>
    </row>
    <row r="432" spans="1:26" ht="19.5">
      <c r="A432" s="1165"/>
      <c r="B432" s="1166"/>
      <c r="C432" s="986" t="s">
        <v>16</v>
      </c>
      <c r="D432" s="1303" t="s">
        <v>38</v>
      </c>
      <c r="E432" s="1304"/>
      <c r="F432" s="1304"/>
      <c r="G432" s="1305"/>
      <c r="H432" s="1306"/>
      <c r="I432" s="990"/>
      <c r="J432" s="990"/>
      <c r="K432" s="991"/>
      <c r="L432" s="991"/>
      <c r="M432" s="991"/>
      <c r="N432" s="991"/>
      <c r="O432" s="991"/>
      <c r="P432" s="991"/>
      <c r="Q432" s="868"/>
      <c r="R432" s="868"/>
      <c r="S432" s="868"/>
      <c r="T432" s="868"/>
      <c r="U432" s="868"/>
      <c r="V432" s="868"/>
      <c r="W432" s="868"/>
      <c r="X432" s="868"/>
      <c r="Y432" s="868"/>
      <c r="Z432" s="868"/>
    </row>
    <row r="433" spans="1:26" ht="19.5">
      <c r="A433" s="1002"/>
      <c r="B433" s="1003"/>
      <c r="C433" s="1003"/>
      <c r="D433" s="1013" t="s">
        <v>191</v>
      </c>
      <c r="E433" s="1010"/>
      <c r="F433" s="1010"/>
      <c r="G433" s="1011"/>
      <c r="H433" s="196" t="s">
        <v>35</v>
      </c>
      <c r="I433" s="1019">
        <f ca="1">I435</f>
        <v>15</v>
      </c>
      <c r="J433" s="1019">
        <f ca="1">IF(AND(J435=I435,J437=I437,J439=I439),I437+I439,IF(AND(J435=I437,J437=I437),I437,IF(AND(J435=I439,J439=I439),I439,0)))</f>
        <v>15</v>
      </c>
      <c r="K433" s="1020">
        <f t="shared" ref="K433:K435" ca="1" si="192">IF(I433&gt;0,J433*100/I433,0)</f>
        <v>100</v>
      </c>
      <c r="L433" s="881"/>
      <c r="M433" s="881"/>
      <c r="N433" s="881"/>
      <c r="O433" s="881"/>
      <c r="P433" s="881"/>
      <c r="Q433" s="868"/>
      <c r="R433" s="868"/>
      <c r="S433" s="868"/>
      <c r="T433" s="868"/>
      <c r="U433" s="868"/>
      <c r="V433" s="868"/>
      <c r="W433" s="868"/>
      <c r="X433" s="868"/>
      <c r="Y433" s="868"/>
      <c r="Z433" s="868"/>
    </row>
    <row r="434" spans="1:26" ht="19.5">
      <c r="A434" s="1002"/>
      <c r="B434" s="1003"/>
      <c r="C434" s="1003"/>
      <c r="D434" s="1013" t="s">
        <v>192</v>
      </c>
      <c r="E434" s="1010"/>
      <c r="F434" s="1010"/>
      <c r="G434" s="1011"/>
      <c r="H434" s="196" t="s">
        <v>49</v>
      </c>
      <c r="I434" s="1019">
        <f t="shared" ref="I434:J434" ca="1" si="193">I438+I440</f>
        <v>1</v>
      </c>
      <c r="J434" s="1019">
        <f t="shared" si="193"/>
        <v>1</v>
      </c>
      <c r="K434" s="1020">
        <f t="shared" ca="1" si="192"/>
        <v>100</v>
      </c>
      <c r="L434" s="881"/>
      <c r="M434" s="881"/>
      <c r="N434" s="881"/>
      <c r="O434" s="881"/>
      <c r="P434" s="881"/>
      <c r="Q434" s="868"/>
      <c r="R434" s="868"/>
      <c r="S434" s="868"/>
      <c r="T434" s="868"/>
      <c r="U434" s="868"/>
      <c r="V434" s="868"/>
      <c r="W434" s="868"/>
      <c r="X434" s="868"/>
      <c r="Y434" s="868"/>
      <c r="Z434" s="868"/>
    </row>
    <row r="435" spans="1:26" ht="18.75">
      <c r="A435" s="1002"/>
      <c r="B435" s="1003"/>
      <c r="C435" s="1003"/>
      <c r="D435" s="1009" t="s">
        <v>193</v>
      </c>
      <c r="E435" s="1010"/>
      <c r="F435" s="1010"/>
      <c r="G435" s="1011"/>
      <c r="H435" s="622" t="s">
        <v>35</v>
      </c>
      <c r="I435" s="582">
        <f ca="1">IFERROR(__xludf.DUMMYFUNCTION("IMPORTRANGE(""https://docs.google.com/spreadsheets/d/1QqKyyYR6Q21VydFLVH3TRQUabQu_ym0Zz7PgGX0-kHA/edit?usp=sharing"",""แผน!FC82"")"),15)</f>
        <v>15</v>
      </c>
      <c r="J435" s="583">
        <v>15</v>
      </c>
      <c r="K435" s="881">
        <f t="shared" ca="1" si="192"/>
        <v>100</v>
      </c>
      <c r="L435" s="881"/>
      <c r="M435" s="881"/>
      <c r="N435" s="881"/>
      <c r="O435" s="881"/>
      <c r="P435" s="881"/>
      <c r="Q435" s="868"/>
      <c r="R435" s="868"/>
      <c r="S435" s="868"/>
      <c r="T435" s="868"/>
      <c r="U435" s="868"/>
      <c r="V435" s="868"/>
      <c r="W435" s="868"/>
      <c r="X435" s="868"/>
      <c r="Y435" s="868"/>
      <c r="Z435" s="868"/>
    </row>
    <row r="436" spans="1:26" ht="18.75">
      <c r="A436" s="1002"/>
      <c r="B436" s="1003"/>
      <c r="C436" s="1003"/>
      <c r="D436" s="1009" t="s">
        <v>194</v>
      </c>
      <c r="E436" s="1010"/>
      <c r="F436" s="1010"/>
      <c r="G436" s="1011"/>
      <c r="H436" s="622"/>
      <c r="I436" s="880"/>
      <c r="J436" s="880"/>
      <c r="K436" s="881"/>
      <c r="L436" s="881"/>
      <c r="M436" s="881"/>
      <c r="N436" s="881"/>
      <c r="O436" s="881"/>
      <c r="P436" s="881"/>
      <c r="Q436" s="868"/>
      <c r="R436" s="868"/>
      <c r="S436" s="868"/>
      <c r="T436" s="868"/>
      <c r="U436" s="868"/>
      <c r="V436" s="868"/>
      <c r="W436" s="868"/>
      <c r="X436" s="868"/>
      <c r="Y436" s="868"/>
      <c r="Z436" s="868"/>
    </row>
    <row r="437" spans="1:26" ht="18.75">
      <c r="A437" s="1002"/>
      <c r="B437" s="1003"/>
      <c r="C437" s="1003"/>
      <c r="D437" s="1009" t="s">
        <v>195</v>
      </c>
      <c r="E437" s="1010"/>
      <c r="F437" s="1010"/>
      <c r="G437" s="1011"/>
      <c r="H437" s="622" t="s">
        <v>35</v>
      </c>
      <c r="I437" s="582">
        <f ca="1">IFERROR(__xludf.DUMMYFUNCTION("IMPORTRANGE(""https://docs.google.com/spreadsheets/d/1QqKyyYR6Q21VydFLVH3TRQUabQu_ym0Zz7PgGX0-kHA/edit?usp=sharing"",""แผน!FD82"")"),0)</f>
        <v>0</v>
      </c>
      <c r="J437" s="583">
        <v>0</v>
      </c>
      <c r="K437" s="881">
        <f t="shared" ref="K437:K443" ca="1" si="194">IF(I437&gt;0,J437*100/I437,0)</f>
        <v>0</v>
      </c>
      <c r="L437" s="881"/>
      <c r="M437" s="881"/>
      <c r="N437" s="881"/>
      <c r="O437" s="881"/>
      <c r="P437" s="881"/>
      <c r="Q437" s="868"/>
      <c r="R437" s="868"/>
      <c r="S437" s="868"/>
      <c r="T437" s="868"/>
      <c r="U437" s="868"/>
      <c r="V437" s="868"/>
      <c r="W437" s="868"/>
      <c r="X437" s="868"/>
      <c r="Y437" s="868"/>
      <c r="Z437" s="868"/>
    </row>
    <row r="438" spans="1:26" ht="18.75">
      <c r="A438" s="1002"/>
      <c r="B438" s="1003"/>
      <c r="C438" s="1003"/>
      <c r="D438" s="1009" t="s">
        <v>196</v>
      </c>
      <c r="E438" s="1010"/>
      <c r="F438" s="1010"/>
      <c r="G438" s="1011"/>
      <c r="H438" s="622" t="s">
        <v>49</v>
      </c>
      <c r="I438" s="880">
        <f ca="1">IFERROR(__xludf.DUMMYFUNCTION("IMPORTRANGE(""https://docs.google.com/spreadsheets/d/1QqKyyYR6Q21VydFLVH3TRQUabQu_ym0Zz7PgGX0-kHA/edit?usp=sharing"",""แผน!FE82"")"),0)</f>
        <v>0</v>
      </c>
      <c r="J438" s="1012">
        <v>0</v>
      </c>
      <c r="K438" s="881">
        <f t="shared" ca="1" si="194"/>
        <v>0</v>
      </c>
      <c r="L438" s="881"/>
      <c r="M438" s="881"/>
      <c r="N438" s="881"/>
      <c r="O438" s="881"/>
      <c r="P438" s="881"/>
      <c r="Q438" s="868"/>
      <c r="R438" s="868"/>
      <c r="S438" s="868"/>
      <c r="T438" s="868"/>
      <c r="U438" s="868"/>
      <c r="V438" s="868"/>
      <c r="W438" s="868"/>
      <c r="X438" s="868"/>
      <c r="Y438" s="868"/>
      <c r="Z438" s="868"/>
    </row>
    <row r="439" spans="1:26" ht="18.75">
      <c r="A439" s="1002"/>
      <c r="B439" s="1003"/>
      <c r="C439" s="1003"/>
      <c r="D439" s="1009" t="s">
        <v>197</v>
      </c>
      <c r="E439" s="1010"/>
      <c r="F439" s="1010"/>
      <c r="G439" s="1011"/>
      <c r="H439" s="622" t="s">
        <v>35</v>
      </c>
      <c r="I439" s="582">
        <f ca="1">IFERROR(__xludf.DUMMYFUNCTION("IMPORTRANGE(""https://docs.google.com/spreadsheets/d/1QqKyyYR6Q21VydFLVH3TRQUabQu_ym0Zz7PgGX0-kHA/edit?usp=sharing"",""แผน!FF82"")"),15)</f>
        <v>15</v>
      </c>
      <c r="J439" s="1012">
        <v>15</v>
      </c>
      <c r="K439" s="881">
        <f t="shared" ca="1" si="194"/>
        <v>100</v>
      </c>
      <c r="L439" s="881"/>
      <c r="M439" s="881"/>
      <c r="N439" s="881"/>
      <c r="O439" s="881"/>
      <c r="P439" s="881"/>
      <c r="Q439" s="868"/>
      <c r="R439" s="868"/>
      <c r="S439" s="868"/>
      <c r="T439" s="868"/>
      <c r="U439" s="868"/>
      <c r="V439" s="868"/>
      <c r="W439" s="868"/>
      <c r="X439" s="868"/>
      <c r="Y439" s="868"/>
      <c r="Z439" s="868"/>
    </row>
    <row r="440" spans="1:26" ht="18.75">
      <c r="A440" s="1002"/>
      <c r="B440" s="1003"/>
      <c r="C440" s="1003"/>
      <c r="D440" s="1009" t="s">
        <v>198</v>
      </c>
      <c r="E440" s="1010"/>
      <c r="F440" s="1010"/>
      <c r="G440" s="1011"/>
      <c r="H440" s="622" t="s">
        <v>49</v>
      </c>
      <c r="I440" s="880">
        <f ca="1">IFERROR(__xludf.DUMMYFUNCTION("IMPORTRANGE(""https://docs.google.com/spreadsheets/d/1QqKyyYR6Q21VydFLVH3TRQUabQu_ym0Zz7PgGX0-kHA/edit?usp=sharing"",""แผน!FG82"")"),1)</f>
        <v>1</v>
      </c>
      <c r="J440" s="1012">
        <v>1</v>
      </c>
      <c r="K440" s="881">
        <f t="shared" ca="1" si="194"/>
        <v>100</v>
      </c>
      <c r="L440" s="881"/>
      <c r="M440" s="881"/>
      <c r="N440" s="881"/>
      <c r="O440" s="881"/>
      <c r="P440" s="881"/>
      <c r="Q440" s="868"/>
      <c r="R440" s="868"/>
      <c r="S440" s="868"/>
      <c r="T440" s="868"/>
      <c r="U440" s="868"/>
      <c r="V440" s="868"/>
      <c r="W440" s="868"/>
      <c r="X440" s="868"/>
      <c r="Y440" s="868"/>
      <c r="Z440" s="868"/>
    </row>
    <row r="441" spans="1:26" ht="18.75">
      <c r="A441" s="1002"/>
      <c r="B441" s="1003"/>
      <c r="C441" s="1003"/>
      <c r="D441" s="1009" t="s">
        <v>199</v>
      </c>
      <c r="E441" s="1010"/>
      <c r="F441" s="1010"/>
      <c r="G441" s="1011"/>
      <c r="H441" s="622" t="s">
        <v>35</v>
      </c>
      <c r="I441" s="880">
        <f ca="1">IFERROR(__xludf.DUMMYFUNCTION("IMPORTRANGE(""https://docs.google.com/spreadsheets/d/1QqKyyYR6Q21VydFLVH3TRQUabQu_ym0Zz7PgGX0-kHA/edit?usp=sharing"",""แผน!FH82"")"),0)</f>
        <v>0</v>
      </c>
      <c r="J441" s="880">
        <v>0</v>
      </c>
      <c r="K441" s="881">
        <f t="shared" ca="1" si="194"/>
        <v>0</v>
      </c>
      <c r="L441" s="881"/>
      <c r="M441" s="881"/>
      <c r="N441" s="881"/>
      <c r="O441" s="881"/>
      <c r="P441" s="881"/>
      <c r="Q441" s="868"/>
      <c r="R441" s="868"/>
      <c r="S441" s="868"/>
      <c r="T441" s="868"/>
      <c r="U441" s="868"/>
      <c r="V441" s="868"/>
      <c r="W441" s="868"/>
      <c r="X441" s="868"/>
      <c r="Y441" s="868"/>
      <c r="Z441" s="868"/>
    </row>
    <row r="442" spans="1:26" ht="19.5">
      <c r="A442" s="584">
        <v>2</v>
      </c>
      <c r="B442" s="1307" t="s">
        <v>200</v>
      </c>
      <c r="C442" s="1308"/>
      <c r="D442" s="1308"/>
      <c r="E442" s="1308"/>
      <c r="F442" s="1308"/>
      <c r="G442" s="1309"/>
      <c r="H442" s="588" t="s">
        <v>35</v>
      </c>
      <c r="I442" s="1310">
        <f t="shared" ref="I442:J442" ca="1" si="195">I460</f>
        <v>40</v>
      </c>
      <c r="J442" s="1310">
        <f t="shared" si="195"/>
        <v>40</v>
      </c>
      <c r="K442" s="1311">
        <f t="shared" ca="1" si="194"/>
        <v>100</v>
      </c>
      <c r="L442" s="1312"/>
      <c r="M442" s="1312"/>
      <c r="N442" s="1312"/>
      <c r="O442" s="1312"/>
      <c r="P442" s="1312"/>
      <c r="Q442" s="1302"/>
      <c r="R442" s="1302"/>
      <c r="S442" s="1302"/>
      <c r="T442" s="1302"/>
      <c r="U442" s="1302"/>
      <c r="V442" s="1302"/>
      <c r="W442" s="1302"/>
      <c r="X442" s="1302"/>
      <c r="Y442" s="1302"/>
      <c r="Z442" s="1302"/>
    </row>
    <row r="443" spans="1:26" ht="19.5">
      <c r="A443" s="1313"/>
      <c r="B443" s="1314"/>
      <c r="C443" s="1315"/>
      <c r="D443" s="1315"/>
      <c r="E443" s="1315"/>
      <c r="F443" s="1315"/>
      <c r="G443" s="1316"/>
      <c r="H443" s="568" t="s">
        <v>46</v>
      </c>
      <c r="I443" s="1294">
        <f t="shared" ref="I443:J443" ca="1" si="196">I462</f>
        <v>120</v>
      </c>
      <c r="J443" s="1294">
        <f t="shared" si="196"/>
        <v>120</v>
      </c>
      <c r="K443" s="1295">
        <f t="shared" ca="1" si="194"/>
        <v>100</v>
      </c>
      <c r="L443" s="1296"/>
      <c r="M443" s="1296"/>
      <c r="N443" s="1296"/>
      <c r="O443" s="1296"/>
      <c r="P443" s="1296"/>
      <c r="Q443" s="1302"/>
      <c r="R443" s="1302"/>
      <c r="S443" s="1302"/>
      <c r="T443" s="1302"/>
      <c r="U443" s="1302"/>
      <c r="V443" s="1302"/>
      <c r="W443" s="1302"/>
      <c r="X443" s="1302"/>
      <c r="Y443" s="1302"/>
      <c r="Z443" s="1302"/>
    </row>
    <row r="444" spans="1:26" ht="19.5">
      <c r="A444" s="1317"/>
      <c r="B444" s="1301"/>
      <c r="C444" s="1301" t="s">
        <v>16</v>
      </c>
      <c r="D444" s="1318" t="s">
        <v>17</v>
      </c>
      <c r="E444" s="841"/>
      <c r="F444" s="841"/>
      <c r="G444" s="1016"/>
      <c r="H444" s="597" t="s">
        <v>12</v>
      </c>
      <c r="I444" s="880"/>
      <c r="J444" s="880"/>
      <c r="K444" s="881"/>
      <c r="L444" s="1020">
        <f t="shared" ref="L444:N444" ca="1" si="197">L445+L446</f>
        <v>367400</v>
      </c>
      <c r="M444" s="1020">
        <f t="shared" ca="1" si="197"/>
        <v>367400</v>
      </c>
      <c r="N444" s="1020">
        <f t="shared" si="197"/>
        <v>239435.5</v>
      </c>
      <c r="O444" s="1020">
        <f t="shared" ref="O444:O449" ca="1" si="198">IF(L444&gt;0,N444*100/L444,0)</f>
        <v>65.170250408274356</v>
      </c>
      <c r="P444" s="1020">
        <f t="shared" ref="P444:P449" ca="1" si="199">IF(M444&gt;0,N444*100/M444,0)</f>
        <v>65.170250408274356</v>
      </c>
      <c r="Q444" s="1302"/>
      <c r="R444" s="1302"/>
      <c r="S444" s="1302"/>
      <c r="T444" s="1302"/>
      <c r="U444" s="1302"/>
      <c r="V444" s="1302"/>
      <c r="W444" s="1302"/>
      <c r="X444" s="1302"/>
      <c r="Y444" s="1302"/>
      <c r="Z444" s="1302"/>
    </row>
    <row r="445" spans="1:26" ht="18.75" hidden="1">
      <c r="A445" s="1319"/>
      <c r="B445" s="1320"/>
      <c r="C445" s="1320"/>
      <c r="D445" s="1321"/>
      <c r="E445" s="1320" t="s">
        <v>185</v>
      </c>
      <c r="F445" s="1320"/>
      <c r="G445" s="1322"/>
      <c r="H445" s="165" t="s">
        <v>12</v>
      </c>
      <c r="I445" s="886"/>
      <c r="J445" s="886"/>
      <c r="K445" s="887"/>
      <c r="L445" s="887">
        <f t="shared" ref="L445:N446" si="200">L448+L455</f>
        <v>0</v>
      </c>
      <c r="M445" s="887">
        <f t="shared" si="200"/>
        <v>0</v>
      </c>
      <c r="N445" s="887">
        <f t="shared" si="200"/>
        <v>0</v>
      </c>
      <c r="O445" s="887">
        <f t="shared" si="198"/>
        <v>0</v>
      </c>
      <c r="P445" s="887">
        <f t="shared" si="199"/>
        <v>0</v>
      </c>
      <c r="Q445" s="1323"/>
      <c r="R445" s="1323"/>
      <c r="S445" s="1323"/>
      <c r="T445" s="1323"/>
      <c r="U445" s="1323"/>
      <c r="V445" s="1323"/>
      <c r="W445" s="1323"/>
      <c r="X445" s="1323"/>
      <c r="Y445" s="1323"/>
      <c r="Z445" s="1323"/>
    </row>
    <row r="446" spans="1:26" ht="18.75" hidden="1">
      <c r="A446" s="1319"/>
      <c r="B446" s="1324"/>
      <c r="C446" s="1320"/>
      <c r="D446" s="1321"/>
      <c r="E446" s="1320" t="s">
        <v>186</v>
      </c>
      <c r="F446" s="1320"/>
      <c r="G446" s="1322"/>
      <c r="H446" s="165" t="s">
        <v>12</v>
      </c>
      <c r="I446" s="886"/>
      <c r="J446" s="886"/>
      <c r="K446" s="887"/>
      <c r="L446" s="887">
        <f t="shared" ca="1" si="200"/>
        <v>367400</v>
      </c>
      <c r="M446" s="887">
        <f t="shared" ca="1" si="200"/>
        <v>367400</v>
      </c>
      <c r="N446" s="887">
        <f t="shared" si="200"/>
        <v>239435.5</v>
      </c>
      <c r="O446" s="887">
        <f t="shared" ca="1" si="198"/>
        <v>65.170250408274356</v>
      </c>
      <c r="P446" s="887">
        <f t="shared" ca="1" si="199"/>
        <v>65.170250408274356</v>
      </c>
      <c r="Q446" s="1323"/>
      <c r="R446" s="1323"/>
      <c r="S446" s="1323"/>
      <c r="T446" s="1323"/>
      <c r="U446" s="1323"/>
      <c r="V446" s="1323"/>
      <c r="W446" s="1323"/>
      <c r="X446" s="1323"/>
      <c r="Y446" s="1323"/>
      <c r="Z446" s="1323"/>
    </row>
    <row r="447" spans="1:26" ht="18.75">
      <c r="A447" s="1317"/>
      <c r="B447" s="1300"/>
      <c r="C447" s="1301"/>
      <c r="D447" s="1325" t="s">
        <v>20</v>
      </c>
      <c r="E447" s="1301"/>
      <c r="F447" s="1301"/>
      <c r="G447" s="1016"/>
      <c r="H447" s="161" t="s">
        <v>12</v>
      </c>
      <c r="I447" s="997"/>
      <c r="J447" s="997"/>
      <c r="K447" s="998"/>
      <c r="L447" s="881">
        <f t="shared" ref="L447:N447" ca="1" si="201">L448+L449</f>
        <v>367400</v>
      </c>
      <c r="M447" s="881">
        <f t="shared" ca="1" si="201"/>
        <v>367400</v>
      </c>
      <c r="N447" s="881">
        <f t="shared" si="201"/>
        <v>239435.5</v>
      </c>
      <c r="O447" s="881">
        <f t="shared" ca="1" si="198"/>
        <v>65.170250408274356</v>
      </c>
      <c r="P447" s="881">
        <f t="shared" ca="1" si="199"/>
        <v>65.170250408274356</v>
      </c>
      <c r="Q447" s="1302"/>
      <c r="R447" s="1302"/>
      <c r="S447" s="1302"/>
      <c r="T447" s="1302"/>
      <c r="U447" s="1302"/>
      <c r="V447" s="1302"/>
      <c r="W447" s="1302"/>
      <c r="X447" s="1302"/>
      <c r="Y447" s="1302"/>
      <c r="Z447" s="1302"/>
    </row>
    <row r="448" spans="1:26" ht="18.75" hidden="1">
      <c r="A448" s="1319"/>
      <c r="B448" s="1324"/>
      <c r="C448" s="1320"/>
      <c r="D448" s="1321"/>
      <c r="E448" s="1320" t="s">
        <v>185</v>
      </c>
      <c r="F448" s="1320"/>
      <c r="G448" s="1322"/>
      <c r="H448" s="165" t="s">
        <v>12</v>
      </c>
      <c r="I448" s="886"/>
      <c r="J448" s="886"/>
      <c r="K448" s="887"/>
      <c r="L448" s="887">
        <v>0</v>
      </c>
      <c r="M448" s="887">
        <v>0</v>
      </c>
      <c r="N448" s="887">
        <v>0</v>
      </c>
      <c r="O448" s="887">
        <f t="shared" si="198"/>
        <v>0</v>
      </c>
      <c r="P448" s="887">
        <f t="shared" si="199"/>
        <v>0</v>
      </c>
      <c r="Q448" s="1323"/>
      <c r="R448" s="1323"/>
      <c r="S448" s="1323"/>
      <c r="T448" s="1323"/>
      <c r="U448" s="1323"/>
      <c r="V448" s="1323"/>
      <c r="W448" s="1323"/>
      <c r="X448" s="1323"/>
      <c r="Y448" s="1323"/>
      <c r="Z448" s="1323"/>
    </row>
    <row r="449" spans="1:26" ht="18.75" hidden="1">
      <c r="A449" s="1319"/>
      <c r="B449" s="1324"/>
      <c r="C449" s="1320"/>
      <c r="D449" s="1321"/>
      <c r="E449" s="1320" t="s">
        <v>186</v>
      </c>
      <c r="F449" s="1320"/>
      <c r="G449" s="1322"/>
      <c r="H449" s="165" t="s">
        <v>12</v>
      </c>
      <c r="I449" s="886"/>
      <c r="J449" s="886"/>
      <c r="K449" s="887"/>
      <c r="L449" s="887">
        <f ca="1">IFERROR(__xludf.DUMMYFUNCTION("IMPORTRANGE(""https://docs.google.com/spreadsheets/d/1QqKyyYR6Q21VydFLVH3TRQUabQu_ym0Zz7PgGX0-kHA/edit?usp=sharing"",""แผน!FJ82"")"),367400)</f>
        <v>367400</v>
      </c>
      <c r="M449" s="887">
        <f ca="1">L449</f>
        <v>367400</v>
      </c>
      <c r="N449" s="887">
        <f>N450+N451+N452+N453</f>
        <v>239435.5</v>
      </c>
      <c r="O449" s="887">
        <f t="shared" ca="1" si="198"/>
        <v>65.170250408274356</v>
      </c>
      <c r="P449" s="887">
        <f t="shared" ca="1" si="199"/>
        <v>65.170250408274356</v>
      </c>
      <c r="Q449" s="1323"/>
      <c r="R449" s="1323"/>
      <c r="S449" s="1323"/>
      <c r="T449" s="1323"/>
      <c r="U449" s="1323"/>
      <c r="V449" s="1323"/>
      <c r="W449" s="1323"/>
      <c r="X449" s="1323"/>
      <c r="Y449" s="1323"/>
      <c r="Z449" s="1323"/>
    </row>
    <row r="450" spans="1:26" ht="18.75">
      <c r="A450" s="1299"/>
      <c r="B450" s="1300"/>
      <c r="C450" s="1301"/>
      <c r="D450" s="1301"/>
      <c r="E450" s="1301"/>
      <c r="F450" s="1301" t="s">
        <v>187</v>
      </c>
      <c r="G450" s="1016"/>
      <c r="H450" s="161" t="s">
        <v>12</v>
      </c>
      <c r="I450" s="880"/>
      <c r="J450" s="880"/>
      <c r="K450" s="881"/>
      <c r="L450" s="881"/>
      <c r="M450" s="881"/>
      <c r="N450" s="1085">
        <v>54400</v>
      </c>
      <c r="O450" s="881"/>
      <c r="P450" s="881"/>
      <c r="Q450" s="1302"/>
      <c r="R450" s="1302"/>
      <c r="S450" s="1302"/>
      <c r="T450" s="1302"/>
      <c r="U450" s="1302"/>
      <c r="V450" s="1302"/>
      <c r="W450" s="1302"/>
      <c r="X450" s="1302"/>
      <c r="Y450" s="1302"/>
      <c r="Z450" s="1302"/>
    </row>
    <row r="451" spans="1:26" ht="18.75">
      <c r="A451" s="1299"/>
      <c r="B451" s="1300"/>
      <c r="C451" s="1301"/>
      <c r="D451" s="1301"/>
      <c r="E451" s="1301"/>
      <c r="F451" s="1301" t="s">
        <v>188</v>
      </c>
      <c r="G451" s="1016"/>
      <c r="H451" s="161" t="s">
        <v>12</v>
      </c>
      <c r="I451" s="880"/>
      <c r="J451" s="880"/>
      <c r="K451" s="881"/>
      <c r="L451" s="881"/>
      <c r="M451" s="881"/>
      <c r="N451" s="1085">
        <v>122985</v>
      </c>
      <c r="O451" s="881"/>
      <c r="P451" s="881"/>
      <c r="Q451" s="1302"/>
      <c r="R451" s="1302"/>
      <c r="S451" s="1302"/>
      <c r="T451" s="1302"/>
      <c r="U451" s="1302"/>
      <c r="V451" s="1302"/>
      <c r="W451" s="1302"/>
      <c r="X451" s="1302"/>
      <c r="Y451" s="1302"/>
      <c r="Z451" s="1302"/>
    </row>
    <row r="452" spans="1:26" ht="18.75">
      <c r="A452" s="1299"/>
      <c r="B452" s="1300"/>
      <c r="C452" s="1300"/>
      <c r="D452" s="1300"/>
      <c r="E452" s="1300"/>
      <c r="F452" s="1301" t="s">
        <v>189</v>
      </c>
      <c r="G452" s="1016"/>
      <c r="H452" s="161" t="s">
        <v>12</v>
      </c>
      <c r="I452" s="880"/>
      <c r="J452" s="880"/>
      <c r="K452" s="881"/>
      <c r="L452" s="881"/>
      <c r="M452" s="881"/>
      <c r="N452" s="1085">
        <v>51580.5</v>
      </c>
      <c r="O452" s="881"/>
      <c r="P452" s="881"/>
      <c r="Q452" s="1302"/>
      <c r="R452" s="1302"/>
      <c r="S452" s="1302"/>
      <c r="T452" s="1302"/>
      <c r="U452" s="1302"/>
      <c r="V452" s="1302"/>
      <c r="W452" s="1302"/>
      <c r="X452" s="1302"/>
      <c r="Y452" s="1302"/>
      <c r="Z452" s="1302"/>
    </row>
    <row r="453" spans="1:26" ht="18.75">
      <c r="A453" s="1299"/>
      <c r="B453" s="1300"/>
      <c r="C453" s="1300"/>
      <c r="D453" s="1300"/>
      <c r="E453" s="1300"/>
      <c r="F453" s="1301" t="s">
        <v>190</v>
      </c>
      <c r="G453" s="1016"/>
      <c r="H453" s="161" t="s">
        <v>12</v>
      </c>
      <c r="I453" s="880"/>
      <c r="J453" s="880"/>
      <c r="K453" s="881"/>
      <c r="L453" s="881"/>
      <c r="M453" s="881"/>
      <c r="N453" s="1085">
        <v>10470</v>
      </c>
      <c r="O453" s="881"/>
      <c r="P453" s="881"/>
      <c r="Q453" s="1302"/>
      <c r="R453" s="1302"/>
      <c r="S453" s="1302"/>
      <c r="T453" s="1302"/>
      <c r="U453" s="1302"/>
      <c r="V453" s="1302"/>
      <c r="W453" s="1302"/>
      <c r="X453" s="1302"/>
      <c r="Y453" s="1302"/>
      <c r="Z453" s="1302"/>
    </row>
    <row r="454" spans="1:26" ht="18.75">
      <c r="A454" s="1317"/>
      <c r="B454" s="1300"/>
      <c r="C454" s="1300"/>
      <c r="D454" s="1325" t="s">
        <v>21</v>
      </c>
      <c r="E454" s="1300"/>
      <c r="F454" s="1301"/>
      <c r="G454" s="1016"/>
      <c r="H454" s="168" t="s">
        <v>12</v>
      </c>
      <c r="I454" s="997"/>
      <c r="J454" s="997"/>
      <c r="K454" s="998"/>
      <c r="L454" s="881">
        <f t="shared" ref="L454:N454" ca="1" si="202">L455+L456</f>
        <v>0</v>
      </c>
      <c r="M454" s="881">
        <f t="shared" si="202"/>
        <v>0</v>
      </c>
      <c r="N454" s="881">
        <f t="shared" si="202"/>
        <v>0</v>
      </c>
      <c r="O454" s="881">
        <f t="shared" ref="O454:O456" ca="1" si="203">IF(L454&gt;0,N454*100/L454,0)</f>
        <v>0</v>
      </c>
      <c r="P454" s="881">
        <f t="shared" ref="P454:P456" si="204">IF(M454&gt;0,N454*100/M454,0)</f>
        <v>0</v>
      </c>
      <c r="Q454" s="1302"/>
      <c r="R454" s="1302"/>
      <c r="S454" s="1302"/>
      <c r="T454" s="1302"/>
      <c r="U454" s="1302"/>
      <c r="V454" s="1302"/>
      <c r="W454" s="1302"/>
      <c r="X454" s="1302"/>
      <c r="Y454" s="1302"/>
      <c r="Z454" s="1302"/>
    </row>
    <row r="455" spans="1:26" ht="18.75" hidden="1">
      <c r="A455" s="1319"/>
      <c r="B455" s="1324"/>
      <c r="C455" s="1324"/>
      <c r="D455" s="1324"/>
      <c r="E455" s="1324" t="s">
        <v>18</v>
      </c>
      <c r="F455" s="1320"/>
      <c r="G455" s="1322"/>
      <c r="H455" s="165" t="s">
        <v>12</v>
      </c>
      <c r="I455" s="1000"/>
      <c r="J455" s="1000"/>
      <c r="K455" s="1001"/>
      <c r="L455" s="887">
        <v>0</v>
      </c>
      <c r="M455" s="887">
        <v>0</v>
      </c>
      <c r="N455" s="887">
        <v>0</v>
      </c>
      <c r="O455" s="887">
        <f t="shared" si="203"/>
        <v>0</v>
      </c>
      <c r="P455" s="887">
        <f t="shared" si="204"/>
        <v>0</v>
      </c>
      <c r="Q455" s="1323"/>
      <c r="R455" s="1323"/>
      <c r="S455" s="1323"/>
      <c r="T455" s="1323"/>
      <c r="U455" s="1323"/>
      <c r="V455" s="1323"/>
      <c r="W455" s="1323"/>
      <c r="X455" s="1323"/>
      <c r="Y455" s="1323"/>
      <c r="Z455" s="1323"/>
    </row>
    <row r="456" spans="1:26" ht="18.75" hidden="1">
      <c r="A456" s="1319"/>
      <c r="B456" s="1324"/>
      <c r="C456" s="1324"/>
      <c r="D456" s="1324"/>
      <c r="E456" s="1324" t="s">
        <v>19</v>
      </c>
      <c r="F456" s="1320"/>
      <c r="G456" s="1322"/>
      <c r="H456" s="169" t="s">
        <v>12</v>
      </c>
      <c r="I456" s="1000"/>
      <c r="J456" s="1000"/>
      <c r="K456" s="1001"/>
      <c r="L456" s="887">
        <f ca="1">IFERROR(__xludf.DUMMYFUNCTION("IMPORTRANGE(""https://docs.google.com/spreadsheets/d/1QqKyyYR6Q21VydFLVH3TRQUabQu_ym0Zz7PgGX0-kHA/edit?usp=sharing"",""แผน!FM82"")"),0)</f>
        <v>0</v>
      </c>
      <c r="M456" s="887">
        <v>0</v>
      </c>
      <c r="N456" s="887">
        <v>0</v>
      </c>
      <c r="O456" s="887">
        <f t="shared" ca="1" si="203"/>
        <v>0</v>
      </c>
      <c r="P456" s="887">
        <f t="shared" si="204"/>
        <v>0</v>
      </c>
      <c r="Q456" s="1323"/>
      <c r="R456" s="1323"/>
      <c r="S456" s="1323"/>
      <c r="T456" s="1323"/>
      <c r="U456" s="1323"/>
      <c r="V456" s="1323"/>
      <c r="W456" s="1323"/>
      <c r="X456" s="1323"/>
      <c r="Y456" s="1323"/>
      <c r="Z456" s="1323"/>
    </row>
    <row r="457" spans="1:26" ht="19.5">
      <c r="A457" s="1326"/>
      <c r="B457" s="1327"/>
      <c r="C457" s="1300" t="s">
        <v>16</v>
      </c>
      <c r="D457" s="1328" t="s">
        <v>38</v>
      </c>
      <c r="E457" s="1329"/>
      <c r="F457" s="1330"/>
      <c r="G457" s="1331"/>
      <c r="H457" s="1007"/>
      <c r="I457" s="880"/>
      <c r="J457" s="880"/>
      <c r="K457" s="881"/>
      <c r="L457" s="881"/>
      <c r="M457" s="881"/>
      <c r="N457" s="881"/>
      <c r="O457" s="881"/>
      <c r="P457" s="881"/>
      <c r="Q457" s="1302"/>
      <c r="R457" s="1302"/>
      <c r="S457" s="1302"/>
      <c r="T457" s="1302"/>
      <c r="U457" s="1302"/>
      <c r="V457" s="1302"/>
      <c r="W457" s="1302"/>
      <c r="X457" s="1302"/>
      <c r="Y457" s="1302"/>
      <c r="Z457" s="1302"/>
    </row>
    <row r="458" spans="1:26" ht="18.75" hidden="1">
      <c r="A458" s="1332"/>
      <c r="B458" s="1333"/>
      <c r="C458" s="1333"/>
      <c r="D458" s="1333" t="s">
        <v>201</v>
      </c>
      <c r="E458" s="1333"/>
      <c r="F458" s="1321"/>
      <c r="G458" s="1113"/>
      <c r="H458" s="370" t="s">
        <v>35</v>
      </c>
      <c r="I458" s="886">
        <v>0</v>
      </c>
      <c r="J458" s="886">
        <v>0</v>
      </c>
      <c r="K458" s="887">
        <f>IF(I458&gt;0,J458*100/I458,0)</f>
        <v>0</v>
      </c>
      <c r="L458" s="887"/>
      <c r="M458" s="887"/>
      <c r="N458" s="887"/>
      <c r="O458" s="887"/>
      <c r="P458" s="887"/>
      <c r="Q458" s="1323"/>
      <c r="R458" s="1323"/>
      <c r="S458" s="1323"/>
      <c r="T458" s="1323"/>
      <c r="U458" s="1323"/>
      <c r="V458" s="1323"/>
      <c r="W458" s="1323"/>
      <c r="X458" s="1323"/>
      <c r="Y458" s="1323"/>
      <c r="Z458" s="1323"/>
    </row>
    <row r="459" spans="1:26" ht="18.75" hidden="1">
      <c r="A459" s="1332"/>
      <c r="B459" s="1333"/>
      <c r="C459" s="1333"/>
      <c r="D459" s="1333" t="s">
        <v>202</v>
      </c>
      <c r="E459" s="1333"/>
      <c r="F459" s="1321"/>
      <c r="G459" s="1113"/>
      <c r="H459" s="370"/>
      <c r="I459" s="886"/>
      <c r="J459" s="886"/>
      <c r="K459" s="887"/>
      <c r="L459" s="887"/>
      <c r="M459" s="887"/>
      <c r="N459" s="887"/>
      <c r="O459" s="887"/>
      <c r="P459" s="887"/>
      <c r="Q459" s="1323"/>
      <c r="R459" s="1323"/>
      <c r="S459" s="1323"/>
      <c r="T459" s="1323"/>
      <c r="U459" s="1323"/>
      <c r="V459" s="1323"/>
      <c r="W459" s="1323"/>
      <c r="X459" s="1323"/>
      <c r="Y459" s="1323"/>
      <c r="Z459" s="1323"/>
    </row>
    <row r="460" spans="1:26" ht="18.75">
      <c r="A460" s="1326"/>
      <c r="B460" s="1327"/>
      <c r="C460" s="1327"/>
      <c r="D460" s="1327" t="s">
        <v>203</v>
      </c>
      <c r="E460" s="1327"/>
      <c r="F460" s="1014"/>
      <c r="G460" s="1007"/>
      <c r="H460" s="762" t="s">
        <v>35</v>
      </c>
      <c r="I460" s="880">
        <f ca="1">IFERROR(__xludf.DUMMYFUNCTION("IMPORTRANGE(""https://docs.google.com/spreadsheets/d/1QqKyyYR6Q21VydFLVH3TRQUabQu_ym0Zz7PgGX0-kHA/edit?usp=sharing"",""แผน!FN82"")"),40)</f>
        <v>40</v>
      </c>
      <c r="J460" s="1012">
        <v>40</v>
      </c>
      <c r="K460" s="881">
        <f ca="1">IF(I460&gt;0,J460*100/I460,0)</f>
        <v>100</v>
      </c>
      <c r="L460" s="881"/>
      <c r="M460" s="881"/>
      <c r="N460" s="881"/>
      <c r="O460" s="881"/>
      <c r="P460" s="881"/>
      <c r="Q460" s="1302"/>
      <c r="R460" s="1302"/>
      <c r="S460" s="1302"/>
      <c r="T460" s="1302"/>
      <c r="U460" s="1302"/>
      <c r="V460" s="1302"/>
      <c r="W460" s="1302"/>
      <c r="X460" s="1302"/>
      <c r="Y460" s="1302"/>
      <c r="Z460" s="1302"/>
    </row>
    <row r="461" spans="1:26" ht="18.75">
      <c r="A461" s="1326"/>
      <c r="B461" s="1327"/>
      <c r="C461" s="1327"/>
      <c r="D461" s="1327" t="s">
        <v>204</v>
      </c>
      <c r="E461" s="1014"/>
      <c r="F461" s="1014"/>
      <c r="G461" s="1007"/>
      <c r="H461" s="762"/>
      <c r="I461" s="880"/>
      <c r="J461" s="880"/>
      <c r="K461" s="881"/>
      <c r="L461" s="881"/>
      <c r="M461" s="881"/>
      <c r="N461" s="881"/>
      <c r="O461" s="881"/>
      <c r="P461" s="881"/>
      <c r="Q461" s="1302"/>
      <c r="R461" s="1302"/>
      <c r="S461" s="1302"/>
      <c r="T461" s="1302"/>
      <c r="U461" s="1302"/>
      <c r="V461" s="1302"/>
      <c r="W461" s="1302"/>
      <c r="X461" s="1302"/>
      <c r="Y461" s="1302"/>
      <c r="Z461" s="1302"/>
    </row>
    <row r="462" spans="1:26" ht="18.75">
      <c r="A462" s="1326"/>
      <c r="B462" s="1327"/>
      <c r="C462" s="1327"/>
      <c r="D462" s="1327" t="s">
        <v>205</v>
      </c>
      <c r="E462" s="1014"/>
      <c r="F462" s="1014"/>
      <c r="G462" s="1007"/>
      <c r="H462" s="762" t="s">
        <v>46</v>
      </c>
      <c r="I462" s="880">
        <f ca="1">IFERROR(__xludf.DUMMYFUNCTION("IMPORTRANGE(""https://docs.google.com/spreadsheets/d/1QqKyyYR6Q21VydFLVH3TRQUabQu_ym0Zz7PgGX0-kHA/edit?usp=sharing"",""แผน!FO82"")"),120)</f>
        <v>120</v>
      </c>
      <c r="J462" s="1012">
        <v>120</v>
      </c>
      <c r="K462" s="881">
        <f ca="1">IF(I462&gt;0,J462*100/I462,0)</f>
        <v>100</v>
      </c>
      <c r="L462" s="881"/>
      <c r="M462" s="881"/>
      <c r="N462" s="881"/>
      <c r="O462" s="881"/>
      <c r="P462" s="881"/>
      <c r="Q462" s="1302"/>
      <c r="R462" s="1302"/>
      <c r="S462" s="1302"/>
      <c r="T462" s="1302"/>
      <c r="U462" s="1302"/>
      <c r="V462" s="1302"/>
      <c r="W462" s="1302"/>
      <c r="X462" s="1302"/>
      <c r="Y462" s="1302"/>
      <c r="Z462" s="1302"/>
    </row>
    <row r="463" spans="1:26" ht="18.75">
      <c r="A463" s="1326"/>
      <c r="B463" s="1327"/>
      <c r="C463" s="1327"/>
      <c r="D463" s="1327" t="s">
        <v>59</v>
      </c>
      <c r="E463" s="1014"/>
      <c r="F463" s="1301"/>
      <c r="G463" s="1016"/>
      <c r="H463" s="762" t="s">
        <v>46</v>
      </c>
      <c r="I463" s="880">
        <f ca="1">IFERROR(__xludf.DUMMYFUNCTION("IMPORTRANGE(""https://docs.google.com/spreadsheets/d/1QqKyyYR6Q21VydFLVH3TRQUabQu_ym0Zz7PgGX0-kHA/edit?usp=sharing"",""แผน!FO82"")"),120)</f>
        <v>120</v>
      </c>
      <c r="J463" s="1012">
        <v>120</v>
      </c>
      <c r="K463" s="881"/>
      <c r="L463" s="881"/>
      <c r="M463" s="881"/>
      <c r="N463" s="881"/>
      <c r="O463" s="881"/>
      <c r="P463" s="881"/>
      <c r="Q463" s="1302"/>
      <c r="R463" s="1302"/>
      <c r="S463" s="1302"/>
      <c r="T463" s="1302"/>
      <c r="U463" s="1302"/>
      <c r="V463" s="1302"/>
      <c r="W463" s="1302"/>
      <c r="X463" s="1302"/>
      <c r="Y463" s="1302"/>
      <c r="Z463" s="1302"/>
    </row>
    <row r="464" spans="1:26" ht="19.5">
      <c r="A464" s="1326"/>
      <c r="B464" s="1327"/>
      <c r="C464" s="1327"/>
      <c r="D464" s="1327"/>
      <c r="E464" s="1014"/>
      <c r="F464" s="1014"/>
      <c r="G464" s="1334"/>
      <c r="H464" s="762" t="s">
        <v>35</v>
      </c>
      <c r="I464" s="880">
        <f ca="1">IFERROR(__xludf.DUMMYFUNCTION("IMPORTRANGE(""https://docs.google.com/spreadsheets/d/1QqKyyYR6Q21VydFLVH3TRQUabQu_ym0Zz7PgGX0-kHA/edit?usp=sharing"",""แผน!FN82"")"),40)</f>
        <v>40</v>
      </c>
      <c r="J464" s="1012">
        <v>40</v>
      </c>
      <c r="K464" s="881"/>
      <c r="L464" s="881"/>
      <c r="M464" s="881"/>
      <c r="N464" s="881"/>
      <c r="O464" s="881"/>
      <c r="P464" s="881"/>
      <c r="Q464" s="1302"/>
      <c r="R464" s="1302"/>
      <c r="S464" s="1302"/>
      <c r="T464" s="1302"/>
      <c r="U464" s="1302"/>
      <c r="V464" s="1302"/>
      <c r="W464" s="1302"/>
      <c r="X464" s="1302"/>
      <c r="Y464" s="1302"/>
      <c r="Z464" s="1302"/>
    </row>
    <row r="465" spans="1:26" ht="19.5">
      <c r="A465" s="584">
        <v>3</v>
      </c>
      <c r="B465" s="1307" t="s">
        <v>206</v>
      </c>
      <c r="C465" s="1308"/>
      <c r="D465" s="1308"/>
      <c r="E465" s="1308"/>
      <c r="F465" s="1308"/>
      <c r="G465" s="1309"/>
      <c r="H465" s="588" t="s">
        <v>35</v>
      </c>
      <c r="I465" s="1310">
        <f ca="1">IFERROR(__xludf.DUMMYFUNCTION("IMPORTRANGE(""https://docs.google.com/spreadsheets/d/1QqKyyYR6Q21VydFLVH3TRQUabQu_ym0Zz7PgGX0-kHA/edit?usp=sharing"",""แผน!FX82"")"),31)</f>
        <v>31</v>
      </c>
      <c r="J465" s="1310">
        <f>J485+J489+J492</f>
        <v>31</v>
      </c>
      <c r="K465" s="1311">
        <f t="shared" ref="K465:K466" ca="1" si="205">IF(I465&gt;0,J465*100/I465,0)</f>
        <v>100</v>
      </c>
      <c r="L465" s="1312"/>
      <c r="M465" s="1312"/>
      <c r="N465" s="1312"/>
      <c r="O465" s="1312"/>
      <c r="P465" s="1312"/>
      <c r="Q465" s="1302"/>
      <c r="R465" s="1302"/>
      <c r="S465" s="1302"/>
      <c r="T465" s="1302"/>
      <c r="U465" s="1302"/>
      <c r="V465" s="1302"/>
      <c r="W465" s="1302"/>
      <c r="X465" s="1302"/>
      <c r="Y465" s="1302"/>
      <c r="Z465" s="1302"/>
    </row>
    <row r="466" spans="1:26" ht="19.5">
      <c r="A466" s="1313"/>
      <c r="B466" s="1314"/>
      <c r="C466" s="1315"/>
      <c r="D466" s="1315"/>
      <c r="E466" s="1315"/>
      <c r="F466" s="1315"/>
      <c r="G466" s="1316"/>
      <c r="H466" s="568" t="s">
        <v>46</v>
      </c>
      <c r="I466" s="1294">
        <f ca="1">IFERROR(__xludf.DUMMYFUNCTION("IMPORTRANGE(""https://docs.google.com/spreadsheets/d/1QqKyyYR6Q21VydFLVH3TRQUabQu_ym0Zz7PgGX0-kHA/edit?usp=sharing"",""แผน!FW82"")"),300)</f>
        <v>300</v>
      </c>
      <c r="J466" s="1294">
        <f>J495+J498</f>
        <v>300</v>
      </c>
      <c r="K466" s="1295">
        <f t="shared" ca="1" si="205"/>
        <v>100</v>
      </c>
      <c r="L466" s="1296"/>
      <c r="M466" s="1296"/>
      <c r="N466" s="1296"/>
      <c r="O466" s="1296"/>
      <c r="P466" s="1296"/>
      <c r="Q466" s="1302"/>
      <c r="R466" s="1302"/>
      <c r="S466" s="1302"/>
      <c r="T466" s="1302"/>
      <c r="U466" s="1302"/>
      <c r="V466" s="1302"/>
      <c r="W466" s="1302"/>
      <c r="X466" s="1302"/>
      <c r="Y466" s="1302"/>
      <c r="Z466" s="1302"/>
    </row>
    <row r="467" spans="1:26" ht="19.5">
      <c r="A467" s="1317"/>
      <c r="B467" s="1301"/>
      <c r="C467" s="1301" t="s">
        <v>16</v>
      </c>
      <c r="D467" s="1318" t="s">
        <v>17</v>
      </c>
      <c r="E467" s="841"/>
      <c r="F467" s="841"/>
      <c r="G467" s="1016"/>
      <c r="H467" s="597" t="s">
        <v>12</v>
      </c>
      <c r="I467" s="880"/>
      <c r="J467" s="880"/>
      <c r="K467" s="881"/>
      <c r="L467" s="1020">
        <f t="shared" ref="L467:N467" ca="1" si="206">L468+L469</f>
        <v>263773</v>
      </c>
      <c r="M467" s="1020">
        <f t="shared" ca="1" si="206"/>
        <v>263773</v>
      </c>
      <c r="N467" s="1020">
        <f t="shared" si="206"/>
        <v>137906</v>
      </c>
      <c r="O467" s="1020">
        <f t="shared" ref="O467:O472" ca="1" si="207">IF(L467&gt;0,N467*100/L467,0)</f>
        <v>52.282075875847795</v>
      </c>
      <c r="P467" s="1020">
        <f t="shared" ref="P467:P472" ca="1" si="208">IF(M467&gt;0,N467*100/M467,0)</f>
        <v>52.282075875847795</v>
      </c>
      <c r="Q467" s="1302"/>
      <c r="R467" s="1302"/>
      <c r="S467" s="1302"/>
      <c r="T467" s="1302"/>
      <c r="U467" s="1302"/>
      <c r="V467" s="1302"/>
      <c r="W467" s="1302"/>
      <c r="X467" s="1302"/>
      <c r="Y467" s="1302"/>
      <c r="Z467" s="1302"/>
    </row>
    <row r="468" spans="1:26" ht="18.75" hidden="1">
      <c r="A468" s="1319"/>
      <c r="B468" s="1320"/>
      <c r="C468" s="1320"/>
      <c r="D468" s="1321"/>
      <c r="E468" s="1320" t="s">
        <v>185</v>
      </c>
      <c r="F468" s="1320"/>
      <c r="G468" s="1322"/>
      <c r="H468" s="165" t="s">
        <v>12</v>
      </c>
      <c r="I468" s="886"/>
      <c r="J468" s="886"/>
      <c r="K468" s="887"/>
      <c r="L468" s="887">
        <f t="shared" ref="L468:N469" si="209">L471+L478</f>
        <v>0</v>
      </c>
      <c r="M468" s="887">
        <f t="shared" si="209"/>
        <v>0</v>
      </c>
      <c r="N468" s="887">
        <f t="shared" si="209"/>
        <v>0</v>
      </c>
      <c r="O468" s="887">
        <f t="shared" si="207"/>
        <v>0</v>
      </c>
      <c r="P468" s="887">
        <f t="shared" si="208"/>
        <v>0</v>
      </c>
      <c r="Q468" s="1323"/>
      <c r="R468" s="1323"/>
      <c r="S468" s="1323"/>
      <c r="T468" s="1323"/>
      <c r="U468" s="1323"/>
      <c r="V468" s="1323"/>
      <c r="W468" s="1323"/>
      <c r="X468" s="1323"/>
      <c r="Y468" s="1323"/>
      <c r="Z468" s="1323"/>
    </row>
    <row r="469" spans="1:26" ht="18.75" hidden="1">
      <c r="A469" s="1319"/>
      <c r="B469" s="1324"/>
      <c r="C469" s="1320"/>
      <c r="D469" s="1321"/>
      <c r="E469" s="1320" t="s">
        <v>186</v>
      </c>
      <c r="F469" s="1320"/>
      <c r="G469" s="1322"/>
      <c r="H469" s="165" t="s">
        <v>12</v>
      </c>
      <c r="I469" s="886"/>
      <c r="J469" s="886"/>
      <c r="K469" s="887"/>
      <c r="L469" s="887">
        <f t="shared" ca="1" si="209"/>
        <v>263773</v>
      </c>
      <c r="M469" s="887">
        <f t="shared" ca="1" si="209"/>
        <v>263773</v>
      </c>
      <c r="N469" s="887">
        <f t="shared" si="209"/>
        <v>137906</v>
      </c>
      <c r="O469" s="887">
        <f t="shared" ca="1" si="207"/>
        <v>52.282075875847795</v>
      </c>
      <c r="P469" s="887">
        <f t="shared" ca="1" si="208"/>
        <v>52.282075875847795</v>
      </c>
      <c r="Q469" s="1323"/>
      <c r="R469" s="1323"/>
      <c r="S469" s="1323"/>
      <c r="T469" s="1323"/>
      <c r="U469" s="1323"/>
      <c r="V469" s="1323"/>
      <c r="W469" s="1323"/>
      <c r="X469" s="1323"/>
      <c r="Y469" s="1323"/>
      <c r="Z469" s="1323"/>
    </row>
    <row r="470" spans="1:26" ht="18.75">
      <c r="A470" s="1317"/>
      <c r="B470" s="1300"/>
      <c r="C470" s="1301"/>
      <c r="D470" s="1325" t="s">
        <v>20</v>
      </c>
      <c r="E470" s="1301"/>
      <c r="F470" s="1301"/>
      <c r="G470" s="1016"/>
      <c r="H470" s="161" t="s">
        <v>12</v>
      </c>
      <c r="I470" s="997"/>
      <c r="J470" s="997"/>
      <c r="K470" s="998"/>
      <c r="L470" s="881">
        <f t="shared" ref="L470:N470" ca="1" si="210">L471+L472</f>
        <v>263773</v>
      </c>
      <c r="M470" s="881">
        <f t="shared" ca="1" si="210"/>
        <v>263773</v>
      </c>
      <c r="N470" s="881">
        <f t="shared" si="210"/>
        <v>137906</v>
      </c>
      <c r="O470" s="881">
        <f t="shared" ca="1" si="207"/>
        <v>52.282075875847795</v>
      </c>
      <c r="P470" s="881">
        <f t="shared" ca="1" si="208"/>
        <v>52.282075875847795</v>
      </c>
      <c r="Q470" s="1302"/>
      <c r="R470" s="1302"/>
      <c r="S470" s="1302"/>
      <c r="T470" s="1302"/>
      <c r="U470" s="1302"/>
      <c r="V470" s="1302"/>
      <c r="W470" s="1302"/>
      <c r="X470" s="1302"/>
      <c r="Y470" s="1302"/>
      <c r="Z470" s="1302"/>
    </row>
    <row r="471" spans="1:26" ht="18.75" hidden="1">
      <c r="A471" s="1319"/>
      <c r="B471" s="1324"/>
      <c r="C471" s="1320"/>
      <c r="D471" s="1321"/>
      <c r="E471" s="1320" t="s">
        <v>185</v>
      </c>
      <c r="F471" s="1320"/>
      <c r="G471" s="1322"/>
      <c r="H471" s="165" t="s">
        <v>12</v>
      </c>
      <c r="I471" s="886"/>
      <c r="J471" s="886"/>
      <c r="K471" s="887"/>
      <c r="L471" s="887">
        <v>0</v>
      </c>
      <c r="M471" s="887">
        <v>0</v>
      </c>
      <c r="N471" s="887">
        <v>0</v>
      </c>
      <c r="O471" s="887">
        <f t="shared" si="207"/>
        <v>0</v>
      </c>
      <c r="P471" s="887">
        <f t="shared" si="208"/>
        <v>0</v>
      </c>
      <c r="Q471" s="1323"/>
      <c r="R471" s="1323"/>
      <c r="S471" s="1323"/>
      <c r="T471" s="1323"/>
      <c r="U471" s="1323"/>
      <c r="V471" s="1323"/>
      <c r="W471" s="1323"/>
      <c r="X471" s="1323"/>
      <c r="Y471" s="1323"/>
      <c r="Z471" s="1323"/>
    </row>
    <row r="472" spans="1:26" ht="18.75" hidden="1">
      <c r="A472" s="1319"/>
      <c r="B472" s="1324"/>
      <c r="C472" s="1320"/>
      <c r="D472" s="1321"/>
      <c r="E472" s="1320" t="s">
        <v>186</v>
      </c>
      <c r="F472" s="1320"/>
      <c r="G472" s="1322"/>
      <c r="H472" s="165" t="s">
        <v>12</v>
      </c>
      <c r="I472" s="886"/>
      <c r="J472" s="886"/>
      <c r="K472" s="887"/>
      <c r="L472" s="887">
        <f ca="1">IFERROR(__xludf.DUMMYFUNCTION("IMPORTRANGE(""https://docs.google.com/spreadsheets/d/1QqKyyYR6Q21VydFLVH3TRQUabQu_ym0Zz7PgGX0-kHA/edit?usp=sharing"",""แผน!FS82"")"),263773)</f>
        <v>263773</v>
      </c>
      <c r="M472" s="887">
        <f ca="1">L472</f>
        <v>263773</v>
      </c>
      <c r="N472" s="887">
        <f>N473+N474+N475+N476</f>
        <v>137906</v>
      </c>
      <c r="O472" s="887">
        <f t="shared" ca="1" si="207"/>
        <v>52.282075875847795</v>
      </c>
      <c r="P472" s="887">
        <f t="shared" ca="1" si="208"/>
        <v>52.282075875847795</v>
      </c>
      <c r="Q472" s="1323"/>
      <c r="R472" s="1323"/>
      <c r="S472" s="1323"/>
      <c r="T472" s="1323"/>
      <c r="U472" s="1323"/>
      <c r="V472" s="1323"/>
      <c r="W472" s="1323"/>
      <c r="X472" s="1323"/>
      <c r="Y472" s="1323"/>
      <c r="Z472" s="1323"/>
    </row>
    <row r="473" spans="1:26" ht="18.75">
      <c r="A473" s="1299"/>
      <c r="B473" s="1300"/>
      <c r="C473" s="1301"/>
      <c r="D473" s="1301"/>
      <c r="E473" s="1301"/>
      <c r="F473" s="1301" t="s">
        <v>187</v>
      </c>
      <c r="G473" s="1016"/>
      <c r="H473" s="161" t="s">
        <v>12</v>
      </c>
      <c r="I473" s="880"/>
      <c r="J473" s="880"/>
      <c r="K473" s="881"/>
      <c r="L473" s="881"/>
      <c r="M473" s="881"/>
      <c r="N473" s="1085">
        <v>30946</v>
      </c>
      <c r="O473" s="881"/>
      <c r="P473" s="881"/>
      <c r="Q473" s="1302"/>
      <c r="R473" s="1302"/>
      <c r="S473" s="1302"/>
      <c r="T473" s="1302"/>
      <c r="U473" s="1302"/>
      <c r="V473" s="1302"/>
      <c r="W473" s="1302"/>
      <c r="X473" s="1302"/>
      <c r="Y473" s="1302"/>
      <c r="Z473" s="1302"/>
    </row>
    <row r="474" spans="1:26" ht="18.75">
      <c r="A474" s="1299"/>
      <c r="B474" s="1300"/>
      <c r="C474" s="1301"/>
      <c r="D474" s="1301"/>
      <c r="E474" s="1301"/>
      <c r="F474" s="1301" t="s">
        <v>188</v>
      </c>
      <c r="G474" s="1016"/>
      <c r="H474" s="161" t="s">
        <v>12</v>
      </c>
      <c r="I474" s="880"/>
      <c r="J474" s="880"/>
      <c r="K474" s="881"/>
      <c r="L474" s="881"/>
      <c r="M474" s="881"/>
      <c r="N474" s="1085">
        <v>87250</v>
      </c>
      <c r="O474" s="881"/>
      <c r="P474" s="881"/>
      <c r="Q474" s="1302"/>
      <c r="R474" s="1302"/>
      <c r="S474" s="1302"/>
      <c r="T474" s="1302"/>
      <c r="U474" s="1302"/>
      <c r="V474" s="1302"/>
      <c r="W474" s="1302"/>
      <c r="X474" s="1302"/>
      <c r="Y474" s="1302"/>
      <c r="Z474" s="1302"/>
    </row>
    <row r="475" spans="1:26" ht="18.75">
      <c r="A475" s="1299"/>
      <c r="B475" s="1300"/>
      <c r="C475" s="1300"/>
      <c r="D475" s="1300"/>
      <c r="E475" s="1300"/>
      <c r="F475" s="1301" t="s">
        <v>189</v>
      </c>
      <c r="G475" s="1016"/>
      <c r="H475" s="161" t="s">
        <v>12</v>
      </c>
      <c r="I475" s="880"/>
      <c r="J475" s="880"/>
      <c r="K475" s="881"/>
      <c r="L475" s="881"/>
      <c r="M475" s="881"/>
      <c r="N475" s="1085">
        <v>0</v>
      </c>
      <c r="O475" s="881"/>
      <c r="P475" s="881"/>
      <c r="Q475" s="1302"/>
      <c r="R475" s="1302"/>
      <c r="S475" s="1302"/>
      <c r="T475" s="1302"/>
      <c r="U475" s="1302"/>
      <c r="V475" s="1302"/>
      <c r="W475" s="1302"/>
      <c r="X475" s="1302"/>
      <c r="Y475" s="1302"/>
      <c r="Z475" s="1302"/>
    </row>
    <row r="476" spans="1:26" ht="18.75">
      <c r="A476" s="1299"/>
      <c r="B476" s="1300"/>
      <c r="C476" s="1300"/>
      <c r="D476" s="1300"/>
      <c r="E476" s="1300"/>
      <c r="F476" s="1301" t="s">
        <v>190</v>
      </c>
      <c r="G476" s="1016"/>
      <c r="H476" s="161" t="s">
        <v>12</v>
      </c>
      <c r="I476" s="880"/>
      <c r="J476" s="880"/>
      <c r="K476" s="881"/>
      <c r="L476" s="881"/>
      <c r="M476" s="881"/>
      <c r="N476" s="1085">
        <v>19710</v>
      </c>
      <c r="O476" s="881"/>
      <c r="P476" s="881"/>
      <c r="Q476" s="1302"/>
      <c r="R476" s="1302"/>
      <c r="S476" s="1302"/>
      <c r="T476" s="1302"/>
      <c r="U476" s="1302"/>
      <c r="V476" s="1302"/>
      <c r="W476" s="1302"/>
      <c r="X476" s="1302"/>
      <c r="Y476" s="1302"/>
      <c r="Z476" s="1302"/>
    </row>
    <row r="477" spans="1:26" ht="18.75">
      <c r="A477" s="1317"/>
      <c r="B477" s="1300"/>
      <c r="C477" s="1300"/>
      <c r="D477" s="1325" t="s">
        <v>21</v>
      </c>
      <c r="E477" s="1300"/>
      <c r="F477" s="1300"/>
      <c r="G477" s="1016"/>
      <c r="H477" s="168" t="s">
        <v>12</v>
      </c>
      <c r="I477" s="997"/>
      <c r="J477" s="997"/>
      <c r="K477" s="998"/>
      <c r="L477" s="881">
        <f t="shared" ref="L477:N477" ca="1" si="211">L478+L479</f>
        <v>0</v>
      </c>
      <c r="M477" s="881">
        <f t="shared" si="211"/>
        <v>0</v>
      </c>
      <c r="N477" s="881">
        <f t="shared" si="211"/>
        <v>0</v>
      </c>
      <c r="O477" s="881">
        <f t="shared" ref="O477:O479" ca="1" si="212">IF(L477&gt;0,N477*100/L477,0)</f>
        <v>0</v>
      </c>
      <c r="P477" s="881">
        <f t="shared" ref="P477:P479" si="213">IF(M477&gt;0,N477*100/M477,0)</f>
        <v>0</v>
      </c>
      <c r="Q477" s="1302"/>
      <c r="R477" s="1302"/>
      <c r="S477" s="1302"/>
      <c r="T477" s="1302"/>
      <c r="U477" s="1302"/>
      <c r="V477" s="1302"/>
      <c r="W477" s="1302"/>
      <c r="X477" s="1302"/>
      <c r="Y477" s="1302"/>
      <c r="Z477" s="1302"/>
    </row>
    <row r="478" spans="1:26" ht="18.75" hidden="1">
      <c r="A478" s="1319"/>
      <c r="B478" s="1324"/>
      <c r="C478" s="1324"/>
      <c r="D478" s="1324"/>
      <c r="E478" s="1324" t="s">
        <v>18</v>
      </c>
      <c r="F478" s="1324"/>
      <c r="G478" s="1322"/>
      <c r="H478" s="165" t="s">
        <v>12</v>
      </c>
      <c r="I478" s="1000"/>
      <c r="J478" s="1000"/>
      <c r="K478" s="1001"/>
      <c r="L478" s="887">
        <v>0</v>
      </c>
      <c r="M478" s="887">
        <v>0</v>
      </c>
      <c r="N478" s="887">
        <v>0</v>
      </c>
      <c r="O478" s="887">
        <f t="shared" si="212"/>
        <v>0</v>
      </c>
      <c r="P478" s="887">
        <f t="shared" si="213"/>
        <v>0</v>
      </c>
      <c r="Q478" s="1323"/>
      <c r="R478" s="1323"/>
      <c r="S478" s="1323"/>
      <c r="T478" s="1323"/>
      <c r="U478" s="1323"/>
      <c r="V478" s="1323"/>
      <c r="W478" s="1323"/>
      <c r="X478" s="1323"/>
      <c r="Y478" s="1323"/>
      <c r="Z478" s="1323"/>
    </row>
    <row r="479" spans="1:26" ht="18.75" hidden="1">
      <c r="A479" s="1319"/>
      <c r="B479" s="1324"/>
      <c r="C479" s="1324"/>
      <c r="D479" s="1324"/>
      <c r="E479" s="1324" t="s">
        <v>19</v>
      </c>
      <c r="F479" s="1324"/>
      <c r="G479" s="1322"/>
      <c r="H479" s="169" t="s">
        <v>12</v>
      </c>
      <c r="I479" s="1000"/>
      <c r="J479" s="1000"/>
      <c r="K479" s="1001"/>
      <c r="L479" s="887">
        <f ca="1">IFERROR(__xludf.DUMMYFUNCTION("IMPORTRANGE(""https://docs.google.com/spreadsheets/d/1QqKyyYR6Q21VydFLVH3TRQUabQu_ym0Zz7PgGX0-kHA/edit?usp=sharing"",""แผน!FV82"")"),0)</f>
        <v>0</v>
      </c>
      <c r="M479" s="887">
        <v>0</v>
      </c>
      <c r="N479" s="887">
        <v>0</v>
      </c>
      <c r="O479" s="887">
        <f t="shared" ca="1" si="212"/>
        <v>0</v>
      </c>
      <c r="P479" s="887">
        <f t="shared" si="213"/>
        <v>0</v>
      </c>
      <c r="Q479" s="1323"/>
      <c r="R479" s="1323"/>
      <c r="S479" s="1323"/>
      <c r="T479" s="1323"/>
      <c r="U479" s="1323"/>
      <c r="V479" s="1323"/>
      <c r="W479" s="1323"/>
      <c r="X479" s="1323"/>
      <c r="Y479" s="1323"/>
      <c r="Z479" s="1323"/>
    </row>
    <row r="480" spans="1:26" ht="19.5">
      <c r="A480" s="1326"/>
      <c r="B480" s="1327"/>
      <c r="C480" s="1300" t="s">
        <v>16</v>
      </c>
      <c r="D480" s="1335" t="s">
        <v>38</v>
      </c>
      <c r="E480" s="1329"/>
      <c r="F480" s="1330"/>
      <c r="G480" s="1331"/>
      <c r="H480" s="1007"/>
      <c r="I480" s="880"/>
      <c r="J480" s="880"/>
      <c r="K480" s="881"/>
      <c r="L480" s="881"/>
      <c r="M480" s="881"/>
      <c r="N480" s="881"/>
      <c r="O480" s="881"/>
      <c r="P480" s="881"/>
      <c r="Q480" s="1302"/>
      <c r="R480" s="1302"/>
      <c r="S480" s="1302"/>
      <c r="T480" s="1302"/>
      <c r="U480" s="1302"/>
      <c r="V480" s="1302"/>
      <c r="W480" s="1302"/>
      <c r="X480" s="1302"/>
      <c r="Y480" s="1302"/>
      <c r="Z480" s="1302"/>
    </row>
    <row r="481" spans="1:26" ht="19.5">
      <c r="A481" s="1326"/>
      <c r="B481" s="1327"/>
      <c r="C481" s="1327"/>
      <c r="D481" s="1336" t="s">
        <v>207</v>
      </c>
      <c r="E481" s="1327"/>
      <c r="F481" s="1327"/>
      <c r="G481" s="1007"/>
      <c r="H481" s="1016"/>
      <c r="I481" s="880"/>
      <c r="J481" s="880"/>
      <c r="K481" s="881"/>
      <c r="L481" s="881"/>
      <c r="M481" s="881"/>
      <c r="N481" s="881"/>
      <c r="O481" s="881"/>
      <c r="P481" s="881"/>
      <c r="Q481" s="1302"/>
      <c r="R481" s="1302"/>
      <c r="S481" s="1302"/>
      <c r="T481" s="1302"/>
      <c r="U481" s="1302"/>
      <c r="V481" s="1302"/>
      <c r="W481" s="1302"/>
      <c r="X481" s="1302"/>
      <c r="Y481" s="1302"/>
      <c r="Z481" s="1302"/>
    </row>
    <row r="482" spans="1:26" ht="18.75">
      <c r="A482" s="1326"/>
      <c r="B482" s="1327"/>
      <c r="C482" s="1327"/>
      <c r="D482" s="1327"/>
      <c r="E482" s="1327" t="s">
        <v>208</v>
      </c>
      <c r="F482" s="1327"/>
      <c r="G482" s="1007"/>
      <c r="H482" s="1016"/>
      <c r="I482" s="880"/>
      <c r="J482" s="880"/>
      <c r="K482" s="881"/>
      <c r="L482" s="881"/>
      <c r="M482" s="881"/>
      <c r="N482" s="881"/>
      <c r="O482" s="881"/>
      <c r="P482" s="881"/>
      <c r="Q482" s="1302"/>
      <c r="R482" s="1302"/>
      <c r="S482" s="1302"/>
      <c r="T482" s="1302"/>
      <c r="U482" s="1302"/>
      <c r="V482" s="1302"/>
      <c r="W482" s="1302"/>
      <c r="X482" s="1302"/>
      <c r="Y482" s="1302"/>
      <c r="Z482" s="1302"/>
    </row>
    <row r="483" spans="1:26" ht="18.75">
      <c r="A483" s="1326"/>
      <c r="B483" s="1327"/>
      <c r="C483" s="1327"/>
      <c r="D483" s="1327"/>
      <c r="E483" s="1327"/>
      <c r="F483" s="1327" t="s">
        <v>209</v>
      </c>
      <c r="G483" s="1007"/>
      <c r="H483" s="622" t="s">
        <v>46</v>
      </c>
      <c r="I483" s="880">
        <f ca="1">IFERROR(__xludf.DUMMYFUNCTION("IMPORTRANGE(""https://docs.google.com/spreadsheets/d/1QqKyyYR6Q21VydFLVH3TRQUabQu_ym0Zz7PgGX0-kHA/edit?usp=sharing"",""แผน!FY82"")"),270)</f>
        <v>270</v>
      </c>
      <c r="J483" s="1012">
        <v>270</v>
      </c>
      <c r="K483" s="881">
        <f ca="1">IF(I483&gt;0,J483*100/I483,0)</f>
        <v>100</v>
      </c>
      <c r="L483" s="881"/>
      <c r="M483" s="881"/>
      <c r="N483" s="881"/>
      <c r="O483" s="881"/>
      <c r="P483" s="881"/>
      <c r="Q483" s="1302"/>
      <c r="R483" s="1302"/>
      <c r="S483" s="1302"/>
      <c r="T483" s="1302"/>
      <c r="U483" s="1302"/>
      <c r="V483" s="1302"/>
      <c r="W483" s="1302"/>
      <c r="X483" s="1302"/>
      <c r="Y483" s="1302"/>
      <c r="Z483" s="1302"/>
    </row>
    <row r="484" spans="1:26" ht="18.75">
      <c r="A484" s="1326"/>
      <c r="B484" s="1327"/>
      <c r="C484" s="1327"/>
      <c r="D484" s="1327"/>
      <c r="E484" s="1327"/>
      <c r="F484" s="1327" t="s">
        <v>210</v>
      </c>
      <c r="G484" s="1007"/>
      <c r="H484" s="622" t="s">
        <v>35</v>
      </c>
      <c r="I484" s="880"/>
      <c r="J484" s="1012">
        <v>0</v>
      </c>
      <c r="K484" s="881"/>
      <c r="L484" s="881"/>
      <c r="M484" s="881"/>
      <c r="N484" s="881"/>
      <c r="O484" s="881"/>
      <c r="P484" s="881"/>
      <c r="Q484" s="1302"/>
      <c r="R484" s="1302"/>
      <c r="S484" s="1302"/>
      <c r="T484" s="1302"/>
      <c r="U484" s="1302"/>
      <c r="V484" s="1302"/>
      <c r="W484" s="1302"/>
      <c r="X484" s="1302"/>
      <c r="Y484" s="1302"/>
      <c r="Z484" s="1302"/>
    </row>
    <row r="485" spans="1:26" ht="18.75">
      <c r="A485" s="1326"/>
      <c r="B485" s="1327"/>
      <c r="C485" s="1327"/>
      <c r="D485" s="1327"/>
      <c r="E485" s="1327"/>
      <c r="F485" s="1327" t="s">
        <v>211</v>
      </c>
      <c r="G485" s="1007"/>
      <c r="H485" s="622" t="s">
        <v>35</v>
      </c>
      <c r="I485" s="880">
        <f ca="1">IFERROR(__xludf.DUMMYFUNCTION("IMPORTRANGE(""https://docs.google.com/spreadsheets/d/1QqKyyYR6Q21VydFLVH3TRQUabQu_ym0Zz7PgGX0-kHA/edit?usp=sharing"",""แผน!FZ82"")"),27)</f>
        <v>27</v>
      </c>
      <c r="J485" s="1012">
        <v>27</v>
      </c>
      <c r="K485" s="881">
        <f ca="1">IF(I485&gt;0,J485*100/I485,0)</f>
        <v>100</v>
      </c>
      <c r="L485" s="881"/>
      <c r="M485" s="881"/>
      <c r="N485" s="881"/>
      <c r="O485" s="881"/>
      <c r="P485" s="881"/>
      <c r="Q485" s="1302"/>
      <c r="R485" s="1302"/>
      <c r="S485" s="1302"/>
      <c r="T485" s="1302"/>
      <c r="U485" s="1302"/>
      <c r="V485" s="1302"/>
      <c r="W485" s="1302"/>
      <c r="X485" s="1302"/>
      <c r="Y485" s="1302"/>
      <c r="Z485" s="1302"/>
    </row>
    <row r="486" spans="1:26" ht="18.75">
      <c r="A486" s="1326"/>
      <c r="B486" s="1327"/>
      <c r="C486" s="1327"/>
      <c r="D486" s="1327"/>
      <c r="E486" s="1327" t="s">
        <v>62</v>
      </c>
      <c r="F486" s="1327"/>
      <c r="G486" s="1007"/>
      <c r="H486" s="622"/>
      <c r="I486" s="880"/>
      <c r="J486" s="880"/>
      <c r="K486" s="881"/>
      <c r="L486" s="881"/>
      <c r="M486" s="881"/>
      <c r="N486" s="881"/>
      <c r="O486" s="881"/>
      <c r="P486" s="881"/>
      <c r="Q486" s="1302"/>
      <c r="R486" s="1302"/>
      <c r="S486" s="1302"/>
      <c r="T486" s="1302"/>
      <c r="U486" s="1302"/>
      <c r="V486" s="1302"/>
      <c r="W486" s="1302"/>
      <c r="X486" s="1302"/>
      <c r="Y486" s="1302"/>
      <c r="Z486" s="1302"/>
    </row>
    <row r="487" spans="1:26" ht="18.75">
      <c r="A487" s="1326"/>
      <c r="B487" s="1327"/>
      <c r="C487" s="1327"/>
      <c r="D487" s="1327"/>
      <c r="E487" s="1327"/>
      <c r="F487" s="1327" t="s">
        <v>209</v>
      </c>
      <c r="G487" s="1007"/>
      <c r="H487" s="622" t="s">
        <v>46</v>
      </c>
      <c r="I487" s="880">
        <f ca="1">IFERROR(__xludf.DUMMYFUNCTION("IMPORTRANGE(""https://docs.google.com/spreadsheets/d/1QqKyyYR6Q21VydFLVH3TRQUabQu_ym0Zz7PgGX0-kHA/edit?usp=sharing"",""แผน!GA82"")"),30)</f>
        <v>30</v>
      </c>
      <c r="J487" s="1012">
        <v>30</v>
      </c>
      <c r="K487" s="881">
        <f ca="1">IF(I487&gt;0,J487*100/I487,0)</f>
        <v>100</v>
      </c>
      <c r="L487" s="881"/>
      <c r="M487" s="881"/>
      <c r="N487" s="881"/>
      <c r="O487" s="881"/>
      <c r="P487" s="881"/>
      <c r="Q487" s="1302"/>
      <c r="R487" s="1302"/>
      <c r="S487" s="1302"/>
      <c r="T487" s="1302"/>
      <c r="U487" s="1302"/>
      <c r="V487" s="1302"/>
      <c r="W487" s="1302"/>
      <c r="X487" s="1302"/>
      <c r="Y487" s="1302"/>
      <c r="Z487" s="1302"/>
    </row>
    <row r="488" spans="1:26" ht="18.75">
      <c r="A488" s="1326"/>
      <c r="B488" s="1327"/>
      <c r="C488" s="1327"/>
      <c r="D488" s="1327"/>
      <c r="E488" s="1327"/>
      <c r="F488" s="1327" t="s">
        <v>212</v>
      </c>
      <c r="G488" s="1007"/>
      <c r="H488" s="622" t="s">
        <v>35</v>
      </c>
      <c r="I488" s="880"/>
      <c r="J488" s="1012">
        <v>4</v>
      </c>
      <c r="K488" s="881"/>
      <c r="L488" s="881"/>
      <c r="M488" s="881"/>
      <c r="N488" s="881"/>
      <c r="O488" s="881"/>
      <c r="P488" s="881"/>
      <c r="Q488" s="1302"/>
      <c r="R488" s="1302"/>
      <c r="S488" s="1302"/>
      <c r="T488" s="1302"/>
      <c r="U488" s="1302"/>
      <c r="V488" s="1302"/>
      <c r="W488" s="1302"/>
      <c r="X488" s="1302"/>
      <c r="Y488" s="1302"/>
      <c r="Z488" s="1302"/>
    </row>
    <row r="489" spans="1:26" ht="18.75">
      <c r="A489" s="1326"/>
      <c r="B489" s="1327"/>
      <c r="C489" s="1327"/>
      <c r="D489" s="1327"/>
      <c r="E489" s="1327"/>
      <c r="F489" s="1327" t="s">
        <v>213</v>
      </c>
      <c r="G489" s="1007"/>
      <c r="H489" s="622" t="s">
        <v>35</v>
      </c>
      <c r="I489" s="880">
        <f ca="1">IFERROR(__xludf.DUMMYFUNCTION("IMPORTRANGE(""https://docs.google.com/spreadsheets/d/1QqKyyYR6Q21VydFLVH3TRQUabQu_ym0Zz7PgGX0-kHA/edit?usp=sharing"",""แผน!GB82"")"),3)</f>
        <v>3</v>
      </c>
      <c r="J489" s="1012">
        <v>3</v>
      </c>
      <c r="K489" s="881">
        <f ca="1">IF(I489&gt;0,J489*100/I489,0)</f>
        <v>100</v>
      </c>
      <c r="L489" s="881"/>
      <c r="M489" s="881"/>
      <c r="N489" s="881"/>
      <c r="O489" s="881"/>
      <c r="P489" s="881"/>
      <c r="Q489" s="1302"/>
      <c r="R489" s="1302"/>
      <c r="S489" s="1302"/>
      <c r="T489" s="1302"/>
      <c r="U489" s="1302"/>
      <c r="V489" s="1302"/>
      <c r="W489" s="1302"/>
      <c r="X489" s="1302"/>
      <c r="Y489" s="1302"/>
      <c r="Z489" s="1302"/>
    </row>
    <row r="490" spans="1:26" ht="18.75">
      <c r="A490" s="1326"/>
      <c r="B490" s="1327"/>
      <c r="C490" s="1327"/>
      <c r="D490" s="1327"/>
      <c r="E490" s="1327" t="s">
        <v>63</v>
      </c>
      <c r="F490" s="1014"/>
      <c r="G490" s="1007"/>
      <c r="H490" s="622"/>
      <c r="I490" s="880"/>
      <c r="J490" s="880"/>
      <c r="K490" s="881"/>
      <c r="L490" s="881"/>
      <c r="M490" s="881"/>
      <c r="N490" s="881"/>
      <c r="O490" s="881"/>
      <c r="P490" s="881"/>
      <c r="Q490" s="1302"/>
      <c r="R490" s="1302"/>
      <c r="S490" s="1302"/>
      <c r="T490" s="1302"/>
      <c r="U490" s="1302"/>
      <c r="V490" s="1302"/>
      <c r="W490" s="1302"/>
      <c r="X490" s="1302"/>
      <c r="Y490" s="1302"/>
      <c r="Z490" s="1302"/>
    </row>
    <row r="491" spans="1:26" ht="18.75">
      <c r="A491" s="1326"/>
      <c r="B491" s="1327"/>
      <c r="C491" s="1327"/>
      <c r="D491" s="1327"/>
      <c r="E491" s="1327"/>
      <c r="F491" s="1327" t="s">
        <v>214</v>
      </c>
      <c r="G491" s="1007"/>
      <c r="H491" s="622" t="s">
        <v>35</v>
      </c>
      <c r="I491" s="880"/>
      <c r="J491" s="1012">
        <v>0</v>
      </c>
      <c r="K491" s="881"/>
      <c r="L491" s="881"/>
      <c r="M491" s="881"/>
      <c r="N491" s="881"/>
      <c r="O491" s="881"/>
      <c r="P491" s="881"/>
      <c r="Q491" s="1302"/>
      <c r="R491" s="1302"/>
      <c r="S491" s="1302"/>
      <c r="T491" s="1302"/>
      <c r="U491" s="1302"/>
      <c r="V491" s="1302"/>
      <c r="W491" s="1302"/>
      <c r="X491" s="1302"/>
      <c r="Y491" s="1302"/>
      <c r="Z491" s="1302"/>
    </row>
    <row r="492" spans="1:26" ht="18.75">
      <c r="A492" s="1326"/>
      <c r="B492" s="1327"/>
      <c r="C492" s="1327"/>
      <c r="D492" s="1327"/>
      <c r="E492" s="1327"/>
      <c r="F492" s="1327" t="s">
        <v>215</v>
      </c>
      <c r="G492" s="1007"/>
      <c r="H492" s="622" t="s">
        <v>35</v>
      </c>
      <c r="I492" s="880">
        <f ca="1">IFERROR(__xludf.DUMMYFUNCTION("IMPORTRANGE(""https://docs.google.com/spreadsheets/d/1QqKyyYR6Q21VydFLVH3TRQUabQu_ym0Zz7PgGX0-kHA/edit?usp=sharing"",""แผน!GC82"")"),1)</f>
        <v>1</v>
      </c>
      <c r="J492" s="1012">
        <v>1</v>
      </c>
      <c r="K492" s="881">
        <f ca="1">IF(I492&gt;0,J492*100/I492,0)</f>
        <v>100</v>
      </c>
      <c r="L492" s="881"/>
      <c r="M492" s="881"/>
      <c r="N492" s="881"/>
      <c r="O492" s="881"/>
      <c r="P492" s="881"/>
      <c r="Q492" s="1302"/>
      <c r="R492" s="1302"/>
      <c r="S492" s="1302"/>
      <c r="T492" s="1302"/>
      <c r="U492" s="1302"/>
      <c r="V492" s="1302"/>
      <c r="W492" s="1302"/>
      <c r="X492" s="1302"/>
      <c r="Y492" s="1302"/>
      <c r="Z492" s="1302"/>
    </row>
    <row r="493" spans="1:26" ht="19.5">
      <c r="A493" s="1326"/>
      <c r="B493" s="1327"/>
      <c r="C493" s="1327"/>
      <c r="D493" s="1336" t="s">
        <v>59</v>
      </c>
      <c r="E493" s="1327"/>
      <c r="F493" s="1014"/>
      <c r="G493" s="1007"/>
      <c r="H493" s="1016"/>
      <c r="I493" s="880"/>
      <c r="J493" s="880"/>
      <c r="K493" s="881"/>
      <c r="L493" s="881"/>
      <c r="M493" s="881"/>
      <c r="N493" s="881"/>
      <c r="O493" s="881"/>
      <c r="P493" s="881"/>
      <c r="Q493" s="1302"/>
      <c r="R493" s="1302"/>
      <c r="S493" s="1302"/>
      <c r="T493" s="1302"/>
      <c r="U493" s="1302"/>
      <c r="V493" s="1302"/>
      <c r="W493" s="1302"/>
      <c r="X493" s="1302"/>
      <c r="Y493" s="1302"/>
      <c r="Z493" s="1302"/>
    </row>
    <row r="494" spans="1:26" ht="18.75">
      <c r="A494" s="1326"/>
      <c r="B494" s="1327"/>
      <c r="C494" s="1327"/>
      <c r="D494" s="1327"/>
      <c r="E494" s="1327" t="s">
        <v>208</v>
      </c>
      <c r="F494" s="1014"/>
      <c r="G494" s="1007"/>
      <c r="H494" s="1016"/>
      <c r="I494" s="880"/>
      <c r="J494" s="880"/>
      <c r="K494" s="881"/>
      <c r="L494" s="881"/>
      <c r="M494" s="881"/>
      <c r="N494" s="881"/>
      <c r="O494" s="881"/>
      <c r="P494" s="881"/>
      <c r="Q494" s="1302"/>
      <c r="R494" s="1302"/>
      <c r="S494" s="1302"/>
      <c r="T494" s="1302"/>
      <c r="U494" s="1302"/>
      <c r="V494" s="1302"/>
      <c r="W494" s="1302"/>
      <c r="X494" s="1302"/>
      <c r="Y494" s="1302"/>
      <c r="Z494" s="1302"/>
    </row>
    <row r="495" spans="1:26" ht="18.75">
      <c r="A495" s="1326"/>
      <c r="B495" s="1327"/>
      <c r="C495" s="1327"/>
      <c r="D495" s="1327"/>
      <c r="E495" s="1327"/>
      <c r="F495" s="1014" t="s">
        <v>216</v>
      </c>
      <c r="G495" s="1007"/>
      <c r="H495" s="622" t="s">
        <v>46</v>
      </c>
      <c r="I495" s="880">
        <f ca="1">IFERROR(__xludf.DUMMYFUNCTION("IMPORTRANGE(""https://docs.google.com/spreadsheets/d/1QqKyyYR6Q21VydFLVH3TRQUabQu_ym0Zz7PgGX0-kHA/edit?usp=sharing"",""แผน!FY82"")"),270)</f>
        <v>270</v>
      </c>
      <c r="J495" s="1012">
        <v>270</v>
      </c>
      <c r="K495" s="881">
        <f ca="1">IF(I495&gt;0,J495*100/I495,0)</f>
        <v>100</v>
      </c>
      <c r="L495" s="881"/>
      <c r="M495" s="881"/>
      <c r="N495" s="881"/>
      <c r="O495" s="881"/>
      <c r="P495" s="881"/>
      <c r="Q495" s="1302"/>
      <c r="R495" s="1302"/>
      <c r="S495" s="1302"/>
      <c r="T495" s="1302"/>
      <c r="U495" s="1302"/>
      <c r="V495" s="1302"/>
      <c r="W495" s="1302"/>
      <c r="X495" s="1302"/>
      <c r="Y495" s="1302"/>
      <c r="Z495" s="1302"/>
    </row>
    <row r="496" spans="1:26" ht="18.75">
      <c r="A496" s="1326"/>
      <c r="B496" s="1327"/>
      <c r="C496" s="1327"/>
      <c r="D496" s="1327"/>
      <c r="E496" s="1327"/>
      <c r="F496" s="1014" t="s">
        <v>217</v>
      </c>
      <c r="G496" s="1007"/>
      <c r="H496" s="622" t="s">
        <v>46</v>
      </c>
      <c r="I496" s="880"/>
      <c r="J496" s="1012">
        <v>0</v>
      </c>
      <c r="K496" s="881"/>
      <c r="L496" s="881"/>
      <c r="M496" s="881"/>
      <c r="N496" s="881"/>
      <c r="O496" s="881"/>
      <c r="P496" s="881"/>
      <c r="Q496" s="1302"/>
      <c r="R496" s="1302"/>
      <c r="S496" s="1302"/>
      <c r="T496" s="1302"/>
      <c r="U496" s="1302"/>
      <c r="V496" s="1302"/>
      <c r="W496" s="1302"/>
      <c r="X496" s="1302"/>
      <c r="Y496" s="1302"/>
      <c r="Z496" s="1302"/>
    </row>
    <row r="497" spans="1:26" ht="18.75">
      <c r="A497" s="1326"/>
      <c r="B497" s="1327"/>
      <c r="C497" s="1327"/>
      <c r="D497" s="1327"/>
      <c r="E497" s="1327" t="s">
        <v>62</v>
      </c>
      <c r="F497" s="1014"/>
      <c r="G497" s="1007"/>
      <c r="H497" s="1016"/>
      <c r="I497" s="880"/>
      <c r="J497" s="880"/>
      <c r="K497" s="881"/>
      <c r="L497" s="881"/>
      <c r="M497" s="881"/>
      <c r="N497" s="881"/>
      <c r="O497" s="881"/>
      <c r="P497" s="881"/>
      <c r="Q497" s="1302"/>
      <c r="R497" s="1302"/>
      <c r="S497" s="1302"/>
      <c r="T497" s="1302"/>
      <c r="U497" s="1302"/>
      <c r="V497" s="1302"/>
      <c r="W497" s="1302"/>
      <c r="X497" s="1302"/>
      <c r="Y497" s="1302"/>
      <c r="Z497" s="1302"/>
    </row>
    <row r="498" spans="1:26" ht="18.75">
      <c r="A498" s="1326"/>
      <c r="B498" s="1327"/>
      <c r="C498" s="1327"/>
      <c r="D498" s="1327"/>
      <c r="E498" s="1014"/>
      <c r="F498" s="1014" t="s">
        <v>218</v>
      </c>
      <c r="G498" s="1007"/>
      <c r="H498" s="622" t="s">
        <v>46</v>
      </c>
      <c r="I498" s="880">
        <f ca="1">IFERROR(__xludf.DUMMYFUNCTION("IMPORTRANGE(""https://docs.google.com/spreadsheets/d/1QqKyyYR6Q21VydFLVH3TRQUabQu_ym0Zz7PgGX0-kHA/edit?usp=sharing"",""แผน!GA82"")"),30)</f>
        <v>30</v>
      </c>
      <c r="J498" s="1012">
        <v>30</v>
      </c>
      <c r="K498" s="881">
        <f ca="1">IF(I498&gt;0,J498*100/I498,0)</f>
        <v>100</v>
      </c>
      <c r="L498" s="881"/>
      <c r="M498" s="881"/>
      <c r="N498" s="881"/>
      <c r="O498" s="881"/>
      <c r="P498" s="881"/>
      <c r="Q498" s="1302"/>
      <c r="R498" s="1302"/>
      <c r="S498" s="1302"/>
      <c r="T498" s="1302"/>
      <c r="U498" s="1302"/>
      <c r="V498" s="1302"/>
      <c r="W498" s="1302"/>
      <c r="X498" s="1302"/>
      <c r="Y498" s="1302"/>
      <c r="Z498" s="1302"/>
    </row>
    <row r="499" spans="1:26" ht="18.75">
      <c r="A499" s="1326"/>
      <c r="B499" s="1327"/>
      <c r="C499" s="1327"/>
      <c r="D499" s="1327"/>
      <c r="E499" s="1014"/>
      <c r="F499" s="1014" t="s">
        <v>219</v>
      </c>
      <c r="G499" s="1007"/>
      <c r="H499" s="622" t="s">
        <v>46</v>
      </c>
      <c r="I499" s="880"/>
      <c r="J499" s="1012">
        <v>0</v>
      </c>
      <c r="K499" s="881"/>
      <c r="L499" s="881"/>
      <c r="M499" s="881"/>
      <c r="N499" s="881"/>
      <c r="O499" s="881"/>
      <c r="P499" s="881"/>
      <c r="Q499" s="1302"/>
      <c r="R499" s="1302"/>
      <c r="S499" s="1302"/>
      <c r="T499" s="1302"/>
      <c r="U499" s="1302"/>
      <c r="V499" s="1302"/>
      <c r="W499" s="1302"/>
      <c r="X499" s="1302"/>
      <c r="Y499" s="1302"/>
      <c r="Z499" s="1302"/>
    </row>
    <row r="500" spans="1:26" ht="19.5" hidden="1">
      <c r="A500" s="626">
        <v>4</v>
      </c>
      <c r="B500" s="1337" t="s">
        <v>220</v>
      </c>
      <c r="C500" s="1338"/>
      <c r="D500" s="1339"/>
      <c r="E500" s="1339"/>
      <c r="F500" s="1339"/>
      <c r="G500" s="1340"/>
      <c r="H500" s="631" t="s">
        <v>109</v>
      </c>
      <c r="I500" s="1341"/>
      <c r="J500" s="1341">
        <f t="shared" ref="J500:J501" si="214">J516</f>
        <v>0</v>
      </c>
      <c r="K500" s="1342">
        <f t="shared" ref="K500:K501" si="215">IF(I500&gt;0,J500*100/I500,0)</f>
        <v>0</v>
      </c>
      <c r="L500" s="1343"/>
      <c r="M500" s="1343"/>
      <c r="N500" s="1343"/>
      <c r="O500" s="1343"/>
      <c r="P500" s="1343"/>
      <c r="Q500" s="1323"/>
      <c r="R500" s="1323"/>
      <c r="S500" s="1323"/>
      <c r="T500" s="1323"/>
      <c r="U500" s="1323"/>
      <c r="V500" s="1323"/>
      <c r="W500" s="1323"/>
      <c r="X500" s="1323"/>
      <c r="Y500" s="1323"/>
      <c r="Z500" s="1323"/>
    </row>
    <row r="501" spans="1:26" ht="19.5" hidden="1">
      <c r="A501" s="1344"/>
      <c r="B501" s="1345" t="s">
        <v>221</v>
      </c>
      <c r="C501" s="1345"/>
      <c r="D501" s="1346"/>
      <c r="E501" s="1346"/>
      <c r="F501" s="1346"/>
      <c r="G501" s="1347"/>
      <c r="H501" s="640" t="s">
        <v>35</v>
      </c>
      <c r="I501" s="1348"/>
      <c r="J501" s="1348">
        <f t="shared" si="214"/>
        <v>0</v>
      </c>
      <c r="K501" s="1349">
        <f t="shared" si="215"/>
        <v>0</v>
      </c>
      <c r="L501" s="1350"/>
      <c r="M501" s="1350"/>
      <c r="N501" s="1350"/>
      <c r="O501" s="1350"/>
      <c r="P501" s="1350"/>
      <c r="Q501" s="1323"/>
      <c r="R501" s="1323"/>
      <c r="S501" s="1323"/>
      <c r="T501" s="1323"/>
      <c r="U501" s="1323"/>
      <c r="V501" s="1323"/>
      <c r="W501" s="1323"/>
      <c r="X501" s="1323"/>
      <c r="Y501" s="1323"/>
      <c r="Z501" s="1323"/>
    </row>
    <row r="502" spans="1:26" ht="19.5" hidden="1">
      <c r="A502" s="1319"/>
      <c r="B502" s="1320"/>
      <c r="C502" s="1320" t="s">
        <v>16</v>
      </c>
      <c r="D502" s="1351" t="s">
        <v>17</v>
      </c>
      <c r="E502" s="841"/>
      <c r="F502" s="841"/>
      <c r="G502" s="1322"/>
      <c r="H502" s="644" t="s">
        <v>12</v>
      </c>
      <c r="I502" s="886"/>
      <c r="J502" s="886"/>
      <c r="K502" s="887"/>
      <c r="L502" s="1352">
        <f t="shared" ref="L502:N502" si="216">L503+L504</f>
        <v>0</v>
      </c>
      <c r="M502" s="1352">
        <f t="shared" si="216"/>
        <v>0</v>
      </c>
      <c r="N502" s="1352">
        <f t="shared" si="216"/>
        <v>0</v>
      </c>
      <c r="O502" s="1352">
        <f t="shared" ref="O502:O507" si="217">IF(L502&gt;0,N502*100/L502,0)</f>
        <v>0</v>
      </c>
      <c r="P502" s="1352">
        <f t="shared" ref="P502:P507" si="218">IF(M502&gt;0,N502*100/M502,0)</f>
        <v>0</v>
      </c>
      <c r="Q502" s="1323"/>
      <c r="R502" s="1323"/>
      <c r="S502" s="1323"/>
      <c r="T502" s="1323"/>
      <c r="U502" s="1323"/>
      <c r="V502" s="1323"/>
      <c r="W502" s="1323"/>
      <c r="X502" s="1323"/>
      <c r="Y502" s="1323"/>
      <c r="Z502" s="1323"/>
    </row>
    <row r="503" spans="1:26" ht="18.75" hidden="1">
      <c r="A503" s="1319"/>
      <c r="B503" s="1320"/>
      <c r="C503" s="1320"/>
      <c r="D503" s="1321"/>
      <c r="E503" s="1320" t="s">
        <v>185</v>
      </c>
      <c r="F503" s="1320"/>
      <c r="G503" s="1322"/>
      <c r="H503" s="165" t="s">
        <v>12</v>
      </c>
      <c r="I503" s="886"/>
      <c r="J503" s="886"/>
      <c r="K503" s="887"/>
      <c r="L503" s="887">
        <f t="shared" ref="L503:N504" si="219">L506+L513</f>
        <v>0</v>
      </c>
      <c r="M503" s="887">
        <f t="shared" si="219"/>
        <v>0</v>
      </c>
      <c r="N503" s="887">
        <f t="shared" si="219"/>
        <v>0</v>
      </c>
      <c r="O503" s="887">
        <f t="shared" si="217"/>
        <v>0</v>
      </c>
      <c r="P503" s="887">
        <f t="shared" si="218"/>
        <v>0</v>
      </c>
      <c r="Q503" s="1323"/>
      <c r="R503" s="1323"/>
      <c r="S503" s="1323"/>
      <c r="T503" s="1323"/>
      <c r="U503" s="1323"/>
      <c r="V503" s="1323"/>
      <c r="W503" s="1323"/>
      <c r="X503" s="1323"/>
      <c r="Y503" s="1323"/>
      <c r="Z503" s="1323"/>
    </row>
    <row r="504" spans="1:26" ht="18.75" hidden="1">
      <c r="A504" s="1319"/>
      <c r="B504" s="1324"/>
      <c r="C504" s="1320"/>
      <c r="D504" s="1321"/>
      <c r="E504" s="1320" t="s">
        <v>186</v>
      </c>
      <c r="F504" s="1320"/>
      <c r="G504" s="1322"/>
      <c r="H504" s="165" t="s">
        <v>12</v>
      </c>
      <c r="I504" s="886"/>
      <c r="J504" s="886"/>
      <c r="K504" s="887"/>
      <c r="L504" s="887">
        <f t="shared" si="219"/>
        <v>0</v>
      </c>
      <c r="M504" s="887">
        <f t="shared" si="219"/>
        <v>0</v>
      </c>
      <c r="N504" s="887">
        <f t="shared" si="219"/>
        <v>0</v>
      </c>
      <c r="O504" s="887">
        <f t="shared" si="217"/>
        <v>0</v>
      </c>
      <c r="P504" s="887">
        <f t="shared" si="218"/>
        <v>0</v>
      </c>
      <c r="Q504" s="1323"/>
      <c r="R504" s="1323"/>
      <c r="S504" s="1323"/>
      <c r="T504" s="1323"/>
      <c r="U504" s="1323"/>
      <c r="V504" s="1323"/>
      <c r="W504" s="1323"/>
      <c r="X504" s="1323"/>
      <c r="Y504" s="1323"/>
      <c r="Z504" s="1323"/>
    </row>
    <row r="505" spans="1:26" ht="18.75" hidden="1">
      <c r="A505" s="1319"/>
      <c r="B505" s="1324"/>
      <c r="C505" s="1320"/>
      <c r="D505" s="1353" t="s">
        <v>20</v>
      </c>
      <c r="E505" s="1320"/>
      <c r="F505" s="1320"/>
      <c r="G505" s="1322"/>
      <c r="H505" s="165" t="s">
        <v>12</v>
      </c>
      <c r="I505" s="1000"/>
      <c r="J505" s="1000"/>
      <c r="K505" s="1001"/>
      <c r="L505" s="887">
        <f t="shared" ref="L505:N505" si="220">L506+L507</f>
        <v>0</v>
      </c>
      <c r="M505" s="887">
        <f t="shared" si="220"/>
        <v>0</v>
      </c>
      <c r="N505" s="887">
        <f t="shared" si="220"/>
        <v>0</v>
      </c>
      <c r="O505" s="887">
        <f t="shared" si="217"/>
        <v>0</v>
      </c>
      <c r="P505" s="887">
        <f t="shared" si="218"/>
        <v>0</v>
      </c>
      <c r="Q505" s="1323"/>
      <c r="R505" s="1323"/>
      <c r="S505" s="1323"/>
      <c r="T505" s="1323"/>
      <c r="U505" s="1323"/>
      <c r="V505" s="1323"/>
      <c r="W505" s="1323"/>
      <c r="X505" s="1323"/>
      <c r="Y505" s="1323"/>
      <c r="Z505" s="1323"/>
    </row>
    <row r="506" spans="1:26" ht="18.75" hidden="1">
      <c r="A506" s="1319"/>
      <c r="B506" s="1324"/>
      <c r="C506" s="1320"/>
      <c r="D506" s="1321"/>
      <c r="E506" s="1320" t="s">
        <v>185</v>
      </c>
      <c r="F506" s="1320"/>
      <c r="G506" s="1322"/>
      <c r="H506" s="165" t="s">
        <v>12</v>
      </c>
      <c r="I506" s="886"/>
      <c r="J506" s="886"/>
      <c r="K506" s="887"/>
      <c r="L506" s="887">
        <v>0</v>
      </c>
      <c r="M506" s="887">
        <v>0</v>
      </c>
      <c r="N506" s="887">
        <v>0</v>
      </c>
      <c r="O506" s="887">
        <f t="shared" si="217"/>
        <v>0</v>
      </c>
      <c r="P506" s="887">
        <f t="shared" si="218"/>
        <v>0</v>
      </c>
      <c r="Q506" s="1323"/>
      <c r="R506" s="1323"/>
      <c r="S506" s="1323"/>
      <c r="T506" s="1323"/>
      <c r="U506" s="1323"/>
      <c r="V506" s="1323"/>
      <c r="W506" s="1323"/>
      <c r="X506" s="1323"/>
      <c r="Y506" s="1323"/>
      <c r="Z506" s="1323"/>
    </row>
    <row r="507" spans="1:26" ht="18.75" hidden="1">
      <c r="A507" s="1319"/>
      <c r="B507" s="1324"/>
      <c r="C507" s="1320"/>
      <c r="D507" s="1321"/>
      <c r="E507" s="1320" t="s">
        <v>186</v>
      </c>
      <c r="F507" s="1320"/>
      <c r="G507" s="1322"/>
      <c r="H507" s="165" t="s">
        <v>12</v>
      </c>
      <c r="I507" s="886"/>
      <c r="J507" s="886"/>
      <c r="K507" s="887"/>
      <c r="L507" s="887">
        <v>0</v>
      </c>
      <c r="M507" s="887">
        <v>0</v>
      </c>
      <c r="N507" s="887">
        <f>N508+N509+N510+N511</f>
        <v>0</v>
      </c>
      <c r="O507" s="887">
        <f t="shared" si="217"/>
        <v>0</v>
      </c>
      <c r="P507" s="887">
        <f t="shared" si="218"/>
        <v>0</v>
      </c>
      <c r="Q507" s="1323"/>
      <c r="R507" s="1323"/>
      <c r="S507" s="1323"/>
      <c r="T507" s="1323"/>
      <c r="U507" s="1323"/>
      <c r="V507" s="1323"/>
      <c r="W507" s="1323"/>
      <c r="X507" s="1323"/>
      <c r="Y507" s="1323"/>
      <c r="Z507" s="1323"/>
    </row>
    <row r="508" spans="1:26" ht="18.75" hidden="1">
      <c r="A508" s="1354"/>
      <c r="B508" s="1324"/>
      <c r="C508" s="1320"/>
      <c r="D508" s="1320"/>
      <c r="E508" s="1320"/>
      <c r="F508" s="1320" t="s">
        <v>187</v>
      </c>
      <c r="G508" s="1322"/>
      <c r="H508" s="165" t="s">
        <v>12</v>
      </c>
      <c r="I508" s="886"/>
      <c r="J508" s="886"/>
      <c r="K508" s="887"/>
      <c r="L508" s="887"/>
      <c r="M508" s="887"/>
      <c r="N508" s="887">
        <v>0</v>
      </c>
      <c r="O508" s="887"/>
      <c r="P508" s="887"/>
      <c r="Q508" s="1323"/>
      <c r="R508" s="1323"/>
      <c r="S508" s="1323"/>
      <c r="T508" s="1323"/>
      <c r="U508" s="1323"/>
      <c r="V508" s="1323"/>
      <c r="W508" s="1323"/>
      <c r="X508" s="1323"/>
      <c r="Y508" s="1323"/>
      <c r="Z508" s="1323"/>
    </row>
    <row r="509" spans="1:26" ht="18.75" hidden="1">
      <c r="A509" s="1354"/>
      <c r="B509" s="1324"/>
      <c r="C509" s="1320"/>
      <c r="D509" s="1320"/>
      <c r="E509" s="1320"/>
      <c r="F509" s="1320" t="s">
        <v>188</v>
      </c>
      <c r="G509" s="1322"/>
      <c r="H509" s="165" t="s">
        <v>12</v>
      </c>
      <c r="I509" s="886"/>
      <c r="J509" s="886"/>
      <c r="K509" s="887"/>
      <c r="L509" s="887"/>
      <c r="M509" s="887"/>
      <c r="N509" s="887">
        <v>0</v>
      </c>
      <c r="O509" s="887"/>
      <c r="P509" s="887"/>
      <c r="Q509" s="1323"/>
      <c r="R509" s="1323"/>
      <c r="S509" s="1323"/>
      <c r="T509" s="1323"/>
      <c r="U509" s="1323"/>
      <c r="V509" s="1323"/>
      <c r="W509" s="1323"/>
      <c r="X509" s="1323"/>
      <c r="Y509" s="1323"/>
      <c r="Z509" s="1323"/>
    </row>
    <row r="510" spans="1:26" ht="18.75" hidden="1">
      <c r="A510" s="1354"/>
      <c r="B510" s="1324"/>
      <c r="C510" s="1324"/>
      <c r="D510" s="1324"/>
      <c r="E510" s="1320"/>
      <c r="F510" s="1320" t="s">
        <v>189</v>
      </c>
      <c r="G510" s="1322"/>
      <c r="H510" s="165" t="s">
        <v>12</v>
      </c>
      <c r="I510" s="886"/>
      <c r="J510" s="886"/>
      <c r="K510" s="887"/>
      <c r="L510" s="887"/>
      <c r="M510" s="887"/>
      <c r="N510" s="887">
        <v>0</v>
      </c>
      <c r="O510" s="887"/>
      <c r="P510" s="887"/>
      <c r="Q510" s="1323"/>
      <c r="R510" s="1323"/>
      <c r="S510" s="1323"/>
      <c r="T510" s="1323"/>
      <c r="U510" s="1323"/>
      <c r="V510" s="1323"/>
      <c r="W510" s="1323"/>
      <c r="X510" s="1323"/>
      <c r="Y510" s="1323"/>
      <c r="Z510" s="1323"/>
    </row>
    <row r="511" spans="1:26" ht="18.75" hidden="1">
      <c r="A511" s="1354"/>
      <c r="B511" s="1324"/>
      <c r="C511" s="1324"/>
      <c r="D511" s="1324"/>
      <c r="E511" s="1320"/>
      <c r="F511" s="1320" t="s">
        <v>190</v>
      </c>
      <c r="G511" s="1322"/>
      <c r="H511" s="165" t="s">
        <v>12</v>
      </c>
      <c r="I511" s="886"/>
      <c r="J511" s="886"/>
      <c r="K511" s="887"/>
      <c r="L511" s="887"/>
      <c r="M511" s="887"/>
      <c r="N511" s="887">
        <v>0</v>
      </c>
      <c r="O511" s="887"/>
      <c r="P511" s="887"/>
      <c r="Q511" s="1323"/>
      <c r="R511" s="1323"/>
      <c r="S511" s="1323"/>
      <c r="T511" s="1323"/>
      <c r="U511" s="1323"/>
      <c r="V511" s="1323"/>
      <c r="W511" s="1323"/>
      <c r="X511" s="1323"/>
      <c r="Y511" s="1323"/>
      <c r="Z511" s="1323"/>
    </row>
    <row r="512" spans="1:26" ht="18.75" hidden="1">
      <c r="A512" s="1319"/>
      <c r="B512" s="1324"/>
      <c r="C512" s="1324"/>
      <c r="D512" s="1353" t="s">
        <v>21</v>
      </c>
      <c r="E512" s="1324"/>
      <c r="F512" s="1320"/>
      <c r="G512" s="1322"/>
      <c r="H512" s="169" t="s">
        <v>12</v>
      </c>
      <c r="I512" s="1000"/>
      <c r="J512" s="1000"/>
      <c r="K512" s="1001"/>
      <c r="L512" s="887">
        <f t="shared" ref="L512:N512" si="221">L513+L514</f>
        <v>0</v>
      </c>
      <c r="M512" s="887">
        <f t="shared" si="221"/>
        <v>0</v>
      </c>
      <c r="N512" s="887">
        <f t="shared" si="221"/>
        <v>0</v>
      </c>
      <c r="O512" s="887">
        <f t="shared" ref="O512:O514" si="222">IF(L512&gt;0,N512*100/L512,0)</f>
        <v>0</v>
      </c>
      <c r="P512" s="887">
        <f t="shared" ref="P512:P514" si="223">IF(M512&gt;0,N512*100/M512,0)</f>
        <v>0</v>
      </c>
      <c r="Q512" s="1323"/>
      <c r="R512" s="1323"/>
      <c r="S512" s="1323"/>
      <c r="T512" s="1323"/>
      <c r="U512" s="1323"/>
      <c r="V512" s="1323"/>
      <c r="W512" s="1323"/>
      <c r="X512" s="1323"/>
      <c r="Y512" s="1323"/>
      <c r="Z512" s="1323"/>
    </row>
    <row r="513" spans="1:26" ht="18.75" hidden="1">
      <c r="A513" s="1319"/>
      <c r="B513" s="1324"/>
      <c r="C513" s="1324"/>
      <c r="D513" s="1324"/>
      <c r="E513" s="1324" t="s">
        <v>18</v>
      </c>
      <c r="F513" s="1320"/>
      <c r="G513" s="1322"/>
      <c r="H513" s="165" t="s">
        <v>12</v>
      </c>
      <c r="I513" s="1000"/>
      <c r="J513" s="1000"/>
      <c r="K513" s="1001"/>
      <c r="L513" s="887">
        <v>0</v>
      </c>
      <c r="M513" s="887">
        <v>0</v>
      </c>
      <c r="N513" s="887">
        <v>0</v>
      </c>
      <c r="O513" s="887">
        <f t="shared" si="222"/>
        <v>0</v>
      </c>
      <c r="P513" s="887">
        <f t="shared" si="223"/>
        <v>0</v>
      </c>
      <c r="Q513" s="1323"/>
      <c r="R513" s="1323"/>
      <c r="S513" s="1323"/>
      <c r="T513" s="1323"/>
      <c r="U513" s="1323"/>
      <c r="V513" s="1323"/>
      <c r="W513" s="1323"/>
      <c r="X513" s="1323"/>
      <c r="Y513" s="1323"/>
      <c r="Z513" s="1323"/>
    </row>
    <row r="514" spans="1:26" ht="18.75" hidden="1">
      <c r="A514" s="1319"/>
      <c r="B514" s="1324"/>
      <c r="C514" s="1324"/>
      <c r="D514" s="1320"/>
      <c r="E514" s="1324" t="s">
        <v>19</v>
      </c>
      <c r="F514" s="1320"/>
      <c r="G514" s="1322"/>
      <c r="H514" s="169" t="s">
        <v>12</v>
      </c>
      <c r="I514" s="1000"/>
      <c r="J514" s="1000"/>
      <c r="K514" s="1001"/>
      <c r="L514" s="887">
        <v>0</v>
      </c>
      <c r="M514" s="887">
        <v>0</v>
      </c>
      <c r="N514" s="887">
        <v>0</v>
      </c>
      <c r="O514" s="887">
        <f t="shared" si="222"/>
        <v>0</v>
      </c>
      <c r="P514" s="887">
        <f t="shared" si="223"/>
        <v>0</v>
      </c>
      <c r="Q514" s="1323"/>
      <c r="R514" s="1323"/>
      <c r="S514" s="1323"/>
      <c r="T514" s="1323"/>
      <c r="U514" s="1323"/>
      <c r="V514" s="1323"/>
      <c r="W514" s="1323"/>
      <c r="X514" s="1323"/>
      <c r="Y514" s="1323"/>
      <c r="Z514" s="1323"/>
    </row>
    <row r="515" spans="1:26" ht="19.5" hidden="1">
      <c r="A515" s="1332"/>
      <c r="B515" s="1333"/>
      <c r="C515" s="1324" t="s">
        <v>16</v>
      </c>
      <c r="D515" s="1355" t="s">
        <v>38</v>
      </c>
      <c r="E515" s="1356"/>
      <c r="F515" s="1356"/>
      <c r="G515" s="1357"/>
      <c r="H515" s="1113"/>
      <c r="I515" s="1000"/>
      <c r="J515" s="1000"/>
      <c r="K515" s="1001"/>
      <c r="L515" s="1001"/>
      <c r="M515" s="1001"/>
      <c r="N515" s="1001"/>
      <c r="O515" s="1001"/>
      <c r="P515" s="1001"/>
      <c r="Q515" s="1323"/>
      <c r="R515" s="1323"/>
      <c r="S515" s="1323"/>
      <c r="T515" s="1323"/>
      <c r="U515" s="1323"/>
      <c r="V515" s="1323"/>
      <c r="W515" s="1323"/>
      <c r="X515" s="1323"/>
      <c r="Y515" s="1323"/>
      <c r="Z515" s="1323"/>
    </row>
    <row r="516" spans="1:26" ht="18.75" hidden="1">
      <c r="A516" s="1332"/>
      <c r="B516" s="1333"/>
      <c r="C516" s="1333"/>
      <c r="D516" s="1333" t="s">
        <v>222</v>
      </c>
      <c r="E516" s="1321"/>
      <c r="F516" s="1321"/>
      <c r="G516" s="1113"/>
      <c r="H516" s="651" t="s">
        <v>109</v>
      </c>
      <c r="I516" s="886"/>
      <c r="J516" s="886">
        <v>0</v>
      </c>
      <c r="K516" s="1001">
        <f t="shared" ref="K516:K517" si="224">IF(I516&gt;0,J516*100/I516,0)</f>
        <v>0</v>
      </c>
      <c r="L516" s="1001"/>
      <c r="M516" s="1001"/>
      <c r="N516" s="1001"/>
      <c r="O516" s="1001"/>
      <c r="P516" s="1001"/>
      <c r="Q516" s="1323"/>
      <c r="R516" s="1323"/>
      <c r="S516" s="1323"/>
      <c r="T516" s="1323"/>
      <c r="U516" s="1323"/>
      <c r="V516" s="1323"/>
      <c r="W516" s="1323"/>
      <c r="X516" s="1323"/>
      <c r="Y516" s="1323"/>
      <c r="Z516" s="1323"/>
    </row>
    <row r="517" spans="1:26" ht="19.5" hidden="1">
      <c r="A517" s="1332"/>
      <c r="B517" s="1333"/>
      <c r="C517" s="1333"/>
      <c r="D517" s="1333" t="s">
        <v>223</v>
      </c>
      <c r="E517" s="1321"/>
      <c r="F517" s="1321"/>
      <c r="G517" s="1113"/>
      <c r="H517" s="652" t="s">
        <v>35</v>
      </c>
      <c r="I517" s="1358"/>
      <c r="J517" s="1358">
        <f>J518+J519</f>
        <v>0</v>
      </c>
      <c r="K517" s="1359">
        <f t="shared" si="224"/>
        <v>0</v>
      </c>
      <c r="L517" s="1001"/>
      <c r="M517" s="1001"/>
      <c r="N517" s="1001"/>
      <c r="O517" s="1001"/>
      <c r="P517" s="1001"/>
      <c r="Q517" s="1323"/>
      <c r="R517" s="1323"/>
      <c r="S517" s="1323"/>
      <c r="T517" s="1323"/>
      <c r="U517" s="1323"/>
      <c r="V517" s="1323"/>
      <c r="W517" s="1323"/>
      <c r="X517" s="1323"/>
      <c r="Y517" s="1323"/>
      <c r="Z517" s="1323"/>
    </row>
    <row r="518" spans="1:26" ht="18.75" hidden="1">
      <c r="A518" s="1332"/>
      <c r="B518" s="1333"/>
      <c r="C518" s="1333"/>
      <c r="D518" s="1333"/>
      <c r="E518" s="1333" t="s">
        <v>224</v>
      </c>
      <c r="F518" s="1321"/>
      <c r="G518" s="1113"/>
      <c r="H518" s="370" t="s">
        <v>35</v>
      </c>
      <c r="I518" s="886"/>
      <c r="J518" s="886"/>
      <c r="K518" s="1001"/>
      <c r="L518" s="1001"/>
      <c r="M518" s="1001"/>
      <c r="N518" s="1001"/>
      <c r="O518" s="1001"/>
      <c r="P518" s="1001"/>
      <c r="Q518" s="1323"/>
      <c r="R518" s="1323"/>
      <c r="S518" s="1323"/>
      <c r="T518" s="1323"/>
      <c r="U518" s="1323"/>
      <c r="V518" s="1323"/>
      <c r="W518" s="1323"/>
      <c r="X518" s="1323"/>
      <c r="Y518" s="1323"/>
      <c r="Z518" s="1323"/>
    </row>
    <row r="519" spans="1:26" ht="18.75" hidden="1">
      <c r="A519" s="1332"/>
      <c r="B519" s="1333"/>
      <c r="C519" s="1333"/>
      <c r="D519" s="1333"/>
      <c r="E519" s="1333" t="s">
        <v>225</v>
      </c>
      <c r="F519" s="1321"/>
      <c r="G519" s="1113"/>
      <c r="H519" s="651" t="s">
        <v>35</v>
      </c>
      <c r="I519" s="886"/>
      <c r="J519" s="886"/>
      <c r="K519" s="1001"/>
      <c r="L519" s="1001"/>
      <c r="M519" s="1001"/>
      <c r="N519" s="1001"/>
      <c r="O519" s="1001"/>
      <c r="P519" s="1001"/>
      <c r="Q519" s="1323"/>
      <c r="R519" s="1323"/>
      <c r="S519" s="1323"/>
      <c r="T519" s="1323"/>
      <c r="U519" s="1323"/>
      <c r="V519" s="1323"/>
      <c r="W519" s="1323"/>
      <c r="X519" s="1323"/>
      <c r="Y519" s="1323"/>
      <c r="Z519" s="1323"/>
    </row>
    <row r="520" spans="1:26" ht="19.5">
      <c r="A520" s="1360" t="s">
        <v>137</v>
      </c>
      <c r="B520" s="1361"/>
      <c r="C520" s="1361"/>
      <c r="D520" s="1362"/>
      <c r="E520" s="1362"/>
      <c r="F520" s="1362"/>
      <c r="G520" s="1363"/>
      <c r="H520" s="1364"/>
      <c r="I520" s="1365"/>
      <c r="J520" s="1365"/>
      <c r="K520" s="1366"/>
      <c r="L520" s="1366"/>
      <c r="M520" s="1366"/>
      <c r="N520" s="1366"/>
      <c r="O520" s="1366"/>
      <c r="P520" s="1366"/>
    </row>
    <row r="521" spans="1:26" ht="19.5" hidden="1">
      <c r="A521" s="662">
        <v>5</v>
      </c>
      <c r="B521" s="1367" t="s">
        <v>226</v>
      </c>
      <c r="C521" s="1368"/>
      <c r="D521" s="1369"/>
      <c r="E521" s="1369"/>
      <c r="F521" s="1369"/>
      <c r="G521" s="1369"/>
      <c r="H521" s="1370"/>
      <c r="I521" s="1371"/>
      <c r="J521" s="1371"/>
      <c r="K521" s="1372"/>
      <c r="L521" s="1372"/>
      <c r="M521" s="1372"/>
      <c r="N521" s="1372"/>
      <c r="O521" s="1372"/>
      <c r="P521" s="1372"/>
      <c r="Q521" s="1302"/>
      <c r="R521" s="1302"/>
      <c r="S521" s="1302"/>
      <c r="T521" s="1302"/>
      <c r="U521" s="1302"/>
      <c r="V521" s="1302"/>
      <c r="W521" s="1302"/>
      <c r="X521" s="1302"/>
      <c r="Y521" s="1302"/>
      <c r="Z521" s="1302"/>
    </row>
    <row r="522" spans="1:26" ht="19.5" hidden="1">
      <c r="A522" s="1373"/>
      <c r="B522" s="1374" t="s">
        <v>227</v>
      </c>
      <c r="C522" s="1375"/>
      <c r="D522" s="1375"/>
      <c r="E522" s="1375"/>
      <c r="F522" s="1375"/>
      <c r="G522" s="1376"/>
      <c r="H522" s="673" t="s">
        <v>35</v>
      </c>
      <c r="I522" s="1377">
        <f t="shared" ref="I522:J522" ca="1" si="225">I537</f>
        <v>0</v>
      </c>
      <c r="J522" s="1377">
        <f t="shared" ca="1" si="225"/>
        <v>0</v>
      </c>
      <c r="K522" s="1378">
        <f ca="1">IF(I522&gt;0,J522*100/I522,0)</f>
        <v>0</v>
      </c>
      <c r="L522" s="1379"/>
      <c r="M522" s="1379"/>
      <c r="N522" s="1379"/>
      <c r="O522" s="1379"/>
      <c r="P522" s="1379"/>
      <c r="Q522" s="1302"/>
      <c r="R522" s="1302"/>
      <c r="S522" s="1302"/>
      <c r="T522" s="1302"/>
      <c r="U522" s="1302"/>
      <c r="V522" s="1302"/>
      <c r="W522" s="1302"/>
      <c r="X522" s="1302"/>
      <c r="Y522" s="1302"/>
      <c r="Z522" s="1302"/>
    </row>
    <row r="523" spans="1:26" ht="19.5" hidden="1">
      <c r="A523" s="1317"/>
      <c r="B523" s="1301"/>
      <c r="C523" s="1301" t="s">
        <v>16</v>
      </c>
      <c r="D523" s="1318" t="s">
        <v>17</v>
      </c>
      <c r="E523" s="841"/>
      <c r="F523" s="841"/>
      <c r="G523" s="1016"/>
      <c r="H523" s="597" t="s">
        <v>12</v>
      </c>
      <c r="I523" s="880"/>
      <c r="J523" s="880"/>
      <c r="K523" s="881"/>
      <c r="L523" s="1020">
        <f t="shared" ref="L523:N523" ca="1" si="226">L524+L525</f>
        <v>0</v>
      </c>
      <c r="M523" s="1020">
        <f t="shared" si="226"/>
        <v>0</v>
      </c>
      <c r="N523" s="1020">
        <f t="shared" si="226"/>
        <v>0</v>
      </c>
      <c r="O523" s="1020">
        <f t="shared" ref="O523:O528" ca="1" si="227">IF(L523&gt;0,N523*100/L523,0)</f>
        <v>0</v>
      </c>
      <c r="P523" s="1020">
        <f t="shared" ref="P523:P528" si="228">IF(M523&gt;0,N523*100/M523,0)</f>
        <v>0</v>
      </c>
      <c r="Q523" s="1302"/>
      <c r="R523" s="1302"/>
      <c r="S523" s="1302"/>
      <c r="T523" s="1302"/>
      <c r="U523" s="1302"/>
      <c r="V523" s="1302"/>
      <c r="W523" s="1302"/>
      <c r="X523" s="1302"/>
      <c r="Y523" s="1302"/>
      <c r="Z523" s="1302"/>
    </row>
    <row r="524" spans="1:26" ht="18.75" hidden="1">
      <c r="A524" s="1319"/>
      <c r="B524" s="1320"/>
      <c r="C524" s="1320"/>
      <c r="D524" s="1321"/>
      <c r="E524" s="1320" t="s">
        <v>185</v>
      </c>
      <c r="F524" s="1320"/>
      <c r="G524" s="1322"/>
      <c r="H524" s="165" t="s">
        <v>12</v>
      </c>
      <c r="I524" s="886"/>
      <c r="J524" s="886"/>
      <c r="K524" s="887"/>
      <c r="L524" s="887">
        <f t="shared" ref="L524:N525" si="229">L527+L534</f>
        <v>0</v>
      </c>
      <c r="M524" s="887">
        <f t="shared" si="229"/>
        <v>0</v>
      </c>
      <c r="N524" s="887">
        <f t="shared" si="229"/>
        <v>0</v>
      </c>
      <c r="O524" s="887">
        <f t="shared" si="227"/>
        <v>0</v>
      </c>
      <c r="P524" s="887">
        <f t="shared" si="228"/>
        <v>0</v>
      </c>
      <c r="Q524" s="1323"/>
      <c r="R524" s="1323"/>
      <c r="S524" s="1323"/>
      <c r="T524" s="1323"/>
      <c r="U524" s="1323"/>
      <c r="V524" s="1323"/>
      <c r="W524" s="1323"/>
      <c r="X524" s="1323"/>
      <c r="Y524" s="1323"/>
      <c r="Z524" s="1323"/>
    </row>
    <row r="525" spans="1:26" ht="18.75" hidden="1">
      <c r="A525" s="1319"/>
      <c r="B525" s="1324"/>
      <c r="C525" s="1320"/>
      <c r="D525" s="1321"/>
      <c r="E525" s="1320" t="s">
        <v>186</v>
      </c>
      <c r="F525" s="1320"/>
      <c r="G525" s="1322"/>
      <c r="H525" s="165" t="s">
        <v>12</v>
      </c>
      <c r="I525" s="886"/>
      <c r="J525" s="886"/>
      <c r="K525" s="887"/>
      <c r="L525" s="887">
        <f t="shared" ca="1" si="229"/>
        <v>0</v>
      </c>
      <c r="M525" s="887">
        <f t="shared" si="229"/>
        <v>0</v>
      </c>
      <c r="N525" s="887">
        <f t="shared" si="229"/>
        <v>0</v>
      </c>
      <c r="O525" s="887">
        <f t="shared" ca="1" si="227"/>
        <v>0</v>
      </c>
      <c r="P525" s="887">
        <f t="shared" si="228"/>
        <v>0</v>
      </c>
      <c r="Q525" s="1323"/>
      <c r="R525" s="1323"/>
      <c r="S525" s="1323"/>
      <c r="T525" s="1323"/>
      <c r="U525" s="1323"/>
      <c r="V525" s="1323"/>
      <c r="W525" s="1323"/>
      <c r="X525" s="1323"/>
      <c r="Y525" s="1323"/>
      <c r="Z525" s="1323"/>
    </row>
    <row r="526" spans="1:26" ht="18.75" hidden="1">
      <c r="A526" s="1317"/>
      <c r="B526" s="1300"/>
      <c r="C526" s="1301"/>
      <c r="D526" s="1325" t="s">
        <v>20</v>
      </c>
      <c r="E526" s="1301"/>
      <c r="F526" s="1301"/>
      <c r="G526" s="1016"/>
      <c r="H526" s="161" t="s">
        <v>12</v>
      </c>
      <c r="I526" s="997"/>
      <c r="J526" s="997"/>
      <c r="K526" s="998"/>
      <c r="L526" s="881">
        <f t="shared" ref="L526:N526" ca="1" si="230">L527+L528</f>
        <v>0</v>
      </c>
      <c r="M526" s="881">
        <f t="shared" si="230"/>
        <v>0</v>
      </c>
      <c r="N526" s="881">
        <f t="shared" si="230"/>
        <v>0</v>
      </c>
      <c r="O526" s="881">
        <f t="shared" ca="1" si="227"/>
        <v>0</v>
      </c>
      <c r="P526" s="881">
        <f t="shared" si="228"/>
        <v>0</v>
      </c>
      <c r="Q526" s="1302"/>
      <c r="R526" s="1302"/>
      <c r="S526" s="1302"/>
      <c r="T526" s="1302"/>
      <c r="U526" s="1302"/>
      <c r="V526" s="1302"/>
      <c r="W526" s="1302"/>
      <c r="X526" s="1302"/>
      <c r="Y526" s="1302"/>
      <c r="Z526" s="1302"/>
    </row>
    <row r="527" spans="1:26" ht="18.75" hidden="1">
      <c r="A527" s="1319"/>
      <c r="B527" s="1324"/>
      <c r="C527" s="1320"/>
      <c r="D527" s="1321"/>
      <c r="E527" s="1320" t="s">
        <v>185</v>
      </c>
      <c r="F527" s="1320"/>
      <c r="G527" s="1322"/>
      <c r="H527" s="165" t="s">
        <v>12</v>
      </c>
      <c r="I527" s="886"/>
      <c r="J527" s="886"/>
      <c r="K527" s="887"/>
      <c r="L527" s="887">
        <v>0</v>
      </c>
      <c r="M527" s="887">
        <v>0</v>
      </c>
      <c r="N527" s="887">
        <v>0</v>
      </c>
      <c r="O527" s="887">
        <f t="shared" si="227"/>
        <v>0</v>
      </c>
      <c r="P527" s="887">
        <f t="shared" si="228"/>
        <v>0</v>
      </c>
      <c r="Q527" s="1323"/>
      <c r="R527" s="1323"/>
      <c r="S527" s="1323"/>
      <c r="T527" s="1323"/>
      <c r="U527" s="1323"/>
      <c r="V527" s="1323"/>
      <c r="W527" s="1323"/>
      <c r="X527" s="1323"/>
      <c r="Y527" s="1323"/>
      <c r="Z527" s="1323"/>
    </row>
    <row r="528" spans="1:26" ht="18.75" hidden="1">
      <c r="A528" s="1319"/>
      <c r="B528" s="1324"/>
      <c r="C528" s="1320"/>
      <c r="D528" s="1321"/>
      <c r="E528" s="1320" t="s">
        <v>186</v>
      </c>
      <c r="F528" s="1320"/>
      <c r="G528" s="1322"/>
      <c r="H528" s="165" t="s">
        <v>12</v>
      </c>
      <c r="I528" s="886"/>
      <c r="J528" s="886"/>
      <c r="K528" s="887"/>
      <c r="L528" s="887">
        <f ca="1">IFERROR(__xludf.DUMMYFUNCTION("IMPORTRANGE(""https://docs.google.com/spreadsheets/d/1QqKyyYR6Q21VydFLVH3TRQUabQu_ym0Zz7PgGX0-kHA/edit?usp=sharing"",""แผน!GQ82"")"),0)</f>
        <v>0</v>
      </c>
      <c r="M528" s="887">
        <v>0</v>
      </c>
      <c r="N528" s="887">
        <f>N529+N530+N531+N532</f>
        <v>0</v>
      </c>
      <c r="O528" s="887">
        <f t="shared" ca="1" si="227"/>
        <v>0</v>
      </c>
      <c r="P528" s="887">
        <f t="shared" si="228"/>
        <v>0</v>
      </c>
      <c r="Q528" s="1323"/>
      <c r="R528" s="1323"/>
      <c r="S528" s="1323"/>
      <c r="T528" s="1323"/>
      <c r="U528" s="1323"/>
      <c r="V528" s="1323"/>
      <c r="W528" s="1323"/>
      <c r="X528" s="1323"/>
      <c r="Y528" s="1323"/>
      <c r="Z528" s="1323"/>
    </row>
    <row r="529" spans="1:26" ht="18.75" hidden="1">
      <c r="A529" s="1299"/>
      <c r="B529" s="1300"/>
      <c r="C529" s="1301"/>
      <c r="D529" s="1301"/>
      <c r="E529" s="1301"/>
      <c r="F529" s="1301" t="s">
        <v>187</v>
      </c>
      <c r="G529" s="1016"/>
      <c r="H529" s="161" t="s">
        <v>12</v>
      </c>
      <c r="I529" s="880"/>
      <c r="J529" s="880"/>
      <c r="K529" s="881"/>
      <c r="L529" s="881"/>
      <c r="M529" s="881"/>
      <c r="N529" s="1085">
        <v>0</v>
      </c>
      <c r="O529" s="881"/>
      <c r="P529" s="881"/>
      <c r="Q529" s="1302"/>
      <c r="R529" s="1302"/>
      <c r="S529" s="1302"/>
      <c r="T529" s="1302"/>
      <c r="U529" s="1302"/>
      <c r="V529" s="1302"/>
      <c r="W529" s="1302"/>
      <c r="X529" s="1302"/>
      <c r="Y529" s="1302"/>
      <c r="Z529" s="1302"/>
    </row>
    <row r="530" spans="1:26" ht="18.75" hidden="1">
      <c r="A530" s="1299"/>
      <c r="B530" s="1300"/>
      <c r="C530" s="1301"/>
      <c r="D530" s="1301"/>
      <c r="E530" s="1301"/>
      <c r="F530" s="1301" t="s">
        <v>188</v>
      </c>
      <c r="G530" s="1016"/>
      <c r="H530" s="161" t="s">
        <v>12</v>
      </c>
      <c r="I530" s="880"/>
      <c r="J530" s="880"/>
      <c r="K530" s="881"/>
      <c r="L530" s="881"/>
      <c r="M530" s="881"/>
      <c r="N530" s="1085">
        <v>0</v>
      </c>
      <c r="O530" s="881"/>
      <c r="P530" s="881"/>
      <c r="Q530" s="1302"/>
      <c r="R530" s="1302"/>
      <c r="S530" s="1302"/>
      <c r="T530" s="1302"/>
      <c r="U530" s="1302"/>
      <c r="V530" s="1302"/>
      <c r="W530" s="1302"/>
      <c r="X530" s="1302"/>
      <c r="Y530" s="1302"/>
      <c r="Z530" s="1302"/>
    </row>
    <row r="531" spans="1:26" ht="18.75" hidden="1">
      <c r="A531" s="1299"/>
      <c r="B531" s="1300"/>
      <c r="C531" s="1301"/>
      <c r="D531" s="1301"/>
      <c r="E531" s="1301"/>
      <c r="F531" s="1301" t="s">
        <v>189</v>
      </c>
      <c r="G531" s="1016"/>
      <c r="H531" s="161" t="s">
        <v>12</v>
      </c>
      <c r="I531" s="880"/>
      <c r="J531" s="880"/>
      <c r="K531" s="881"/>
      <c r="L531" s="881"/>
      <c r="M531" s="881"/>
      <c r="N531" s="1085">
        <v>0</v>
      </c>
      <c r="O531" s="881"/>
      <c r="P531" s="881"/>
      <c r="Q531" s="1302"/>
      <c r="R531" s="1302"/>
      <c r="S531" s="1302"/>
      <c r="T531" s="1302"/>
      <c r="U531" s="1302"/>
      <c r="V531" s="1302"/>
      <c r="W531" s="1302"/>
      <c r="X531" s="1302"/>
      <c r="Y531" s="1302"/>
      <c r="Z531" s="1302"/>
    </row>
    <row r="532" spans="1:26" ht="18.75" hidden="1">
      <c r="A532" s="1299"/>
      <c r="B532" s="1300"/>
      <c r="C532" s="1301"/>
      <c r="D532" s="1301"/>
      <c r="E532" s="1301"/>
      <c r="F532" s="1301" t="s">
        <v>190</v>
      </c>
      <c r="G532" s="1016"/>
      <c r="H532" s="161" t="s">
        <v>12</v>
      </c>
      <c r="I532" s="880"/>
      <c r="J532" s="880"/>
      <c r="K532" s="881"/>
      <c r="L532" s="881"/>
      <c r="M532" s="881"/>
      <c r="N532" s="1085">
        <v>0</v>
      </c>
      <c r="O532" s="881"/>
      <c r="P532" s="881"/>
      <c r="Q532" s="1302"/>
      <c r="R532" s="1302"/>
      <c r="S532" s="1302"/>
      <c r="T532" s="1302"/>
      <c r="U532" s="1302"/>
      <c r="V532" s="1302"/>
      <c r="W532" s="1302"/>
      <c r="X532" s="1302"/>
      <c r="Y532" s="1302"/>
      <c r="Z532" s="1302"/>
    </row>
    <row r="533" spans="1:26" ht="18.75" hidden="1">
      <c r="A533" s="1317"/>
      <c r="B533" s="1300"/>
      <c r="C533" s="1301"/>
      <c r="D533" s="1325" t="s">
        <v>21</v>
      </c>
      <c r="E533" s="1301"/>
      <c r="F533" s="1301"/>
      <c r="G533" s="1016"/>
      <c r="H533" s="168" t="s">
        <v>12</v>
      </c>
      <c r="I533" s="997"/>
      <c r="J533" s="997"/>
      <c r="K533" s="998"/>
      <c r="L533" s="881">
        <f t="shared" ref="L533:N533" ca="1" si="231">L534+L535</f>
        <v>0</v>
      </c>
      <c r="M533" s="881">
        <f t="shared" si="231"/>
        <v>0</v>
      </c>
      <c r="N533" s="881">
        <f t="shared" si="231"/>
        <v>0</v>
      </c>
      <c r="O533" s="881">
        <f t="shared" ref="O533:O535" ca="1" si="232">IF(L533&gt;0,N533*100/L533,0)</f>
        <v>0</v>
      </c>
      <c r="P533" s="881">
        <f t="shared" ref="P533:P535" si="233">IF(M533&gt;0,N533*100/M533,0)</f>
        <v>0</v>
      </c>
      <c r="Q533" s="1302"/>
      <c r="R533" s="1302"/>
      <c r="S533" s="1302"/>
      <c r="T533" s="1302"/>
      <c r="U533" s="1302"/>
      <c r="V533" s="1302"/>
      <c r="W533" s="1302"/>
      <c r="X533" s="1302"/>
      <c r="Y533" s="1302"/>
      <c r="Z533" s="1302"/>
    </row>
    <row r="534" spans="1:26" ht="18.75" hidden="1">
      <c r="A534" s="1319"/>
      <c r="B534" s="1324"/>
      <c r="C534" s="1320"/>
      <c r="D534" s="1320"/>
      <c r="E534" s="1320" t="s">
        <v>18</v>
      </c>
      <c r="F534" s="1320"/>
      <c r="G534" s="1322"/>
      <c r="H534" s="165" t="s">
        <v>12</v>
      </c>
      <c r="I534" s="1000"/>
      <c r="J534" s="1000"/>
      <c r="K534" s="1001"/>
      <c r="L534" s="887">
        <v>0</v>
      </c>
      <c r="M534" s="887">
        <v>0</v>
      </c>
      <c r="N534" s="887">
        <v>0</v>
      </c>
      <c r="O534" s="887">
        <f t="shared" si="232"/>
        <v>0</v>
      </c>
      <c r="P534" s="887">
        <f t="shared" si="233"/>
        <v>0</v>
      </c>
      <c r="Q534" s="1323"/>
      <c r="R534" s="1323"/>
      <c r="S534" s="1323"/>
      <c r="T534" s="1323"/>
      <c r="U534" s="1323"/>
      <c r="V534" s="1323"/>
      <c r="W534" s="1323"/>
      <c r="X534" s="1323"/>
      <c r="Y534" s="1323"/>
      <c r="Z534" s="1323"/>
    </row>
    <row r="535" spans="1:26" ht="18.75" hidden="1">
      <c r="A535" s="1319"/>
      <c r="B535" s="1324"/>
      <c r="C535" s="1320"/>
      <c r="D535" s="1320"/>
      <c r="E535" s="1320" t="s">
        <v>19</v>
      </c>
      <c r="F535" s="1320"/>
      <c r="G535" s="1322"/>
      <c r="H535" s="169" t="s">
        <v>12</v>
      </c>
      <c r="I535" s="1000"/>
      <c r="J535" s="1000"/>
      <c r="K535" s="1001"/>
      <c r="L535" s="887">
        <f ca="1">IFERROR(__xludf.DUMMYFUNCTION("IMPORTRANGE(""https://docs.google.com/spreadsheets/d/1QqKyyYR6Q21VydFLVH3TRQUabQu_ym0Zz7PgGX0-kHA/edit?usp=sharing"",""แผน!GT82"")"),0)</f>
        <v>0</v>
      </c>
      <c r="M535" s="887">
        <v>0</v>
      </c>
      <c r="N535" s="887">
        <v>0</v>
      </c>
      <c r="O535" s="887">
        <f t="shared" ca="1" si="232"/>
        <v>0</v>
      </c>
      <c r="P535" s="887">
        <f t="shared" si="233"/>
        <v>0</v>
      </c>
      <c r="Q535" s="1323"/>
      <c r="R535" s="1323"/>
      <c r="S535" s="1323"/>
      <c r="T535" s="1323"/>
      <c r="U535" s="1323"/>
      <c r="V535" s="1323"/>
      <c r="W535" s="1323"/>
      <c r="X535" s="1323"/>
      <c r="Y535" s="1323"/>
      <c r="Z535" s="1323"/>
    </row>
    <row r="536" spans="1:26" ht="19.5" hidden="1">
      <c r="A536" s="1326"/>
      <c r="B536" s="1327"/>
      <c r="C536" s="1301" t="s">
        <v>16</v>
      </c>
      <c r="D536" s="1380" t="s">
        <v>38</v>
      </c>
      <c r="E536" s="1330"/>
      <c r="F536" s="1330"/>
      <c r="G536" s="1331"/>
      <c r="H536" s="1007"/>
      <c r="I536" s="997"/>
      <c r="J536" s="997"/>
      <c r="K536" s="998"/>
      <c r="L536" s="998"/>
      <c r="M536" s="998"/>
      <c r="N536" s="998"/>
      <c r="O536" s="998"/>
      <c r="P536" s="998"/>
      <c r="Q536" s="1302"/>
      <c r="R536" s="1302"/>
      <c r="S536" s="1302"/>
      <c r="T536" s="1302"/>
      <c r="U536" s="1302"/>
      <c r="V536" s="1302"/>
      <c r="W536" s="1302"/>
      <c r="X536" s="1302"/>
      <c r="Y536" s="1302"/>
      <c r="Z536" s="1302"/>
    </row>
    <row r="537" spans="1:26" ht="19.5" hidden="1">
      <c r="A537" s="1299"/>
      <c r="B537" s="1300"/>
      <c r="C537" s="1301"/>
      <c r="D537" s="1301" t="s">
        <v>228</v>
      </c>
      <c r="E537" s="1301"/>
      <c r="F537" s="1301"/>
      <c r="G537" s="1016"/>
      <c r="H537" s="622" t="s">
        <v>35</v>
      </c>
      <c r="I537" s="1019">
        <f ca="1">IFERROR(__xludf.DUMMYFUNCTION("IMPORTRANGE(""https://docs.google.com/spreadsheets/d/1QqKyyYR6Q21VydFLVH3TRQUabQu_ym0Zz7PgGX0-kHA/edit?usp=sharing"",""แผน!GU82"")"),0)</f>
        <v>0</v>
      </c>
      <c r="J537" s="1019">
        <f ca="1">IF(AND(J538=I538,J539=I539,J540=I540,J541=I541),I537,0)</f>
        <v>0</v>
      </c>
      <c r="K537" s="881">
        <f t="shared" ref="K537:K543" ca="1" si="234">IF(I537&gt;0,J537*100/I537,0)</f>
        <v>0</v>
      </c>
      <c r="L537" s="881"/>
      <c r="M537" s="881"/>
      <c r="N537" s="881"/>
      <c r="O537" s="881"/>
      <c r="P537" s="881"/>
      <c r="Q537" s="1381"/>
      <c r="R537" s="1381"/>
      <c r="S537" s="1381"/>
      <c r="T537" s="1381"/>
      <c r="U537" s="1381"/>
      <c r="V537" s="1381"/>
      <c r="W537" s="1381"/>
      <c r="X537" s="1381"/>
      <c r="Y537" s="1381"/>
      <c r="Z537" s="1381"/>
    </row>
    <row r="538" spans="1:26" ht="18.75" hidden="1">
      <c r="A538" s="1299"/>
      <c r="B538" s="1300"/>
      <c r="C538" s="1301"/>
      <c r="D538" s="1301"/>
      <c r="E538" s="1301" t="s">
        <v>229</v>
      </c>
      <c r="F538" s="1301"/>
      <c r="G538" s="1016"/>
      <c r="H538" s="622" t="s">
        <v>35</v>
      </c>
      <c r="I538" s="880">
        <f ca="1">IFERROR(__xludf.DUMMYFUNCTION("IMPORTRANGE(""https://docs.google.com/spreadsheets/d/1QqKyyYR6Q21VydFLVH3TRQUabQu_ym0Zz7PgGX0-kHA/edit?usp=sharing"",""แผน!GV82"")"),0)</f>
        <v>0</v>
      </c>
      <c r="J538" s="1012">
        <v>0</v>
      </c>
      <c r="K538" s="881">
        <f t="shared" ca="1" si="234"/>
        <v>0</v>
      </c>
      <c r="L538" s="881"/>
      <c r="M538" s="881"/>
      <c r="N538" s="881"/>
      <c r="O538" s="881"/>
      <c r="P538" s="881"/>
      <c r="Q538" s="1381"/>
      <c r="R538" s="1381"/>
      <c r="S538" s="1381"/>
      <c r="T538" s="1381"/>
      <c r="U538" s="1381"/>
      <c r="V538" s="1381"/>
      <c r="W538" s="1381"/>
      <c r="X538" s="1381"/>
      <c r="Y538" s="1381"/>
      <c r="Z538" s="1381"/>
    </row>
    <row r="539" spans="1:26" ht="18.75" hidden="1">
      <c r="A539" s="1299"/>
      <c r="B539" s="1300"/>
      <c r="C539" s="1301"/>
      <c r="D539" s="1301"/>
      <c r="E539" s="1301" t="s">
        <v>230</v>
      </c>
      <c r="F539" s="1301"/>
      <c r="G539" s="1016"/>
      <c r="H539" s="622" t="s">
        <v>35</v>
      </c>
      <c r="I539" s="880">
        <f ca="1">IFERROR(__xludf.DUMMYFUNCTION("IMPORTRANGE(""https://docs.google.com/spreadsheets/d/1QqKyyYR6Q21VydFLVH3TRQUabQu_ym0Zz7PgGX0-kHA/edit?usp=sharing"",""แผน!GW82"")"),0)</f>
        <v>0</v>
      </c>
      <c r="J539" s="1012">
        <v>0</v>
      </c>
      <c r="K539" s="881">
        <f t="shared" ca="1" si="234"/>
        <v>0</v>
      </c>
      <c r="L539" s="881"/>
      <c r="M539" s="881"/>
      <c r="N539" s="881"/>
      <c r="O539" s="881"/>
      <c r="P539" s="881"/>
      <c r="Q539" s="1381"/>
      <c r="R539" s="1381"/>
      <c r="S539" s="1381"/>
      <c r="T539" s="1381"/>
      <c r="U539" s="1381"/>
      <c r="V539" s="1381"/>
      <c r="W539" s="1381"/>
      <c r="X539" s="1381"/>
      <c r="Y539" s="1381"/>
      <c r="Z539" s="1381"/>
    </row>
    <row r="540" spans="1:26" ht="18.75" hidden="1">
      <c r="A540" s="1299"/>
      <c r="B540" s="1300"/>
      <c r="C540" s="1301"/>
      <c r="D540" s="1301"/>
      <c r="E540" s="1301" t="s">
        <v>231</v>
      </c>
      <c r="F540" s="1301"/>
      <c r="G540" s="1016"/>
      <c r="H540" s="622" t="s">
        <v>35</v>
      </c>
      <c r="I540" s="880">
        <f ca="1">IFERROR(__xludf.DUMMYFUNCTION("IMPORTRANGE(""https://docs.google.com/spreadsheets/d/1QqKyyYR6Q21VydFLVH3TRQUabQu_ym0Zz7PgGX0-kHA/edit?usp=sharing"",""แผน!GX82"")"),0)</f>
        <v>0</v>
      </c>
      <c r="J540" s="1012">
        <v>0</v>
      </c>
      <c r="K540" s="881">
        <f t="shared" ca="1" si="234"/>
        <v>0</v>
      </c>
      <c r="L540" s="881"/>
      <c r="M540" s="881"/>
      <c r="N540" s="881"/>
      <c r="O540" s="881"/>
      <c r="P540" s="881"/>
      <c r="Q540" s="1381"/>
      <c r="R540" s="1381"/>
      <c r="S540" s="1381"/>
      <c r="T540" s="1381"/>
      <c r="U540" s="1381"/>
      <c r="V540" s="1381"/>
      <c r="W540" s="1381"/>
      <c r="X540" s="1381"/>
      <c r="Y540" s="1381"/>
      <c r="Z540" s="1381"/>
    </row>
    <row r="541" spans="1:26" ht="18.75" hidden="1">
      <c r="A541" s="1299"/>
      <c r="B541" s="1300"/>
      <c r="C541" s="1301"/>
      <c r="D541" s="1301"/>
      <c r="E541" s="1382" t="s">
        <v>232</v>
      </c>
      <c r="F541" s="1301"/>
      <c r="G541" s="1016"/>
      <c r="H541" s="622" t="s">
        <v>35</v>
      </c>
      <c r="I541" s="880">
        <f ca="1">IFERROR(__xludf.DUMMYFUNCTION("IMPORTRANGE(""https://docs.google.com/spreadsheets/d/1QqKyyYR6Q21VydFLVH3TRQUabQu_ym0Zz7PgGX0-kHA/edit?usp=sharing"",""แผน!GY82"")"),0)</f>
        <v>0</v>
      </c>
      <c r="J541" s="1012">
        <v>0</v>
      </c>
      <c r="K541" s="881">
        <f t="shared" ca="1" si="234"/>
        <v>0</v>
      </c>
      <c r="L541" s="881"/>
      <c r="M541" s="881"/>
      <c r="N541" s="881"/>
      <c r="O541" s="881"/>
      <c r="P541" s="881"/>
      <c r="Q541" s="1381"/>
      <c r="R541" s="1381"/>
      <c r="S541" s="1381"/>
      <c r="T541" s="1381"/>
      <c r="U541" s="1381"/>
      <c r="V541" s="1381"/>
      <c r="W541" s="1381"/>
      <c r="X541" s="1381"/>
      <c r="Y541" s="1381"/>
      <c r="Z541" s="1381"/>
    </row>
    <row r="542" spans="1:26" ht="18.75" hidden="1">
      <c r="A542" s="1299"/>
      <c r="B542" s="1300"/>
      <c r="C542" s="1301"/>
      <c r="D542" s="1301" t="s">
        <v>59</v>
      </c>
      <c r="E542" s="1301"/>
      <c r="F542" s="1301"/>
      <c r="G542" s="1016"/>
      <c r="H542" s="622" t="s">
        <v>35</v>
      </c>
      <c r="I542" s="880">
        <f ca="1">IFERROR(__xludf.DUMMYFUNCTION("IMPORTRANGE(""https://docs.google.com/spreadsheets/d/1QqKyyYR6Q21VydFLVH3TRQUabQu_ym0Zz7PgGX0-kHA/edit?usp=sharing"",""แผน!GZ82"")"),0)</f>
        <v>0</v>
      </c>
      <c r="J542" s="1012">
        <v>0</v>
      </c>
      <c r="K542" s="881">
        <f t="shared" ca="1" si="234"/>
        <v>0</v>
      </c>
      <c r="L542" s="881"/>
      <c r="M542" s="881"/>
      <c r="N542" s="881"/>
      <c r="O542" s="881"/>
      <c r="P542" s="881"/>
      <c r="Q542" s="1381"/>
      <c r="R542" s="1381"/>
      <c r="S542" s="1381"/>
      <c r="T542" s="1381"/>
      <c r="U542" s="1381"/>
      <c r="V542" s="1381"/>
      <c r="W542" s="1381"/>
      <c r="X542" s="1381"/>
      <c r="Y542" s="1381"/>
      <c r="Z542" s="1381"/>
    </row>
    <row r="543" spans="1:26" ht="19.5">
      <c r="A543" s="662">
        <v>6</v>
      </c>
      <c r="B543" s="1383" t="s">
        <v>233</v>
      </c>
      <c r="C543" s="1369"/>
      <c r="D543" s="1369"/>
      <c r="E543" s="1369"/>
      <c r="F543" s="1369"/>
      <c r="G543" s="1370"/>
      <c r="H543" s="684" t="s">
        <v>46</v>
      </c>
      <c r="I543" s="1384">
        <f t="shared" ref="I543:J543" ca="1" si="235">I559</f>
        <v>36514</v>
      </c>
      <c r="J543" s="1384">
        <f t="shared" si="235"/>
        <v>15266.715</v>
      </c>
      <c r="K543" s="1385">
        <f t="shared" ca="1" si="234"/>
        <v>41.810579503751988</v>
      </c>
      <c r="L543" s="1372"/>
      <c r="M543" s="1372"/>
      <c r="N543" s="1372"/>
      <c r="O543" s="1372"/>
      <c r="P543" s="1372"/>
      <c r="Q543" s="1302"/>
      <c r="R543" s="1302"/>
      <c r="S543" s="1302"/>
      <c r="T543" s="1302"/>
      <c r="U543" s="1302"/>
      <c r="V543" s="1302"/>
      <c r="W543" s="1302"/>
      <c r="X543" s="1302"/>
      <c r="Y543" s="1302"/>
      <c r="Z543" s="1302"/>
    </row>
    <row r="544" spans="1:26" ht="19.5">
      <c r="A544" s="1386"/>
      <c r="B544" s="1387"/>
      <c r="C544" s="1387" t="s">
        <v>16</v>
      </c>
      <c r="D544" s="1388" t="s">
        <v>17</v>
      </c>
      <c r="E544" s="846"/>
      <c r="F544" s="846"/>
      <c r="G544" s="1389"/>
      <c r="H544" s="275" t="s">
        <v>12</v>
      </c>
      <c r="I544" s="990"/>
      <c r="J544" s="990"/>
      <c r="K544" s="991"/>
      <c r="L544" s="992">
        <f t="shared" ref="L544:N544" ca="1" si="236">L545+L546</f>
        <v>537675</v>
      </c>
      <c r="M544" s="992">
        <f t="shared" ca="1" si="236"/>
        <v>537675</v>
      </c>
      <c r="N544" s="992">
        <f t="shared" si="236"/>
        <v>98800.22</v>
      </c>
      <c r="O544" s="992">
        <f t="shared" ref="O544:O549" ca="1" si="237">IF(L544&gt;0,N544*100/L544,0)</f>
        <v>18.375453573255218</v>
      </c>
      <c r="P544" s="992">
        <f t="shared" ref="P544:P549" ca="1" si="238">IF(M544&gt;0,N544*100/M544,0)</f>
        <v>18.375453573255218</v>
      </c>
      <c r="Q544" s="1302"/>
      <c r="R544" s="1302"/>
      <c r="S544" s="1302"/>
      <c r="T544" s="1302"/>
      <c r="U544" s="1302"/>
      <c r="V544" s="1302"/>
      <c r="W544" s="1302"/>
      <c r="X544" s="1302"/>
      <c r="Y544" s="1302"/>
      <c r="Z544" s="1302"/>
    </row>
    <row r="545" spans="1:26" ht="18.75" hidden="1">
      <c r="A545" s="1319"/>
      <c r="B545" s="1320"/>
      <c r="C545" s="1320"/>
      <c r="D545" s="1320"/>
      <c r="E545" s="1320" t="s">
        <v>185</v>
      </c>
      <c r="F545" s="1320"/>
      <c r="G545" s="1322"/>
      <c r="H545" s="165" t="s">
        <v>12</v>
      </c>
      <c r="I545" s="886"/>
      <c r="J545" s="886"/>
      <c r="K545" s="887"/>
      <c r="L545" s="887">
        <f t="shared" ref="L545:L546" si="239">L548+L556</f>
        <v>0</v>
      </c>
      <c r="M545" s="887">
        <f t="shared" ref="M545:N546" si="240">M548+M555</f>
        <v>0</v>
      </c>
      <c r="N545" s="887">
        <f t="shared" si="240"/>
        <v>0</v>
      </c>
      <c r="O545" s="887">
        <f t="shared" si="237"/>
        <v>0</v>
      </c>
      <c r="P545" s="887">
        <f t="shared" si="238"/>
        <v>0</v>
      </c>
      <c r="Q545" s="1323"/>
      <c r="R545" s="1323"/>
      <c r="S545" s="1323"/>
      <c r="T545" s="1323"/>
      <c r="U545" s="1323"/>
      <c r="V545" s="1323"/>
      <c r="W545" s="1323"/>
      <c r="X545" s="1323"/>
      <c r="Y545" s="1323"/>
      <c r="Z545" s="1323"/>
    </row>
    <row r="546" spans="1:26" ht="18.75" hidden="1">
      <c r="A546" s="1319"/>
      <c r="B546" s="1324"/>
      <c r="C546" s="1320"/>
      <c r="D546" s="1320"/>
      <c r="E546" s="1320" t="s">
        <v>186</v>
      </c>
      <c r="F546" s="1320"/>
      <c r="G546" s="1322"/>
      <c r="H546" s="165" t="s">
        <v>12</v>
      </c>
      <c r="I546" s="886"/>
      <c r="J546" s="886"/>
      <c r="K546" s="887"/>
      <c r="L546" s="887">
        <f t="shared" ca="1" si="239"/>
        <v>537675</v>
      </c>
      <c r="M546" s="887">
        <f t="shared" ca="1" si="240"/>
        <v>537675</v>
      </c>
      <c r="N546" s="887">
        <f t="shared" si="240"/>
        <v>98800.22</v>
      </c>
      <c r="O546" s="887">
        <f t="shared" ca="1" si="237"/>
        <v>18.375453573255218</v>
      </c>
      <c r="P546" s="887">
        <f t="shared" ca="1" si="238"/>
        <v>18.375453573255218</v>
      </c>
      <c r="Q546" s="1323"/>
      <c r="R546" s="1323"/>
      <c r="S546" s="1323"/>
      <c r="T546" s="1323"/>
      <c r="U546" s="1323"/>
      <c r="V546" s="1323"/>
      <c r="W546" s="1323"/>
      <c r="X546" s="1323"/>
      <c r="Y546" s="1323"/>
      <c r="Z546" s="1323"/>
    </row>
    <row r="547" spans="1:26" ht="18.75">
      <c r="A547" s="1317"/>
      <c r="B547" s="1300"/>
      <c r="C547" s="1301"/>
      <c r="D547" s="1325" t="s">
        <v>20</v>
      </c>
      <c r="E547" s="1301"/>
      <c r="F547" s="1301"/>
      <c r="G547" s="1016"/>
      <c r="H547" s="161" t="s">
        <v>12</v>
      </c>
      <c r="I547" s="997"/>
      <c r="J547" s="997"/>
      <c r="K547" s="998"/>
      <c r="L547" s="881">
        <f t="shared" ref="L547:N547" ca="1" si="241">L548+L549</f>
        <v>537675</v>
      </c>
      <c r="M547" s="881">
        <f t="shared" ca="1" si="241"/>
        <v>537675</v>
      </c>
      <c r="N547" s="881">
        <f t="shared" si="241"/>
        <v>98800.22</v>
      </c>
      <c r="O547" s="881">
        <f t="shared" ca="1" si="237"/>
        <v>18.375453573255218</v>
      </c>
      <c r="P547" s="881">
        <f t="shared" ca="1" si="238"/>
        <v>18.375453573255218</v>
      </c>
      <c r="Q547" s="1302"/>
      <c r="R547" s="1302"/>
      <c r="S547" s="1302"/>
      <c r="T547" s="1302"/>
      <c r="U547" s="1302"/>
      <c r="V547" s="1302"/>
      <c r="W547" s="1302"/>
      <c r="X547" s="1302"/>
      <c r="Y547" s="1302"/>
      <c r="Z547" s="1302"/>
    </row>
    <row r="548" spans="1:26" ht="18.75" hidden="1">
      <c r="A548" s="1319"/>
      <c r="B548" s="1324"/>
      <c r="C548" s="1320"/>
      <c r="D548" s="1321"/>
      <c r="E548" s="1320" t="s">
        <v>185</v>
      </c>
      <c r="F548" s="1320"/>
      <c r="G548" s="1322"/>
      <c r="H548" s="165" t="s">
        <v>12</v>
      </c>
      <c r="I548" s="886"/>
      <c r="J548" s="886"/>
      <c r="K548" s="887"/>
      <c r="L548" s="887">
        <v>0</v>
      </c>
      <c r="M548" s="887">
        <v>0</v>
      </c>
      <c r="N548" s="887">
        <v>0</v>
      </c>
      <c r="O548" s="887">
        <f t="shared" si="237"/>
        <v>0</v>
      </c>
      <c r="P548" s="887">
        <f t="shared" si="238"/>
        <v>0</v>
      </c>
      <c r="Q548" s="1323"/>
      <c r="R548" s="1323"/>
      <c r="S548" s="1323"/>
      <c r="T548" s="1323"/>
      <c r="U548" s="1323"/>
      <c r="V548" s="1323"/>
      <c r="W548" s="1323"/>
      <c r="X548" s="1323"/>
      <c r="Y548" s="1323"/>
      <c r="Z548" s="1323"/>
    </row>
    <row r="549" spans="1:26" ht="18.75" hidden="1">
      <c r="A549" s="1319"/>
      <c r="B549" s="1324"/>
      <c r="C549" s="1320"/>
      <c r="D549" s="1321"/>
      <c r="E549" s="1320" t="s">
        <v>186</v>
      </c>
      <c r="F549" s="1320"/>
      <c r="G549" s="1322"/>
      <c r="H549" s="165" t="s">
        <v>12</v>
      </c>
      <c r="I549" s="886"/>
      <c r="J549" s="886"/>
      <c r="K549" s="887"/>
      <c r="L549" s="887">
        <f ca="1">IFERROR(__xludf.DUMMYFUNCTION("IMPORTRANGE(""https://docs.google.com/spreadsheets/d/1QqKyyYR6Q21VydFLVH3TRQUabQu_ym0Zz7PgGX0-kHA/edit?usp=sharing"",""แผน!HB82"")"),537675)</f>
        <v>537675</v>
      </c>
      <c r="M549" s="887">
        <f ca="1">L549</f>
        <v>537675</v>
      </c>
      <c r="N549" s="887">
        <f>N550+N551+N552+N553+N554</f>
        <v>98800.22</v>
      </c>
      <c r="O549" s="887">
        <f t="shared" ca="1" si="237"/>
        <v>18.375453573255218</v>
      </c>
      <c r="P549" s="887">
        <f t="shared" ca="1" si="238"/>
        <v>18.375453573255218</v>
      </c>
      <c r="Q549" s="1323"/>
      <c r="R549" s="1323"/>
      <c r="S549" s="1323"/>
      <c r="T549" s="1323"/>
      <c r="U549" s="1323"/>
      <c r="V549" s="1323"/>
      <c r="W549" s="1323"/>
      <c r="X549" s="1323"/>
      <c r="Y549" s="1323"/>
      <c r="Z549" s="1323"/>
    </row>
    <row r="550" spans="1:26" ht="18.75">
      <c r="A550" s="1299"/>
      <c r="B550" s="1300"/>
      <c r="C550" s="1301"/>
      <c r="D550" s="1301"/>
      <c r="E550" s="1301"/>
      <c r="F550" s="1301" t="s">
        <v>187</v>
      </c>
      <c r="G550" s="1016"/>
      <c r="H550" s="161" t="s">
        <v>12</v>
      </c>
      <c r="I550" s="880"/>
      <c r="J550" s="880"/>
      <c r="K550" s="881"/>
      <c r="L550" s="881"/>
      <c r="M550" s="881"/>
      <c r="N550" s="1085">
        <v>0</v>
      </c>
      <c r="O550" s="881"/>
      <c r="P550" s="881"/>
      <c r="Q550" s="1302"/>
      <c r="R550" s="1302"/>
      <c r="S550" s="1302"/>
      <c r="T550" s="1302"/>
      <c r="U550" s="1302"/>
      <c r="V550" s="1302"/>
      <c r="W550" s="1302"/>
      <c r="X550" s="1302"/>
      <c r="Y550" s="1302"/>
      <c r="Z550" s="1302"/>
    </row>
    <row r="551" spans="1:26" ht="18.75">
      <c r="A551" s="1299"/>
      <c r="B551" s="1300"/>
      <c r="C551" s="1300"/>
      <c r="D551" s="1300"/>
      <c r="E551" s="1301"/>
      <c r="F551" s="1301" t="s">
        <v>188</v>
      </c>
      <c r="G551" s="1016"/>
      <c r="H551" s="161" t="s">
        <v>12</v>
      </c>
      <c r="I551" s="880"/>
      <c r="J551" s="880"/>
      <c r="K551" s="881"/>
      <c r="L551" s="881"/>
      <c r="M551" s="881"/>
      <c r="N551" s="1085">
        <v>0</v>
      </c>
      <c r="O551" s="881"/>
      <c r="P551" s="881"/>
      <c r="Q551" s="1302"/>
      <c r="R551" s="1302"/>
      <c r="S551" s="1302"/>
      <c r="T551" s="1302"/>
      <c r="U551" s="1302"/>
      <c r="V551" s="1302"/>
      <c r="W551" s="1302"/>
      <c r="X551" s="1302"/>
      <c r="Y551" s="1302"/>
      <c r="Z551" s="1302"/>
    </row>
    <row r="552" spans="1:26" ht="18.75">
      <c r="A552" s="1299"/>
      <c r="B552" s="1300"/>
      <c r="C552" s="1301"/>
      <c r="D552" s="1301"/>
      <c r="E552" s="1301"/>
      <c r="F552" s="1301" t="s">
        <v>189</v>
      </c>
      <c r="G552" s="1016"/>
      <c r="H552" s="161" t="s">
        <v>12</v>
      </c>
      <c r="I552" s="880"/>
      <c r="J552" s="880"/>
      <c r="K552" s="881"/>
      <c r="L552" s="881"/>
      <c r="M552" s="881"/>
      <c r="N552" s="1085">
        <v>51147.07</v>
      </c>
      <c r="O552" s="881"/>
      <c r="P552" s="881"/>
      <c r="Q552" s="1302"/>
      <c r="R552" s="1302"/>
      <c r="S552" s="1302"/>
      <c r="T552" s="1302"/>
      <c r="U552" s="1302"/>
      <c r="V552" s="1302"/>
      <c r="W552" s="1302"/>
      <c r="X552" s="1302"/>
      <c r="Y552" s="1302"/>
      <c r="Z552" s="1302"/>
    </row>
    <row r="553" spans="1:26" ht="18.75">
      <c r="A553" s="1299"/>
      <c r="B553" s="1300"/>
      <c r="C553" s="1300"/>
      <c r="D553" s="1300"/>
      <c r="E553" s="1301"/>
      <c r="F553" s="1301" t="s">
        <v>190</v>
      </c>
      <c r="G553" s="1016"/>
      <c r="H553" s="161" t="s">
        <v>12</v>
      </c>
      <c r="I553" s="880"/>
      <c r="J553" s="880"/>
      <c r="K553" s="881"/>
      <c r="L553" s="881"/>
      <c r="M553" s="881"/>
      <c r="N553" s="1085">
        <v>47653.15</v>
      </c>
      <c r="O553" s="881"/>
      <c r="P553" s="881"/>
      <c r="Q553" s="1302"/>
      <c r="R553" s="1302"/>
      <c r="S553" s="1302"/>
      <c r="T553" s="1302"/>
      <c r="U553" s="1302"/>
      <c r="V553" s="1302"/>
      <c r="W553" s="1302"/>
      <c r="X553" s="1302"/>
      <c r="Y553" s="1302"/>
      <c r="Z553" s="1302"/>
    </row>
    <row r="554" spans="1:26" ht="18.75">
      <c r="A554" s="1299"/>
      <c r="B554" s="1300"/>
      <c r="C554" s="1300"/>
      <c r="D554" s="1300"/>
      <c r="E554" s="1301"/>
      <c r="F554" s="1301" t="s">
        <v>234</v>
      </c>
      <c r="G554" s="1016"/>
      <c r="H554" s="161" t="s">
        <v>12</v>
      </c>
      <c r="I554" s="880"/>
      <c r="J554" s="880"/>
      <c r="K554" s="881"/>
      <c r="L554" s="881"/>
      <c r="M554" s="881"/>
      <c r="N554" s="1085">
        <v>0</v>
      </c>
      <c r="O554" s="881"/>
      <c r="P554" s="881"/>
      <c r="Q554" s="1302"/>
      <c r="R554" s="1302"/>
      <c r="S554" s="1302"/>
      <c r="T554" s="1302"/>
      <c r="U554" s="1302"/>
      <c r="V554" s="1302"/>
      <c r="W554" s="1302"/>
      <c r="X554" s="1302"/>
      <c r="Y554" s="1302"/>
      <c r="Z554" s="1302"/>
    </row>
    <row r="555" spans="1:26" ht="18.75">
      <c r="A555" s="1317"/>
      <c r="B555" s="1300"/>
      <c r="C555" s="1300"/>
      <c r="D555" s="1325" t="s">
        <v>21</v>
      </c>
      <c r="E555" s="1301"/>
      <c r="F555" s="1301"/>
      <c r="G555" s="1016"/>
      <c r="H555" s="168" t="s">
        <v>12</v>
      </c>
      <c r="I555" s="997"/>
      <c r="J555" s="997"/>
      <c r="K555" s="998"/>
      <c r="L555" s="881">
        <f t="shared" ref="L555:N555" ca="1" si="242">L556+L557</f>
        <v>0</v>
      </c>
      <c r="M555" s="881">
        <f t="shared" si="242"/>
        <v>0</v>
      </c>
      <c r="N555" s="881">
        <f t="shared" si="242"/>
        <v>0</v>
      </c>
      <c r="O555" s="881">
        <f t="shared" ref="O555:O557" ca="1" si="243">IF(L555&gt;0,N555*100/L555,0)</f>
        <v>0</v>
      </c>
      <c r="P555" s="881">
        <f t="shared" ref="P555:P557" si="244">IF(M555&gt;0,N555*100/M555,0)</f>
        <v>0</v>
      </c>
      <c r="Q555" s="1302"/>
      <c r="R555" s="1302"/>
      <c r="S555" s="1302"/>
      <c r="T555" s="1302"/>
      <c r="U555" s="1302"/>
      <c r="V555" s="1302"/>
      <c r="W555" s="1302"/>
      <c r="X555" s="1302"/>
      <c r="Y555" s="1302"/>
      <c r="Z555" s="1302"/>
    </row>
    <row r="556" spans="1:26" ht="18.75" hidden="1">
      <c r="A556" s="1319"/>
      <c r="B556" s="1324"/>
      <c r="C556" s="1324"/>
      <c r="D556" s="1320"/>
      <c r="E556" s="1320" t="s">
        <v>18</v>
      </c>
      <c r="F556" s="1320"/>
      <c r="G556" s="1322"/>
      <c r="H556" s="165" t="s">
        <v>12</v>
      </c>
      <c r="I556" s="1000"/>
      <c r="J556" s="1000"/>
      <c r="K556" s="1001"/>
      <c r="L556" s="887">
        <v>0</v>
      </c>
      <c r="M556" s="887">
        <v>0</v>
      </c>
      <c r="N556" s="887">
        <v>0</v>
      </c>
      <c r="O556" s="887">
        <f t="shared" si="243"/>
        <v>0</v>
      </c>
      <c r="P556" s="887">
        <f t="shared" si="244"/>
        <v>0</v>
      </c>
      <c r="Q556" s="1323"/>
      <c r="R556" s="1323"/>
      <c r="S556" s="1323"/>
      <c r="T556" s="1323"/>
      <c r="U556" s="1323"/>
      <c r="V556" s="1323"/>
      <c r="W556" s="1323"/>
      <c r="X556" s="1323"/>
      <c r="Y556" s="1323"/>
      <c r="Z556" s="1323"/>
    </row>
    <row r="557" spans="1:26" ht="18.75" hidden="1">
      <c r="A557" s="1319"/>
      <c r="B557" s="1324"/>
      <c r="C557" s="1324"/>
      <c r="D557" s="1320"/>
      <c r="E557" s="1320" t="s">
        <v>19</v>
      </c>
      <c r="F557" s="1320"/>
      <c r="G557" s="1322"/>
      <c r="H557" s="169" t="s">
        <v>12</v>
      </c>
      <c r="I557" s="1000"/>
      <c r="J557" s="1000"/>
      <c r="K557" s="1001"/>
      <c r="L557" s="887">
        <f ca="1">IFERROR(__xludf.DUMMYFUNCTION("IMPORTRANGE(""https://docs.google.com/spreadsheets/d/1QqKyyYR6Q21VydFLVH3TRQUabQu_ym0Zz7PgGX0-kHA/edit?usp=sharing"",""แผน!HF82"")"),0)</f>
        <v>0</v>
      </c>
      <c r="M557" s="887">
        <v>0</v>
      </c>
      <c r="N557" s="887">
        <v>0</v>
      </c>
      <c r="O557" s="887">
        <f t="shared" ca="1" si="243"/>
        <v>0</v>
      </c>
      <c r="P557" s="887">
        <f t="shared" si="244"/>
        <v>0</v>
      </c>
      <c r="Q557" s="1323"/>
      <c r="R557" s="1323"/>
      <c r="S557" s="1323"/>
      <c r="T557" s="1323"/>
      <c r="U557" s="1323"/>
      <c r="V557" s="1323"/>
      <c r="W557" s="1323"/>
      <c r="X557" s="1323"/>
      <c r="Y557" s="1323"/>
      <c r="Z557" s="1323"/>
    </row>
    <row r="558" spans="1:26" ht="19.5">
      <c r="A558" s="1326"/>
      <c r="B558" s="1327"/>
      <c r="C558" s="1300" t="s">
        <v>16</v>
      </c>
      <c r="D558" s="1380" t="s">
        <v>38</v>
      </c>
      <c r="E558" s="1330"/>
      <c r="F558" s="1330"/>
      <c r="G558" s="1331"/>
      <c r="H558" s="1007"/>
      <c r="I558" s="997"/>
      <c r="J558" s="997"/>
      <c r="K558" s="998"/>
      <c r="L558" s="998"/>
      <c r="M558" s="998"/>
      <c r="N558" s="998"/>
      <c r="O558" s="998"/>
      <c r="P558" s="998"/>
      <c r="Q558" s="1302"/>
      <c r="R558" s="1302"/>
      <c r="S558" s="1302"/>
      <c r="T558" s="1302"/>
      <c r="U558" s="1302"/>
      <c r="V558" s="1302"/>
      <c r="W558" s="1302"/>
      <c r="X558" s="1302"/>
      <c r="Y558" s="1302"/>
      <c r="Z558" s="1302"/>
    </row>
    <row r="559" spans="1:26" ht="19.5">
      <c r="A559" s="1390"/>
      <c r="B559" s="1391" t="s">
        <v>235</v>
      </c>
      <c r="C559" s="1392"/>
      <c r="D559" s="1392"/>
      <c r="E559" s="1375"/>
      <c r="F559" s="1375"/>
      <c r="G559" s="1376"/>
      <c r="H559" s="693" t="s">
        <v>46</v>
      </c>
      <c r="I559" s="1377">
        <f t="shared" ref="I559:J559" ca="1" si="245">I576</f>
        <v>36514</v>
      </c>
      <c r="J559" s="1377">
        <f t="shared" si="245"/>
        <v>15266.715</v>
      </c>
      <c r="K559" s="1378">
        <f t="shared" ref="K559:K561" ca="1" si="246">IF(I559&gt;0,J559*100/I559,0)</f>
        <v>41.810579503751988</v>
      </c>
      <c r="L559" s="1379"/>
      <c r="M559" s="1379"/>
      <c r="N559" s="1379"/>
      <c r="O559" s="1379"/>
      <c r="P559" s="1379"/>
      <c r="Q559" s="1302"/>
      <c r="R559" s="1302"/>
      <c r="S559" s="1302"/>
      <c r="T559" s="1302"/>
      <c r="U559" s="1302"/>
      <c r="V559" s="1302"/>
      <c r="W559" s="1302"/>
      <c r="X559" s="1302"/>
      <c r="Y559" s="1302"/>
      <c r="Z559" s="1302"/>
    </row>
    <row r="560" spans="1:26" ht="19.5">
      <c r="A560" s="1326"/>
      <c r="B560" s="1327"/>
      <c r="C560" s="1336" t="s">
        <v>236</v>
      </c>
      <c r="D560" s="1327"/>
      <c r="E560" s="1014"/>
      <c r="F560" s="1014"/>
      <c r="G560" s="1007"/>
      <c r="H560" s="765" t="s">
        <v>46</v>
      </c>
      <c r="I560" s="1018">
        <f ca="1">IFERROR(__xludf.DUMMYFUNCTION("IMPORTRANGE(""https://docs.google.com/spreadsheets/d/1QqKyyYR6Q21VydFLVH3TRQUabQu_ym0Zz7PgGX0-kHA/edit?usp=sharing"",""แผน!HH82"")"),36514)</f>
        <v>36514</v>
      </c>
      <c r="J560" s="1018">
        <f t="shared" ref="J560:J561" si="247">J562+J564+J566</f>
        <v>36514.232499999998</v>
      </c>
      <c r="K560" s="1162">
        <f t="shared" ca="1" si="246"/>
        <v>100.00063674207153</v>
      </c>
      <c r="L560" s="998"/>
      <c r="M560" s="998"/>
      <c r="N560" s="998"/>
      <c r="O560" s="998"/>
      <c r="P560" s="998"/>
      <c r="Q560" s="1302"/>
      <c r="R560" s="1302"/>
      <c r="S560" s="1302"/>
      <c r="T560" s="1302"/>
      <c r="U560" s="1302"/>
      <c r="V560" s="1302"/>
      <c r="W560" s="1302"/>
      <c r="X560" s="1302"/>
      <c r="Y560" s="1302"/>
      <c r="Z560" s="1302"/>
    </row>
    <row r="561" spans="1:26" ht="19.5">
      <c r="A561" s="1326"/>
      <c r="B561" s="1327"/>
      <c r="C561" s="1327"/>
      <c r="D561" s="1014"/>
      <c r="E561" s="1014"/>
      <c r="F561" s="1014"/>
      <c r="G561" s="1007"/>
      <c r="H561" s="765" t="s">
        <v>34</v>
      </c>
      <c r="I561" s="1018">
        <f ca="1">IFERROR(__xludf.DUMMYFUNCTION("IMPORTRANGE(""https://docs.google.com/spreadsheets/d/1QqKyyYR6Q21VydFLVH3TRQUabQu_ym0Zz7PgGX0-kHA/edit?usp=sharing"",""แผน!HG82"")"),7422)</f>
        <v>7422</v>
      </c>
      <c r="J561" s="1018">
        <f t="shared" si="247"/>
        <v>7422</v>
      </c>
      <c r="K561" s="1162">
        <f t="shared" ca="1" si="246"/>
        <v>100</v>
      </c>
      <c r="L561" s="998"/>
      <c r="M561" s="998"/>
      <c r="N561" s="998"/>
      <c r="O561" s="998"/>
      <c r="P561" s="998"/>
      <c r="Q561" s="1302"/>
      <c r="R561" s="1302"/>
      <c r="S561" s="1302"/>
      <c r="T561" s="1302"/>
      <c r="U561" s="1302"/>
      <c r="V561" s="1302"/>
      <c r="W561" s="1302"/>
      <c r="X561" s="1302"/>
      <c r="Y561" s="1302"/>
      <c r="Z561" s="1302"/>
    </row>
    <row r="562" spans="1:26" ht="18.75">
      <c r="A562" s="1326"/>
      <c r="B562" s="1327"/>
      <c r="C562" s="1327"/>
      <c r="D562" s="1014" t="s">
        <v>237</v>
      </c>
      <c r="E562" s="1014"/>
      <c r="F562" s="1014"/>
      <c r="G562" s="1007"/>
      <c r="H562" s="762" t="s">
        <v>46</v>
      </c>
      <c r="I562" s="997"/>
      <c r="J562" s="1012">
        <v>31338.235000000001</v>
      </c>
      <c r="K562" s="998"/>
      <c r="L562" s="998"/>
      <c r="M562" s="998"/>
      <c r="N562" s="998"/>
      <c r="O562" s="998"/>
      <c r="P562" s="998"/>
      <c r="Q562" s="1302"/>
      <c r="R562" s="1302"/>
      <c r="S562" s="1302"/>
      <c r="T562" s="1302"/>
      <c r="U562" s="1302"/>
      <c r="V562" s="1302"/>
      <c r="W562" s="1302"/>
      <c r="X562" s="1302"/>
      <c r="Y562" s="1302"/>
      <c r="Z562" s="1302"/>
    </row>
    <row r="563" spans="1:26" ht="18.75">
      <c r="A563" s="1326"/>
      <c r="B563" s="1327"/>
      <c r="C563" s="1327"/>
      <c r="D563" s="1327"/>
      <c r="E563" s="1014"/>
      <c r="F563" s="1014"/>
      <c r="G563" s="1007"/>
      <c r="H563" s="762" t="s">
        <v>34</v>
      </c>
      <c r="I563" s="997"/>
      <c r="J563" s="1012">
        <v>6525</v>
      </c>
      <c r="K563" s="998"/>
      <c r="L563" s="998"/>
      <c r="M563" s="998"/>
      <c r="N563" s="998"/>
      <c r="O563" s="998"/>
      <c r="P563" s="998"/>
      <c r="Q563" s="1302"/>
      <c r="R563" s="1302"/>
      <c r="S563" s="1302"/>
      <c r="T563" s="1302"/>
      <c r="U563" s="1302"/>
      <c r="V563" s="1302"/>
      <c r="W563" s="1302"/>
      <c r="X563" s="1302"/>
      <c r="Y563" s="1302"/>
      <c r="Z563" s="1302"/>
    </row>
    <row r="564" spans="1:26" ht="18.75">
      <c r="A564" s="1326"/>
      <c r="B564" s="1327"/>
      <c r="C564" s="1327"/>
      <c r="D564" s="1014" t="s">
        <v>238</v>
      </c>
      <c r="E564" s="1014"/>
      <c r="F564" s="1014"/>
      <c r="G564" s="1007"/>
      <c r="H564" s="762" t="s">
        <v>46</v>
      </c>
      <c r="I564" s="997"/>
      <c r="J564" s="1012">
        <v>4457.84</v>
      </c>
      <c r="K564" s="998"/>
      <c r="L564" s="998"/>
      <c r="M564" s="998"/>
      <c r="N564" s="998"/>
      <c r="O564" s="998"/>
      <c r="P564" s="998"/>
      <c r="Q564" s="1302"/>
      <c r="R564" s="1302"/>
      <c r="S564" s="1302"/>
      <c r="T564" s="1302"/>
      <c r="U564" s="1302"/>
      <c r="V564" s="1302"/>
      <c r="W564" s="1302"/>
      <c r="X564" s="1302"/>
      <c r="Y564" s="1302"/>
      <c r="Z564" s="1302"/>
    </row>
    <row r="565" spans="1:26" ht="18.75">
      <c r="A565" s="1326"/>
      <c r="B565" s="1327"/>
      <c r="C565" s="1327"/>
      <c r="D565" s="1014"/>
      <c r="E565" s="1014"/>
      <c r="F565" s="1014"/>
      <c r="G565" s="1007"/>
      <c r="H565" s="762" t="s">
        <v>34</v>
      </c>
      <c r="I565" s="997"/>
      <c r="J565" s="1012">
        <v>773</v>
      </c>
      <c r="K565" s="998"/>
      <c r="L565" s="998"/>
      <c r="M565" s="998"/>
      <c r="N565" s="998"/>
      <c r="O565" s="998"/>
      <c r="P565" s="998"/>
      <c r="Q565" s="1302"/>
      <c r="R565" s="1302"/>
      <c r="S565" s="1302"/>
      <c r="T565" s="1302"/>
      <c r="U565" s="1302"/>
      <c r="V565" s="1302"/>
      <c r="W565" s="1302"/>
      <c r="X565" s="1302"/>
      <c r="Y565" s="1302"/>
      <c r="Z565" s="1302"/>
    </row>
    <row r="566" spans="1:26" ht="18.75">
      <c r="A566" s="1326"/>
      <c r="B566" s="1327"/>
      <c r="C566" s="1327"/>
      <c r="D566" s="1014" t="s">
        <v>239</v>
      </c>
      <c r="E566" s="1014"/>
      <c r="F566" s="1014"/>
      <c r="G566" s="1007"/>
      <c r="H566" s="762" t="s">
        <v>46</v>
      </c>
      <c r="I566" s="997"/>
      <c r="J566" s="1012">
        <v>718.15750000000003</v>
      </c>
      <c r="K566" s="998"/>
      <c r="L566" s="998"/>
      <c r="M566" s="998"/>
      <c r="N566" s="998"/>
      <c r="O566" s="998"/>
      <c r="P566" s="998"/>
      <c r="Q566" s="1302"/>
      <c r="R566" s="1302"/>
      <c r="S566" s="1302"/>
      <c r="T566" s="1302"/>
      <c r="U566" s="1302"/>
      <c r="V566" s="1302"/>
      <c r="W566" s="1302"/>
      <c r="X566" s="1302"/>
      <c r="Y566" s="1302"/>
      <c r="Z566" s="1302"/>
    </row>
    <row r="567" spans="1:26" ht="18.75">
      <c r="A567" s="1326"/>
      <c r="B567" s="1327"/>
      <c r="C567" s="1327"/>
      <c r="D567" s="1014"/>
      <c r="E567" s="1014"/>
      <c r="F567" s="1014"/>
      <c r="G567" s="1007"/>
      <c r="H567" s="762" t="s">
        <v>34</v>
      </c>
      <c r="I567" s="997"/>
      <c r="J567" s="1012">
        <v>124</v>
      </c>
      <c r="K567" s="998"/>
      <c r="L567" s="998"/>
      <c r="M567" s="998"/>
      <c r="N567" s="998"/>
      <c r="O567" s="998"/>
      <c r="P567" s="998"/>
      <c r="Q567" s="1302"/>
      <c r="R567" s="1302"/>
      <c r="S567" s="1302"/>
      <c r="T567" s="1302"/>
      <c r="U567" s="1302"/>
      <c r="V567" s="1302"/>
      <c r="W567" s="1302"/>
      <c r="X567" s="1302"/>
      <c r="Y567" s="1302"/>
      <c r="Z567" s="1302"/>
    </row>
    <row r="568" spans="1:26" ht="19.5">
      <c r="A568" s="1326"/>
      <c r="B568" s="1327"/>
      <c r="C568" s="1336" t="s">
        <v>240</v>
      </c>
      <c r="D568" s="1014"/>
      <c r="E568" s="1014"/>
      <c r="F568" s="1014"/>
      <c r="G568" s="1007"/>
      <c r="H568" s="765" t="s">
        <v>46</v>
      </c>
      <c r="I568" s="1018">
        <f ca="1">IFERROR(__xludf.DUMMYFUNCTION("IMPORTRANGE(""https://docs.google.com/spreadsheets/d/1QqKyyYR6Q21VydFLVH3TRQUabQu_ym0Zz7PgGX0-kHA/edit?usp=sharing"",""แผน!HH82"")"),36514)</f>
        <v>36514</v>
      </c>
      <c r="J568" s="1019">
        <f t="shared" ref="J568:J569" si="248">J570+J572+J574</f>
        <v>15266.715</v>
      </c>
      <c r="K568" s="1162">
        <f t="shared" ref="K568:K569" ca="1" si="249">IF(I568&gt;0,J568*100/I568,0)</f>
        <v>41.810579503751988</v>
      </c>
      <c r="L568" s="998"/>
      <c r="M568" s="998"/>
      <c r="N568" s="998"/>
      <c r="O568" s="998"/>
      <c r="P568" s="998"/>
      <c r="Q568" s="1302"/>
      <c r="R568" s="1302"/>
      <c r="S568" s="1302"/>
      <c r="T568" s="1302"/>
      <c r="U568" s="1302"/>
      <c r="V568" s="1302"/>
      <c r="W568" s="1302"/>
      <c r="X568" s="1302"/>
      <c r="Y568" s="1302"/>
      <c r="Z568" s="1302"/>
    </row>
    <row r="569" spans="1:26" ht="19.5">
      <c r="A569" s="1326"/>
      <c r="B569" s="1327"/>
      <c r="C569" s="1327"/>
      <c r="D569" s="1327"/>
      <c r="E569" s="1014"/>
      <c r="F569" s="1014"/>
      <c r="G569" s="1007"/>
      <c r="H569" s="765" t="s">
        <v>34</v>
      </c>
      <c r="I569" s="1018">
        <f ca="1">IFERROR(__xludf.DUMMYFUNCTION("IMPORTRANGE(""https://docs.google.com/spreadsheets/d/1QqKyyYR6Q21VydFLVH3TRQUabQu_ym0Zz7PgGX0-kHA/edit?usp=sharing"",""แผน!HG82"")"),7422)</f>
        <v>7422</v>
      </c>
      <c r="J569" s="1019">
        <f t="shared" si="248"/>
        <v>3750</v>
      </c>
      <c r="K569" s="1162">
        <f t="shared" ca="1" si="249"/>
        <v>50.525464834276477</v>
      </c>
      <c r="L569" s="998"/>
      <c r="M569" s="998"/>
      <c r="N569" s="998"/>
      <c r="O569" s="998"/>
      <c r="P569" s="998"/>
      <c r="Q569" s="1302"/>
      <c r="R569" s="1302"/>
      <c r="S569" s="1302"/>
      <c r="T569" s="1302"/>
      <c r="U569" s="1302"/>
      <c r="V569" s="1302"/>
      <c r="W569" s="1302"/>
      <c r="X569" s="1302"/>
      <c r="Y569" s="1302"/>
      <c r="Z569" s="1302"/>
    </row>
    <row r="570" spans="1:26" ht="18.75">
      <c r="A570" s="1326"/>
      <c r="B570" s="1327"/>
      <c r="C570" s="1327"/>
      <c r="D570" s="1014" t="s">
        <v>241</v>
      </c>
      <c r="E570" s="1327"/>
      <c r="F570" s="1014"/>
      <c r="G570" s="1007"/>
      <c r="H570" s="762" t="s">
        <v>46</v>
      </c>
      <c r="I570" s="997"/>
      <c r="J570" s="1012">
        <v>13984.815000000001</v>
      </c>
      <c r="K570" s="998"/>
      <c r="L570" s="998"/>
      <c r="M570" s="998"/>
      <c r="N570" s="998"/>
      <c r="O570" s="998"/>
      <c r="P570" s="998"/>
      <c r="Q570" s="1302"/>
      <c r="R570" s="1302"/>
      <c r="S570" s="1302"/>
      <c r="T570" s="1302"/>
      <c r="U570" s="1302"/>
      <c r="V570" s="1302"/>
      <c r="W570" s="1302"/>
      <c r="X570" s="1302"/>
      <c r="Y570" s="1302"/>
      <c r="Z570" s="1302"/>
    </row>
    <row r="571" spans="1:26" ht="18.75">
      <c r="A571" s="1326"/>
      <c r="B571" s="1327"/>
      <c r="C571" s="1327"/>
      <c r="D571" s="1327"/>
      <c r="E571" s="1014"/>
      <c r="F571" s="1014"/>
      <c r="G571" s="1007"/>
      <c r="H571" s="762" t="s">
        <v>34</v>
      </c>
      <c r="I571" s="997"/>
      <c r="J571" s="1012">
        <v>3469</v>
      </c>
      <c r="K571" s="998"/>
      <c r="L571" s="998"/>
      <c r="M571" s="998"/>
      <c r="N571" s="998"/>
      <c r="O571" s="998"/>
      <c r="P571" s="998"/>
      <c r="Q571" s="1302"/>
      <c r="R571" s="1302"/>
      <c r="S571" s="1302"/>
      <c r="T571" s="1302"/>
      <c r="U571" s="1302"/>
      <c r="V571" s="1302"/>
      <c r="W571" s="1302"/>
      <c r="X571" s="1302"/>
      <c r="Y571" s="1302"/>
      <c r="Z571" s="1302"/>
    </row>
    <row r="572" spans="1:26" ht="18.75">
      <c r="A572" s="1326"/>
      <c r="B572" s="1327"/>
      <c r="C572" s="1327"/>
      <c r="D572" s="1014" t="s">
        <v>242</v>
      </c>
      <c r="E572" s="1014"/>
      <c r="F572" s="1014"/>
      <c r="G572" s="1007"/>
      <c r="H572" s="762" t="s">
        <v>46</v>
      </c>
      <c r="I572" s="997"/>
      <c r="J572" s="1012">
        <v>1101.76</v>
      </c>
      <c r="K572" s="998"/>
      <c r="L572" s="998"/>
      <c r="M572" s="998"/>
      <c r="N572" s="998"/>
      <c r="O572" s="998"/>
      <c r="P572" s="998"/>
      <c r="Q572" s="1302"/>
      <c r="R572" s="1302"/>
      <c r="S572" s="1302"/>
      <c r="T572" s="1302"/>
      <c r="U572" s="1302"/>
      <c r="V572" s="1302"/>
      <c r="W572" s="1302"/>
      <c r="X572" s="1302"/>
      <c r="Y572" s="1302"/>
      <c r="Z572" s="1302"/>
    </row>
    <row r="573" spans="1:26" ht="18.75">
      <c r="A573" s="1326"/>
      <c r="B573" s="1327"/>
      <c r="C573" s="1327"/>
      <c r="D573" s="1014"/>
      <c r="E573" s="1014"/>
      <c r="F573" s="1014"/>
      <c r="G573" s="1007"/>
      <c r="H573" s="762" t="s">
        <v>34</v>
      </c>
      <c r="I573" s="997"/>
      <c r="J573" s="1012">
        <v>230</v>
      </c>
      <c r="K573" s="998"/>
      <c r="L573" s="998"/>
      <c r="M573" s="998"/>
      <c r="N573" s="998"/>
      <c r="O573" s="998"/>
      <c r="P573" s="998"/>
      <c r="Q573" s="1302"/>
      <c r="R573" s="1302"/>
      <c r="S573" s="1302"/>
      <c r="T573" s="1302"/>
      <c r="U573" s="1302"/>
      <c r="V573" s="1302"/>
      <c r="W573" s="1302"/>
      <c r="X573" s="1302"/>
      <c r="Y573" s="1302"/>
      <c r="Z573" s="1302"/>
    </row>
    <row r="574" spans="1:26" ht="18.75">
      <c r="A574" s="1326"/>
      <c r="B574" s="1327"/>
      <c r="C574" s="1327"/>
      <c r="D574" s="1014" t="s">
        <v>243</v>
      </c>
      <c r="E574" s="1014"/>
      <c r="F574" s="1014"/>
      <c r="G574" s="1007"/>
      <c r="H574" s="762" t="s">
        <v>46</v>
      </c>
      <c r="I574" s="997"/>
      <c r="J574" s="1012">
        <v>180.14</v>
      </c>
      <c r="K574" s="998"/>
      <c r="L574" s="998"/>
      <c r="M574" s="998"/>
      <c r="N574" s="998"/>
      <c r="O574" s="998"/>
      <c r="P574" s="998"/>
      <c r="Q574" s="1302"/>
      <c r="R574" s="1302"/>
      <c r="S574" s="1302"/>
      <c r="T574" s="1302"/>
      <c r="U574" s="1302"/>
      <c r="V574" s="1302"/>
      <c r="W574" s="1302"/>
      <c r="X574" s="1302"/>
      <c r="Y574" s="1302"/>
      <c r="Z574" s="1302"/>
    </row>
    <row r="575" spans="1:26" ht="18.75">
      <c r="A575" s="1326"/>
      <c r="B575" s="1327"/>
      <c r="C575" s="1327"/>
      <c r="D575" s="1327"/>
      <c r="E575" s="1014"/>
      <c r="F575" s="1014"/>
      <c r="G575" s="1007"/>
      <c r="H575" s="762" t="s">
        <v>34</v>
      </c>
      <c r="I575" s="997"/>
      <c r="J575" s="1012">
        <v>51</v>
      </c>
      <c r="K575" s="998"/>
      <c r="L575" s="998"/>
      <c r="M575" s="998"/>
      <c r="N575" s="998"/>
      <c r="O575" s="998"/>
      <c r="P575" s="998"/>
      <c r="Q575" s="1302"/>
      <c r="R575" s="1302"/>
      <c r="S575" s="1302"/>
      <c r="T575" s="1302"/>
      <c r="U575" s="1302"/>
      <c r="V575" s="1302"/>
      <c r="W575" s="1302"/>
      <c r="X575" s="1302"/>
      <c r="Y575" s="1302"/>
      <c r="Z575" s="1302"/>
    </row>
    <row r="576" spans="1:26" ht="19.5">
      <c r="A576" s="1326"/>
      <c r="B576" s="1327"/>
      <c r="C576" s="1336" t="s">
        <v>244</v>
      </c>
      <c r="D576" s="1327"/>
      <c r="E576" s="1327"/>
      <c r="F576" s="1014"/>
      <c r="G576" s="1007"/>
      <c r="H576" s="765" t="s">
        <v>46</v>
      </c>
      <c r="I576" s="1018">
        <f ca="1">IFERROR(__xludf.DUMMYFUNCTION("IMPORTRANGE(""https://docs.google.com/spreadsheets/d/1QqKyyYR6Q21VydFLVH3TRQUabQu_ym0Zz7PgGX0-kHA/edit?usp=sharing"",""แผน!HH82"")"),36514)</f>
        <v>36514</v>
      </c>
      <c r="J576" s="1019">
        <f t="shared" ref="J576:J577" si="250">J578+J580+J582+J588+J590</f>
        <v>15266.715</v>
      </c>
      <c r="K576" s="1162">
        <f t="shared" ref="K576:K577" ca="1" si="251">IF(I576&gt;0,J576*100/I576,0)</f>
        <v>41.810579503751988</v>
      </c>
      <c r="L576" s="998"/>
      <c r="M576" s="998"/>
      <c r="N576" s="998"/>
      <c r="O576" s="998"/>
      <c r="P576" s="998"/>
      <c r="Q576" s="1302"/>
      <c r="R576" s="1302"/>
      <c r="S576" s="1302"/>
      <c r="T576" s="1302"/>
      <c r="U576" s="1302"/>
      <c r="V576" s="1302"/>
      <c r="W576" s="1302"/>
      <c r="X576" s="1302"/>
      <c r="Y576" s="1302"/>
      <c r="Z576" s="1302"/>
    </row>
    <row r="577" spans="1:26" ht="19.5">
      <c r="A577" s="1326"/>
      <c r="B577" s="1327"/>
      <c r="C577" s="1327"/>
      <c r="D577" s="1327"/>
      <c r="E577" s="1014"/>
      <c r="F577" s="1014"/>
      <c r="G577" s="1007"/>
      <c r="H577" s="765" t="s">
        <v>34</v>
      </c>
      <c r="I577" s="1018">
        <f ca="1">IFERROR(__xludf.DUMMYFUNCTION("IMPORTRANGE(""https://docs.google.com/spreadsheets/d/1QqKyyYR6Q21VydFLVH3TRQUabQu_ym0Zz7PgGX0-kHA/edit?usp=sharing"",""แผน!HG82"")"),7422)</f>
        <v>7422</v>
      </c>
      <c r="J577" s="1019">
        <f t="shared" si="250"/>
        <v>3750</v>
      </c>
      <c r="K577" s="1162">
        <f t="shared" ca="1" si="251"/>
        <v>50.525464834276477</v>
      </c>
      <c r="L577" s="998"/>
      <c r="M577" s="998"/>
      <c r="N577" s="998"/>
      <c r="O577" s="998"/>
      <c r="P577" s="998"/>
      <c r="Q577" s="1302"/>
      <c r="R577" s="1302"/>
      <c r="S577" s="1302"/>
      <c r="T577" s="1302"/>
      <c r="U577" s="1302"/>
      <c r="V577" s="1302"/>
      <c r="W577" s="1302"/>
      <c r="X577" s="1302"/>
      <c r="Y577" s="1302"/>
      <c r="Z577" s="1302"/>
    </row>
    <row r="578" spans="1:26" ht="18.75">
      <c r="A578" s="1326"/>
      <c r="B578" s="1327"/>
      <c r="C578" s="1327"/>
      <c r="D578" s="1014" t="s">
        <v>245</v>
      </c>
      <c r="E578" s="1014"/>
      <c r="F578" s="1014"/>
      <c r="G578" s="1007"/>
      <c r="H578" s="762" t="s">
        <v>46</v>
      </c>
      <c r="I578" s="997"/>
      <c r="J578" s="1012">
        <v>13984.815000000001</v>
      </c>
      <c r="K578" s="998"/>
      <c r="L578" s="998"/>
      <c r="M578" s="998"/>
      <c r="N578" s="998"/>
      <c r="O578" s="998"/>
      <c r="P578" s="998"/>
      <c r="Q578" s="1302"/>
      <c r="R578" s="1302"/>
      <c r="S578" s="1302"/>
      <c r="T578" s="1302"/>
      <c r="U578" s="1302"/>
      <c r="V578" s="1302"/>
      <c r="W578" s="1302"/>
      <c r="X578" s="1302"/>
      <c r="Y578" s="1302"/>
      <c r="Z578" s="1302"/>
    </row>
    <row r="579" spans="1:26" ht="18.75">
      <c r="A579" s="1326"/>
      <c r="B579" s="1327"/>
      <c r="C579" s="1327"/>
      <c r="D579" s="1327"/>
      <c r="E579" s="1014"/>
      <c r="F579" s="1014"/>
      <c r="G579" s="1007"/>
      <c r="H579" s="762" t="s">
        <v>34</v>
      </c>
      <c r="I579" s="997"/>
      <c r="J579" s="1012">
        <v>3469</v>
      </c>
      <c r="K579" s="998"/>
      <c r="L579" s="998"/>
      <c r="M579" s="998"/>
      <c r="N579" s="998"/>
      <c r="O579" s="998"/>
      <c r="P579" s="998"/>
      <c r="Q579" s="1302"/>
      <c r="R579" s="1302"/>
      <c r="S579" s="1302"/>
      <c r="T579" s="1302"/>
      <c r="U579" s="1302"/>
      <c r="V579" s="1302"/>
      <c r="W579" s="1302"/>
      <c r="X579" s="1302"/>
      <c r="Y579" s="1302"/>
      <c r="Z579" s="1302"/>
    </row>
    <row r="580" spans="1:26" ht="18.75">
      <c r="A580" s="1326"/>
      <c r="B580" s="1327"/>
      <c r="C580" s="1327"/>
      <c r="D580" s="1014" t="s">
        <v>246</v>
      </c>
      <c r="E580" s="1014"/>
      <c r="F580" s="1014"/>
      <c r="G580" s="1007"/>
      <c r="H580" s="762" t="s">
        <v>46</v>
      </c>
      <c r="I580" s="997"/>
      <c r="J580" s="1012">
        <v>1101.76</v>
      </c>
      <c r="K580" s="998"/>
      <c r="L580" s="998"/>
      <c r="M580" s="998"/>
      <c r="N580" s="998"/>
      <c r="O580" s="998"/>
      <c r="P580" s="998"/>
      <c r="Q580" s="1302"/>
      <c r="R580" s="1302"/>
      <c r="S580" s="1302"/>
      <c r="T580" s="1302"/>
      <c r="U580" s="1302"/>
      <c r="V580" s="1302"/>
      <c r="W580" s="1302"/>
      <c r="X580" s="1302"/>
      <c r="Y580" s="1302"/>
      <c r="Z580" s="1302"/>
    </row>
    <row r="581" spans="1:26" ht="18.75">
      <c r="A581" s="1326"/>
      <c r="B581" s="1327"/>
      <c r="C581" s="1327"/>
      <c r="D581" s="1327"/>
      <c r="E581" s="1014"/>
      <c r="F581" s="1014"/>
      <c r="G581" s="1007"/>
      <c r="H581" s="762" t="s">
        <v>34</v>
      </c>
      <c r="I581" s="997"/>
      <c r="J581" s="1012">
        <v>230</v>
      </c>
      <c r="K581" s="998"/>
      <c r="L581" s="998"/>
      <c r="M581" s="998"/>
      <c r="N581" s="998"/>
      <c r="O581" s="998"/>
      <c r="P581" s="998"/>
      <c r="Q581" s="1302"/>
      <c r="R581" s="1302"/>
      <c r="S581" s="1302"/>
      <c r="T581" s="1302"/>
      <c r="U581" s="1302"/>
      <c r="V581" s="1302"/>
      <c r="W581" s="1302"/>
      <c r="X581" s="1302"/>
      <c r="Y581" s="1302"/>
      <c r="Z581" s="1302"/>
    </row>
    <row r="582" spans="1:26" ht="19.5">
      <c r="A582" s="1326"/>
      <c r="B582" s="1327"/>
      <c r="C582" s="1327"/>
      <c r="D582" s="1014" t="s">
        <v>247</v>
      </c>
      <c r="E582" s="1014"/>
      <c r="F582" s="1014"/>
      <c r="G582" s="1007"/>
      <c r="H582" s="762" t="s">
        <v>46</v>
      </c>
      <c r="I582" s="997"/>
      <c r="J582" s="1019">
        <f t="shared" ref="J582:J583" si="252">J584+J586</f>
        <v>180.14</v>
      </c>
      <c r="K582" s="1162"/>
      <c r="L582" s="998"/>
      <c r="M582" s="998"/>
      <c r="N582" s="998"/>
      <c r="O582" s="998"/>
      <c r="P582" s="998"/>
      <c r="Q582" s="1302"/>
      <c r="R582" s="1302"/>
      <c r="S582" s="1302"/>
      <c r="T582" s="1302"/>
      <c r="U582" s="1302"/>
      <c r="V582" s="1302"/>
      <c r="W582" s="1302"/>
      <c r="X582" s="1302"/>
      <c r="Y582" s="1302"/>
      <c r="Z582" s="1302"/>
    </row>
    <row r="583" spans="1:26" ht="19.5">
      <c r="A583" s="1326"/>
      <c r="B583" s="1327"/>
      <c r="C583" s="1327"/>
      <c r="D583" s="1327"/>
      <c r="E583" s="1014"/>
      <c r="F583" s="1014"/>
      <c r="G583" s="1007"/>
      <c r="H583" s="762" t="s">
        <v>34</v>
      </c>
      <c r="I583" s="997"/>
      <c r="J583" s="1019">
        <f t="shared" si="252"/>
        <v>51</v>
      </c>
      <c r="K583" s="1162"/>
      <c r="L583" s="998"/>
      <c r="M583" s="998"/>
      <c r="N583" s="998"/>
      <c r="O583" s="998"/>
      <c r="P583" s="998"/>
      <c r="Q583" s="1302"/>
      <c r="R583" s="1302"/>
      <c r="S583" s="1302"/>
      <c r="T583" s="1302"/>
      <c r="U583" s="1302"/>
      <c r="V583" s="1302"/>
      <c r="W583" s="1302"/>
      <c r="X583" s="1302"/>
      <c r="Y583" s="1302"/>
      <c r="Z583" s="1302"/>
    </row>
    <row r="584" spans="1:26" ht="18.75">
      <c r="A584" s="1326"/>
      <c r="B584" s="1327"/>
      <c r="C584" s="1327"/>
      <c r="D584" s="1327"/>
      <c r="E584" s="1014" t="s">
        <v>248</v>
      </c>
      <c r="F584" s="1014"/>
      <c r="G584" s="1007"/>
      <c r="H584" s="762" t="s">
        <v>46</v>
      </c>
      <c r="I584" s="997"/>
      <c r="J584" s="1012">
        <v>180.14</v>
      </c>
      <c r="K584" s="998"/>
      <c r="L584" s="998"/>
      <c r="M584" s="998"/>
      <c r="N584" s="998"/>
      <c r="O584" s="998"/>
      <c r="P584" s="998"/>
      <c r="Q584" s="1302"/>
      <c r="R584" s="1302"/>
      <c r="S584" s="1302"/>
      <c r="T584" s="1302"/>
      <c r="U584" s="1302"/>
      <c r="V584" s="1302"/>
      <c r="W584" s="1302"/>
      <c r="X584" s="1302"/>
      <c r="Y584" s="1302"/>
      <c r="Z584" s="1302"/>
    </row>
    <row r="585" spans="1:26" ht="18.75">
      <c r="A585" s="1326"/>
      <c r="B585" s="1327"/>
      <c r="C585" s="1327"/>
      <c r="D585" s="1327"/>
      <c r="E585" s="1014"/>
      <c r="F585" s="1014"/>
      <c r="G585" s="1007"/>
      <c r="H585" s="762" t="s">
        <v>34</v>
      </c>
      <c r="I585" s="997"/>
      <c r="J585" s="1012">
        <v>51</v>
      </c>
      <c r="K585" s="998"/>
      <c r="L585" s="998"/>
      <c r="M585" s="998"/>
      <c r="N585" s="998"/>
      <c r="O585" s="998"/>
      <c r="P585" s="998"/>
      <c r="Q585" s="1302"/>
      <c r="R585" s="1302"/>
      <c r="S585" s="1302"/>
      <c r="T585" s="1302"/>
      <c r="U585" s="1302"/>
      <c r="V585" s="1302"/>
      <c r="W585" s="1302"/>
      <c r="X585" s="1302"/>
      <c r="Y585" s="1302"/>
      <c r="Z585" s="1302"/>
    </row>
    <row r="586" spans="1:26" ht="18.75">
      <c r="A586" s="1326"/>
      <c r="B586" s="1327"/>
      <c r="C586" s="1327"/>
      <c r="D586" s="1327"/>
      <c r="E586" s="1014" t="s">
        <v>249</v>
      </c>
      <c r="F586" s="1014"/>
      <c r="G586" s="1007"/>
      <c r="H586" s="762" t="s">
        <v>46</v>
      </c>
      <c r="I586" s="997"/>
      <c r="J586" s="1012">
        <v>0</v>
      </c>
      <c r="K586" s="998"/>
      <c r="L586" s="998"/>
      <c r="M586" s="998"/>
      <c r="N586" s="998"/>
      <c r="O586" s="998"/>
      <c r="P586" s="998"/>
      <c r="Q586" s="1302"/>
      <c r="R586" s="1302"/>
      <c r="S586" s="1302"/>
      <c r="T586" s="1302"/>
      <c r="U586" s="1302"/>
      <c r="V586" s="1302"/>
      <c r="W586" s="1302"/>
      <c r="X586" s="1302"/>
      <c r="Y586" s="1302"/>
      <c r="Z586" s="1302"/>
    </row>
    <row r="587" spans="1:26" ht="18.75">
      <c r="A587" s="1326"/>
      <c r="B587" s="1327"/>
      <c r="C587" s="1327"/>
      <c r="D587" s="1327"/>
      <c r="E587" s="1327"/>
      <c r="F587" s="1014"/>
      <c r="G587" s="1007"/>
      <c r="H587" s="762" t="s">
        <v>34</v>
      </c>
      <c r="I587" s="997"/>
      <c r="J587" s="1012">
        <v>0</v>
      </c>
      <c r="K587" s="998"/>
      <c r="L587" s="998"/>
      <c r="M587" s="998"/>
      <c r="N587" s="998"/>
      <c r="O587" s="998"/>
      <c r="P587" s="998"/>
      <c r="Q587" s="1302"/>
      <c r="R587" s="1302"/>
      <c r="S587" s="1302"/>
      <c r="T587" s="1302"/>
      <c r="U587" s="1302"/>
      <c r="V587" s="1302"/>
      <c r="W587" s="1302"/>
      <c r="X587" s="1302"/>
      <c r="Y587" s="1302"/>
      <c r="Z587" s="1302"/>
    </row>
    <row r="588" spans="1:26" ht="18.75">
      <c r="A588" s="1326"/>
      <c r="B588" s="1327"/>
      <c r="C588" s="1327"/>
      <c r="D588" s="1014" t="s">
        <v>250</v>
      </c>
      <c r="E588" s="1014"/>
      <c r="F588" s="1014"/>
      <c r="G588" s="1007"/>
      <c r="H588" s="762" t="s">
        <v>46</v>
      </c>
      <c r="I588" s="997"/>
      <c r="J588" s="1012">
        <v>0</v>
      </c>
      <c r="K588" s="998"/>
      <c r="L588" s="998"/>
      <c r="M588" s="998"/>
      <c r="N588" s="998"/>
      <c r="O588" s="998"/>
      <c r="P588" s="998"/>
      <c r="Q588" s="1302"/>
      <c r="R588" s="1302"/>
      <c r="S588" s="1302"/>
      <c r="T588" s="1302"/>
      <c r="U588" s="1302"/>
      <c r="V588" s="1302"/>
      <c r="W588" s="1302"/>
      <c r="X588" s="1302"/>
      <c r="Y588" s="1302"/>
      <c r="Z588" s="1302"/>
    </row>
    <row r="589" spans="1:26" ht="18.75">
      <c r="A589" s="1326"/>
      <c r="B589" s="1327"/>
      <c r="C589" s="1327"/>
      <c r="D589" s="1327"/>
      <c r="E589" s="1327"/>
      <c r="F589" s="1014"/>
      <c r="G589" s="1007"/>
      <c r="H589" s="762" t="s">
        <v>34</v>
      </c>
      <c r="I589" s="997"/>
      <c r="J589" s="1012">
        <v>0</v>
      </c>
      <c r="K589" s="998"/>
      <c r="L589" s="998"/>
      <c r="M589" s="998"/>
      <c r="N589" s="998"/>
      <c r="O589" s="998"/>
      <c r="P589" s="998"/>
      <c r="Q589" s="1302"/>
      <c r="R589" s="1302"/>
      <c r="S589" s="1302"/>
      <c r="T589" s="1302"/>
      <c r="U589" s="1302"/>
      <c r="V589" s="1302"/>
      <c r="W589" s="1302"/>
      <c r="X589" s="1302"/>
      <c r="Y589" s="1302"/>
      <c r="Z589" s="1302"/>
    </row>
    <row r="590" spans="1:26" ht="18.75">
      <c r="A590" s="1326"/>
      <c r="B590" s="1327"/>
      <c r="C590" s="1327"/>
      <c r="D590" s="1014" t="s">
        <v>251</v>
      </c>
      <c r="E590" s="1014"/>
      <c r="F590" s="1014"/>
      <c r="G590" s="1007"/>
      <c r="H590" s="762" t="s">
        <v>46</v>
      </c>
      <c r="I590" s="997"/>
      <c r="J590" s="1012">
        <v>0</v>
      </c>
      <c r="K590" s="998"/>
      <c r="L590" s="998"/>
      <c r="M590" s="998"/>
      <c r="N590" s="998"/>
      <c r="O590" s="998"/>
      <c r="P590" s="998"/>
      <c r="Q590" s="1302"/>
      <c r="R590" s="1302"/>
      <c r="S590" s="1302"/>
      <c r="T590" s="1302"/>
      <c r="U590" s="1302"/>
      <c r="V590" s="1302"/>
      <c r="W590" s="1302"/>
      <c r="X590" s="1302"/>
      <c r="Y590" s="1302"/>
      <c r="Z590" s="1302"/>
    </row>
    <row r="591" spans="1:26" ht="18.75">
      <c r="A591" s="1393"/>
      <c r="B591" s="1394"/>
      <c r="C591" s="1394"/>
      <c r="D591" s="1394"/>
      <c r="E591" s="1302"/>
      <c r="F591" s="1302"/>
      <c r="G591" s="1395"/>
      <c r="H591" s="697" t="s">
        <v>34</v>
      </c>
      <c r="I591" s="1396"/>
      <c r="J591" s="1397">
        <v>0</v>
      </c>
      <c r="K591" s="1398"/>
      <c r="L591" s="1398"/>
      <c r="M591" s="1398"/>
      <c r="N591" s="1398"/>
      <c r="O591" s="1398"/>
      <c r="P591" s="1398"/>
      <c r="Q591" s="1302"/>
      <c r="R591" s="1302"/>
      <c r="S591" s="1302"/>
      <c r="T591" s="1302"/>
      <c r="U591" s="1302"/>
      <c r="V591" s="1302"/>
      <c r="W591" s="1302"/>
      <c r="X591" s="1302"/>
      <c r="Y591" s="1302"/>
      <c r="Z591" s="1302"/>
    </row>
    <row r="592" spans="1:26" ht="19.5">
      <c r="A592" s="1390"/>
      <c r="B592" s="1391" t="s">
        <v>252</v>
      </c>
      <c r="C592" s="1392"/>
      <c r="D592" s="1392"/>
      <c r="E592" s="1375"/>
      <c r="F592" s="1375"/>
      <c r="G592" s="1376"/>
      <c r="H592" s="693" t="s">
        <v>46</v>
      </c>
      <c r="I592" s="1399">
        <f t="shared" ref="I592:J592" ca="1" si="253">I593</f>
        <v>2370.63</v>
      </c>
      <c r="J592" s="1377">
        <f t="shared" si="253"/>
        <v>0</v>
      </c>
      <c r="K592" s="1378">
        <f t="shared" ref="K592:K594" ca="1" si="254">IF(I592&gt;0,J592*100/I592,0)</f>
        <v>0</v>
      </c>
      <c r="L592" s="1379"/>
      <c r="M592" s="1379"/>
      <c r="N592" s="1379"/>
      <c r="O592" s="1379"/>
      <c r="P592" s="1379"/>
      <c r="Q592" s="1302"/>
      <c r="R592" s="1302"/>
      <c r="S592" s="1302"/>
      <c r="T592" s="1302"/>
      <c r="U592" s="1302"/>
      <c r="V592" s="1302"/>
      <c r="W592" s="1302"/>
      <c r="X592" s="1302"/>
      <c r="Y592" s="1302"/>
      <c r="Z592" s="1302"/>
    </row>
    <row r="593" spans="1:26" ht="19.5">
      <c r="A593" s="1326"/>
      <c r="B593" s="1327"/>
      <c r="C593" s="1336" t="s">
        <v>253</v>
      </c>
      <c r="D593" s="1327"/>
      <c r="E593" s="1327"/>
      <c r="F593" s="1014"/>
      <c r="G593" s="1007"/>
      <c r="H593" s="765" t="s">
        <v>46</v>
      </c>
      <c r="I593" s="1400">
        <f ca="1">IFERROR(__xludf.DUMMYFUNCTION("IMPORTRANGE(""https://docs.google.com/spreadsheets/d/1QqKyyYR6Q21VydFLVH3TRQUabQu_ym0Zz7PgGX0-kHA/edit?usp=sharing"",""แผน!HJ82"")"),2370.63)</f>
        <v>2370.63</v>
      </c>
      <c r="J593" s="1018">
        <f t="shared" ref="J593:J594" si="255">J595+J603+J609</f>
        <v>0</v>
      </c>
      <c r="K593" s="1162">
        <f t="shared" ca="1" si="254"/>
        <v>0</v>
      </c>
      <c r="L593" s="998"/>
      <c r="M593" s="998"/>
      <c r="N593" s="998"/>
      <c r="O593" s="998"/>
      <c r="P593" s="998"/>
      <c r="Q593" s="1302"/>
      <c r="R593" s="1302"/>
      <c r="S593" s="1302"/>
      <c r="T593" s="1302"/>
      <c r="U593" s="1302"/>
      <c r="V593" s="1302"/>
      <c r="W593" s="1302"/>
      <c r="X593" s="1302"/>
      <c r="Y593" s="1302"/>
      <c r="Z593" s="1302"/>
    </row>
    <row r="594" spans="1:26" ht="19.5">
      <c r="A594" s="1326"/>
      <c r="B594" s="1327"/>
      <c r="C594" s="1327"/>
      <c r="D594" s="1327"/>
      <c r="E594" s="1014"/>
      <c r="F594" s="1014"/>
      <c r="G594" s="1007"/>
      <c r="H594" s="765" t="s">
        <v>34</v>
      </c>
      <c r="I594" s="1018">
        <f ca="1">IFERROR(__xludf.DUMMYFUNCTION("IMPORTRANGE(""https://docs.google.com/spreadsheets/d/1QqKyyYR6Q21VydFLVH3TRQUabQu_ym0Zz7PgGX0-kHA/edit?usp=sharing"",""แผน!HI82"")"),404)</f>
        <v>404</v>
      </c>
      <c r="J594" s="1018">
        <f t="shared" si="255"/>
        <v>0</v>
      </c>
      <c r="K594" s="1162">
        <f t="shared" ca="1" si="254"/>
        <v>0</v>
      </c>
      <c r="L594" s="998"/>
      <c r="M594" s="998"/>
      <c r="N594" s="998"/>
      <c r="O594" s="998"/>
      <c r="P594" s="998"/>
      <c r="Q594" s="1302"/>
      <c r="R594" s="1302"/>
      <c r="S594" s="1302"/>
      <c r="T594" s="1302"/>
      <c r="U594" s="1302"/>
      <c r="V594" s="1302"/>
      <c r="W594" s="1302"/>
      <c r="X594" s="1302"/>
      <c r="Y594" s="1302"/>
      <c r="Z594" s="1302"/>
    </row>
    <row r="595" spans="1:26" ht="18.75">
      <c r="A595" s="1326"/>
      <c r="B595" s="1327"/>
      <c r="C595" s="1327" t="s">
        <v>254</v>
      </c>
      <c r="D595" s="1327"/>
      <c r="E595" s="1327"/>
      <c r="F595" s="1014"/>
      <c r="G595" s="1007"/>
      <c r="H595" s="762" t="s">
        <v>46</v>
      </c>
      <c r="I595" s="997"/>
      <c r="J595" s="997">
        <f t="shared" ref="J595:J596" si="256">J597+J599</f>
        <v>0</v>
      </c>
      <c r="K595" s="998"/>
      <c r="L595" s="998"/>
      <c r="M595" s="998"/>
      <c r="N595" s="998"/>
      <c r="O595" s="998"/>
      <c r="P595" s="998"/>
      <c r="Q595" s="1302"/>
      <c r="R595" s="1302"/>
      <c r="S595" s="1302"/>
      <c r="T595" s="1302"/>
      <c r="U595" s="1302"/>
      <c r="V595" s="1302"/>
      <c r="W595" s="1302"/>
      <c r="X595" s="1302"/>
      <c r="Y595" s="1302"/>
      <c r="Z595" s="1302"/>
    </row>
    <row r="596" spans="1:26" ht="18.75">
      <c r="A596" s="1326"/>
      <c r="B596" s="1327"/>
      <c r="C596" s="1327"/>
      <c r="D596" s="1327"/>
      <c r="E596" s="1014"/>
      <c r="F596" s="1014"/>
      <c r="G596" s="1007"/>
      <c r="H596" s="762" t="s">
        <v>34</v>
      </c>
      <c r="I596" s="997"/>
      <c r="J596" s="997">
        <f t="shared" si="256"/>
        <v>0</v>
      </c>
      <c r="K596" s="998"/>
      <c r="L596" s="998"/>
      <c r="M596" s="998"/>
      <c r="N596" s="998"/>
      <c r="O596" s="998"/>
      <c r="P596" s="998"/>
      <c r="Q596" s="1302"/>
      <c r="R596" s="1302"/>
      <c r="S596" s="1302"/>
      <c r="T596" s="1302"/>
      <c r="U596" s="1302"/>
      <c r="V596" s="1302"/>
      <c r="W596" s="1302"/>
      <c r="X596" s="1302"/>
      <c r="Y596" s="1302"/>
      <c r="Z596" s="1302"/>
    </row>
    <row r="597" spans="1:26" ht="18.75">
      <c r="A597" s="1326"/>
      <c r="B597" s="1327"/>
      <c r="C597" s="1327"/>
      <c r="D597" s="1069" t="s">
        <v>255</v>
      </c>
      <c r="E597" s="1014"/>
      <c r="F597" s="1014"/>
      <c r="G597" s="1007"/>
      <c r="H597" s="762" t="s">
        <v>46</v>
      </c>
      <c r="I597" s="997"/>
      <c r="J597" s="1012">
        <v>0</v>
      </c>
      <c r="K597" s="998"/>
      <c r="L597" s="998"/>
      <c r="M597" s="998"/>
      <c r="N597" s="998"/>
      <c r="O597" s="998"/>
      <c r="P597" s="998"/>
      <c r="Q597" s="1302"/>
      <c r="R597" s="1302"/>
      <c r="S597" s="1302"/>
      <c r="T597" s="1302"/>
      <c r="U597" s="1302"/>
      <c r="V597" s="1302"/>
      <c r="W597" s="1302"/>
      <c r="X597" s="1302"/>
      <c r="Y597" s="1302"/>
      <c r="Z597" s="1302"/>
    </row>
    <row r="598" spans="1:26" ht="18.75">
      <c r="A598" s="1326"/>
      <c r="B598" s="1327"/>
      <c r="C598" s="1327"/>
      <c r="D598" s="1327"/>
      <c r="E598" s="1014"/>
      <c r="F598" s="1014"/>
      <c r="G598" s="1007"/>
      <c r="H598" s="762" t="s">
        <v>34</v>
      </c>
      <c r="I598" s="880"/>
      <c r="J598" s="1012">
        <v>0</v>
      </c>
      <c r="K598" s="998"/>
      <c r="L598" s="998"/>
      <c r="M598" s="998"/>
      <c r="N598" s="998"/>
      <c r="O598" s="998"/>
      <c r="P598" s="998"/>
      <c r="Q598" s="1302"/>
      <c r="R598" s="1302"/>
      <c r="S598" s="1302"/>
      <c r="T598" s="1302"/>
      <c r="U598" s="1302"/>
      <c r="V598" s="1302"/>
      <c r="W598" s="1302"/>
      <c r="X598" s="1302"/>
      <c r="Y598" s="1302"/>
      <c r="Z598" s="1302"/>
    </row>
    <row r="599" spans="1:26" ht="18.75">
      <c r="A599" s="1326"/>
      <c r="B599" s="1327"/>
      <c r="C599" s="1327"/>
      <c r="D599" s="1069" t="s">
        <v>256</v>
      </c>
      <c r="E599" s="1014"/>
      <c r="F599" s="1014"/>
      <c r="G599" s="1007"/>
      <c r="H599" s="762" t="s">
        <v>46</v>
      </c>
      <c r="I599" s="880"/>
      <c r="J599" s="1012">
        <v>0</v>
      </c>
      <c r="K599" s="998"/>
      <c r="L599" s="998"/>
      <c r="M599" s="998"/>
      <c r="N599" s="998"/>
      <c r="O599" s="998"/>
      <c r="P599" s="998"/>
      <c r="Q599" s="1302"/>
      <c r="R599" s="1302"/>
      <c r="S599" s="1302"/>
      <c r="T599" s="1302"/>
      <c r="U599" s="1302"/>
      <c r="V599" s="1302"/>
      <c r="W599" s="1302"/>
      <c r="X599" s="1302"/>
      <c r="Y599" s="1302"/>
      <c r="Z599" s="1302"/>
    </row>
    <row r="600" spans="1:26" ht="18.75">
      <c r="A600" s="1326"/>
      <c r="B600" s="1327"/>
      <c r="C600" s="1327"/>
      <c r="D600" s="1327"/>
      <c r="E600" s="1014"/>
      <c r="F600" s="1014"/>
      <c r="G600" s="1007"/>
      <c r="H600" s="762" t="s">
        <v>34</v>
      </c>
      <c r="I600" s="880"/>
      <c r="J600" s="1012">
        <v>0</v>
      </c>
      <c r="K600" s="998"/>
      <c r="L600" s="998"/>
      <c r="M600" s="998"/>
      <c r="N600" s="998"/>
      <c r="O600" s="998"/>
      <c r="P600" s="998"/>
      <c r="Q600" s="1302"/>
      <c r="R600" s="1302"/>
      <c r="S600" s="1302"/>
      <c r="T600" s="1302"/>
      <c r="U600" s="1302"/>
      <c r="V600" s="1302"/>
      <c r="W600" s="1302"/>
      <c r="X600" s="1302"/>
      <c r="Y600" s="1302"/>
      <c r="Z600" s="1302"/>
    </row>
    <row r="601" spans="1:26" ht="18.75">
      <c r="A601" s="1326"/>
      <c r="B601" s="1327"/>
      <c r="C601" s="1327"/>
      <c r="D601" s="1069" t="s">
        <v>257</v>
      </c>
      <c r="E601" s="1014"/>
      <c r="F601" s="1014"/>
      <c r="G601" s="1007"/>
      <c r="H601" s="762" t="s">
        <v>46</v>
      </c>
      <c r="I601" s="880"/>
      <c r="J601" s="1012">
        <v>0</v>
      </c>
      <c r="K601" s="998"/>
      <c r="L601" s="998"/>
      <c r="M601" s="998"/>
      <c r="N601" s="998"/>
      <c r="O601" s="998"/>
      <c r="P601" s="998"/>
      <c r="Q601" s="1302"/>
      <c r="R601" s="1302"/>
      <c r="S601" s="1302"/>
      <c r="T601" s="1302"/>
      <c r="U601" s="1302"/>
      <c r="V601" s="1302"/>
      <c r="W601" s="1302"/>
      <c r="X601" s="1302"/>
      <c r="Y601" s="1302"/>
      <c r="Z601" s="1302"/>
    </row>
    <row r="602" spans="1:26" ht="18.75">
      <c r="A602" s="1326"/>
      <c r="B602" s="1327"/>
      <c r="C602" s="1327"/>
      <c r="D602" s="1327"/>
      <c r="E602" s="1014"/>
      <c r="F602" s="1014"/>
      <c r="G602" s="1007"/>
      <c r="H602" s="762" t="s">
        <v>34</v>
      </c>
      <c r="I602" s="880"/>
      <c r="J602" s="1012">
        <v>0</v>
      </c>
      <c r="K602" s="998"/>
      <c r="L602" s="998"/>
      <c r="M602" s="998"/>
      <c r="N602" s="998"/>
      <c r="O602" s="998"/>
      <c r="P602" s="998"/>
      <c r="Q602" s="1302"/>
      <c r="R602" s="1302"/>
      <c r="S602" s="1302"/>
      <c r="T602" s="1302"/>
      <c r="U602" s="1302"/>
      <c r="V602" s="1302"/>
      <c r="W602" s="1302"/>
      <c r="X602" s="1302"/>
      <c r="Y602" s="1302"/>
      <c r="Z602" s="1302"/>
    </row>
    <row r="603" spans="1:26" ht="18.75">
      <c r="A603" s="1326"/>
      <c r="B603" s="1327"/>
      <c r="C603" s="1401" t="s">
        <v>258</v>
      </c>
      <c r="D603" s="1327"/>
      <c r="E603" s="1327"/>
      <c r="F603" s="1014"/>
      <c r="G603" s="1007"/>
      <c r="H603" s="762" t="s">
        <v>46</v>
      </c>
      <c r="I603" s="880"/>
      <c r="J603" s="880">
        <f t="shared" ref="J603:J604" si="257">J605+J607</f>
        <v>0</v>
      </c>
      <c r="K603" s="998"/>
      <c r="L603" s="998"/>
      <c r="M603" s="998"/>
      <c r="N603" s="998"/>
      <c r="O603" s="998"/>
      <c r="P603" s="998"/>
      <c r="Q603" s="1302"/>
      <c r="R603" s="1302"/>
      <c r="S603" s="1302"/>
      <c r="T603" s="1302"/>
      <c r="U603" s="1302"/>
      <c r="V603" s="1302"/>
      <c r="W603" s="1302"/>
      <c r="X603" s="1302"/>
      <c r="Y603" s="1302"/>
      <c r="Z603" s="1302"/>
    </row>
    <row r="604" spans="1:26" ht="18.75">
      <c r="A604" s="1326"/>
      <c r="B604" s="1327"/>
      <c r="C604" s="1327"/>
      <c r="D604" s="1327"/>
      <c r="E604" s="1014"/>
      <c r="F604" s="1014"/>
      <c r="G604" s="1007"/>
      <c r="H604" s="762" t="s">
        <v>34</v>
      </c>
      <c r="I604" s="880"/>
      <c r="J604" s="880">
        <f t="shared" si="257"/>
        <v>0</v>
      </c>
      <c r="K604" s="998"/>
      <c r="L604" s="998"/>
      <c r="M604" s="998"/>
      <c r="N604" s="998"/>
      <c r="O604" s="998"/>
      <c r="P604" s="998"/>
      <c r="Q604" s="1302"/>
      <c r="R604" s="1302"/>
      <c r="S604" s="1302"/>
      <c r="T604" s="1302"/>
      <c r="U604" s="1302"/>
      <c r="V604" s="1302"/>
      <c r="W604" s="1302"/>
      <c r="X604" s="1302"/>
      <c r="Y604" s="1302"/>
      <c r="Z604" s="1302"/>
    </row>
    <row r="605" spans="1:26" ht="18.75">
      <c r="A605" s="1326"/>
      <c r="B605" s="1327"/>
      <c r="C605" s="1327"/>
      <c r="D605" s="1401" t="s">
        <v>259</v>
      </c>
      <c r="E605" s="1014"/>
      <c r="F605" s="1014"/>
      <c r="G605" s="1007"/>
      <c r="H605" s="762" t="s">
        <v>46</v>
      </c>
      <c r="I605" s="880"/>
      <c r="J605" s="1012">
        <v>0</v>
      </c>
      <c r="K605" s="998"/>
      <c r="L605" s="998"/>
      <c r="M605" s="998"/>
      <c r="N605" s="998"/>
      <c r="O605" s="998"/>
      <c r="P605" s="998"/>
      <c r="Q605" s="1302"/>
      <c r="R605" s="1302"/>
      <c r="S605" s="1302"/>
      <c r="T605" s="1302"/>
      <c r="U605" s="1302"/>
      <c r="V605" s="1302"/>
      <c r="W605" s="1302"/>
      <c r="X605" s="1302"/>
      <c r="Y605" s="1302"/>
      <c r="Z605" s="1302"/>
    </row>
    <row r="606" spans="1:26" ht="18.75">
      <c r="A606" s="1326"/>
      <c r="B606" s="1327"/>
      <c r="C606" s="1327"/>
      <c r="D606" s="1327"/>
      <c r="E606" s="1327"/>
      <c r="F606" s="1014"/>
      <c r="G606" s="1007"/>
      <c r="H606" s="762" t="s">
        <v>34</v>
      </c>
      <c r="I606" s="880"/>
      <c r="J606" s="1012">
        <v>0</v>
      </c>
      <c r="K606" s="998"/>
      <c r="L606" s="998"/>
      <c r="M606" s="998"/>
      <c r="N606" s="998"/>
      <c r="O606" s="998"/>
      <c r="P606" s="998"/>
      <c r="Q606" s="1302"/>
      <c r="R606" s="1302"/>
      <c r="S606" s="1302"/>
      <c r="T606" s="1302"/>
      <c r="U606" s="1302"/>
      <c r="V606" s="1302"/>
      <c r="W606" s="1302"/>
      <c r="X606" s="1302"/>
      <c r="Y606" s="1302"/>
      <c r="Z606" s="1302"/>
    </row>
    <row r="607" spans="1:26" ht="18.75">
      <c r="A607" s="1326"/>
      <c r="B607" s="1327"/>
      <c r="C607" s="1327"/>
      <c r="D607" s="1401" t="s">
        <v>260</v>
      </c>
      <c r="E607" s="1327"/>
      <c r="F607" s="1014"/>
      <c r="G607" s="1007"/>
      <c r="H607" s="762" t="s">
        <v>46</v>
      </c>
      <c r="I607" s="880"/>
      <c r="J607" s="1012">
        <v>0</v>
      </c>
      <c r="K607" s="998"/>
      <c r="L607" s="998"/>
      <c r="M607" s="998"/>
      <c r="N607" s="998"/>
      <c r="O607" s="998"/>
      <c r="P607" s="998"/>
      <c r="Q607" s="1302"/>
      <c r="R607" s="1302"/>
      <c r="S607" s="1302"/>
      <c r="T607" s="1302"/>
      <c r="U607" s="1302"/>
      <c r="V607" s="1302"/>
      <c r="W607" s="1302"/>
      <c r="X607" s="1302"/>
      <c r="Y607" s="1302"/>
      <c r="Z607" s="1302"/>
    </row>
    <row r="608" spans="1:26" ht="18.75">
      <c r="A608" s="1326"/>
      <c r="B608" s="1327"/>
      <c r="C608" s="1327"/>
      <c r="D608" s="1327"/>
      <c r="E608" s="1014"/>
      <c r="F608" s="1014"/>
      <c r="G608" s="1007"/>
      <c r="H608" s="762" t="s">
        <v>34</v>
      </c>
      <c r="I608" s="880"/>
      <c r="J608" s="1012">
        <v>0</v>
      </c>
      <c r="K608" s="998"/>
      <c r="L608" s="998"/>
      <c r="M608" s="998"/>
      <c r="N608" s="998"/>
      <c r="O608" s="998"/>
      <c r="P608" s="998"/>
      <c r="Q608" s="1302"/>
      <c r="R608" s="1302"/>
      <c r="S608" s="1302"/>
      <c r="T608" s="1302"/>
      <c r="U608" s="1302"/>
      <c r="V608" s="1302"/>
      <c r="W608" s="1302"/>
      <c r="X608" s="1302"/>
      <c r="Y608" s="1302"/>
      <c r="Z608" s="1302"/>
    </row>
    <row r="609" spans="1:26" ht="18.75">
      <c r="A609" s="1326"/>
      <c r="B609" s="1327"/>
      <c r="C609" s="1327" t="s">
        <v>261</v>
      </c>
      <c r="D609" s="1327"/>
      <c r="E609" s="1327"/>
      <c r="F609" s="1014"/>
      <c r="G609" s="1007"/>
      <c r="H609" s="762" t="s">
        <v>46</v>
      </c>
      <c r="I609" s="880"/>
      <c r="J609" s="1012">
        <v>0</v>
      </c>
      <c r="K609" s="998"/>
      <c r="L609" s="998"/>
      <c r="M609" s="998"/>
      <c r="N609" s="998"/>
      <c r="O609" s="998"/>
      <c r="P609" s="998"/>
      <c r="Q609" s="1302"/>
      <c r="R609" s="1302"/>
      <c r="S609" s="1302"/>
      <c r="T609" s="1302"/>
      <c r="U609" s="1302"/>
      <c r="V609" s="1302"/>
      <c r="W609" s="1302"/>
      <c r="X609" s="1302"/>
      <c r="Y609" s="1302"/>
      <c r="Z609" s="1302"/>
    </row>
    <row r="610" spans="1:26" ht="18.75">
      <c r="A610" s="1326"/>
      <c r="B610" s="1327"/>
      <c r="C610" s="1327"/>
      <c r="D610" s="1327"/>
      <c r="E610" s="1014"/>
      <c r="F610" s="1014"/>
      <c r="G610" s="1007"/>
      <c r="H610" s="762" t="s">
        <v>34</v>
      </c>
      <c r="I610" s="880"/>
      <c r="J610" s="1012">
        <v>0</v>
      </c>
      <c r="K610" s="998"/>
      <c r="L610" s="998"/>
      <c r="M610" s="998"/>
      <c r="N610" s="998"/>
      <c r="O610" s="998"/>
      <c r="P610" s="998"/>
      <c r="Q610" s="1302"/>
      <c r="R610" s="1302"/>
      <c r="S610" s="1302"/>
      <c r="T610" s="1302"/>
      <c r="U610" s="1302"/>
      <c r="V610" s="1302"/>
      <c r="W610" s="1302"/>
      <c r="X610" s="1302"/>
      <c r="Y610" s="1302"/>
      <c r="Z610" s="1302"/>
    </row>
    <row r="611" spans="1:26" ht="19.5">
      <c r="A611" s="1390"/>
      <c r="B611" s="1402" t="s">
        <v>262</v>
      </c>
      <c r="C611" s="1392"/>
      <c r="D611" s="1392"/>
      <c r="E611" s="1375"/>
      <c r="F611" s="1375"/>
      <c r="G611" s="1376"/>
      <c r="H611" s="705" t="s">
        <v>46</v>
      </c>
      <c r="I611" s="1377">
        <v>0</v>
      </c>
      <c r="J611" s="1377">
        <f>J614+J616</f>
        <v>0</v>
      </c>
      <c r="K611" s="1378">
        <f t="shared" ref="K611:K613" si="258">IF(I611&gt;0,J611*100/I611,0)</f>
        <v>0</v>
      </c>
      <c r="L611" s="1379"/>
      <c r="M611" s="1379"/>
      <c r="N611" s="1379"/>
      <c r="O611" s="1379"/>
      <c r="P611" s="1379"/>
      <c r="Q611" s="1302"/>
      <c r="R611" s="1302"/>
      <c r="S611" s="1302"/>
      <c r="T611" s="1302"/>
      <c r="U611" s="1302"/>
      <c r="V611" s="1302"/>
      <c r="W611" s="1302"/>
      <c r="X611" s="1302"/>
      <c r="Y611" s="1302"/>
      <c r="Z611" s="1302"/>
    </row>
    <row r="612" spans="1:26" ht="19.5" hidden="1">
      <c r="A612" s="1403"/>
      <c r="B612" s="1404"/>
      <c r="C612" s="1405" t="s">
        <v>263</v>
      </c>
      <c r="D612" s="1404"/>
      <c r="E612" s="1404"/>
      <c r="F612" s="1406"/>
      <c r="G612" s="1407"/>
      <c r="H612" s="712" t="s">
        <v>46</v>
      </c>
      <c r="I612" s="1408">
        <v>0</v>
      </c>
      <c r="J612" s="1408">
        <f t="shared" ref="J612:J613" si="259">J614+J616</f>
        <v>0</v>
      </c>
      <c r="K612" s="1409">
        <f t="shared" si="258"/>
        <v>0</v>
      </c>
      <c r="L612" s="1410"/>
      <c r="M612" s="1410"/>
      <c r="N612" s="1410"/>
      <c r="O612" s="1410"/>
      <c r="P612" s="1410"/>
      <c r="Q612" s="1323"/>
      <c r="R612" s="1323"/>
      <c r="S612" s="1323"/>
      <c r="T612" s="1323"/>
      <c r="U612" s="1323"/>
      <c r="V612" s="1323"/>
      <c r="W612" s="1323"/>
      <c r="X612" s="1323"/>
      <c r="Y612" s="1323"/>
      <c r="Z612" s="1323"/>
    </row>
    <row r="613" spans="1:26" ht="19.5" hidden="1">
      <c r="A613" s="1403"/>
      <c r="B613" s="1404"/>
      <c r="C613" s="1404" t="s">
        <v>264</v>
      </c>
      <c r="D613" s="1404"/>
      <c r="E613" s="1404"/>
      <c r="F613" s="1406"/>
      <c r="G613" s="1407"/>
      <c r="H613" s="712" t="s">
        <v>34</v>
      </c>
      <c r="I613" s="1408">
        <v>0</v>
      </c>
      <c r="J613" s="1408">
        <f t="shared" si="259"/>
        <v>0</v>
      </c>
      <c r="K613" s="1409">
        <f t="shared" si="258"/>
        <v>0</v>
      </c>
      <c r="L613" s="1410"/>
      <c r="M613" s="1410"/>
      <c r="N613" s="1410"/>
      <c r="O613" s="1410"/>
      <c r="P613" s="1410"/>
      <c r="Q613" s="1323"/>
      <c r="R613" s="1323"/>
      <c r="S613" s="1323"/>
      <c r="T613" s="1323"/>
      <c r="U613" s="1323"/>
      <c r="V613" s="1323"/>
      <c r="W613" s="1323"/>
      <c r="X613" s="1323"/>
      <c r="Y613" s="1323"/>
      <c r="Z613" s="1323"/>
    </row>
    <row r="614" spans="1:26" ht="18.75" hidden="1">
      <c r="A614" s="1332"/>
      <c r="B614" s="1333"/>
      <c r="C614" s="1333"/>
      <c r="D614" s="1321" t="s">
        <v>265</v>
      </c>
      <c r="E614" s="1333"/>
      <c r="F614" s="1321"/>
      <c r="G614" s="1113"/>
      <c r="H614" s="370" t="s">
        <v>46</v>
      </c>
      <c r="I614" s="886"/>
      <c r="J614" s="886">
        <v>0</v>
      </c>
      <c r="K614" s="1001"/>
      <c r="L614" s="1001"/>
      <c r="M614" s="1001"/>
      <c r="N614" s="1001"/>
      <c r="O614" s="1001"/>
      <c r="P614" s="1001"/>
      <c r="Q614" s="1323"/>
      <c r="R614" s="1323"/>
      <c r="S614" s="1323"/>
      <c r="T614" s="1323"/>
      <c r="U614" s="1323"/>
      <c r="V614" s="1323"/>
      <c r="W614" s="1323"/>
      <c r="X614" s="1323"/>
      <c r="Y614" s="1323"/>
      <c r="Z614" s="1323"/>
    </row>
    <row r="615" spans="1:26" ht="18.75" hidden="1">
      <c r="A615" s="1332"/>
      <c r="B615" s="1333"/>
      <c r="C615" s="1333"/>
      <c r="D615" s="1333"/>
      <c r="E615" s="1333"/>
      <c r="F615" s="1321"/>
      <c r="G615" s="1113"/>
      <c r="H615" s="370" t="s">
        <v>34</v>
      </c>
      <c r="I615" s="886"/>
      <c r="J615" s="886">
        <v>0</v>
      </c>
      <c r="K615" s="1001"/>
      <c r="L615" s="1001"/>
      <c r="M615" s="1001"/>
      <c r="N615" s="1001"/>
      <c r="O615" s="1001"/>
      <c r="P615" s="1001"/>
      <c r="Q615" s="1323"/>
      <c r="R615" s="1323"/>
      <c r="S615" s="1323"/>
      <c r="T615" s="1323"/>
      <c r="U615" s="1323"/>
      <c r="V615" s="1323"/>
      <c r="W615" s="1323"/>
      <c r="X615" s="1323"/>
      <c r="Y615" s="1323"/>
      <c r="Z615" s="1323"/>
    </row>
    <row r="616" spans="1:26" ht="18.75" hidden="1">
      <c r="A616" s="1332"/>
      <c r="B616" s="1333"/>
      <c r="C616" s="1333"/>
      <c r="D616" s="1411" t="s">
        <v>265</v>
      </c>
      <c r="E616" s="1321"/>
      <c r="F616" s="1321"/>
      <c r="G616" s="1113"/>
      <c r="H616" s="370" t="s">
        <v>46</v>
      </c>
      <c r="I616" s="886"/>
      <c r="J616" s="886">
        <v>0</v>
      </c>
      <c r="K616" s="1001"/>
      <c r="L616" s="1001"/>
      <c r="M616" s="1001"/>
      <c r="N616" s="1001"/>
      <c r="O616" s="1001"/>
      <c r="P616" s="1001"/>
      <c r="Q616" s="1323"/>
      <c r="R616" s="1323"/>
      <c r="S616" s="1323"/>
      <c r="T616" s="1323"/>
      <c r="U616" s="1323"/>
      <c r="V616" s="1323"/>
      <c r="W616" s="1323"/>
      <c r="X616" s="1323"/>
      <c r="Y616" s="1323"/>
      <c r="Z616" s="1323"/>
    </row>
    <row r="617" spans="1:26" ht="18.75" hidden="1">
      <c r="A617" s="1332"/>
      <c r="B617" s="1333"/>
      <c r="C617" s="1333"/>
      <c r="D617" s="1333"/>
      <c r="E617" s="1321"/>
      <c r="F617" s="1321"/>
      <c r="G617" s="1113"/>
      <c r="H617" s="370" t="s">
        <v>34</v>
      </c>
      <c r="I617" s="886"/>
      <c r="J617" s="886">
        <v>0</v>
      </c>
      <c r="K617" s="1001"/>
      <c r="L617" s="1001"/>
      <c r="M617" s="1001"/>
      <c r="N617" s="1001"/>
      <c r="O617" s="1001"/>
      <c r="P617" s="1001"/>
      <c r="Q617" s="1323"/>
      <c r="R617" s="1323"/>
      <c r="S617" s="1323"/>
      <c r="T617" s="1323"/>
      <c r="U617" s="1323"/>
      <c r="V617" s="1323"/>
      <c r="W617" s="1323"/>
      <c r="X617" s="1323"/>
      <c r="Y617" s="1323"/>
      <c r="Z617" s="1323"/>
    </row>
    <row r="618" spans="1:26" ht="18.75" hidden="1">
      <c r="A618" s="1332"/>
      <c r="B618" s="1333"/>
      <c r="C618" s="1333"/>
      <c r="D618" s="1411" t="s">
        <v>266</v>
      </c>
      <c r="E618" s="1321"/>
      <c r="F618" s="1321"/>
      <c r="G618" s="1113"/>
      <c r="H618" s="370" t="s">
        <v>46</v>
      </c>
      <c r="I618" s="886"/>
      <c r="J618" s="886">
        <v>0</v>
      </c>
      <c r="K618" s="1001"/>
      <c r="L618" s="1001"/>
      <c r="M618" s="1001"/>
      <c r="N618" s="1001"/>
      <c r="O618" s="1001"/>
      <c r="P618" s="1001"/>
      <c r="Q618" s="1323"/>
      <c r="R618" s="1323"/>
      <c r="S618" s="1323"/>
      <c r="T618" s="1323"/>
      <c r="U618" s="1323"/>
      <c r="V618" s="1323"/>
      <c r="W618" s="1323"/>
      <c r="X618" s="1323"/>
      <c r="Y618" s="1323"/>
      <c r="Z618" s="1323"/>
    </row>
    <row r="619" spans="1:26" ht="18.75" hidden="1">
      <c r="A619" s="1332"/>
      <c r="B619" s="1333"/>
      <c r="C619" s="1333"/>
      <c r="D619" s="1333"/>
      <c r="E619" s="1321"/>
      <c r="F619" s="1321"/>
      <c r="G619" s="1113"/>
      <c r="H619" s="370" t="s">
        <v>34</v>
      </c>
      <c r="I619" s="886"/>
      <c r="J619" s="886">
        <v>0</v>
      </c>
      <c r="K619" s="1001"/>
      <c r="L619" s="1001"/>
      <c r="M619" s="1001"/>
      <c r="N619" s="1001"/>
      <c r="O619" s="1001"/>
      <c r="P619" s="1001"/>
      <c r="Q619" s="1323"/>
      <c r="R619" s="1323"/>
      <c r="S619" s="1323"/>
      <c r="T619" s="1323"/>
      <c r="U619" s="1323"/>
      <c r="V619" s="1323"/>
      <c r="W619" s="1323"/>
      <c r="X619" s="1323"/>
      <c r="Y619" s="1323"/>
      <c r="Z619" s="1323"/>
    </row>
    <row r="620" spans="1:26" ht="19.5">
      <c r="A620" s="1412"/>
      <c r="B620" s="1413"/>
      <c r="C620" s="1414" t="s">
        <v>267</v>
      </c>
      <c r="D620" s="1413"/>
      <c r="E620" s="1413"/>
      <c r="F620" s="1415"/>
      <c r="G620" s="1416"/>
      <c r="H620" s="725" t="s">
        <v>46</v>
      </c>
      <c r="I620" s="1417">
        <f ca="1">IFERROR(__xludf.DUMMYFUNCTION("IMPORTRANGE(""https://docs.google.com/spreadsheets/d/1QqKyyYR6Q21VydFLVH3TRQUabQu_ym0Zz7PgGX0-kHA/edit?usp=sharing"",""แผน!HL82"")"),13)</f>
        <v>13</v>
      </c>
      <c r="J620" s="1417">
        <f t="shared" ref="J620:J621" si="260">J622+J624+J626</f>
        <v>0</v>
      </c>
      <c r="K620" s="1418">
        <f t="shared" ref="K620:K621" ca="1" si="261">IF(I620&gt;0,J620*100/I620,0)</f>
        <v>0</v>
      </c>
      <c r="L620" s="1419"/>
      <c r="M620" s="1419"/>
      <c r="N620" s="1419"/>
      <c r="O620" s="1419"/>
      <c r="P620" s="1419"/>
      <c r="Q620" s="1302"/>
      <c r="R620" s="1302"/>
      <c r="S620" s="1302"/>
      <c r="T620" s="1302"/>
      <c r="U620" s="1302"/>
      <c r="V620" s="1302"/>
      <c r="W620" s="1302"/>
      <c r="X620" s="1302"/>
      <c r="Y620" s="1302"/>
      <c r="Z620" s="1302"/>
    </row>
    <row r="621" spans="1:26" ht="19.5">
      <c r="A621" s="1412"/>
      <c r="B621" s="1413"/>
      <c r="C621" s="1413" t="s">
        <v>268</v>
      </c>
      <c r="D621" s="1413"/>
      <c r="E621" s="1413"/>
      <c r="F621" s="1415"/>
      <c r="G621" s="1416"/>
      <c r="H621" s="725" t="s">
        <v>34</v>
      </c>
      <c r="I621" s="1417">
        <f ca="1">IFERROR(__xludf.DUMMYFUNCTION("IMPORTRANGE(""https://docs.google.com/spreadsheets/d/1QqKyyYR6Q21VydFLVH3TRQUabQu_ym0Zz7PgGX0-kHA/edit?usp=sharing"",""แผน!HK82"")"),4)</f>
        <v>4</v>
      </c>
      <c r="J621" s="1417">
        <f t="shared" si="260"/>
        <v>0</v>
      </c>
      <c r="K621" s="1418">
        <f t="shared" ca="1" si="261"/>
        <v>0</v>
      </c>
      <c r="L621" s="1419"/>
      <c r="M621" s="1419"/>
      <c r="N621" s="1419"/>
      <c r="O621" s="1419"/>
      <c r="P621" s="1419"/>
      <c r="Q621" s="1302"/>
      <c r="R621" s="1302"/>
      <c r="S621" s="1302"/>
      <c r="T621" s="1302"/>
      <c r="U621" s="1302"/>
      <c r="V621" s="1302"/>
      <c r="W621" s="1302"/>
      <c r="X621" s="1302"/>
      <c r="Y621" s="1302"/>
      <c r="Z621" s="1302"/>
    </row>
    <row r="622" spans="1:26" ht="18.75">
      <c r="A622" s="1326"/>
      <c r="B622" s="1327"/>
      <c r="C622" s="1327"/>
      <c r="D622" s="1069" t="s">
        <v>269</v>
      </c>
      <c r="E622" s="1014"/>
      <c r="F622" s="1014"/>
      <c r="G622" s="1007"/>
      <c r="H622" s="762" t="s">
        <v>46</v>
      </c>
      <c r="I622" s="880"/>
      <c r="J622" s="1012">
        <v>0</v>
      </c>
      <c r="K622" s="998"/>
      <c r="L622" s="998"/>
      <c r="M622" s="998"/>
      <c r="N622" s="998"/>
      <c r="O622" s="998"/>
      <c r="P622" s="998"/>
      <c r="Q622" s="1302"/>
      <c r="R622" s="1302"/>
      <c r="S622" s="1302"/>
      <c r="T622" s="1302"/>
      <c r="U622" s="1302"/>
      <c r="V622" s="1302"/>
      <c r="W622" s="1302"/>
      <c r="X622" s="1302"/>
      <c r="Y622" s="1302"/>
      <c r="Z622" s="1302"/>
    </row>
    <row r="623" spans="1:26" ht="18.75">
      <c r="A623" s="1326"/>
      <c r="B623" s="1327"/>
      <c r="C623" s="1327"/>
      <c r="D623" s="1327"/>
      <c r="E623" s="1014"/>
      <c r="F623" s="1014"/>
      <c r="G623" s="1007"/>
      <c r="H623" s="762" t="s">
        <v>34</v>
      </c>
      <c r="I623" s="880"/>
      <c r="J623" s="1012">
        <v>0</v>
      </c>
      <c r="K623" s="998"/>
      <c r="L623" s="998"/>
      <c r="M623" s="998"/>
      <c r="N623" s="998"/>
      <c r="O623" s="998"/>
      <c r="P623" s="998"/>
      <c r="Q623" s="1302"/>
      <c r="R623" s="1302"/>
      <c r="S623" s="1302"/>
      <c r="T623" s="1302"/>
      <c r="U623" s="1302"/>
      <c r="V623" s="1302"/>
      <c r="W623" s="1302"/>
      <c r="X623" s="1302"/>
      <c r="Y623" s="1302"/>
      <c r="Z623" s="1302"/>
    </row>
    <row r="624" spans="1:26" ht="18.75">
      <c r="A624" s="1326"/>
      <c r="B624" s="1327"/>
      <c r="C624" s="1327"/>
      <c r="D624" s="1069" t="s">
        <v>265</v>
      </c>
      <c r="E624" s="1014"/>
      <c r="F624" s="1014"/>
      <c r="G624" s="1007"/>
      <c r="H624" s="762" t="s">
        <v>46</v>
      </c>
      <c r="I624" s="880"/>
      <c r="J624" s="1012">
        <v>0</v>
      </c>
      <c r="K624" s="998"/>
      <c r="L624" s="998"/>
      <c r="M624" s="998"/>
      <c r="N624" s="998"/>
      <c r="O624" s="998"/>
      <c r="P624" s="998"/>
      <c r="Q624" s="1302"/>
      <c r="R624" s="1302"/>
      <c r="S624" s="1302"/>
      <c r="T624" s="1302"/>
      <c r="U624" s="1302"/>
      <c r="V624" s="1302"/>
      <c r="W624" s="1302"/>
      <c r="X624" s="1302"/>
      <c r="Y624" s="1302"/>
      <c r="Z624" s="1302"/>
    </row>
    <row r="625" spans="1:26" ht="18.75">
      <c r="A625" s="1326"/>
      <c r="B625" s="1327"/>
      <c r="C625" s="1327"/>
      <c r="D625" s="1327"/>
      <c r="E625" s="1014"/>
      <c r="F625" s="1014"/>
      <c r="G625" s="1007"/>
      <c r="H625" s="762" t="s">
        <v>34</v>
      </c>
      <c r="I625" s="880"/>
      <c r="J625" s="1012">
        <v>0</v>
      </c>
      <c r="K625" s="998"/>
      <c r="L625" s="998"/>
      <c r="M625" s="998"/>
      <c r="N625" s="998"/>
      <c r="O625" s="998"/>
      <c r="P625" s="998"/>
      <c r="Q625" s="1302"/>
      <c r="R625" s="1302"/>
      <c r="S625" s="1302"/>
      <c r="T625" s="1302"/>
      <c r="U625" s="1302"/>
      <c r="V625" s="1302"/>
      <c r="W625" s="1302"/>
      <c r="X625" s="1302"/>
      <c r="Y625" s="1302"/>
      <c r="Z625" s="1302"/>
    </row>
    <row r="626" spans="1:26" ht="18.75">
      <c r="A626" s="1326"/>
      <c r="B626" s="1327"/>
      <c r="C626" s="1327"/>
      <c r="D626" s="1069" t="s">
        <v>270</v>
      </c>
      <c r="E626" s="1014"/>
      <c r="F626" s="1014"/>
      <c r="G626" s="1007"/>
      <c r="H626" s="762" t="s">
        <v>46</v>
      </c>
      <c r="I626" s="880"/>
      <c r="J626" s="1012">
        <v>0</v>
      </c>
      <c r="K626" s="998"/>
      <c r="L626" s="998"/>
      <c r="M626" s="998"/>
      <c r="N626" s="998"/>
      <c r="O626" s="998"/>
      <c r="P626" s="998"/>
      <c r="Q626" s="1302"/>
      <c r="R626" s="1302"/>
      <c r="S626" s="1302"/>
      <c r="T626" s="1302"/>
      <c r="U626" s="1302"/>
      <c r="V626" s="1302"/>
      <c r="W626" s="1302"/>
      <c r="X626" s="1302"/>
      <c r="Y626" s="1302"/>
      <c r="Z626" s="1302"/>
    </row>
    <row r="627" spans="1:26" ht="18.75">
      <c r="A627" s="1420"/>
      <c r="B627" s="1421"/>
      <c r="C627" s="1421"/>
      <c r="D627" s="1421"/>
      <c r="E627" s="1169"/>
      <c r="F627" s="1169"/>
      <c r="G627" s="1422"/>
      <c r="H627" s="423" t="s">
        <v>34</v>
      </c>
      <c r="I627" s="1138"/>
      <c r="J627" s="1171">
        <v>0</v>
      </c>
      <c r="K627" s="1139"/>
      <c r="L627" s="1139"/>
      <c r="M627" s="1139"/>
      <c r="N627" s="1139"/>
      <c r="O627" s="1139"/>
      <c r="P627" s="1139"/>
      <c r="Q627" s="1302"/>
      <c r="R627" s="1302"/>
      <c r="S627" s="1302"/>
      <c r="T627" s="1302"/>
      <c r="U627" s="1302"/>
      <c r="V627" s="1302"/>
      <c r="W627" s="1302"/>
      <c r="X627" s="1302"/>
      <c r="Y627" s="1302"/>
      <c r="Z627" s="1302"/>
    </row>
    <row r="628" spans="1:26" ht="19.5" hidden="1">
      <c r="A628" s="734">
        <v>7</v>
      </c>
      <c r="B628" s="1423" t="s">
        <v>271</v>
      </c>
      <c r="C628" s="1424"/>
      <c r="D628" s="1424"/>
      <c r="E628" s="1424"/>
      <c r="F628" s="1424"/>
      <c r="G628" s="1425"/>
      <c r="H628" s="738" t="s">
        <v>35</v>
      </c>
      <c r="I628" s="1426">
        <f t="shared" ref="I628:J628" ca="1" si="262">I651</f>
        <v>0</v>
      </c>
      <c r="J628" s="1426">
        <f t="shared" ca="1" si="262"/>
        <v>0</v>
      </c>
      <c r="K628" s="1427">
        <f ca="1">IF(I628&gt;0,J628*100/I628,0)</f>
        <v>0</v>
      </c>
      <c r="L628" s="1428"/>
      <c r="M628" s="1428"/>
      <c r="N628" s="1428"/>
      <c r="O628" s="1428"/>
      <c r="P628" s="1428"/>
      <c r="Q628" s="1302"/>
      <c r="R628" s="1302"/>
      <c r="S628" s="1302"/>
      <c r="T628" s="1302"/>
      <c r="U628" s="1302"/>
      <c r="V628" s="1302"/>
      <c r="W628" s="1302"/>
      <c r="X628" s="1302"/>
      <c r="Y628" s="1302"/>
      <c r="Z628" s="1302"/>
    </row>
    <row r="629" spans="1:26" ht="19.5" hidden="1">
      <c r="A629" s="1317"/>
      <c r="B629" s="1301"/>
      <c r="C629" s="1301" t="s">
        <v>16</v>
      </c>
      <c r="D629" s="1318" t="s">
        <v>17</v>
      </c>
      <c r="E629" s="841"/>
      <c r="F629" s="841"/>
      <c r="G629" s="1016"/>
      <c r="H629" s="597" t="s">
        <v>12</v>
      </c>
      <c r="I629" s="880"/>
      <c r="J629" s="880"/>
      <c r="K629" s="881"/>
      <c r="L629" s="1020">
        <f t="shared" ref="L629:N629" ca="1" si="263">L630+L631</f>
        <v>0</v>
      </c>
      <c r="M629" s="1020">
        <f t="shared" si="263"/>
        <v>0</v>
      </c>
      <c r="N629" s="1020">
        <f t="shared" si="263"/>
        <v>0</v>
      </c>
      <c r="O629" s="1020">
        <f t="shared" ref="O629:O634" ca="1" si="264">IF(L629&gt;0,N629*100/L629,0)</f>
        <v>0</v>
      </c>
      <c r="P629" s="1020">
        <f t="shared" ref="P629:P634" si="265">IF(M629&gt;0,N629*100/M629,0)</f>
        <v>0</v>
      </c>
      <c r="Q629" s="1302"/>
      <c r="R629" s="1302"/>
      <c r="S629" s="1302"/>
      <c r="T629" s="1302"/>
      <c r="U629" s="1302"/>
      <c r="V629" s="1302"/>
      <c r="W629" s="1302"/>
      <c r="X629" s="1302"/>
      <c r="Y629" s="1302"/>
      <c r="Z629" s="1302"/>
    </row>
    <row r="630" spans="1:26" ht="18.75" hidden="1">
      <c r="A630" s="1319"/>
      <c r="B630" s="1320"/>
      <c r="C630" s="1320"/>
      <c r="D630" s="1321"/>
      <c r="E630" s="1320" t="s">
        <v>185</v>
      </c>
      <c r="F630" s="1320"/>
      <c r="G630" s="1322"/>
      <c r="H630" s="165" t="s">
        <v>12</v>
      </c>
      <c r="I630" s="886"/>
      <c r="J630" s="886"/>
      <c r="K630" s="887"/>
      <c r="L630" s="887">
        <f t="shared" ref="L630:N631" si="266">L633+L640</f>
        <v>0</v>
      </c>
      <c r="M630" s="887">
        <f t="shared" si="266"/>
        <v>0</v>
      </c>
      <c r="N630" s="887">
        <f t="shared" si="266"/>
        <v>0</v>
      </c>
      <c r="O630" s="887">
        <f t="shared" si="264"/>
        <v>0</v>
      </c>
      <c r="P630" s="887">
        <f t="shared" si="265"/>
        <v>0</v>
      </c>
      <c r="Q630" s="1323"/>
      <c r="R630" s="1323"/>
      <c r="S630" s="1323"/>
      <c r="T630" s="1323"/>
      <c r="U630" s="1323"/>
      <c r="V630" s="1323"/>
      <c r="W630" s="1323"/>
      <c r="X630" s="1323"/>
      <c r="Y630" s="1323"/>
      <c r="Z630" s="1323"/>
    </row>
    <row r="631" spans="1:26" ht="18.75" hidden="1">
      <c r="A631" s="1319"/>
      <c r="B631" s="1324"/>
      <c r="C631" s="1320"/>
      <c r="D631" s="1321"/>
      <c r="E631" s="1320" t="s">
        <v>186</v>
      </c>
      <c r="F631" s="1320"/>
      <c r="G631" s="1322"/>
      <c r="H631" s="165" t="s">
        <v>12</v>
      </c>
      <c r="I631" s="886"/>
      <c r="J631" s="886"/>
      <c r="K631" s="887"/>
      <c r="L631" s="887">
        <f t="shared" ca="1" si="266"/>
        <v>0</v>
      </c>
      <c r="M631" s="887">
        <f t="shared" si="266"/>
        <v>0</v>
      </c>
      <c r="N631" s="887">
        <f t="shared" si="266"/>
        <v>0</v>
      </c>
      <c r="O631" s="887">
        <f t="shared" ca="1" si="264"/>
        <v>0</v>
      </c>
      <c r="P631" s="887">
        <f t="shared" si="265"/>
        <v>0</v>
      </c>
      <c r="Q631" s="1323"/>
      <c r="R631" s="1323"/>
      <c r="S631" s="1323"/>
      <c r="T631" s="1323"/>
      <c r="U631" s="1323"/>
      <c r="V631" s="1323"/>
      <c r="W631" s="1323"/>
      <c r="X631" s="1323"/>
      <c r="Y631" s="1323"/>
      <c r="Z631" s="1323"/>
    </row>
    <row r="632" spans="1:26" ht="18.75" hidden="1">
      <c r="A632" s="1317"/>
      <c r="B632" s="1300"/>
      <c r="C632" s="1301"/>
      <c r="D632" s="1325" t="s">
        <v>20</v>
      </c>
      <c r="E632" s="1301"/>
      <c r="F632" s="1301"/>
      <c r="G632" s="1016"/>
      <c r="H632" s="161" t="s">
        <v>12</v>
      </c>
      <c r="I632" s="997"/>
      <c r="J632" s="997"/>
      <c r="K632" s="998"/>
      <c r="L632" s="881">
        <f t="shared" ref="L632:N632" ca="1" si="267">L633+L634</f>
        <v>0</v>
      </c>
      <c r="M632" s="881">
        <f t="shared" si="267"/>
        <v>0</v>
      </c>
      <c r="N632" s="881">
        <f t="shared" si="267"/>
        <v>0</v>
      </c>
      <c r="O632" s="881">
        <f t="shared" ca="1" si="264"/>
        <v>0</v>
      </c>
      <c r="P632" s="881">
        <f t="shared" si="265"/>
        <v>0</v>
      </c>
      <c r="Q632" s="1302"/>
      <c r="R632" s="1302"/>
      <c r="S632" s="1302"/>
      <c r="T632" s="1302"/>
      <c r="U632" s="1302"/>
      <c r="V632" s="1302"/>
      <c r="W632" s="1302"/>
      <c r="X632" s="1302"/>
      <c r="Y632" s="1302"/>
      <c r="Z632" s="1302"/>
    </row>
    <row r="633" spans="1:26" ht="18.75" hidden="1">
      <c r="A633" s="1319"/>
      <c r="B633" s="1324"/>
      <c r="C633" s="1320"/>
      <c r="D633" s="1321"/>
      <c r="E633" s="1320" t="s">
        <v>185</v>
      </c>
      <c r="F633" s="1320"/>
      <c r="G633" s="1322"/>
      <c r="H633" s="165" t="s">
        <v>12</v>
      </c>
      <c r="I633" s="886"/>
      <c r="J633" s="886"/>
      <c r="K633" s="887"/>
      <c r="L633" s="887">
        <v>0</v>
      </c>
      <c r="M633" s="887">
        <v>0</v>
      </c>
      <c r="N633" s="887">
        <v>0</v>
      </c>
      <c r="O633" s="887">
        <f t="shared" si="264"/>
        <v>0</v>
      </c>
      <c r="P633" s="887">
        <f t="shared" si="265"/>
        <v>0</v>
      </c>
      <c r="Q633" s="1323"/>
      <c r="R633" s="1323"/>
      <c r="S633" s="1323"/>
      <c r="T633" s="1323"/>
      <c r="U633" s="1323"/>
      <c r="V633" s="1323"/>
      <c r="W633" s="1323"/>
      <c r="X633" s="1323"/>
      <c r="Y633" s="1323"/>
      <c r="Z633" s="1323"/>
    </row>
    <row r="634" spans="1:26" ht="18.75" hidden="1">
      <c r="A634" s="1319"/>
      <c r="B634" s="1324"/>
      <c r="C634" s="1320"/>
      <c r="D634" s="1321"/>
      <c r="E634" s="1320" t="s">
        <v>186</v>
      </c>
      <c r="F634" s="1320"/>
      <c r="G634" s="1322"/>
      <c r="H634" s="165" t="s">
        <v>12</v>
      </c>
      <c r="I634" s="886"/>
      <c r="J634" s="886"/>
      <c r="K634" s="887"/>
      <c r="L634" s="887">
        <f ca="1">IFERROR(__xludf.DUMMYFUNCTION("IMPORTRANGE(""https://docs.google.com/spreadsheets/d/1QqKyyYR6Q21VydFLVH3TRQUabQu_ym0Zz7PgGX0-kHA/edit?usp=sharing"",""แผน!HN82"")"),0)</f>
        <v>0</v>
      </c>
      <c r="M634" s="887">
        <v>0</v>
      </c>
      <c r="N634" s="887">
        <f>N635+N636+N637+N638</f>
        <v>0</v>
      </c>
      <c r="O634" s="887">
        <f t="shared" ca="1" si="264"/>
        <v>0</v>
      </c>
      <c r="P634" s="887">
        <f t="shared" si="265"/>
        <v>0</v>
      </c>
      <c r="Q634" s="1323"/>
      <c r="R634" s="1323"/>
      <c r="S634" s="1323"/>
      <c r="T634" s="1323"/>
      <c r="U634" s="1323"/>
      <c r="V634" s="1323"/>
      <c r="W634" s="1323"/>
      <c r="X634" s="1323"/>
      <c r="Y634" s="1323"/>
      <c r="Z634" s="1323"/>
    </row>
    <row r="635" spans="1:26" ht="18.75" hidden="1">
      <c r="A635" s="1299"/>
      <c r="B635" s="1300"/>
      <c r="C635" s="1301"/>
      <c r="D635" s="1301"/>
      <c r="E635" s="1301"/>
      <c r="F635" s="1301" t="s">
        <v>187</v>
      </c>
      <c r="G635" s="1016"/>
      <c r="H635" s="161" t="s">
        <v>12</v>
      </c>
      <c r="I635" s="880"/>
      <c r="J635" s="880"/>
      <c r="K635" s="881"/>
      <c r="L635" s="881"/>
      <c r="M635" s="881"/>
      <c r="N635" s="1085">
        <v>0</v>
      </c>
      <c r="O635" s="881"/>
      <c r="P635" s="881"/>
      <c r="Q635" s="1302"/>
      <c r="R635" s="1302"/>
      <c r="S635" s="1302"/>
      <c r="T635" s="1302"/>
      <c r="U635" s="1302"/>
      <c r="V635" s="1302"/>
      <c r="W635" s="1302"/>
      <c r="X635" s="1302"/>
      <c r="Y635" s="1302"/>
      <c r="Z635" s="1302"/>
    </row>
    <row r="636" spans="1:26" ht="18.75" hidden="1">
      <c r="A636" s="1299"/>
      <c r="B636" s="1300"/>
      <c r="C636" s="1301"/>
      <c r="D636" s="1301"/>
      <c r="E636" s="1301"/>
      <c r="F636" s="1301" t="s">
        <v>188</v>
      </c>
      <c r="G636" s="1016"/>
      <c r="H636" s="161" t="s">
        <v>12</v>
      </c>
      <c r="I636" s="880"/>
      <c r="J636" s="880"/>
      <c r="K636" s="881"/>
      <c r="L636" s="881"/>
      <c r="M636" s="881"/>
      <c r="N636" s="1085">
        <v>0</v>
      </c>
      <c r="O636" s="881"/>
      <c r="P636" s="881"/>
      <c r="Q636" s="1302"/>
      <c r="R636" s="1302"/>
      <c r="S636" s="1302"/>
      <c r="T636" s="1302"/>
      <c r="U636" s="1302"/>
      <c r="V636" s="1302"/>
      <c r="W636" s="1302"/>
      <c r="X636" s="1302"/>
      <c r="Y636" s="1302"/>
      <c r="Z636" s="1302"/>
    </row>
    <row r="637" spans="1:26" ht="18.75" hidden="1">
      <c r="A637" s="1299"/>
      <c r="B637" s="1300"/>
      <c r="C637" s="1301"/>
      <c r="D637" s="1301"/>
      <c r="E637" s="1301"/>
      <c r="F637" s="1301" t="s">
        <v>189</v>
      </c>
      <c r="G637" s="1016"/>
      <c r="H637" s="161" t="s">
        <v>12</v>
      </c>
      <c r="I637" s="880"/>
      <c r="J637" s="880"/>
      <c r="K637" s="881"/>
      <c r="L637" s="881"/>
      <c r="M637" s="881"/>
      <c r="N637" s="1085">
        <v>0</v>
      </c>
      <c r="O637" s="881"/>
      <c r="P637" s="881"/>
      <c r="Q637" s="1302"/>
      <c r="R637" s="1302"/>
      <c r="S637" s="1302"/>
      <c r="T637" s="1302"/>
      <c r="U637" s="1302"/>
      <c r="V637" s="1302"/>
      <c r="W637" s="1302"/>
      <c r="X637" s="1302"/>
      <c r="Y637" s="1302"/>
      <c r="Z637" s="1302"/>
    </row>
    <row r="638" spans="1:26" ht="18.75" hidden="1">
      <c r="A638" s="1299"/>
      <c r="B638" s="1300"/>
      <c r="C638" s="1301"/>
      <c r="D638" s="1301"/>
      <c r="E638" s="1301"/>
      <c r="F638" s="1301" t="s">
        <v>190</v>
      </c>
      <c r="G638" s="1016"/>
      <c r="H638" s="161" t="s">
        <v>12</v>
      </c>
      <c r="I638" s="880"/>
      <c r="J638" s="880"/>
      <c r="K638" s="881"/>
      <c r="L638" s="881"/>
      <c r="M638" s="881"/>
      <c r="N638" s="1085">
        <v>0</v>
      </c>
      <c r="O638" s="881"/>
      <c r="P638" s="881"/>
      <c r="Q638" s="1302"/>
      <c r="R638" s="1302"/>
      <c r="S638" s="1302"/>
      <c r="T638" s="1302"/>
      <c r="U638" s="1302"/>
      <c r="V638" s="1302"/>
      <c r="W638" s="1302"/>
      <c r="X638" s="1302"/>
      <c r="Y638" s="1302"/>
      <c r="Z638" s="1302"/>
    </row>
    <row r="639" spans="1:26" ht="18.75" hidden="1">
      <c r="A639" s="1317"/>
      <c r="B639" s="1300"/>
      <c r="C639" s="1301"/>
      <c r="D639" s="1325" t="s">
        <v>21</v>
      </c>
      <c r="E639" s="1301"/>
      <c r="F639" s="1301"/>
      <c r="G639" s="1016"/>
      <c r="H639" s="168" t="s">
        <v>12</v>
      </c>
      <c r="I639" s="997"/>
      <c r="J639" s="997"/>
      <c r="K639" s="998"/>
      <c r="L639" s="881">
        <f t="shared" ref="L639:N639" ca="1" si="268">L640+L641</f>
        <v>0</v>
      </c>
      <c r="M639" s="881">
        <f t="shared" si="268"/>
        <v>0</v>
      </c>
      <c r="N639" s="881">
        <f t="shared" si="268"/>
        <v>0</v>
      </c>
      <c r="O639" s="881">
        <f t="shared" ref="O639:O641" ca="1" si="269">IF(L639&gt;0,N639*100/L639,0)</f>
        <v>0</v>
      </c>
      <c r="P639" s="881">
        <f t="shared" ref="P639:P641" si="270">IF(M639&gt;0,N639*100/M639,0)</f>
        <v>0</v>
      </c>
      <c r="Q639" s="1302"/>
      <c r="R639" s="1302"/>
      <c r="S639" s="1302"/>
      <c r="T639" s="1302"/>
      <c r="U639" s="1302"/>
      <c r="V639" s="1302"/>
      <c r="W639" s="1302"/>
      <c r="X639" s="1302"/>
      <c r="Y639" s="1302"/>
      <c r="Z639" s="1302"/>
    </row>
    <row r="640" spans="1:26" ht="18.75" hidden="1">
      <c r="A640" s="1319"/>
      <c r="B640" s="1324"/>
      <c r="C640" s="1320"/>
      <c r="D640" s="1320"/>
      <c r="E640" s="1320" t="s">
        <v>18</v>
      </c>
      <c r="F640" s="1320"/>
      <c r="G640" s="1322"/>
      <c r="H640" s="165" t="s">
        <v>12</v>
      </c>
      <c r="I640" s="1000"/>
      <c r="J640" s="1000"/>
      <c r="K640" s="1001"/>
      <c r="L640" s="887">
        <v>0</v>
      </c>
      <c r="M640" s="887">
        <v>0</v>
      </c>
      <c r="N640" s="887">
        <v>0</v>
      </c>
      <c r="O640" s="887">
        <f t="shared" si="269"/>
        <v>0</v>
      </c>
      <c r="P640" s="887">
        <f t="shared" si="270"/>
        <v>0</v>
      </c>
      <c r="Q640" s="1323"/>
      <c r="R640" s="1323"/>
      <c r="S640" s="1323"/>
      <c r="T640" s="1323"/>
      <c r="U640" s="1323"/>
      <c r="V640" s="1323"/>
      <c r="W640" s="1323"/>
      <c r="X640" s="1323"/>
      <c r="Y640" s="1323"/>
      <c r="Z640" s="1323"/>
    </row>
    <row r="641" spans="1:26" ht="18.75" hidden="1">
      <c r="A641" s="1319"/>
      <c r="B641" s="1324"/>
      <c r="C641" s="1320"/>
      <c r="D641" s="1320"/>
      <c r="E641" s="1320" t="s">
        <v>19</v>
      </c>
      <c r="F641" s="1320"/>
      <c r="G641" s="1322"/>
      <c r="H641" s="169" t="s">
        <v>12</v>
      </c>
      <c r="I641" s="1000"/>
      <c r="J641" s="1000"/>
      <c r="K641" s="1001"/>
      <c r="L641" s="887">
        <f ca="1">IFERROR(__xludf.DUMMYFUNCTION("IMPORTRANGE(""https://docs.google.com/spreadsheets/d/1QqKyyYR6Q21VydFLVH3TRQUabQu_ym0Zz7PgGX0-kHA/edit?usp=sharing"",""แผน!HQ82"")"),0)</f>
        <v>0</v>
      </c>
      <c r="M641" s="887">
        <v>0</v>
      </c>
      <c r="N641" s="887">
        <v>0</v>
      </c>
      <c r="O641" s="887">
        <f t="shared" ca="1" si="269"/>
        <v>0</v>
      </c>
      <c r="P641" s="887">
        <f t="shared" si="270"/>
        <v>0</v>
      </c>
      <c r="Q641" s="1323"/>
      <c r="R641" s="1323"/>
      <c r="S641" s="1323"/>
      <c r="T641" s="1323"/>
      <c r="U641" s="1323"/>
      <c r="V641" s="1323"/>
      <c r="W641" s="1323"/>
      <c r="X641" s="1323"/>
      <c r="Y641" s="1323"/>
      <c r="Z641" s="1323"/>
    </row>
    <row r="642" spans="1:26" ht="19.5" hidden="1">
      <c r="A642" s="1326"/>
      <c r="B642" s="1327"/>
      <c r="C642" s="1301" t="s">
        <v>16</v>
      </c>
      <c r="D642" s="1380" t="s">
        <v>38</v>
      </c>
      <c r="E642" s="1330"/>
      <c r="F642" s="1330"/>
      <c r="G642" s="1331"/>
      <c r="H642" s="1007"/>
      <c r="I642" s="997"/>
      <c r="J642" s="997"/>
      <c r="K642" s="998"/>
      <c r="L642" s="998"/>
      <c r="M642" s="998"/>
      <c r="N642" s="998"/>
      <c r="O642" s="998"/>
      <c r="P642" s="998"/>
      <c r="Q642" s="1302"/>
      <c r="R642" s="1302"/>
      <c r="S642" s="1302"/>
      <c r="T642" s="1302"/>
      <c r="U642" s="1302"/>
      <c r="V642" s="1302"/>
      <c r="W642" s="1302"/>
      <c r="X642" s="1302"/>
      <c r="Y642" s="1302"/>
      <c r="Z642" s="1302"/>
    </row>
    <row r="643" spans="1:26" ht="18.75" hidden="1">
      <c r="A643" s="1429"/>
      <c r="B643" s="1300"/>
      <c r="C643" s="1301"/>
      <c r="D643" s="1014"/>
      <c r="E643" s="1069" t="s">
        <v>272</v>
      </c>
      <c r="F643" s="1014"/>
      <c r="G643" s="1007"/>
      <c r="H643" s="762" t="s">
        <v>273</v>
      </c>
      <c r="I643" s="880">
        <f ca="1">IFERROR(__xludf.DUMMYFUNCTION("IMPORTRANGE(""https://docs.google.com/spreadsheets/d/1QqKyyYR6Q21VydFLVH3TRQUabQu_ym0Zz7PgGX0-kHA/edit?usp=sharing"",""แผน!HR82"")"),0)</f>
        <v>0</v>
      </c>
      <c r="J643" s="1012">
        <v>0</v>
      </c>
      <c r="K643" s="998">
        <f t="shared" ref="K643:K652" ca="1" si="271">IF(I643&gt;0,J643*100/I643,0)</f>
        <v>0</v>
      </c>
      <c r="L643" s="998"/>
      <c r="M643" s="998"/>
      <c r="N643" s="881"/>
      <c r="O643" s="998"/>
      <c r="P643" s="998"/>
      <c r="Q643" s="1302"/>
      <c r="R643" s="1302"/>
      <c r="S643" s="1302"/>
      <c r="T643" s="1302"/>
      <c r="U643" s="1302"/>
      <c r="V643" s="1302"/>
      <c r="W643" s="1302"/>
      <c r="X643" s="1302"/>
      <c r="Y643" s="1302"/>
      <c r="Z643" s="1302"/>
    </row>
    <row r="644" spans="1:26" ht="18.75" hidden="1">
      <c r="A644" s="1429"/>
      <c r="B644" s="1300"/>
      <c r="C644" s="1301"/>
      <c r="D644" s="1014"/>
      <c r="E644" s="1069" t="s">
        <v>274</v>
      </c>
      <c r="F644" s="1014"/>
      <c r="G644" s="1007"/>
      <c r="H644" s="762" t="s">
        <v>275</v>
      </c>
      <c r="I644" s="880">
        <f ca="1">IFERROR(__xludf.DUMMYFUNCTION("IMPORTRANGE(""https://docs.google.com/spreadsheets/d/1QqKyyYR6Q21VydFLVH3TRQUabQu_ym0Zz7PgGX0-kHA/edit?usp=sharing"",""แผน!HR82"")"),0)</f>
        <v>0</v>
      </c>
      <c r="J644" s="1012">
        <v>0</v>
      </c>
      <c r="K644" s="998">
        <f t="shared" ca="1" si="271"/>
        <v>0</v>
      </c>
      <c r="L644" s="998"/>
      <c r="M644" s="998"/>
      <c r="N644" s="881"/>
      <c r="O644" s="998"/>
      <c r="P644" s="998"/>
      <c r="Q644" s="1302"/>
      <c r="R644" s="1302"/>
      <c r="S644" s="1302"/>
      <c r="T644" s="1302"/>
      <c r="U644" s="1302"/>
      <c r="V644" s="1302"/>
      <c r="W644" s="1302"/>
      <c r="X644" s="1302"/>
      <c r="Y644" s="1302"/>
      <c r="Z644" s="1302"/>
    </row>
    <row r="645" spans="1:26" ht="18.75" hidden="1">
      <c r="A645" s="1429"/>
      <c r="B645" s="1300"/>
      <c r="C645" s="1301"/>
      <c r="D645" s="1014"/>
      <c r="E645" s="1069" t="s">
        <v>276</v>
      </c>
      <c r="F645" s="1014"/>
      <c r="G645" s="1007"/>
      <c r="H645" s="762" t="s">
        <v>34</v>
      </c>
      <c r="I645" s="880">
        <v>0</v>
      </c>
      <c r="J645" s="880">
        <f ca="1">IFERROR(__xludf.DUMMYFUNCTION("IMPORTRANGE(""https://docs.google.com/spreadsheets/d/1XWAQStnk-4SwqDmLtmXYiTMKHgktTP8We1SCoS47DrQ/edit?usp=sharing"",""จัดที่ดิน!AS82"")"),0)</f>
        <v>0</v>
      </c>
      <c r="K645" s="998">
        <f t="shared" si="271"/>
        <v>0</v>
      </c>
      <c r="L645" s="998"/>
      <c r="M645" s="998"/>
      <c r="N645" s="881"/>
      <c r="O645" s="998"/>
      <c r="P645" s="998"/>
      <c r="Q645" s="1302"/>
      <c r="R645" s="1302"/>
      <c r="S645" s="1302"/>
      <c r="T645" s="1302"/>
      <c r="U645" s="1302"/>
      <c r="V645" s="1302"/>
      <c r="W645" s="1302"/>
      <c r="X645" s="1302"/>
      <c r="Y645" s="1302"/>
      <c r="Z645" s="1302"/>
    </row>
    <row r="646" spans="1:26" ht="18.75" hidden="1">
      <c r="A646" s="1429"/>
      <c r="B646" s="1300"/>
      <c r="C646" s="1301"/>
      <c r="D646" s="1014"/>
      <c r="E646" s="1014"/>
      <c r="F646" s="1014"/>
      <c r="G646" s="1007"/>
      <c r="H646" s="762" t="s">
        <v>46</v>
      </c>
      <c r="I646" s="880">
        <v>0</v>
      </c>
      <c r="J646" s="880">
        <f ca="1">IFERROR(__xludf.DUMMYFUNCTION("IMPORTRANGE(""https://docs.google.com/spreadsheets/d/1XWAQStnk-4SwqDmLtmXYiTMKHgktTP8We1SCoS47DrQ/edit?usp=sharing"",""จัดที่ดิน!AT82"")"),0)</f>
        <v>0</v>
      </c>
      <c r="K646" s="881">
        <f t="shared" si="271"/>
        <v>0</v>
      </c>
      <c r="L646" s="998"/>
      <c r="M646" s="998"/>
      <c r="N646" s="881"/>
      <c r="O646" s="998"/>
      <c r="P646" s="998"/>
      <c r="Q646" s="1302"/>
      <c r="R646" s="1302"/>
      <c r="S646" s="1302"/>
      <c r="T646" s="1302"/>
      <c r="U646" s="1302"/>
      <c r="V646" s="1302"/>
      <c r="W646" s="1302"/>
      <c r="X646" s="1302"/>
      <c r="Y646" s="1302"/>
      <c r="Z646" s="1302"/>
    </row>
    <row r="647" spans="1:26" ht="18.75" hidden="1">
      <c r="A647" s="1429"/>
      <c r="B647" s="1300"/>
      <c r="C647" s="1301"/>
      <c r="D647" s="1014"/>
      <c r="E647" s="1069" t="s">
        <v>162</v>
      </c>
      <c r="F647" s="1014"/>
      <c r="G647" s="1007"/>
      <c r="H647" s="762" t="s">
        <v>35</v>
      </c>
      <c r="I647" s="880">
        <f ca="1">IFERROR(__xludf.DUMMYFUNCTION("IMPORTRANGE(""https://docs.google.com/spreadsheets/d/1QqKyyYR6Q21VydFLVH3TRQUabQu_ym0Zz7PgGX0-kHA/edit?usp=sharing"",""แผน!HS82"")"),0)</f>
        <v>0</v>
      </c>
      <c r="J647" s="880">
        <f ca="1">IFERROR(__xludf.DUMMYFUNCTION("IMPORTRANGE(""https://docs.google.com/spreadsheets/d/1XWAQStnk-4SwqDmLtmXYiTMKHgktTP8We1SCoS47DrQ/edit?usp=sharing"",""จัดที่ดิน!AU82"")"),0)</f>
        <v>0</v>
      </c>
      <c r="K647" s="998">
        <f t="shared" ca="1" si="271"/>
        <v>0</v>
      </c>
      <c r="L647" s="998"/>
      <c r="M647" s="998"/>
      <c r="N647" s="998"/>
      <c r="O647" s="998"/>
      <c r="P647" s="998"/>
      <c r="Q647" s="1302"/>
      <c r="R647" s="1302"/>
      <c r="S647" s="1302"/>
      <c r="T647" s="1302"/>
      <c r="U647" s="1302"/>
      <c r="V647" s="1302"/>
      <c r="W647" s="1302"/>
      <c r="X647" s="1302"/>
      <c r="Y647" s="1302"/>
      <c r="Z647" s="1302"/>
    </row>
    <row r="648" spans="1:26" ht="18.75" hidden="1">
      <c r="A648" s="1429"/>
      <c r="B648" s="1300"/>
      <c r="C648" s="1301"/>
      <c r="D648" s="1014"/>
      <c r="E648" s="1014"/>
      <c r="F648" s="1014"/>
      <c r="G648" s="1007"/>
      <c r="H648" s="762" t="s">
        <v>46</v>
      </c>
      <c r="I648" s="880">
        <v>0</v>
      </c>
      <c r="J648" s="880">
        <f ca="1">IFERROR(__xludf.DUMMYFUNCTION("IMPORTRANGE(""https://docs.google.com/spreadsheets/d/1XWAQStnk-4SwqDmLtmXYiTMKHgktTP8We1SCoS47DrQ/edit?usp=sharing"",""จัดที่ดิน!AV82"")"),0)</f>
        <v>0</v>
      </c>
      <c r="K648" s="881">
        <f t="shared" si="271"/>
        <v>0</v>
      </c>
      <c r="L648" s="998"/>
      <c r="M648" s="998"/>
      <c r="N648" s="998"/>
      <c r="O648" s="998"/>
      <c r="P648" s="998"/>
      <c r="Q648" s="1302"/>
      <c r="R648" s="1302"/>
      <c r="S648" s="1302"/>
      <c r="T648" s="1302"/>
      <c r="U648" s="1302"/>
      <c r="V648" s="1302"/>
      <c r="W648" s="1302"/>
      <c r="X648" s="1302"/>
      <c r="Y648" s="1302"/>
      <c r="Z648" s="1302"/>
    </row>
    <row r="649" spans="1:26" ht="18.75" hidden="1">
      <c r="A649" s="1429"/>
      <c r="B649" s="1300"/>
      <c r="C649" s="1301"/>
      <c r="D649" s="1014"/>
      <c r="E649" s="1069" t="s">
        <v>277</v>
      </c>
      <c r="F649" s="1014"/>
      <c r="G649" s="1007"/>
      <c r="H649" s="762" t="s">
        <v>35</v>
      </c>
      <c r="I649" s="880">
        <f ca="1">IFERROR(__xludf.DUMMYFUNCTION("IMPORTRANGE(""https://docs.google.com/spreadsheets/d/1QqKyyYR6Q21VydFLVH3TRQUabQu_ym0Zz7PgGX0-kHA/edit?usp=sharing"",""แผน!HS82"")"),0)</f>
        <v>0</v>
      </c>
      <c r="J649" s="880">
        <f ca="1">IFERROR(__xludf.DUMMYFUNCTION("IMPORTRANGE(""https://docs.google.com/spreadsheets/d/1XWAQStnk-4SwqDmLtmXYiTMKHgktTP8We1SCoS47DrQ/edit?usp=sharing"",""จัดที่ดิน!AW82"")"),0)</f>
        <v>0</v>
      </c>
      <c r="K649" s="998">
        <f t="shared" ca="1" si="271"/>
        <v>0</v>
      </c>
      <c r="L649" s="998"/>
      <c r="M649" s="998"/>
      <c r="N649" s="998"/>
      <c r="O649" s="998"/>
      <c r="P649" s="998"/>
      <c r="Q649" s="1302"/>
      <c r="R649" s="1302"/>
      <c r="S649" s="1302"/>
      <c r="T649" s="1302"/>
      <c r="U649" s="1302"/>
      <c r="V649" s="1302"/>
      <c r="W649" s="1302"/>
      <c r="X649" s="1302"/>
      <c r="Y649" s="1302"/>
      <c r="Z649" s="1302"/>
    </row>
    <row r="650" spans="1:26" ht="18.75" hidden="1">
      <c r="A650" s="1429"/>
      <c r="B650" s="1300"/>
      <c r="C650" s="1301"/>
      <c r="D650" s="1014"/>
      <c r="E650" s="1014"/>
      <c r="F650" s="1014"/>
      <c r="G650" s="1007"/>
      <c r="H650" s="762" t="s">
        <v>46</v>
      </c>
      <c r="I650" s="880">
        <v>0</v>
      </c>
      <c r="J650" s="880">
        <f ca="1">IFERROR(__xludf.DUMMYFUNCTION("IMPORTRANGE(""https://docs.google.com/spreadsheets/d/1XWAQStnk-4SwqDmLtmXYiTMKHgktTP8We1SCoS47DrQ/edit?usp=sharing"",""จัดที่ดิน!AX82"")"),0)</f>
        <v>0</v>
      </c>
      <c r="K650" s="881">
        <f t="shared" si="271"/>
        <v>0</v>
      </c>
      <c r="L650" s="998"/>
      <c r="M650" s="998"/>
      <c r="N650" s="998"/>
      <c r="O650" s="998"/>
      <c r="P650" s="998"/>
      <c r="Q650" s="1302"/>
      <c r="R650" s="1302"/>
      <c r="S650" s="1302"/>
      <c r="T650" s="1302"/>
      <c r="U650" s="1302"/>
      <c r="V650" s="1302"/>
      <c r="W650" s="1302"/>
      <c r="X650" s="1302"/>
      <c r="Y650" s="1302"/>
      <c r="Z650" s="1302"/>
    </row>
    <row r="651" spans="1:26" ht="18.75" hidden="1">
      <c r="A651" s="1429"/>
      <c r="B651" s="1300"/>
      <c r="C651" s="1301"/>
      <c r="D651" s="1014"/>
      <c r="E651" s="1069" t="s">
        <v>278</v>
      </c>
      <c r="F651" s="1014"/>
      <c r="G651" s="1007"/>
      <c r="H651" s="762" t="s">
        <v>35</v>
      </c>
      <c r="I651" s="880">
        <f ca="1">IFERROR(__xludf.DUMMYFUNCTION("IMPORTRANGE(""https://docs.google.com/spreadsheets/d/1QqKyyYR6Q21VydFLVH3TRQUabQu_ym0Zz7PgGX0-kHA/edit?usp=sharing"",""แผน!HS82"")"),0)</f>
        <v>0</v>
      </c>
      <c r="J651" s="880">
        <f ca="1">IFERROR(__xludf.DUMMYFUNCTION("IMPORTRANGE(""https://docs.google.com/spreadsheets/d/1XWAQStnk-4SwqDmLtmXYiTMKHgktTP8We1SCoS47DrQ/edit?usp=sharing"",""จัดที่ดิน!AY82"")"),0)</f>
        <v>0</v>
      </c>
      <c r="K651" s="998">
        <f t="shared" ca="1" si="271"/>
        <v>0</v>
      </c>
      <c r="L651" s="998"/>
      <c r="M651" s="998"/>
      <c r="N651" s="998"/>
      <c r="O651" s="998"/>
      <c r="P651" s="998"/>
      <c r="Q651" s="1302"/>
      <c r="R651" s="1302"/>
      <c r="S651" s="1302"/>
      <c r="T651" s="1302"/>
      <c r="U651" s="1302"/>
      <c r="V651" s="1302"/>
      <c r="W651" s="1302"/>
      <c r="X651" s="1302"/>
      <c r="Y651" s="1302"/>
      <c r="Z651" s="1302"/>
    </row>
    <row r="652" spans="1:26" ht="18.75" hidden="1">
      <c r="A652" s="1430"/>
      <c r="B652" s="1431"/>
      <c r="C652" s="1432"/>
      <c r="D652" s="1169"/>
      <c r="E652" s="1169"/>
      <c r="F652" s="1169"/>
      <c r="G652" s="1422"/>
      <c r="H652" s="504" t="s">
        <v>46</v>
      </c>
      <c r="I652" s="1138">
        <v>0</v>
      </c>
      <c r="J652" s="1138">
        <f ca="1">IFERROR(__xludf.DUMMYFUNCTION("IMPORTRANGE(""https://docs.google.com/spreadsheets/d/1XWAQStnk-4SwqDmLtmXYiTMKHgktTP8We1SCoS47DrQ/edit?usp=sharing"",""จัดที่ดิน!AZ82"")"),0)</f>
        <v>0</v>
      </c>
      <c r="K652" s="1239">
        <f t="shared" si="271"/>
        <v>0</v>
      </c>
      <c r="L652" s="1139"/>
      <c r="M652" s="1139"/>
      <c r="N652" s="1139"/>
      <c r="O652" s="1139"/>
      <c r="P652" s="1139"/>
      <c r="Q652" s="1302"/>
      <c r="R652" s="1302"/>
      <c r="S652" s="1302"/>
      <c r="T652" s="1302"/>
      <c r="U652" s="1302"/>
      <c r="V652" s="1302"/>
      <c r="W652" s="1302"/>
      <c r="X652" s="1302"/>
      <c r="Y652" s="1302"/>
      <c r="Z652" s="1302"/>
    </row>
    <row r="653" spans="1:26" ht="19.5">
      <c r="A653" s="748">
        <v>8</v>
      </c>
      <c r="B653" s="1423" t="s">
        <v>279</v>
      </c>
      <c r="C653" s="1424"/>
      <c r="D653" s="1424"/>
      <c r="E653" s="1424"/>
      <c r="F653" s="1424"/>
      <c r="G653" s="1425"/>
      <c r="H653" s="1425"/>
      <c r="I653" s="1433"/>
      <c r="J653" s="1433"/>
      <c r="K653" s="1428"/>
      <c r="L653" s="1428"/>
      <c r="M653" s="1428"/>
      <c r="N653" s="1428"/>
      <c r="O653" s="1428"/>
      <c r="P653" s="1428"/>
      <c r="Q653" s="1302"/>
      <c r="R653" s="1302"/>
      <c r="S653" s="1302"/>
      <c r="T653" s="1302"/>
      <c r="U653" s="1302"/>
      <c r="V653" s="1302"/>
      <c r="W653" s="1302"/>
      <c r="X653" s="1302"/>
      <c r="Y653" s="1302"/>
      <c r="Z653" s="1302"/>
    </row>
    <row r="654" spans="1:26" ht="19.5">
      <c r="A654" s="1375"/>
      <c r="B654" s="1374" t="s">
        <v>280</v>
      </c>
      <c r="C654" s="1375"/>
      <c r="D654" s="1375"/>
      <c r="E654" s="1375"/>
      <c r="F654" s="1375"/>
      <c r="G654" s="1376"/>
      <c r="H654" s="705" t="s">
        <v>46</v>
      </c>
      <c r="I654" s="1377">
        <f t="shared" ref="I654:J654" ca="1" si="272">I669</f>
        <v>50</v>
      </c>
      <c r="J654" s="1377">
        <f t="shared" si="272"/>
        <v>0</v>
      </c>
      <c r="K654" s="1378">
        <f ca="1">IF(I654&gt;0,J654*100/I654,0)</f>
        <v>0</v>
      </c>
      <c r="L654" s="1379"/>
      <c r="M654" s="1379"/>
      <c r="N654" s="1379"/>
      <c r="O654" s="1379"/>
      <c r="P654" s="1379"/>
      <c r="Q654" s="1302"/>
      <c r="R654" s="1302"/>
      <c r="S654" s="1302"/>
      <c r="T654" s="1302"/>
      <c r="U654" s="1302"/>
      <c r="V654" s="1302"/>
      <c r="W654" s="1302"/>
      <c r="X654" s="1302"/>
      <c r="Y654" s="1302"/>
      <c r="Z654" s="1302"/>
    </row>
    <row r="655" spans="1:26" ht="19.5">
      <c r="A655" s="1317"/>
      <c r="B655" s="1301"/>
      <c r="C655" s="1301" t="s">
        <v>16</v>
      </c>
      <c r="D655" s="1318" t="s">
        <v>17</v>
      </c>
      <c r="E655" s="841"/>
      <c r="F655" s="841"/>
      <c r="G655" s="1016"/>
      <c r="H655" s="597" t="s">
        <v>12</v>
      </c>
      <c r="I655" s="880"/>
      <c r="J655" s="880"/>
      <c r="K655" s="881"/>
      <c r="L655" s="1020">
        <f t="shared" ref="L655:N655" ca="1" si="273">L656+L657</f>
        <v>11000</v>
      </c>
      <c r="M655" s="1020">
        <f t="shared" ca="1" si="273"/>
        <v>11000</v>
      </c>
      <c r="N655" s="1020">
        <f t="shared" si="273"/>
        <v>4240.3999999999996</v>
      </c>
      <c r="O655" s="1020">
        <f t="shared" ref="O655:O660" ca="1" si="274">IF(L655&gt;0,N655*100/L655,0)</f>
        <v>38.549090909090907</v>
      </c>
      <c r="P655" s="1020">
        <f t="shared" ref="P655:P660" ca="1" si="275">IF(M655&gt;0,N655*100/M655,0)</f>
        <v>38.549090909090907</v>
      </c>
      <c r="Q655" s="1302"/>
      <c r="R655" s="1302"/>
      <c r="S655" s="1302"/>
      <c r="T655" s="1302"/>
      <c r="U655" s="1302"/>
      <c r="V655" s="1302"/>
      <c r="W655" s="1302"/>
      <c r="X655" s="1302"/>
      <c r="Y655" s="1302"/>
      <c r="Z655" s="1302"/>
    </row>
    <row r="656" spans="1:26" ht="18.75" hidden="1">
      <c r="A656" s="1319"/>
      <c r="B656" s="1320"/>
      <c r="C656" s="1320"/>
      <c r="D656" s="1321"/>
      <c r="E656" s="1320" t="s">
        <v>185</v>
      </c>
      <c r="F656" s="1320"/>
      <c r="G656" s="1322"/>
      <c r="H656" s="165" t="s">
        <v>12</v>
      </c>
      <c r="I656" s="886"/>
      <c r="J656" s="886"/>
      <c r="K656" s="887"/>
      <c r="L656" s="887">
        <f t="shared" ref="L656:N657" si="276">L659+L666</f>
        <v>0</v>
      </c>
      <c r="M656" s="887">
        <f t="shared" si="276"/>
        <v>0</v>
      </c>
      <c r="N656" s="887">
        <f t="shared" si="276"/>
        <v>0</v>
      </c>
      <c r="O656" s="887">
        <f t="shared" si="274"/>
        <v>0</v>
      </c>
      <c r="P656" s="887">
        <f t="shared" si="275"/>
        <v>0</v>
      </c>
      <c r="Q656" s="1323"/>
      <c r="R656" s="1323"/>
      <c r="S656" s="1323"/>
      <c r="T656" s="1323"/>
      <c r="U656" s="1323"/>
      <c r="V656" s="1323"/>
      <c r="W656" s="1323"/>
      <c r="X656" s="1323"/>
      <c r="Y656" s="1323"/>
      <c r="Z656" s="1323"/>
    </row>
    <row r="657" spans="1:26" ht="18.75" hidden="1">
      <c r="A657" s="1319"/>
      <c r="B657" s="1324"/>
      <c r="C657" s="1320"/>
      <c r="D657" s="1321"/>
      <c r="E657" s="1320" t="s">
        <v>186</v>
      </c>
      <c r="F657" s="1320"/>
      <c r="G657" s="1322"/>
      <c r="H657" s="165" t="s">
        <v>12</v>
      </c>
      <c r="I657" s="886"/>
      <c r="J657" s="886"/>
      <c r="K657" s="887"/>
      <c r="L657" s="887">
        <f t="shared" ca="1" si="276"/>
        <v>11000</v>
      </c>
      <c r="M657" s="887">
        <f t="shared" ca="1" si="276"/>
        <v>11000</v>
      </c>
      <c r="N657" s="887">
        <f t="shared" si="276"/>
        <v>4240.3999999999996</v>
      </c>
      <c r="O657" s="887">
        <f t="shared" ca="1" si="274"/>
        <v>38.549090909090907</v>
      </c>
      <c r="P657" s="887">
        <f t="shared" ca="1" si="275"/>
        <v>38.549090909090907</v>
      </c>
      <c r="Q657" s="1323"/>
      <c r="R657" s="1323"/>
      <c r="S657" s="1323"/>
      <c r="T657" s="1323"/>
      <c r="U657" s="1323"/>
      <c r="V657" s="1323"/>
      <c r="W657" s="1323"/>
      <c r="X657" s="1323"/>
      <c r="Y657" s="1323"/>
      <c r="Z657" s="1323"/>
    </row>
    <row r="658" spans="1:26" ht="18.75">
      <c r="A658" s="1317"/>
      <c r="B658" s="1300"/>
      <c r="C658" s="1301"/>
      <c r="D658" s="1325" t="s">
        <v>20</v>
      </c>
      <c r="E658" s="1301"/>
      <c r="F658" s="1301"/>
      <c r="G658" s="1016"/>
      <c r="H658" s="161" t="s">
        <v>12</v>
      </c>
      <c r="I658" s="997"/>
      <c r="J658" s="997"/>
      <c r="K658" s="998"/>
      <c r="L658" s="881">
        <f t="shared" ref="L658:N658" ca="1" si="277">L659+L660</f>
        <v>11000</v>
      </c>
      <c r="M658" s="881">
        <f t="shared" ca="1" si="277"/>
        <v>11000</v>
      </c>
      <c r="N658" s="881">
        <f t="shared" si="277"/>
        <v>4240.3999999999996</v>
      </c>
      <c r="O658" s="881">
        <f t="shared" ca="1" si="274"/>
        <v>38.549090909090907</v>
      </c>
      <c r="P658" s="881">
        <f t="shared" ca="1" si="275"/>
        <v>38.549090909090907</v>
      </c>
      <c r="Q658" s="1302"/>
      <c r="R658" s="1302"/>
      <c r="S658" s="1302"/>
      <c r="T658" s="1302"/>
      <c r="U658" s="1302"/>
      <c r="V658" s="1302"/>
      <c r="W658" s="1302"/>
      <c r="X658" s="1302"/>
      <c r="Y658" s="1302"/>
      <c r="Z658" s="1302"/>
    </row>
    <row r="659" spans="1:26" ht="18.75" hidden="1">
      <c r="A659" s="1319"/>
      <c r="B659" s="1324"/>
      <c r="C659" s="1320"/>
      <c r="D659" s="1321"/>
      <c r="E659" s="1320" t="s">
        <v>185</v>
      </c>
      <c r="F659" s="1320"/>
      <c r="G659" s="1322"/>
      <c r="H659" s="165" t="s">
        <v>12</v>
      </c>
      <c r="I659" s="886"/>
      <c r="J659" s="886"/>
      <c r="K659" s="887"/>
      <c r="L659" s="887">
        <v>0</v>
      </c>
      <c r="M659" s="887">
        <v>0</v>
      </c>
      <c r="N659" s="887">
        <v>0</v>
      </c>
      <c r="O659" s="887">
        <f t="shared" si="274"/>
        <v>0</v>
      </c>
      <c r="P659" s="887">
        <f t="shared" si="275"/>
        <v>0</v>
      </c>
      <c r="Q659" s="1323"/>
      <c r="R659" s="1323"/>
      <c r="S659" s="1323"/>
      <c r="T659" s="1323"/>
      <c r="U659" s="1323"/>
      <c r="V659" s="1323"/>
      <c r="W659" s="1323"/>
      <c r="X659" s="1323"/>
      <c r="Y659" s="1323"/>
      <c r="Z659" s="1323"/>
    </row>
    <row r="660" spans="1:26" ht="18.75" hidden="1">
      <c r="A660" s="1319"/>
      <c r="B660" s="1324"/>
      <c r="C660" s="1320"/>
      <c r="D660" s="1321"/>
      <c r="E660" s="1320" t="s">
        <v>186</v>
      </c>
      <c r="F660" s="1320"/>
      <c r="G660" s="1322"/>
      <c r="H660" s="165" t="s">
        <v>12</v>
      </c>
      <c r="I660" s="886"/>
      <c r="J660" s="886"/>
      <c r="K660" s="887"/>
      <c r="L660" s="887">
        <f ca="1">IFERROR(__xludf.DUMMYFUNCTION("IMPORTRANGE(""https://docs.google.com/spreadsheets/d/1QqKyyYR6Q21VydFLVH3TRQUabQu_ym0Zz7PgGX0-kHA/edit?usp=sharing"",""แผน!HV82"")"),11000)</f>
        <v>11000</v>
      </c>
      <c r="M660" s="887">
        <f ca="1">L660</f>
        <v>11000</v>
      </c>
      <c r="N660" s="887">
        <f>N661+N662+N663+N664</f>
        <v>4240.3999999999996</v>
      </c>
      <c r="O660" s="887">
        <f t="shared" ca="1" si="274"/>
        <v>38.549090909090907</v>
      </c>
      <c r="P660" s="887">
        <f t="shared" ca="1" si="275"/>
        <v>38.549090909090907</v>
      </c>
      <c r="Q660" s="1323"/>
      <c r="R660" s="1323"/>
      <c r="S660" s="1323"/>
      <c r="T660" s="1323"/>
      <c r="U660" s="1323"/>
      <c r="V660" s="1323"/>
      <c r="W660" s="1323"/>
      <c r="X660" s="1323"/>
      <c r="Y660" s="1323"/>
      <c r="Z660" s="1323"/>
    </row>
    <row r="661" spans="1:26" ht="18.75">
      <c r="A661" s="1299"/>
      <c r="B661" s="1300"/>
      <c r="C661" s="1301"/>
      <c r="D661" s="1301"/>
      <c r="E661" s="1301"/>
      <c r="F661" s="1301" t="s">
        <v>187</v>
      </c>
      <c r="G661" s="1016"/>
      <c r="H661" s="161" t="s">
        <v>12</v>
      </c>
      <c r="I661" s="880"/>
      <c r="J661" s="880"/>
      <c r="K661" s="881"/>
      <c r="L661" s="881"/>
      <c r="M661" s="881"/>
      <c r="N661" s="1085">
        <v>0</v>
      </c>
      <c r="O661" s="881"/>
      <c r="P661" s="881"/>
      <c r="Q661" s="1302"/>
      <c r="R661" s="1302"/>
      <c r="S661" s="1302"/>
      <c r="T661" s="1302"/>
      <c r="U661" s="1302"/>
      <c r="V661" s="1302"/>
      <c r="W661" s="1302"/>
      <c r="X661" s="1302"/>
      <c r="Y661" s="1302"/>
      <c r="Z661" s="1302"/>
    </row>
    <row r="662" spans="1:26" ht="18.75">
      <c r="A662" s="1299"/>
      <c r="B662" s="1300"/>
      <c r="C662" s="1301"/>
      <c r="D662" s="1301"/>
      <c r="E662" s="1301"/>
      <c r="F662" s="1301" t="s">
        <v>188</v>
      </c>
      <c r="G662" s="1016"/>
      <c r="H662" s="161" t="s">
        <v>12</v>
      </c>
      <c r="I662" s="880"/>
      <c r="J662" s="880"/>
      <c r="K662" s="881"/>
      <c r="L662" s="881"/>
      <c r="M662" s="881"/>
      <c r="N662" s="1085">
        <v>0</v>
      </c>
      <c r="O662" s="881"/>
      <c r="P662" s="881"/>
      <c r="Q662" s="1302"/>
      <c r="R662" s="1302"/>
      <c r="S662" s="1302"/>
      <c r="T662" s="1302"/>
      <c r="U662" s="1302"/>
      <c r="V662" s="1302"/>
      <c r="W662" s="1302"/>
      <c r="X662" s="1302"/>
      <c r="Y662" s="1302"/>
      <c r="Z662" s="1302"/>
    </row>
    <row r="663" spans="1:26" ht="18.75">
      <c r="A663" s="1299"/>
      <c r="B663" s="1300"/>
      <c r="C663" s="1300"/>
      <c r="D663" s="1301"/>
      <c r="E663" s="1301"/>
      <c r="F663" s="1301" t="s">
        <v>189</v>
      </c>
      <c r="G663" s="1016"/>
      <c r="H663" s="161" t="s">
        <v>12</v>
      </c>
      <c r="I663" s="880"/>
      <c r="J663" s="880"/>
      <c r="K663" s="881"/>
      <c r="L663" s="881"/>
      <c r="M663" s="881"/>
      <c r="N663" s="1085">
        <v>0</v>
      </c>
      <c r="O663" s="881"/>
      <c r="P663" s="881"/>
      <c r="Q663" s="1302"/>
      <c r="R663" s="1302"/>
      <c r="S663" s="1302"/>
      <c r="T663" s="1302"/>
      <c r="U663" s="1302"/>
      <c r="V663" s="1302"/>
      <c r="W663" s="1302"/>
      <c r="X663" s="1302"/>
      <c r="Y663" s="1302"/>
      <c r="Z663" s="1302"/>
    </row>
    <row r="664" spans="1:26" ht="18.75">
      <c r="A664" s="1299"/>
      <c r="B664" s="1300"/>
      <c r="C664" s="1300"/>
      <c r="D664" s="1300"/>
      <c r="E664" s="1301"/>
      <c r="F664" s="1301" t="s">
        <v>190</v>
      </c>
      <c r="G664" s="1016"/>
      <c r="H664" s="161" t="s">
        <v>12</v>
      </c>
      <c r="I664" s="880"/>
      <c r="J664" s="880"/>
      <c r="K664" s="881"/>
      <c r="L664" s="881"/>
      <c r="M664" s="881"/>
      <c r="N664" s="1085">
        <v>4240.3999999999996</v>
      </c>
      <c r="O664" s="881"/>
      <c r="P664" s="881"/>
      <c r="Q664" s="1302"/>
      <c r="R664" s="1302"/>
      <c r="S664" s="1302"/>
      <c r="T664" s="1302"/>
      <c r="U664" s="1302"/>
      <c r="V664" s="1302"/>
      <c r="W664" s="1302"/>
      <c r="X664" s="1302"/>
      <c r="Y664" s="1302"/>
      <c r="Z664" s="1302"/>
    </row>
    <row r="665" spans="1:26" ht="18.75">
      <c r="A665" s="1317"/>
      <c r="B665" s="1300"/>
      <c r="C665" s="1300"/>
      <c r="D665" s="1325" t="s">
        <v>21</v>
      </c>
      <c r="E665" s="1301"/>
      <c r="F665" s="1301"/>
      <c r="G665" s="1016"/>
      <c r="H665" s="168" t="s">
        <v>12</v>
      </c>
      <c r="I665" s="997"/>
      <c r="J665" s="997"/>
      <c r="K665" s="998"/>
      <c r="L665" s="881">
        <f t="shared" ref="L665:N665" si="278">L666+L667</f>
        <v>0</v>
      </c>
      <c r="M665" s="881">
        <f t="shared" si="278"/>
        <v>0</v>
      </c>
      <c r="N665" s="881">
        <f t="shared" si="278"/>
        <v>0</v>
      </c>
      <c r="O665" s="881">
        <f t="shared" ref="O665:O667" si="279">IF(L665&gt;0,N665*100/L665,0)</f>
        <v>0</v>
      </c>
      <c r="P665" s="881">
        <f t="shared" ref="P665:P667" si="280">IF(M665&gt;0,N665*100/M665,0)</f>
        <v>0</v>
      </c>
      <c r="Q665" s="1302"/>
      <c r="R665" s="1302"/>
      <c r="S665" s="1302"/>
      <c r="T665" s="1302"/>
      <c r="U665" s="1302"/>
      <c r="V665" s="1302"/>
      <c r="W665" s="1302"/>
      <c r="X665" s="1302"/>
      <c r="Y665" s="1302"/>
      <c r="Z665" s="1302"/>
    </row>
    <row r="666" spans="1:26" ht="18.75" hidden="1">
      <c r="A666" s="1319"/>
      <c r="B666" s="1324"/>
      <c r="C666" s="1324"/>
      <c r="D666" s="1324"/>
      <c r="E666" s="1320" t="s">
        <v>18</v>
      </c>
      <c r="F666" s="1320"/>
      <c r="G666" s="1322"/>
      <c r="H666" s="165" t="s">
        <v>12</v>
      </c>
      <c r="I666" s="1000"/>
      <c r="J666" s="1000"/>
      <c r="K666" s="1001"/>
      <c r="L666" s="887">
        <v>0</v>
      </c>
      <c r="M666" s="887">
        <v>0</v>
      </c>
      <c r="N666" s="887">
        <v>0</v>
      </c>
      <c r="O666" s="887">
        <f t="shared" si="279"/>
        <v>0</v>
      </c>
      <c r="P666" s="887">
        <f t="shared" si="280"/>
        <v>0</v>
      </c>
      <c r="Q666" s="1323"/>
      <c r="R666" s="1323"/>
      <c r="S666" s="1323"/>
      <c r="T666" s="1323"/>
      <c r="U666" s="1323"/>
      <c r="V666" s="1323"/>
      <c r="W666" s="1323"/>
      <c r="X666" s="1323"/>
      <c r="Y666" s="1323"/>
      <c r="Z666" s="1323"/>
    </row>
    <row r="667" spans="1:26" ht="18.75" hidden="1">
      <c r="A667" s="1319"/>
      <c r="B667" s="1324"/>
      <c r="C667" s="1324"/>
      <c r="D667" s="1324"/>
      <c r="E667" s="1320" t="s">
        <v>19</v>
      </c>
      <c r="F667" s="1320"/>
      <c r="G667" s="1322"/>
      <c r="H667" s="169" t="s">
        <v>12</v>
      </c>
      <c r="I667" s="1000"/>
      <c r="J667" s="1000"/>
      <c r="K667" s="1001"/>
      <c r="L667" s="887">
        <v>0</v>
      </c>
      <c r="M667" s="887">
        <v>0</v>
      </c>
      <c r="N667" s="887">
        <v>0</v>
      </c>
      <c r="O667" s="887">
        <f t="shared" si="279"/>
        <v>0</v>
      </c>
      <c r="P667" s="887">
        <f t="shared" si="280"/>
        <v>0</v>
      </c>
      <c r="Q667" s="1323"/>
      <c r="R667" s="1323"/>
      <c r="S667" s="1323"/>
      <c r="T667" s="1323"/>
      <c r="U667" s="1323"/>
      <c r="V667" s="1323"/>
      <c r="W667" s="1323"/>
      <c r="X667" s="1323"/>
      <c r="Y667" s="1323"/>
      <c r="Z667" s="1323"/>
    </row>
    <row r="668" spans="1:26" ht="19.5">
      <c r="A668" s="1326"/>
      <c r="B668" s="1327"/>
      <c r="C668" s="1300" t="s">
        <v>16</v>
      </c>
      <c r="D668" s="1328" t="s">
        <v>38</v>
      </c>
      <c r="E668" s="1330"/>
      <c r="F668" s="1330"/>
      <c r="G668" s="1331"/>
      <c r="H668" s="1007"/>
      <c r="I668" s="997"/>
      <c r="J668" s="997"/>
      <c r="K668" s="998"/>
      <c r="L668" s="998"/>
      <c r="M668" s="998"/>
      <c r="N668" s="998"/>
      <c r="O668" s="998"/>
      <c r="P668" s="998"/>
      <c r="Q668" s="1302"/>
      <c r="R668" s="1302"/>
      <c r="S668" s="1302"/>
      <c r="T668" s="1302"/>
      <c r="U668" s="1302"/>
      <c r="V668" s="1302"/>
      <c r="W668" s="1302"/>
      <c r="X668" s="1302"/>
      <c r="Y668" s="1302"/>
      <c r="Z668" s="1302"/>
    </row>
    <row r="669" spans="1:26" ht="19.5">
      <c r="A669" s="1326"/>
      <c r="B669" s="1327"/>
      <c r="C669" s="1327"/>
      <c r="D669" s="1327" t="s">
        <v>281</v>
      </c>
      <c r="E669" s="1014"/>
      <c r="F669" s="1014"/>
      <c r="G669" s="1007"/>
      <c r="H669" s="765" t="s">
        <v>46</v>
      </c>
      <c r="I669" s="1019">
        <f ca="1">IFERROR(__xludf.DUMMYFUNCTION("IMPORTRANGE(""https://docs.google.com/spreadsheets/d/1QqKyyYR6Q21VydFLVH3TRQUabQu_ym0Zz7PgGX0-kHA/edit?usp=sharing"",""แผน!IA82"")"),50)</f>
        <v>50</v>
      </c>
      <c r="J669" s="1019">
        <f>J675</f>
        <v>0</v>
      </c>
      <c r="K669" s="1020">
        <f ca="1">IF(I669&gt;0,J669*100/I669,0)</f>
        <v>0</v>
      </c>
      <c r="L669" s="998"/>
      <c r="M669" s="998"/>
      <c r="N669" s="998"/>
      <c r="O669" s="998"/>
      <c r="P669" s="998"/>
      <c r="Q669" s="1302"/>
      <c r="R669" s="1302"/>
      <c r="S669" s="1302"/>
      <c r="T669" s="1302"/>
      <c r="U669" s="1302"/>
      <c r="V669" s="1302"/>
      <c r="W669" s="1302"/>
      <c r="X669" s="1302"/>
      <c r="Y669" s="1302"/>
      <c r="Z669" s="1302"/>
    </row>
    <row r="670" spans="1:26" ht="18.75">
      <c r="A670" s="1326"/>
      <c r="B670" s="1327"/>
      <c r="C670" s="1327"/>
      <c r="D670" s="1327"/>
      <c r="E670" s="1014" t="s">
        <v>282</v>
      </c>
      <c r="F670" s="1014"/>
      <c r="G670" s="1007"/>
      <c r="H670" s="762" t="s">
        <v>66</v>
      </c>
      <c r="I670" s="880">
        <f ca="1">IFERROR(__xludf.DUMMYFUNCTION("IMPORTRANGE(""https://docs.google.com/spreadsheets/d/1QqKyyYR6Q21VydFLVH3TRQUabQu_ym0Zz7PgGX0-kHA/edit?usp=sharing"",""แผน!HZ82"")"),5)</f>
        <v>5</v>
      </c>
      <c r="J670" s="1012">
        <v>5</v>
      </c>
      <c r="K670" s="881">
        <f ca="1">IF(I670&gt;0,(J670*100)/I670,0)</f>
        <v>100</v>
      </c>
      <c r="L670" s="998"/>
      <c r="M670" s="998"/>
      <c r="N670" s="998"/>
      <c r="O670" s="998"/>
      <c r="P670" s="998"/>
      <c r="Q670" s="1302"/>
      <c r="R670" s="1302"/>
      <c r="S670" s="1302"/>
      <c r="T670" s="1302"/>
      <c r="U670" s="1302"/>
      <c r="V670" s="1302"/>
      <c r="W670" s="1302"/>
      <c r="X670" s="1302"/>
      <c r="Y670" s="1302"/>
      <c r="Z670" s="1302"/>
    </row>
    <row r="671" spans="1:26" ht="18.75">
      <c r="A671" s="1326"/>
      <c r="B671" s="1327"/>
      <c r="C671" s="1327"/>
      <c r="D671" s="1327"/>
      <c r="E671" s="1014" t="s">
        <v>283</v>
      </c>
      <c r="F671" s="1014"/>
      <c r="G671" s="1007"/>
      <c r="H671" s="762" t="s">
        <v>66</v>
      </c>
      <c r="I671" s="880">
        <f ca="1">IFERROR(__xludf.DUMMYFUNCTION("IMPORTRANGE(""https://docs.google.com/spreadsheets/d/1QqKyyYR6Q21VydFLVH3TRQUabQu_ym0Zz7PgGX0-kHA/edit?usp=sharing"",""แผน!HZ82"")"),5)</f>
        <v>5</v>
      </c>
      <c r="J671" s="1012">
        <v>5</v>
      </c>
      <c r="K671" s="881">
        <f ca="1">IF(I$671&gt;0,J671*100/I$671,0)</f>
        <v>100</v>
      </c>
      <c r="L671" s="998"/>
      <c r="M671" s="998"/>
      <c r="N671" s="998"/>
      <c r="O671" s="998"/>
      <c r="P671" s="998"/>
      <c r="Q671" s="1302"/>
      <c r="R671" s="1302"/>
      <c r="S671" s="1302"/>
      <c r="T671" s="1302"/>
      <c r="U671" s="1302"/>
      <c r="V671" s="1302"/>
      <c r="W671" s="1302"/>
      <c r="X671" s="1302"/>
      <c r="Y671" s="1302"/>
      <c r="Z671" s="1302"/>
    </row>
    <row r="672" spans="1:26" ht="18.75">
      <c r="A672" s="1326"/>
      <c r="B672" s="1327"/>
      <c r="C672" s="1327"/>
      <c r="D672" s="1327"/>
      <c r="E672" s="1014" t="s">
        <v>284</v>
      </c>
      <c r="F672" s="1014"/>
      <c r="G672" s="1007"/>
      <c r="H672" s="762" t="s">
        <v>46</v>
      </c>
      <c r="I672" s="880"/>
      <c r="J672" s="1012">
        <v>0</v>
      </c>
      <c r="K672" s="881">
        <f t="shared" ref="K672:K675" ca="1" si="281">IF(I$669&gt;0,J672*100/I$669,0)</f>
        <v>0</v>
      </c>
      <c r="L672" s="998"/>
      <c r="M672" s="998"/>
      <c r="N672" s="998"/>
      <c r="O672" s="998"/>
      <c r="P672" s="998"/>
      <c r="Q672" s="1302"/>
      <c r="R672" s="1302"/>
      <c r="S672" s="1302"/>
      <c r="T672" s="1302"/>
      <c r="U672" s="1302"/>
      <c r="V672" s="1302"/>
      <c r="W672" s="1302"/>
      <c r="X672" s="1302"/>
      <c r="Y672" s="1302"/>
      <c r="Z672" s="1302"/>
    </row>
    <row r="673" spans="1:26" ht="18.75">
      <c r="A673" s="1326"/>
      <c r="B673" s="1327"/>
      <c r="C673" s="1327"/>
      <c r="D673" s="1327"/>
      <c r="E673" s="1014" t="s">
        <v>285</v>
      </c>
      <c r="F673" s="1014"/>
      <c r="G673" s="1007"/>
      <c r="H673" s="762" t="s">
        <v>46</v>
      </c>
      <c r="I673" s="880"/>
      <c r="J673" s="1012">
        <v>0</v>
      </c>
      <c r="K673" s="881">
        <f t="shared" ca="1" si="281"/>
        <v>0</v>
      </c>
      <c r="L673" s="998"/>
      <c r="M673" s="998"/>
      <c r="N673" s="998"/>
      <c r="O673" s="998"/>
      <c r="P673" s="998"/>
      <c r="Q673" s="1302"/>
      <c r="R673" s="1302"/>
      <c r="S673" s="1302"/>
      <c r="T673" s="1302"/>
      <c r="U673" s="1302"/>
      <c r="V673" s="1302"/>
      <c r="W673" s="1302"/>
      <c r="X673" s="1302"/>
      <c r="Y673" s="1302"/>
      <c r="Z673" s="1302"/>
    </row>
    <row r="674" spans="1:26" ht="18.75">
      <c r="A674" s="1326"/>
      <c r="B674" s="1327"/>
      <c r="C674" s="1327"/>
      <c r="D674" s="1327"/>
      <c r="E674" s="1014" t="s">
        <v>286</v>
      </c>
      <c r="F674" s="1014"/>
      <c r="G674" s="1007"/>
      <c r="H674" s="762" t="s">
        <v>46</v>
      </c>
      <c r="I674" s="880"/>
      <c r="J674" s="1012">
        <v>0</v>
      </c>
      <c r="K674" s="881">
        <f t="shared" ca="1" si="281"/>
        <v>0</v>
      </c>
      <c r="L674" s="998"/>
      <c r="M674" s="998"/>
      <c r="N674" s="998"/>
      <c r="O674" s="998"/>
      <c r="P674" s="998"/>
      <c r="Q674" s="1302"/>
      <c r="R674" s="1302"/>
      <c r="S674" s="1302"/>
      <c r="T674" s="1302"/>
      <c r="U674" s="1302"/>
      <c r="V674" s="1302"/>
      <c r="W674" s="1302"/>
      <c r="X674" s="1302"/>
      <c r="Y674" s="1302"/>
      <c r="Z674" s="1302"/>
    </row>
    <row r="675" spans="1:26" ht="19.5">
      <c r="A675" s="1326"/>
      <c r="B675" s="1327"/>
      <c r="C675" s="1327"/>
      <c r="D675" s="1327"/>
      <c r="E675" s="1014" t="s">
        <v>287</v>
      </c>
      <c r="F675" s="1014"/>
      <c r="G675" s="1007"/>
      <c r="H675" s="762" t="s">
        <v>46</v>
      </c>
      <c r="I675" s="880"/>
      <c r="J675" s="1019">
        <f>J676+J677</f>
        <v>0</v>
      </c>
      <c r="K675" s="1020">
        <f t="shared" ca="1" si="281"/>
        <v>0</v>
      </c>
      <c r="L675" s="998"/>
      <c r="M675" s="998"/>
      <c r="N675" s="998"/>
      <c r="O675" s="998"/>
      <c r="P675" s="998"/>
      <c r="Q675" s="1302"/>
      <c r="R675" s="1302"/>
      <c r="S675" s="1302"/>
      <c r="T675" s="1302"/>
      <c r="U675" s="1302"/>
      <c r="V675" s="1302"/>
      <c r="W675" s="1302"/>
      <c r="X675" s="1302"/>
      <c r="Y675" s="1302"/>
      <c r="Z675" s="1302"/>
    </row>
    <row r="676" spans="1:26" ht="18.75">
      <c r="A676" s="1326"/>
      <c r="B676" s="1327"/>
      <c r="C676" s="1327"/>
      <c r="D676" s="1327"/>
      <c r="E676" s="1014"/>
      <c r="F676" s="1014" t="s">
        <v>288</v>
      </c>
      <c r="G676" s="1007"/>
      <c r="H676" s="762" t="s">
        <v>46</v>
      </c>
      <c r="I676" s="880"/>
      <c r="J676" s="1012">
        <v>0</v>
      </c>
      <c r="K676" s="881"/>
      <c r="L676" s="998"/>
      <c r="M676" s="998"/>
      <c r="N676" s="998"/>
      <c r="O676" s="998"/>
      <c r="P676" s="998"/>
      <c r="Q676" s="1302"/>
      <c r="R676" s="1302"/>
      <c r="S676" s="1302"/>
      <c r="T676" s="1302"/>
      <c r="U676" s="1302"/>
      <c r="V676" s="1302"/>
      <c r="W676" s="1302"/>
      <c r="X676" s="1302"/>
      <c r="Y676" s="1302"/>
      <c r="Z676" s="1302"/>
    </row>
    <row r="677" spans="1:26" ht="18.75">
      <c r="A677" s="1326"/>
      <c r="B677" s="1327"/>
      <c r="C677" s="1327"/>
      <c r="D677" s="1327"/>
      <c r="E677" s="1014"/>
      <c r="F677" s="1014" t="s">
        <v>289</v>
      </c>
      <c r="G677" s="1007"/>
      <c r="H677" s="762" t="s">
        <v>46</v>
      </c>
      <c r="I677" s="880"/>
      <c r="J677" s="1012">
        <v>0</v>
      </c>
      <c r="K677" s="881"/>
      <c r="L677" s="998"/>
      <c r="M677" s="998"/>
      <c r="N677" s="998"/>
      <c r="O677" s="998"/>
      <c r="P677" s="998"/>
      <c r="Q677" s="1302"/>
      <c r="R677" s="1302"/>
      <c r="S677" s="1302"/>
      <c r="T677" s="1302"/>
      <c r="U677" s="1302"/>
      <c r="V677" s="1302"/>
      <c r="W677" s="1302"/>
      <c r="X677" s="1302"/>
      <c r="Y677" s="1302"/>
      <c r="Z677" s="1302"/>
    </row>
    <row r="678" spans="1:26" ht="19.5">
      <c r="A678" s="1326"/>
      <c r="B678" s="1327"/>
      <c r="C678" s="1327"/>
      <c r="D678" s="1327" t="s">
        <v>290</v>
      </c>
      <c r="E678" s="1014"/>
      <c r="F678" s="1014"/>
      <c r="G678" s="1007"/>
      <c r="H678" s="762" t="s">
        <v>46</v>
      </c>
      <c r="I678" s="1019">
        <f ca="1">IFERROR(__xludf.DUMMYFUNCTION("IMPORTRANGE(""https://docs.google.com/spreadsheets/d/1QqKyyYR6Q21VydFLVH3TRQUabQu_ym0Zz7PgGX0-kHA/edit?usp=sharing"",""แผน!IB82"")"),0)</f>
        <v>0</v>
      </c>
      <c r="J678" s="1019">
        <f>J679</f>
        <v>0</v>
      </c>
      <c r="K678" s="1020">
        <f ca="1">IF(I678&gt;0,J678*100/I678,0)</f>
        <v>0</v>
      </c>
      <c r="L678" s="998"/>
      <c r="M678" s="998"/>
      <c r="N678" s="998"/>
      <c r="O678" s="998"/>
      <c r="P678" s="998"/>
      <c r="Q678" s="1302"/>
      <c r="R678" s="1302"/>
      <c r="S678" s="1302"/>
      <c r="T678" s="1302"/>
      <c r="U678" s="1302"/>
      <c r="V678" s="1302"/>
      <c r="W678" s="1302"/>
      <c r="X678" s="1302"/>
      <c r="Y678" s="1302"/>
      <c r="Z678" s="1302"/>
    </row>
    <row r="679" spans="1:26" ht="18.75">
      <c r="A679" s="1326"/>
      <c r="B679" s="1327"/>
      <c r="C679" s="1327"/>
      <c r="D679" s="1327"/>
      <c r="E679" s="1014" t="s">
        <v>291</v>
      </c>
      <c r="F679" s="1014"/>
      <c r="G679" s="1007"/>
      <c r="H679" s="762" t="s">
        <v>46</v>
      </c>
      <c r="I679" s="880"/>
      <c r="J679" s="880">
        <f>J680+J681</f>
        <v>0</v>
      </c>
      <c r="K679" s="881"/>
      <c r="L679" s="998"/>
      <c r="M679" s="998"/>
      <c r="N679" s="998"/>
      <c r="O679" s="998"/>
      <c r="P679" s="998"/>
      <c r="Q679" s="1302"/>
      <c r="R679" s="1302"/>
      <c r="S679" s="1302"/>
      <c r="T679" s="1302"/>
      <c r="U679" s="1302"/>
      <c r="V679" s="1302"/>
      <c r="W679" s="1302"/>
      <c r="X679" s="1302"/>
      <c r="Y679" s="1302"/>
      <c r="Z679" s="1302"/>
    </row>
    <row r="680" spans="1:26" ht="18.75">
      <c r="A680" s="1326"/>
      <c r="B680" s="1327"/>
      <c r="C680" s="1327"/>
      <c r="D680" s="1327"/>
      <c r="E680" s="1014"/>
      <c r="F680" s="1014" t="s">
        <v>288</v>
      </c>
      <c r="G680" s="1007"/>
      <c r="H680" s="762" t="s">
        <v>46</v>
      </c>
      <c r="I680" s="880"/>
      <c r="J680" s="1012">
        <v>0</v>
      </c>
      <c r="K680" s="881"/>
      <c r="L680" s="998"/>
      <c r="M680" s="998"/>
      <c r="N680" s="998"/>
      <c r="O680" s="998"/>
      <c r="P680" s="998"/>
      <c r="Q680" s="1302"/>
      <c r="R680" s="1302"/>
      <c r="S680" s="1302"/>
      <c r="T680" s="1302"/>
      <c r="U680" s="1302"/>
      <c r="V680" s="1302"/>
      <c r="W680" s="1302"/>
      <c r="X680" s="1302"/>
      <c r="Y680" s="1302"/>
      <c r="Z680" s="1302"/>
    </row>
    <row r="681" spans="1:26" ht="18.75">
      <c r="A681" s="1326"/>
      <c r="B681" s="1327"/>
      <c r="C681" s="1327"/>
      <c r="D681" s="1327"/>
      <c r="E681" s="1014"/>
      <c r="F681" s="1014" t="s">
        <v>289</v>
      </c>
      <c r="G681" s="1007"/>
      <c r="H681" s="762" t="s">
        <v>46</v>
      </c>
      <c r="I681" s="880"/>
      <c r="J681" s="1012">
        <v>0</v>
      </c>
      <c r="K681" s="881"/>
      <c r="L681" s="998"/>
      <c r="M681" s="998"/>
      <c r="N681" s="998"/>
      <c r="O681" s="998"/>
      <c r="P681" s="998"/>
      <c r="Q681" s="1302"/>
      <c r="R681" s="1302"/>
      <c r="S681" s="1302"/>
      <c r="T681" s="1302"/>
      <c r="U681" s="1302"/>
      <c r="V681" s="1302"/>
      <c r="W681" s="1302"/>
      <c r="X681" s="1302"/>
      <c r="Y681" s="1302"/>
      <c r="Z681" s="1302"/>
    </row>
    <row r="682" spans="1:26" ht="18.75">
      <c r="A682" s="1326"/>
      <c r="B682" s="1327"/>
      <c r="C682" s="1327"/>
      <c r="D682" s="1327"/>
      <c r="E682" s="1014" t="s">
        <v>292</v>
      </c>
      <c r="F682" s="1014"/>
      <c r="G682" s="1007"/>
      <c r="H682" s="762" t="s">
        <v>46</v>
      </c>
      <c r="I682" s="880"/>
      <c r="J682" s="1012">
        <v>0</v>
      </c>
      <c r="K682" s="881"/>
      <c r="L682" s="998"/>
      <c r="M682" s="998"/>
      <c r="N682" s="998"/>
      <c r="O682" s="998"/>
      <c r="P682" s="998"/>
      <c r="Q682" s="1302"/>
      <c r="R682" s="1302"/>
      <c r="S682" s="1302"/>
      <c r="T682" s="1302"/>
      <c r="U682" s="1302"/>
      <c r="V682" s="1302"/>
      <c r="W682" s="1302"/>
      <c r="X682" s="1302"/>
      <c r="Y682" s="1302"/>
      <c r="Z682" s="1302"/>
    </row>
    <row r="683" spans="1:26" ht="18.75">
      <c r="A683" s="1326"/>
      <c r="B683" s="1327"/>
      <c r="C683" s="1327"/>
      <c r="D683" s="1327"/>
      <c r="E683" s="1014"/>
      <c r="F683" s="1014" t="s">
        <v>293</v>
      </c>
      <c r="G683" s="1007"/>
      <c r="H683" s="762" t="s">
        <v>46</v>
      </c>
      <c r="I683" s="880"/>
      <c r="J683" s="1012">
        <v>0</v>
      </c>
      <c r="K683" s="881"/>
      <c r="L683" s="998"/>
      <c r="M683" s="998"/>
      <c r="N683" s="998"/>
      <c r="O683" s="998"/>
      <c r="P683" s="998"/>
      <c r="Q683" s="1302"/>
      <c r="R683" s="1302"/>
      <c r="S683" s="1302"/>
      <c r="T683" s="1302"/>
      <c r="U683" s="1302"/>
      <c r="V683" s="1302"/>
      <c r="W683" s="1302"/>
      <c r="X683" s="1302"/>
      <c r="Y683" s="1302"/>
      <c r="Z683" s="1302"/>
    </row>
    <row r="684" spans="1:26" ht="19.5" hidden="1">
      <c r="A684" s="1434"/>
      <c r="B684" s="1435" t="s">
        <v>294</v>
      </c>
      <c r="C684" s="1434"/>
      <c r="D684" s="1434"/>
      <c r="E684" s="1434"/>
      <c r="F684" s="1434"/>
      <c r="G684" s="1436"/>
      <c r="H684" s="1436"/>
      <c r="I684" s="1437"/>
      <c r="J684" s="1437"/>
      <c r="K684" s="1438"/>
      <c r="L684" s="1438"/>
      <c r="M684" s="1438"/>
      <c r="N684" s="1438"/>
      <c r="O684" s="1438"/>
      <c r="P684" s="1438"/>
      <c r="Q684" s="1302"/>
      <c r="R684" s="1302"/>
      <c r="S684" s="1302"/>
      <c r="T684" s="1302"/>
      <c r="U684" s="1302"/>
      <c r="V684" s="1302"/>
      <c r="W684" s="1302"/>
      <c r="X684" s="1302"/>
      <c r="Y684" s="1302"/>
      <c r="Z684" s="1302"/>
    </row>
    <row r="685" spans="1:26" ht="19.5" hidden="1">
      <c r="A685" s="1317"/>
      <c r="B685" s="1301"/>
      <c r="C685" s="1301" t="s">
        <v>16</v>
      </c>
      <c r="D685" s="1318" t="s">
        <v>17</v>
      </c>
      <c r="E685" s="841"/>
      <c r="F685" s="841"/>
      <c r="G685" s="1016"/>
      <c r="H685" s="597" t="s">
        <v>12</v>
      </c>
      <c r="I685" s="880"/>
      <c r="J685" s="880"/>
      <c r="K685" s="881"/>
      <c r="L685" s="1020">
        <f t="shared" ref="L685:N685" ca="1" si="282">L686+L687</f>
        <v>0</v>
      </c>
      <c r="M685" s="1020">
        <f t="shared" si="282"/>
        <v>0</v>
      </c>
      <c r="N685" s="1020">
        <f t="shared" si="282"/>
        <v>0</v>
      </c>
      <c r="O685" s="1020">
        <f t="shared" ref="O685:O688" ca="1" si="283">IF(L685&gt;0,N685*100/L685,0)</f>
        <v>0</v>
      </c>
      <c r="P685" s="1020">
        <f t="shared" ref="P685:P688" si="284">IF(M685&gt;0,N685*100/M685,0)</f>
        <v>0</v>
      </c>
      <c r="Q685" s="1302"/>
      <c r="R685" s="1302"/>
      <c r="S685" s="1302"/>
      <c r="T685" s="1302"/>
      <c r="U685" s="1302"/>
      <c r="V685" s="1302"/>
      <c r="W685" s="1302"/>
      <c r="X685" s="1302"/>
      <c r="Y685" s="1302"/>
      <c r="Z685" s="1302"/>
    </row>
    <row r="686" spans="1:26" ht="18.75" hidden="1">
      <c r="A686" s="1319"/>
      <c r="B686" s="1320"/>
      <c r="C686" s="1320"/>
      <c r="D686" s="1321"/>
      <c r="E686" s="1320" t="s">
        <v>185</v>
      </c>
      <c r="F686" s="1320"/>
      <c r="G686" s="1322"/>
      <c r="H686" s="165" t="s">
        <v>12</v>
      </c>
      <c r="I686" s="886"/>
      <c r="J686" s="886"/>
      <c r="K686" s="887"/>
      <c r="L686" s="887">
        <f t="shared" ref="L686:N687" si="285">L689+L696</f>
        <v>0</v>
      </c>
      <c r="M686" s="887">
        <f t="shared" si="285"/>
        <v>0</v>
      </c>
      <c r="N686" s="887">
        <f t="shared" si="285"/>
        <v>0</v>
      </c>
      <c r="O686" s="887">
        <f t="shared" si="283"/>
        <v>0</v>
      </c>
      <c r="P686" s="887">
        <f t="shared" si="284"/>
        <v>0</v>
      </c>
      <c r="Q686" s="1323"/>
      <c r="R686" s="1323"/>
      <c r="S686" s="1323"/>
      <c r="T686" s="1323"/>
      <c r="U686" s="1323"/>
      <c r="V686" s="1323"/>
      <c r="W686" s="1323"/>
      <c r="X686" s="1323"/>
      <c r="Y686" s="1323"/>
      <c r="Z686" s="1323"/>
    </row>
    <row r="687" spans="1:26" ht="18.75" hidden="1">
      <c r="A687" s="1319"/>
      <c r="B687" s="1324"/>
      <c r="C687" s="1320"/>
      <c r="D687" s="1321"/>
      <c r="E687" s="1320" t="s">
        <v>186</v>
      </c>
      <c r="F687" s="1320"/>
      <c r="G687" s="1322"/>
      <c r="H687" s="165" t="s">
        <v>12</v>
      </c>
      <c r="I687" s="886"/>
      <c r="J687" s="886"/>
      <c r="K687" s="887"/>
      <c r="L687" s="887">
        <f t="shared" ca="1" si="285"/>
        <v>0</v>
      </c>
      <c r="M687" s="887">
        <f t="shared" si="285"/>
        <v>0</v>
      </c>
      <c r="N687" s="887">
        <f t="shared" si="285"/>
        <v>0</v>
      </c>
      <c r="O687" s="887">
        <f t="shared" ca="1" si="283"/>
        <v>0</v>
      </c>
      <c r="P687" s="887">
        <f t="shared" si="284"/>
        <v>0</v>
      </c>
      <c r="Q687" s="1323"/>
      <c r="R687" s="1323"/>
      <c r="S687" s="1323"/>
      <c r="T687" s="1323"/>
      <c r="U687" s="1323"/>
      <c r="V687" s="1323"/>
      <c r="W687" s="1323"/>
      <c r="X687" s="1323"/>
      <c r="Y687" s="1323"/>
      <c r="Z687" s="1323"/>
    </row>
    <row r="688" spans="1:26" ht="18.75" hidden="1">
      <c r="A688" s="1317"/>
      <c r="B688" s="1300"/>
      <c r="C688" s="1301"/>
      <c r="D688" s="1325" t="s">
        <v>20</v>
      </c>
      <c r="E688" s="1301"/>
      <c r="F688" s="1301"/>
      <c r="G688" s="1016"/>
      <c r="H688" s="161" t="s">
        <v>12</v>
      </c>
      <c r="I688" s="997"/>
      <c r="J688" s="997"/>
      <c r="K688" s="998"/>
      <c r="L688" s="881">
        <f t="shared" ref="L688:N688" ca="1" si="286">L689+L690</f>
        <v>0</v>
      </c>
      <c r="M688" s="881">
        <f t="shared" si="286"/>
        <v>0</v>
      </c>
      <c r="N688" s="881">
        <f t="shared" si="286"/>
        <v>0</v>
      </c>
      <c r="O688" s="881">
        <f t="shared" ca="1" si="283"/>
        <v>0</v>
      </c>
      <c r="P688" s="881">
        <f t="shared" si="284"/>
        <v>0</v>
      </c>
      <c r="Q688" s="1302"/>
      <c r="R688" s="1302"/>
      <c r="S688" s="1302"/>
      <c r="T688" s="1302"/>
      <c r="U688" s="1302"/>
      <c r="V688" s="1302"/>
      <c r="W688" s="1302"/>
      <c r="X688" s="1302"/>
      <c r="Y688" s="1302"/>
      <c r="Z688" s="1302"/>
    </row>
    <row r="689" spans="1:26" ht="18.75" hidden="1">
      <c r="A689" s="1319"/>
      <c r="B689" s="1324"/>
      <c r="C689" s="1320"/>
      <c r="D689" s="1321"/>
      <c r="E689" s="1320" t="s">
        <v>185</v>
      </c>
      <c r="F689" s="1320"/>
      <c r="G689" s="1322"/>
      <c r="H689" s="165" t="s">
        <v>12</v>
      </c>
      <c r="I689" s="886"/>
      <c r="J689" s="886"/>
      <c r="K689" s="887"/>
      <c r="L689" s="887">
        <v>0</v>
      </c>
      <c r="M689" s="887">
        <v>0</v>
      </c>
      <c r="N689" s="887">
        <v>0</v>
      </c>
      <c r="O689" s="887"/>
      <c r="P689" s="887"/>
      <c r="Q689" s="1323"/>
      <c r="R689" s="1323"/>
      <c r="S689" s="1323"/>
      <c r="T689" s="1323"/>
      <c r="U689" s="1323"/>
      <c r="V689" s="1323"/>
      <c r="W689" s="1323"/>
      <c r="X689" s="1323"/>
      <c r="Y689" s="1323"/>
      <c r="Z689" s="1323"/>
    </row>
    <row r="690" spans="1:26" ht="18.75" hidden="1">
      <c r="A690" s="1319"/>
      <c r="B690" s="1324"/>
      <c r="C690" s="1320"/>
      <c r="D690" s="1321"/>
      <c r="E690" s="1320" t="s">
        <v>186</v>
      </c>
      <c r="F690" s="1320"/>
      <c r="G690" s="1322"/>
      <c r="H690" s="165" t="s">
        <v>12</v>
      </c>
      <c r="I690" s="886"/>
      <c r="J690" s="886"/>
      <c r="K690" s="887"/>
      <c r="L690" s="887">
        <f ca="1">IFERROR(__xludf.DUMMYFUNCTION("IMPORTRANGE(""https://docs.google.com/spreadsheets/d/1QqKyyYR6Q21VydFLVH3TRQUabQu_ym0Zz7PgGX0-kHA/edit?usp=sharing"",""แผน!HW82"")"),0)</f>
        <v>0</v>
      </c>
      <c r="M690" s="887">
        <v>0</v>
      </c>
      <c r="N690" s="887">
        <f>N691+N692+N693+N694</f>
        <v>0</v>
      </c>
      <c r="O690" s="887">
        <f ca="1">IF(L690&gt;0,N690*100/L690,0)</f>
        <v>0</v>
      </c>
      <c r="P690" s="887">
        <f>IF(M690&gt;0,N690*100/M690,0)</f>
        <v>0</v>
      </c>
      <c r="Q690" s="1323"/>
      <c r="R690" s="1323"/>
      <c r="S690" s="1323"/>
      <c r="T690" s="1323"/>
      <c r="U690" s="1323"/>
      <c r="V690" s="1323"/>
      <c r="W690" s="1323"/>
      <c r="X690" s="1323"/>
      <c r="Y690" s="1323"/>
      <c r="Z690" s="1323"/>
    </row>
    <row r="691" spans="1:26" ht="18.75" hidden="1">
      <c r="A691" s="1299"/>
      <c r="B691" s="1300"/>
      <c r="C691" s="1301"/>
      <c r="D691" s="1301"/>
      <c r="E691" s="1301"/>
      <c r="F691" s="1301" t="s">
        <v>187</v>
      </c>
      <c r="G691" s="1016"/>
      <c r="H691" s="161" t="s">
        <v>12</v>
      </c>
      <c r="I691" s="880"/>
      <c r="J691" s="880"/>
      <c r="K691" s="881"/>
      <c r="L691" s="881"/>
      <c r="M691" s="881"/>
      <c r="N691" s="1085">
        <v>0</v>
      </c>
      <c r="O691" s="881"/>
      <c r="P691" s="881"/>
      <c r="Q691" s="1302"/>
      <c r="R691" s="1302"/>
      <c r="S691" s="1302"/>
      <c r="T691" s="1302"/>
      <c r="U691" s="1302"/>
      <c r="V691" s="1302"/>
      <c r="W691" s="1302"/>
      <c r="X691" s="1302"/>
      <c r="Y691" s="1302"/>
      <c r="Z691" s="1302"/>
    </row>
    <row r="692" spans="1:26" ht="18.75" hidden="1">
      <c r="A692" s="1299"/>
      <c r="B692" s="1300"/>
      <c r="C692" s="1301"/>
      <c r="D692" s="1301"/>
      <c r="E692" s="1301"/>
      <c r="F692" s="1301" t="s">
        <v>188</v>
      </c>
      <c r="G692" s="1016"/>
      <c r="H692" s="161" t="s">
        <v>12</v>
      </c>
      <c r="I692" s="880"/>
      <c r="J692" s="880"/>
      <c r="K692" s="881"/>
      <c r="L692" s="881"/>
      <c r="M692" s="881"/>
      <c r="N692" s="1085">
        <v>0</v>
      </c>
      <c r="O692" s="881"/>
      <c r="P692" s="881"/>
      <c r="Q692" s="1302"/>
      <c r="R692" s="1302"/>
      <c r="S692" s="1302"/>
      <c r="T692" s="1302"/>
      <c r="U692" s="1302"/>
      <c r="V692" s="1302"/>
      <c r="W692" s="1302"/>
      <c r="X692" s="1302"/>
      <c r="Y692" s="1302"/>
      <c r="Z692" s="1302"/>
    </row>
    <row r="693" spans="1:26" ht="18.75" hidden="1">
      <c r="A693" s="1299"/>
      <c r="B693" s="1300"/>
      <c r="C693" s="1301"/>
      <c r="D693" s="1301"/>
      <c r="E693" s="1301"/>
      <c r="F693" s="1301" t="s">
        <v>189</v>
      </c>
      <c r="G693" s="1016"/>
      <c r="H693" s="161" t="s">
        <v>12</v>
      </c>
      <c r="I693" s="880"/>
      <c r="J693" s="880"/>
      <c r="K693" s="881"/>
      <c r="L693" s="881"/>
      <c r="M693" s="881"/>
      <c r="N693" s="1085">
        <v>0</v>
      </c>
      <c r="O693" s="881"/>
      <c r="P693" s="881"/>
      <c r="Q693" s="1302"/>
      <c r="R693" s="1302"/>
      <c r="S693" s="1302"/>
      <c r="T693" s="1302"/>
      <c r="U693" s="1302"/>
      <c r="V693" s="1302"/>
      <c r="W693" s="1302"/>
      <c r="X693" s="1302"/>
      <c r="Y693" s="1302"/>
      <c r="Z693" s="1302"/>
    </row>
    <row r="694" spans="1:26" ht="18.75" hidden="1">
      <c r="A694" s="1299"/>
      <c r="B694" s="1300"/>
      <c r="C694" s="1301"/>
      <c r="D694" s="1301"/>
      <c r="E694" s="1301"/>
      <c r="F694" s="1301" t="s">
        <v>190</v>
      </c>
      <c r="G694" s="1016"/>
      <c r="H694" s="161" t="s">
        <v>12</v>
      </c>
      <c r="I694" s="880"/>
      <c r="J694" s="880"/>
      <c r="K694" s="881"/>
      <c r="L694" s="881"/>
      <c r="M694" s="881"/>
      <c r="N694" s="1085">
        <v>0</v>
      </c>
      <c r="O694" s="881"/>
      <c r="P694" s="881"/>
      <c r="Q694" s="1302"/>
      <c r="R694" s="1302"/>
      <c r="S694" s="1302"/>
      <c r="T694" s="1302"/>
      <c r="U694" s="1302"/>
      <c r="V694" s="1302"/>
      <c r="W694" s="1302"/>
      <c r="X694" s="1302"/>
      <c r="Y694" s="1302"/>
      <c r="Z694" s="1302"/>
    </row>
    <row r="695" spans="1:26" ht="18.75" hidden="1">
      <c r="A695" s="1317"/>
      <c r="B695" s="1300"/>
      <c r="C695" s="1301"/>
      <c r="D695" s="1325" t="s">
        <v>21</v>
      </c>
      <c r="E695" s="1301"/>
      <c r="F695" s="1301"/>
      <c r="G695" s="1016"/>
      <c r="H695" s="168" t="s">
        <v>12</v>
      </c>
      <c r="I695" s="997"/>
      <c r="J695" s="997"/>
      <c r="K695" s="998"/>
      <c r="L695" s="881">
        <f t="shared" ref="L695:N695" si="287">L696+L697</f>
        <v>0</v>
      </c>
      <c r="M695" s="881">
        <f t="shared" si="287"/>
        <v>0</v>
      </c>
      <c r="N695" s="881">
        <f t="shared" si="287"/>
        <v>0</v>
      </c>
      <c r="O695" s="881">
        <f t="shared" ref="O695:O697" si="288">IF(L695&gt;0,N695*100/L695,0)</f>
        <v>0</v>
      </c>
      <c r="P695" s="881">
        <f t="shared" ref="P695:P697" si="289">IF(M695&gt;0,N695*100/M695,0)</f>
        <v>0</v>
      </c>
      <c r="Q695" s="1302"/>
      <c r="R695" s="1302"/>
      <c r="S695" s="1302"/>
      <c r="T695" s="1302"/>
      <c r="U695" s="1302"/>
      <c r="V695" s="1302"/>
      <c r="W695" s="1302"/>
      <c r="X695" s="1302"/>
      <c r="Y695" s="1302"/>
      <c r="Z695" s="1302"/>
    </row>
    <row r="696" spans="1:26" ht="18.75" hidden="1">
      <c r="A696" s="1319"/>
      <c r="B696" s="1324"/>
      <c r="C696" s="1320"/>
      <c r="D696" s="1320"/>
      <c r="E696" s="1320" t="s">
        <v>18</v>
      </c>
      <c r="F696" s="1320"/>
      <c r="G696" s="1322"/>
      <c r="H696" s="165" t="s">
        <v>12</v>
      </c>
      <c r="I696" s="1000"/>
      <c r="J696" s="1000"/>
      <c r="K696" s="1001"/>
      <c r="L696" s="887">
        <v>0</v>
      </c>
      <c r="M696" s="887">
        <v>0</v>
      </c>
      <c r="N696" s="887">
        <v>0</v>
      </c>
      <c r="O696" s="887">
        <f t="shared" si="288"/>
        <v>0</v>
      </c>
      <c r="P696" s="887">
        <f t="shared" si="289"/>
        <v>0</v>
      </c>
      <c r="Q696" s="1323"/>
      <c r="R696" s="1323"/>
      <c r="S696" s="1323"/>
      <c r="T696" s="1323"/>
      <c r="U696" s="1323"/>
      <c r="V696" s="1323"/>
      <c r="W696" s="1323"/>
      <c r="X696" s="1323"/>
      <c r="Y696" s="1323"/>
      <c r="Z696" s="1323"/>
    </row>
    <row r="697" spans="1:26" ht="18.75" hidden="1">
      <c r="A697" s="1319"/>
      <c r="B697" s="1324"/>
      <c r="C697" s="1320"/>
      <c r="D697" s="1320"/>
      <c r="E697" s="1320" t="s">
        <v>19</v>
      </c>
      <c r="F697" s="1320"/>
      <c r="G697" s="1322"/>
      <c r="H697" s="169" t="s">
        <v>12</v>
      </c>
      <c r="I697" s="1000"/>
      <c r="J697" s="1000"/>
      <c r="K697" s="1001"/>
      <c r="L697" s="887">
        <v>0</v>
      </c>
      <c r="M697" s="887">
        <v>0</v>
      </c>
      <c r="N697" s="887">
        <v>0</v>
      </c>
      <c r="O697" s="887">
        <f t="shared" si="288"/>
        <v>0</v>
      </c>
      <c r="P697" s="887">
        <f t="shared" si="289"/>
        <v>0</v>
      </c>
      <c r="Q697" s="1323"/>
      <c r="R697" s="1323"/>
      <c r="S697" s="1323"/>
      <c r="T697" s="1323"/>
      <c r="U697" s="1323"/>
      <c r="V697" s="1323"/>
      <c r="W697" s="1323"/>
      <c r="X697" s="1323"/>
      <c r="Y697" s="1323"/>
      <c r="Z697" s="1323"/>
    </row>
    <row r="698" spans="1:26" ht="19.5" hidden="1">
      <c r="A698" s="1326"/>
      <c r="B698" s="1327"/>
      <c r="C698" s="1301" t="s">
        <v>16</v>
      </c>
      <c r="D698" s="1439" t="s">
        <v>38</v>
      </c>
      <c r="E698" s="1330"/>
      <c r="F698" s="1330"/>
      <c r="G698" s="1331"/>
      <c r="H698" s="1007"/>
      <c r="I698" s="997"/>
      <c r="J698" s="997"/>
      <c r="K698" s="998"/>
      <c r="L698" s="998"/>
      <c r="M698" s="998"/>
      <c r="N698" s="998"/>
      <c r="O698" s="998"/>
      <c r="P698" s="998"/>
      <c r="Q698" s="1302"/>
      <c r="R698" s="1302"/>
      <c r="S698" s="1302"/>
      <c r="T698" s="1302"/>
      <c r="U698" s="1302"/>
      <c r="V698" s="1302"/>
      <c r="W698" s="1302"/>
      <c r="X698" s="1302"/>
      <c r="Y698" s="1302"/>
      <c r="Z698" s="1302"/>
    </row>
    <row r="699" spans="1:26" ht="18.75" hidden="1">
      <c r="A699" s="1429"/>
      <c r="B699" s="1301"/>
      <c r="C699" s="1301"/>
      <c r="D699" s="1301" t="s">
        <v>295</v>
      </c>
      <c r="E699" s="1301"/>
      <c r="F699" s="1301"/>
      <c r="G699" s="1016"/>
      <c r="H699" s="762" t="s">
        <v>46</v>
      </c>
      <c r="I699" s="1440">
        <f ca="1">IFERROR(__xludf.DUMMYFUNCTION("IMPORTRANGE(""https://docs.google.com/spreadsheets/d/1QqKyyYR6Q21VydFLVH3TRQUabQu_ym0Zz7PgGX0-kHA/edit?usp=sharing"",""แผน!IC82"")"),0)</f>
        <v>0</v>
      </c>
      <c r="J699" s="880">
        <f ca="1">IFERROR(__xludf.DUMMYFUNCTION("IMPORTRANGE(""https://docs.google.com/spreadsheets/d/1XWAQStnk-4SwqDmLtmXYiTMKHgktTP8We1SCoS47DrQ/edit?usp=sharing"",""จัดที่ดิน!BB82"")"),0)</f>
        <v>0</v>
      </c>
      <c r="K699" s="881">
        <f t="shared" ref="K699:K701" ca="1" si="290">IF(I699&gt;0,J699*100/I699,0)</f>
        <v>0</v>
      </c>
      <c r="L699" s="881"/>
      <c r="M699" s="1016"/>
      <c r="N699" s="1441"/>
      <c r="O699" s="881"/>
      <c r="P699" s="881"/>
      <c r="Q699" s="1302"/>
      <c r="R699" s="1302"/>
      <c r="S699" s="1302"/>
      <c r="T699" s="1302"/>
      <c r="U699" s="1302"/>
      <c r="V699" s="1302"/>
      <c r="W699" s="1302"/>
      <c r="X699" s="1302"/>
      <c r="Y699" s="1302"/>
      <c r="Z699" s="1302"/>
    </row>
    <row r="700" spans="1:26" ht="18.75" hidden="1">
      <c r="A700" s="1429"/>
      <c r="B700" s="1301"/>
      <c r="C700" s="1301"/>
      <c r="D700" s="1301" t="s">
        <v>296</v>
      </c>
      <c r="E700" s="1301"/>
      <c r="F700" s="1301"/>
      <c r="G700" s="1016"/>
      <c r="H700" s="762" t="s">
        <v>35</v>
      </c>
      <c r="I700" s="1440">
        <f ca="1">IFERROR(__xludf.DUMMYFUNCTION("IMPORTRANGE(""https://docs.google.com/spreadsheets/d/1QqKyyYR6Q21VydFLVH3TRQUabQu_ym0Zz7PgGX0-kHA/edit?usp=sharing"",""แผน!ID82"")"),0)</f>
        <v>0</v>
      </c>
      <c r="J700" s="880">
        <f ca="1">IFERROR(__xludf.DUMMYFUNCTION("IMPORTRANGE(""https://docs.google.com/spreadsheets/d/1XWAQStnk-4SwqDmLtmXYiTMKHgktTP8We1SCoS47DrQ/edit?usp=sharing"",""จัดที่ดิน!BD82"")"),0)</f>
        <v>0</v>
      </c>
      <c r="K700" s="881">
        <f t="shared" ca="1" si="290"/>
        <v>0</v>
      </c>
      <c r="L700" s="881"/>
      <c r="M700" s="1016"/>
      <c r="N700" s="1441"/>
      <c r="O700" s="881"/>
      <c r="P700" s="881"/>
      <c r="Q700" s="1302"/>
      <c r="R700" s="1302"/>
      <c r="S700" s="1302"/>
      <c r="T700" s="1302"/>
      <c r="U700" s="1302"/>
      <c r="V700" s="1302"/>
      <c r="W700" s="1302"/>
      <c r="X700" s="1302"/>
      <c r="Y700" s="1302"/>
      <c r="Z700" s="1302"/>
    </row>
    <row r="701" spans="1:26" ht="19.5" hidden="1">
      <c r="A701" s="1429"/>
      <c r="B701" s="1301"/>
      <c r="C701" s="1301"/>
      <c r="D701" s="1301" t="s">
        <v>297</v>
      </c>
      <c r="E701" s="1301"/>
      <c r="F701" s="1301"/>
      <c r="G701" s="1016"/>
      <c r="H701" s="765" t="s">
        <v>46</v>
      </c>
      <c r="I701" s="1442">
        <f ca="1">IFERROR(__xludf.DUMMYFUNCTION("IMPORTRANGE(""https://docs.google.com/spreadsheets/d/1QqKyyYR6Q21VydFLVH3TRQUabQu_ym0Zz7PgGX0-kHA/edit?usp=sharing"",""แผน!IE82"")"),0)</f>
        <v>0</v>
      </c>
      <c r="J701" s="1019">
        <f>J704+J707</f>
        <v>0</v>
      </c>
      <c r="K701" s="1020">
        <f t="shared" ca="1" si="290"/>
        <v>0</v>
      </c>
      <c r="L701" s="881"/>
      <c r="M701" s="1016"/>
      <c r="N701" s="1441"/>
      <c r="O701" s="881"/>
      <c r="P701" s="881"/>
      <c r="Q701" s="1302"/>
      <c r="R701" s="1302"/>
      <c r="S701" s="1302"/>
      <c r="T701" s="1302"/>
      <c r="U701" s="1302"/>
      <c r="V701" s="1302"/>
      <c r="W701" s="1302"/>
      <c r="X701" s="1302"/>
      <c r="Y701" s="1302"/>
      <c r="Z701" s="1302"/>
    </row>
    <row r="702" spans="1:26" ht="18.75" hidden="1">
      <c r="A702" s="1429"/>
      <c r="B702" s="1301"/>
      <c r="C702" s="1301"/>
      <c r="D702" s="1301"/>
      <c r="E702" s="1301" t="s">
        <v>298</v>
      </c>
      <c r="F702" s="1301"/>
      <c r="G702" s="1016"/>
      <c r="H702" s="762" t="s">
        <v>35</v>
      </c>
      <c r="I702" s="1440"/>
      <c r="J702" s="1012">
        <v>0</v>
      </c>
      <c r="K702" s="881"/>
      <c r="L702" s="881"/>
      <c r="M702" s="1016"/>
      <c r="N702" s="1441"/>
      <c r="O702" s="881"/>
      <c r="P702" s="881"/>
      <c r="Q702" s="1302"/>
      <c r="R702" s="1302"/>
      <c r="S702" s="1302"/>
      <c r="T702" s="1302"/>
      <c r="U702" s="1302"/>
      <c r="V702" s="1302"/>
      <c r="W702" s="1302"/>
      <c r="X702" s="1302"/>
      <c r="Y702" s="1302"/>
      <c r="Z702" s="1302"/>
    </row>
    <row r="703" spans="1:26" ht="18.75" hidden="1">
      <c r="A703" s="1429"/>
      <c r="B703" s="1301"/>
      <c r="C703" s="1301"/>
      <c r="D703" s="1301"/>
      <c r="E703" s="1301"/>
      <c r="F703" s="1301"/>
      <c r="G703" s="1016"/>
      <c r="H703" s="762" t="s">
        <v>34</v>
      </c>
      <c r="I703" s="1440"/>
      <c r="J703" s="1012">
        <v>0</v>
      </c>
      <c r="K703" s="881"/>
      <c r="L703" s="881"/>
      <c r="M703" s="1016"/>
      <c r="N703" s="1441"/>
      <c r="O703" s="881"/>
      <c r="P703" s="881"/>
      <c r="Q703" s="1302"/>
      <c r="R703" s="1302"/>
      <c r="S703" s="1302"/>
      <c r="T703" s="1302"/>
      <c r="U703" s="1302"/>
      <c r="V703" s="1302"/>
      <c r="W703" s="1302"/>
      <c r="X703" s="1302"/>
      <c r="Y703" s="1302"/>
      <c r="Z703" s="1302"/>
    </row>
    <row r="704" spans="1:26" ht="18.75" hidden="1">
      <c r="A704" s="1429"/>
      <c r="B704" s="1301"/>
      <c r="C704" s="1301"/>
      <c r="D704" s="1301"/>
      <c r="E704" s="1301"/>
      <c r="F704" s="1301"/>
      <c r="G704" s="1016"/>
      <c r="H704" s="762" t="s">
        <v>46</v>
      </c>
      <c r="I704" s="1440">
        <f ca="1">IFERROR(__xludf.DUMMYFUNCTION("IMPORTRANGE(""https://docs.google.com/spreadsheets/d/1QqKyyYR6Q21VydFLVH3TRQUabQu_ym0Zz7PgGX0-kHA/edit?usp=sharing"",""แผน!IF82"")"),0)</f>
        <v>0</v>
      </c>
      <c r="J704" s="1012">
        <v>0</v>
      </c>
      <c r="K704" s="881"/>
      <c r="L704" s="881"/>
      <c r="M704" s="1016"/>
      <c r="N704" s="1441"/>
      <c r="O704" s="881"/>
      <c r="P704" s="881"/>
      <c r="Q704" s="1302"/>
      <c r="R704" s="1302"/>
      <c r="S704" s="1302"/>
      <c r="T704" s="1302"/>
      <c r="U704" s="1302"/>
      <c r="V704" s="1302"/>
      <c r="W704" s="1302"/>
      <c r="X704" s="1302"/>
      <c r="Y704" s="1302"/>
      <c r="Z704" s="1302"/>
    </row>
    <row r="705" spans="1:26" ht="18.75" hidden="1">
      <c r="A705" s="1429"/>
      <c r="B705" s="1301"/>
      <c r="C705" s="1301"/>
      <c r="D705" s="1301"/>
      <c r="E705" s="1301" t="s">
        <v>299</v>
      </c>
      <c r="F705" s="1301"/>
      <c r="G705" s="1016"/>
      <c r="H705" s="762" t="s">
        <v>35</v>
      </c>
      <c r="I705" s="1440"/>
      <c r="J705" s="1012">
        <v>0</v>
      </c>
      <c r="K705" s="881"/>
      <c r="L705" s="881"/>
      <c r="M705" s="1016"/>
      <c r="N705" s="1441"/>
      <c r="O705" s="881"/>
      <c r="P705" s="881"/>
      <c r="Q705" s="1302"/>
      <c r="R705" s="1302"/>
      <c r="S705" s="1302"/>
      <c r="T705" s="1302"/>
      <c r="U705" s="1302"/>
      <c r="V705" s="1302"/>
      <c r="W705" s="1302"/>
      <c r="X705" s="1302"/>
      <c r="Y705" s="1302"/>
      <c r="Z705" s="1302"/>
    </row>
    <row r="706" spans="1:26" ht="18.75" hidden="1">
      <c r="A706" s="1429"/>
      <c r="B706" s="1301"/>
      <c r="C706" s="1301"/>
      <c r="D706" s="1301"/>
      <c r="E706" s="1301"/>
      <c r="F706" s="1301"/>
      <c r="G706" s="1016"/>
      <c r="H706" s="762" t="s">
        <v>34</v>
      </c>
      <c r="I706" s="1440"/>
      <c r="J706" s="1012">
        <v>0</v>
      </c>
      <c r="K706" s="881"/>
      <c r="L706" s="881"/>
      <c r="M706" s="1016"/>
      <c r="N706" s="1441"/>
      <c r="O706" s="881"/>
      <c r="P706" s="881"/>
      <c r="Q706" s="1302"/>
      <c r="R706" s="1302"/>
      <c r="S706" s="1302"/>
      <c r="T706" s="1302"/>
      <c r="U706" s="1302"/>
      <c r="V706" s="1302"/>
      <c r="W706" s="1302"/>
      <c r="X706" s="1302"/>
      <c r="Y706" s="1302"/>
      <c r="Z706" s="1302"/>
    </row>
    <row r="707" spans="1:26" ht="18.75" hidden="1">
      <c r="A707" s="1429"/>
      <c r="B707" s="1301"/>
      <c r="C707" s="1301"/>
      <c r="D707" s="1301"/>
      <c r="E707" s="1301"/>
      <c r="F707" s="1301"/>
      <c r="G707" s="1016"/>
      <c r="H707" s="762" t="s">
        <v>46</v>
      </c>
      <c r="I707" s="1440">
        <f ca="1">IFERROR(__xludf.DUMMYFUNCTION("IMPORTRANGE(""https://docs.google.com/spreadsheets/d/1QqKyyYR6Q21VydFLVH3TRQUabQu_ym0Zz7PgGX0-kHA/edit?usp=sharing"",""แผน!IG82"")"),0)</f>
        <v>0</v>
      </c>
      <c r="J707" s="1012">
        <v>0</v>
      </c>
      <c r="K707" s="881"/>
      <c r="L707" s="881"/>
      <c r="M707" s="1016"/>
      <c r="N707" s="1441"/>
      <c r="O707" s="881"/>
      <c r="P707" s="881"/>
      <c r="Q707" s="1302"/>
      <c r="R707" s="1302"/>
      <c r="S707" s="1302"/>
      <c r="T707" s="1302"/>
      <c r="U707" s="1302"/>
      <c r="V707" s="1302"/>
      <c r="W707" s="1302"/>
      <c r="X707" s="1302"/>
      <c r="Y707" s="1302"/>
      <c r="Z707" s="1302"/>
    </row>
    <row r="708" spans="1:26" ht="19.5" hidden="1">
      <c r="A708" s="1429"/>
      <c r="B708" s="1301"/>
      <c r="C708" s="1301"/>
      <c r="D708" s="1382" t="s">
        <v>300</v>
      </c>
      <c r="E708" s="1301"/>
      <c r="F708" s="1301"/>
      <c r="G708" s="1016"/>
      <c r="H708" s="765" t="s">
        <v>46</v>
      </c>
      <c r="I708" s="1442">
        <f ca="1">IFERROR(__xludf.DUMMYFUNCTION("IMPORTRANGE(""https://docs.google.com/spreadsheets/d/1QqKyyYR6Q21VydFLVH3TRQUabQu_ym0Zz7PgGX0-kHA/edit?usp=sharing"",""แผน!IH82"")"),0)</f>
        <v>0</v>
      </c>
      <c r="J708" s="1019">
        <f>J714+J717</f>
        <v>0</v>
      </c>
      <c r="K708" s="1020">
        <f ca="1">IF(I708&gt;0,J708*100/I708,0)</f>
        <v>0</v>
      </c>
      <c r="L708" s="881"/>
      <c r="M708" s="1016"/>
      <c r="N708" s="1441"/>
      <c r="O708" s="881"/>
      <c r="P708" s="881"/>
      <c r="Q708" s="1302"/>
      <c r="R708" s="1302"/>
      <c r="S708" s="1302"/>
      <c r="T708" s="1302"/>
      <c r="U708" s="1302"/>
      <c r="V708" s="1302"/>
      <c r="W708" s="1302"/>
      <c r="X708" s="1302"/>
      <c r="Y708" s="1302"/>
      <c r="Z708" s="1302"/>
    </row>
    <row r="709" spans="1:26" ht="18.75" hidden="1">
      <c r="A709" s="1429"/>
      <c r="B709" s="1301"/>
      <c r="C709" s="1301"/>
      <c r="D709" s="1301"/>
      <c r="E709" s="1301" t="s">
        <v>301</v>
      </c>
      <c r="F709" s="1301"/>
      <c r="G709" s="1016"/>
      <c r="H709" s="762" t="s">
        <v>34</v>
      </c>
      <c r="I709" s="1440"/>
      <c r="J709" s="1012">
        <v>0</v>
      </c>
      <c r="K709" s="881"/>
      <c r="L709" s="1441"/>
      <c r="M709" s="1016"/>
      <c r="N709" s="1441"/>
      <c r="O709" s="881"/>
      <c r="P709" s="881"/>
      <c r="Q709" s="1302"/>
      <c r="R709" s="1302"/>
      <c r="S709" s="1302"/>
      <c r="T709" s="1302"/>
      <c r="U709" s="1302"/>
      <c r="V709" s="1302"/>
      <c r="W709" s="1302"/>
      <c r="X709" s="1302"/>
      <c r="Y709" s="1302"/>
      <c r="Z709" s="1302"/>
    </row>
    <row r="710" spans="1:26" ht="18.75" hidden="1">
      <c r="A710" s="1429"/>
      <c r="B710" s="1301"/>
      <c r="C710" s="1301"/>
      <c r="D710" s="1301"/>
      <c r="E710" s="1301"/>
      <c r="F710" s="1301"/>
      <c r="G710" s="1016"/>
      <c r="H710" s="762" t="s">
        <v>46</v>
      </c>
      <c r="I710" s="1440"/>
      <c r="J710" s="1012">
        <v>0</v>
      </c>
      <c r="K710" s="881"/>
      <c r="L710" s="1441"/>
      <c r="M710" s="1016"/>
      <c r="N710" s="1441"/>
      <c r="O710" s="881"/>
      <c r="P710" s="881"/>
      <c r="Q710" s="1302"/>
      <c r="R710" s="1302"/>
      <c r="S710" s="1302"/>
      <c r="T710" s="1302"/>
      <c r="U710" s="1302"/>
      <c r="V710" s="1302"/>
      <c r="W710" s="1302"/>
      <c r="X710" s="1302"/>
      <c r="Y710" s="1302"/>
      <c r="Z710" s="1302"/>
    </row>
    <row r="711" spans="1:26" ht="18.75" hidden="1">
      <c r="A711" s="1429"/>
      <c r="B711" s="1301"/>
      <c r="C711" s="1301"/>
      <c r="D711" s="1301"/>
      <c r="E711" s="1301" t="s">
        <v>302</v>
      </c>
      <c r="F711" s="1301"/>
      <c r="G711" s="1016"/>
      <c r="H711" s="1007"/>
      <c r="I711" s="1440"/>
      <c r="J711" s="880"/>
      <c r="K711" s="881"/>
      <c r="L711" s="1441"/>
      <c r="M711" s="1016"/>
      <c r="N711" s="1441"/>
      <c r="O711" s="881"/>
      <c r="P711" s="881"/>
      <c r="Q711" s="1302"/>
      <c r="R711" s="1302"/>
      <c r="S711" s="1302"/>
      <c r="T711" s="1302"/>
      <c r="U711" s="1302"/>
      <c r="V711" s="1302"/>
      <c r="W711" s="1302"/>
      <c r="X711" s="1302"/>
      <c r="Y711" s="1302"/>
      <c r="Z711" s="1302"/>
    </row>
    <row r="712" spans="1:26" ht="18.75" hidden="1">
      <c r="A712" s="1429"/>
      <c r="B712" s="1301"/>
      <c r="C712" s="1301"/>
      <c r="D712" s="1301"/>
      <c r="E712" s="1301"/>
      <c r="F712" s="1301" t="s">
        <v>303</v>
      </c>
      <c r="G712" s="1016"/>
      <c r="H712" s="762" t="s">
        <v>35</v>
      </c>
      <c r="I712" s="1440"/>
      <c r="J712" s="1012">
        <v>0</v>
      </c>
      <c r="K712" s="881"/>
      <c r="L712" s="1441"/>
      <c r="M712" s="1016"/>
      <c r="N712" s="1441"/>
      <c r="O712" s="881"/>
      <c r="P712" s="881"/>
      <c r="Q712" s="1302"/>
      <c r="R712" s="1302"/>
      <c r="S712" s="1302"/>
      <c r="T712" s="1302"/>
      <c r="U712" s="1302"/>
      <c r="V712" s="1302"/>
      <c r="W712" s="1302"/>
      <c r="X712" s="1302"/>
      <c r="Y712" s="1302"/>
      <c r="Z712" s="1302"/>
    </row>
    <row r="713" spans="1:26" ht="18.75" hidden="1">
      <c r="A713" s="1429"/>
      <c r="B713" s="1301"/>
      <c r="C713" s="1301"/>
      <c r="D713" s="1301"/>
      <c r="E713" s="1301"/>
      <c r="F713" s="1301"/>
      <c r="G713" s="1016"/>
      <c r="H713" s="762" t="s">
        <v>34</v>
      </c>
      <c r="I713" s="1440"/>
      <c r="J713" s="1012">
        <v>0</v>
      </c>
      <c r="K713" s="881"/>
      <c r="L713" s="1441"/>
      <c r="M713" s="1016"/>
      <c r="N713" s="1441"/>
      <c r="O713" s="881"/>
      <c r="P713" s="881"/>
      <c r="Q713" s="1302"/>
      <c r="R713" s="1302"/>
      <c r="S713" s="1302"/>
      <c r="T713" s="1302"/>
      <c r="U713" s="1302"/>
      <c r="V713" s="1302"/>
      <c r="W713" s="1302"/>
      <c r="X713" s="1302"/>
      <c r="Y713" s="1302"/>
      <c r="Z713" s="1302"/>
    </row>
    <row r="714" spans="1:26" ht="18.75" hidden="1">
      <c r="A714" s="1429"/>
      <c r="B714" s="1301"/>
      <c r="C714" s="1301"/>
      <c r="D714" s="1301"/>
      <c r="E714" s="1301"/>
      <c r="F714" s="1301"/>
      <c r="G714" s="1016"/>
      <c r="H714" s="762" t="s">
        <v>46</v>
      </c>
      <c r="I714" s="1440"/>
      <c r="J714" s="1012">
        <v>0</v>
      </c>
      <c r="K714" s="881"/>
      <c r="L714" s="1441"/>
      <c r="M714" s="1016"/>
      <c r="N714" s="1441"/>
      <c r="O714" s="881"/>
      <c r="P714" s="881"/>
      <c r="Q714" s="1302"/>
      <c r="R714" s="1302"/>
      <c r="S714" s="1302"/>
      <c r="T714" s="1302"/>
      <c r="U714" s="1302"/>
      <c r="V714" s="1302"/>
      <c r="W714" s="1302"/>
      <c r="X714" s="1302"/>
      <c r="Y714" s="1302"/>
      <c r="Z714" s="1302"/>
    </row>
    <row r="715" spans="1:26" ht="18.75" hidden="1">
      <c r="A715" s="1429"/>
      <c r="B715" s="1301"/>
      <c r="C715" s="1301"/>
      <c r="D715" s="1301"/>
      <c r="E715" s="1301"/>
      <c r="F715" s="1301" t="s">
        <v>304</v>
      </c>
      <c r="G715" s="1016"/>
      <c r="H715" s="762" t="s">
        <v>35</v>
      </c>
      <c r="I715" s="1440"/>
      <c r="J715" s="1012">
        <v>0</v>
      </c>
      <c r="K715" s="881"/>
      <c r="L715" s="1441"/>
      <c r="M715" s="1016"/>
      <c r="N715" s="1441"/>
      <c r="O715" s="881"/>
      <c r="P715" s="881"/>
      <c r="Q715" s="1302"/>
      <c r="R715" s="1302"/>
      <c r="S715" s="1302"/>
      <c r="T715" s="1302"/>
      <c r="U715" s="1302"/>
      <c r="V715" s="1302"/>
      <c r="W715" s="1302"/>
      <c r="X715" s="1302"/>
      <c r="Y715" s="1302"/>
      <c r="Z715" s="1302"/>
    </row>
    <row r="716" spans="1:26" ht="18.75" hidden="1">
      <c r="A716" s="1429"/>
      <c r="B716" s="1301"/>
      <c r="C716" s="1301"/>
      <c r="D716" s="1301"/>
      <c r="E716" s="1301"/>
      <c r="F716" s="1301"/>
      <c r="G716" s="1016"/>
      <c r="H716" s="762" t="s">
        <v>34</v>
      </c>
      <c r="I716" s="1440"/>
      <c r="J716" s="1012">
        <v>0</v>
      </c>
      <c r="K716" s="881"/>
      <c r="L716" s="1441"/>
      <c r="M716" s="1016"/>
      <c r="N716" s="1441"/>
      <c r="O716" s="881"/>
      <c r="P716" s="881"/>
      <c r="Q716" s="1302"/>
      <c r="R716" s="1302"/>
      <c r="S716" s="1302"/>
      <c r="T716" s="1302"/>
      <c r="U716" s="1302"/>
      <c r="V716" s="1302"/>
      <c r="W716" s="1302"/>
      <c r="X716" s="1302"/>
      <c r="Y716" s="1302"/>
      <c r="Z716" s="1302"/>
    </row>
    <row r="717" spans="1:26" ht="18.75" hidden="1">
      <c r="A717" s="1429"/>
      <c r="B717" s="1301"/>
      <c r="C717" s="1301"/>
      <c r="D717" s="1301"/>
      <c r="E717" s="1301"/>
      <c r="F717" s="1301"/>
      <c r="G717" s="1016"/>
      <c r="H717" s="762" t="s">
        <v>46</v>
      </c>
      <c r="I717" s="1440"/>
      <c r="J717" s="1012">
        <v>0</v>
      </c>
      <c r="K717" s="881"/>
      <c r="L717" s="1441"/>
      <c r="M717" s="1016"/>
      <c r="N717" s="1441"/>
      <c r="O717" s="881"/>
      <c r="P717" s="881"/>
      <c r="Q717" s="1302"/>
      <c r="R717" s="1302"/>
      <c r="S717" s="1302"/>
      <c r="T717" s="1302"/>
      <c r="U717" s="1302"/>
      <c r="V717" s="1302"/>
      <c r="W717" s="1302"/>
      <c r="X717" s="1302"/>
      <c r="Y717" s="1302"/>
      <c r="Z717" s="1302"/>
    </row>
    <row r="718" spans="1:26" ht="18.75" hidden="1">
      <c r="A718" s="1429"/>
      <c r="B718" s="1301"/>
      <c r="C718" s="1301"/>
      <c r="D718" s="1301" t="s">
        <v>305</v>
      </c>
      <c r="E718" s="1301"/>
      <c r="F718" s="1301"/>
      <c r="G718" s="1016"/>
      <c r="H718" s="762" t="s">
        <v>35</v>
      </c>
      <c r="I718" s="1440"/>
      <c r="J718" s="880">
        <f ca="1">IFERROR(__xludf.DUMMYFUNCTION("IMPORTRANGE(""https://docs.google.com/spreadsheets/d/1XWAQStnk-4SwqDmLtmXYiTMKHgktTP8We1SCoS47DrQ/edit?usp=sharing"",""จัดที่ดิน!BF82"")"),0)</f>
        <v>0</v>
      </c>
      <c r="K718" s="881"/>
      <c r="L718" s="881"/>
      <c r="M718" s="1016"/>
      <c r="N718" s="1441"/>
      <c r="O718" s="881"/>
      <c r="P718" s="881"/>
      <c r="Q718" s="1302"/>
      <c r="R718" s="1302"/>
      <c r="S718" s="1302"/>
      <c r="T718" s="1302"/>
      <c r="U718" s="1302"/>
      <c r="V718" s="1302"/>
      <c r="W718" s="1302"/>
      <c r="X718" s="1302"/>
      <c r="Y718" s="1302"/>
      <c r="Z718" s="1302"/>
    </row>
    <row r="719" spans="1:26" ht="18.75" hidden="1">
      <c r="A719" s="1429"/>
      <c r="B719" s="1301"/>
      <c r="C719" s="1301"/>
      <c r="D719" s="1301"/>
      <c r="E719" s="1301"/>
      <c r="F719" s="1301"/>
      <c r="G719" s="1016"/>
      <c r="H719" s="762" t="s">
        <v>34</v>
      </c>
      <c r="I719" s="1440"/>
      <c r="J719" s="880">
        <f ca="1">IFERROR(__xludf.DUMMYFUNCTION("IMPORTRANGE(""https://docs.google.com/spreadsheets/d/1XWAQStnk-4SwqDmLtmXYiTMKHgktTP8We1SCoS47DrQ/edit?usp=sharing"",""จัดที่ดิน!BG82"")"),0)</f>
        <v>0</v>
      </c>
      <c r="K719" s="881"/>
      <c r="L719" s="1441"/>
      <c r="M719" s="1016"/>
      <c r="N719" s="1441"/>
      <c r="O719" s="881"/>
      <c r="P719" s="881"/>
      <c r="Q719" s="1302"/>
      <c r="R719" s="1302"/>
      <c r="S719" s="1302"/>
      <c r="T719" s="1302"/>
      <c r="U719" s="1302"/>
      <c r="V719" s="1302"/>
      <c r="W719" s="1302"/>
      <c r="X719" s="1302"/>
      <c r="Y719" s="1302"/>
      <c r="Z719" s="1302"/>
    </row>
    <row r="720" spans="1:26" ht="18.75" hidden="1">
      <c r="A720" s="1429"/>
      <c r="B720" s="1301"/>
      <c r="C720" s="1301"/>
      <c r="D720" s="1301"/>
      <c r="E720" s="1301"/>
      <c r="F720" s="1301"/>
      <c r="G720" s="1016"/>
      <c r="H720" s="762" t="s">
        <v>46</v>
      </c>
      <c r="I720" s="1440">
        <f ca="1">IFERROR(__xludf.DUMMYFUNCTION("IMPORTRANGE(""https://docs.google.com/spreadsheets/d/1QqKyyYR6Q21VydFLVH3TRQUabQu_ym0Zz7PgGX0-kHA/edit?usp=sharing"",""แผน!II82"")"),0)</f>
        <v>0</v>
      </c>
      <c r="J720" s="880">
        <f ca="1">IFERROR(__xludf.DUMMYFUNCTION("IMPORTRANGE(""https://docs.google.com/spreadsheets/d/1XWAQStnk-4SwqDmLtmXYiTMKHgktTP8We1SCoS47DrQ/edit?usp=sharing"",""จัดที่ดิน!BH82"")"),0)</f>
        <v>0</v>
      </c>
      <c r="K720" s="881">
        <f t="shared" ref="K720:K723" ca="1" si="291">IF(I720&gt;0,J720*100/I720,0)</f>
        <v>0</v>
      </c>
      <c r="L720" s="1441"/>
      <c r="M720" s="1016"/>
      <c r="N720" s="1441"/>
      <c r="O720" s="881"/>
      <c r="P720" s="881"/>
      <c r="Q720" s="1302"/>
      <c r="R720" s="1302"/>
      <c r="S720" s="1302"/>
      <c r="T720" s="1302"/>
      <c r="U720" s="1302"/>
      <c r="V720" s="1302"/>
      <c r="W720" s="1302"/>
      <c r="X720" s="1302"/>
      <c r="Y720" s="1302"/>
      <c r="Z720" s="1302"/>
    </row>
    <row r="721" spans="1:26" ht="19.5" hidden="1">
      <c r="A721" s="1429"/>
      <c r="B721" s="1301"/>
      <c r="C721" s="1301"/>
      <c r="D721" s="1301" t="s">
        <v>306</v>
      </c>
      <c r="E721" s="1301"/>
      <c r="F721" s="1301"/>
      <c r="G721" s="1016"/>
      <c r="H721" s="765" t="s">
        <v>35</v>
      </c>
      <c r="I721" s="1442">
        <f ca="1">IFERROR(__xludf.DUMMYFUNCTION("IMPORTRANGE(""https://docs.google.com/spreadsheets/d/1QqKyyYR6Q21VydFLVH3TRQUabQu_ym0Zz7PgGX0-kHA/edit?usp=sharing"",""แผน!IJ82"")"),0)</f>
        <v>0</v>
      </c>
      <c r="J721" s="1019">
        <f ca="1">J723+J726</f>
        <v>0</v>
      </c>
      <c r="K721" s="1020">
        <f t="shared" ca="1" si="291"/>
        <v>0</v>
      </c>
      <c r="L721" s="1441"/>
      <c r="M721" s="1016"/>
      <c r="N721" s="1441"/>
      <c r="O721" s="881"/>
      <c r="P721" s="881"/>
      <c r="Q721" s="1302"/>
      <c r="R721" s="1302"/>
      <c r="S721" s="1302"/>
      <c r="T721" s="1302"/>
      <c r="U721" s="1302"/>
      <c r="V721" s="1302"/>
      <c r="W721" s="1302"/>
      <c r="X721" s="1302"/>
      <c r="Y721" s="1302"/>
      <c r="Z721" s="1302"/>
    </row>
    <row r="722" spans="1:26" ht="19.5" hidden="1">
      <c r="A722" s="1429"/>
      <c r="B722" s="1301"/>
      <c r="C722" s="1301"/>
      <c r="D722" s="1301"/>
      <c r="E722" s="1301"/>
      <c r="F722" s="1301"/>
      <c r="G722" s="1016"/>
      <c r="H722" s="765" t="s">
        <v>46</v>
      </c>
      <c r="I722" s="1442">
        <f ca="1">IFERROR(__xludf.DUMMYFUNCTION("IMPORTRANGE(""https://docs.google.com/spreadsheets/d/1QqKyyYR6Q21VydFLVH3TRQUabQu_ym0Zz7PgGX0-kHA/edit?usp=sharing"",""แผน!IK82"")"),0)</f>
        <v>0</v>
      </c>
      <c r="J722" s="1019">
        <f ca="1">J725+J728</f>
        <v>0</v>
      </c>
      <c r="K722" s="1020">
        <f t="shared" ca="1" si="291"/>
        <v>0</v>
      </c>
      <c r="L722" s="881"/>
      <c r="M722" s="1016"/>
      <c r="N722" s="1441"/>
      <c r="O722" s="881"/>
      <c r="P722" s="881"/>
      <c r="Q722" s="1302"/>
      <c r="R722" s="1302"/>
      <c r="S722" s="1302"/>
      <c r="T722" s="1302"/>
      <c r="U722" s="1302"/>
      <c r="V722" s="1302"/>
      <c r="W722" s="1302"/>
      <c r="X722" s="1302"/>
      <c r="Y722" s="1302"/>
      <c r="Z722" s="1302"/>
    </row>
    <row r="723" spans="1:26" ht="18.75" hidden="1">
      <c r="A723" s="1429"/>
      <c r="B723" s="1301"/>
      <c r="C723" s="1301"/>
      <c r="D723" s="1301"/>
      <c r="E723" s="1301" t="s">
        <v>307</v>
      </c>
      <c r="F723" s="1301"/>
      <c r="G723" s="1016"/>
      <c r="H723" s="762" t="s">
        <v>35</v>
      </c>
      <c r="I723" s="1440">
        <f ca="1">IFERROR(__xludf.DUMMYFUNCTION("IMPORTRANGE(""https://docs.google.com/spreadsheets/d/1QqKyyYR6Q21VydFLVH3TRQUabQu_ym0Zz7PgGX0-kHA/edit?usp=sharing"",""แผน!IL82"")"),0)</f>
        <v>0</v>
      </c>
      <c r="J723" s="880">
        <f ca="1">IFERROR(__xludf.DUMMYFUNCTION("IMPORTRANGE(""https://docs.google.com/spreadsheets/d/1XWAQStnk-4SwqDmLtmXYiTMKHgktTP8We1SCoS47DrQ/edit?usp=sharing"",""จัดที่ดิน!BM82"")"),0)</f>
        <v>0</v>
      </c>
      <c r="K723" s="881">
        <f t="shared" ca="1" si="291"/>
        <v>0</v>
      </c>
      <c r="L723" s="881"/>
      <c r="M723" s="1016"/>
      <c r="N723" s="1441"/>
      <c r="O723" s="881"/>
      <c r="P723" s="881"/>
      <c r="Q723" s="1302"/>
      <c r="R723" s="1302"/>
      <c r="S723" s="1302"/>
      <c r="T723" s="1302"/>
      <c r="U723" s="1302"/>
      <c r="V723" s="1302"/>
      <c r="W723" s="1302"/>
      <c r="X723" s="1302"/>
      <c r="Y723" s="1302"/>
      <c r="Z723" s="1302"/>
    </row>
    <row r="724" spans="1:26" ht="18.75" hidden="1">
      <c r="A724" s="1429"/>
      <c r="B724" s="1301"/>
      <c r="C724" s="1301"/>
      <c r="D724" s="1301"/>
      <c r="E724" s="1301"/>
      <c r="F724" s="1301"/>
      <c r="G724" s="1016"/>
      <c r="H724" s="762" t="s">
        <v>34</v>
      </c>
      <c r="I724" s="1440"/>
      <c r="J724" s="880">
        <f ca="1">IFERROR(__xludf.DUMMYFUNCTION("IMPORTRANGE(""https://docs.google.com/spreadsheets/d/1XWAQStnk-4SwqDmLtmXYiTMKHgktTP8We1SCoS47DrQ/edit?usp=sharing"",""จัดที่ดิน!BN82"")"),0)</f>
        <v>0</v>
      </c>
      <c r="K724" s="881"/>
      <c r="L724" s="1441"/>
      <c r="M724" s="1016"/>
      <c r="N724" s="1441"/>
      <c r="O724" s="881"/>
      <c r="P724" s="881"/>
      <c r="Q724" s="1302"/>
      <c r="R724" s="1302"/>
      <c r="S724" s="1302"/>
      <c r="T724" s="1302"/>
      <c r="U724" s="1302"/>
      <c r="V724" s="1302"/>
      <c r="W724" s="1302"/>
      <c r="X724" s="1302"/>
      <c r="Y724" s="1302"/>
      <c r="Z724" s="1302"/>
    </row>
    <row r="725" spans="1:26" ht="18.75" hidden="1">
      <c r="A725" s="1429"/>
      <c r="B725" s="1301"/>
      <c r="C725" s="1301"/>
      <c r="D725" s="1301"/>
      <c r="E725" s="1301"/>
      <c r="F725" s="1301"/>
      <c r="G725" s="1016"/>
      <c r="H725" s="762" t="s">
        <v>46</v>
      </c>
      <c r="I725" s="1440">
        <f ca="1">IFERROR(__xludf.DUMMYFUNCTION("IMPORTRANGE(""https://docs.google.com/spreadsheets/d/1QqKyyYR6Q21VydFLVH3TRQUabQu_ym0Zz7PgGX0-kHA/edit?usp=sharing"",""แผน!IM82"")"),0)</f>
        <v>0</v>
      </c>
      <c r="J725" s="880">
        <f ca="1">IFERROR(__xludf.DUMMYFUNCTION("IMPORTRANGE(""https://docs.google.com/spreadsheets/d/1XWAQStnk-4SwqDmLtmXYiTMKHgktTP8We1SCoS47DrQ/edit?usp=sharing"",""จัดที่ดิน!BO82"")"),0)</f>
        <v>0</v>
      </c>
      <c r="K725" s="881">
        <f t="shared" ref="K725:K726" ca="1" si="292">IF(I725&gt;0,J725*100/I725,0)</f>
        <v>0</v>
      </c>
      <c r="L725" s="1441"/>
      <c r="M725" s="1016"/>
      <c r="N725" s="1441"/>
      <c r="O725" s="881"/>
      <c r="P725" s="881"/>
      <c r="Q725" s="1302"/>
      <c r="R725" s="1302"/>
      <c r="S725" s="1302"/>
      <c r="T725" s="1302"/>
      <c r="U725" s="1302"/>
      <c r="V725" s="1302"/>
      <c r="W725" s="1302"/>
      <c r="X725" s="1302"/>
      <c r="Y725" s="1302"/>
      <c r="Z725" s="1302"/>
    </row>
    <row r="726" spans="1:26" ht="18.75" hidden="1">
      <c r="A726" s="1429"/>
      <c r="B726" s="1301"/>
      <c r="C726" s="1301"/>
      <c r="D726" s="1301"/>
      <c r="E726" s="1301" t="s">
        <v>308</v>
      </c>
      <c r="F726" s="1301"/>
      <c r="G726" s="1016"/>
      <c r="H726" s="762" t="s">
        <v>35</v>
      </c>
      <c r="I726" s="1440">
        <f ca="1">IFERROR(__xludf.DUMMYFUNCTION("IMPORTRANGE(""https://docs.google.com/spreadsheets/d/1QqKyyYR6Q21VydFLVH3TRQUabQu_ym0Zz7PgGX0-kHA/edit?usp=sharing"",""แผน!IN82"")"),0)</f>
        <v>0</v>
      </c>
      <c r="J726" s="880">
        <f ca="1">IFERROR(__xludf.DUMMYFUNCTION("IMPORTRANGE(""https://docs.google.com/spreadsheets/d/1XWAQStnk-4SwqDmLtmXYiTMKHgktTP8We1SCoS47DrQ/edit?usp=sharing"",""จัดที่ดิน!BR82"")"),0)</f>
        <v>0</v>
      </c>
      <c r="K726" s="881">
        <f t="shared" ca="1" si="292"/>
        <v>0</v>
      </c>
      <c r="L726" s="881"/>
      <c r="M726" s="1016"/>
      <c r="N726" s="1441"/>
      <c r="O726" s="881"/>
      <c r="P726" s="881"/>
      <c r="Q726" s="1302"/>
      <c r="R726" s="1302"/>
      <c r="S726" s="1302"/>
      <c r="T726" s="1302"/>
      <c r="U726" s="1302"/>
      <c r="V726" s="1302"/>
      <c r="W726" s="1302"/>
      <c r="X726" s="1302"/>
      <c r="Y726" s="1302"/>
      <c r="Z726" s="1302"/>
    </row>
    <row r="727" spans="1:26" ht="18.75" hidden="1">
      <c r="A727" s="1429"/>
      <c r="B727" s="1301"/>
      <c r="C727" s="1301"/>
      <c r="D727" s="1301"/>
      <c r="E727" s="1301"/>
      <c r="F727" s="1301"/>
      <c r="G727" s="1016"/>
      <c r="H727" s="762" t="s">
        <v>34</v>
      </c>
      <c r="I727" s="1440"/>
      <c r="J727" s="880">
        <f ca="1">IFERROR(__xludf.DUMMYFUNCTION("IMPORTRANGE(""https://docs.google.com/spreadsheets/d/1XWAQStnk-4SwqDmLtmXYiTMKHgktTP8We1SCoS47DrQ/edit?usp=sharing"",""จัดที่ดิน!BS82"")"),0)</f>
        <v>0</v>
      </c>
      <c r="K727" s="881"/>
      <c r="L727" s="1441"/>
      <c r="M727" s="1016"/>
      <c r="N727" s="1441"/>
      <c r="O727" s="881"/>
      <c r="P727" s="881"/>
      <c r="Q727" s="1302"/>
      <c r="R727" s="1302"/>
      <c r="S727" s="1302"/>
      <c r="T727" s="1302"/>
      <c r="U727" s="1302"/>
      <c r="V727" s="1302"/>
      <c r="W727" s="1302"/>
      <c r="X727" s="1302"/>
      <c r="Y727" s="1302"/>
      <c r="Z727" s="1302"/>
    </row>
    <row r="728" spans="1:26" ht="18.75" hidden="1">
      <c r="A728" s="1429"/>
      <c r="B728" s="1301"/>
      <c r="C728" s="1301"/>
      <c r="D728" s="1301"/>
      <c r="E728" s="1301"/>
      <c r="F728" s="1301"/>
      <c r="G728" s="1016"/>
      <c r="H728" s="762" t="s">
        <v>46</v>
      </c>
      <c r="I728" s="1440">
        <f ca="1">IFERROR(__xludf.DUMMYFUNCTION("IMPORTRANGE(""https://docs.google.com/spreadsheets/d/1QqKyyYR6Q21VydFLVH3TRQUabQu_ym0Zz7PgGX0-kHA/edit?usp=sharing"",""แผน!IO82"")"),0)</f>
        <v>0</v>
      </c>
      <c r="J728" s="880">
        <f ca="1">IFERROR(__xludf.DUMMYFUNCTION("IMPORTRANGE(""https://docs.google.com/spreadsheets/d/1XWAQStnk-4SwqDmLtmXYiTMKHgktTP8We1SCoS47DrQ/edit?usp=sharing"",""จัดที่ดิน!BT82"")"),0)</f>
        <v>0</v>
      </c>
      <c r="K728" s="881">
        <f t="shared" ref="K728:K729" ca="1" si="293">IF(I728&gt;0,J728*100/I728,0)</f>
        <v>0</v>
      </c>
      <c r="L728" s="1441"/>
      <c r="M728" s="1016"/>
      <c r="N728" s="1441"/>
      <c r="O728" s="881"/>
      <c r="P728" s="881"/>
      <c r="Q728" s="1302"/>
      <c r="R728" s="1302"/>
      <c r="S728" s="1302"/>
      <c r="T728" s="1302"/>
      <c r="U728" s="1302"/>
      <c r="V728" s="1302"/>
      <c r="W728" s="1302"/>
      <c r="X728" s="1302"/>
      <c r="Y728" s="1302"/>
      <c r="Z728" s="1302"/>
    </row>
    <row r="729" spans="1:26" ht="19.5" hidden="1">
      <c r="A729" s="1429"/>
      <c r="B729" s="1301"/>
      <c r="C729" s="1301"/>
      <c r="D729" s="1301" t="s">
        <v>309</v>
      </c>
      <c r="E729" s="1301"/>
      <c r="F729" s="1301"/>
      <c r="G729" s="1016"/>
      <c r="H729" s="765" t="s">
        <v>46</v>
      </c>
      <c r="I729" s="1442">
        <f ca="1">IFERROR(__xludf.DUMMYFUNCTION("IMPORTRANGE(""https://docs.google.com/spreadsheets/d/1QqKyyYR6Q21VydFLVH3TRQUabQu_ym0Zz7PgGX0-kHA/edit?usp=sharing"",""แผน!IP82"")"),0)</f>
        <v>0</v>
      </c>
      <c r="J729" s="1019">
        <f>J732+J735</f>
        <v>0</v>
      </c>
      <c r="K729" s="1020">
        <f t="shared" ca="1" si="293"/>
        <v>0</v>
      </c>
      <c r="L729" s="881"/>
      <c r="M729" s="1016"/>
      <c r="N729" s="1441"/>
      <c r="O729" s="881"/>
      <c r="P729" s="881"/>
      <c r="Q729" s="1302"/>
      <c r="R729" s="1302"/>
      <c r="S729" s="1302"/>
      <c r="T729" s="1302"/>
      <c r="U729" s="1302"/>
      <c r="V729" s="1302"/>
      <c r="W729" s="1302"/>
      <c r="X729" s="1302"/>
      <c r="Y729" s="1302"/>
      <c r="Z729" s="1302"/>
    </row>
    <row r="730" spans="1:26" ht="18.75" hidden="1">
      <c r="A730" s="1429"/>
      <c r="B730" s="1301"/>
      <c r="C730" s="1301"/>
      <c r="D730" s="1301"/>
      <c r="E730" s="1301" t="s">
        <v>310</v>
      </c>
      <c r="F730" s="1301"/>
      <c r="G730" s="1016"/>
      <c r="H730" s="762" t="s">
        <v>35</v>
      </c>
      <c r="I730" s="1440"/>
      <c r="J730" s="1012">
        <v>0</v>
      </c>
      <c r="K730" s="881"/>
      <c r="L730" s="1441"/>
      <c r="M730" s="881"/>
      <c r="N730" s="1441"/>
      <c r="O730" s="881"/>
      <c r="P730" s="881"/>
      <c r="Q730" s="1302"/>
      <c r="R730" s="1302"/>
      <c r="S730" s="1302"/>
      <c r="T730" s="1302"/>
      <c r="U730" s="1302"/>
      <c r="V730" s="1302"/>
      <c r="W730" s="1302"/>
      <c r="X730" s="1302"/>
      <c r="Y730" s="1302"/>
      <c r="Z730" s="1302"/>
    </row>
    <row r="731" spans="1:26" ht="18.75" hidden="1">
      <c r="A731" s="1429"/>
      <c r="B731" s="1301"/>
      <c r="C731" s="1301"/>
      <c r="D731" s="1301"/>
      <c r="E731" s="1301"/>
      <c r="F731" s="1301"/>
      <c r="G731" s="1016"/>
      <c r="H731" s="762" t="s">
        <v>34</v>
      </c>
      <c r="I731" s="1440"/>
      <c r="J731" s="1012">
        <v>0</v>
      </c>
      <c r="K731" s="881"/>
      <c r="L731" s="1441"/>
      <c r="M731" s="881"/>
      <c r="N731" s="1441"/>
      <c r="O731" s="881"/>
      <c r="P731" s="881"/>
      <c r="Q731" s="1302"/>
      <c r="R731" s="1302"/>
      <c r="S731" s="1302"/>
      <c r="T731" s="1302"/>
      <c r="U731" s="1302"/>
      <c r="V731" s="1302"/>
      <c r="W731" s="1302"/>
      <c r="X731" s="1302"/>
      <c r="Y731" s="1302"/>
      <c r="Z731" s="1302"/>
    </row>
    <row r="732" spans="1:26" ht="18.75" hidden="1">
      <c r="A732" s="1429"/>
      <c r="B732" s="1301"/>
      <c r="C732" s="1301"/>
      <c r="D732" s="1301"/>
      <c r="E732" s="1301"/>
      <c r="F732" s="1301"/>
      <c r="G732" s="1016"/>
      <c r="H732" s="762" t="s">
        <v>46</v>
      </c>
      <c r="I732" s="1440"/>
      <c r="J732" s="1012">
        <v>0</v>
      </c>
      <c r="K732" s="881"/>
      <c r="L732" s="1441"/>
      <c r="M732" s="881"/>
      <c r="N732" s="1441"/>
      <c r="O732" s="881"/>
      <c r="P732" s="881"/>
      <c r="Q732" s="1302"/>
      <c r="R732" s="1302"/>
      <c r="S732" s="1302"/>
      <c r="T732" s="1302"/>
      <c r="U732" s="1302"/>
      <c r="V732" s="1302"/>
      <c r="W732" s="1302"/>
      <c r="X732" s="1302"/>
      <c r="Y732" s="1302"/>
      <c r="Z732" s="1302"/>
    </row>
    <row r="733" spans="1:26" ht="18.75" hidden="1">
      <c r="A733" s="1429"/>
      <c r="B733" s="1301"/>
      <c r="C733" s="1301"/>
      <c r="D733" s="1301"/>
      <c r="E733" s="1301" t="s">
        <v>311</v>
      </c>
      <c r="F733" s="1301"/>
      <c r="G733" s="1016"/>
      <c r="H733" s="762" t="s">
        <v>35</v>
      </c>
      <c r="I733" s="1440"/>
      <c r="J733" s="1012">
        <v>0</v>
      </c>
      <c r="K733" s="881"/>
      <c r="L733" s="1441"/>
      <c r="M733" s="881"/>
      <c r="N733" s="1441"/>
      <c r="O733" s="881"/>
      <c r="P733" s="881"/>
      <c r="Q733" s="1302"/>
      <c r="R733" s="1302"/>
      <c r="S733" s="1302"/>
      <c r="T733" s="1302"/>
      <c r="U733" s="1302"/>
      <c r="V733" s="1302"/>
      <c r="W733" s="1302"/>
      <c r="X733" s="1302"/>
      <c r="Y733" s="1302"/>
      <c r="Z733" s="1302"/>
    </row>
    <row r="734" spans="1:26" ht="18.75" hidden="1">
      <c r="A734" s="1429"/>
      <c r="B734" s="1301"/>
      <c r="C734" s="1301"/>
      <c r="D734" s="1301"/>
      <c r="E734" s="1301"/>
      <c r="F734" s="1301"/>
      <c r="G734" s="1016"/>
      <c r="H734" s="762" t="s">
        <v>34</v>
      </c>
      <c r="I734" s="1440"/>
      <c r="J734" s="1012">
        <v>0</v>
      </c>
      <c r="K734" s="881"/>
      <c r="L734" s="1441"/>
      <c r="M734" s="881"/>
      <c r="N734" s="1441"/>
      <c r="O734" s="881"/>
      <c r="P734" s="881"/>
      <c r="Q734" s="1302"/>
      <c r="R734" s="1302"/>
      <c r="S734" s="1302"/>
      <c r="T734" s="1302"/>
      <c r="U734" s="1302"/>
      <c r="V734" s="1302"/>
      <c r="W734" s="1302"/>
      <c r="X734" s="1302"/>
      <c r="Y734" s="1302"/>
      <c r="Z734" s="1302"/>
    </row>
    <row r="735" spans="1:26" ht="19.5" hidden="1">
      <c r="A735" s="1443"/>
      <c r="B735" s="1444" t="s">
        <v>312</v>
      </c>
      <c r="C735" s="1169"/>
      <c r="D735" s="1169"/>
      <c r="E735" s="1169"/>
      <c r="F735" s="1169"/>
      <c r="G735" s="1422"/>
      <c r="H735" s="423" t="s">
        <v>46</v>
      </c>
      <c r="I735" s="1445"/>
      <c r="J735" s="1171">
        <v>0</v>
      </c>
      <c r="K735" s="1239"/>
      <c r="L735" s="1446"/>
      <c r="M735" s="1239"/>
      <c r="N735" s="1446"/>
      <c r="O735" s="1239"/>
      <c r="P735" s="1239"/>
      <c r="Q735" s="1302"/>
      <c r="R735" s="1302"/>
      <c r="S735" s="1302"/>
      <c r="T735" s="1302"/>
      <c r="U735" s="1302"/>
      <c r="V735" s="1302"/>
      <c r="W735" s="1302"/>
      <c r="X735" s="1302"/>
      <c r="Y735" s="1302"/>
      <c r="Z735" s="1302"/>
    </row>
    <row r="736" spans="1:26" ht="19.5" hidden="1">
      <c r="A736" s="772">
        <v>9</v>
      </c>
      <c r="B736" s="1447" t="s">
        <v>313</v>
      </c>
      <c r="C736" s="1448"/>
      <c r="D736" s="1448"/>
      <c r="E736" s="1448"/>
      <c r="F736" s="1448"/>
      <c r="G736" s="1449"/>
      <c r="H736" s="776" t="s">
        <v>46</v>
      </c>
      <c r="I736" s="1450"/>
      <c r="J736" s="1450">
        <f>J751</f>
        <v>0</v>
      </c>
      <c r="K736" s="1451">
        <f>IF(I736&gt;0,J736*100/I736,0)</f>
        <v>0</v>
      </c>
      <c r="L736" s="1452"/>
      <c r="M736" s="1452"/>
      <c r="N736" s="1452"/>
      <c r="O736" s="1452"/>
      <c r="P736" s="1452"/>
      <c r="Q736" s="1323"/>
      <c r="R736" s="1323"/>
      <c r="S736" s="1323"/>
      <c r="T736" s="1323"/>
      <c r="U736" s="1323"/>
      <c r="V736" s="1323"/>
      <c r="W736" s="1323"/>
      <c r="X736" s="1323"/>
      <c r="Y736" s="1323"/>
      <c r="Z736" s="1323"/>
    </row>
    <row r="737" spans="1:26" ht="19.5" hidden="1">
      <c r="A737" s="1319"/>
      <c r="B737" s="1320"/>
      <c r="C737" s="1320" t="s">
        <v>16</v>
      </c>
      <c r="D737" s="1351" t="s">
        <v>17</v>
      </c>
      <c r="E737" s="841"/>
      <c r="F737" s="841"/>
      <c r="G737" s="1322"/>
      <c r="H737" s="644" t="s">
        <v>12</v>
      </c>
      <c r="I737" s="886"/>
      <c r="J737" s="886"/>
      <c r="K737" s="887"/>
      <c r="L737" s="1352">
        <f t="shared" ref="L737:N737" si="294">L738+L739</f>
        <v>0</v>
      </c>
      <c r="M737" s="1352">
        <f t="shared" si="294"/>
        <v>0</v>
      </c>
      <c r="N737" s="1352">
        <f t="shared" si="294"/>
        <v>0</v>
      </c>
      <c r="O737" s="1352">
        <f t="shared" ref="O737:O742" si="295">IF(L737&gt;0,N737*100/L737,0)</f>
        <v>0</v>
      </c>
      <c r="P737" s="1352">
        <f t="shared" ref="P737:P742" si="296">IF(M737&gt;0,N737*100/M737,0)</f>
        <v>0</v>
      </c>
      <c r="Q737" s="1323"/>
      <c r="R737" s="1323"/>
      <c r="S737" s="1323"/>
      <c r="T737" s="1323"/>
      <c r="U737" s="1323"/>
      <c r="V737" s="1323"/>
      <c r="W737" s="1323"/>
      <c r="X737" s="1323"/>
      <c r="Y737" s="1323"/>
      <c r="Z737" s="1323"/>
    </row>
    <row r="738" spans="1:26" ht="18.75" hidden="1">
      <c r="A738" s="1319"/>
      <c r="B738" s="1320"/>
      <c r="C738" s="1320"/>
      <c r="D738" s="1321"/>
      <c r="E738" s="1320" t="s">
        <v>185</v>
      </c>
      <c r="F738" s="1320"/>
      <c r="G738" s="1322"/>
      <c r="H738" s="165" t="s">
        <v>12</v>
      </c>
      <c r="I738" s="886"/>
      <c r="J738" s="886"/>
      <c r="K738" s="887"/>
      <c r="L738" s="887">
        <f t="shared" ref="L738:N739" si="297">L741+L748</f>
        <v>0</v>
      </c>
      <c r="M738" s="887">
        <f t="shared" si="297"/>
        <v>0</v>
      </c>
      <c r="N738" s="887">
        <f t="shared" si="297"/>
        <v>0</v>
      </c>
      <c r="O738" s="887">
        <f t="shared" si="295"/>
        <v>0</v>
      </c>
      <c r="P738" s="887">
        <f t="shared" si="296"/>
        <v>0</v>
      </c>
      <c r="Q738" s="1323"/>
      <c r="R738" s="1323"/>
      <c r="S738" s="1323"/>
      <c r="T738" s="1323"/>
      <c r="U738" s="1323"/>
      <c r="V738" s="1323"/>
      <c r="W738" s="1323"/>
      <c r="X738" s="1323"/>
      <c r="Y738" s="1323"/>
      <c r="Z738" s="1323"/>
    </row>
    <row r="739" spans="1:26" ht="18.75" hidden="1">
      <c r="A739" s="1319"/>
      <c r="B739" s="1324"/>
      <c r="C739" s="1320"/>
      <c r="D739" s="1321"/>
      <c r="E739" s="1320" t="s">
        <v>186</v>
      </c>
      <c r="F739" s="1320"/>
      <c r="G739" s="1322"/>
      <c r="H739" s="165" t="s">
        <v>12</v>
      </c>
      <c r="I739" s="886"/>
      <c r="J739" s="886"/>
      <c r="K739" s="887"/>
      <c r="L739" s="887">
        <f t="shared" si="297"/>
        <v>0</v>
      </c>
      <c r="M739" s="887">
        <f t="shared" si="297"/>
        <v>0</v>
      </c>
      <c r="N739" s="887">
        <f t="shared" si="297"/>
        <v>0</v>
      </c>
      <c r="O739" s="887">
        <f t="shared" si="295"/>
        <v>0</v>
      </c>
      <c r="P739" s="887">
        <f t="shared" si="296"/>
        <v>0</v>
      </c>
      <c r="Q739" s="1323"/>
      <c r="R739" s="1323"/>
      <c r="S739" s="1323"/>
      <c r="T739" s="1323"/>
      <c r="U739" s="1323"/>
      <c r="V739" s="1323"/>
      <c r="W739" s="1323"/>
      <c r="X739" s="1323"/>
      <c r="Y739" s="1323"/>
      <c r="Z739" s="1323"/>
    </row>
    <row r="740" spans="1:26" ht="19.5" hidden="1">
      <c r="A740" s="1319"/>
      <c r="B740" s="1324"/>
      <c r="C740" s="1320"/>
      <c r="D740" s="1453" t="s">
        <v>20</v>
      </c>
      <c r="E740" s="1320"/>
      <c r="F740" s="1320"/>
      <c r="G740" s="1322"/>
      <c r="H740" s="644" t="s">
        <v>12</v>
      </c>
      <c r="I740" s="1000"/>
      <c r="J740" s="1000"/>
      <c r="K740" s="1001"/>
      <c r="L740" s="1352">
        <f t="shared" ref="L740:N740" si="298">L741+L742</f>
        <v>0</v>
      </c>
      <c r="M740" s="1352">
        <f t="shared" si="298"/>
        <v>0</v>
      </c>
      <c r="N740" s="1352">
        <f t="shared" si="298"/>
        <v>0</v>
      </c>
      <c r="O740" s="1352">
        <f t="shared" si="295"/>
        <v>0</v>
      </c>
      <c r="P740" s="1352">
        <f t="shared" si="296"/>
        <v>0</v>
      </c>
      <c r="Q740" s="1323"/>
      <c r="R740" s="1323"/>
      <c r="S740" s="1323"/>
      <c r="T740" s="1323"/>
      <c r="U740" s="1323"/>
      <c r="V740" s="1323"/>
      <c r="W740" s="1323"/>
      <c r="X740" s="1323"/>
      <c r="Y740" s="1323"/>
      <c r="Z740" s="1323"/>
    </row>
    <row r="741" spans="1:26" ht="18.75" hidden="1">
      <c r="A741" s="1319"/>
      <c r="B741" s="1324"/>
      <c r="C741" s="1320"/>
      <c r="D741" s="1321"/>
      <c r="E741" s="1320" t="s">
        <v>185</v>
      </c>
      <c r="F741" s="1320"/>
      <c r="G741" s="1322"/>
      <c r="H741" s="165" t="s">
        <v>12</v>
      </c>
      <c r="I741" s="886"/>
      <c r="J741" s="886"/>
      <c r="K741" s="887"/>
      <c r="L741" s="887">
        <v>0</v>
      </c>
      <c r="M741" s="887">
        <v>0</v>
      </c>
      <c r="N741" s="887">
        <v>0</v>
      </c>
      <c r="O741" s="887">
        <f t="shared" si="295"/>
        <v>0</v>
      </c>
      <c r="P741" s="887">
        <f t="shared" si="296"/>
        <v>0</v>
      </c>
      <c r="Q741" s="1323"/>
      <c r="R741" s="1323"/>
      <c r="S741" s="1323"/>
      <c r="T741" s="1323"/>
      <c r="U741" s="1323"/>
      <c r="V741" s="1323"/>
      <c r="W741" s="1323"/>
      <c r="X741" s="1323"/>
      <c r="Y741" s="1323"/>
      <c r="Z741" s="1323"/>
    </row>
    <row r="742" spans="1:26" ht="18.75" hidden="1">
      <c r="A742" s="1319"/>
      <c r="B742" s="1324"/>
      <c r="C742" s="1320"/>
      <c r="D742" s="1321"/>
      <c r="E742" s="1320" t="s">
        <v>186</v>
      </c>
      <c r="F742" s="1320"/>
      <c r="G742" s="1322"/>
      <c r="H742" s="165" t="s">
        <v>12</v>
      </c>
      <c r="I742" s="886"/>
      <c r="J742" s="886"/>
      <c r="K742" s="887"/>
      <c r="L742" s="887">
        <v>0</v>
      </c>
      <c r="M742" s="887">
        <v>0</v>
      </c>
      <c r="N742" s="887">
        <f>N743+N744+N745+N746</f>
        <v>0</v>
      </c>
      <c r="O742" s="887">
        <f t="shared" si="295"/>
        <v>0</v>
      </c>
      <c r="P742" s="887">
        <f t="shared" si="296"/>
        <v>0</v>
      </c>
      <c r="Q742" s="1323"/>
      <c r="R742" s="1323"/>
      <c r="S742" s="1323"/>
      <c r="T742" s="1323"/>
      <c r="U742" s="1323"/>
      <c r="V742" s="1323"/>
      <c r="W742" s="1323"/>
      <c r="X742" s="1323"/>
      <c r="Y742" s="1323"/>
      <c r="Z742" s="1323"/>
    </row>
    <row r="743" spans="1:26" ht="18.75" hidden="1">
      <c r="A743" s="1354"/>
      <c r="B743" s="1324"/>
      <c r="C743" s="1320"/>
      <c r="D743" s="1320"/>
      <c r="E743" s="1320"/>
      <c r="F743" s="1320" t="s">
        <v>187</v>
      </c>
      <c r="G743" s="1322"/>
      <c r="H743" s="165" t="s">
        <v>12</v>
      </c>
      <c r="I743" s="886"/>
      <c r="J743" s="886"/>
      <c r="K743" s="887"/>
      <c r="L743" s="887"/>
      <c r="M743" s="887"/>
      <c r="N743" s="887"/>
      <c r="O743" s="887"/>
      <c r="P743" s="887"/>
      <c r="Q743" s="1323"/>
      <c r="R743" s="1323"/>
      <c r="S743" s="1323"/>
      <c r="T743" s="1323"/>
      <c r="U743" s="1323"/>
      <c r="V743" s="1323"/>
      <c r="W743" s="1323"/>
      <c r="X743" s="1323"/>
      <c r="Y743" s="1323"/>
      <c r="Z743" s="1323"/>
    </row>
    <row r="744" spans="1:26" ht="18.75" hidden="1">
      <c r="A744" s="1354"/>
      <c r="B744" s="1324"/>
      <c r="C744" s="1320"/>
      <c r="D744" s="1320"/>
      <c r="E744" s="1320"/>
      <c r="F744" s="1320" t="s">
        <v>188</v>
      </c>
      <c r="G744" s="1322"/>
      <c r="H744" s="165" t="s">
        <v>12</v>
      </c>
      <c r="I744" s="886"/>
      <c r="J744" s="886"/>
      <c r="K744" s="887"/>
      <c r="L744" s="887"/>
      <c r="M744" s="887"/>
      <c r="N744" s="887"/>
      <c r="O744" s="887"/>
      <c r="P744" s="887"/>
      <c r="Q744" s="1323"/>
      <c r="R744" s="1323"/>
      <c r="S744" s="1323"/>
      <c r="T744" s="1323"/>
      <c r="U744" s="1323"/>
      <c r="V744" s="1323"/>
      <c r="W744" s="1323"/>
      <c r="X744" s="1323"/>
      <c r="Y744" s="1323"/>
      <c r="Z744" s="1323"/>
    </row>
    <row r="745" spans="1:26" ht="18.75" hidden="1">
      <c r="A745" s="1354"/>
      <c r="B745" s="1324"/>
      <c r="C745" s="1320"/>
      <c r="D745" s="1320"/>
      <c r="E745" s="1320"/>
      <c r="F745" s="1320" t="s">
        <v>189</v>
      </c>
      <c r="G745" s="1322"/>
      <c r="H745" s="165" t="s">
        <v>12</v>
      </c>
      <c r="I745" s="886"/>
      <c r="J745" s="886"/>
      <c r="K745" s="887"/>
      <c r="L745" s="887"/>
      <c r="M745" s="887"/>
      <c r="N745" s="887"/>
      <c r="O745" s="887"/>
      <c r="P745" s="887"/>
      <c r="Q745" s="1323"/>
      <c r="R745" s="1323"/>
      <c r="S745" s="1323"/>
      <c r="T745" s="1323"/>
      <c r="U745" s="1323"/>
      <c r="V745" s="1323"/>
      <c r="W745" s="1323"/>
      <c r="X745" s="1323"/>
      <c r="Y745" s="1323"/>
      <c r="Z745" s="1323"/>
    </row>
    <row r="746" spans="1:26" ht="18.75" hidden="1">
      <c r="A746" s="1354"/>
      <c r="B746" s="1324"/>
      <c r="C746" s="1320"/>
      <c r="D746" s="1320"/>
      <c r="E746" s="1320"/>
      <c r="F746" s="1320" t="s">
        <v>190</v>
      </c>
      <c r="G746" s="1322"/>
      <c r="H746" s="165" t="s">
        <v>12</v>
      </c>
      <c r="I746" s="886"/>
      <c r="J746" s="886"/>
      <c r="K746" s="887"/>
      <c r="L746" s="887"/>
      <c r="M746" s="887"/>
      <c r="N746" s="887"/>
      <c r="O746" s="887"/>
      <c r="P746" s="887"/>
      <c r="Q746" s="1323"/>
      <c r="R746" s="1323"/>
      <c r="S746" s="1323"/>
      <c r="T746" s="1323"/>
      <c r="U746" s="1323"/>
      <c r="V746" s="1323"/>
      <c r="W746" s="1323"/>
      <c r="X746" s="1323"/>
      <c r="Y746" s="1323"/>
      <c r="Z746" s="1323"/>
    </row>
    <row r="747" spans="1:26" ht="19.5" hidden="1">
      <c r="A747" s="1319"/>
      <c r="B747" s="1324"/>
      <c r="C747" s="1320"/>
      <c r="D747" s="1453" t="s">
        <v>21</v>
      </c>
      <c r="E747" s="1320"/>
      <c r="F747" s="1320"/>
      <c r="G747" s="1322"/>
      <c r="H747" s="781" t="s">
        <v>12</v>
      </c>
      <c r="I747" s="1000"/>
      <c r="J747" s="1000"/>
      <c r="K747" s="1001"/>
      <c r="L747" s="1352">
        <f t="shared" ref="L747:N747" si="299">L748+L749</f>
        <v>0</v>
      </c>
      <c r="M747" s="1352">
        <f t="shared" si="299"/>
        <v>0</v>
      </c>
      <c r="N747" s="1352">
        <f t="shared" si="299"/>
        <v>0</v>
      </c>
      <c r="O747" s="1352">
        <f t="shared" ref="O747:O749" si="300">IF(L747&gt;0,N747*100/L747,0)</f>
        <v>0</v>
      </c>
      <c r="P747" s="1352">
        <f t="shared" ref="P747:P749" si="301">IF(M747&gt;0,N747*100/M747,0)</f>
        <v>0</v>
      </c>
      <c r="Q747" s="1323"/>
      <c r="R747" s="1323"/>
      <c r="S747" s="1323"/>
      <c r="T747" s="1323"/>
      <c r="U747" s="1323"/>
      <c r="V747" s="1323"/>
      <c r="W747" s="1323"/>
      <c r="X747" s="1323"/>
      <c r="Y747" s="1323"/>
      <c r="Z747" s="1323"/>
    </row>
    <row r="748" spans="1:26" ht="18.75" hidden="1">
      <c r="A748" s="1319"/>
      <c r="B748" s="1324"/>
      <c r="C748" s="1320"/>
      <c r="D748" s="1320"/>
      <c r="E748" s="1320" t="s">
        <v>18</v>
      </c>
      <c r="F748" s="1320"/>
      <c r="G748" s="1322"/>
      <c r="H748" s="165" t="s">
        <v>12</v>
      </c>
      <c r="I748" s="1000"/>
      <c r="J748" s="1000"/>
      <c r="K748" s="1001"/>
      <c r="L748" s="887">
        <v>0</v>
      </c>
      <c r="M748" s="887">
        <v>0</v>
      </c>
      <c r="N748" s="887">
        <v>0</v>
      </c>
      <c r="O748" s="887">
        <f t="shared" si="300"/>
        <v>0</v>
      </c>
      <c r="P748" s="887">
        <f t="shared" si="301"/>
        <v>0</v>
      </c>
      <c r="Q748" s="1323"/>
      <c r="R748" s="1323"/>
      <c r="S748" s="1323"/>
      <c r="T748" s="1323"/>
      <c r="U748" s="1323"/>
      <c r="V748" s="1323"/>
      <c r="W748" s="1323"/>
      <c r="X748" s="1323"/>
      <c r="Y748" s="1323"/>
      <c r="Z748" s="1323"/>
    </row>
    <row r="749" spans="1:26" ht="18.75" hidden="1">
      <c r="A749" s="1319"/>
      <c r="B749" s="1324"/>
      <c r="C749" s="1320"/>
      <c r="D749" s="1320"/>
      <c r="E749" s="1320" t="s">
        <v>19</v>
      </c>
      <c r="F749" s="1320"/>
      <c r="G749" s="1322"/>
      <c r="H749" s="169" t="s">
        <v>12</v>
      </c>
      <c r="I749" s="1000"/>
      <c r="J749" s="1000"/>
      <c r="K749" s="1001"/>
      <c r="L749" s="887">
        <v>0</v>
      </c>
      <c r="M749" s="887">
        <v>0</v>
      </c>
      <c r="N749" s="887">
        <v>0</v>
      </c>
      <c r="O749" s="887">
        <f t="shared" si="300"/>
        <v>0</v>
      </c>
      <c r="P749" s="887">
        <f t="shared" si="301"/>
        <v>0</v>
      </c>
      <c r="Q749" s="1323"/>
      <c r="R749" s="1323"/>
      <c r="S749" s="1323"/>
      <c r="T749" s="1323"/>
      <c r="U749" s="1323"/>
      <c r="V749" s="1323"/>
      <c r="W749" s="1323"/>
      <c r="X749" s="1323"/>
      <c r="Y749" s="1323"/>
      <c r="Z749" s="1323"/>
    </row>
    <row r="750" spans="1:26" ht="19.5" hidden="1">
      <c r="A750" s="1332"/>
      <c r="B750" s="1333"/>
      <c r="C750" s="1320" t="s">
        <v>16</v>
      </c>
      <c r="D750" s="1454" t="s">
        <v>38</v>
      </c>
      <c r="E750" s="1356"/>
      <c r="F750" s="1356"/>
      <c r="G750" s="1357"/>
      <c r="H750" s="1113"/>
      <c r="I750" s="1000"/>
      <c r="J750" s="1000"/>
      <c r="K750" s="1001"/>
      <c r="L750" s="1001"/>
      <c r="M750" s="1001"/>
      <c r="N750" s="1001"/>
      <c r="O750" s="1001"/>
      <c r="P750" s="1001"/>
      <c r="Q750" s="1323"/>
      <c r="R750" s="1323"/>
      <c r="S750" s="1323"/>
      <c r="T750" s="1323"/>
      <c r="U750" s="1323"/>
      <c r="V750" s="1323"/>
      <c r="W750" s="1323"/>
      <c r="X750" s="1323"/>
      <c r="Y750" s="1323"/>
      <c r="Z750" s="1323"/>
    </row>
    <row r="751" spans="1:26" ht="18.75" hidden="1">
      <c r="A751" s="1354"/>
      <c r="B751" s="1324"/>
      <c r="C751" s="1320"/>
      <c r="D751" s="1320"/>
      <c r="E751" s="1320" t="s">
        <v>314</v>
      </c>
      <c r="F751" s="1320"/>
      <c r="G751" s="1322"/>
      <c r="H751" s="165" t="s">
        <v>46</v>
      </c>
      <c r="I751" s="886"/>
      <c r="J751" s="886"/>
      <c r="K751" s="887"/>
      <c r="L751" s="887"/>
      <c r="M751" s="887"/>
      <c r="N751" s="887"/>
      <c r="O751" s="887"/>
      <c r="P751" s="887"/>
      <c r="Q751" s="1323"/>
      <c r="R751" s="1323"/>
      <c r="S751" s="1323"/>
      <c r="T751" s="1323"/>
      <c r="U751" s="1323"/>
      <c r="V751" s="1323"/>
      <c r="W751" s="1323"/>
      <c r="X751" s="1323"/>
      <c r="Y751" s="1323"/>
      <c r="Z751" s="1323"/>
    </row>
    <row r="752" spans="1:26" ht="18.75" hidden="1">
      <c r="A752" s="1354"/>
      <c r="B752" s="1324"/>
      <c r="C752" s="1320"/>
      <c r="D752" s="1320"/>
      <c r="E752" s="1320"/>
      <c r="F752" s="1320"/>
      <c r="G752" s="1322"/>
      <c r="H752" s="165" t="s">
        <v>315</v>
      </c>
      <c r="I752" s="886"/>
      <c r="J752" s="886"/>
      <c r="K752" s="887"/>
      <c r="L752" s="887"/>
      <c r="M752" s="887"/>
      <c r="N752" s="887"/>
      <c r="O752" s="887"/>
      <c r="P752" s="887"/>
      <c r="Q752" s="1323"/>
      <c r="R752" s="1323"/>
      <c r="S752" s="1323"/>
      <c r="T752" s="1323"/>
      <c r="U752" s="1323"/>
      <c r="V752" s="1323"/>
      <c r="W752" s="1323"/>
      <c r="X752" s="1323"/>
      <c r="Y752" s="1323"/>
      <c r="Z752" s="1323"/>
    </row>
    <row r="753" spans="1:26" ht="19.5" hidden="1">
      <c r="A753" s="783">
        <v>10</v>
      </c>
      <c r="B753" s="1455" t="s">
        <v>316</v>
      </c>
      <c r="C753" s="1456"/>
      <c r="D753" s="1456"/>
      <c r="E753" s="1456"/>
      <c r="F753" s="1456"/>
      <c r="G753" s="1457"/>
      <c r="H753" s="787" t="s">
        <v>46</v>
      </c>
      <c r="I753" s="1458"/>
      <c r="J753" s="1458">
        <f>J768</f>
        <v>0</v>
      </c>
      <c r="K753" s="1459">
        <f>IF(I753&gt;0,J753*100/I753,0)</f>
        <v>0</v>
      </c>
      <c r="L753" s="1460"/>
      <c r="M753" s="1460"/>
      <c r="N753" s="1460"/>
      <c r="O753" s="1460"/>
      <c r="P753" s="1460"/>
      <c r="Q753" s="1323"/>
      <c r="R753" s="1323"/>
      <c r="S753" s="1323"/>
      <c r="T753" s="1323"/>
      <c r="U753" s="1323"/>
      <c r="V753" s="1323"/>
      <c r="W753" s="1323"/>
      <c r="X753" s="1323"/>
      <c r="Y753" s="1323"/>
      <c r="Z753" s="1323"/>
    </row>
    <row r="754" spans="1:26" ht="19.5" hidden="1">
      <c r="A754" s="1319"/>
      <c r="B754" s="1320"/>
      <c r="C754" s="1320" t="s">
        <v>16</v>
      </c>
      <c r="D754" s="1351" t="s">
        <v>17</v>
      </c>
      <c r="E754" s="841"/>
      <c r="F754" s="841"/>
      <c r="G754" s="1322"/>
      <c r="H754" s="644" t="s">
        <v>12</v>
      </c>
      <c r="I754" s="886"/>
      <c r="J754" s="886"/>
      <c r="K754" s="887"/>
      <c r="L754" s="1352">
        <f t="shared" ref="L754:N754" si="302">L755+L756</f>
        <v>0</v>
      </c>
      <c r="M754" s="1352">
        <f t="shared" si="302"/>
        <v>0</v>
      </c>
      <c r="N754" s="1352">
        <f t="shared" si="302"/>
        <v>0</v>
      </c>
      <c r="O754" s="1352">
        <f t="shared" ref="O754:O759" si="303">IF(L754&gt;0,N754*100/L754,0)</f>
        <v>0</v>
      </c>
      <c r="P754" s="1352">
        <f t="shared" ref="P754:P759" si="304">IF(M754&gt;0,N754*100/M754,0)</f>
        <v>0</v>
      </c>
      <c r="Q754" s="1323"/>
      <c r="R754" s="1323"/>
      <c r="S754" s="1323"/>
      <c r="T754" s="1323"/>
      <c r="U754" s="1323"/>
      <c r="V754" s="1323"/>
      <c r="W754" s="1323"/>
      <c r="X754" s="1323"/>
      <c r="Y754" s="1323"/>
      <c r="Z754" s="1323"/>
    </row>
    <row r="755" spans="1:26" ht="18.75" hidden="1">
      <c r="A755" s="1319"/>
      <c r="B755" s="1320"/>
      <c r="C755" s="1320"/>
      <c r="D755" s="1321"/>
      <c r="E755" s="1320" t="s">
        <v>185</v>
      </c>
      <c r="F755" s="1320"/>
      <c r="G755" s="1322"/>
      <c r="H755" s="165" t="s">
        <v>12</v>
      </c>
      <c r="I755" s="886"/>
      <c r="J755" s="886"/>
      <c r="K755" s="887"/>
      <c r="L755" s="887">
        <f t="shared" ref="L755:N756" si="305">L758+L765</f>
        <v>0</v>
      </c>
      <c r="M755" s="887">
        <f t="shared" si="305"/>
        <v>0</v>
      </c>
      <c r="N755" s="887">
        <f t="shared" si="305"/>
        <v>0</v>
      </c>
      <c r="O755" s="887">
        <f t="shared" si="303"/>
        <v>0</v>
      </c>
      <c r="P755" s="887">
        <f t="shared" si="304"/>
        <v>0</v>
      </c>
      <c r="Q755" s="1323"/>
      <c r="R755" s="1323"/>
      <c r="S755" s="1323"/>
      <c r="T755" s="1323"/>
      <c r="U755" s="1323"/>
      <c r="V755" s="1323"/>
      <c r="W755" s="1323"/>
      <c r="X755" s="1323"/>
      <c r="Y755" s="1323"/>
      <c r="Z755" s="1323"/>
    </row>
    <row r="756" spans="1:26" ht="18.75" hidden="1">
      <c r="A756" s="1319"/>
      <c r="B756" s="1324"/>
      <c r="C756" s="1320"/>
      <c r="D756" s="1321"/>
      <c r="E756" s="1320" t="s">
        <v>186</v>
      </c>
      <c r="F756" s="1320"/>
      <c r="G756" s="1322"/>
      <c r="H756" s="165" t="s">
        <v>12</v>
      </c>
      <c r="I756" s="886"/>
      <c r="J756" s="886"/>
      <c r="K756" s="887"/>
      <c r="L756" s="887">
        <f t="shared" si="305"/>
        <v>0</v>
      </c>
      <c r="M756" s="887">
        <f t="shared" si="305"/>
        <v>0</v>
      </c>
      <c r="N756" s="887">
        <f t="shared" si="305"/>
        <v>0</v>
      </c>
      <c r="O756" s="887">
        <f t="shared" si="303"/>
        <v>0</v>
      </c>
      <c r="P756" s="887">
        <f t="shared" si="304"/>
        <v>0</v>
      </c>
      <c r="Q756" s="1323"/>
      <c r="R756" s="1323"/>
      <c r="S756" s="1323"/>
      <c r="T756" s="1323"/>
      <c r="U756" s="1323"/>
      <c r="V756" s="1323"/>
      <c r="W756" s="1323"/>
      <c r="X756" s="1323"/>
      <c r="Y756" s="1323"/>
      <c r="Z756" s="1323"/>
    </row>
    <row r="757" spans="1:26" ht="19.5" hidden="1">
      <c r="A757" s="1319"/>
      <c r="B757" s="1324"/>
      <c r="C757" s="1320"/>
      <c r="D757" s="1453" t="s">
        <v>20</v>
      </c>
      <c r="E757" s="1320"/>
      <c r="F757" s="1320"/>
      <c r="G757" s="1322"/>
      <c r="H757" s="644" t="s">
        <v>12</v>
      </c>
      <c r="I757" s="1000"/>
      <c r="J757" s="1000"/>
      <c r="K757" s="1001"/>
      <c r="L757" s="1352">
        <f t="shared" ref="L757:N757" si="306">L758+L759</f>
        <v>0</v>
      </c>
      <c r="M757" s="1352">
        <f t="shared" si="306"/>
        <v>0</v>
      </c>
      <c r="N757" s="1352">
        <f t="shared" si="306"/>
        <v>0</v>
      </c>
      <c r="O757" s="1352">
        <f t="shared" si="303"/>
        <v>0</v>
      </c>
      <c r="P757" s="1352">
        <f t="shared" si="304"/>
        <v>0</v>
      </c>
      <c r="Q757" s="1323"/>
      <c r="R757" s="1323"/>
      <c r="S757" s="1323"/>
      <c r="T757" s="1323"/>
      <c r="U757" s="1323"/>
      <c r="V757" s="1323"/>
      <c r="W757" s="1323"/>
      <c r="X757" s="1323"/>
      <c r="Y757" s="1323"/>
      <c r="Z757" s="1323"/>
    </row>
    <row r="758" spans="1:26" ht="18.75" hidden="1">
      <c r="A758" s="1319"/>
      <c r="B758" s="1324"/>
      <c r="C758" s="1320"/>
      <c r="D758" s="1321"/>
      <c r="E758" s="1320" t="s">
        <v>185</v>
      </c>
      <c r="F758" s="1320"/>
      <c r="G758" s="1322"/>
      <c r="H758" s="165" t="s">
        <v>12</v>
      </c>
      <c r="I758" s="886"/>
      <c r="J758" s="886"/>
      <c r="K758" s="887"/>
      <c r="L758" s="887">
        <v>0</v>
      </c>
      <c r="M758" s="887">
        <v>0</v>
      </c>
      <c r="N758" s="887">
        <v>0</v>
      </c>
      <c r="O758" s="887">
        <f t="shared" si="303"/>
        <v>0</v>
      </c>
      <c r="P758" s="887">
        <f t="shared" si="304"/>
        <v>0</v>
      </c>
      <c r="Q758" s="1323"/>
      <c r="R758" s="1323"/>
      <c r="S758" s="1323"/>
      <c r="T758" s="1323"/>
      <c r="U758" s="1323"/>
      <c r="V758" s="1323"/>
      <c r="W758" s="1323"/>
      <c r="X758" s="1323"/>
      <c r="Y758" s="1323"/>
      <c r="Z758" s="1323"/>
    </row>
    <row r="759" spans="1:26" ht="18.75" hidden="1">
      <c r="A759" s="1319"/>
      <c r="B759" s="1324"/>
      <c r="C759" s="1320"/>
      <c r="D759" s="1321"/>
      <c r="E759" s="1320" t="s">
        <v>186</v>
      </c>
      <c r="F759" s="1320"/>
      <c r="G759" s="1322"/>
      <c r="H759" s="165" t="s">
        <v>12</v>
      </c>
      <c r="I759" s="886"/>
      <c r="J759" s="886"/>
      <c r="K759" s="887"/>
      <c r="L759" s="887">
        <v>0</v>
      </c>
      <c r="M759" s="887">
        <v>0</v>
      </c>
      <c r="N759" s="887">
        <f>N760+N761+N762+N763</f>
        <v>0</v>
      </c>
      <c r="O759" s="887">
        <f t="shared" si="303"/>
        <v>0</v>
      </c>
      <c r="P759" s="887">
        <f t="shared" si="304"/>
        <v>0</v>
      </c>
      <c r="Q759" s="1323"/>
      <c r="R759" s="1323"/>
      <c r="S759" s="1323"/>
      <c r="T759" s="1323"/>
      <c r="U759" s="1323"/>
      <c r="V759" s="1323"/>
      <c r="W759" s="1323"/>
      <c r="X759" s="1323"/>
      <c r="Y759" s="1323"/>
      <c r="Z759" s="1323"/>
    </row>
    <row r="760" spans="1:26" ht="18.75" hidden="1">
      <c r="A760" s="1354"/>
      <c r="B760" s="1324"/>
      <c r="C760" s="1320"/>
      <c r="D760" s="1320"/>
      <c r="E760" s="1320"/>
      <c r="F760" s="1320" t="s">
        <v>187</v>
      </c>
      <c r="G760" s="1322"/>
      <c r="H760" s="165" t="s">
        <v>12</v>
      </c>
      <c r="I760" s="886"/>
      <c r="J760" s="886"/>
      <c r="K760" s="887"/>
      <c r="L760" s="887"/>
      <c r="M760" s="887"/>
      <c r="N760" s="887"/>
      <c r="O760" s="887"/>
      <c r="P760" s="887"/>
      <c r="Q760" s="1323"/>
      <c r="R760" s="1323"/>
      <c r="S760" s="1323"/>
      <c r="T760" s="1323"/>
      <c r="U760" s="1323"/>
      <c r="V760" s="1323"/>
      <c r="W760" s="1323"/>
      <c r="X760" s="1323"/>
      <c r="Y760" s="1323"/>
      <c r="Z760" s="1323"/>
    </row>
    <row r="761" spans="1:26" ht="18.75" hidden="1">
      <c r="A761" s="1354"/>
      <c r="B761" s="1324"/>
      <c r="C761" s="1320"/>
      <c r="D761" s="1320"/>
      <c r="E761" s="1320"/>
      <c r="F761" s="1320" t="s">
        <v>188</v>
      </c>
      <c r="G761" s="1322"/>
      <c r="H761" s="165" t="s">
        <v>12</v>
      </c>
      <c r="I761" s="886"/>
      <c r="J761" s="886"/>
      <c r="K761" s="887"/>
      <c r="L761" s="887"/>
      <c r="M761" s="887"/>
      <c r="N761" s="887"/>
      <c r="O761" s="887"/>
      <c r="P761" s="887"/>
      <c r="Q761" s="1323"/>
      <c r="R761" s="1323"/>
      <c r="S761" s="1323"/>
      <c r="T761" s="1323"/>
      <c r="U761" s="1323"/>
      <c r="V761" s="1323"/>
      <c r="W761" s="1323"/>
      <c r="X761" s="1323"/>
      <c r="Y761" s="1323"/>
      <c r="Z761" s="1323"/>
    </row>
    <row r="762" spans="1:26" ht="18.75" hidden="1">
      <c r="A762" s="1354"/>
      <c r="B762" s="1324"/>
      <c r="C762" s="1320"/>
      <c r="D762" s="1320"/>
      <c r="E762" s="1320"/>
      <c r="F762" s="1320" t="s">
        <v>189</v>
      </c>
      <c r="G762" s="1322"/>
      <c r="H762" s="165" t="s">
        <v>12</v>
      </c>
      <c r="I762" s="886"/>
      <c r="J762" s="886"/>
      <c r="K762" s="887"/>
      <c r="L762" s="887"/>
      <c r="M762" s="887"/>
      <c r="N762" s="887"/>
      <c r="O762" s="887"/>
      <c r="P762" s="887"/>
      <c r="Q762" s="1323"/>
      <c r="R762" s="1323"/>
      <c r="S762" s="1323"/>
      <c r="T762" s="1323"/>
      <c r="U762" s="1323"/>
      <c r="V762" s="1323"/>
      <c r="W762" s="1323"/>
      <c r="X762" s="1323"/>
      <c r="Y762" s="1323"/>
      <c r="Z762" s="1323"/>
    </row>
    <row r="763" spans="1:26" ht="18.75" hidden="1">
      <c r="A763" s="1354"/>
      <c r="B763" s="1324"/>
      <c r="C763" s="1320"/>
      <c r="D763" s="1320"/>
      <c r="E763" s="1320"/>
      <c r="F763" s="1320" t="s">
        <v>190</v>
      </c>
      <c r="G763" s="1322"/>
      <c r="H763" s="165" t="s">
        <v>12</v>
      </c>
      <c r="I763" s="886"/>
      <c r="J763" s="886"/>
      <c r="K763" s="887"/>
      <c r="L763" s="887"/>
      <c r="M763" s="887"/>
      <c r="N763" s="887"/>
      <c r="O763" s="887"/>
      <c r="P763" s="887"/>
      <c r="Q763" s="1323"/>
      <c r="R763" s="1323"/>
      <c r="S763" s="1323"/>
      <c r="T763" s="1323"/>
      <c r="U763" s="1323"/>
      <c r="V763" s="1323"/>
      <c r="W763" s="1323"/>
      <c r="X763" s="1323"/>
      <c r="Y763" s="1323"/>
      <c r="Z763" s="1323"/>
    </row>
    <row r="764" spans="1:26" ht="19.5" hidden="1">
      <c r="A764" s="1319"/>
      <c r="B764" s="1324"/>
      <c r="C764" s="1320"/>
      <c r="D764" s="1453" t="s">
        <v>21</v>
      </c>
      <c r="E764" s="1320"/>
      <c r="F764" s="1320"/>
      <c r="G764" s="1322"/>
      <c r="H764" s="781" t="s">
        <v>12</v>
      </c>
      <c r="I764" s="1000"/>
      <c r="J764" s="1000"/>
      <c r="K764" s="1001"/>
      <c r="L764" s="1352">
        <f t="shared" ref="L764:N764" si="307">L765+L766</f>
        <v>0</v>
      </c>
      <c r="M764" s="1352">
        <f t="shared" si="307"/>
        <v>0</v>
      </c>
      <c r="N764" s="1352">
        <f t="shared" si="307"/>
        <v>0</v>
      </c>
      <c r="O764" s="1352">
        <f t="shared" ref="O764:O766" si="308">IF(L764&gt;0,N764*100/L764,0)</f>
        <v>0</v>
      </c>
      <c r="P764" s="1352">
        <f t="shared" ref="P764:P766" si="309">IF(M764&gt;0,N764*100/M764,0)</f>
        <v>0</v>
      </c>
      <c r="Q764" s="1323"/>
      <c r="R764" s="1323"/>
      <c r="S764" s="1323"/>
      <c r="T764" s="1323"/>
      <c r="U764" s="1323"/>
      <c r="V764" s="1323"/>
      <c r="W764" s="1323"/>
      <c r="X764" s="1323"/>
      <c r="Y764" s="1323"/>
      <c r="Z764" s="1323"/>
    </row>
    <row r="765" spans="1:26" ht="18.75" hidden="1">
      <c r="A765" s="1319"/>
      <c r="B765" s="1324"/>
      <c r="C765" s="1320"/>
      <c r="D765" s="1320"/>
      <c r="E765" s="1320" t="s">
        <v>18</v>
      </c>
      <c r="F765" s="1320"/>
      <c r="G765" s="1322"/>
      <c r="H765" s="165" t="s">
        <v>12</v>
      </c>
      <c r="I765" s="1000"/>
      <c r="J765" s="1000"/>
      <c r="K765" s="1001"/>
      <c r="L765" s="887">
        <v>0</v>
      </c>
      <c r="M765" s="887">
        <v>0</v>
      </c>
      <c r="N765" s="887">
        <v>0</v>
      </c>
      <c r="O765" s="887">
        <f t="shared" si="308"/>
        <v>0</v>
      </c>
      <c r="P765" s="887">
        <f t="shared" si="309"/>
        <v>0</v>
      </c>
      <c r="Q765" s="1323"/>
      <c r="R765" s="1323"/>
      <c r="S765" s="1323"/>
      <c r="T765" s="1323"/>
      <c r="U765" s="1323"/>
      <c r="V765" s="1323"/>
      <c r="W765" s="1323"/>
      <c r="X765" s="1323"/>
      <c r="Y765" s="1323"/>
      <c r="Z765" s="1323"/>
    </row>
    <row r="766" spans="1:26" ht="18.75" hidden="1">
      <c r="A766" s="1319"/>
      <c r="B766" s="1324"/>
      <c r="C766" s="1320"/>
      <c r="D766" s="1320"/>
      <c r="E766" s="1320" t="s">
        <v>19</v>
      </c>
      <c r="F766" s="1320"/>
      <c r="G766" s="1322"/>
      <c r="H766" s="169" t="s">
        <v>12</v>
      </c>
      <c r="I766" s="1000"/>
      <c r="J766" s="1000"/>
      <c r="K766" s="1001"/>
      <c r="L766" s="887">
        <v>0</v>
      </c>
      <c r="M766" s="887">
        <v>0</v>
      </c>
      <c r="N766" s="887">
        <v>0</v>
      </c>
      <c r="O766" s="887">
        <f t="shared" si="308"/>
        <v>0</v>
      </c>
      <c r="P766" s="887">
        <f t="shared" si="309"/>
        <v>0</v>
      </c>
      <c r="Q766" s="1323"/>
      <c r="R766" s="1323"/>
      <c r="S766" s="1323"/>
      <c r="T766" s="1323"/>
      <c r="U766" s="1323"/>
      <c r="V766" s="1323"/>
      <c r="W766" s="1323"/>
      <c r="X766" s="1323"/>
      <c r="Y766" s="1323"/>
      <c r="Z766" s="1323"/>
    </row>
    <row r="767" spans="1:26" ht="19.5" hidden="1">
      <c r="A767" s="1332"/>
      <c r="B767" s="1333"/>
      <c r="C767" s="1320" t="s">
        <v>16</v>
      </c>
      <c r="D767" s="1454" t="s">
        <v>38</v>
      </c>
      <c r="E767" s="1356"/>
      <c r="F767" s="1356"/>
      <c r="G767" s="1357"/>
      <c r="H767" s="1113"/>
      <c r="I767" s="1000"/>
      <c r="J767" s="1000"/>
      <c r="K767" s="1001"/>
      <c r="L767" s="1001"/>
      <c r="M767" s="1001"/>
      <c r="N767" s="1001"/>
      <c r="O767" s="1001"/>
      <c r="P767" s="1001"/>
      <c r="Q767" s="1323"/>
      <c r="R767" s="1323"/>
      <c r="S767" s="1323"/>
      <c r="T767" s="1323"/>
      <c r="U767" s="1323"/>
      <c r="V767" s="1323"/>
      <c r="W767" s="1323"/>
      <c r="X767" s="1323"/>
      <c r="Y767" s="1323"/>
      <c r="Z767" s="1323"/>
    </row>
    <row r="768" spans="1:26" ht="18.75" hidden="1">
      <c r="A768" s="1354"/>
      <c r="B768" s="1324"/>
      <c r="C768" s="1320"/>
      <c r="D768" s="1320"/>
      <c r="E768" s="1320" t="s">
        <v>317</v>
      </c>
      <c r="F768" s="1320"/>
      <c r="G768" s="1322"/>
      <c r="H768" s="165" t="s">
        <v>46</v>
      </c>
      <c r="I768" s="886"/>
      <c r="J768" s="886"/>
      <c r="K768" s="887"/>
      <c r="L768" s="887"/>
      <c r="M768" s="887"/>
      <c r="N768" s="887"/>
      <c r="O768" s="887"/>
      <c r="P768" s="887"/>
      <c r="Q768" s="1323"/>
      <c r="R768" s="1323"/>
      <c r="S768" s="1323"/>
      <c r="T768" s="1323"/>
      <c r="U768" s="1323"/>
      <c r="V768" s="1323"/>
      <c r="W768" s="1323"/>
      <c r="X768" s="1323"/>
      <c r="Y768" s="1323"/>
      <c r="Z768" s="1323"/>
    </row>
    <row r="769" spans="1:26" ht="19.5" hidden="1">
      <c r="A769" s="791">
        <v>11</v>
      </c>
      <c r="B769" s="1461" t="s">
        <v>318</v>
      </c>
      <c r="C769" s="1462"/>
      <c r="D769" s="1462"/>
      <c r="E769" s="1462"/>
      <c r="F769" s="1462"/>
      <c r="G769" s="1463"/>
      <c r="H769" s="795" t="s">
        <v>46</v>
      </c>
      <c r="I769" s="1464"/>
      <c r="J769" s="1464">
        <f>J784</f>
        <v>0</v>
      </c>
      <c r="K769" s="1465">
        <f>IF(I769&gt;0,J769*100/I769,0)</f>
        <v>0</v>
      </c>
      <c r="L769" s="1466"/>
      <c r="M769" s="1466"/>
      <c r="N769" s="1466"/>
      <c r="O769" s="1466"/>
      <c r="P769" s="1466"/>
      <c r="Q769" s="1323"/>
      <c r="R769" s="1323"/>
      <c r="S769" s="1323"/>
      <c r="T769" s="1323"/>
      <c r="U769" s="1323"/>
      <c r="V769" s="1323"/>
      <c r="W769" s="1323"/>
      <c r="X769" s="1323"/>
      <c r="Y769" s="1323"/>
      <c r="Z769" s="1323"/>
    </row>
    <row r="770" spans="1:26" ht="19.5" hidden="1">
      <c r="A770" s="1319"/>
      <c r="B770" s="1320"/>
      <c r="C770" s="1320" t="s">
        <v>16</v>
      </c>
      <c r="D770" s="1351" t="s">
        <v>17</v>
      </c>
      <c r="E770" s="841"/>
      <c r="F770" s="841"/>
      <c r="G770" s="1322"/>
      <c r="H770" s="644" t="s">
        <v>12</v>
      </c>
      <c r="I770" s="886"/>
      <c r="J770" s="886"/>
      <c r="K770" s="887"/>
      <c r="L770" s="1352">
        <f t="shared" ref="L770:N770" si="310">L771+L772</f>
        <v>0</v>
      </c>
      <c r="M770" s="1352">
        <f t="shared" si="310"/>
        <v>0</v>
      </c>
      <c r="N770" s="1352">
        <f t="shared" si="310"/>
        <v>0</v>
      </c>
      <c r="O770" s="1352">
        <f t="shared" ref="O770:O775" si="311">IF(L770&gt;0,N770*100/L770,0)</f>
        <v>0</v>
      </c>
      <c r="P770" s="1352">
        <f t="shared" ref="P770:P775" si="312">IF(M770&gt;0,N770*100/M770,0)</f>
        <v>0</v>
      </c>
      <c r="Q770" s="1323"/>
      <c r="R770" s="1323"/>
      <c r="S770" s="1323"/>
      <c r="T770" s="1323"/>
      <c r="U770" s="1323"/>
      <c r="V770" s="1323"/>
      <c r="W770" s="1323"/>
      <c r="X770" s="1323"/>
      <c r="Y770" s="1323"/>
      <c r="Z770" s="1323"/>
    </row>
    <row r="771" spans="1:26" ht="18.75" hidden="1">
      <c r="A771" s="1319"/>
      <c r="B771" s="1320"/>
      <c r="C771" s="1320"/>
      <c r="D771" s="1321"/>
      <c r="E771" s="1320" t="s">
        <v>185</v>
      </c>
      <c r="F771" s="1320"/>
      <c r="G771" s="1322"/>
      <c r="H771" s="165" t="s">
        <v>12</v>
      </c>
      <c r="I771" s="886"/>
      <c r="J771" s="886"/>
      <c r="K771" s="887"/>
      <c r="L771" s="887">
        <f t="shared" ref="L771:N772" si="313">L774+L781</f>
        <v>0</v>
      </c>
      <c r="M771" s="887">
        <f t="shared" si="313"/>
        <v>0</v>
      </c>
      <c r="N771" s="887">
        <f t="shared" si="313"/>
        <v>0</v>
      </c>
      <c r="O771" s="887">
        <f t="shared" si="311"/>
        <v>0</v>
      </c>
      <c r="P771" s="887">
        <f t="shared" si="312"/>
        <v>0</v>
      </c>
      <c r="Q771" s="1323"/>
      <c r="R771" s="1323"/>
      <c r="S771" s="1323"/>
      <c r="T771" s="1323"/>
      <c r="U771" s="1323"/>
      <c r="V771" s="1323"/>
      <c r="W771" s="1323"/>
      <c r="X771" s="1323"/>
      <c r="Y771" s="1323"/>
      <c r="Z771" s="1323"/>
    </row>
    <row r="772" spans="1:26" ht="18.75" hidden="1">
      <c r="A772" s="1319"/>
      <c r="B772" s="1324"/>
      <c r="C772" s="1320"/>
      <c r="D772" s="1321"/>
      <c r="E772" s="1320" t="s">
        <v>186</v>
      </c>
      <c r="F772" s="1320"/>
      <c r="G772" s="1322"/>
      <c r="H772" s="165" t="s">
        <v>12</v>
      </c>
      <c r="I772" s="886"/>
      <c r="J772" s="886"/>
      <c r="K772" s="887"/>
      <c r="L772" s="887">
        <f t="shared" si="313"/>
        <v>0</v>
      </c>
      <c r="M772" s="887">
        <f t="shared" si="313"/>
        <v>0</v>
      </c>
      <c r="N772" s="887">
        <f t="shared" si="313"/>
        <v>0</v>
      </c>
      <c r="O772" s="887">
        <f t="shared" si="311"/>
        <v>0</v>
      </c>
      <c r="P772" s="887">
        <f t="shared" si="312"/>
        <v>0</v>
      </c>
      <c r="Q772" s="1323"/>
      <c r="R772" s="1323"/>
      <c r="S772" s="1323"/>
      <c r="T772" s="1323"/>
      <c r="U772" s="1323"/>
      <c r="V772" s="1323"/>
      <c r="W772" s="1323"/>
      <c r="X772" s="1323"/>
      <c r="Y772" s="1323"/>
      <c r="Z772" s="1323"/>
    </row>
    <row r="773" spans="1:26" ht="19.5" hidden="1">
      <c r="A773" s="1319"/>
      <c r="B773" s="1324"/>
      <c r="C773" s="1320"/>
      <c r="D773" s="1453" t="s">
        <v>20</v>
      </c>
      <c r="E773" s="1320"/>
      <c r="F773" s="1320"/>
      <c r="G773" s="1322"/>
      <c r="H773" s="644" t="s">
        <v>12</v>
      </c>
      <c r="I773" s="1000"/>
      <c r="J773" s="1000"/>
      <c r="K773" s="1001"/>
      <c r="L773" s="1352">
        <f t="shared" ref="L773:N773" si="314">L774+L775</f>
        <v>0</v>
      </c>
      <c r="M773" s="1352">
        <f t="shared" si="314"/>
        <v>0</v>
      </c>
      <c r="N773" s="1352">
        <f t="shared" si="314"/>
        <v>0</v>
      </c>
      <c r="O773" s="1352">
        <f t="shared" si="311"/>
        <v>0</v>
      </c>
      <c r="P773" s="1352">
        <f t="shared" si="312"/>
        <v>0</v>
      </c>
      <c r="Q773" s="1323"/>
      <c r="R773" s="1323"/>
      <c r="S773" s="1323"/>
      <c r="T773" s="1323"/>
      <c r="U773" s="1323"/>
      <c r="V773" s="1323"/>
      <c r="W773" s="1323"/>
      <c r="X773" s="1323"/>
      <c r="Y773" s="1323"/>
      <c r="Z773" s="1323"/>
    </row>
    <row r="774" spans="1:26" ht="18.75" hidden="1">
      <c r="A774" s="1319"/>
      <c r="B774" s="1324"/>
      <c r="C774" s="1320"/>
      <c r="D774" s="1321"/>
      <c r="E774" s="1320" t="s">
        <v>185</v>
      </c>
      <c r="F774" s="1320"/>
      <c r="G774" s="1322"/>
      <c r="H774" s="165" t="s">
        <v>12</v>
      </c>
      <c r="I774" s="886"/>
      <c r="J774" s="886"/>
      <c r="K774" s="887"/>
      <c r="L774" s="887">
        <v>0</v>
      </c>
      <c r="M774" s="887">
        <v>0</v>
      </c>
      <c r="N774" s="887">
        <v>0</v>
      </c>
      <c r="O774" s="887">
        <f t="shared" si="311"/>
        <v>0</v>
      </c>
      <c r="P774" s="887">
        <f t="shared" si="312"/>
        <v>0</v>
      </c>
      <c r="Q774" s="1323"/>
      <c r="R774" s="1323"/>
      <c r="S774" s="1323"/>
      <c r="T774" s="1323"/>
      <c r="U774" s="1323"/>
      <c r="V774" s="1323"/>
      <c r="W774" s="1323"/>
      <c r="X774" s="1323"/>
      <c r="Y774" s="1323"/>
      <c r="Z774" s="1323"/>
    </row>
    <row r="775" spans="1:26" ht="18.75" hidden="1">
      <c r="A775" s="1319"/>
      <c r="B775" s="1324"/>
      <c r="C775" s="1320"/>
      <c r="D775" s="1321"/>
      <c r="E775" s="1320" t="s">
        <v>186</v>
      </c>
      <c r="F775" s="1320"/>
      <c r="G775" s="1322"/>
      <c r="H775" s="165" t="s">
        <v>12</v>
      </c>
      <c r="I775" s="886"/>
      <c r="J775" s="886"/>
      <c r="K775" s="887"/>
      <c r="L775" s="887">
        <v>0</v>
      </c>
      <c r="M775" s="887">
        <v>0</v>
      </c>
      <c r="N775" s="887">
        <f>N776+N777+N778+N779</f>
        <v>0</v>
      </c>
      <c r="O775" s="887">
        <f t="shared" si="311"/>
        <v>0</v>
      </c>
      <c r="P775" s="887">
        <f t="shared" si="312"/>
        <v>0</v>
      </c>
      <c r="Q775" s="1323"/>
      <c r="R775" s="1323"/>
      <c r="S775" s="1323"/>
      <c r="T775" s="1323"/>
      <c r="U775" s="1323"/>
      <c r="V775" s="1323"/>
      <c r="W775" s="1323"/>
      <c r="X775" s="1323"/>
      <c r="Y775" s="1323"/>
      <c r="Z775" s="1323"/>
    </row>
    <row r="776" spans="1:26" ht="18.75" hidden="1">
      <c r="A776" s="1354"/>
      <c r="B776" s="1324"/>
      <c r="C776" s="1320"/>
      <c r="D776" s="1320"/>
      <c r="E776" s="1320"/>
      <c r="F776" s="1320" t="s">
        <v>187</v>
      </c>
      <c r="G776" s="1322"/>
      <c r="H776" s="165" t="s">
        <v>12</v>
      </c>
      <c r="I776" s="886"/>
      <c r="J776" s="886"/>
      <c r="K776" s="887"/>
      <c r="L776" s="887"/>
      <c r="M776" s="887"/>
      <c r="N776" s="887"/>
      <c r="O776" s="887"/>
      <c r="P776" s="887"/>
      <c r="Q776" s="1323"/>
      <c r="R776" s="1323"/>
      <c r="S776" s="1323"/>
      <c r="T776" s="1323"/>
      <c r="U776" s="1323"/>
      <c r="V776" s="1323"/>
      <c r="W776" s="1323"/>
      <c r="X776" s="1323"/>
      <c r="Y776" s="1323"/>
      <c r="Z776" s="1323"/>
    </row>
    <row r="777" spans="1:26" ht="18.75" hidden="1">
      <c r="A777" s="1354"/>
      <c r="B777" s="1324"/>
      <c r="C777" s="1320"/>
      <c r="D777" s="1320"/>
      <c r="E777" s="1320"/>
      <c r="F777" s="1320" t="s">
        <v>188</v>
      </c>
      <c r="G777" s="1322"/>
      <c r="H777" s="165" t="s">
        <v>12</v>
      </c>
      <c r="I777" s="886"/>
      <c r="J777" s="886"/>
      <c r="K777" s="887"/>
      <c r="L777" s="887"/>
      <c r="M777" s="887"/>
      <c r="N777" s="887"/>
      <c r="O777" s="887"/>
      <c r="P777" s="887"/>
      <c r="Q777" s="1323"/>
      <c r="R777" s="1323"/>
      <c r="S777" s="1323"/>
      <c r="T777" s="1323"/>
      <c r="U777" s="1323"/>
      <c r="V777" s="1323"/>
      <c r="W777" s="1323"/>
      <c r="X777" s="1323"/>
      <c r="Y777" s="1323"/>
      <c r="Z777" s="1323"/>
    </row>
    <row r="778" spans="1:26" ht="18.75" hidden="1">
      <c r="A778" s="1354"/>
      <c r="B778" s="1324"/>
      <c r="C778" s="1320"/>
      <c r="D778" s="1320"/>
      <c r="E778" s="1320"/>
      <c r="F778" s="1320" t="s">
        <v>189</v>
      </c>
      <c r="G778" s="1322"/>
      <c r="H778" s="165" t="s">
        <v>12</v>
      </c>
      <c r="I778" s="886"/>
      <c r="J778" s="886"/>
      <c r="K778" s="887"/>
      <c r="L778" s="887"/>
      <c r="M778" s="887"/>
      <c r="N778" s="887"/>
      <c r="O778" s="887"/>
      <c r="P778" s="887"/>
      <c r="Q778" s="1323"/>
      <c r="R778" s="1323"/>
      <c r="S778" s="1323"/>
      <c r="T778" s="1323"/>
      <c r="U778" s="1323"/>
      <c r="V778" s="1323"/>
      <c r="W778" s="1323"/>
      <c r="X778" s="1323"/>
      <c r="Y778" s="1323"/>
      <c r="Z778" s="1323"/>
    </row>
    <row r="779" spans="1:26" ht="18.75" hidden="1">
      <c r="A779" s="1354"/>
      <c r="B779" s="1324"/>
      <c r="C779" s="1320"/>
      <c r="D779" s="1320"/>
      <c r="E779" s="1320"/>
      <c r="F779" s="1320" t="s">
        <v>190</v>
      </c>
      <c r="G779" s="1322"/>
      <c r="H779" s="165" t="s">
        <v>12</v>
      </c>
      <c r="I779" s="886"/>
      <c r="J779" s="886"/>
      <c r="K779" s="887"/>
      <c r="L779" s="887"/>
      <c r="M779" s="887"/>
      <c r="N779" s="887"/>
      <c r="O779" s="887"/>
      <c r="P779" s="887"/>
      <c r="Q779" s="1323"/>
      <c r="R779" s="1323"/>
      <c r="S779" s="1323"/>
      <c r="T779" s="1323"/>
      <c r="U779" s="1323"/>
      <c r="V779" s="1323"/>
      <c r="W779" s="1323"/>
      <c r="X779" s="1323"/>
      <c r="Y779" s="1323"/>
      <c r="Z779" s="1323"/>
    </row>
    <row r="780" spans="1:26" ht="19.5" hidden="1">
      <c r="A780" s="1319"/>
      <c r="B780" s="1324"/>
      <c r="C780" s="1320"/>
      <c r="D780" s="1453" t="s">
        <v>21</v>
      </c>
      <c r="E780" s="1320"/>
      <c r="F780" s="1320"/>
      <c r="G780" s="1322"/>
      <c r="H780" s="781" t="s">
        <v>12</v>
      </c>
      <c r="I780" s="1000"/>
      <c r="J780" s="1000"/>
      <c r="K780" s="1001"/>
      <c r="L780" s="1352">
        <f t="shared" ref="L780:N780" si="315">L781+L782</f>
        <v>0</v>
      </c>
      <c r="M780" s="1352">
        <f t="shared" si="315"/>
        <v>0</v>
      </c>
      <c r="N780" s="1352">
        <f t="shared" si="315"/>
        <v>0</v>
      </c>
      <c r="O780" s="1352">
        <f t="shared" ref="O780:O782" si="316">IF(L780&gt;0,N780*100/L780,0)</f>
        <v>0</v>
      </c>
      <c r="P780" s="1352">
        <f t="shared" ref="P780:P782" si="317">IF(M780&gt;0,N780*100/M780,0)</f>
        <v>0</v>
      </c>
      <c r="Q780" s="1323"/>
      <c r="R780" s="1323"/>
      <c r="S780" s="1323"/>
      <c r="T780" s="1323"/>
      <c r="U780" s="1323"/>
      <c r="V780" s="1323"/>
      <c r="W780" s="1323"/>
      <c r="X780" s="1323"/>
      <c r="Y780" s="1323"/>
      <c r="Z780" s="1323"/>
    </row>
    <row r="781" spans="1:26" ht="18.75" hidden="1">
      <c r="A781" s="1319"/>
      <c r="B781" s="1324"/>
      <c r="C781" s="1320"/>
      <c r="D781" s="1320"/>
      <c r="E781" s="1320" t="s">
        <v>18</v>
      </c>
      <c r="F781" s="1320"/>
      <c r="G781" s="1322"/>
      <c r="H781" s="165" t="s">
        <v>12</v>
      </c>
      <c r="I781" s="1000"/>
      <c r="J781" s="1000"/>
      <c r="K781" s="1001"/>
      <c r="L781" s="887">
        <v>0</v>
      </c>
      <c r="M781" s="887">
        <v>0</v>
      </c>
      <c r="N781" s="887">
        <v>0</v>
      </c>
      <c r="O781" s="887">
        <f t="shared" si="316"/>
        <v>0</v>
      </c>
      <c r="P781" s="887">
        <f t="shared" si="317"/>
        <v>0</v>
      </c>
      <c r="Q781" s="1323"/>
      <c r="R781" s="1323"/>
      <c r="S781" s="1323"/>
      <c r="T781" s="1323"/>
      <c r="U781" s="1323"/>
      <c r="V781" s="1323"/>
      <c r="W781" s="1323"/>
      <c r="X781" s="1323"/>
      <c r="Y781" s="1323"/>
      <c r="Z781" s="1323"/>
    </row>
    <row r="782" spans="1:26" ht="18.75" hidden="1">
      <c r="A782" s="1319"/>
      <c r="B782" s="1324"/>
      <c r="C782" s="1320"/>
      <c r="D782" s="1320"/>
      <c r="E782" s="1320" t="s">
        <v>19</v>
      </c>
      <c r="F782" s="1320"/>
      <c r="G782" s="1322"/>
      <c r="H782" s="169" t="s">
        <v>12</v>
      </c>
      <c r="I782" s="1000"/>
      <c r="J782" s="1000"/>
      <c r="K782" s="1001"/>
      <c r="L782" s="887">
        <v>0</v>
      </c>
      <c r="M782" s="887">
        <v>0</v>
      </c>
      <c r="N782" s="887">
        <v>0</v>
      </c>
      <c r="O782" s="887">
        <f t="shared" si="316"/>
        <v>0</v>
      </c>
      <c r="P782" s="887">
        <f t="shared" si="317"/>
        <v>0</v>
      </c>
      <c r="Q782" s="1323"/>
      <c r="R782" s="1323"/>
      <c r="S782" s="1323"/>
      <c r="T782" s="1323"/>
      <c r="U782" s="1323"/>
      <c r="V782" s="1323"/>
      <c r="W782" s="1323"/>
      <c r="X782" s="1323"/>
      <c r="Y782" s="1323"/>
      <c r="Z782" s="1323"/>
    </row>
    <row r="783" spans="1:26" ht="19.5" hidden="1">
      <c r="A783" s="1332"/>
      <c r="B783" s="1333"/>
      <c r="C783" s="1320" t="s">
        <v>16</v>
      </c>
      <c r="D783" s="1454" t="s">
        <v>38</v>
      </c>
      <c r="E783" s="1356"/>
      <c r="F783" s="1356"/>
      <c r="G783" s="1357"/>
      <c r="H783" s="1467"/>
      <c r="I783" s="1000"/>
      <c r="J783" s="1000"/>
      <c r="K783" s="1001"/>
      <c r="L783" s="1001"/>
      <c r="M783" s="1001"/>
      <c r="N783" s="1001"/>
      <c r="O783" s="1001"/>
      <c r="P783" s="1001"/>
      <c r="Q783" s="1323"/>
      <c r="R783" s="1323"/>
      <c r="S783" s="1323"/>
      <c r="T783" s="1323"/>
      <c r="U783" s="1323"/>
      <c r="V783" s="1323"/>
      <c r="W783" s="1323"/>
      <c r="X783" s="1323"/>
      <c r="Y783" s="1323"/>
      <c r="Z783" s="1323"/>
    </row>
    <row r="784" spans="1:26" ht="18.75" hidden="1">
      <c r="A784" s="1354"/>
      <c r="B784" s="1324"/>
      <c r="C784" s="1320"/>
      <c r="D784" s="1320"/>
      <c r="E784" s="1320" t="s">
        <v>319</v>
      </c>
      <c r="F784" s="1320"/>
      <c r="G784" s="1322"/>
      <c r="H784" s="165" t="s">
        <v>46</v>
      </c>
      <c r="I784" s="886"/>
      <c r="J784" s="886"/>
      <c r="K784" s="887"/>
      <c r="L784" s="887"/>
      <c r="M784" s="887"/>
      <c r="N784" s="887"/>
      <c r="O784" s="887"/>
      <c r="P784" s="887"/>
      <c r="Q784" s="1323"/>
      <c r="R784" s="1323"/>
      <c r="S784" s="1323"/>
      <c r="T784" s="1323"/>
      <c r="U784" s="1323"/>
      <c r="V784" s="1323"/>
      <c r="W784" s="1323"/>
      <c r="X784" s="1323"/>
      <c r="Y784" s="1323"/>
      <c r="Z784" s="1323"/>
    </row>
    <row r="785" spans="1:26" ht="19.5" hidden="1">
      <c r="A785" s="800">
        <v>12</v>
      </c>
      <c r="B785" s="1468" t="s">
        <v>320</v>
      </c>
      <c r="C785" s="1469"/>
      <c r="D785" s="1469"/>
      <c r="E785" s="1469"/>
      <c r="F785" s="1469"/>
      <c r="G785" s="1470"/>
      <c r="H785" s="804" t="s">
        <v>46</v>
      </c>
      <c r="I785" s="1471">
        <f t="shared" ref="I785:J785" ca="1" si="318">I800</f>
        <v>0</v>
      </c>
      <c r="J785" s="1472">
        <f t="shared" ca="1" si="318"/>
        <v>0</v>
      </c>
      <c r="K785" s="1473">
        <f ca="1">IF(I785&gt;0,J785*100/I785,0)</f>
        <v>0</v>
      </c>
      <c r="L785" s="1474"/>
      <c r="M785" s="1474"/>
      <c r="N785" s="1474"/>
      <c r="O785" s="1474"/>
      <c r="P785" s="1474"/>
      <c r="Q785" s="1302"/>
      <c r="R785" s="1302"/>
      <c r="S785" s="1302"/>
      <c r="T785" s="1302"/>
      <c r="U785" s="1302"/>
      <c r="V785" s="1302"/>
      <c r="W785" s="1302"/>
      <c r="X785" s="1302"/>
      <c r="Y785" s="1302"/>
      <c r="Z785" s="1302"/>
    </row>
    <row r="786" spans="1:26" ht="19.5" hidden="1">
      <c r="A786" s="1317"/>
      <c r="B786" s="1300"/>
      <c r="C786" s="1301" t="s">
        <v>16</v>
      </c>
      <c r="D786" s="1318" t="s">
        <v>17</v>
      </c>
      <c r="E786" s="841"/>
      <c r="F786" s="841"/>
      <c r="G786" s="1016"/>
      <c r="H786" s="597" t="s">
        <v>12</v>
      </c>
      <c r="I786" s="880"/>
      <c r="J786" s="880"/>
      <c r="K786" s="881"/>
      <c r="L786" s="1020">
        <f t="shared" ref="L786:N786" ca="1" si="319">L787+L788</f>
        <v>0</v>
      </c>
      <c r="M786" s="1020">
        <f t="shared" si="319"/>
        <v>0</v>
      </c>
      <c r="N786" s="1020">
        <f t="shared" si="319"/>
        <v>0</v>
      </c>
      <c r="O786" s="1020">
        <f t="shared" ref="O786:O791" ca="1" si="320">IF(L786&gt;0,N786*100/L786,0)</f>
        <v>0</v>
      </c>
      <c r="P786" s="1020">
        <f t="shared" ref="P786:P791" si="321">IF(M786&gt;0,N786*100/M786,0)</f>
        <v>0</v>
      </c>
      <c r="Q786" s="1302"/>
      <c r="R786" s="1302"/>
      <c r="S786" s="1302"/>
      <c r="T786" s="1302"/>
      <c r="U786" s="1302"/>
      <c r="V786" s="1302"/>
      <c r="W786" s="1302"/>
      <c r="X786" s="1302"/>
      <c r="Y786" s="1302"/>
      <c r="Z786" s="1302"/>
    </row>
    <row r="787" spans="1:26" ht="18.75" hidden="1">
      <c r="A787" s="1319"/>
      <c r="B787" s="1324"/>
      <c r="C787" s="1320"/>
      <c r="D787" s="1321"/>
      <c r="E787" s="1320" t="s">
        <v>185</v>
      </c>
      <c r="F787" s="1320"/>
      <c r="G787" s="1322"/>
      <c r="H787" s="165" t="s">
        <v>12</v>
      </c>
      <c r="I787" s="886"/>
      <c r="J787" s="886"/>
      <c r="K787" s="887"/>
      <c r="L787" s="887">
        <f t="shared" ref="L787:N788" si="322">L790+L797</f>
        <v>0</v>
      </c>
      <c r="M787" s="887">
        <f t="shared" si="322"/>
        <v>0</v>
      </c>
      <c r="N787" s="887">
        <f t="shared" si="322"/>
        <v>0</v>
      </c>
      <c r="O787" s="887">
        <f t="shared" si="320"/>
        <v>0</v>
      </c>
      <c r="P787" s="887">
        <f t="shared" si="321"/>
        <v>0</v>
      </c>
      <c r="Q787" s="1323"/>
      <c r="R787" s="1323"/>
      <c r="S787" s="1323"/>
      <c r="T787" s="1323"/>
      <c r="U787" s="1323"/>
      <c r="V787" s="1323"/>
      <c r="W787" s="1323"/>
      <c r="X787" s="1323"/>
      <c r="Y787" s="1323"/>
      <c r="Z787" s="1323"/>
    </row>
    <row r="788" spans="1:26" ht="18.75" hidden="1">
      <c r="A788" s="1319"/>
      <c r="B788" s="1324"/>
      <c r="C788" s="1324"/>
      <c r="D788" s="1333"/>
      <c r="E788" s="1320" t="s">
        <v>186</v>
      </c>
      <c r="F788" s="1320"/>
      <c r="G788" s="1322"/>
      <c r="H788" s="165" t="s">
        <v>12</v>
      </c>
      <c r="I788" s="886"/>
      <c r="J788" s="886"/>
      <c r="K788" s="887"/>
      <c r="L788" s="887">
        <f t="shared" ca="1" si="322"/>
        <v>0</v>
      </c>
      <c r="M788" s="887">
        <f t="shared" si="322"/>
        <v>0</v>
      </c>
      <c r="N788" s="887">
        <f t="shared" si="322"/>
        <v>0</v>
      </c>
      <c r="O788" s="887">
        <f t="shared" ca="1" si="320"/>
        <v>0</v>
      </c>
      <c r="P788" s="887">
        <f t="shared" si="321"/>
        <v>0</v>
      </c>
      <c r="Q788" s="1323"/>
      <c r="R788" s="1323"/>
      <c r="S788" s="1323"/>
      <c r="T788" s="1323"/>
      <c r="U788" s="1323"/>
      <c r="V788" s="1323"/>
      <c r="W788" s="1323"/>
      <c r="X788" s="1323"/>
      <c r="Y788" s="1323"/>
      <c r="Z788" s="1323"/>
    </row>
    <row r="789" spans="1:26" ht="18.75" hidden="1">
      <c r="A789" s="1317"/>
      <c r="B789" s="1300"/>
      <c r="C789" s="1300"/>
      <c r="D789" s="1325" t="s">
        <v>20</v>
      </c>
      <c r="E789" s="1301"/>
      <c r="F789" s="1301"/>
      <c r="G789" s="1016"/>
      <c r="H789" s="161" t="s">
        <v>12</v>
      </c>
      <c r="I789" s="997"/>
      <c r="J789" s="997"/>
      <c r="K789" s="998"/>
      <c r="L789" s="881">
        <f t="shared" ref="L789:N789" ca="1" si="323">L790+L791</f>
        <v>0</v>
      </c>
      <c r="M789" s="881">
        <f t="shared" si="323"/>
        <v>0</v>
      </c>
      <c r="N789" s="881">
        <f t="shared" si="323"/>
        <v>0</v>
      </c>
      <c r="O789" s="881">
        <f t="shared" ca="1" si="320"/>
        <v>0</v>
      </c>
      <c r="P789" s="881">
        <f t="shared" si="321"/>
        <v>0</v>
      </c>
      <c r="Q789" s="1302"/>
      <c r="R789" s="1302"/>
      <c r="S789" s="1302"/>
      <c r="T789" s="1302"/>
      <c r="U789" s="1302"/>
      <c r="V789" s="1302"/>
      <c r="W789" s="1302"/>
      <c r="X789" s="1302"/>
      <c r="Y789" s="1302"/>
      <c r="Z789" s="1302"/>
    </row>
    <row r="790" spans="1:26" ht="18.75" hidden="1">
      <c r="A790" s="1319"/>
      <c r="B790" s="1324"/>
      <c r="C790" s="1324"/>
      <c r="D790" s="1333"/>
      <c r="E790" s="1320" t="s">
        <v>185</v>
      </c>
      <c r="F790" s="1320"/>
      <c r="G790" s="1322"/>
      <c r="H790" s="165" t="s">
        <v>12</v>
      </c>
      <c r="I790" s="886"/>
      <c r="J790" s="886"/>
      <c r="K790" s="887"/>
      <c r="L790" s="887">
        <v>0</v>
      </c>
      <c r="M790" s="887">
        <v>0</v>
      </c>
      <c r="N790" s="887">
        <v>0</v>
      </c>
      <c r="O790" s="887">
        <f t="shared" si="320"/>
        <v>0</v>
      </c>
      <c r="P790" s="887">
        <f t="shared" si="321"/>
        <v>0</v>
      </c>
      <c r="Q790" s="1323"/>
      <c r="R790" s="1323"/>
      <c r="S790" s="1323"/>
      <c r="T790" s="1323"/>
      <c r="U790" s="1323"/>
      <c r="V790" s="1323"/>
      <c r="W790" s="1323"/>
      <c r="X790" s="1323"/>
      <c r="Y790" s="1323"/>
      <c r="Z790" s="1323"/>
    </row>
    <row r="791" spans="1:26" ht="18.75" hidden="1">
      <c r="A791" s="1319"/>
      <c r="B791" s="1324"/>
      <c r="C791" s="1324"/>
      <c r="D791" s="1333"/>
      <c r="E791" s="1320" t="s">
        <v>186</v>
      </c>
      <c r="F791" s="1320"/>
      <c r="G791" s="1322"/>
      <c r="H791" s="165" t="s">
        <v>12</v>
      </c>
      <c r="I791" s="886"/>
      <c r="J791" s="886"/>
      <c r="K791" s="887"/>
      <c r="L791" s="887">
        <f ca="1">IFERROR(__xludf.DUMMYFUNCTION("IMPORTRANGE(""https://docs.google.com/spreadsheets/d/1QqKyyYR6Q21VydFLVH3TRQUabQu_ym0Zz7PgGX0-kHA/edit?usp=sharing"",""แผน!JJ82"")"),0)</f>
        <v>0</v>
      </c>
      <c r="M791" s="887">
        <v>0</v>
      </c>
      <c r="N791" s="887">
        <f>N792+N793+N794+N795</f>
        <v>0</v>
      </c>
      <c r="O791" s="887">
        <f t="shared" ca="1" si="320"/>
        <v>0</v>
      </c>
      <c r="P791" s="887">
        <f t="shared" si="321"/>
        <v>0</v>
      </c>
      <c r="Q791" s="1323"/>
      <c r="R791" s="1323"/>
      <c r="S791" s="1323"/>
      <c r="T791" s="1323"/>
      <c r="U791" s="1323"/>
      <c r="V791" s="1323"/>
      <c r="W791" s="1323"/>
      <c r="X791" s="1323"/>
      <c r="Y791" s="1323"/>
      <c r="Z791" s="1323"/>
    </row>
    <row r="792" spans="1:26" ht="18.75" hidden="1">
      <c r="A792" s="1299"/>
      <c r="B792" s="1300"/>
      <c r="C792" s="1301"/>
      <c r="D792" s="1301"/>
      <c r="E792" s="1301"/>
      <c r="F792" s="1301" t="s">
        <v>187</v>
      </c>
      <c r="G792" s="1016"/>
      <c r="H792" s="161" t="s">
        <v>12</v>
      </c>
      <c r="I792" s="880"/>
      <c r="J792" s="880"/>
      <c r="K792" s="881"/>
      <c r="L792" s="881"/>
      <c r="M792" s="881"/>
      <c r="N792" s="1085">
        <v>0</v>
      </c>
      <c r="O792" s="881"/>
      <c r="P792" s="881"/>
      <c r="Q792" s="1302"/>
      <c r="R792" s="1302"/>
      <c r="S792" s="1302"/>
      <c r="T792" s="1302"/>
      <c r="U792" s="1302"/>
      <c r="V792" s="1302"/>
      <c r="W792" s="1302"/>
      <c r="X792" s="1302"/>
      <c r="Y792" s="1302"/>
      <c r="Z792" s="1302"/>
    </row>
    <row r="793" spans="1:26" ht="18.75" hidden="1">
      <c r="A793" s="1299"/>
      <c r="B793" s="1300"/>
      <c r="C793" s="1301"/>
      <c r="D793" s="1301"/>
      <c r="E793" s="1301"/>
      <c r="F793" s="1301" t="s">
        <v>188</v>
      </c>
      <c r="G793" s="1016"/>
      <c r="H793" s="161" t="s">
        <v>12</v>
      </c>
      <c r="I793" s="880"/>
      <c r="J793" s="880"/>
      <c r="K793" s="881"/>
      <c r="L793" s="881"/>
      <c r="M793" s="881"/>
      <c r="N793" s="1085">
        <v>0</v>
      </c>
      <c r="O793" s="881"/>
      <c r="P793" s="881"/>
      <c r="Q793" s="1302"/>
      <c r="R793" s="1302"/>
      <c r="S793" s="1302"/>
      <c r="T793" s="1302"/>
      <c r="U793" s="1302"/>
      <c r="V793" s="1302"/>
      <c r="W793" s="1302"/>
      <c r="X793" s="1302"/>
      <c r="Y793" s="1302"/>
      <c r="Z793" s="1302"/>
    </row>
    <row r="794" spans="1:26" ht="18.75" hidden="1">
      <c r="A794" s="1299"/>
      <c r="B794" s="1300"/>
      <c r="C794" s="1301"/>
      <c r="D794" s="1301"/>
      <c r="E794" s="1301"/>
      <c r="F794" s="1301" t="s">
        <v>189</v>
      </c>
      <c r="G794" s="1016"/>
      <c r="H794" s="161" t="s">
        <v>12</v>
      </c>
      <c r="I794" s="880"/>
      <c r="J794" s="880"/>
      <c r="K794" s="881"/>
      <c r="L794" s="881"/>
      <c r="M794" s="881"/>
      <c r="N794" s="1085">
        <v>0</v>
      </c>
      <c r="O794" s="881"/>
      <c r="P794" s="881"/>
      <c r="Q794" s="1302"/>
      <c r="R794" s="1302"/>
      <c r="S794" s="1302"/>
      <c r="T794" s="1302"/>
      <c r="U794" s="1302"/>
      <c r="V794" s="1302"/>
      <c r="W794" s="1302"/>
      <c r="X794" s="1302"/>
      <c r="Y794" s="1302"/>
      <c r="Z794" s="1302"/>
    </row>
    <row r="795" spans="1:26" ht="18.75" hidden="1">
      <c r="A795" s="1299"/>
      <c r="B795" s="1300"/>
      <c r="C795" s="1301"/>
      <c r="D795" s="1301"/>
      <c r="E795" s="1301"/>
      <c r="F795" s="1301" t="s">
        <v>190</v>
      </c>
      <c r="G795" s="1016"/>
      <c r="H795" s="161" t="s">
        <v>12</v>
      </c>
      <c r="I795" s="880"/>
      <c r="J795" s="880"/>
      <c r="K795" s="881"/>
      <c r="L795" s="881"/>
      <c r="M795" s="881"/>
      <c r="N795" s="1085">
        <v>0</v>
      </c>
      <c r="O795" s="881"/>
      <c r="P795" s="881"/>
      <c r="Q795" s="1302"/>
      <c r="R795" s="1302"/>
      <c r="S795" s="1302"/>
      <c r="T795" s="1302"/>
      <c r="U795" s="1302"/>
      <c r="V795" s="1302"/>
      <c r="W795" s="1302"/>
      <c r="X795" s="1302"/>
      <c r="Y795" s="1302"/>
      <c r="Z795" s="1302"/>
    </row>
    <row r="796" spans="1:26" ht="18.75" hidden="1">
      <c r="A796" s="1317"/>
      <c r="B796" s="1300"/>
      <c r="C796" s="1301"/>
      <c r="D796" s="1325" t="s">
        <v>21</v>
      </c>
      <c r="E796" s="1301"/>
      <c r="F796" s="1301"/>
      <c r="G796" s="1016"/>
      <c r="H796" s="168" t="s">
        <v>12</v>
      </c>
      <c r="I796" s="997"/>
      <c r="J796" s="997"/>
      <c r="K796" s="998"/>
      <c r="L796" s="881">
        <f t="shared" ref="L796:N796" si="324">L797+L798</f>
        <v>0</v>
      </c>
      <c r="M796" s="881">
        <f t="shared" si="324"/>
        <v>0</v>
      </c>
      <c r="N796" s="881">
        <f t="shared" si="324"/>
        <v>0</v>
      </c>
      <c r="O796" s="881">
        <f t="shared" ref="O796:O798" si="325">IF(L796&gt;0,N796*100/L796,0)</f>
        <v>0</v>
      </c>
      <c r="P796" s="881">
        <f t="shared" ref="P796:P798" si="326">IF(M796&gt;0,N796*100/M796,0)</f>
        <v>0</v>
      </c>
      <c r="Q796" s="1302"/>
      <c r="R796" s="1302"/>
      <c r="S796" s="1302"/>
      <c r="T796" s="1302"/>
      <c r="U796" s="1302"/>
      <c r="V796" s="1302"/>
      <c r="W796" s="1302"/>
      <c r="X796" s="1302"/>
      <c r="Y796" s="1302"/>
      <c r="Z796" s="1302"/>
    </row>
    <row r="797" spans="1:26" ht="18.75" hidden="1">
      <c r="A797" s="1319"/>
      <c r="B797" s="1324"/>
      <c r="C797" s="1320"/>
      <c r="D797" s="1320"/>
      <c r="E797" s="1320" t="s">
        <v>18</v>
      </c>
      <c r="F797" s="1320"/>
      <c r="G797" s="1322"/>
      <c r="H797" s="165" t="s">
        <v>12</v>
      </c>
      <c r="I797" s="1000"/>
      <c r="J797" s="1000"/>
      <c r="K797" s="1001"/>
      <c r="L797" s="887">
        <v>0</v>
      </c>
      <c r="M797" s="887">
        <v>0</v>
      </c>
      <c r="N797" s="887">
        <v>0</v>
      </c>
      <c r="O797" s="887">
        <f t="shared" si="325"/>
        <v>0</v>
      </c>
      <c r="P797" s="887">
        <f t="shared" si="326"/>
        <v>0</v>
      </c>
      <c r="Q797" s="1323"/>
      <c r="R797" s="1323"/>
      <c r="S797" s="1323"/>
      <c r="T797" s="1323"/>
      <c r="U797" s="1323"/>
      <c r="V797" s="1323"/>
      <c r="W797" s="1323"/>
      <c r="X797" s="1323"/>
      <c r="Y797" s="1323"/>
      <c r="Z797" s="1323"/>
    </row>
    <row r="798" spans="1:26" ht="18.75" hidden="1">
      <c r="A798" s="1319"/>
      <c r="B798" s="1324"/>
      <c r="C798" s="1320"/>
      <c r="D798" s="1320"/>
      <c r="E798" s="1320" t="s">
        <v>19</v>
      </c>
      <c r="F798" s="1320"/>
      <c r="G798" s="1322"/>
      <c r="H798" s="169" t="s">
        <v>12</v>
      </c>
      <c r="I798" s="1000"/>
      <c r="J798" s="1000"/>
      <c r="K798" s="1001"/>
      <c r="L798" s="887">
        <v>0</v>
      </c>
      <c r="M798" s="887">
        <v>0</v>
      </c>
      <c r="N798" s="887">
        <v>0</v>
      </c>
      <c r="O798" s="887">
        <f t="shared" si="325"/>
        <v>0</v>
      </c>
      <c r="P798" s="887">
        <f t="shared" si="326"/>
        <v>0</v>
      </c>
      <c r="Q798" s="1323"/>
      <c r="R798" s="1323"/>
      <c r="S798" s="1323"/>
      <c r="T798" s="1323"/>
      <c r="U798" s="1323"/>
      <c r="V798" s="1323"/>
      <c r="W798" s="1323"/>
      <c r="X798" s="1323"/>
      <c r="Y798" s="1323"/>
      <c r="Z798" s="1323"/>
    </row>
    <row r="799" spans="1:26" ht="19.5" hidden="1">
      <c r="A799" s="1326"/>
      <c r="B799" s="1327"/>
      <c r="C799" s="1301" t="s">
        <v>16</v>
      </c>
      <c r="D799" s="1439" t="s">
        <v>38</v>
      </c>
      <c r="E799" s="1330"/>
      <c r="F799" s="1330"/>
      <c r="G799" s="1331"/>
      <c r="H799" s="1475"/>
      <c r="I799" s="997"/>
      <c r="J799" s="997"/>
      <c r="K799" s="998"/>
      <c r="L799" s="998"/>
      <c r="M799" s="998"/>
      <c r="N799" s="998"/>
      <c r="O799" s="998"/>
      <c r="P799" s="998"/>
      <c r="Q799" s="1302"/>
      <c r="R799" s="1302"/>
      <c r="S799" s="1302"/>
      <c r="T799" s="1302"/>
      <c r="U799" s="1302"/>
      <c r="V799" s="1302"/>
      <c r="W799" s="1302"/>
      <c r="X799" s="1302"/>
      <c r="Y799" s="1302"/>
      <c r="Z799" s="1302"/>
    </row>
    <row r="800" spans="1:26" ht="18.75" hidden="1">
      <c r="A800" s="1326"/>
      <c r="B800" s="1327"/>
      <c r="C800" s="1327"/>
      <c r="D800" s="1327"/>
      <c r="E800" s="1014"/>
      <c r="F800" s="1014" t="s">
        <v>321</v>
      </c>
      <c r="G800" s="1007"/>
      <c r="H800" s="185" t="s">
        <v>46</v>
      </c>
      <c r="I800" s="997">
        <f ca="1">IFERROR(__xludf.DUMMYFUNCTION("IMPORTRANGE(""https://docs.google.com/spreadsheets/d/1QqKyyYR6Q21VydFLVH3TRQUabQu_ym0Zz7PgGX0-kHA/edit?usp=sharing"",""แผน!JN82"")"),0)</f>
        <v>0</v>
      </c>
      <c r="J800" s="997">
        <f ca="1">IFERROR(__xludf.DUMMYFUNCTION("IMPORTRANGE(""https://docs.google.com/spreadsheets/d/1MaWodYyGHDf7siQLGxnXhG4mBNTNIuy296niS2xXulU/edit?usp=sharing"",""RTK!H82"")"),0)</f>
        <v>0</v>
      </c>
      <c r="K800" s="881">
        <f ca="1">IF(I800&gt;0,J800*100/I800,0)</f>
        <v>0</v>
      </c>
      <c r="L800" s="881"/>
      <c r="M800" s="881"/>
      <c r="N800" s="881"/>
      <c r="O800" s="998"/>
      <c r="P800" s="998"/>
      <c r="Q800" s="1302"/>
      <c r="R800" s="1302"/>
      <c r="S800" s="1302"/>
      <c r="T800" s="1302"/>
      <c r="U800" s="1302"/>
      <c r="V800" s="1302"/>
      <c r="W800" s="1302"/>
      <c r="X800" s="1302"/>
      <c r="Y800" s="1302"/>
      <c r="Z800" s="1302"/>
    </row>
    <row r="801" spans="1:26" ht="18.75" hidden="1">
      <c r="A801" s="1326"/>
      <c r="B801" s="1327"/>
      <c r="C801" s="1327"/>
      <c r="D801" s="1327"/>
      <c r="E801" s="1014"/>
      <c r="F801" s="1014"/>
      <c r="G801" s="1007"/>
      <c r="H801" s="161" t="s">
        <v>34</v>
      </c>
      <c r="I801" s="997"/>
      <c r="J801" s="880">
        <f ca="1">IFERROR(__xludf.DUMMYFUNCTION("IMPORTRANGE(""https://docs.google.com/spreadsheets/d/1MaWodYyGHDf7siQLGxnXhG4mBNTNIuy296niS2xXulU/edit?usp=sharing"",""RTK!I82"")"),0)</f>
        <v>0</v>
      </c>
      <c r="K801" s="881"/>
      <c r="L801" s="881"/>
      <c r="M801" s="881"/>
      <c r="N801" s="881"/>
      <c r="O801" s="998"/>
      <c r="P801" s="998"/>
      <c r="Q801" s="1302"/>
      <c r="R801" s="1302"/>
      <c r="S801" s="1302"/>
      <c r="T801" s="1302"/>
      <c r="U801" s="1302"/>
      <c r="V801" s="1302"/>
      <c r="W801" s="1302"/>
      <c r="X801" s="1302"/>
      <c r="Y801" s="1302"/>
      <c r="Z801" s="1302"/>
    </row>
    <row r="802" spans="1:26" ht="18.75" hidden="1">
      <c r="A802" s="1332"/>
      <c r="B802" s="1333"/>
      <c r="C802" s="1333"/>
      <c r="D802" s="1333"/>
      <c r="E802" s="1321"/>
      <c r="F802" s="1321" t="s">
        <v>322</v>
      </c>
      <c r="G802" s="1113"/>
      <c r="H802" s="651" t="s">
        <v>46</v>
      </c>
      <c r="I802" s="1000"/>
      <c r="J802" s="886"/>
      <c r="K802" s="1001">
        <f>IF(I802&gt;0,J802*100/I802,0)</f>
        <v>0</v>
      </c>
      <c r="L802" s="1001"/>
      <c r="M802" s="1001"/>
      <c r="N802" s="1001"/>
      <c r="O802" s="1001"/>
      <c r="P802" s="1001"/>
      <c r="Q802" s="1323"/>
      <c r="R802" s="1323"/>
      <c r="S802" s="1323"/>
      <c r="T802" s="1323"/>
      <c r="U802" s="1323"/>
      <c r="V802" s="1323"/>
      <c r="W802" s="1323"/>
      <c r="X802" s="1323"/>
      <c r="Y802" s="1323"/>
      <c r="Z802" s="1323"/>
    </row>
    <row r="803" spans="1:26" ht="18.75" hidden="1">
      <c r="A803" s="1332"/>
      <c r="B803" s="1333"/>
      <c r="C803" s="1333"/>
      <c r="D803" s="1333"/>
      <c r="E803" s="1321"/>
      <c r="F803" s="1321"/>
      <c r="G803" s="1113"/>
      <c r="H803" s="651" t="s">
        <v>34</v>
      </c>
      <c r="I803" s="1000"/>
      <c r="J803" s="886"/>
      <c r="K803" s="1001"/>
      <c r="L803" s="1001"/>
      <c r="M803" s="1001"/>
      <c r="N803" s="1001"/>
      <c r="O803" s="1001"/>
      <c r="P803" s="1001"/>
      <c r="Q803" s="1323"/>
      <c r="R803" s="1323"/>
      <c r="S803" s="1323"/>
      <c r="T803" s="1323"/>
      <c r="U803" s="1323"/>
      <c r="V803" s="1323"/>
      <c r="W803" s="1323"/>
      <c r="X803" s="1323"/>
      <c r="Y803" s="1323"/>
      <c r="Z803" s="1323"/>
    </row>
    <row r="804" spans="1:26" ht="19.5" hidden="1">
      <c r="A804" s="791">
        <v>13</v>
      </c>
      <c r="B804" s="1461" t="s">
        <v>323</v>
      </c>
      <c r="C804" s="1462"/>
      <c r="D804" s="1476"/>
      <c r="E804" s="1462"/>
      <c r="F804" s="1462"/>
      <c r="G804" s="1463"/>
      <c r="H804" s="795" t="s">
        <v>46</v>
      </c>
      <c r="I804" s="1464"/>
      <c r="J804" s="1464">
        <f>J819</f>
        <v>0</v>
      </c>
      <c r="K804" s="1465">
        <f>IF(I804&gt;0,J804*100/I804,0)</f>
        <v>0</v>
      </c>
      <c r="L804" s="1466"/>
      <c r="M804" s="1466"/>
      <c r="N804" s="1466"/>
      <c r="O804" s="1466"/>
      <c r="P804" s="1466"/>
      <c r="Q804" s="1323"/>
      <c r="R804" s="1323"/>
      <c r="S804" s="1323"/>
      <c r="T804" s="1323"/>
      <c r="U804" s="1323"/>
      <c r="V804" s="1323"/>
      <c r="W804" s="1323"/>
      <c r="X804" s="1323"/>
      <c r="Y804" s="1323"/>
      <c r="Z804" s="1323"/>
    </row>
    <row r="805" spans="1:26" ht="19.5" hidden="1">
      <c r="A805" s="1319"/>
      <c r="B805" s="1320"/>
      <c r="C805" s="1320" t="s">
        <v>16</v>
      </c>
      <c r="D805" s="1351" t="s">
        <v>17</v>
      </c>
      <c r="E805" s="841"/>
      <c r="F805" s="841"/>
      <c r="G805" s="1322"/>
      <c r="H805" s="644" t="s">
        <v>12</v>
      </c>
      <c r="I805" s="886"/>
      <c r="J805" s="886"/>
      <c r="K805" s="887"/>
      <c r="L805" s="1352">
        <f t="shared" ref="L805:N805" si="327">L806+L807</f>
        <v>0</v>
      </c>
      <c r="M805" s="1352">
        <f t="shared" si="327"/>
        <v>0</v>
      </c>
      <c r="N805" s="1352">
        <f t="shared" si="327"/>
        <v>0</v>
      </c>
      <c r="O805" s="1352">
        <f t="shared" ref="O805:O810" si="328">IF(L805&gt;0,N805*100/L805,0)</f>
        <v>0</v>
      </c>
      <c r="P805" s="1352">
        <f t="shared" ref="P805:P810" si="329">IF(M805&gt;0,N805*100/M805,0)</f>
        <v>0</v>
      </c>
      <c r="Q805" s="1323"/>
      <c r="R805" s="1323"/>
      <c r="S805" s="1323"/>
      <c r="T805" s="1323"/>
      <c r="U805" s="1323"/>
      <c r="V805" s="1323"/>
      <c r="W805" s="1323"/>
      <c r="X805" s="1323"/>
      <c r="Y805" s="1323"/>
      <c r="Z805" s="1323"/>
    </row>
    <row r="806" spans="1:26" ht="18.75" hidden="1">
      <c r="A806" s="1319"/>
      <c r="B806" s="1320"/>
      <c r="C806" s="1320"/>
      <c r="D806" s="1333"/>
      <c r="E806" s="1320" t="s">
        <v>185</v>
      </c>
      <c r="F806" s="1320"/>
      <c r="G806" s="1322"/>
      <c r="H806" s="165" t="s">
        <v>12</v>
      </c>
      <c r="I806" s="886"/>
      <c r="J806" s="886"/>
      <c r="K806" s="887"/>
      <c r="L806" s="887">
        <f t="shared" ref="L806:N807" si="330">L809+L816</f>
        <v>0</v>
      </c>
      <c r="M806" s="887">
        <f t="shared" si="330"/>
        <v>0</v>
      </c>
      <c r="N806" s="887">
        <f t="shared" si="330"/>
        <v>0</v>
      </c>
      <c r="O806" s="887">
        <f t="shared" si="328"/>
        <v>0</v>
      </c>
      <c r="P806" s="887">
        <f t="shared" si="329"/>
        <v>0</v>
      </c>
      <c r="Q806" s="1323"/>
      <c r="R806" s="1323"/>
      <c r="S806" s="1323"/>
      <c r="T806" s="1323"/>
      <c r="U806" s="1323"/>
      <c r="V806" s="1323"/>
      <c r="W806" s="1323"/>
      <c r="X806" s="1323"/>
      <c r="Y806" s="1323"/>
      <c r="Z806" s="1323"/>
    </row>
    <row r="807" spans="1:26" ht="18.75" hidden="1">
      <c r="A807" s="1319"/>
      <c r="B807" s="1320"/>
      <c r="C807" s="1320"/>
      <c r="D807" s="1333"/>
      <c r="E807" s="1320" t="s">
        <v>186</v>
      </c>
      <c r="F807" s="1320"/>
      <c r="G807" s="1322"/>
      <c r="H807" s="165" t="s">
        <v>12</v>
      </c>
      <c r="I807" s="886"/>
      <c r="J807" s="886"/>
      <c r="K807" s="887"/>
      <c r="L807" s="887">
        <f t="shared" si="330"/>
        <v>0</v>
      </c>
      <c r="M807" s="887">
        <f t="shared" si="330"/>
        <v>0</v>
      </c>
      <c r="N807" s="887">
        <f t="shared" si="330"/>
        <v>0</v>
      </c>
      <c r="O807" s="887">
        <f t="shared" si="328"/>
        <v>0</v>
      </c>
      <c r="P807" s="887">
        <f t="shared" si="329"/>
        <v>0</v>
      </c>
      <c r="Q807" s="1323"/>
      <c r="R807" s="1323"/>
      <c r="S807" s="1323"/>
      <c r="T807" s="1323"/>
      <c r="U807" s="1323"/>
      <c r="V807" s="1323"/>
      <c r="W807" s="1323"/>
      <c r="X807" s="1323"/>
      <c r="Y807" s="1323"/>
      <c r="Z807" s="1323"/>
    </row>
    <row r="808" spans="1:26" ht="19.5" hidden="1">
      <c r="A808" s="1319"/>
      <c r="B808" s="1324"/>
      <c r="C808" s="1320"/>
      <c r="D808" s="1477" t="s">
        <v>20</v>
      </c>
      <c r="E808" s="841"/>
      <c r="F808" s="841"/>
      <c r="G808" s="1322"/>
      <c r="H808" s="644" t="s">
        <v>12</v>
      </c>
      <c r="I808" s="1000"/>
      <c r="J808" s="1000"/>
      <c r="K808" s="1001"/>
      <c r="L808" s="1352">
        <f t="shared" ref="L808:N808" si="331">L809+L810</f>
        <v>0</v>
      </c>
      <c r="M808" s="1352">
        <f t="shared" si="331"/>
        <v>0</v>
      </c>
      <c r="N808" s="1352">
        <f t="shared" si="331"/>
        <v>0</v>
      </c>
      <c r="O808" s="1352">
        <f t="shared" si="328"/>
        <v>0</v>
      </c>
      <c r="P808" s="1352">
        <f t="shared" si="329"/>
        <v>0</v>
      </c>
      <c r="Q808" s="1323"/>
      <c r="R808" s="1323"/>
      <c r="S808" s="1323"/>
      <c r="T808" s="1323"/>
      <c r="U808" s="1323"/>
      <c r="V808" s="1323"/>
      <c r="W808" s="1323"/>
      <c r="X808" s="1323"/>
      <c r="Y808" s="1323"/>
      <c r="Z808" s="1323"/>
    </row>
    <row r="809" spans="1:26" ht="18.75" hidden="1">
      <c r="A809" s="1319"/>
      <c r="B809" s="1320"/>
      <c r="C809" s="1320"/>
      <c r="D809" s="1333"/>
      <c r="E809" s="1320" t="s">
        <v>185</v>
      </c>
      <c r="F809" s="1320"/>
      <c r="G809" s="1322"/>
      <c r="H809" s="165" t="s">
        <v>12</v>
      </c>
      <c r="I809" s="886"/>
      <c r="J809" s="886"/>
      <c r="K809" s="887"/>
      <c r="L809" s="887">
        <v>0</v>
      </c>
      <c r="M809" s="887">
        <v>0</v>
      </c>
      <c r="N809" s="887">
        <v>0</v>
      </c>
      <c r="O809" s="887">
        <f t="shared" si="328"/>
        <v>0</v>
      </c>
      <c r="P809" s="887">
        <f t="shared" si="329"/>
        <v>0</v>
      </c>
      <c r="Q809" s="1323"/>
      <c r="R809" s="1323"/>
      <c r="S809" s="1323"/>
      <c r="T809" s="1323"/>
      <c r="U809" s="1323"/>
      <c r="V809" s="1323"/>
      <c r="W809" s="1323"/>
      <c r="X809" s="1323"/>
      <c r="Y809" s="1323"/>
      <c r="Z809" s="1323"/>
    </row>
    <row r="810" spans="1:26" ht="18.75" hidden="1">
      <c r="A810" s="1319"/>
      <c r="B810" s="1320"/>
      <c r="C810" s="1320"/>
      <c r="D810" s="1333"/>
      <c r="E810" s="1320" t="s">
        <v>186</v>
      </c>
      <c r="F810" s="1320"/>
      <c r="G810" s="1322"/>
      <c r="H810" s="165" t="s">
        <v>12</v>
      </c>
      <c r="I810" s="886"/>
      <c r="J810" s="886"/>
      <c r="K810" s="887"/>
      <c r="L810" s="887">
        <v>0</v>
      </c>
      <c r="M810" s="887">
        <v>0</v>
      </c>
      <c r="N810" s="887">
        <f>N811+N812+N813+N814</f>
        <v>0</v>
      </c>
      <c r="O810" s="887">
        <f t="shared" si="328"/>
        <v>0</v>
      </c>
      <c r="P810" s="887">
        <f t="shared" si="329"/>
        <v>0</v>
      </c>
      <c r="Q810" s="1323"/>
      <c r="R810" s="1323"/>
      <c r="S810" s="1323"/>
      <c r="T810" s="1323"/>
      <c r="U810" s="1323"/>
      <c r="V810" s="1323"/>
      <c r="W810" s="1323"/>
      <c r="X810" s="1323"/>
      <c r="Y810" s="1323"/>
      <c r="Z810" s="1323"/>
    </row>
    <row r="811" spans="1:26" ht="18.75" hidden="1">
      <c r="A811" s="1354"/>
      <c r="B811" s="1324"/>
      <c r="C811" s="1320"/>
      <c r="D811" s="1324"/>
      <c r="E811" s="1320"/>
      <c r="F811" s="1320" t="s">
        <v>187</v>
      </c>
      <c r="G811" s="1322"/>
      <c r="H811" s="165" t="s">
        <v>12</v>
      </c>
      <c r="I811" s="886"/>
      <c r="J811" s="886"/>
      <c r="K811" s="887"/>
      <c r="L811" s="887"/>
      <c r="M811" s="887"/>
      <c r="N811" s="887"/>
      <c r="O811" s="887"/>
      <c r="P811" s="887"/>
      <c r="Q811" s="1323"/>
      <c r="R811" s="1323"/>
      <c r="S811" s="1323"/>
      <c r="T811" s="1323"/>
      <c r="U811" s="1323"/>
      <c r="V811" s="1323"/>
      <c r="W811" s="1323"/>
      <c r="X811" s="1323"/>
      <c r="Y811" s="1323"/>
      <c r="Z811" s="1323"/>
    </row>
    <row r="812" spans="1:26" ht="18.75" hidden="1">
      <c r="A812" s="1354"/>
      <c r="B812" s="1324"/>
      <c r="C812" s="1320"/>
      <c r="D812" s="1324"/>
      <c r="E812" s="1320"/>
      <c r="F812" s="1320" t="s">
        <v>188</v>
      </c>
      <c r="G812" s="1322"/>
      <c r="H812" s="165" t="s">
        <v>12</v>
      </c>
      <c r="I812" s="886"/>
      <c r="J812" s="886"/>
      <c r="K812" s="887"/>
      <c r="L812" s="887"/>
      <c r="M812" s="887"/>
      <c r="N812" s="887"/>
      <c r="O812" s="887"/>
      <c r="P812" s="887"/>
      <c r="Q812" s="1323"/>
      <c r="R812" s="1323"/>
      <c r="S812" s="1323"/>
      <c r="T812" s="1323"/>
      <c r="U812" s="1323"/>
      <c r="V812" s="1323"/>
      <c r="W812" s="1323"/>
      <c r="X812" s="1323"/>
      <c r="Y812" s="1323"/>
      <c r="Z812" s="1323"/>
    </row>
    <row r="813" spans="1:26" ht="18.75" hidden="1">
      <c r="A813" s="1354"/>
      <c r="B813" s="1324"/>
      <c r="C813" s="1320"/>
      <c r="D813" s="1324"/>
      <c r="E813" s="1320"/>
      <c r="F813" s="1320" t="s">
        <v>189</v>
      </c>
      <c r="G813" s="1322"/>
      <c r="H813" s="165" t="s">
        <v>12</v>
      </c>
      <c r="I813" s="886"/>
      <c r="J813" s="886"/>
      <c r="K813" s="887"/>
      <c r="L813" s="887"/>
      <c r="M813" s="887"/>
      <c r="N813" s="887"/>
      <c r="O813" s="887"/>
      <c r="P813" s="887"/>
      <c r="Q813" s="1323"/>
      <c r="R813" s="1323"/>
      <c r="S813" s="1323"/>
      <c r="T813" s="1323"/>
      <c r="U813" s="1323"/>
      <c r="V813" s="1323"/>
      <c r="W813" s="1323"/>
      <c r="X813" s="1323"/>
      <c r="Y813" s="1323"/>
      <c r="Z813" s="1323"/>
    </row>
    <row r="814" spans="1:26" ht="18.75" hidden="1">
      <c r="A814" s="1354"/>
      <c r="B814" s="1324"/>
      <c r="C814" s="1320"/>
      <c r="D814" s="1324"/>
      <c r="E814" s="1320"/>
      <c r="F814" s="1320" t="s">
        <v>190</v>
      </c>
      <c r="G814" s="1322"/>
      <c r="H814" s="165" t="s">
        <v>12</v>
      </c>
      <c r="I814" s="886"/>
      <c r="J814" s="886"/>
      <c r="K814" s="887"/>
      <c r="L814" s="887"/>
      <c r="M814" s="887"/>
      <c r="N814" s="887"/>
      <c r="O814" s="887"/>
      <c r="P814" s="887"/>
      <c r="Q814" s="1323"/>
      <c r="R814" s="1323"/>
      <c r="S814" s="1323"/>
      <c r="T814" s="1323"/>
      <c r="U814" s="1323"/>
      <c r="V814" s="1323"/>
      <c r="W814" s="1323"/>
      <c r="X814" s="1323"/>
      <c r="Y814" s="1323"/>
      <c r="Z814" s="1323"/>
    </row>
    <row r="815" spans="1:26" ht="19.5" hidden="1">
      <c r="A815" s="1319"/>
      <c r="B815" s="1324"/>
      <c r="C815" s="1320"/>
      <c r="D815" s="1477" t="s">
        <v>21</v>
      </c>
      <c r="E815" s="841"/>
      <c r="F815" s="841"/>
      <c r="G815" s="1322"/>
      <c r="H815" s="781" t="s">
        <v>12</v>
      </c>
      <c r="I815" s="1000"/>
      <c r="J815" s="1000"/>
      <c r="K815" s="1001"/>
      <c r="L815" s="1352">
        <f t="shared" ref="L815:N815" si="332">L816+L817</f>
        <v>0</v>
      </c>
      <c r="M815" s="1352">
        <f t="shared" si="332"/>
        <v>0</v>
      </c>
      <c r="N815" s="1352">
        <f t="shared" si="332"/>
        <v>0</v>
      </c>
      <c r="O815" s="1352">
        <f t="shared" ref="O815:O817" si="333">IF(L815&gt;0,N815*100/L815,0)</f>
        <v>0</v>
      </c>
      <c r="P815" s="1352">
        <f t="shared" ref="P815:P817" si="334">IF(M815&gt;0,N815*100/M815,0)</f>
        <v>0</v>
      </c>
      <c r="Q815" s="1323"/>
      <c r="R815" s="1323"/>
      <c r="S815" s="1323"/>
      <c r="T815" s="1323"/>
      <c r="U815" s="1323"/>
      <c r="V815" s="1323"/>
      <c r="W815" s="1323"/>
      <c r="X815" s="1323"/>
      <c r="Y815" s="1323"/>
      <c r="Z815" s="1323"/>
    </row>
    <row r="816" spans="1:26" ht="18.75" hidden="1">
      <c r="A816" s="1319"/>
      <c r="B816" s="1324"/>
      <c r="C816" s="1320"/>
      <c r="D816" s="1324"/>
      <c r="E816" s="1320" t="s">
        <v>18</v>
      </c>
      <c r="F816" s="1320"/>
      <c r="G816" s="1322"/>
      <c r="H816" s="165" t="s">
        <v>12</v>
      </c>
      <c r="I816" s="1000"/>
      <c r="J816" s="1000"/>
      <c r="K816" s="1001"/>
      <c r="L816" s="887">
        <v>0</v>
      </c>
      <c r="M816" s="887">
        <v>0</v>
      </c>
      <c r="N816" s="887">
        <v>0</v>
      </c>
      <c r="O816" s="887">
        <f t="shared" si="333"/>
        <v>0</v>
      </c>
      <c r="P816" s="887">
        <f t="shared" si="334"/>
        <v>0</v>
      </c>
      <c r="Q816" s="1323"/>
      <c r="R816" s="1323"/>
      <c r="S816" s="1323"/>
      <c r="T816" s="1323"/>
      <c r="U816" s="1323"/>
      <c r="V816" s="1323"/>
      <c r="W816" s="1323"/>
      <c r="X816" s="1323"/>
      <c r="Y816" s="1323"/>
      <c r="Z816" s="1323"/>
    </row>
    <row r="817" spans="1:26" ht="18.75" hidden="1">
      <c r="A817" s="1319"/>
      <c r="B817" s="1324"/>
      <c r="C817" s="1320"/>
      <c r="D817" s="1324"/>
      <c r="E817" s="1320" t="s">
        <v>19</v>
      </c>
      <c r="F817" s="1320"/>
      <c r="G817" s="1322"/>
      <c r="H817" s="169" t="s">
        <v>12</v>
      </c>
      <c r="I817" s="1000"/>
      <c r="J817" s="1000"/>
      <c r="K817" s="1001"/>
      <c r="L817" s="887">
        <v>0</v>
      </c>
      <c r="M817" s="887">
        <v>0</v>
      </c>
      <c r="N817" s="887">
        <v>0</v>
      </c>
      <c r="O817" s="887">
        <f t="shared" si="333"/>
        <v>0</v>
      </c>
      <c r="P817" s="887">
        <f t="shared" si="334"/>
        <v>0</v>
      </c>
      <c r="Q817" s="1323"/>
      <c r="R817" s="1323"/>
      <c r="S817" s="1323"/>
      <c r="T817" s="1323"/>
      <c r="U817" s="1323"/>
      <c r="V817" s="1323"/>
      <c r="W817" s="1323"/>
      <c r="X817" s="1323"/>
      <c r="Y817" s="1323"/>
      <c r="Z817" s="1323"/>
    </row>
    <row r="818" spans="1:26" ht="19.5" hidden="1">
      <c r="A818" s="1332"/>
      <c r="B818" s="1333"/>
      <c r="C818" s="1320" t="s">
        <v>16</v>
      </c>
      <c r="D818" s="1478" t="s">
        <v>38</v>
      </c>
      <c r="E818" s="1356"/>
      <c r="F818" s="1356"/>
      <c r="G818" s="1357"/>
      <c r="H818" s="1113"/>
      <c r="I818" s="1000"/>
      <c r="J818" s="1000"/>
      <c r="K818" s="1001"/>
      <c r="L818" s="1001"/>
      <c r="M818" s="1001"/>
      <c r="N818" s="1001"/>
      <c r="O818" s="1001"/>
      <c r="P818" s="1001"/>
      <c r="Q818" s="1323"/>
      <c r="R818" s="1323"/>
      <c r="S818" s="1323"/>
      <c r="T818" s="1323"/>
      <c r="U818" s="1323"/>
      <c r="V818" s="1323"/>
      <c r="W818" s="1323"/>
      <c r="X818" s="1323"/>
      <c r="Y818" s="1323"/>
      <c r="Z818" s="1323"/>
    </row>
    <row r="819" spans="1:26" ht="19.5" hidden="1" thickBot="1">
      <c r="A819" s="1479"/>
      <c r="B819" s="1480"/>
      <c r="C819" s="1481"/>
      <c r="D819" s="1480"/>
      <c r="E819" s="1481" t="s">
        <v>324</v>
      </c>
      <c r="F819" s="1481"/>
      <c r="G819" s="1482"/>
      <c r="H819" s="817" t="s">
        <v>46</v>
      </c>
      <c r="I819" s="1483"/>
      <c r="J819" s="1483"/>
      <c r="K819" s="1484"/>
      <c r="L819" s="1484"/>
      <c r="M819" s="1484"/>
      <c r="N819" s="1484"/>
      <c r="O819" s="1484"/>
      <c r="P819" s="1484"/>
      <c r="Q819" s="1323"/>
      <c r="R819" s="1323"/>
      <c r="S819" s="1323"/>
      <c r="T819" s="1323"/>
      <c r="U819" s="1323"/>
      <c r="V819" s="1323"/>
      <c r="W819" s="1323"/>
      <c r="X819" s="1323"/>
      <c r="Y819" s="1323"/>
      <c r="Z819" s="1323"/>
    </row>
    <row r="820" spans="1:26" ht="19.5">
      <c r="A820" s="1485" t="s">
        <v>346</v>
      </c>
      <c r="B820" s="1486"/>
      <c r="C820" s="1486"/>
      <c r="D820" s="1487"/>
      <c r="E820" s="1486"/>
      <c r="F820" s="1486"/>
      <c r="G820" s="1488"/>
      <c r="H820" s="1489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0"/>
      <c r="J820" s="1490"/>
      <c r="K820" s="1491"/>
      <c r="L820" s="1491"/>
      <c r="M820" s="1491"/>
      <c r="N820" s="1491"/>
      <c r="O820" s="1491"/>
      <c r="P820" s="1491"/>
      <c r="Q820" s="1302"/>
      <c r="R820" s="1302"/>
      <c r="S820" s="1302"/>
      <c r="T820" s="1302"/>
      <c r="U820" s="1302"/>
      <c r="V820" s="1302"/>
      <c r="W820" s="1302"/>
      <c r="X820" s="1302"/>
      <c r="Y820" s="1302"/>
      <c r="Z820" s="1302"/>
    </row>
    <row r="821" spans="1:26" ht="18.75">
      <c r="A821" s="1429"/>
      <c r="B821" s="1301" t="s">
        <v>326</v>
      </c>
      <c r="C821" s="1301"/>
      <c r="D821" s="1300"/>
      <c r="E821" s="1301"/>
      <c r="F821" s="1301"/>
      <c r="G821" s="1016"/>
      <c r="H821" s="622" t="s">
        <v>12</v>
      </c>
      <c r="I821" s="880">
        <f ca="1">IFERROR(__xludf.DUMMYFUNCTION("IMPORTRANGE(""https://docs.google.com/spreadsheets/d/19vJNZY_5yjcGF2XGBMNZRCAIB0Kwfpjp8YEOfu-bneM/edit?usp=sharing"",""งานกองทุน!D82"")"),1659588.7)</f>
        <v>1659588.7</v>
      </c>
      <c r="J821" s="880">
        <f ca="1">IFERROR(__xludf.DUMMYFUNCTION("IMPORTRANGE(""https://docs.google.com/spreadsheets/d/19vJNZY_5yjcGF2XGBMNZRCAIB0Kwfpjp8YEOfu-bneM/edit?usp=sharing"",""งานกองทุน!F82"")"),763795.87)</f>
        <v>763795.87</v>
      </c>
      <c r="K821" s="881">
        <f t="shared" ref="K821:K828" ca="1" si="335">IF(I821&gt;0,J821*100/I821,0)</f>
        <v>46.02320261640731</v>
      </c>
      <c r="L821" s="881"/>
      <c r="M821" s="881"/>
      <c r="N821" s="881"/>
      <c r="O821" s="881"/>
      <c r="P821" s="881"/>
      <c r="Q821" s="1302"/>
      <c r="R821" s="1302"/>
      <c r="S821" s="1302"/>
      <c r="T821" s="1302"/>
      <c r="U821" s="1302"/>
      <c r="V821" s="1302"/>
      <c r="W821" s="1302"/>
      <c r="X821" s="1302"/>
      <c r="Y821" s="1302"/>
      <c r="Z821" s="1302"/>
    </row>
    <row r="822" spans="1:26" ht="18.75">
      <c r="A822" s="1429"/>
      <c r="B822" s="1301"/>
      <c r="C822" s="1301"/>
      <c r="D822" s="1300"/>
      <c r="E822" s="1301"/>
      <c r="F822" s="1301"/>
      <c r="G822" s="1016"/>
      <c r="H822" s="622" t="s">
        <v>35</v>
      </c>
      <c r="I822" s="880">
        <f ca="1">IFERROR(__xludf.DUMMYFUNCTION("IMPORTRANGE(""https://docs.google.com/spreadsheets/d/19vJNZY_5yjcGF2XGBMNZRCAIB0Kwfpjp8YEOfu-bneM/edit?usp=sharing"",""งานกองทุน!C82"")"),149)</f>
        <v>149</v>
      </c>
      <c r="J822" s="880">
        <f ca="1">IFERROR(__xludf.DUMMYFUNCTION("IMPORTRANGE(""https://docs.google.com/spreadsheets/d/19vJNZY_5yjcGF2XGBMNZRCAIB0Kwfpjp8YEOfu-bneM/edit?usp=sharing"",""งานกองทุน!E82"")"),65)</f>
        <v>65</v>
      </c>
      <c r="K822" s="881">
        <f t="shared" ca="1" si="335"/>
        <v>43.624161073825505</v>
      </c>
      <c r="L822" s="881"/>
      <c r="M822" s="881"/>
      <c r="N822" s="881"/>
      <c r="O822" s="881"/>
      <c r="P822" s="881"/>
      <c r="Q822" s="1302"/>
      <c r="R822" s="1302"/>
      <c r="S822" s="1302"/>
      <c r="T822" s="1302"/>
      <c r="U822" s="1302"/>
      <c r="V822" s="1302"/>
      <c r="W822" s="1302"/>
      <c r="X822" s="1302"/>
      <c r="Y822" s="1302"/>
      <c r="Z822" s="1302"/>
    </row>
    <row r="823" spans="1:26" ht="18.75">
      <c r="A823" s="1429"/>
      <c r="B823" s="1301" t="s">
        <v>327</v>
      </c>
      <c r="C823" s="1301"/>
      <c r="D823" s="1300"/>
      <c r="E823" s="1301"/>
      <c r="F823" s="1301"/>
      <c r="G823" s="1016"/>
      <c r="H823" s="622" t="s">
        <v>12</v>
      </c>
      <c r="I823" s="880">
        <f ca="1">IFERROR(__xludf.DUMMYFUNCTION("IMPORTRANGE(""https://docs.google.com/spreadsheets/d/19vJNZY_5yjcGF2XGBMNZRCAIB0Kwfpjp8YEOfu-bneM/edit?usp=sharing"",""งานกองทุน!I82"")"),794344.6)</f>
        <v>794344.6</v>
      </c>
      <c r="J823" s="880">
        <f ca="1">IFERROR(__xludf.DUMMYFUNCTION("IMPORTRANGE(""https://docs.google.com/spreadsheets/d/19vJNZY_5yjcGF2XGBMNZRCAIB0Kwfpjp8YEOfu-bneM/edit?usp=sharing"",""งานกองทุน!K82"")"),64454.88)</f>
        <v>64454.879999999997</v>
      </c>
      <c r="K823" s="881">
        <f t="shared" ca="1" si="335"/>
        <v>8.1142214600565055</v>
      </c>
      <c r="L823" s="881"/>
      <c r="M823" s="881"/>
      <c r="N823" s="881"/>
      <c r="O823" s="881"/>
      <c r="P823" s="881"/>
      <c r="Q823" s="1302"/>
      <c r="R823" s="1302"/>
      <c r="S823" s="1302"/>
      <c r="T823" s="1302"/>
      <c r="U823" s="1302"/>
      <c r="V823" s="1302"/>
      <c r="W823" s="1302"/>
      <c r="X823" s="1302"/>
      <c r="Y823" s="1302"/>
      <c r="Z823" s="1302"/>
    </row>
    <row r="824" spans="1:26" ht="18.75">
      <c r="A824" s="1429"/>
      <c r="B824" s="1301"/>
      <c r="C824" s="1301"/>
      <c r="D824" s="1300"/>
      <c r="E824" s="1301"/>
      <c r="F824" s="1301"/>
      <c r="G824" s="1016"/>
      <c r="H824" s="622" t="s">
        <v>35</v>
      </c>
      <c r="I824" s="880">
        <f ca="1">IFERROR(__xludf.DUMMYFUNCTION("IMPORTRANGE(""https://docs.google.com/spreadsheets/d/19vJNZY_5yjcGF2XGBMNZRCAIB0Kwfpjp8YEOfu-bneM/edit?usp=sharing"",""งานกองทุน!H82"")"),55)</f>
        <v>55</v>
      </c>
      <c r="J824" s="880">
        <f ca="1">IFERROR(__xludf.DUMMYFUNCTION("IMPORTRANGE(""https://docs.google.com/spreadsheets/d/19vJNZY_5yjcGF2XGBMNZRCAIB0Kwfpjp8YEOfu-bneM/edit?usp=sharing"",""งานกองทุน!J82"")"),29)</f>
        <v>29</v>
      </c>
      <c r="K824" s="881">
        <f t="shared" ca="1" si="335"/>
        <v>52.727272727272727</v>
      </c>
      <c r="L824" s="881"/>
      <c r="M824" s="881"/>
      <c r="N824" s="881"/>
      <c r="O824" s="881"/>
      <c r="P824" s="881"/>
      <c r="Q824" s="1302"/>
      <c r="R824" s="1302"/>
      <c r="S824" s="1302"/>
      <c r="T824" s="1302"/>
      <c r="U824" s="1302"/>
      <c r="V824" s="1302"/>
      <c r="W824" s="1302"/>
      <c r="X824" s="1302"/>
      <c r="Y824" s="1302"/>
      <c r="Z824" s="1302"/>
    </row>
    <row r="825" spans="1:26" ht="18.75">
      <c r="A825" s="1429"/>
      <c r="B825" s="1301" t="s">
        <v>328</v>
      </c>
      <c r="C825" s="1301"/>
      <c r="D825" s="1300"/>
      <c r="E825" s="1301"/>
      <c r="F825" s="1301"/>
      <c r="G825" s="1016"/>
      <c r="H825" s="622" t="s">
        <v>12</v>
      </c>
      <c r="I825" s="880">
        <f ca="1">IFERROR(__xludf.DUMMYFUNCTION("IMPORTRANGE(""https://docs.google.com/spreadsheets/d/19vJNZY_5yjcGF2XGBMNZRCAIB0Kwfpjp8YEOfu-bneM/edit?usp=sharing"",""งานกองทุน!N82"")"),0)</f>
        <v>0</v>
      </c>
      <c r="J825" s="880">
        <f ca="1">IFERROR(__xludf.DUMMYFUNCTION("IMPORTRANGE(""https://docs.google.com/spreadsheets/d/19vJNZY_5yjcGF2XGBMNZRCAIB0Kwfpjp8YEOfu-bneM/edit?usp=sharing"",""งานกองทุน!P82"")"),0)</f>
        <v>0</v>
      </c>
      <c r="K825" s="881">
        <f t="shared" ca="1" si="335"/>
        <v>0</v>
      </c>
      <c r="L825" s="881"/>
      <c r="M825" s="881"/>
      <c r="N825" s="881"/>
      <c r="O825" s="881"/>
      <c r="P825" s="881"/>
      <c r="Q825" s="1302"/>
      <c r="R825" s="1302"/>
      <c r="S825" s="1302"/>
      <c r="T825" s="1302"/>
      <c r="U825" s="1302"/>
      <c r="V825" s="1302"/>
      <c r="W825" s="1302"/>
      <c r="X825" s="1302"/>
      <c r="Y825" s="1302"/>
      <c r="Z825" s="1302"/>
    </row>
    <row r="826" spans="1:26" ht="18.75">
      <c r="A826" s="1429"/>
      <c r="B826" s="1301"/>
      <c r="C826" s="1301"/>
      <c r="D826" s="1300"/>
      <c r="E826" s="1301"/>
      <c r="F826" s="1301"/>
      <c r="G826" s="1016"/>
      <c r="H826" s="622" t="s">
        <v>35</v>
      </c>
      <c r="I826" s="880">
        <f ca="1">IFERROR(__xludf.DUMMYFUNCTION("IMPORTRANGE(""https://docs.google.com/spreadsheets/d/19vJNZY_5yjcGF2XGBMNZRCAIB0Kwfpjp8YEOfu-bneM/edit?usp=sharing"",""งานกองทุน!M82"")"),0)</f>
        <v>0</v>
      </c>
      <c r="J826" s="880">
        <f ca="1">IFERROR(__xludf.DUMMYFUNCTION("IMPORTRANGE(""https://docs.google.com/spreadsheets/d/19vJNZY_5yjcGF2XGBMNZRCAIB0Kwfpjp8YEOfu-bneM/edit?usp=sharing"",""งานกองทุน!O82"")"),0)</f>
        <v>0</v>
      </c>
      <c r="K826" s="881">
        <f t="shared" ca="1" si="335"/>
        <v>0</v>
      </c>
      <c r="L826" s="881"/>
      <c r="M826" s="881"/>
      <c r="N826" s="881"/>
      <c r="O826" s="881"/>
      <c r="P826" s="881"/>
      <c r="Q826" s="1302"/>
      <c r="R826" s="1302"/>
      <c r="S826" s="1302"/>
      <c r="T826" s="1302"/>
      <c r="U826" s="1302"/>
      <c r="V826" s="1302"/>
      <c r="W826" s="1302"/>
      <c r="X826" s="1302"/>
      <c r="Y826" s="1302"/>
      <c r="Z826" s="1302"/>
    </row>
    <row r="827" spans="1:26" ht="18.75">
      <c r="A827" s="1429"/>
      <c r="B827" s="1301" t="s">
        <v>329</v>
      </c>
      <c r="C827" s="1301"/>
      <c r="D827" s="1300"/>
      <c r="E827" s="1301"/>
      <c r="F827" s="1301"/>
      <c r="G827" s="1016"/>
      <c r="H827" s="622" t="s">
        <v>12</v>
      </c>
      <c r="I827" s="880">
        <f ca="1">IFERROR(__xludf.DUMMYFUNCTION("IMPORTRANGE(""https://docs.google.com/spreadsheets/d/19vJNZY_5yjcGF2XGBMNZRCAIB0Kwfpjp8YEOfu-bneM/edit?usp=sharing"",""งานกองทุน!S82"")"),1375000)</f>
        <v>1375000</v>
      </c>
      <c r="J827" s="880">
        <f ca="1">IFERROR(__xludf.DUMMYFUNCTION("IMPORTRANGE(""https://docs.google.com/spreadsheets/d/19vJNZY_5yjcGF2XGBMNZRCAIB0Kwfpjp8YEOfu-bneM/edit?usp=sharing"",""งานกองทุน!U82"")"),0)</f>
        <v>0</v>
      </c>
      <c r="K827" s="881">
        <f t="shared" ca="1" si="335"/>
        <v>0</v>
      </c>
      <c r="L827" s="881"/>
      <c r="M827" s="881"/>
      <c r="N827" s="881"/>
      <c r="O827" s="881"/>
      <c r="P827" s="881"/>
      <c r="Q827" s="1302"/>
      <c r="R827" s="1302"/>
      <c r="S827" s="1302"/>
      <c r="T827" s="1302"/>
      <c r="U827" s="1302"/>
      <c r="V827" s="1302"/>
      <c r="W827" s="1302"/>
      <c r="X827" s="1302"/>
      <c r="Y827" s="1302"/>
      <c r="Z827" s="1302"/>
    </row>
    <row r="828" spans="1:26" ht="18.75">
      <c r="A828" s="1430"/>
      <c r="B828" s="1432"/>
      <c r="C828" s="1432"/>
      <c r="D828" s="1431"/>
      <c r="E828" s="1432"/>
      <c r="F828" s="1432"/>
      <c r="G828" s="1492"/>
      <c r="H828" s="827" t="s">
        <v>35</v>
      </c>
      <c r="I828" s="1138">
        <f ca="1">IFERROR(__xludf.DUMMYFUNCTION("IMPORTRANGE(""https://docs.google.com/spreadsheets/d/19vJNZY_5yjcGF2XGBMNZRCAIB0Kwfpjp8YEOfu-bneM/edit?usp=sharing"",""งานกองทุน!R82"")"),46)</f>
        <v>46</v>
      </c>
      <c r="J828" s="1138">
        <f ca="1">IFERROR(__xludf.DUMMYFUNCTION("IMPORTRANGE(""https://docs.google.com/spreadsheets/d/19vJNZY_5yjcGF2XGBMNZRCAIB0Kwfpjp8YEOfu-bneM/edit?usp=sharing"",""งานกองทุน!T82"")"),0)</f>
        <v>0</v>
      </c>
      <c r="K828" s="1239">
        <f t="shared" ca="1" si="335"/>
        <v>0</v>
      </c>
      <c r="L828" s="1239"/>
      <c r="M828" s="1239"/>
      <c r="N828" s="1239"/>
      <c r="O828" s="1239"/>
      <c r="P828" s="1239"/>
      <c r="Q828" s="1302"/>
      <c r="R828" s="1302"/>
      <c r="S828" s="1302"/>
      <c r="T828" s="1302"/>
      <c r="U828" s="1302"/>
      <c r="V828" s="1302"/>
      <c r="W828" s="1302"/>
      <c r="X828" s="1302"/>
      <c r="Y828" s="1302"/>
      <c r="Z828" s="130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S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2023-04-25T04:12:16Z</dcterms:modified>
</cp:coreProperties>
</file>